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cawj\Desktop\WPR20LA169 Redlands, CA\ATC Info\"/>
    </mc:Choice>
  </mc:AlternateContent>
  <xr:revisionPtr revIDLastSave="0" documentId="13_ncr:1_{EB435762-E380-4B1B-AD07-F8218784EFFA}" xr6:coauthVersionLast="45" xr6:coauthVersionMax="45" xr10:uidLastSave="{00000000-0000-0000-0000-000000000000}"/>
  <bookViews>
    <workbookView xWindow="705" yWindow="1635" windowWidth="20550" windowHeight="12870" xr2:uid="{00000000-000D-0000-FFFF-FFFF00000000}"/>
  </bookViews>
  <sheets>
    <sheet name="20200605_ACC530_42765230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W14" i="1"/>
  <c r="A15" i="1"/>
  <c r="C15" i="1"/>
  <c r="S15" i="1"/>
  <c r="T15" i="1"/>
  <c r="U15" i="1"/>
  <c r="BW15" i="1"/>
  <c r="A16" i="1"/>
  <c r="C16" i="1"/>
  <c r="S16" i="1"/>
  <c r="T16" i="1"/>
  <c r="U16" i="1"/>
  <c r="BW16" i="1"/>
  <c r="A17" i="1"/>
  <c r="C17" i="1"/>
  <c r="S17" i="1"/>
  <c r="T17" i="1"/>
  <c r="U17" i="1"/>
  <c r="BW17" i="1"/>
  <c r="A18" i="1"/>
  <c r="C18" i="1"/>
  <c r="S18" i="1"/>
  <c r="T18" i="1"/>
  <c r="U18" i="1"/>
  <c r="BW18" i="1"/>
  <c r="A19" i="1"/>
  <c r="C19" i="1"/>
  <c r="S19" i="1"/>
  <c r="T19" i="1"/>
  <c r="U19" i="1"/>
  <c r="BW19" i="1"/>
  <c r="A20" i="1"/>
  <c r="C20" i="1"/>
  <c r="S20" i="1"/>
  <c r="T20" i="1"/>
  <c r="U20" i="1"/>
  <c r="BW20" i="1"/>
  <c r="A21" i="1"/>
  <c r="C21" i="1"/>
  <c r="S21" i="1"/>
  <c r="T21" i="1"/>
  <c r="U21" i="1"/>
  <c r="BW21" i="1"/>
  <c r="A22" i="1"/>
  <c r="C22" i="1"/>
  <c r="S22" i="1"/>
  <c r="T22" i="1"/>
  <c r="U22" i="1"/>
  <c r="BW22" i="1"/>
  <c r="A23" i="1"/>
  <c r="C23" i="1"/>
  <c r="S23" i="1"/>
  <c r="T23" i="1"/>
  <c r="U23" i="1"/>
  <c r="BW23" i="1"/>
  <c r="A24" i="1"/>
  <c r="C24" i="1"/>
  <c r="S24" i="1"/>
  <c r="T24" i="1"/>
  <c r="U24" i="1"/>
  <c r="BW24" i="1"/>
  <c r="A25" i="1"/>
  <c r="C25" i="1"/>
  <c r="S25" i="1"/>
  <c r="T25" i="1"/>
  <c r="U25" i="1"/>
  <c r="BW25" i="1"/>
  <c r="A26" i="1"/>
  <c r="C26" i="1"/>
  <c r="S26" i="1"/>
  <c r="U26" i="1"/>
  <c r="BB26" i="1"/>
  <c r="BW26" i="1"/>
  <c r="A27" i="1"/>
  <c r="C27" i="1"/>
  <c r="S27" i="1"/>
  <c r="U27" i="1"/>
  <c r="BB27" i="1"/>
  <c r="BW27" i="1"/>
  <c r="A28" i="1"/>
  <c r="C28" i="1"/>
  <c r="S28" i="1"/>
  <c r="U28" i="1"/>
  <c r="BB28" i="1"/>
  <c r="BW28" i="1"/>
  <c r="A29" i="1"/>
  <c r="C29" i="1"/>
  <c r="S29" i="1"/>
  <c r="T29" i="1"/>
  <c r="U29" i="1"/>
  <c r="BW29" i="1"/>
  <c r="A30" i="1"/>
  <c r="C30" i="1"/>
  <c r="S30" i="1"/>
  <c r="T30" i="1"/>
  <c r="U30" i="1"/>
  <c r="BW30" i="1"/>
  <c r="A31" i="1"/>
  <c r="C31" i="1"/>
  <c r="S31" i="1"/>
  <c r="T31" i="1"/>
  <c r="U31" i="1"/>
  <c r="BW31" i="1"/>
  <c r="A32" i="1"/>
  <c r="C32" i="1"/>
  <c r="S32" i="1"/>
  <c r="T32" i="1"/>
  <c r="U32" i="1"/>
  <c r="BW32" i="1"/>
  <c r="A33" i="1"/>
  <c r="C33" i="1"/>
  <c r="S33" i="1"/>
  <c r="T33" i="1"/>
  <c r="U33" i="1"/>
  <c r="BW33" i="1"/>
  <c r="A34" i="1"/>
  <c r="C34" i="1"/>
  <c r="S34" i="1"/>
  <c r="T34" i="1"/>
  <c r="U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  <c r="A3761" i="1"/>
  <c r="C3761" i="1"/>
  <c r="S3761" i="1"/>
  <c r="T3761" i="1"/>
  <c r="U3761" i="1"/>
  <c r="BB3761" i="1"/>
  <c r="BW3761" i="1"/>
  <c r="A3762" i="1"/>
  <c r="C3762" i="1"/>
  <c r="S3762" i="1"/>
  <c r="T3762" i="1"/>
  <c r="U3762" i="1"/>
  <c r="BB3762" i="1"/>
  <c r="BW3762" i="1"/>
  <c r="A3763" i="1"/>
  <c r="C3763" i="1"/>
  <c r="S3763" i="1"/>
  <c r="T3763" i="1"/>
  <c r="U3763" i="1"/>
  <c r="BB3763" i="1"/>
  <c r="BW3763" i="1"/>
  <c r="A3764" i="1"/>
  <c r="C3764" i="1"/>
  <c r="S3764" i="1"/>
  <c r="T3764" i="1"/>
  <c r="U3764" i="1"/>
  <c r="BB3764" i="1"/>
  <c r="BW3764" i="1"/>
  <c r="A3765" i="1"/>
  <c r="C3765" i="1"/>
  <c r="S3765" i="1"/>
  <c r="T3765" i="1"/>
  <c r="U3765" i="1"/>
  <c r="BB3765" i="1"/>
  <c r="BW3765" i="1"/>
  <c r="A3766" i="1"/>
  <c r="C3766" i="1"/>
  <c r="S3766" i="1"/>
  <c r="T3766" i="1"/>
  <c r="U3766" i="1"/>
  <c r="BB3766" i="1"/>
  <c r="BW3766" i="1"/>
  <c r="A3767" i="1"/>
  <c r="C3767" i="1"/>
  <c r="S3767" i="1"/>
  <c r="T3767" i="1"/>
  <c r="U3767" i="1"/>
  <c r="BB3767" i="1"/>
  <c r="BW3767" i="1"/>
  <c r="A3768" i="1"/>
  <c r="C3768" i="1"/>
  <c r="S3768" i="1"/>
  <c r="T3768" i="1"/>
  <c r="U3768" i="1"/>
  <c r="BB3768" i="1"/>
  <c r="BW3768" i="1"/>
  <c r="A3769" i="1"/>
  <c r="C3769" i="1"/>
  <c r="S3769" i="1"/>
  <c r="T3769" i="1"/>
  <c r="U3769" i="1"/>
  <c r="BB3769" i="1"/>
  <c r="BW3769" i="1"/>
  <c r="A3770" i="1"/>
  <c r="C3770" i="1"/>
  <c r="S3770" i="1"/>
  <c r="T3770" i="1"/>
  <c r="U3770" i="1"/>
  <c r="BB3770" i="1"/>
  <c r="BW3770" i="1"/>
  <c r="A3771" i="1"/>
  <c r="C3771" i="1"/>
  <c r="S3771" i="1"/>
  <c r="T3771" i="1"/>
  <c r="U3771" i="1"/>
  <c r="BB3771" i="1"/>
  <c r="BW3771" i="1"/>
  <c r="A3772" i="1"/>
  <c r="C3772" i="1"/>
  <c r="S3772" i="1"/>
  <c r="T3772" i="1"/>
  <c r="U3772" i="1"/>
  <c r="BB3772" i="1"/>
  <c r="BW3772" i="1"/>
  <c r="A3773" i="1"/>
  <c r="C3773" i="1"/>
  <c r="S3773" i="1"/>
  <c r="T3773" i="1"/>
  <c r="U3773" i="1"/>
  <c r="BB3773" i="1"/>
  <c r="BW3773" i="1"/>
  <c r="A3774" i="1"/>
  <c r="C3774" i="1"/>
  <c r="S3774" i="1"/>
  <c r="T3774" i="1"/>
  <c r="U3774" i="1"/>
  <c r="BB3774" i="1"/>
  <c r="BW3774" i="1"/>
  <c r="A3775" i="1"/>
  <c r="C3775" i="1"/>
  <c r="S3775" i="1"/>
  <c r="T3775" i="1"/>
  <c r="U3775" i="1"/>
  <c r="BB3775" i="1"/>
  <c r="BW3775" i="1"/>
  <c r="A3776" i="1"/>
  <c r="C3776" i="1"/>
  <c r="S3776" i="1"/>
  <c r="T3776" i="1"/>
  <c r="U3776" i="1"/>
  <c r="BB3776" i="1"/>
  <c r="BW3776" i="1"/>
  <c r="A3777" i="1"/>
  <c r="C3777" i="1"/>
  <c r="S3777" i="1"/>
  <c r="T3777" i="1"/>
  <c r="U3777" i="1"/>
  <c r="BB3777" i="1"/>
  <c r="BW3777" i="1"/>
  <c r="A3778" i="1"/>
  <c r="C3778" i="1"/>
  <c r="S3778" i="1"/>
  <c r="T3778" i="1"/>
  <c r="U3778" i="1"/>
  <c r="BB3778" i="1"/>
  <c r="BW3778" i="1"/>
  <c r="A3779" i="1"/>
  <c r="C3779" i="1"/>
  <c r="S3779" i="1"/>
  <c r="T3779" i="1"/>
  <c r="U3779" i="1"/>
  <c r="BB3779" i="1"/>
  <c r="BW3779" i="1"/>
  <c r="A3780" i="1"/>
  <c r="C3780" i="1"/>
  <c r="S3780" i="1"/>
  <c r="T3780" i="1"/>
  <c r="U3780" i="1"/>
  <c r="BB3780" i="1"/>
  <c r="BW3780" i="1"/>
  <c r="A3781" i="1"/>
  <c r="C3781" i="1"/>
  <c r="S3781" i="1"/>
  <c r="T3781" i="1"/>
  <c r="U3781" i="1"/>
  <c r="BB3781" i="1"/>
  <c r="BW3781" i="1"/>
  <c r="A3782" i="1"/>
  <c r="C3782" i="1"/>
  <c r="S3782" i="1"/>
  <c r="T3782" i="1"/>
  <c r="U3782" i="1"/>
  <c r="BB3782" i="1"/>
  <c r="BW3782" i="1"/>
  <c r="A3783" i="1"/>
  <c r="C3783" i="1"/>
  <c r="S3783" i="1"/>
  <c r="T3783" i="1"/>
  <c r="U3783" i="1"/>
  <c r="BB3783" i="1"/>
  <c r="BW3783" i="1"/>
  <c r="A3784" i="1"/>
  <c r="C3784" i="1"/>
  <c r="S3784" i="1"/>
  <c r="T3784" i="1"/>
  <c r="U3784" i="1"/>
  <c r="BB3784" i="1"/>
  <c r="BW3784" i="1"/>
  <c r="A3785" i="1"/>
  <c r="C3785" i="1"/>
  <c r="S3785" i="1"/>
  <c r="T3785" i="1"/>
  <c r="U3785" i="1"/>
  <c r="BB3785" i="1"/>
  <c r="BW3785" i="1"/>
  <c r="A3786" i="1"/>
  <c r="C3786" i="1"/>
  <c r="S3786" i="1"/>
  <c r="T3786" i="1"/>
  <c r="U3786" i="1"/>
  <c r="BB3786" i="1"/>
  <c r="BW3786" i="1"/>
  <c r="A3787" i="1"/>
  <c r="C3787" i="1"/>
  <c r="S3787" i="1"/>
  <c r="T3787" i="1"/>
  <c r="U3787" i="1"/>
  <c r="BB3787" i="1"/>
  <c r="BW3787" i="1"/>
  <c r="A3788" i="1"/>
  <c r="C3788" i="1"/>
  <c r="S3788" i="1"/>
  <c r="T3788" i="1"/>
  <c r="U3788" i="1"/>
  <c r="BB3788" i="1"/>
  <c r="BW3788" i="1"/>
  <c r="A3789" i="1"/>
  <c r="C3789" i="1"/>
  <c r="S3789" i="1"/>
  <c r="T3789" i="1"/>
  <c r="U3789" i="1"/>
  <c r="BB3789" i="1"/>
  <c r="BW3789" i="1"/>
  <c r="A3790" i="1"/>
  <c r="C3790" i="1"/>
  <c r="S3790" i="1"/>
  <c r="T3790" i="1"/>
  <c r="U3790" i="1"/>
  <c r="BB3790" i="1"/>
  <c r="BW3790" i="1"/>
  <c r="A3791" i="1"/>
  <c r="C3791" i="1"/>
  <c r="S3791" i="1"/>
  <c r="T3791" i="1"/>
  <c r="U3791" i="1"/>
  <c r="BB3791" i="1"/>
  <c r="BW3791" i="1"/>
  <c r="A3792" i="1"/>
  <c r="C3792" i="1"/>
  <c r="S3792" i="1"/>
  <c r="T3792" i="1"/>
  <c r="U3792" i="1"/>
  <c r="BB3792" i="1"/>
  <c r="BW3792" i="1"/>
  <c r="A3793" i="1"/>
  <c r="C3793" i="1"/>
  <c r="S3793" i="1"/>
  <c r="T3793" i="1"/>
  <c r="U3793" i="1"/>
  <c r="BB3793" i="1"/>
  <c r="BW3793" i="1"/>
  <c r="A3794" i="1"/>
  <c r="C3794" i="1"/>
  <c r="S3794" i="1"/>
  <c r="T3794" i="1"/>
  <c r="U3794" i="1"/>
  <c r="BB3794" i="1"/>
  <c r="BW3794" i="1"/>
  <c r="A3795" i="1"/>
  <c r="C3795" i="1"/>
  <c r="S3795" i="1"/>
  <c r="T3795" i="1"/>
  <c r="U3795" i="1"/>
  <c r="BB3795" i="1"/>
  <c r="BW3795" i="1"/>
  <c r="A3796" i="1"/>
  <c r="C3796" i="1"/>
  <c r="S3796" i="1"/>
  <c r="T3796" i="1"/>
  <c r="U3796" i="1"/>
  <c r="BB3796" i="1"/>
  <c r="BW3796" i="1"/>
  <c r="A3797" i="1"/>
  <c r="C3797" i="1"/>
  <c r="S3797" i="1"/>
  <c r="T3797" i="1"/>
  <c r="U3797" i="1"/>
  <c r="BB3797" i="1"/>
  <c r="BW3797" i="1"/>
  <c r="A3798" i="1"/>
  <c r="C3798" i="1"/>
  <c r="S3798" i="1"/>
  <c r="T3798" i="1"/>
  <c r="U3798" i="1"/>
  <c r="BB3798" i="1"/>
  <c r="BW3798" i="1"/>
  <c r="A3799" i="1"/>
  <c r="C3799" i="1"/>
  <c r="S3799" i="1"/>
  <c r="T3799" i="1"/>
  <c r="U3799" i="1"/>
  <c r="BB3799" i="1"/>
  <c r="BW3799" i="1"/>
  <c r="A3800" i="1"/>
  <c r="C3800" i="1"/>
  <c r="S3800" i="1"/>
  <c r="T3800" i="1"/>
  <c r="U3800" i="1"/>
  <c r="BB3800" i="1"/>
  <c r="BW3800" i="1"/>
  <c r="A3801" i="1"/>
  <c r="C3801" i="1"/>
  <c r="S3801" i="1"/>
  <c r="T3801" i="1"/>
  <c r="U3801" i="1"/>
  <c r="BB3801" i="1"/>
  <c r="BW3801" i="1"/>
  <c r="A3802" i="1"/>
  <c r="C3802" i="1"/>
  <c r="S3802" i="1"/>
  <c r="T3802" i="1"/>
  <c r="U3802" i="1"/>
  <c r="BB3802" i="1"/>
  <c r="BW3802" i="1"/>
  <c r="A3803" i="1"/>
  <c r="C3803" i="1"/>
  <c r="S3803" i="1"/>
  <c r="T3803" i="1"/>
  <c r="U3803" i="1"/>
  <c r="BB3803" i="1"/>
  <c r="BW3803" i="1"/>
  <c r="A3804" i="1"/>
  <c r="C3804" i="1"/>
  <c r="S3804" i="1"/>
  <c r="T3804" i="1"/>
  <c r="U3804" i="1"/>
  <c r="BB3804" i="1"/>
  <c r="BW3804" i="1"/>
  <c r="A3805" i="1"/>
  <c r="C3805" i="1"/>
  <c r="S3805" i="1"/>
  <c r="T3805" i="1"/>
  <c r="U3805" i="1"/>
  <c r="BB3805" i="1"/>
  <c r="BW3805" i="1"/>
  <c r="A3806" i="1"/>
  <c r="C3806" i="1"/>
  <c r="S3806" i="1"/>
  <c r="T3806" i="1"/>
  <c r="U3806" i="1"/>
  <c r="BB3806" i="1"/>
  <c r="BW3806" i="1"/>
  <c r="A3807" i="1"/>
  <c r="C3807" i="1"/>
  <c r="S3807" i="1"/>
  <c r="T3807" i="1"/>
  <c r="U3807" i="1"/>
  <c r="BB3807" i="1"/>
  <c r="BW3807" i="1"/>
  <c r="A3808" i="1"/>
  <c r="C3808" i="1"/>
  <c r="S3808" i="1"/>
  <c r="T3808" i="1"/>
  <c r="U3808" i="1"/>
  <c r="BB3808" i="1"/>
  <c r="BW3808" i="1"/>
  <c r="A3809" i="1"/>
  <c r="C3809" i="1"/>
  <c r="S3809" i="1"/>
  <c r="T3809" i="1"/>
  <c r="U3809" i="1"/>
  <c r="BB3809" i="1"/>
  <c r="BW3809" i="1"/>
  <c r="A3810" i="1"/>
  <c r="C3810" i="1"/>
  <c r="S3810" i="1"/>
  <c r="T3810" i="1"/>
  <c r="U3810" i="1"/>
  <c r="BB3810" i="1"/>
  <c r="BW3810" i="1"/>
  <c r="A3811" i="1"/>
  <c r="C3811" i="1"/>
  <c r="S3811" i="1"/>
  <c r="T3811" i="1"/>
  <c r="U3811" i="1"/>
  <c r="BB3811" i="1"/>
  <c r="BW3811" i="1"/>
  <c r="A3812" i="1"/>
  <c r="C3812" i="1"/>
  <c r="S3812" i="1"/>
  <c r="T3812" i="1"/>
  <c r="U3812" i="1"/>
  <c r="BB3812" i="1"/>
  <c r="BW3812" i="1"/>
  <c r="A3813" i="1"/>
  <c r="C3813" i="1"/>
  <c r="S3813" i="1"/>
  <c r="T3813" i="1"/>
  <c r="U3813" i="1"/>
  <c r="BB3813" i="1"/>
  <c r="BW3813" i="1"/>
  <c r="A3814" i="1"/>
  <c r="C3814" i="1"/>
  <c r="S3814" i="1"/>
  <c r="T3814" i="1"/>
  <c r="U3814" i="1"/>
  <c r="BB3814" i="1"/>
  <c r="BW3814" i="1"/>
  <c r="A3815" i="1"/>
  <c r="C3815" i="1"/>
  <c r="S3815" i="1"/>
  <c r="T3815" i="1"/>
  <c r="U3815" i="1"/>
  <c r="BB3815" i="1"/>
  <c r="BW3815" i="1"/>
  <c r="A3816" i="1"/>
  <c r="C3816" i="1"/>
  <c r="S3816" i="1"/>
  <c r="T3816" i="1"/>
  <c r="U3816" i="1"/>
  <c r="BB3816" i="1"/>
  <c r="BW3816" i="1"/>
  <c r="A3817" i="1"/>
  <c r="C3817" i="1"/>
  <c r="S3817" i="1"/>
  <c r="T3817" i="1"/>
  <c r="U3817" i="1"/>
  <c r="BB3817" i="1"/>
  <c r="BW3817" i="1"/>
  <c r="A3818" i="1"/>
  <c r="C3818" i="1"/>
  <c r="S3818" i="1"/>
  <c r="T3818" i="1"/>
  <c r="U3818" i="1"/>
  <c r="BB3818" i="1"/>
  <c r="BW3818" i="1"/>
  <c r="A3819" i="1"/>
  <c r="C3819" i="1"/>
  <c r="S3819" i="1"/>
  <c r="T3819" i="1"/>
  <c r="U3819" i="1"/>
  <c r="BB3819" i="1"/>
  <c r="BW3819" i="1"/>
  <c r="A3820" i="1"/>
  <c r="C3820" i="1"/>
  <c r="S3820" i="1"/>
  <c r="T3820" i="1"/>
  <c r="U3820" i="1"/>
  <c r="BB3820" i="1"/>
  <c r="BW3820" i="1"/>
  <c r="A3821" i="1"/>
  <c r="C3821" i="1"/>
  <c r="S3821" i="1"/>
  <c r="T3821" i="1"/>
  <c r="U3821" i="1"/>
  <c r="BB3821" i="1"/>
  <c r="BW3821" i="1"/>
  <c r="A3822" i="1"/>
  <c r="C3822" i="1"/>
  <c r="S3822" i="1"/>
  <c r="T3822" i="1"/>
  <c r="U3822" i="1"/>
  <c r="BB3822" i="1"/>
  <c r="BW3822" i="1"/>
  <c r="A3823" i="1"/>
  <c r="C3823" i="1"/>
  <c r="S3823" i="1"/>
  <c r="T3823" i="1"/>
  <c r="U3823" i="1"/>
  <c r="BB3823" i="1"/>
  <c r="BW3823" i="1"/>
  <c r="A3824" i="1"/>
  <c r="C3824" i="1"/>
  <c r="S3824" i="1"/>
  <c r="T3824" i="1"/>
  <c r="U3824" i="1"/>
  <c r="BB3824" i="1"/>
  <c r="BW3824" i="1"/>
  <c r="A3825" i="1"/>
  <c r="C3825" i="1"/>
  <c r="S3825" i="1"/>
  <c r="T3825" i="1"/>
  <c r="U3825" i="1"/>
  <c r="BB3825" i="1"/>
  <c r="BW3825" i="1"/>
  <c r="A3826" i="1"/>
  <c r="C3826" i="1"/>
  <c r="S3826" i="1"/>
  <c r="T3826" i="1"/>
  <c r="U3826" i="1"/>
  <c r="BB3826" i="1"/>
  <c r="BW3826" i="1"/>
  <c r="A3827" i="1"/>
  <c r="C3827" i="1"/>
  <c r="S3827" i="1"/>
  <c r="T3827" i="1"/>
  <c r="U3827" i="1"/>
  <c r="BB3827" i="1"/>
  <c r="BW3827" i="1"/>
  <c r="A3828" i="1"/>
  <c r="C3828" i="1"/>
  <c r="S3828" i="1"/>
  <c r="T3828" i="1"/>
  <c r="U3828" i="1"/>
  <c r="BB3828" i="1"/>
  <c r="BW3828" i="1"/>
  <c r="A3829" i="1"/>
  <c r="C3829" i="1"/>
  <c r="S3829" i="1"/>
  <c r="T3829" i="1"/>
  <c r="U3829" i="1"/>
  <c r="BB3829" i="1"/>
  <c r="BW3829" i="1"/>
  <c r="A3830" i="1"/>
  <c r="C3830" i="1"/>
  <c r="S3830" i="1"/>
  <c r="T3830" i="1"/>
  <c r="U3830" i="1"/>
  <c r="BB3830" i="1"/>
  <c r="BW3830" i="1"/>
  <c r="A3831" i="1"/>
  <c r="C3831" i="1"/>
  <c r="S3831" i="1"/>
  <c r="T3831" i="1"/>
  <c r="U3831" i="1"/>
  <c r="BB3831" i="1"/>
  <c r="BW3831" i="1"/>
  <c r="A3832" i="1"/>
  <c r="C3832" i="1"/>
  <c r="S3832" i="1"/>
  <c r="T3832" i="1"/>
  <c r="U3832" i="1"/>
  <c r="BB3832" i="1"/>
  <c r="BW3832" i="1"/>
  <c r="A3833" i="1"/>
  <c r="C3833" i="1"/>
  <c r="S3833" i="1"/>
  <c r="T3833" i="1"/>
  <c r="U3833" i="1"/>
  <c r="BB3833" i="1"/>
  <c r="BW3833" i="1"/>
  <c r="A3834" i="1"/>
  <c r="C3834" i="1"/>
  <c r="S3834" i="1"/>
  <c r="T3834" i="1"/>
  <c r="U3834" i="1"/>
  <c r="BB3834" i="1"/>
  <c r="BW3834" i="1"/>
  <c r="A3835" i="1"/>
  <c r="C3835" i="1"/>
  <c r="S3835" i="1"/>
  <c r="T3835" i="1"/>
  <c r="U3835" i="1"/>
  <c r="BB3835" i="1"/>
  <c r="BW3835" i="1"/>
  <c r="A3836" i="1"/>
  <c r="C3836" i="1"/>
  <c r="S3836" i="1"/>
  <c r="T3836" i="1"/>
  <c r="U3836" i="1"/>
  <c r="BB3836" i="1"/>
  <c r="BW3836" i="1"/>
  <c r="A3837" i="1"/>
  <c r="C3837" i="1"/>
  <c r="S3837" i="1"/>
  <c r="T3837" i="1"/>
  <c r="U3837" i="1"/>
  <c r="BB3837" i="1"/>
  <c r="BW3837" i="1"/>
  <c r="A3838" i="1"/>
  <c r="C3838" i="1"/>
  <c r="S3838" i="1"/>
  <c r="T3838" i="1"/>
  <c r="U3838" i="1"/>
  <c r="BB3838" i="1"/>
  <c r="BW3838" i="1"/>
  <c r="A3839" i="1"/>
  <c r="C3839" i="1"/>
  <c r="S3839" i="1"/>
  <c r="T3839" i="1"/>
  <c r="U3839" i="1"/>
  <c r="BB3839" i="1"/>
  <c r="BW3839" i="1"/>
  <c r="A3840" i="1"/>
  <c r="C3840" i="1"/>
  <c r="S3840" i="1"/>
  <c r="T3840" i="1"/>
  <c r="U3840" i="1"/>
  <c r="BB3840" i="1"/>
  <c r="BW3840" i="1"/>
  <c r="A3841" i="1"/>
  <c r="C3841" i="1"/>
  <c r="S3841" i="1"/>
  <c r="T3841" i="1"/>
  <c r="U3841" i="1"/>
  <c r="BB3841" i="1"/>
  <c r="BW3841" i="1"/>
  <c r="A3842" i="1"/>
  <c r="C3842" i="1"/>
  <c r="S3842" i="1"/>
  <c r="T3842" i="1"/>
  <c r="U3842" i="1"/>
  <c r="BB3842" i="1"/>
  <c r="BW3842" i="1"/>
  <c r="A3843" i="1"/>
  <c r="C3843" i="1"/>
  <c r="S3843" i="1"/>
  <c r="T3843" i="1"/>
  <c r="U3843" i="1"/>
  <c r="BB3843" i="1"/>
  <c r="BW3843" i="1"/>
  <c r="A3844" i="1"/>
  <c r="C3844" i="1"/>
  <c r="S3844" i="1"/>
  <c r="T3844" i="1"/>
  <c r="U3844" i="1"/>
  <c r="BB3844" i="1"/>
  <c r="BW3844" i="1"/>
  <c r="A3845" i="1"/>
  <c r="C3845" i="1"/>
  <c r="S3845" i="1"/>
  <c r="T3845" i="1"/>
  <c r="U3845" i="1"/>
  <c r="BB3845" i="1"/>
  <c r="BW3845" i="1"/>
  <c r="A3846" i="1"/>
  <c r="C3846" i="1"/>
  <c r="S3846" i="1"/>
  <c r="T3846" i="1"/>
  <c r="U3846" i="1"/>
  <c r="BB3846" i="1"/>
  <c r="BW3846" i="1"/>
  <c r="A3847" i="1"/>
  <c r="C3847" i="1"/>
  <c r="S3847" i="1"/>
  <c r="T3847" i="1"/>
  <c r="U3847" i="1"/>
  <c r="BB3847" i="1"/>
  <c r="BW3847" i="1"/>
  <c r="A3848" i="1"/>
  <c r="C3848" i="1"/>
  <c r="S3848" i="1"/>
  <c r="T3848" i="1"/>
  <c r="U3848" i="1"/>
  <c r="BB3848" i="1"/>
  <c r="BW3848" i="1"/>
  <c r="A3849" i="1"/>
  <c r="C3849" i="1"/>
  <c r="S3849" i="1"/>
  <c r="T3849" i="1"/>
  <c r="U3849" i="1"/>
  <c r="BB3849" i="1"/>
  <c r="BW3849" i="1"/>
  <c r="A3850" i="1"/>
  <c r="C3850" i="1"/>
  <c r="S3850" i="1"/>
  <c r="T3850" i="1"/>
  <c r="U3850" i="1"/>
  <c r="BB3850" i="1"/>
  <c r="BW3850" i="1"/>
  <c r="A3851" i="1"/>
  <c r="C3851" i="1"/>
  <c r="S3851" i="1"/>
  <c r="T3851" i="1"/>
  <c r="U3851" i="1"/>
  <c r="BB3851" i="1"/>
  <c r="BW3851" i="1"/>
  <c r="A3852" i="1"/>
  <c r="C3852" i="1"/>
  <c r="S3852" i="1"/>
  <c r="T3852" i="1"/>
  <c r="U3852" i="1"/>
  <c r="BB3852" i="1"/>
  <c r="BW3852" i="1"/>
  <c r="A3853" i="1"/>
  <c r="C3853" i="1"/>
  <c r="S3853" i="1"/>
  <c r="T3853" i="1"/>
  <c r="U3853" i="1"/>
  <c r="BB3853" i="1"/>
  <c r="BW3853" i="1"/>
  <c r="A3854" i="1"/>
  <c r="C3854" i="1"/>
  <c r="S3854" i="1"/>
  <c r="T3854" i="1"/>
  <c r="U3854" i="1"/>
  <c r="BB3854" i="1"/>
  <c r="BW3854" i="1"/>
  <c r="A3855" i="1"/>
  <c r="C3855" i="1"/>
  <c r="S3855" i="1"/>
  <c r="T3855" i="1"/>
  <c r="U3855" i="1"/>
  <c r="BB3855" i="1"/>
  <c r="BW3855" i="1"/>
  <c r="A3856" i="1"/>
  <c r="C3856" i="1"/>
  <c r="S3856" i="1"/>
  <c r="T3856" i="1"/>
  <c r="U3856" i="1"/>
  <c r="BB3856" i="1"/>
  <c r="BW3856" i="1"/>
  <c r="A3857" i="1"/>
  <c r="C3857" i="1"/>
  <c r="S3857" i="1"/>
  <c r="T3857" i="1"/>
  <c r="U3857" i="1"/>
  <c r="BB3857" i="1"/>
  <c r="BW3857" i="1"/>
  <c r="A3858" i="1"/>
  <c r="C3858" i="1"/>
  <c r="S3858" i="1"/>
  <c r="T3858" i="1"/>
  <c r="U3858" i="1"/>
  <c r="BB3858" i="1"/>
  <c r="BW3858" i="1"/>
  <c r="A3859" i="1"/>
  <c r="C3859" i="1"/>
  <c r="S3859" i="1"/>
  <c r="T3859" i="1"/>
  <c r="U3859" i="1"/>
  <c r="BB3859" i="1"/>
  <c r="BW3859" i="1"/>
  <c r="A3860" i="1"/>
  <c r="C3860" i="1"/>
  <c r="S3860" i="1"/>
  <c r="T3860" i="1"/>
  <c r="U3860" i="1"/>
  <c r="BB3860" i="1"/>
  <c r="BW3860" i="1"/>
  <c r="A3861" i="1"/>
  <c r="C3861" i="1"/>
  <c r="S3861" i="1"/>
  <c r="T3861" i="1"/>
  <c r="U3861" i="1"/>
  <c r="BB3861" i="1"/>
  <c r="BW3861" i="1"/>
  <c r="A3862" i="1"/>
  <c r="C3862" i="1"/>
  <c r="S3862" i="1"/>
  <c r="T3862" i="1"/>
  <c r="U3862" i="1"/>
  <c r="BB3862" i="1"/>
  <c r="BW3862" i="1"/>
  <c r="A3863" i="1"/>
  <c r="C3863" i="1"/>
  <c r="S3863" i="1"/>
  <c r="T3863" i="1"/>
  <c r="U3863" i="1"/>
  <c r="BB3863" i="1"/>
  <c r="BW3863" i="1"/>
  <c r="A3864" i="1"/>
  <c r="C3864" i="1"/>
  <c r="S3864" i="1"/>
  <c r="T3864" i="1"/>
  <c r="U3864" i="1"/>
  <c r="BB3864" i="1"/>
  <c r="BW3864" i="1"/>
  <c r="A3865" i="1"/>
  <c r="C3865" i="1"/>
  <c r="S3865" i="1"/>
  <c r="T3865" i="1"/>
  <c r="U3865" i="1"/>
  <c r="BB3865" i="1"/>
  <c r="BW3865" i="1"/>
  <c r="A3866" i="1"/>
  <c r="C3866" i="1"/>
  <c r="S3866" i="1"/>
  <c r="T3866" i="1"/>
  <c r="U3866" i="1"/>
  <c r="BB3866" i="1"/>
  <c r="BW3866" i="1"/>
  <c r="A3867" i="1"/>
  <c r="C3867" i="1"/>
  <c r="S3867" i="1"/>
  <c r="T3867" i="1"/>
  <c r="U3867" i="1"/>
  <c r="BB3867" i="1"/>
  <c r="BW3867" i="1"/>
  <c r="A3868" i="1"/>
  <c r="C3868" i="1"/>
  <c r="S3868" i="1"/>
  <c r="T3868" i="1"/>
  <c r="U3868" i="1"/>
  <c r="BB3868" i="1"/>
  <c r="BW3868" i="1"/>
  <c r="A3869" i="1"/>
  <c r="C3869" i="1"/>
  <c r="S3869" i="1"/>
  <c r="T3869" i="1"/>
  <c r="U3869" i="1"/>
  <c r="BB3869" i="1"/>
  <c r="BW3869" i="1"/>
  <c r="A3870" i="1"/>
  <c r="C3870" i="1"/>
  <c r="S3870" i="1"/>
  <c r="T3870" i="1"/>
  <c r="U3870" i="1"/>
  <c r="BB3870" i="1"/>
  <c r="BW3870" i="1"/>
  <c r="A3871" i="1"/>
  <c r="C3871" i="1"/>
  <c r="S3871" i="1"/>
  <c r="T3871" i="1"/>
  <c r="U3871" i="1"/>
  <c r="BB3871" i="1"/>
  <c r="BW3871" i="1"/>
  <c r="A3872" i="1"/>
  <c r="C3872" i="1"/>
  <c r="S3872" i="1"/>
  <c r="T3872" i="1"/>
  <c r="U3872" i="1"/>
  <c r="BB3872" i="1"/>
  <c r="BW3872" i="1"/>
  <c r="A3873" i="1"/>
  <c r="C3873" i="1"/>
  <c r="S3873" i="1"/>
  <c r="T3873" i="1"/>
  <c r="U3873" i="1"/>
  <c r="BB3873" i="1"/>
  <c r="BW3873" i="1"/>
  <c r="A3874" i="1"/>
  <c r="C3874" i="1"/>
  <c r="S3874" i="1"/>
  <c r="T3874" i="1"/>
  <c r="U3874" i="1"/>
  <c r="BB3874" i="1"/>
  <c r="BW3874" i="1"/>
  <c r="A3875" i="1"/>
  <c r="C3875" i="1"/>
  <c r="S3875" i="1"/>
  <c r="T3875" i="1"/>
  <c r="U3875" i="1"/>
  <c r="BB3875" i="1"/>
  <c r="BW3875" i="1"/>
  <c r="A3876" i="1"/>
  <c r="C3876" i="1"/>
  <c r="S3876" i="1"/>
  <c r="T3876" i="1"/>
  <c r="U3876" i="1"/>
  <c r="BB3876" i="1"/>
  <c r="BW3876" i="1"/>
  <c r="A3877" i="1"/>
  <c r="C3877" i="1"/>
  <c r="S3877" i="1"/>
  <c r="T3877" i="1"/>
  <c r="U3877" i="1"/>
  <c r="BB3877" i="1"/>
  <c r="BW3877" i="1"/>
  <c r="A3878" i="1"/>
  <c r="C3878" i="1"/>
  <c r="S3878" i="1"/>
  <c r="T3878" i="1"/>
  <c r="U3878" i="1"/>
  <c r="BB3878" i="1"/>
  <c r="BW3878" i="1"/>
  <c r="A3879" i="1"/>
  <c r="C3879" i="1"/>
  <c r="S3879" i="1"/>
  <c r="T3879" i="1"/>
  <c r="U3879" i="1"/>
  <c r="BB3879" i="1"/>
  <c r="BW3879" i="1"/>
  <c r="A3880" i="1"/>
  <c r="C3880" i="1"/>
  <c r="S3880" i="1"/>
  <c r="T3880" i="1"/>
  <c r="U3880" i="1"/>
  <c r="BB3880" i="1"/>
  <c r="BW3880" i="1"/>
  <c r="A3881" i="1"/>
  <c r="C3881" i="1"/>
  <c r="S3881" i="1"/>
  <c r="T3881" i="1"/>
  <c r="U3881" i="1"/>
  <c r="BB3881" i="1"/>
  <c r="BW3881" i="1"/>
  <c r="A3882" i="1"/>
  <c r="C3882" i="1"/>
  <c r="S3882" i="1"/>
  <c r="T3882" i="1"/>
  <c r="U3882" i="1"/>
  <c r="BB3882" i="1"/>
  <c r="BW3882" i="1"/>
  <c r="A3883" i="1"/>
  <c r="C3883" i="1"/>
  <c r="S3883" i="1"/>
  <c r="T3883" i="1"/>
  <c r="U3883" i="1"/>
  <c r="BB3883" i="1"/>
  <c r="BW3883" i="1"/>
  <c r="A3884" i="1"/>
  <c r="C3884" i="1"/>
  <c r="S3884" i="1"/>
  <c r="T3884" i="1"/>
  <c r="U3884" i="1"/>
  <c r="BB3884" i="1"/>
  <c r="BW3884" i="1"/>
  <c r="A3885" i="1"/>
  <c r="C3885" i="1"/>
  <c r="S3885" i="1"/>
  <c r="T3885" i="1"/>
  <c r="U3885" i="1"/>
  <c r="BB3885" i="1"/>
  <c r="BW3885" i="1"/>
  <c r="A3886" i="1"/>
  <c r="C3886" i="1"/>
  <c r="S3886" i="1"/>
  <c r="T3886" i="1"/>
  <c r="U3886" i="1"/>
  <c r="BB3886" i="1"/>
  <c r="BW3886" i="1"/>
  <c r="A3887" i="1"/>
  <c r="C3887" i="1"/>
  <c r="S3887" i="1"/>
  <c r="T3887" i="1"/>
  <c r="U3887" i="1"/>
  <c r="BB3887" i="1"/>
  <c r="BW3887" i="1"/>
  <c r="A3888" i="1"/>
  <c r="C3888" i="1"/>
  <c r="S3888" i="1"/>
  <c r="T3888" i="1"/>
  <c r="U3888" i="1"/>
  <c r="BB3888" i="1"/>
  <c r="BW3888" i="1"/>
  <c r="A3889" i="1"/>
  <c r="C3889" i="1"/>
  <c r="S3889" i="1"/>
  <c r="T3889" i="1"/>
  <c r="U3889" i="1"/>
  <c r="BB3889" i="1"/>
  <c r="BW3889" i="1"/>
  <c r="A3890" i="1"/>
  <c r="C3890" i="1"/>
  <c r="S3890" i="1"/>
  <c r="T3890" i="1"/>
  <c r="U3890" i="1"/>
  <c r="BB3890" i="1"/>
  <c r="BW3890" i="1"/>
  <c r="A3891" i="1"/>
  <c r="C3891" i="1"/>
  <c r="S3891" i="1"/>
  <c r="T3891" i="1"/>
  <c r="U3891" i="1"/>
  <c r="BB3891" i="1"/>
  <c r="BW3891" i="1"/>
  <c r="A3892" i="1"/>
  <c r="C3892" i="1"/>
  <c r="S3892" i="1"/>
  <c r="T3892" i="1"/>
  <c r="U3892" i="1"/>
  <c r="BB3892" i="1"/>
  <c r="BW3892" i="1"/>
  <c r="A3893" i="1"/>
  <c r="C3893" i="1"/>
  <c r="S3893" i="1"/>
  <c r="T3893" i="1"/>
  <c r="U3893" i="1"/>
  <c r="BB3893" i="1"/>
  <c r="BW3893" i="1"/>
  <c r="A3894" i="1"/>
  <c r="C3894" i="1"/>
  <c r="S3894" i="1"/>
  <c r="T3894" i="1"/>
  <c r="U3894" i="1"/>
  <c r="BB3894" i="1"/>
  <c r="BW3894" i="1"/>
  <c r="A3895" i="1"/>
  <c r="C3895" i="1"/>
  <c r="S3895" i="1"/>
  <c r="T3895" i="1"/>
  <c r="U3895" i="1"/>
  <c r="BB3895" i="1"/>
  <c r="BW3895" i="1"/>
  <c r="A3896" i="1"/>
  <c r="C3896" i="1"/>
  <c r="S3896" i="1"/>
  <c r="T3896" i="1"/>
  <c r="U3896" i="1"/>
  <c r="BB3896" i="1"/>
  <c r="BW3896" i="1"/>
  <c r="A3897" i="1"/>
  <c r="C3897" i="1"/>
  <c r="S3897" i="1"/>
  <c r="T3897" i="1"/>
  <c r="U3897" i="1"/>
  <c r="BB3897" i="1"/>
  <c r="BW3897" i="1"/>
  <c r="A3898" i="1"/>
  <c r="C3898" i="1"/>
  <c r="S3898" i="1"/>
  <c r="T3898" i="1"/>
  <c r="U3898" i="1"/>
  <c r="BB3898" i="1"/>
  <c r="BW3898" i="1"/>
  <c r="A3899" i="1"/>
  <c r="C3899" i="1"/>
  <c r="S3899" i="1"/>
  <c r="T3899" i="1"/>
  <c r="U3899" i="1"/>
  <c r="BB3899" i="1"/>
  <c r="BW3899" i="1"/>
  <c r="A3900" i="1"/>
  <c r="C3900" i="1"/>
  <c r="S3900" i="1"/>
  <c r="T3900" i="1"/>
  <c r="U3900" i="1"/>
  <c r="BB3900" i="1"/>
  <c r="BW3900" i="1"/>
  <c r="A3901" i="1"/>
  <c r="C3901" i="1"/>
  <c r="S3901" i="1"/>
  <c r="T3901" i="1"/>
  <c r="U3901" i="1"/>
  <c r="BB3901" i="1"/>
  <c r="BW3901" i="1"/>
  <c r="A3902" i="1"/>
  <c r="C3902" i="1"/>
  <c r="S3902" i="1"/>
  <c r="T3902" i="1"/>
  <c r="U3902" i="1"/>
  <c r="BB3902" i="1"/>
  <c r="BW3902" i="1"/>
  <c r="A3903" i="1"/>
  <c r="C3903" i="1"/>
  <c r="S3903" i="1"/>
  <c r="T3903" i="1"/>
  <c r="U3903" i="1"/>
  <c r="BB3903" i="1"/>
  <c r="BW3903" i="1"/>
  <c r="A3904" i="1"/>
  <c r="C3904" i="1"/>
  <c r="S3904" i="1"/>
  <c r="T3904" i="1"/>
  <c r="U3904" i="1"/>
  <c r="BB3904" i="1"/>
  <c r="BW3904" i="1"/>
  <c r="A3905" i="1"/>
  <c r="C3905" i="1"/>
  <c r="S3905" i="1"/>
  <c r="T3905" i="1"/>
  <c r="U3905" i="1"/>
  <c r="BB3905" i="1"/>
  <c r="BW3905" i="1"/>
  <c r="A3906" i="1"/>
  <c r="C3906" i="1"/>
  <c r="S3906" i="1"/>
  <c r="T3906" i="1"/>
  <c r="U3906" i="1"/>
  <c r="BB3906" i="1"/>
  <c r="BW3906" i="1"/>
  <c r="A3907" i="1"/>
  <c r="C3907" i="1"/>
  <c r="S3907" i="1"/>
  <c r="T3907" i="1"/>
  <c r="U3907" i="1"/>
  <c r="BB3907" i="1"/>
  <c r="BW3907" i="1"/>
  <c r="A3908" i="1"/>
  <c r="C3908" i="1"/>
  <c r="S3908" i="1"/>
  <c r="T3908" i="1"/>
  <c r="U3908" i="1"/>
  <c r="BB3908" i="1"/>
  <c r="BW3908" i="1"/>
  <c r="A3909" i="1"/>
  <c r="C3909" i="1"/>
  <c r="S3909" i="1"/>
  <c r="T3909" i="1"/>
  <c r="U3909" i="1"/>
  <c r="BB3909" i="1"/>
  <c r="BW3909" i="1"/>
  <c r="A3910" i="1"/>
  <c r="C3910" i="1"/>
  <c r="S3910" i="1"/>
  <c r="T3910" i="1"/>
  <c r="U3910" i="1"/>
  <c r="BB3910" i="1"/>
  <c r="BW3910" i="1"/>
  <c r="A3911" i="1"/>
  <c r="C3911" i="1"/>
  <c r="S3911" i="1"/>
  <c r="T3911" i="1"/>
  <c r="U3911" i="1"/>
  <c r="BB3911" i="1"/>
  <c r="BW3911" i="1"/>
  <c r="A3912" i="1"/>
  <c r="C3912" i="1"/>
  <c r="S3912" i="1"/>
  <c r="T3912" i="1"/>
  <c r="U3912" i="1"/>
  <c r="BB3912" i="1"/>
  <c r="BW3912" i="1"/>
  <c r="A3913" i="1"/>
  <c r="C3913" i="1"/>
  <c r="S3913" i="1"/>
  <c r="T3913" i="1"/>
  <c r="U3913" i="1"/>
  <c r="BB3913" i="1"/>
  <c r="BW3913" i="1"/>
  <c r="A3914" i="1"/>
  <c r="C3914" i="1"/>
  <c r="S3914" i="1"/>
  <c r="T3914" i="1"/>
  <c r="U3914" i="1"/>
  <c r="BB3914" i="1"/>
  <c r="BW3914" i="1"/>
  <c r="A3915" i="1"/>
  <c r="C3915" i="1"/>
  <c r="S3915" i="1"/>
  <c r="T3915" i="1"/>
  <c r="U3915" i="1"/>
  <c r="BB3915" i="1"/>
  <c r="BW3915" i="1"/>
  <c r="A3916" i="1"/>
  <c r="C3916" i="1"/>
  <c r="S3916" i="1"/>
  <c r="T3916" i="1"/>
  <c r="U3916" i="1"/>
  <c r="BB3916" i="1"/>
  <c r="BW3916" i="1"/>
  <c r="A3917" i="1"/>
  <c r="C3917" i="1"/>
  <c r="S3917" i="1"/>
  <c r="T3917" i="1"/>
  <c r="U3917" i="1"/>
  <c r="BB3917" i="1"/>
  <c r="BW3917" i="1"/>
  <c r="A3918" i="1"/>
  <c r="C3918" i="1"/>
  <c r="S3918" i="1"/>
  <c r="T3918" i="1"/>
  <c r="U3918" i="1"/>
  <c r="BB3918" i="1"/>
  <c r="BW3918" i="1"/>
  <c r="A3919" i="1"/>
  <c r="C3919" i="1"/>
  <c r="S3919" i="1"/>
  <c r="T3919" i="1"/>
  <c r="U3919" i="1"/>
  <c r="BB3919" i="1"/>
  <c r="BW3919" i="1"/>
  <c r="A3920" i="1"/>
  <c r="C3920" i="1"/>
  <c r="S3920" i="1"/>
  <c r="T3920" i="1"/>
  <c r="U3920" i="1"/>
  <c r="BB3920" i="1"/>
  <c r="BW3920" i="1"/>
  <c r="A3921" i="1"/>
  <c r="C3921" i="1"/>
  <c r="S3921" i="1"/>
  <c r="T3921" i="1"/>
  <c r="U3921" i="1"/>
  <c r="BB3921" i="1"/>
  <c r="BW3921" i="1"/>
  <c r="A3922" i="1"/>
  <c r="C3922" i="1"/>
  <c r="S3922" i="1"/>
  <c r="T3922" i="1"/>
  <c r="U3922" i="1"/>
  <c r="BB3922" i="1"/>
  <c r="BW3922" i="1"/>
  <c r="A3923" i="1"/>
  <c r="C3923" i="1"/>
  <c r="S3923" i="1"/>
  <c r="T3923" i="1"/>
  <c r="U3923" i="1"/>
  <c r="BB3923" i="1"/>
  <c r="BW3923" i="1"/>
  <c r="A3924" i="1"/>
  <c r="C3924" i="1"/>
  <c r="S3924" i="1"/>
  <c r="T3924" i="1"/>
  <c r="U3924" i="1"/>
  <c r="BB3924" i="1"/>
  <c r="BW3924" i="1"/>
  <c r="A3925" i="1"/>
  <c r="C3925" i="1"/>
  <c r="S3925" i="1"/>
  <c r="T3925" i="1"/>
  <c r="U3925" i="1"/>
  <c r="BB3925" i="1"/>
  <c r="BW3925" i="1"/>
  <c r="A3926" i="1"/>
  <c r="C3926" i="1"/>
  <c r="S3926" i="1"/>
  <c r="T3926" i="1"/>
  <c r="U3926" i="1"/>
  <c r="BB3926" i="1"/>
  <c r="BW3926" i="1"/>
  <c r="A3927" i="1"/>
  <c r="C3927" i="1"/>
  <c r="S3927" i="1"/>
  <c r="T3927" i="1"/>
  <c r="U3927" i="1"/>
  <c r="BB3927" i="1"/>
  <c r="BW3927" i="1"/>
  <c r="A3928" i="1"/>
  <c r="C3928" i="1"/>
  <c r="S3928" i="1"/>
  <c r="T3928" i="1"/>
  <c r="U3928" i="1"/>
  <c r="BB3928" i="1"/>
  <c r="BW3928" i="1"/>
  <c r="A3929" i="1"/>
  <c r="C3929" i="1"/>
  <c r="S3929" i="1"/>
  <c r="T3929" i="1"/>
  <c r="U3929" i="1"/>
  <c r="BB3929" i="1"/>
  <c r="BW3929" i="1"/>
  <c r="A3930" i="1"/>
  <c r="C3930" i="1"/>
  <c r="S3930" i="1"/>
  <c r="T3930" i="1"/>
  <c r="U3930" i="1"/>
  <c r="BB3930" i="1"/>
  <c r="BW3930" i="1"/>
  <c r="A3931" i="1"/>
  <c r="C3931" i="1"/>
  <c r="S3931" i="1"/>
  <c r="T3931" i="1"/>
  <c r="U3931" i="1"/>
  <c r="BB3931" i="1"/>
  <c r="BW3931" i="1"/>
  <c r="A3932" i="1"/>
  <c r="C3932" i="1"/>
  <c r="S3932" i="1"/>
  <c r="T3932" i="1"/>
  <c r="U3932" i="1"/>
  <c r="BB3932" i="1"/>
  <c r="BW3932" i="1"/>
  <c r="A3933" i="1"/>
  <c r="C3933" i="1"/>
  <c r="S3933" i="1"/>
  <c r="T3933" i="1"/>
  <c r="U3933" i="1"/>
  <c r="BB3933" i="1"/>
  <c r="BW3933" i="1"/>
  <c r="A3934" i="1"/>
  <c r="C3934" i="1"/>
  <c r="S3934" i="1"/>
  <c r="T3934" i="1"/>
  <c r="U3934" i="1"/>
  <c r="BB3934" i="1"/>
  <c r="BW3934" i="1"/>
  <c r="A3935" i="1"/>
  <c r="C3935" i="1"/>
  <c r="S3935" i="1"/>
  <c r="T3935" i="1"/>
  <c r="U3935" i="1"/>
  <c r="BB3935" i="1"/>
  <c r="BW3935" i="1"/>
  <c r="A3936" i="1"/>
  <c r="C3936" i="1"/>
  <c r="S3936" i="1"/>
  <c r="T3936" i="1"/>
  <c r="U3936" i="1"/>
  <c r="BB3936" i="1"/>
  <c r="BW3936" i="1"/>
  <c r="A3937" i="1"/>
  <c r="C3937" i="1"/>
  <c r="S3937" i="1"/>
  <c r="T3937" i="1"/>
  <c r="U3937" i="1"/>
  <c r="BB3937" i="1"/>
  <c r="BW3937" i="1"/>
  <c r="A3938" i="1"/>
  <c r="C3938" i="1"/>
  <c r="S3938" i="1"/>
  <c r="T3938" i="1"/>
  <c r="U3938" i="1"/>
  <c r="BB3938" i="1"/>
  <c r="BW3938" i="1"/>
  <c r="A3939" i="1"/>
  <c r="C3939" i="1"/>
  <c r="S3939" i="1"/>
  <c r="T3939" i="1"/>
  <c r="U3939" i="1"/>
  <c r="BB3939" i="1"/>
  <c r="BW3939" i="1"/>
  <c r="A3940" i="1"/>
  <c r="C3940" i="1"/>
  <c r="S3940" i="1"/>
  <c r="T3940" i="1"/>
  <c r="U3940" i="1"/>
  <c r="BB3940" i="1"/>
  <c r="BW3940" i="1"/>
  <c r="A3941" i="1"/>
  <c r="C3941" i="1"/>
  <c r="S3941" i="1"/>
  <c r="T3941" i="1"/>
  <c r="U3941" i="1"/>
  <c r="BB3941" i="1"/>
  <c r="BW3941" i="1"/>
  <c r="A3942" i="1"/>
  <c r="C3942" i="1"/>
  <c r="S3942" i="1"/>
  <c r="T3942" i="1"/>
  <c r="U3942" i="1"/>
  <c r="BB3942" i="1"/>
  <c r="BW3942" i="1"/>
  <c r="A3943" i="1"/>
  <c r="C3943" i="1"/>
  <c r="S3943" i="1"/>
  <c r="T3943" i="1"/>
  <c r="U3943" i="1"/>
  <c r="BB3943" i="1"/>
  <c r="BW3943" i="1"/>
  <c r="A3944" i="1"/>
  <c r="C3944" i="1"/>
  <c r="S3944" i="1"/>
  <c r="T3944" i="1"/>
  <c r="U3944" i="1"/>
  <c r="BB3944" i="1"/>
  <c r="BW3944" i="1"/>
  <c r="A3945" i="1"/>
  <c r="C3945" i="1"/>
  <c r="S3945" i="1"/>
  <c r="T3945" i="1"/>
  <c r="U3945" i="1"/>
  <c r="BB3945" i="1"/>
  <c r="BW3945" i="1"/>
  <c r="A3946" i="1"/>
  <c r="C3946" i="1"/>
  <c r="S3946" i="1"/>
  <c r="T3946" i="1"/>
  <c r="U3946" i="1"/>
  <c r="BB3946" i="1"/>
  <c r="BW3946" i="1"/>
  <c r="A3947" i="1"/>
  <c r="C3947" i="1"/>
  <c r="S3947" i="1"/>
  <c r="T3947" i="1"/>
  <c r="U3947" i="1"/>
  <c r="BB3947" i="1"/>
  <c r="BW3947" i="1"/>
  <c r="A3948" i="1"/>
  <c r="C3948" i="1"/>
  <c r="S3948" i="1"/>
  <c r="T3948" i="1"/>
  <c r="U3948" i="1"/>
  <c r="BB3948" i="1"/>
  <c r="BW3948" i="1"/>
  <c r="A3949" i="1"/>
  <c r="C3949" i="1"/>
  <c r="S3949" i="1"/>
  <c r="T3949" i="1"/>
  <c r="U3949" i="1"/>
  <c r="BB3949" i="1"/>
  <c r="BW3949" i="1"/>
  <c r="A3950" i="1"/>
  <c r="C3950" i="1"/>
  <c r="S3950" i="1"/>
  <c r="T3950" i="1"/>
  <c r="U3950" i="1"/>
  <c r="BB3950" i="1"/>
  <c r="BW3950" i="1"/>
  <c r="A3951" i="1"/>
  <c r="C3951" i="1"/>
  <c r="S3951" i="1"/>
  <c r="T3951" i="1"/>
  <c r="U3951" i="1"/>
  <c r="BB3951" i="1"/>
  <c r="BW3951" i="1"/>
  <c r="A3952" i="1"/>
  <c r="C3952" i="1"/>
  <c r="S3952" i="1"/>
  <c r="T3952" i="1"/>
  <c r="U3952" i="1"/>
  <c r="BB3952" i="1"/>
  <c r="BW3952" i="1"/>
  <c r="A3953" i="1"/>
  <c r="C3953" i="1"/>
  <c r="S3953" i="1"/>
  <c r="T3953" i="1"/>
  <c r="U3953" i="1"/>
  <c r="BB3953" i="1"/>
  <c r="BW3953" i="1"/>
  <c r="A3954" i="1"/>
  <c r="C3954" i="1"/>
  <c r="S3954" i="1"/>
  <c r="T3954" i="1"/>
  <c r="U3954" i="1"/>
  <c r="BB3954" i="1"/>
  <c r="BW3954" i="1"/>
  <c r="A3955" i="1"/>
  <c r="C3955" i="1"/>
  <c r="S3955" i="1"/>
  <c r="T3955" i="1"/>
  <c r="U3955" i="1"/>
  <c r="BB3955" i="1"/>
  <c r="BW3955" i="1"/>
  <c r="A3956" i="1"/>
  <c r="C3956" i="1"/>
  <c r="S3956" i="1"/>
  <c r="T3956" i="1"/>
  <c r="U3956" i="1"/>
  <c r="BB3956" i="1"/>
  <c r="BW3956" i="1"/>
  <c r="A3957" i="1"/>
  <c r="C3957" i="1"/>
  <c r="S3957" i="1"/>
  <c r="T3957" i="1"/>
  <c r="U3957" i="1"/>
  <c r="BB3957" i="1"/>
  <c r="BW3957" i="1"/>
  <c r="A3958" i="1"/>
  <c r="C3958" i="1"/>
  <c r="S3958" i="1"/>
  <c r="T3958" i="1"/>
  <c r="U3958" i="1"/>
  <c r="BB3958" i="1"/>
  <c r="BW3958" i="1"/>
  <c r="A3959" i="1"/>
  <c r="C3959" i="1"/>
  <c r="S3959" i="1"/>
  <c r="T3959" i="1"/>
  <c r="U3959" i="1"/>
  <c r="BB3959" i="1"/>
  <c r="BW3959" i="1"/>
  <c r="A3960" i="1"/>
  <c r="C3960" i="1"/>
  <c r="S3960" i="1"/>
  <c r="T3960" i="1"/>
  <c r="U3960" i="1"/>
  <c r="BB3960" i="1"/>
  <c r="BW3960" i="1"/>
  <c r="A3961" i="1"/>
  <c r="C3961" i="1"/>
  <c r="S3961" i="1"/>
  <c r="T3961" i="1"/>
  <c r="U3961" i="1"/>
  <c r="BB3961" i="1"/>
  <c r="BW3961" i="1"/>
  <c r="A3962" i="1"/>
  <c r="C3962" i="1"/>
  <c r="S3962" i="1"/>
  <c r="T3962" i="1"/>
  <c r="U3962" i="1"/>
  <c r="BB3962" i="1"/>
  <c r="BW3962" i="1"/>
  <c r="A3963" i="1"/>
  <c r="C3963" i="1"/>
  <c r="S3963" i="1"/>
  <c r="T3963" i="1"/>
  <c r="U3963" i="1"/>
  <c r="BB3963" i="1"/>
  <c r="BW3963" i="1"/>
  <c r="A3964" i="1"/>
  <c r="C3964" i="1"/>
  <c r="S3964" i="1"/>
  <c r="T3964" i="1"/>
  <c r="U3964" i="1"/>
  <c r="BB3964" i="1"/>
  <c r="BW3964" i="1"/>
  <c r="A3965" i="1"/>
  <c r="C3965" i="1"/>
  <c r="S3965" i="1"/>
  <c r="T3965" i="1"/>
  <c r="U3965" i="1"/>
  <c r="BB3965" i="1"/>
  <c r="BW3965" i="1"/>
  <c r="A3966" i="1"/>
  <c r="C3966" i="1"/>
  <c r="S3966" i="1"/>
  <c r="T3966" i="1"/>
  <c r="U3966" i="1"/>
  <c r="BB3966" i="1"/>
  <c r="BW3966" i="1"/>
  <c r="A3967" i="1"/>
  <c r="C3967" i="1"/>
  <c r="S3967" i="1"/>
  <c r="T3967" i="1"/>
  <c r="U3967" i="1"/>
  <c r="BB3967" i="1"/>
  <c r="BW3967" i="1"/>
  <c r="A3968" i="1"/>
  <c r="C3968" i="1"/>
  <c r="S3968" i="1"/>
  <c r="T3968" i="1"/>
  <c r="U3968" i="1"/>
  <c r="BB3968" i="1"/>
  <c r="BW3968" i="1"/>
  <c r="A3969" i="1"/>
  <c r="C3969" i="1"/>
  <c r="S3969" i="1"/>
  <c r="T3969" i="1"/>
  <c r="U3969" i="1"/>
  <c r="BB3969" i="1"/>
  <c r="BW3969" i="1"/>
  <c r="A3970" i="1"/>
  <c r="C3970" i="1"/>
  <c r="S3970" i="1"/>
  <c r="T3970" i="1"/>
  <c r="U3970" i="1"/>
  <c r="BB3970" i="1"/>
  <c r="BW3970" i="1"/>
  <c r="A3971" i="1"/>
  <c r="C3971" i="1"/>
  <c r="S3971" i="1"/>
  <c r="T3971" i="1"/>
  <c r="U3971" i="1"/>
  <c r="BB3971" i="1"/>
  <c r="BW3971" i="1"/>
  <c r="A3972" i="1"/>
  <c r="C3972" i="1"/>
  <c r="S3972" i="1"/>
  <c r="T3972" i="1"/>
  <c r="U3972" i="1"/>
  <c r="BB3972" i="1"/>
  <c r="BW3972" i="1"/>
  <c r="A3973" i="1"/>
  <c r="C3973" i="1"/>
  <c r="S3973" i="1"/>
  <c r="T3973" i="1"/>
  <c r="U3973" i="1"/>
  <c r="BB3973" i="1"/>
  <c r="BW3973" i="1"/>
  <c r="A3974" i="1"/>
  <c r="C3974" i="1"/>
  <c r="S3974" i="1"/>
  <c r="T3974" i="1"/>
  <c r="U3974" i="1"/>
  <c r="BB3974" i="1"/>
  <c r="BW3974" i="1"/>
  <c r="A3975" i="1"/>
  <c r="C3975" i="1"/>
  <c r="S3975" i="1"/>
  <c r="T3975" i="1"/>
  <c r="U3975" i="1"/>
  <c r="BB3975" i="1"/>
  <c r="BW3975" i="1"/>
  <c r="A3976" i="1"/>
  <c r="C3976" i="1"/>
  <c r="S3976" i="1"/>
  <c r="T3976" i="1"/>
  <c r="U3976" i="1"/>
  <c r="BB3976" i="1"/>
  <c r="BW3976" i="1"/>
  <c r="A3977" i="1"/>
  <c r="C3977" i="1"/>
  <c r="S3977" i="1"/>
  <c r="T3977" i="1"/>
  <c r="U3977" i="1"/>
  <c r="BB3977" i="1"/>
  <c r="BW3977" i="1"/>
  <c r="A3978" i="1"/>
  <c r="C3978" i="1"/>
  <c r="S3978" i="1"/>
  <c r="T3978" i="1"/>
  <c r="U3978" i="1"/>
  <c r="BB3978" i="1"/>
  <c r="BW3978" i="1"/>
  <c r="A3979" i="1"/>
  <c r="C3979" i="1"/>
  <c r="S3979" i="1"/>
  <c r="T3979" i="1"/>
  <c r="U3979" i="1"/>
  <c r="BB3979" i="1"/>
  <c r="BW3979" i="1"/>
  <c r="A3980" i="1"/>
  <c r="C3980" i="1"/>
  <c r="S3980" i="1"/>
  <c r="T3980" i="1"/>
  <c r="U3980" i="1"/>
  <c r="BB3980" i="1"/>
  <c r="BW3980" i="1"/>
  <c r="A3981" i="1"/>
  <c r="C3981" i="1"/>
  <c r="S3981" i="1"/>
  <c r="T3981" i="1"/>
  <c r="U3981" i="1"/>
  <c r="BB3981" i="1"/>
  <c r="BW3981" i="1"/>
  <c r="A3982" i="1"/>
  <c r="C3982" i="1"/>
  <c r="S3982" i="1"/>
  <c r="T3982" i="1"/>
  <c r="U3982" i="1"/>
  <c r="BB3982" i="1"/>
  <c r="BW3982" i="1"/>
  <c r="A3983" i="1"/>
  <c r="C3983" i="1"/>
  <c r="S3983" i="1"/>
  <c r="T3983" i="1"/>
  <c r="U3983" i="1"/>
  <c r="BB3983" i="1"/>
  <c r="BW3983" i="1"/>
  <c r="A3984" i="1"/>
  <c r="C3984" i="1"/>
  <c r="S3984" i="1"/>
  <c r="T3984" i="1"/>
  <c r="U3984" i="1"/>
  <c r="BB3984" i="1"/>
  <c r="BW3984" i="1"/>
  <c r="A3985" i="1"/>
  <c r="C3985" i="1"/>
  <c r="S3985" i="1"/>
  <c r="T3985" i="1"/>
  <c r="U3985" i="1"/>
  <c r="BB3985" i="1"/>
  <c r="BW3985" i="1"/>
  <c r="A3986" i="1"/>
  <c r="C3986" i="1"/>
  <c r="S3986" i="1"/>
  <c r="T3986" i="1"/>
  <c r="U3986" i="1"/>
  <c r="BB3986" i="1"/>
  <c r="BW3986" i="1"/>
  <c r="A3987" i="1"/>
  <c r="C3987" i="1"/>
  <c r="S3987" i="1"/>
  <c r="T3987" i="1"/>
  <c r="U3987" i="1"/>
  <c r="BB3987" i="1"/>
  <c r="BW3987" i="1"/>
  <c r="A3988" i="1"/>
  <c r="C3988" i="1"/>
  <c r="S3988" i="1"/>
  <c r="T3988" i="1"/>
  <c r="U3988" i="1"/>
  <c r="BB3988" i="1"/>
  <c r="BW3988" i="1"/>
  <c r="A3989" i="1"/>
  <c r="C3989" i="1"/>
  <c r="S3989" i="1"/>
  <c r="T3989" i="1"/>
  <c r="U3989" i="1"/>
  <c r="BB3989" i="1"/>
  <c r="BW3989" i="1"/>
  <c r="A3990" i="1"/>
  <c r="C3990" i="1"/>
  <c r="S3990" i="1"/>
  <c r="T3990" i="1"/>
  <c r="U3990" i="1"/>
  <c r="BB3990" i="1"/>
  <c r="BW3990" i="1"/>
  <c r="A3991" i="1"/>
  <c r="C3991" i="1"/>
  <c r="S3991" i="1"/>
  <c r="T3991" i="1"/>
  <c r="U3991" i="1"/>
  <c r="BB3991" i="1"/>
  <c r="BW3991" i="1"/>
  <c r="A3992" i="1"/>
  <c r="C3992" i="1"/>
  <c r="S3992" i="1"/>
  <c r="T3992" i="1"/>
  <c r="U3992" i="1"/>
  <c r="BB3992" i="1"/>
  <c r="BW3992" i="1"/>
  <c r="A3993" i="1"/>
  <c r="C3993" i="1"/>
  <c r="S3993" i="1"/>
  <c r="T3993" i="1"/>
  <c r="U3993" i="1"/>
  <c r="BB3993" i="1"/>
  <c r="BW3993" i="1"/>
  <c r="A3994" i="1"/>
  <c r="C3994" i="1"/>
  <c r="S3994" i="1"/>
  <c r="T3994" i="1"/>
  <c r="U3994" i="1"/>
  <c r="BB3994" i="1"/>
  <c r="BW3994" i="1"/>
  <c r="A3995" i="1"/>
  <c r="C3995" i="1"/>
  <c r="S3995" i="1"/>
  <c r="T3995" i="1"/>
  <c r="U3995" i="1"/>
  <c r="BB3995" i="1"/>
  <c r="BW3995" i="1"/>
  <c r="A3996" i="1"/>
  <c r="C3996" i="1"/>
  <c r="S3996" i="1"/>
  <c r="T3996" i="1"/>
  <c r="U3996" i="1"/>
  <c r="BB3996" i="1"/>
  <c r="BW3996" i="1"/>
  <c r="A3997" i="1"/>
  <c r="C3997" i="1"/>
  <c r="S3997" i="1"/>
  <c r="T3997" i="1"/>
  <c r="U3997" i="1"/>
  <c r="BB3997" i="1"/>
  <c r="BW3997" i="1"/>
  <c r="A3998" i="1"/>
  <c r="C3998" i="1"/>
  <c r="S3998" i="1"/>
  <c r="T3998" i="1"/>
  <c r="U3998" i="1"/>
  <c r="BB3998" i="1"/>
  <c r="BW3998" i="1"/>
  <c r="A3999" i="1"/>
  <c r="C3999" i="1"/>
  <c r="S3999" i="1"/>
  <c r="T3999" i="1"/>
  <c r="U3999" i="1"/>
  <c r="BB3999" i="1"/>
  <c r="BW3999" i="1"/>
  <c r="A4000" i="1"/>
  <c r="C4000" i="1"/>
  <c r="S4000" i="1"/>
  <c r="T4000" i="1"/>
  <c r="U4000" i="1"/>
  <c r="BB4000" i="1"/>
  <c r="BW4000" i="1"/>
  <c r="A4001" i="1"/>
  <c r="C4001" i="1"/>
  <c r="S4001" i="1"/>
  <c r="T4001" i="1"/>
  <c r="U4001" i="1"/>
  <c r="BB4001" i="1"/>
  <c r="BW4001" i="1"/>
  <c r="A4002" i="1"/>
  <c r="C4002" i="1"/>
  <c r="S4002" i="1"/>
  <c r="T4002" i="1"/>
  <c r="U4002" i="1"/>
  <c r="BB4002" i="1"/>
  <c r="BW4002" i="1"/>
  <c r="A4003" i="1"/>
  <c r="C4003" i="1"/>
  <c r="S4003" i="1"/>
  <c r="T4003" i="1"/>
  <c r="U4003" i="1"/>
  <c r="BB4003" i="1"/>
  <c r="BW4003" i="1"/>
  <c r="A4004" i="1"/>
  <c r="C4004" i="1"/>
  <c r="S4004" i="1"/>
  <c r="T4004" i="1"/>
  <c r="U4004" i="1"/>
  <c r="BB4004" i="1"/>
  <c r="BW4004" i="1"/>
  <c r="A4005" i="1"/>
  <c r="C4005" i="1"/>
  <c r="S4005" i="1"/>
  <c r="T4005" i="1"/>
  <c r="U4005" i="1"/>
  <c r="BB4005" i="1"/>
  <c r="BW4005" i="1"/>
  <c r="A4006" i="1"/>
  <c r="C4006" i="1"/>
  <c r="S4006" i="1"/>
  <c r="T4006" i="1"/>
  <c r="U4006" i="1"/>
  <c r="BB4006" i="1"/>
  <c r="BW4006" i="1"/>
  <c r="A4007" i="1"/>
  <c r="C4007" i="1"/>
  <c r="S4007" i="1"/>
  <c r="T4007" i="1"/>
  <c r="U4007" i="1"/>
  <c r="BB4007" i="1"/>
  <c r="BW4007" i="1"/>
  <c r="A4008" i="1"/>
  <c r="C4008" i="1"/>
  <c r="S4008" i="1"/>
  <c r="T4008" i="1"/>
  <c r="U4008" i="1"/>
  <c r="BB4008" i="1"/>
  <c r="BW4008" i="1"/>
  <c r="A4009" i="1"/>
  <c r="C4009" i="1"/>
  <c r="S4009" i="1"/>
  <c r="T4009" i="1"/>
  <c r="U4009" i="1"/>
  <c r="BB4009" i="1"/>
  <c r="BW4009" i="1"/>
  <c r="A4010" i="1"/>
  <c r="C4010" i="1"/>
  <c r="S4010" i="1"/>
  <c r="T4010" i="1"/>
  <c r="U4010" i="1"/>
  <c r="BB4010" i="1"/>
  <c r="BW4010" i="1"/>
  <c r="A4011" i="1"/>
  <c r="C4011" i="1"/>
  <c r="S4011" i="1"/>
  <c r="T4011" i="1"/>
  <c r="U4011" i="1"/>
  <c r="BB4011" i="1"/>
  <c r="BW4011" i="1"/>
  <c r="A4012" i="1"/>
  <c r="C4012" i="1"/>
  <c r="S4012" i="1"/>
  <c r="T4012" i="1"/>
  <c r="U4012" i="1"/>
  <c r="BB4012" i="1"/>
  <c r="BW4012" i="1"/>
  <c r="A4013" i="1"/>
  <c r="C4013" i="1"/>
  <c r="S4013" i="1"/>
  <c r="T4013" i="1"/>
  <c r="U4013" i="1"/>
  <c r="BB4013" i="1"/>
  <c r="BW4013" i="1"/>
  <c r="A4014" i="1"/>
  <c r="C4014" i="1"/>
  <c r="S4014" i="1"/>
  <c r="T4014" i="1"/>
  <c r="U4014" i="1"/>
  <c r="BB4014" i="1"/>
  <c r="BW4014" i="1"/>
  <c r="A4015" i="1"/>
  <c r="C4015" i="1"/>
  <c r="S4015" i="1"/>
  <c r="T4015" i="1"/>
  <c r="U4015" i="1"/>
  <c r="BB4015" i="1"/>
  <c r="BW4015" i="1"/>
  <c r="A4016" i="1"/>
  <c r="C4016" i="1"/>
  <c r="S4016" i="1"/>
  <c r="T4016" i="1"/>
  <c r="U4016" i="1"/>
  <c r="BB4016" i="1"/>
  <c r="BW4016" i="1"/>
  <c r="A4017" i="1"/>
  <c r="C4017" i="1"/>
  <c r="S4017" i="1"/>
  <c r="T4017" i="1"/>
  <c r="U4017" i="1"/>
  <c r="BB4017" i="1"/>
  <c r="BW4017" i="1"/>
  <c r="A4018" i="1"/>
  <c r="C4018" i="1"/>
  <c r="S4018" i="1"/>
  <c r="T4018" i="1"/>
  <c r="U4018" i="1"/>
  <c r="BB4018" i="1"/>
  <c r="BW4018" i="1"/>
  <c r="A4019" i="1"/>
  <c r="C4019" i="1"/>
  <c r="S4019" i="1"/>
  <c r="T4019" i="1"/>
  <c r="U4019" i="1"/>
  <c r="BB4019" i="1"/>
  <c r="BW4019" i="1"/>
  <c r="A4020" i="1"/>
  <c r="C4020" i="1"/>
  <c r="S4020" i="1"/>
  <c r="T4020" i="1"/>
  <c r="U4020" i="1"/>
  <c r="BB4020" i="1"/>
  <c r="BW4020" i="1"/>
  <c r="A4021" i="1"/>
  <c r="C4021" i="1"/>
  <c r="S4021" i="1"/>
  <c r="T4021" i="1"/>
  <c r="U4021" i="1"/>
  <c r="BB4021" i="1"/>
  <c r="BW4021" i="1"/>
  <c r="A4022" i="1"/>
  <c r="C4022" i="1"/>
  <c r="S4022" i="1"/>
  <c r="T4022" i="1"/>
  <c r="U4022" i="1"/>
  <c r="BB4022" i="1"/>
  <c r="BW4022" i="1"/>
  <c r="A4023" i="1"/>
  <c r="C4023" i="1"/>
  <c r="S4023" i="1"/>
  <c r="T4023" i="1"/>
  <c r="U4023" i="1"/>
  <c r="BB4023" i="1"/>
  <c r="BW4023" i="1"/>
  <c r="A4024" i="1"/>
  <c r="C4024" i="1"/>
  <c r="S4024" i="1"/>
  <c r="T4024" i="1"/>
  <c r="U4024" i="1"/>
  <c r="BB4024" i="1"/>
  <c r="BW4024" i="1"/>
  <c r="A4025" i="1"/>
  <c r="C4025" i="1"/>
  <c r="S4025" i="1"/>
  <c r="T4025" i="1"/>
  <c r="U4025" i="1"/>
  <c r="BB4025" i="1"/>
  <c r="BW4025" i="1"/>
  <c r="A4026" i="1"/>
  <c r="C4026" i="1"/>
  <c r="S4026" i="1"/>
  <c r="T4026" i="1"/>
  <c r="U4026" i="1"/>
  <c r="BB4026" i="1"/>
  <c r="BW4026" i="1"/>
  <c r="A4027" i="1"/>
  <c r="C4027" i="1"/>
  <c r="S4027" i="1"/>
  <c r="T4027" i="1"/>
  <c r="U4027" i="1"/>
  <c r="BB4027" i="1"/>
  <c r="BW4027" i="1"/>
  <c r="A4028" i="1"/>
  <c r="C4028" i="1"/>
  <c r="S4028" i="1"/>
  <c r="T4028" i="1"/>
  <c r="U4028" i="1"/>
  <c r="BB4028" i="1"/>
  <c r="BW4028" i="1"/>
  <c r="A4029" i="1"/>
  <c r="C4029" i="1"/>
  <c r="S4029" i="1"/>
  <c r="T4029" i="1"/>
  <c r="U4029" i="1"/>
  <c r="BB4029" i="1"/>
  <c r="BW4029" i="1"/>
  <c r="A4030" i="1"/>
  <c r="C4030" i="1"/>
  <c r="S4030" i="1"/>
  <c r="T4030" i="1"/>
  <c r="U4030" i="1"/>
  <c r="BB4030" i="1"/>
  <c r="BW4030" i="1"/>
  <c r="A4031" i="1"/>
  <c r="C4031" i="1"/>
  <c r="S4031" i="1"/>
  <c r="T4031" i="1"/>
  <c r="U4031" i="1"/>
  <c r="BB4031" i="1"/>
  <c r="BW4031" i="1"/>
  <c r="A4032" i="1"/>
  <c r="C4032" i="1"/>
  <c r="S4032" i="1"/>
  <c r="T4032" i="1"/>
  <c r="U4032" i="1"/>
  <c r="BB4032" i="1"/>
  <c r="BW4032" i="1"/>
  <c r="A4033" i="1"/>
  <c r="C4033" i="1"/>
  <c r="S4033" i="1"/>
  <c r="T4033" i="1"/>
  <c r="U4033" i="1"/>
  <c r="BB4033" i="1"/>
  <c r="BW4033" i="1"/>
  <c r="A4034" i="1"/>
  <c r="C4034" i="1"/>
  <c r="S4034" i="1"/>
  <c r="T4034" i="1"/>
  <c r="U4034" i="1"/>
  <c r="BB4034" i="1"/>
  <c r="BW4034" i="1"/>
  <c r="A4035" i="1"/>
  <c r="C4035" i="1"/>
  <c r="S4035" i="1"/>
  <c r="T4035" i="1"/>
  <c r="U4035" i="1"/>
  <c r="BB4035" i="1"/>
  <c r="BW4035" i="1"/>
  <c r="A4036" i="1"/>
  <c r="C4036" i="1"/>
  <c r="S4036" i="1"/>
  <c r="T4036" i="1"/>
  <c r="U4036" i="1"/>
  <c r="BB4036" i="1"/>
  <c r="BW4036" i="1"/>
  <c r="A4037" i="1"/>
  <c r="C4037" i="1"/>
  <c r="S4037" i="1"/>
  <c r="T4037" i="1"/>
  <c r="U4037" i="1"/>
  <c r="BB4037" i="1"/>
  <c r="BW4037" i="1"/>
  <c r="A4038" i="1"/>
  <c r="C4038" i="1"/>
  <c r="S4038" i="1"/>
  <c r="T4038" i="1"/>
  <c r="U4038" i="1"/>
  <c r="BB4038" i="1"/>
  <c r="BW4038" i="1"/>
  <c r="A4039" i="1"/>
  <c r="C4039" i="1"/>
  <c r="S4039" i="1"/>
  <c r="T4039" i="1"/>
  <c r="U4039" i="1"/>
  <c r="BB4039" i="1"/>
  <c r="BW4039" i="1"/>
  <c r="A4040" i="1"/>
  <c r="C4040" i="1"/>
  <c r="S4040" i="1"/>
  <c r="T4040" i="1"/>
  <c r="U4040" i="1"/>
  <c r="BB4040" i="1"/>
  <c r="BW4040" i="1"/>
  <c r="A4041" i="1"/>
  <c r="C4041" i="1"/>
  <c r="S4041" i="1"/>
  <c r="T4041" i="1"/>
  <c r="U4041" i="1"/>
  <c r="BB4041" i="1"/>
  <c r="BW4041" i="1"/>
  <c r="A4042" i="1"/>
  <c r="C4042" i="1"/>
  <c r="S4042" i="1"/>
  <c r="T4042" i="1"/>
  <c r="U4042" i="1"/>
  <c r="BB4042" i="1"/>
  <c r="BW4042" i="1"/>
  <c r="A4043" i="1"/>
  <c r="C4043" i="1"/>
  <c r="S4043" i="1"/>
  <c r="T4043" i="1"/>
  <c r="U4043" i="1"/>
  <c r="BB4043" i="1"/>
  <c r="BW4043" i="1"/>
  <c r="A4044" i="1"/>
  <c r="C4044" i="1"/>
  <c r="S4044" i="1"/>
  <c r="T4044" i="1"/>
  <c r="U4044" i="1"/>
  <c r="BB4044" i="1"/>
  <c r="BW4044" i="1"/>
  <c r="A4045" i="1"/>
  <c r="C4045" i="1"/>
  <c r="S4045" i="1"/>
  <c r="T4045" i="1"/>
  <c r="U4045" i="1"/>
  <c r="BB4045" i="1"/>
  <c r="BW4045" i="1"/>
  <c r="A4046" i="1"/>
  <c r="C4046" i="1"/>
  <c r="S4046" i="1"/>
  <c r="T4046" i="1"/>
  <c r="U4046" i="1"/>
  <c r="BB4046" i="1"/>
  <c r="BW4046" i="1"/>
  <c r="A4047" i="1"/>
  <c r="C4047" i="1"/>
  <c r="S4047" i="1"/>
  <c r="T4047" i="1"/>
  <c r="U4047" i="1"/>
  <c r="BB4047" i="1"/>
  <c r="BW4047" i="1"/>
  <c r="A4048" i="1"/>
  <c r="C4048" i="1"/>
  <c r="S4048" i="1"/>
  <c r="T4048" i="1"/>
  <c r="U4048" i="1"/>
  <c r="BB4048" i="1"/>
  <c r="BW4048" i="1"/>
  <c r="A4049" i="1"/>
  <c r="C4049" i="1"/>
  <c r="S4049" i="1"/>
  <c r="T4049" i="1"/>
  <c r="U4049" i="1"/>
  <c r="BB4049" i="1"/>
  <c r="BW4049" i="1"/>
  <c r="A4050" i="1"/>
  <c r="C4050" i="1"/>
  <c r="S4050" i="1"/>
  <c r="T4050" i="1"/>
  <c r="U4050" i="1"/>
  <c r="BB4050" i="1"/>
  <c r="BW4050" i="1"/>
  <c r="A4051" i="1"/>
  <c r="C4051" i="1"/>
  <c r="S4051" i="1"/>
  <c r="T4051" i="1"/>
  <c r="U4051" i="1"/>
  <c r="BB4051" i="1"/>
  <c r="BW4051" i="1"/>
  <c r="A4052" i="1"/>
  <c r="C4052" i="1"/>
  <c r="S4052" i="1"/>
  <c r="T4052" i="1"/>
  <c r="U4052" i="1"/>
  <c r="BB4052" i="1"/>
  <c r="BW4052" i="1"/>
  <c r="A4053" i="1"/>
  <c r="C4053" i="1"/>
  <c r="S4053" i="1"/>
  <c r="T4053" i="1"/>
  <c r="U4053" i="1"/>
  <c r="BB4053" i="1"/>
  <c r="BW4053" i="1"/>
  <c r="A4054" i="1"/>
  <c r="C4054" i="1"/>
  <c r="S4054" i="1"/>
  <c r="T4054" i="1"/>
  <c r="U4054" i="1"/>
  <c r="BB4054" i="1"/>
  <c r="BW4054" i="1"/>
  <c r="A4055" i="1"/>
  <c r="C4055" i="1"/>
  <c r="S4055" i="1"/>
  <c r="T4055" i="1"/>
  <c r="U4055" i="1"/>
  <c r="BB4055" i="1"/>
  <c r="BW4055" i="1"/>
  <c r="A4056" i="1"/>
  <c r="C4056" i="1"/>
  <c r="S4056" i="1"/>
  <c r="T4056" i="1"/>
  <c r="U4056" i="1"/>
  <c r="BB4056" i="1"/>
  <c r="BW4056" i="1"/>
  <c r="A4057" i="1"/>
  <c r="C4057" i="1"/>
  <c r="S4057" i="1"/>
  <c r="T4057" i="1"/>
  <c r="U4057" i="1"/>
  <c r="BB4057" i="1"/>
  <c r="BW4057" i="1"/>
  <c r="A4058" i="1"/>
  <c r="C4058" i="1"/>
  <c r="S4058" i="1"/>
  <c r="T4058" i="1"/>
  <c r="U4058" i="1"/>
  <c r="BB4058" i="1"/>
  <c r="BW4058" i="1"/>
  <c r="A4059" i="1"/>
  <c r="C4059" i="1"/>
  <c r="S4059" i="1"/>
  <c r="T4059" i="1"/>
  <c r="U4059" i="1"/>
  <c r="BB4059" i="1"/>
  <c r="BW4059" i="1"/>
  <c r="A4060" i="1"/>
  <c r="C4060" i="1"/>
  <c r="S4060" i="1"/>
  <c r="T4060" i="1"/>
  <c r="U4060" i="1"/>
  <c r="BB4060" i="1"/>
  <c r="BW4060" i="1"/>
  <c r="A4061" i="1"/>
  <c r="C4061" i="1"/>
  <c r="S4061" i="1"/>
  <c r="T4061" i="1"/>
  <c r="U4061" i="1"/>
  <c r="BB4061" i="1"/>
  <c r="BW4061" i="1"/>
  <c r="A4062" i="1"/>
  <c r="C4062" i="1"/>
  <c r="S4062" i="1"/>
  <c r="T4062" i="1"/>
  <c r="U4062" i="1"/>
  <c r="BB4062" i="1"/>
  <c r="BW4062" i="1"/>
  <c r="A4063" i="1"/>
  <c r="C4063" i="1"/>
  <c r="S4063" i="1"/>
  <c r="T4063" i="1"/>
  <c r="U4063" i="1"/>
  <c r="BB4063" i="1"/>
  <c r="BW4063" i="1"/>
  <c r="A4064" i="1"/>
  <c r="C4064" i="1"/>
  <c r="S4064" i="1"/>
  <c r="T4064" i="1"/>
  <c r="U4064" i="1"/>
  <c r="BB4064" i="1"/>
  <c r="BW4064" i="1"/>
  <c r="A4065" i="1"/>
  <c r="C4065" i="1"/>
  <c r="S4065" i="1"/>
  <c r="T4065" i="1"/>
  <c r="U4065" i="1"/>
  <c r="BB4065" i="1"/>
  <c r="BW4065" i="1"/>
  <c r="A4066" i="1"/>
  <c r="C4066" i="1"/>
  <c r="S4066" i="1"/>
  <c r="T4066" i="1"/>
  <c r="U4066" i="1"/>
  <c r="BB4066" i="1"/>
  <c r="BW4066" i="1"/>
  <c r="A4067" i="1"/>
  <c r="C4067" i="1"/>
  <c r="S4067" i="1"/>
  <c r="T4067" i="1"/>
  <c r="U4067" i="1"/>
  <c r="BB4067" i="1"/>
  <c r="BW4067" i="1"/>
  <c r="A4068" i="1"/>
  <c r="C4068" i="1"/>
  <c r="S4068" i="1"/>
  <c r="T4068" i="1"/>
  <c r="U4068" i="1"/>
  <c r="BB4068" i="1"/>
  <c r="BW4068" i="1"/>
  <c r="A4069" i="1"/>
  <c r="C4069" i="1"/>
  <c r="S4069" i="1"/>
  <c r="T4069" i="1"/>
  <c r="U4069" i="1"/>
  <c r="BB4069" i="1"/>
  <c r="BW4069" i="1"/>
  <c r="A4070" i="1"/>
  <c r="C4070" i="1"/>
  <c r="S4070" i="1"/>
  <c r="T4070" i="1"/>
  <c r="U4070" i="1"/>
  <c r="BB4070" i="1"/>
  <c r="BW4070" i="1"/>
  <c r="A4071" i="1"/>
  <c r="C4071" i="1"/>
  <c r="S4071" i="1"/>
  <c r="T4071" i="1"/>
  <c r="U4071" i="1"/>
  <c r="BB4071" i="1"/>
  <c r="BW4071" i="1"/>
  <c r="A4072" i="1"/>
  <c r="C4072" i="1"/>
  <c r="S4072" i="1"/>
  <c r="T4072" i="1"/>
  <c r="U4072" i="1"/>
  <c r="BB4072" i="1"/>
  <c r="BW4072" i="1"/>
  <c r="A4073" i="1"/>
  <c r="C4073" i="1"/>
  <c r="S4073" i="1"/>
  <c r="T4073" i="1"/>
  <c r="U4073" i="1"/>
  <c r="BB4073" i="1"/>
  <c r="BW4073" i="1"/>
  <c r="A4074" i="1"/>
  <c r="C4074" i="1"/>
  <c r="S4074" i="1"/>
  <c r="T4074" i="1"/>
  <c r="U4074" i="1"/>
  <c r="BB4074" i="1"/>
  <c r="BW4074" i="1"/>
  <c r="A4075" i="1"/>
  <c r="C4075" i="1"/>
  <c r="S4075" i="1"/>
  <c r="T4075" i="1"/>
  <c r="U4075" i="1"/>
  <c r="BB4075" i="1"/>
  <c r="BW4075" i="1"/>
  <c r="A4076" i="1"/>
  <c r="C4076" i="1"/>
  <c r="S4076" i="1"/>
  <c r="T4076" i="1"/>
  <c r="U4076" i="1"/>
  <c r="BB4076" i="1"/>
  <c r="BW4076" i="1"/>
  <c r="A4077" i="1"/>
  <c r="C4077" i="1"/>
  <c r="S4077" i="1"/>
  <c r="T4077" i="1"/>
  <c r="U4077" i="1"/>
  <c r="BB4077" i="1"/>
  <c r="BW4077" i="1"/>
  <c r="A4078" i="1"/>
  <c r="C4078" i="1"/>
  <c r="S4078" i="1"/>
  <c r="T4078" i="1"/>
  <c r="U4078" i="1"/>
  <c r="BB4078" i="1"/>
  <c r="BW4078" i="1"/>
  <c r="A4079" i="1"/>
  <c r="C4079" i="1"/>
  <c r="S4079" i="1"/>
  <c r="T4079" i="1"/>
  <c r="U4079" i="1"/>
  <c r="BB4079" i="1"/>
  <c r="BW4079" i="1"/>
  <c r="A4080" i="1"/>
  <c r="C4080" i="1"/>
  <c r="S4080" i="1"/>
  <c r="T4080" i="1"/>
  <c r="U4080" i="1"/>
  <c r="BB4080" i="1"/>
  <c r="BW4080" i="1"/>
  <c r="A4081" i="1"/>
  <c r="C4081" i="1"/>
  <c r="S4081" i="1"/>
  <c r="T4081" i="1"/>
  <c r="U4081" i="1"/>
  <c r="BB4081" i="1"/>
  <c r="BW4081" i="1"/>
  <c r="A4082" i="1"/>
  <c r="C4082" i="1"/>
  <c r="S4082" i="1"/>
  <c r="T4082" i="1"/>
  <c r="U4082" i="1"/>
  <c r="BB4082" i="1"/>
  <c r="BW4082" i="1"/>
  <c r="A4083" i="1"/>
  <c r="C4083" i="1"/>
  <c r="S4083" i="1"/>
  <c r="T4083" i="1"/>
  <c r="U4083" i="1"/>
  <c r="BB4083" i="1"/>
  <c r="BW4083" i="1"/>
  <c r="A4084" i="1"/>
  <c r="C4084" i="1"/>
  <c r="S4084" i="1"/>
  <c r="T4084" i="1"/>
  <c r="U4084" i="1"/>
  <c r="BB4084" i="1"/>
  <c r="BW4084" i="1"/>
  <c r="A4085" i="1"/>
  <c r="C4085" i="1"/>
  <c r="S4085" i="1"/>
  <c r="T4085" i="1"/>
  <c r="U4085" i="1"/>
  <c r="BB4085" i="1"/>
  <c r="BW4085" i="1"/>
  <c r="A4086" i="1"/>
  <c r="C4086" i="1"/>
  <c r="S4086" i="1"/>
  <c r="T4086" i="1"/>
  <c r="U4086" i="1"/>
  <c r="BB4086" i="1"/>
  <c r="BW4086" i="1"/>
  <c r="A4087" i="1"/>
  <c r="C4087" i="1"/>
  <c r="S4087" i="1"/>
  <c r="T4087" i="1"/>
  <c r="U4087" i="1"/>
  <c r="BB4087" i="1"/>
  <c r="BW4087" i="1"/>
  <c r="A4088" i="1"/>
  <c r="C4088" i="1"/>
  <c r="S4088" i="1"/>
  <c r="T4088" i="1"/>
  <c r="U4088" i="1"/>
  <c r="BB4088" i="1"/>
  <c r="BW4088" i="1"/>
  <c r="A4089" i="1"/>
  <c r="C4089" i="1"/>
  <c r="S4089" i="1"/>
  <c r="T4089" i="1"/>
  <c r="U4089" i="1"/>
  <c r="BB4089" i="1"/>
  <c r="BW4089" i="1"/>
  <c r="A4090" i="1"/>
  <c r="C4090" i="1"/>
  <c r="S4090" i="1"/>
  <c r="T4090" i="1"/>
  <c r="U4090" i="1"/>
  <c r="BB4090" i="1"/>
  <c r="BW4090" i="1"/>
  <c r="A4091" i="1"/>
  <c r="C4091" i="1"/>
  <c r="S4091" i="1"/>
  <c r="T4091" i="1"/>
  <c r="U4091" i="1"/>
  <c r="BB4091" i="1"/>
  <c r="BW4091" i="1"/>
  <c r="A4092" i="1"/>
  <c r="C4092" i="1"/>
  <c r="S4092" i="1"/>
  <c r="T4092" i="1"/>
  <c r="U4092" i="1"/>
  <c r="BB4092" i="1"/>
  <c r="BW4092" i="1"/>
  <c r="A4093" i="1"/>
  <c r="C4093" i="1"/>
  <c r="S4093" i="1"/>
  <c r="T4093" i="1"/>
  <c r="U4093" i="1"/>
  <c r="BB4093" i="1"/>
  <c r="BW4093" i="1"/>
  <c r="A4094" i="1"/>
  <c r="C4094" i="1"/>
  <c r="S4094" i="1"/>
  <c r="T4094" i="1"/>
  <c r="U4094" i="1"/>
  <c r="BB4094" i="1"/>
  <c r="BW4094" i="1"/>
  <c r="A4095" i="1"/>
  <c r="C4095" i="1"/>
  <c r="S4095" i="1"/>
  <c r="T4095" i="1"/>
  <c r="U4095" i="1"/>
  <c r="BB4095" i="1"/>
  <c r="BW4095" i="1"/>
  <c r="A4096" i="1"/>
  <c r="C4096" i="1"/>
  <c r="S4096" i="1"/>
  <c r="T4096" i="1"/>
  <c r="U4096" i="1"/>
  <c r="BB4096" i="1"/>
  <c r="BW4096" i="1"/>
  <c r="A4097" i="1"/>
  <c r="C4097" i="1"/>
  <c r="S4097" i="1"/>
  <c r="T4097" i="1"/>
  <c r="U4097" i="1"/>
  <c r="BB4097" i="1"/>
  <c r="BW4097" i="1"/>
  <c r="A4098" i="1"/>
  <c r="C4098" i="1"/>
  <c r="S4098" i="1"/>
  <c r="T4098" i="1"/>
  <c r="U4098" i="1"/>
  <c r="BB4098" i="1"/>
  <c r="BW4098" i="1"/>
  <c r="A4099" i="1"/>
  <c r="C4099" i="1"/>
  <c r="S4099" i="1"/>
  <c r="T4099" i="1"/>
  <c r="U4099" i="1"/>
  <c r="BB4099" i="1"/>
  <c r="BW4099" i="1"/>
  <c r="A4100" i="1"/>
  <c r="C4100" i="1"/>
  <c r="S4100" i="1"/>
  <c r="T4100" i="1"/>
  <c r="U4100" i="1"/>
  <c r="BB4100" i="1"/>
  <c r="BW4100" i="1"/>
  <c r="A4101" i="1"/>
  <c r="C4101" i="1"/>
  <c r="S4101" i="1"/>
  <c r="T4101" i="1"/>
  <c r="U4101" i="1"/>
  <c r="BB4101" i="1"/>
  <c r="BW4101" i="1"/>
  <c r="A4102" i="1"/>
  <c r="C4102" i="1"/>
  <c r="S4102" i="1"/>
  <c r="T4102" i="1"/>
  <c r="U4102" i="1"/>
  <c r="BB4102" i="1"/>
  <c r="BW4102" i="1"/>
  <c r="A4103" i="1"/>
  <c r="C4103" i="1"/>
  <c r="S4103" i="1"/>
  <c r="T4103" i="1"/>
  <c r="U4103" i="1"/>
  <c r="BB4103" i="1"/>
  <c r="BW4103" i="1"/>
  <c r="A4104" i="1"/>
  <c r="C4104" i="1"/>
  <c r="S4104" i="1"/>
  <c r="T4104" i="1"/>
  <c r="U4104" i="1"/>
  <c r="BB4104" i="1"/>
  <c r="BW4104" i="1"/>
  <c r="A4105" i="1"/>
  <c r="C4105" i="1"/>
  <c r="S4105" i="1"/>
  <c r="T4105" i="1"/>
  <c r="U4105" i="1"/>
  <c r="BB4105" i="1"/>
  <c r="BW4105" i="1"/>
  <c r="A4106" i="1"/>
  <c r="C4106" i="1"/>
  <c r="S4106" i="1"/>
  <c r="T4106" i="1"/>
  <c r="U4106" i="1"/>
  <c r="BB4106" i="1"/>
  <c r="BW4106" i="1"/>
  <c r="A4107" i="1"/>
  <c r="C4107" i="1"/>
  <c r="S4107" i="1"/>
  <c r="T4107" i="1"/>
  <c r="U4107" i="1"/>
  <c r="BB4107" i="1"/>
  <c r="BW4107" i="1"/>
  <c r="A4108" i="1"/>
  <c r="C4108" i="1"/>
  <c r="S4108" i="1"/>
  <c r="T4108" i="1"/>
  <c r="U4108" i="1"/>
  <c r="BB4108" i="1"/>
  <c r="BW4108" i="1"/>
  <c r="A4109" i="1"/>
  <c r="C4109" i="1"/>
  <c r="S4109" i="1"/>
  <c r="T4109" i="1"/>
  <c r="U4109" i="1"/>
  <c r="BB4109" i="1"/>
  <c r="BW4109" i="1"/>
  <c r="A4110" i="1"/>
  <c r="C4110" i="1"/>
  <c r="S4110" i="1"/>
  <c r="T4110" i="1"/>
  <c r="U4110" i="1"/>
  <c r="BB4110" i="1"/>
  <c r="BW4110" i="1"/>
  <c r="A4111" i="1"/>
  <c r="C4111" i="1"/>
  <c r="S4111" i="1"/>
  <c r="T4111" i="1"/>
  <c r="U4111" i="1"/>
  <c r="BB4111" i="1"/>
  <c r="BW4111" i="1"/>
  <c r="A4112" i="1"/>
  <c r="C4112" i="1"/>
  <c r="S4112" i="1"/>
  <c r="T4112" i="1"/>
  <c r="U4112" i="1"/>
  <c r="BB4112" i="1"/>
  <c r="BW4112" i="1"/>
  <c r="A4113" i="1"/>
  <c r="C4113" i="1"/>
  <c r="S4113" i="1"/>
  <c r="T4113" i="1"/>
  <c r="U4113" i="1"/>
  <c r="BB4113" i="1"/>
  <c r="BW4113" i="1"/>
  <c r="A4114" i="1"/>
  <c r="C4114" i="1"/>
  <c r="S4114" i="1"/>
  <c r="T4114" i="1"/>
  <c r="U4114" i="1"/>
  <c r="BB4114" i="1"/>
  <c r="BW4114" i="1"/>
  <c r="A4115" i="1"/>
  <c r="C4115" i="1"/>
  <c r="S4115" i="1"/>
  <c r="T4115" i="1"/>
  <c r="U4115" i="1"/>
  <c r="BB4115" i="1"/>
  <c r="BW4115" i="1"/>
  <c r="A4116" i="1"/>
  <c r="C4116" i="1"/>
  <c r="S4116" i="1"/>
  <c r="T4116" i="1"/>
  <c r="U4116" i="1"/>
  <c r="BB4116" i="1"/>
  <c r="BW4116" i="1"/>
  <c r="A4117" i="1"/>
  <c r="C4117" i="1"/>
  <c r="S4117" i="1"/>
  <c r="T4117" i="1"/>
  <c r="U4117" i="1"/>
  <c r="BB4117" i="1"/>
  <c r="BW4117" i="1"/>
  <c r="A4118" i="1"/>
  <c r="C4118" i="1"/>
  <c r="S4118" i="1"/>
  <c r="T4118" i="1"/>
  <c r="U4118" i="1"/>
  <c r="BB4118" i="1"/>
  <c r="BW4118" i="1"/>
  <c r="A4119" i="1"/>
  <c r="C4119" i="1"/>
  <c r="S4119" i="1"/>
  <c r="T4119" i="1"/>
  <c r="U4119" i="1"/>
  <c r="BB4119" i="1"/>
  <c r="BW4119" i="1"/>
  <c r="A4120" i="1"/>
  <c r="C4120" i="1"/>
  <c r="S4120" i="1"/>
  <c r="T4120" i="1"/>
  <c r="U4120" i="1"/>
  <c r="BB4120" i="1"/>
  <c r="BW4120" i="1"/>
  <c r="A4121" i="1"/>
  <c r="C4121" i="1"/>
  <c r="S4121" i="1"/>
  <c r="T4121" i="1"/>
  <c r="U4121" i="1"/>
  <c r="BB4121" i="1"/>
  <c r="BW4121" i="1"/>
  <c r="A4122" i="1"/>
  <c r="C4122" i="1"/>
  <c r="S4122" i="1"/>
  <c r="T4122" i="1"/>
  <c r="U4122" i="1"/>
  <c r="BB4122" i="1"/>
  <c r="BW4122" i="1"/>
  <c r="A4123" i="1"/>
  <c r="C4123" i="1"/>
  <c r="S4123" i="1"/>
  <c r="T4123" i="1"/>
  <c r="U4123" i="1"/>
  <c r="BB4123" i="1"/>
  <c r="BW4123" i="1"/>
  <c r="A4124" i="1"/>
  <c r="C4124" i="1"/>
  <c r="S4124" i="1"/>
  <c r="T4124" i="1"/>
  <c r="U4124" i="1"/>
  <c r="BB4124" i="1"/>
  <c r="BW4124" i="1"/>
  <c r="A4125" i="1"/>
  <c r="C4125" i="1"/>
  <c r="S4125" i="1"/>
  <c r="T4125" i="1"/>
  <c r="U4125" i="1"/>
  <c r="BB4125" i="1"/>
  <c r="BW4125" i="1"/>
  <c r="A4126" i="1"/>
  <c r="C4126" i="1"/>
  <c r="S4126" i="1"/>
  <c r="T4126" i="1"/>
  <c r="U4126" i="1"/>
  <c r="BB4126" i="1"/>
  <c r="BW4126" i="1"/>
  <c r="A4127" i="1"/>
  <c r="C4127" i="1"/>
  <c r="S4127" i="1"/>
  <c r="T4127" i="1"/>
  <c r="U4127" i="1"/>
  <c r="BB4127" i="1"/>
  <c r="BW4127" i="1"/>
  <c r="A4128" i="1"/>
  <c r="C4128" i="1"/>
  <c r="S4128" i="1"/>
  <c r="T4128" i="1"/>
  <c r="U4128" i="1"/>
  <c r="BB4128" i="1"/>
  <c r="BW4128" i="1"/>
  <c r="A4129" i="1"/>
  <c r="C4129" i="1"/>
  <c r="S4129" i="1"/>
  <c r="T4129" i="1"/>
  <c r="U4129" i="1"/>
  <c r="BB4129" i="1"/>
  <c r="BW4129" i="1"/>
  <c r="A4130" i="1"/>
  <c r="C4130" i="1"/>
  <c r="S4130" i="1"/>
  <c r="T4130" i="1"/>
  <c r="U4130" i="1"/>
  <c r="BB4130" i="1"/>
  <c r="BW4130" i="1"/>
  <c r="A4131" i="1"/>
  <c r="C4131" i="1"/>
  <c r="S4131" i="1"/>
  <c r="T4131" i="1"/>
  <c r="U4131" i="1"/>
  <c r="BB4131" i="1"/>
  <c r="BW4131" i="1"/>
  <c r="A4132" i="1"/>
  <c r="C4132" i="1"/>
  <c r="S4132" i="1"/>
  <c r="T4132" i="1"/>
  <c r="U4132" i="1"/>
  <c r="BB4132" i="1"/>
  <c r="BW4132" i="1"/>
  <c r="A4133" i="1"/>
  <c r="C4133" i="1"/>
  <c r="S4133" i="1"/>
  <c r="T4133" i="1"/>
  <c r="U4133" i="1"/>
  <c r="BB4133" i="1"/>
  <c r="BW4133" i="1"/>
  <c r="A4134" i="1"/>
  <c r="C4134" i="1"/>
  <c r="S4134" i="1"/>
  <c r="T4134" i="1"/>
  <c r="U4134" i="1"/>
  <c r="BB4134" i="1"/>
  <c r="BW4134" i="1"/>
  <c r="A4135" i="1"/>
  <c r="C4135" i="1"/>
  <c r="S4135" i="1"/>
  <c r="T4135" i="1"/>
  <c r="U4135" i="1"/>
  <c r="BB4135" i="1"/>
  <c r="BW4135" i="1"/>
  <c r="A4136" i="1"/>
  <c r="C4136" i="1"/>
  <c r="S4136" i="1"/>
  <c r="T4136" i="1"/>
  <c r="U4136" i="1"/>
  <c r="BB4136" i="1"/>
  <c r="BW4136" i="1"/>
  <c r="A4137" i="1"/>
  <c r="C4137" i="1"/>
  <c r="S4137" i="1"/>
  <c r="T4137" i="1"/>
  <c r="U4137" i="1"/>
  <c r="BB4137" i="1"/>
  <c r="BW4137" i="1"/>
  <c r="A4138" i="1"/>
  <c r="C4138" i="1"/>
  <c r="S4138" i="1"/>
  <c r="T4138" i="1"/>
  <c r="U4138" i="1"/>
  <c r="BB4138" i="1"/>
  <c r="BW4138" i="1"/>
  <c r="A4139" i="1"/>
  <c r="C4139" i="1"/>
  <c r="S4139" i="1"/>
  <c r="T4139" i="1"/>
  <c r="U4139" i="1"/>
  <c r="BB4139" i="1"/>
  <c r="BW4139" i="1"/>
  <c r="A4140" i="1"/>
  <c r="C4140" i="1"/>
  <c r="S4140" i="1"/>
  <c r="T4140" i="1"/>
  <c r="U4140" i="1"/>
  <c r="BB4140" i="1"/>
  <c r="BW4140" i="1"/>
  <c r="A4141" i="1"/>
  <c r="C4141" i="1"/>
  <c r="S4141" i="1"/>
  <c r="T4141" i="1"/>
  <c r="U4141" i="1"/>
  <c r="BB4141" i="1"/>
  <c r="BW4141" i="1"/>
  <c r="A4142" i="1"/>
  <c r="C4142" i="1"/>
  <c r="S4142" i="1"/>
  <c r="T4142" i="1"/>
  <c r="U4142" i="1"/>
  <c r="BB4142" i="1"/>
  <c r="BW4142" i="1"/>
  <c r="A4143" i="1"/>
  <c r="C4143" i="1"/>
  <c r="S4143" i="1"/>
  <c r="T4143" i="1"/>
  <c r="U4143" i="1"/>
  <c r="BB4143" i="1"/>
  <c r="BW4143" i="1"/>
  <c r="A4144" i="1"/>
  <c r="C4144" i="1"/>
  <c r="S4144" i="1"/>
  <c r="T4144" i="1"/>
  <c r="U4144" i="1"/>
  <c r="BB4144" i="1"/>
  <c r="BW4144" i="1"/>
  <c r="A4145" i="1"/>
  <c r="C4145" i="1"/>
  <c r="S4145" i="1"/>
  <c r="T4145" i="1"/>
  <c r="U4145" i="1"/>
  <c r="BB4145" i="1"/>
  <c r="BW4145" i="1"/>
  <c r="A4146" i="1"/>
  <c r="C4146" i="1"/>
  <c r="S4146" i="1"/>
  <c r="T4146" i="1"/>
  <c r="U4146" i="1"/>
  <c r="BB4146" i="1"/>
  <c r="BW4146" i="1"/>
  <c r="A4147" i="1"/>
  <c r="C4147" i="1"/>
  <c r="S4147" i="1"/>
  <c r="T4147" i="1"/>
  <c r="U4147" i="1"/>
  <c r="BB4147" i="1"/>
  <c r="BW4147" i="1"/>
  <c r="A4148" i="1"/>
  <c r="C4148" i="1"/>
  <c r="S4148" i="1"/>
  <c r="T4148" i="1"/>
  <c r="U4148" i="1"/>
  <c r="BB4148" i="1"/>
  <c r="BW4148" i="1"/>
  <c r="A4149" i="1"/>
  <c r="C4149" i="1"/>
  <c r="S4149" i="1"/>
  <c r="T4149" i="1"/>
  <c r="U4149" i="1"/>
  <c r="BB4149" i="1"/>
  <c r="BW4149" i="1"/>
  <c r="A4150" i="1"/>
  <c r="C4150" i="1"/>
  <c r="S4150" i="1"/>
  <c r="T4150" i="1"/>
  <c r="U4150" i="1"/>
  <c r="BB4150" i="1"/>
  <c r="BW4150" i="1"/>
  <c r="A4151" i="1"/>
  <c r="C4151" i="1"/>
  <c r="S4151" i="1"/>
  <c r="T4151" i="1"/>
  <c r="U4151" i="1"/>
  <c r="BB4151" i="1"/>
  <c r="BW4151" i="1"/>
  <c r="A4152" i="1"/>
  <c r="C4152" i="1"/>
  <c r="S4152" i="1"/>
  <c r="T4152" i="1"/>
  <c r="U4152" i="1"/>
  <c r="BB4152" i="1"/>
  <c r="BW4152" i="1"/>
  <c r="A4153" i="1"/>
  <c r="C4153" i="1"/>
  <c r="S4153" i="1"/>
  <c r="T4153" i="1"/>
  <c r="U4153" i="1"/>
  <c r="BB4153" i="1"/>
  <c r="BW4153" i="1"/>
  <c r="A4154" i="1"/>
  <c r="C4154" i="1"/>
  <c r="S4154" i="1"/>
  <c r="T4154" i="1"/>
  <c r="U4154" i="1"/>
  <c r="BB4154" i="1"/>
  <c r="BW4154" i="1"/>
  <c r="A4155" i="1"/>
  <c r="C4155" i="1"/>
  <c r="S4155" i="1"/>
  <c r="T4155" i="1"/>
  <c r="U4155" i="1"/>
  <c r="BB4155" i="1"/>
  <c r="BW4155" i="1"/>
  <c r="A4156" i="1"/>
  <c r="C4156" i="1"/>
  <c r="S4156" i="1"/>
  <c r="T4156" i="1"/>
  <c r="U4156" i="1"/>
  <c r="BB4156" i="1"/>
  <c r="BW4156" i="1"/>
  <c r="A4157" i="1"/>
  <c r="C4157" i="1"/>
  <c r="S4157" i="1"/>
  <c r="T4157" i="1"/>
  <c r="U4157" i="1"/>
  <c r="BB4157" i="1"/>
  <c r="BW4157" i="1"/>
  <c r="A4158" i="1"/>
  <c r="C4158" i="1"/>
  <c r="S4158" i="1"/>
  <c r="T4158" i="1"/>
  <c r="U4158" i="1"/>
  <c r="BB4158" i="1"/>
  <c r="BW4158" i="1"/>
  <c r="A4159" i="1"/>
  <c r="C4159" i="1"/>
  <c r="S4159" i="1"/>
  <c r="T4159" i="1"/>
  <c r="U4159" i="1"/>
  <c r="BB4159" i="1"/>
  <c r="BW4159" i="1"/>
  <c r="A4160" i="1"/>
  <c r="C4160" i="1"/>
  <c r="S4160" i="1"/>
  <c r="T4160" i="1"/>
  <c r="U4160" i="1"/>
  <c r="BB4160" i="1"/>
  <c r="BW4160" i="1"/>
  <c r="A4161" i="1"/>
  <c r="C4161" i="1"/>
  <c r="S4161" i="1"/>
  <c r="T4161" i="1"/>
  <c r="U4161" i="1"/>
  <c r="BB4161" i="1"/>
  <c r="BW4161" i="1"/>
  <c r="A4162" i="1"/>
  <c r="C4162" i="1"/>
  <c r="S4162" i="1"/>
  <c r="T4162" i="1"/>
  <c r="U4162" i="1"/>
  <c r="BB4162" i="1"/>
  <c r="BW4162" i="1"/>
  <c r="A4163" i="1"/>
  <c r="C4163" i="1"/>
  <c r="S4163" i="1"/>
  <c r="T4163" i="1"/>
  <c r="U4163" i="1"/>
  <c r="BB4163" i="1"/>
  <c r="BW4163" i="1"/>
  <c r="A4164" i="1"/>
  <c r="C4164" i="1"/>
  <c r="S4164" i="1"/>
  <c r="T4164" i="1"/>
  <c r="U4164" i="1"/>
  <c r="BB4164" i="1"/>
  <c r="BW4164" i="1"/>
  <c r="A4165" i="1"/>
  <c r="C4165" i="1"/>
  <c r="S4165" i="1"/>
  <c r="T4165" i="1"/>
  <c r="U4165" i="1"/>
  <c r="BB4165" i="1"/>
  <c r="BW4165" i="1"/>
  <c r="A4166" i="1"/>
  <c r="C4166" i="1"/>
  <c r="S4166" i="1"/>
  <c r="T4166" i="1"/>
  <c r="U4166" i="1"/>
  <c r="BB4166" i="1"/>
  <c r="BW4166" i="1"/>
  <c r="A4167" i="1"/>
  <c r="C4167" i="1"/>
  <c r="S4167" i="1"/>
  <c r="T4167" i="1"/>
  <c r="U4167" i="1"/>
  <c r="BB4167" i="1"/>
  <c r="BW4167" i="1"/>
  <c r="A4168" i="1"/>
  <c r="C4168" i="1"/>
  <c r="S4168" i="1"/>
  <c r="T4168" i="1"/>
  <c r="U4168" i="1"/>
  <c r="BB4168" i="1"/>
  <c r="BW4168" i="1"/>
  <c r="A4169" i="1"/>
  <c r="C4169" i="1"/>
  <c r="S4169" i="1"/>
  <c r="T4169" i="1"/>
  <c r="U4169" i="1"/>
  <c r="BB4169" i="1"/>
  <c r="BW4169" i="1"/>
  <c r="A4170" i="1"/>
  <c r="C4170" i="1"/>
  <c r="S4170" i="1"/>
  <c r="T4170" i="1"/>
  <c r="U4170" i="1"/>
  <c r="BB4170" i="1"/>
  <c r="BW4170" i="1"/>
  <c r="A4171" i="1"/>
  <c r="C4171" i="1"/>
  <c r="S4171" i="1"/>
  <c r="T4171" i="1"/>
  <c r="U4171" i="1"/>
  <c r="BB4171" i="1"/>
  <c r="BW4171" i="1"/>
  <c r="A4172" i="1"/>
  <c r="C4172" i="1"/>
  <c r="S4172" i="1"/>
  <c r="T4172" i="1"/>
  <c r="U4172" i="1"/>
  <c r="BB4172" i="1"/>
  <c r="BW4172" i="1"/>
  <c r="A4173" i="1"/>
  <c r="C4173" i="1"/>
  <c r="S4173" i="1"/>
  <c r="T4173" i="1"/>
  <c r="U4173" i="1"/>
  <c r="BB4173" i="1"/>
  <c r="BW4173" i="1"/>
  <c r="A4174" i="1"/>
  <c r="C4174" i="1"/>
  <c r="S4174" i="1"/>
  <c r="T4174" i="1"/>
  <c r="U4174" i="1"/>
  <c r="BB4174" i="1"/>
  <c r="BW4174" i="1"/>
  <c r="A4175" i="1"/>
  <c r="C4175" i="1"/>
  <c r="S4175" i="1"/>
  <c r="T4175" i="1"/>
  <c r="U4175" i="1"/>
  <c r="BB4175" i="1"/>
  <c r="BW4175" i="1"/>
  <c r="A4176" i="1"/>
  <c r="C4176" i="1"/>
  <c r="S4176" i="1"/>
  <c r="T4176" i="1"/>
  <c r="U4176" i="1"/>
  <c r="BB4176" i="1"/>
  <c r="BW4176" i="1"/>
  <c r="A4177" i="1"/>
  <c r="C4177" i="1"/>
  <c r="S4177" i="1"/>
  <c r="T4177" i="1"/>
  <c r="U4177" i="1"/>
  <c r="BB4177" i="1"/>
  <c r="BW4177" i="1"/>
  <c r="A4178" i="1"/>
  <c r="C4178" i="1"/>
  <c r="S4178" i="1"/>
  <c r="T4178" i="1"/>
  <c r="U4178" i="1"/>
  <c r="BB4178" i="1"/>
  <c r="BW4178" i="1"/>
  <c r="A4179" i="1"/>
  <c r="C4179" i="1"/>
  <c r="S4179" i="1"/>
  <c r="T4179" i="1"/>
  <c r="U4179" i="1"/>
  <c r="BB4179" i="1"/>
  <c r="BW4179" i="1"/>
  <c r="A4180" i="1"/>
  <c r="C4180" i="1"/>
  <c r="S4180" i="1"/>
  <c r="T4180" i="1"/>
  <c r="U4180" i="1"/>
  <c r="BB4180" i="1"/>
  <c r="BW4180" i="1"/>
  <c r="A4181" i="1"/>
  <c r="C4181" i="1"/>
  <c r="S4181" i="1"/>
  <c r="T4181" i="1"/>
  <c r="U4181" i="1"/>
  <c r="BB4181" i="1"/>
  <c r="BW4181" i="1"/>
  <c r="A4182" i="1"/>
  <c r="C4182" i="1"/>
  <c r="S4182" i="1"/>
  <c r="T4182" i="1"/>
  <c r="U4182" i="1"/>
  <c r="BB4182" i="1"/>
  <c r="BW4182" i="1"/>
  <c r="A4183" i="1"/>
  <c r="C4183" i="1"/>
  <c r="S4183" i="1"/>
  <c r="T4183" i="1"/>
  <c r="U4183" i="1"/>
  <c r="BB4183" i="1"/>
  <c r="BW4183" i="1"/>
  <c r="A4184" i="1"/>
  <c r="C4184" i="1"/>
  <c r="S4184" i="1"/>
  <c r="T4184" i="1"/>
  <c r="U4184" i="1"/>
  <c r="BB4184" i="1"/>
  <c r="BW4184" i="1"/>
  <c r="A4185" i="1"/>
  <c r="C4185" i="1"/>
  <c r="S4185" i="1"/>
  <c r="T4185" i="1"/>
  <c r="U4185" i="1"/>
  <c r="BB4185" i="1"/>
  <c r="BW4185" i="1"/>
  <c r="A4186" i="1"/>
  <c r="C4186" i="1"/>
  <c r="S4186" i="1"/>
  <c r="T4186" i="1"/>
  <c r="U4186" i="1"/>
  <c r="BB4186" i="1"/>
  <c r="BW4186" i="1"/>
  <c r="A4187" i="1"/>
  <c r="C4187" i="1"/>
  <c r="S4187" i="1"/>
  <c r="T4187" i="1"/>
  <c r="U4187" i="1"/>
  <c r="BB4187" i="1"/>
  <c r="BW4187" i="1"/>
  <c r="A4188" i="1"/>
  <c r="C4188" i="1"/>
  <c r="S4188" i="1"/>
  <c r="T4188" i="1"/>
  <c r="U4188" i="1"/>
  <c r="BB4188" i="1"/>
  <c r="BW4188" i="1"/>
  <c r="A4189" i="1"/>
  <c r="C4189" i="1"/>
  <c r="S4189" i="1"/>
  <c r="T4189" i="1"/>
  <c r="U4189" i="1"/>
  <c r="BB4189" i="1"/>
  <c r="BW4189" i="1"/>
  <c r="A4190" i="1"/>
  <c r="C4190" i="1"/>
  <c r="S4190" i="1"/>
  <c r="T4190" i="1"/>
  <c r="U4190" i="1"/>
  <c r="BB4190" i="1"/>
  <c r="BW4190" i="1"/>
  <c r="A4191" i="1"/>
  <c r="C4191" i="1"/>
  <c r="S4191" i="1"/>
  <c r="T4191" i="1"/>
  <c r="U4191" i="1"/>
  <c r="BB4191" i="1"/>
  <c r="BW4191" i="1"/>
  <c r="A4192" i="1"/>
  <c r="C4192" i="1"/>
  <c r="S4192" i="1"/>
  <c r="T4192" i="1"/>
  <c r="U4192" i="1"/>
  <c r="BB4192" i="1"/>
  <c r="BW4192" i="1"/>
  <c r="A4193" i="1"/>
  <c r="C4193" i="1"/>
  <c r="S4193" i="1"/>
  <c r="T4193" i="1"/>
  <c r="U4193" i="1"/>
  <c r="BB4193" i="1"/>
  <c r="BW4193" i="1"/>
  <c r="A4194" i="1"/>
  <c r="C4194" i="1"/>
  <c r="S4194" i="1"/>
  <c r="T4194" i="1"/>
  <c r="U4194" i="1"/>
  <c r="BB4194" i="1"/>
  <c r="BW4194" i="1"/>
  <c r="A4195" i="1"/>
  <c r="C4195" i="1"/>
  <c r="S4195" i="1"/>
  <c r="T4195" i="1"/>
  <c r="U4195" i="1"/>
  <c r="BB4195" i="1"/>
  <c r="BW4195" i="1"/>
  <c r="A4196" i="1"/>
  <c r="C4196" i="1"/>
  <c r="S4196" i="1"/>
  <c r="T4196" i="1"/>
  <c r="U4196" i="1"/>
  <c r="BB4196" i="1"/>
  <c r="BW4196" i="1"/>
  <c r="A4197" i="1"/>
  <c r="C4197" i="1"/>
  <c r="S4197" i="1"/>
  <c r="T4197" i="1"/>
  <c r="U4197" i="1"/>
  <c r="BB4197" i="1"/>
  <c r="BW4197" i="1"/>
  <c r="A4198" i="1"/>
  <c r="C4198" i="1"/>
  <c r="S4198" i="1"/>
  <c r="T4198" i="1"/>
  <c r="U4198" i="1"/>
  <c r="BB4198" i="1"/>
  <c r="BW4198" i="1"/>
  <c r="A4199" i="1"/>
  <c r="C4199" i="1"/>
  <c r="S4199" i="1"/>
  <c r="T4199" i="1"/>
  <c r="U4199" i="1"/>
  <c r="BB4199" i="1"/>
  <c r="BW4199" i="1"/>
  <c r="A4200" i="1"/>
  <c r="C4200" i="1"/>
  <c r="S4200" i="1"/>
  <c r="T4200" i="1"/>
  <c r="U4200" i="1"/>
  <c r="BB4200" i="1"/>
  <c r="BW4200" i="1"/>
  <c r="A4201" i="1"/>
  <c r="C4201" i="1"/>
  <c r="S4201" i="1"/>
  <c r="T4201" i="1"/>
  <c r="U4201" i="1"/>
  <c r="BB4201" i="1"/>
  <c r="BW4201" i="1"/>
  <c r="A4202" i="1"/>
  <c r="C4202" i="1"/>
  <c r="S4202" i="1"/>
  <c r="T4202" i="1"/>
  <c r="U4202" i="1"/>
  <c r="BB4202" i="1"/>
  <c r="BW4202" i="1"/>
  <c r="A4203" i="1"/>
  <c r="C4203" i="1"/>
  <c r="S4203" i="1"/>
  <c r="T4203" i="1"/>
  <c r="U4203" i="1"/>
  <c r="BB4203" i="1"/>
  <c r="BW4203" i="1"/>
  <c r="A4204" i="1"/>
  <c r="C4204" i="1"/>
  <c r="S4204" i="1"/>
  <c r="T4204" i="1"/>
  <c r="U4204" i="1"/>
  <c r="BB4204" i="1"/>
  <c r="BW4204" i="1"/>
  <c r="A4205" i="1"/>
  <c r="C4205" i="1"/>
  <c r="S4205" i="1"/>
  <c r="T4205" i="1"/>
  <c r="U4205" i="1"/>
  <c r="BB4205" i="1"/>
  <c r="BW4205" i="1"/>
  <c r="A4206" i="1"/>
  <c r="C4206" i="1"/>
  <c r="S4206" i="1"/>
  <c r="T4206" i="1"/>
  <c r="U4206" i="1"/>
  <c r="BB4206" i="1"/>
  <c r="BW4206" i="1"/>
  <c r="A4207" i="1"/>
  <c r="C4207" i="1"/>
  <c r="S4207" i="1"/>
  <c r="T4207" i="1"/>
  <c r="U4207" i="1"/>
  <c r="BB4207" i="1"/>
  <c r="BW4207" i="1"/>
  <c r="A4208" i="1"/>
  <c r="C4208" i="1"/>
  <c r="S4208" i="1"/>
  <c r="T4208" i="1"/>
  <c r="U4208" i="1"/>
  <c r="BB4208" i="1"/>
  <c r="BW4208" i="1"/>
  <c r="A4209" i="1"/>
  <c r="C4209" i="1"/>
  <c r="S4209" i="1"/>
  <c r="T4209" i="1"/>
  <c r="U4209" i="1"/>
  <c r="BB4209" i="1"/>
  <c r="BW4209" i="1"/>
  <c r="A4210" i="1"/>
  <c r="C4210" i="1"/>
  <c r="S4210" i="1"/>
  <c r="T4210" i="1"/>
  <c r="U4210" i="1"/>
  <c r="BB4210" i="1"/>
  <c r="BW4210" i="1"/>
  <c r="A4211" i="1"/>
  <c r="C4211" i="1"/>
  <c r="S4211" i="1"/>
  <c r="T4211" i="1"/>
  <c r="U4211" i="1"/>
  <c r="BB4211" i="1"/>
  <c r="BW4211" i="1"/>
  <c r="A4212" i="1"/>
  <c r="C4212" i="1"/>
  <c r="S4212" i="1"/>
  <c r="T4212" i="1"/>
  <c r="U4212" i="1"/>
  <c r="BB4212" i="1"/>
  <c r="BW4212" i="1"/>
  <c r="A4213" i="1"/>
  <c r="C4213" i="1"/>
  <c r="S4213" i="1"/>
  <c r="T4213" i="1"/>
  <c r="U4213" i="1"/>
  <c r="BB4213" i="1"/>
  <c r="BW4213" i="1"/>
  <c r="A4214" i="1"/>
  <c r="C4214" i="1"/>
  <c r="S4214" i="1"/>
  <c r="T4214" i="1"/>
  <c r="U4214" i="1"/>
  <c r="BB4214" i="1"/>
  <c r="BW4214" i="1"/>
  <c r="A4215" i="1"/>
  <c r="C4215" i="1"/>
  <c r="S4215" i="1"/>
  <c r="T4215" i="1"/>
  <c r="U4215" i="1"/>
  <c r="BB4215" i="1"/>
  <c r="BW4215" i="1"/>
  <c r="A4216" i="1"/>
  <c r="C4216" i="1"/>
  <c r="S4216" i="1"/>
  <c r="T4216" i="1"/>
  <c r="U4216" i="1"/>
  <c r="BB4216" i="1"/>
  <c r="BW4216" i="1"/>
  <c r="A4217" i="1"/>
  <c r="C4217" i="1"/>
  <c r="S4217" i="1"/>
  <c r="T4217" i="1"/>
  <c r="U4217" i="1"/>
  <c r="BB4217" i="1"/>
  <c r="BW4217" i="1"/>
  <c r="A4218" i="1"/>
  <c r="C4218" i="1"/>
  <c r="S4218" i="1"/>
  <c r="T4218" i="1"/>
  <c r="U4218" i="1"/>
  <c r="BB4218" i="1"/>
  <c r="BW4218" i="1"/>
  <c r="A4219" i="1"/>
  <c r="C4219" i="1"/>
  <c r="S4219" i="1"/>
  <c r="T4219" i="1"/>
  <c r="U4219" i="1"/>
  <c r="BB4219" i="1"/>
  <c r="BW4219" i="1"/>
  <c r="A4220" i="1"/>
  <c r="C4220" i="1"/>
  <c r="S4220" i="1"/>
  <c r="T4220" i="1"/>
  <c r="U4220" i="1"/>
  <c r="BB4220" i="1"/>
  <c r="BW4220" i="1"/>
  <c r="A4221" i="1"/>
  <c r="C4221" i="1"/>
  <c r="S4221" i="1"/>
  <c r="T4221" i="1"/>
  <c r="U4221" i="1"/>
  <c r="BB4221" i="1"/>
  <c r="BW4221" i="1"/>
  <c r="A4222" i="1"/>
  <c r="C4222" i="1"/>
  <c r="S4222" i="1"/>
  <c r="T4222" i="1"/>
  <c r="U4222" i="1"/>
  <c r="BB4222" i="1"/>
  <c r="BW4222" i="1"/>
  <c r="A4223" i="1"/>
  <c r="C4223" i="1"/>
  <c r="S4223" i="1"/>
  <c r="T4223" i="1"/>
  <c r="U4223" i="1"/>
  <c r="BB4223" i="1"/>
  <c r="BW4223" i="1"/>
  <c r="A4224" i="1"/>
  <c r="C4224" i="1"/>
  <c r="S4224" i="1"/>
  <c r="T4224" i="1"/>
  <c r="U4224" i="1"/>
  <c r="BB4224" i="1"/>
  <c r="BW4224" i="1"/>
  <c r="A4225" i="1"/>
  <c r="C4225" i="1"/>
  <c r="S4225" i="1"/>
  <c r="T4225" i="1"/>
  <c r="U4225" i="1"/>
  <c r="BB4225" i="1"/>
  <c r="BW4225" i="1"/>
  <c r="A4226" i="1"/>
  <c r="C4226" i="1"/>
  <c r="S4226" i="1"/>
  <c r="T4226" i="1"/>
  <c r="U4226" i="1"/>
  <c r="BB4226" i="1"/>
  <c r="BW4226" i="1"/>
  <c r="A4227" i="1"/>
  <c r="C4227" i="1"/>
  <c r="S4227" i="1"/>
  <c r="T4227" i="1"/>
  <c r="U4227" i="1"/>
  <c r="BB4227" i="1"/>
  <c r="BW4227" i="1"/>
  <c r="A4228" i="1"/>
  <c r="C4228" i="1"/>
  <c r="S4228" i="1"/>
  <c r="T4228" i="1"/>
  <c r="U4228" i="1"/>
  <c r="BB4228" i="1"/>
  <c r="BW4228" i="1"/>
  <c r="A4229" i="1"/>
  <c r="C4229" i="1"/>
  <c r="S4229" i="1"/>
  <c r="T4229" i="1"/>
  <c r="U4229" i="1"/>
  <c r="BB4229" i="1"/>
  <c r="BW4229" i="1"/>
  <c r="A4230" i="1"/>
  <c r="C4230" i="1"/>
  <c r="S4230" i="1"/>
  <c r="T4230" i="1"/>
  <c r="U4230" i="1"/>
  <c r="BB4230" i="1"/>
  <c r="BW4230" i="1"/>
  <c r="A4231" i="1"/>
  <c r="C4231" i="1"/>
  <c r="S4231" i="1"/>
  <c r="T4231" i="1"/>
  <c r="U4231" i="1"/>
  <c r="BB4231" i="1"/>
  <c r="BW4231" i="1"/>
  <c r="A4232" i="1"/>
  <c r="C4232" i="1"/>
  <c r="S4232" i="1"/>
  <c r="T4232" i="1"/>
  <c r="U4232" i="1"/>
  <c r="BB4232" i="1"/>
  <c r="BW4232" i="1"/>
  <c r="A4233" i="1"/>
  <c r="C4233" i="1"/>
  <c r="S4233" i="1"/>
  <c r="T4233" i="1"/>
  <c r="U4233" i="1"/>
  <c r="BB4233" i="1"/>
  <c r="BW4233" i="1"/>
  <c r="A4234" i="1"/>
  <c r="C4234" i="1"/>
  <c r="S4234" i="1"/>
  <c r="T4234" i="1"/>
  <c r="U4234" i="1"/>
  <c r="BB4234" i="1"/>
  <c r="BW4234" i="1"/>
  <c r="A4235" i="1"/>
  <c r="C4235" i="1"/>
  <c r="S4235" i="1"/>
  <c r="T4235" i="1"/>
  <c r="U4235" i="1"/>
  <c r="BB4235" i="1"/>
  <c r="BW4235" i="1"/>
  <c r="A4236" i="1"/>
  <c r="C4236" i="1"/>
  <c r="S4236" i="1"/>
  <c r="T4236" i="1"/>
  <c r="U4236" i="1"/>
  <c r="BB4236" i="1"/>
  <c r="BW4236" i="1"/>
  <c r="A4237" i="1"/>
  <c r="C4237" i="1"/>
  <c r="S4237" i="1"/>
  <c r="T4237" i="1"/>
  <c r="U4237" i="1"/>
  <c r="BB4237" i="1"/>
  <c r="BW4237" i="1"/>
  <c r="A4238" i="1"/>
  <c r="C4238" i="1"/>
  <c r="S4238" i="1"/>
  <c r="T4238" i="1"/>
  <c r="U4238" i="1"/>
  <c r="BB4238" i="1"/>
  <c r="BW4238" i="1"/>
  <c r="A4239" i="1"/>
  <c r="C4239" i="1"/>
  <c r="S4239" i="1"/>
  <c r="T4239" i="1"/>
  <c r="U4239" i="1"/>
  <c r="BB4239" i="1"/>
  <c r="BW4239" i="1"/>
  <c r="A4240" i="1"/>
  <c r="C4240" i="1"/>
  <c r="S4240" i="1"/>
  <c r="T4240" i="1"/>
  <c r="U4240" i="1"/>
  <c r="BB4240" i="1"/>
  <c r="BW4240" i="1"/>
  <c r="A4241" i="1"/>
  <c r="C4241" i="1"/>
  <c r="S4241" i="1"/>
  <c r="T4241" i="1"/>
  <c r="U4241" i="1"/>
  <c r="BB4241" i="1"/>
  <c r="BW4241" i="1"/>
  <c r="A4242" i="1"/>
  <c r="C4242" i="1"/>
  <c r="S4242" i="1"/>
  <c r="T4242" i="1"/>
  <c r="U4242" i="1"/>
  <c r="BB4242" i="1"/>
  <c r="BW4242" i="1"/>
  <c r="A4243" i="1"/>
  <c r="C4243" i="1"/>
  <c r="S4243" i="1"/>
  <c r="T4243" i="1"/>
  <c r="U4243" i="1"/>
  <c r="BB4243" i="1"/>
  <c r="BW4243" i="1"/>
  <c r="A4244" i="1"/>
  <c r="C4244" i="1"/>
  <c r="S4244" i="1"/>
  <c r="T4244" i="1"/>
  <c r="U4244" i="1"/>
  <c r="BB4244" i="1"/>
  <c r="BW4244" i="1"/>
  <c r="A4245" i="1"/>
  <c r="C4245" i="1"/>
  <c r="S4245" i="1"/>
  <c r="T4245" i="1"/>
  <c r="U4245" i="1"/>
  <c r="BB4245" i="1"/>
  <c r="BW4245" i="1"/>
  <c r="A4246" i="1"/>
  <c r="C4246" i="1"/>
  <c r="S4246" i="1"/>
  <c r="T4246" i="1"/>
  <c r="U4246" i="1"/>
  <c r="BB4246" i="1"/>
  <c r="BW4246" i="1"/>
  <c r="A4247" i="1"/>
  <c r="C4247" i="1"/>
  <c r="S4247" i="1"/>
  <c r="T4247" i="1"/>
  <c r="U4247" i="1"/>
  <c r="BB4247" i="1"/>
  <c r="BW4247" i="1"/>
  <c r="A4248" i="1"/>
  <c r="C4248" i="1"/>
  <c r="S4248" i="1"/>
  <c r="T4248" i="1"/>
  <c r="U4248" i="1"/>
  <c r="BB4248" i="1"/>
  <c r="BW4248" i="1"/>
  <c r="A4249" i="1"/>
  <c r="C4249" i="1"/>
  <c r="S4249" i="1"/>
  <c r="T4249" i="1"/>
  <c r="U4249" i="1"/>
  <c r="BB4249" i="1"/>
  <c r="BW4249" i="1"/>
  <c r="A4250" i="1"/>
  <c r="C4250" i="1"/>
  <c r="S4250" i="1"/>
  <c r="T4250" i="1"/>
  <c r="U4250" i="1"/>
  <c r="BB4250" i="1"/>
  <c r="BW4250" i="1"/>
  <c r="A4251" i="1"/>
  <c r="C4251" i="1"/>
  <c r="S4251" i="1"/>
  <c r="T4251" i="1"/>
  <c r="U4251" i="1"/>
  <c r="BB4251" i="1"/>
  <c r="BW4251" i="1"/>
  <c r="A4252" i="1"/>
  <c r="C4252" i="1"/>
  <c r="S4252" i="1"/>
  <c r="T4252" i="1"/>
  <c r="U4252" i="1"/>
  <c r="BB4252" i="1"/>
  <c r="BW4252" i="1"/>
  <c r="A4253" i="1"/>
  <c r="C4253" i="1"/>
  <c r="S4253" i="1"/>
  <c r="T4253" i="1"/>
  <c r="U4253" i="1"/>
  <c r="BB4253" i="1"/>
  <c r="BW4253" i="1"/>
  <c r="A4254" i="1"/>
  <c r="C4254" i="1"/>
  <c r="S4254" i="1"/>
  <c r="T4254" i="1"/>
  <c r="U4254" i="1"/>
  <c r="BB4254" i="1"/>
  <c r="BW4254" i="1"/>
  <c r="A4255" i="1"/>
  <c r="C4255" i="1"/>
  <c r="S4255" i="1"/>
  <c r="T4255" i="1"/>
  <c r="U4255" i="1"/>
  <c r="BB4255" i="1"/>
  <c r="BW4255" i="1"/>
  <c r="A4256" i="1"/>
  <c r="C4256" i="1"/>
  <c r="S4256" i="1"/>
  <c r="T4256" i="1"/>
  <c r="U4256" i="1"/>
  <c r="BB4256" i="1"/>
  <c r="BW4256" i="1"/>
  <c r="A4257" i="1"/>
  <c r="C4257" i="1"/>
  <c r="S4257" i="1"/>
  <c r="T4257" i="1"/>
  <c r="U4257" i="1"/>
  <c r="BB4257" i="1"/>
  <c r="BW4257" i="1"/>
  <c r="A4258" i="1"/>
  <c r="C4258" i="1"/>
  <c r="S4258" i="1"/>
  <c r="T4258" i="1"/>
  <c r="U4258" i="1"/>
  <c r="BB4258" i="1"/>
  <c r="BW4258" i="1"/>
  <c r="A4259" i="1"/>
  <c r="C4259" i="1"/>
  <c r="S4259" i="1"/>
  <c r="T4259" i="1"/>
  <c r="U4259" i="1"/>
  <c r="BB4259" i="1"/>
  <c r="BW4259" i="1"/>
  <c r="A4260" i="1"/>
  <c r="C4260" i="1"/>
  <c r="S4260" i="1"/>
  <c r="T4260" i="1"/>
  <c r="U4260" i="1"/>
  <c r="BB4260" i="1"/>
  <c r="BW4260" i="1"/>
  <c r="A4261" i="1"/>
  <c r="C4261" i="1"/>
  <c r="S4261" i="1"/>
  <c r="T4261" i="1"/>
  <c r="U4261" i="1"/>
  <c r="BB4261" i="1"/>
  <c r="BW4261" i="1"/>
  <c r="A4262" i="1"/>
  <c r="C4262" i="1"/>
  <c r="S4262" i="1"/>
  <c r="T4262" i="1"/>
  <c r="U4262" i="1"/>
  <c r="BB4262" i="1"/>
  <c r="BW4262" i="1"/>
  <c r="A4263" i="1"/>
  <c r="C4263" i="1"/>
  <c r="S4263" i="1"/>
  <c r="T4263" i="1"/>
  <c r="U4263" i="1"/>
  <c r="BB4263" i="1"/>
  <c r="BW4263" i="1"/>
  <c r="A4264" i="1"/>
  <c r="C4264" i="1"/>
  <c r="S4264" i="1"/>
  <c r="T4264" i="1"/>
  <c r="U4264" i="1"/>
  <c r="BB4264" i="1"/>
  <c r="BW4264" i="1"/>
  <c r="A4265" i="1"/>
  <c r="C4265" i="1"/>
  <c r="S4265" i="1"/>
  <c r="T4265" i="1"/>
  <c r="U4265" i="1"/>
  <c r="BB4265" i="1"/>
  <c r="BW4265" i="1"/>
  <c r="A4266" i="1"/>
  <c r="C4266" i="1"/>
  <c r="S4266" i="1"/>
  <c r="T4266" i="1"/>
  <c r="U4266" i="1"/>
  <c r="BB4266" i="1"/>
  <c r="BW4266" i="1"/>
  <c r="A4267" i="1"/>
  <c r="C4267" i="1"/>
  <c r="S4267" i="1"/>
  <c r="T4267" i="1"/>
  <c r="U4267" i="1"/>
  <c r="BB4267" i="1"/>
  <c r="BW4267" i="1"/>
  <c r="A4268" i="1"/>
  <c r="C4268" i="1"/>
  <c r="S4268" i="1"/>
  <c r="T4268" i="1"/>
  <c r="U4268" i="1"/>
  <c r="BB4268" i="1"/>
  <c r="BW4268" i="1"/>
  <c r="A4269" i="1"/>
  <c r="C4269" i="1"/>
  <c r="S4269" i="1"/>
  <c r="T4269" i="1"/>
  <c r="U4269" i="1"/>
  <c r="BB4269" i="1"/>
  <c r="BW4269" i="1"/>
  <c r="A4270" i="1"/>
  <c r="C4270" i="1"/>
  <c r="S4270" i="1"/>
  <c r="T4270" i="1"/>
  <c r="U4270" i="1"/>
  <c r="BB4270" i="1"/>
  <c r="BW4270" i="1"/>
  <c r="A4271" i="1"/>
  <c r="C4271" i="1"/>
  <c r="S4271" i="1"/>
  <c r="T4271" i="1"/>
  <c r="U4271" i="1"/>
  <c r="BB4271" i="1"/>
  <c r="BW4271" i="1"/>
  <c r="A4272" i="1"/>
  <c r="C4272" i="1"/>
  <c r="S4272" i="1"/>
  <c r="T4272" i="1"/>
  <c r="U4272" i="1"/>
  <c r="BB4272" i="1"/>
  <c r="BW4272" i="1"/>
  <c r="A4273" i="1"/>
  <c r="C4273" i="1"/>
  <c r="S4273" i="1"/>
  <c r="T4273" i="1"/>
  <c r="U4273" i="1"/>
  <c r="BB4273" i="1"/>
  <c r="BW4273" i="1"/>
  <c r="A4274" i="1"/>
  <c r="C4274" i="1"/>
  <c r="S4274" i="1"/>
  <c r="T4274" i="1"/>
  <c r="U4274" i="1"/>
  <c r="BB4274" i="1"/>
  <c r="BW4274" i="1"/>
  <c r="A4275" i="1"/>
  <c r="C4275" i="1"/>
  <c r="S4275" i="1"/>
  <c r="T4275" i="1"/>
  <c r="U4275" i="1"/>
  <c r="BB4275" i="1"/>
  <c r="BW4275" i="1"/>
  <c r="A4276" i="1"/>
  <c r="C4276" i="1"/>
  <c r="S4276" i="1"/>
  <c r="T4276" i="1"/>
  <c r="U4276" i="1"/>
  <c r="BB4276" i="1"/>
  <c r="BW4276" i="1"/>
  <c r="A4277" i="1"/>
  <c r="C4277" i="1"/>
  <c r="S4277" i="1"/>
  <c r="T4277" i="1"/>
  <c r="U4277" i="1"/>
  <c r="BB4277" i="1"/>
  <c r="BW4277" i="1"/>
  <c r="A4278" i="1"/>
  <c r="C4278" i="1"/>
  <c r="S4278" i="1"/>
  <c r="T4278" i="1"/>
  <c r="U4278" i="1"/>
  <c r="BB4278" i="1"/>
  <c r="BW4278" i="1"/>
  <c r="A4279" i="1"/>
  <c r="C4279" i="1"/>
  <c r="S4279" i="1"/>
  <c r="T4279" i="1"/>
  <c r="U4279" i="1"/>
  <c r="BB4279" i="1"/>
  <c r="BW4279" i="1"/>
  <c r="A4280" i="1"/>
  <c r="C4280" i="1"/>
  <c r="S4280" i="1"/>
  <c r="T4280" i="1"/>
  <c r="U4280" i="1"/>
  <c r="BB4280" i="1"/>
  <c r="BW4280" i="1"/>
  <c r="A4281" i="1"/>
  <c r="C4281" i="1"/>
  <c r="S4281" i="1"/>
  <c r="T4281" i="1"/>
  <c r="U4281" i="1"/>
  <c r="BB4281" i="1"/>
  <c r="BW4281" i="1"/>
  <c r="A4282" i="1"/>
  <c r="C4282" i="1"/>
  <c r="S4282" i="1"/>
  <c r="T4282" i="1"/>
  <c r="U4282" i="1"/>
  <c r="BB4282" i="1"/>
  <c r="BW4282" i="1"/>
  <c r="A4283" i="1"/>
  <c r="C4283" i="1"/>
  <c r="S4283" i="1"/>
  <c r="T4283" i="1"/>
  <c r="U4283" i="1"/>
  <c r="BB4283" i="1"/>
  <c r="BW4283" i="1"/>
  <c r="A4284" i="1"/>
  <c r="C4284" i="1"/>
  <c r="S4284" i="1"/>
  <c r="T4284" i="1"/>
  <c r="U4284" i="1"/>
  <c r="BB4284" i="1"/>
  <c r="BW4284" i="1"/>
  <c r="A4285" i="1"/>
  <c r="C4285" i="1"/>
  <c r="S4285" i="1"/>
  <c r="T4285" i="1"/>
  <c r="U4285" i="1"/>
  <c r="BB4285" i="1"/>
  <c r="BW4285" i="1"/>
  <c r="A4286" i="1"/>
  <c r="C4286" i="1"/>
  <c r="S4286" i="1"/>
  <c r="T4286" i="1"/>
  <c r="U4286" i="1"/>
  <c r="BB4286" i="1"/>
  <c r="BW4286" i="1"/>
  <c r="A4287" i="1"/>
  <c r="C4287" i="1"/>
  <c r="S4287" i="1"/>
  <c r="T4287" i="1"/>
  <c r="U4287" i="1"/>
  <c r="BB4287" i="1"/>
  <c r="BW4287" i="1"/>
  <c r="A4288" i="1"/>
  <c r="C4288" i="1"/>
  <c r="S4288" i="1"/>
  <c r="T4288" i="1"/>
  <c r="U4288" i="1"/>
  <c r="BB4288" i="1"/>
  <c r="BW4288" i="1"/>
  <c r="A4289" i="1"/>
  <c r="C4289" i="1"/>
  <c r="S4289" i="1"/>
  <c r="T4289" i="1"/>
  <c r="U4289" i="1"/>
  <c r="BB4289" i="1"/>
  <c r="BW4289" i="1"/>
  <c r="A4290" i="1"/>
  <c r="C4290" i="1"/>
  <c r="S4290" i="1"/>
  <c r="T4290" i="1"/>
  <c r="U4290" i="1"/>
  <c r="BB4290" i="1"/>
  <c r="BW4290" i="1"/>
  <c r="A4291" i="1"/>
  <c r="C4291" i="1"/>
  <c r="S4291" i="1"/>
  <c r="T4291" i="1"/>
  <c r="U4291" i="1"/>
  <c r="BB4291" i="1"/>
  <c r="BW4291" i="1"/>
  <c r="A4292" i="1"/>
  <c r="C4292" i="1"/>
  <c r="S4292" i="1"/>
  <c r="T4292" i="1"/>
  <c r="U4292" i="1"/>
  <c r="BB4292" i="1"/>
  <c r="BW4292" i="1"/>
  <c r="A4293" i="1"/>
  <c r="C4293" i="1"/>
  <c r="S4293" i="1"/>
  <c r="T4293" i="1"/>
  <c r="U4293" i="1"/>
  <c r="BB4293" i="1"/>
  <c r="BW4293" i="1"/>
  <c r="A4294" i="1"/>
  <c r="C4294" i="1"/>
  <c r="S4294" i="1"/>
  <c r="T4294" i="1"/>
  <c r="U4294" i="1"/>
  <c r="BB4294" i="1"/>
  <c r="BW4294" i="1"/>
  <c r="A4295" i="1"/>
  <c r="C4295" i="1"/>
  <c r="S4295" i="1"/>
  <c r="T4295" i="1"/>
  <c r="U4295" i="1"/>
  <c r="BB4295" i="1"/>
  <c r="BW4295" i="1"/>
  <c r="A4296" i="1"/>
  <c r="C4296" i="1"/>
  <c r="S4296" i="1"/>
  <c r="T4296" i="1"/>
  <c r="U4296" i="1"/>
  <c r="BB4296" i="1"/>
  <c r="BW4296" i="1"/>
  <c r="A4297" i="1"/>
  <c r="C4297" i="1"/>
  <c r="S4297" i="1"/>
  <c r="T4297" i="1"/>
  <c r="U4297" i="1"/>
  <c r="BB4297" i="1"/>
  <c r="BW4297" i="1"/>
  <c r="A4298" i="1"/>
  <c r="C4298" i="1"/>
  <c r="S4298" i="1"/>
  <c r="T4298" i="1"/>
  <c r="U4298" i="1"/>
  <c r="BB4298" i="1"/>
  <c r="BW4298" i="1"/>
  <c r="A4299" i="1"/>
  <c r="C4299" i="1"/>
  <c r="S4299" i="1"/>
  <c r="T4299" i="1"/>
  <c r="U4299" i="1"/>
  <c r="BB4299" i="1"/>
  <c r="BW4299" i="1"/>
  <c r="A4300" i="1"/>
  <c r="C4300" i="1"/>
  <c r="S4300" i="1"/>
  <c r="T4300" i="1"/>
  <c r="U4300" i="1"/>
  <c r="BB4300" i="1"/>
  <c r="BW4300" i="1"/>
  <c r="A4301" i="1"/>
  <c r="C4301" i="1"/>
  <c r="S4301" i="1"/>
  <c r="T4301" i="1"/>
  <c r="U4301" i="1"/>
  <c r="BB4301" i="1"/>
  <c r="BW4301" i="1"/>
  <c r="A4302" i="1"/>
  <c r="C4302" i="1"/>
  <c r="S4302" i="1"/>
  <c r="T4302" i="1"/>
  <c r="U4302" i="1"/>
  <c r="BB4302" i="1"/>
  <c r="BW4302" i="1"/>
  <c r="A4303" i="1"/>
  <c r="C4303" i="1"/>
  <c r="S4303" i="1"/>
  <c r="T4303" i="1"/>
  <c r="U4303" i="1"/>
  <c r="BB4303" i="1"/>
  <c r="BW4303" i="1"/>
  <c r="A4304" i="1"/>
  <c r="C4304" i="1"/>
  <c r="S4304" i="1"/>
  <c r="T4304" i="1"/>
  <c r="U4304" i="1"/>
  <c r="BB4304" i="1"/>
  <c r="BW4304" i="1"/>
  <c r="A4305" i="1"/>
  <c r="C4305" i="1"/>
  <c r="S4305" i="1"/>
  <c r="T4305" i="1"/>
  <c r="U4305" i="1"/>
  <c r="BB4305" i="1"/>
  <c r="BW4305" i="1"/>
  <c r="A4306" i="1"/>
  <c r="C4306" i="1"/>
  <c r="S4306" i="1"/>
  <c r="T4306" i="1"/>
  <c r="U4306" i="1"/>
  <c r="BB4306" i="1"/>
  <c r="BW4306" i="1"/>
  <c r="A4307" i="1"/>
  <c r="C4307" i="1"/>
  <c r="S4307" i="1"/>
  <c r="T4307" i="1"/>
  <c r="U4307" i="1"/>
  <c r="BB4307" i="1"/>
  <c r="BW4307" i="1"/>
  <c r="A4308" i="1"/>
  <c r="C4308" i="1"/>
  <c r="S4308" i="1"/>
  <c r="T4308" i="1"/>
  <c r="U4308" i="1"/>
  <c r="BB4308" i="1"/>
  <c r="BW4308" i="1"/>
  <c r="A4309" i="1"/>
  <c r="C4309" i="1"/>
  <c r="S4309" i="1"/>
  <c r="T4309" i="1"/>
  <c r="U4309" i="1"/>
  <c r="BB4309" i="1"/>
  <c r="BW4309" i="1"/>
  <c r="A4310" i="1"/>
  <c r="C4310" i="1"/>
  <c r="S4310" i="1"/>
  <c r="T4310" i="1"/>
  <c r="U4310" i="1"/>
  <c r="BB4310" i="1"/>
  <c r="BW4310" i="1"/>
  <c r="A4311" i="1"/>
  <c r="C4311" i="1"/>
  <c r="S4311" i="1"/>
  <c r="T4311" i="1"/>
  <c r="U4311" i="1"/>
  <c r="BB4311" i="1"/>
  <c r="BW4311" i="1"/>
  <c r="A4312" i="1"/>
  <c r="C4312" i="1"/>
  <c r="S4312" i="1"/>
  <c r="T4312" i="1"/>
  <c r="U4312" i="1"/>
  <c r="BB4312" i="1"/>
  <c r="BW4312" i="1"/>
  <c r="A4313" i="1"/>
  <c r="C4313" i="1"/>
  <c r="S4313" i="1"/>
  <c r="T4313" i="1"/>
  <c r="U4313" i="1"/>
  <c r="BB4313" i="1"/>
  <c r="BW4313" i="1"/>
  <c r="A4314" i="1"/>
  <c r="C4314" i="1"/>
  <c r="S4314" i="1"/>
  <c r="T4314" i="1"/>
  <c r="U4314" i="1"/>
  <c r="BB4314" i="1"/>
  <c r="BW4314" i="1"/>
  <c r="A4315" i="1"/>
  <c r="C4315" i="1"/>
  <c r="S4315" i="1"/>
  <c r="T4315" i="1"/>
  <c r="U4315" i="1"/>
  <c r="BB4315" i="1"/>
  <c r="BW4315" i="1"/>
  <c r="A4316" i="1"/>
  <c r="C4316" i="1"/>
  <c r="S4316" i="1"/>
  <c r="T4316" i="1"/>
  <c r="U4316" i="1"/>
  <c r="BB4316" i="1"/>
  <c r="BW4316" i="1"/>
  <c r="A4317" i="1"/>
  <c r="C4317" i="1"/>
  <c r="S4317" i="1"/>
  <c r="T4317" i="1"/>
  <c r="U4317" i="1"/>
  <c r="BB4317" i="1"/>
  <c r="BW4317" i="1"/>
  <c r="A4318" i="1"/>
  <c r="C4318" i="1"/>
  <c r="S4318" i="1"/>
  <c r="T4318" i="1"/>
  <c r="U4318" i="1"/>
  <c r="BB4318" i="1"/>
  <c r="BW4318" i="1"/>
  <c r="A4319" i="1"/>
  <c r="C4319" i="1"/>
  <c r="S4319" i="1"/>
  <c r="T4319" i="1"/>
  <c r="U4319" i="1"/>
  <c r="BB4319" i="1"/>
  <c r="BW4319" i="1"/>
  <c r="A4320" i="1"/>
  <c r="C4320" i="1"/>
  <c r="S4320" i="1"/>
  <c r="T4320" i="1"/>
  <c r="U4320" i="1"/>
  <c r="BB4320" i="1"/>
  <c r="BW4320" i="1"/>
  <c r="A4321" i="1"/>
  <c r="C4321" i="1"/>
  <c r="S4321" i="1"/>
  <c r="T4321" i="1"/>
  <c r="U4321" i="1"/>
  <c r="BB4321" i="1"/>
  <c r="BW4321" i="1"/>
  <c r="A4322" i="1"/>
  <c r="C4322" i="1"/>
  <c r="S4322" i="1"/>
  <c r="T4322" i="1"/>
  <c r="U4322" i="1"/>
  <c r="BB4322" i="1"/>
  <c r="BW4322" i="1"/>
  <c r="A4323" i="1"/>
  <c r="C4323" i="1"/>
  <c r="S4323" i="1"/>
  <c r="T4323" i="1"/>
  <c r="U4323" i="1"/>
  <c r="BB4323" i="1"/>
  <c r="BW4323" i="1"/>
  <c r="A4324" i="1"/>
  <c r="C4324" i="1"/>
  <c r="S4324" i="1"/>
  <c r="T4324" i="1"/>
  <c r="U4324" i="1"/>
  <c r="BB4324" i="1"/>
  <c r="BW4324" i="1"/>
  <c r="A4325" i="1"/>
  <c r="C4325" i="1"/>
  <c r="S4325" i="1"/>
  <c r="T4325" i="1"/>
  <c r="U4325" i="1"/>
  <c r="BB4325" i="1"/>
  <c r="BW4325" i="1"/>
  <c r="A4326" i="1"/>
  <c r="C4326" i="1"/>
  <c r="S4326" i="1"/>
  <c r="T4326" i="1"/>
  <c r="U4326" i="1"/>
  <c r="BB4326" i="1"/>
  <c r="BW4326" i="1"/>
  <c r="A4327" i="1"/>
  <c r="C4327" i="1"/>
  <c r="S4327" i="1"/>
  <c r="T4327" i="1"/>
  <c r="U4327" i="1"/>
  <c r="BB4327" i="1"/>
  <c r="BW4327" i="1"/>
  <c r="A4328" i="1"/>
  <c r="C4328" i="1"/>
  <c r="S4328" i="1"/>
  <c r="T4328" i="1"/>
  <c r="U4328" i="1"/>
  <c r="BB4328" i="1"/>
  <c r="BW4328" i="1"/>
  <c r="A4329" i="1"/>
  <c r="C4329" i="1"/>
  <c r="S4329" i="1"/>
  <c r="T4329" i="1"/>
  <c r="U4329" i="1"/>
  <c r="BB4329" i="1"/>
  <c r="BW4329" i="1"/>
  <c r="A4330" i="1"/>
  <c r="C4330" i="1"/>
  <c r="S4330" i="1"/>
  <c r="T4330" i="1"/>
  <c r="U4330" i="1"/>
  <c r="BB4330" i="1"/>
  <c r="BW4330" i="1"/>
  <c r="A4331" i="1"/>
  <c r="C4331" i="1"/>
  <c r="S4331" i="1"/>
  <c r="T4331" i="1"/>
  <c r="U4331" i="1"/>
  <c r="BB4331" i="1"/>
  <c r="BW4331" i="1"/>
  <c r="A4332" i="1"/>
  <c r="C4332" i="1"/>
  <c r="S4332" i="1"/>
  <c r="T4332" i="1"/>
  <c r="U4332" i="1"/>
  <c r="BB4332" i="1"/>
  <c r="BW4332" i="1"/>
  <c r="A4333" i="1"/>
  <c r="C4333" i="1"/>
  <c r="S4333" i="1"/>
  <c r="T4333" i="1"/>
  <c r="U4333" i="1"/>
  <c r="BB4333" i="1"/>
  <c r="BW4333" i="1"/>
  <c r="A4334" i="1"/>
  <c r="C4334" i="1"/>
  <c r="S4334" i="1"/>
  <c r="T4334" i="1"/>
  <c r="U4334" i="1"/>
  <c r="BB4334" i="1"/>
  <c r="BW4334" i="1"/>
  <c r="A4335" i="1"/>
  <c r="C4335" i="1"/>
  <c r="S4335" i="1"/>
  <c r="T4335" i="1"/>
  <c r="U4335" i="1"/>
  <c r="BB4335" i="1"/>
  <c r="BW4335" i="1"/>
  <c r="A4336" i="1"/>
  <c r="C4336" i="1"/>
  <c r="S4336" i="1"/>
  <c r="T4336" i="1"/>
  <c r="U4336" i="1"/>
  <c r="BB4336" i="1"/>
  <c r="BW4336" i="1"/>
  <c r="A4337" i="1"/>
  <c r="C4337" i="1"/>
  <c r="S4337" i="1"/>
  <c r="T4337" i="1"/>
  <c r="U4337" i="1"/>
  <c r="BB4337" i="1"/>
  <c r="BW4337" i="1"/>
  <c r="A4338" i="1"/>
  <c r="C4338" i="1"/>
  <c r="S4338" i="1"/>
  <c r="T4338" i="1"/>
  <c r="U4338" i="1"/>
  <c r="BB4338" i="1"/>
  <c r="BW4338" i="1"/>
  <c r="A4339" i="1"/>
  <c r="C4339" i="1"/>
  <c r="S4339" i="1"/>
  <c r="T4339" i="1"/>
  <c r="U4339" i="1"/>
  <c r="BB4339" i="1"/>
  <c r="BW4339" i="1"/>
  <c r="A4340" i="1"/>
  <c r="C4340" i="1"/>
  <c r="S4340" i="1"/>
  <c r="T4340" i="1"/>
  <c r="U4340" i="1"/>
  <c r="BB4340" i="1"/>
  <c r="BW4340" i="1"/>
  <c r="A4341" i="1"/>
  <c r="C4341" i="1"/>
  <c r="S4341" i="1"/>
  <c r="T4341" i="1"/>
  <c r="U4341" i="1"/>
  <c r="BB4341" i="1"/>
  <c r="BW4341" i="1"/>
  <c r="A4342" i="1"/>
  <c r="C4342" i="1"/>
  <c r="S4342" i="1"/>
  <c r="T4342" i="1"/>
  <c r="U4342" i="1"/>
  <c r="BB4342" i="1"/>
  <c r="BW4342" i="1"/>
  <c r="A4343" i="1"/>
  <c r="C4343" i="1"/>
  <c r="S4343" i="1"/>
  <c r="T4343" i="1"/>
  <c r="U4343" i="1"/>
  <c r="BB4343" i="1"/>
  <c r="BW4343" i="1"/>
  <c r="A4344" i="1"/>
  <c r="C4344" i="1"/>
  <c r="S4344" i="1"/>
  <c r="T4344" i="1"/>
  <c r="U4344" i="1"/>
  <c r="BB4344" i="1"/>
  <c r="BW4344" i="1"/>
  <c r="A4345" i="1"/>
  <c r="C4345" i="1"/>
  <c r="S4345" i="1"/>
  <c r="T4345" i="1"/>
  <c r="U4345" i="1"/>
  <c r="BB4345" i="1"/>
  <c r="BW4345" i="1"/>
  <c r="A4346" i="1"/>
  <c r="C4346" i="1"/>
  <c r="S4346" i="1"/>
  <c r="T4346" i="1"/>
  <c r="U4346" i="1"/>
  <c r="BB4346" i="1"/>
  <c r="BW4346" i="1"/>
  <c r="A4347" i="1"/>
  <c r="C4347" i="1"/>
  <c r="S4347" i="1"/>
  <c r="T4347" i="1"/>
  <c r="U4347" i="1"/>
  <c r="BB4347" i="1"/>
  <c r="BW4347" i="1"/>
  <c r="A4348" i="1"/>
  <c r="C4348" i="1"/>
  <c r="S4348" i="1"/>
  <c r="T4348" i="1"/>
  <c r="U4348" i="1"/>
  <c r="BB4348" i="1"/>
  <c r="BW4348" i="1"/>
  <c r="A4349" i="1"/>
  <c r="C4349" i="1"/>
  <c r="S4349" i="1"/>
  <c r="T4349" i="1"/>
  <c r="U4349" i="1"/>
  <c r="BB4349" i="1"/>
  <c r="BW4349" i="1"/>
  <c r="A4350" i="1"/>
  <c r="C4350" i="1"/>
  <c r="S4350" i="1"/>
  <c r="T4350" i="1"/>
  <c r="U4350" i="1"/>
  <c r="BB4350" i="1"/>
  <c r="BW4350" i="1"/>
  <c r="A4351" i="1"/>
  <c r="C4351" i="1"/>
  <c r="S4351" i="1"/>
  <c r="T4351" i="1"/>
  <c r="U4351" i="1"/>
  <c r="BB4351" i="1"/>
  <c r="BW4351" i="1"/>
  <c r="A4352" i="1"/>
  <c r="C4352" i="1"/>
  <c r="S4352" i="1"/>
  <c r="T4352" i="1"/>
  <c r="U4352" i="1"/>
  <c r="BB4352" i="1"/>
  <c r="BW4352" i="1"/>
  <c r="A4353" i="1"/>
  <c r="C4353" i="1"/>
  <c r="S4353" i="1"/>
  <c r="T4353" i="1"/>
  <c r="U4353" i="1"/>
  <c r="BB4353" i="1"/>
  <c r="BW4353" i="1"/>
  <c r="A4354" i="1"/>
  <c r="C4354" i="1"/>
  <c r="S4354" i="1"/>
  <c r="T4354" i="1"/>
  <c r="U4354" i="1"/>
  <c r="BB4354" i="1"/>
  <c r="BW4354" i="1"/>
  <c r="A4355" i="1"/>
  <c r="C4355" i="1"/>
  <c r="S4355" i="1"/>
  <c r="T4355" i="1"/>
  <c r="U4355" i="1"/>
  <c r="BB4355" i="1"/>
  <c r="BW4355" i="1"/>
  <c r="A4356" i="1"/>
  <c r="C4356" i="1"/>
  <c r="S4356" i="1"/>
  <c r="T4356" i="1"/>
  <c r="U4356" i="1"/>
  <c r="BB4356" i="1"/>
  <c r="BW4356" i="1"/>
  <c r="A4357" i="1"/>
  <c r="C4357" i="1"/>
  <c r="S4357" i="1"/>
  <c r="U4357" i="1"/>
  <c r="BB4357" i="1"/>
  <c r="BW4357" i="1"/>
  <c r="A4358" i="1"/>
  <c r="C4358" i="1"/>
  <c r="S4358" i="1"/>
  <c r="U4358" i="1"/>
  <c r="BB4358" i="1"/>
  <c r="BW4358" i="1"/>
  <c r="A4359" i="1"/>
  <c r="C4359" i="1"/>
  <c r="S4359" i="1"/>
  <c r="U4359" i="1"/>
  <c r="BB4359" i="1"/>
  <c r="BW4359" i="1"/>
  <c r="A4360" i="1"/>
  <c r="C4360" i="1"/>
  <c r="S4360" i="1"/>
  <c r="U4360" i="1"/>
  <c r="BB4360" i="1"/>
  <c r="BW4360" i="1"/>
  <c r="A4361" i="1"/>
  <c r="C4361" i="1"/>
  <c r="S4361" i="1"/>
  <c r="U4361" i="1"/>
  <c r="BB4361" i="1"/>
  <c r="BW4361" i="1"/>
  <c r="A4362" i="1"/>
  <c r="C4362" i="1"/>
  <c r="S4362" i="1"/>
  <c r="U4362" i="1"/>
  <c r="BB4362" i="1"/>
  <c r="BW4362" i="1"/>
  <c r="A4363" i="1"/>
  <c r="C4363" i="1"/>
  <c r="S4363" i="1"/>
  <c r="T4363" i="1"/>
  <c r="U4363" i="1"/>
  <c r="BB4363" i="1"/>
  <c r="BW4363" i="1"/>
  <c r="A4364" i="1"/>
  <c r="C4364" i="1"/>
  <c r="S4364" i="1"/>
  <c r="T4364" i="1"/>
  <c r="U4364" i="1"/>
  <c r="BB4364" i="1"/>
  <c r="BW4364" i="1"/>
  <c r="A4365" i="1"/>
  <c r="C4365" i="1"/>
  <c r="S4365" i="1"/>
  <c r="T4365" i="1"/>
  <c r="U4365" i="1"/>
  <c r="BB4365" i="1"/>
  <c r="BW4365" i="1"/>
  <c r="A4366" i="1"/>
  <c r="C4366" i="1"/>
  <c r="S4366" i="1"/>
  <c r="T4366" i="1"/>
  <c r="U4366" i="1"/>
  <c r="BB4366" i="1"/>
  <c r="BW4366" i="1"/>
  <c r="A4367" i="1"/>
  <c r="C4367" i="1"/>
  <c r="S4367" i="1"/>
  <c r="T4367" i="1"/>
  <c r="U4367" i="1"/>
  <c r="BB4367" i="1"/>
  <c r="BW4367" i="1"/>
  <c r="A4368" i="1"/>
  <c r="C4368" i="1"/>
  <c r="S4368" i="1"/>
  <c r="T4368" i="1"/>
  <c r="U4368" i="1"/>
  <c r="BB4368" i="1"/>
  <c r="BW4368" i="1"/>
  <c r="A4369" i="1"/>
  <c r="C4369" i="1"/>
  <c r="S4369" i="1"/>
  <c r="T4369" i="1"/>
  <c r="U4369" i="1"/>
  <c r="BB4369" i="1"/>
  <c r="BW4369" i="1"/>
  <c r="A4370" i="1"/>
  <c r="C4370" i="1"/>
  <c r="S4370" i="1"/>
  <c r="T4370" i="1"/>
  <c r="U4370" i="1"/>
  <c r="BB4370" i="1"/>
  <c r="BW4370" i="1"/>
  <c r="A4371" i="1"/>
  <c r="C4371" i="1"/>
  <c r="S4371" i="1"/>
  <c r="T4371" i="1"/>
  <c r="U4371" i="1"/>
  <c r="BB4371" i="1"/>
  <c r="BW4371" i="1"/>
  <c r="A4372" i="1"/>
  <c r="C4372" i="1"/>
  <c r="S4372" i="1"/>
  <c r="T4372" i="1"/>
  <c r="U4372" i="1"/>
  <c r="BB4372" i="1"/>
  <c r="BW4372" i="1"/>
  <c r="A4373" i="1"/>
  <c r="C4373" i="1"/>
  <c r="S4373" i="1"/>
  <c r="T4373" i="1"/>
  <c r="U4373" i="1"/>
  <c r="BB4373" i="1"/>
  <c r="BW4373" i="1"/>
  <c r="A4374" i="1"/>
  <c r="C4374" i="1"/>
  <c r="S4374" i="1"/>
  <c r="T4374" i="1"/>
  <c r="U4374" i="1"/>
  <c r="BB4374" i="1"/>
  <c r="BW4374" i="1"/>
  <c r="A4375" i="1"/>
  <c r="C4375" i="1"/>
  <c r="S4375" i="1"/>
  <c r="T4375" i="1"/>
  <c r="U4375" i="1"/>
  <c r="BB4375" i="1"/>
  <c r="BW4375" i="1"/>
  <c r="A4376" i="1"/>
  <c r="C4376" i="1"/>
  <c r="S4376" i="1"/>
  <c r="T4376" i="1"/>
  <c r="U4376" i="1"/>
  <c r="BB4376" i="1"/>
  <c r="BW4376" i="1"/>
  <c r="A4377" i="1"/>
  <c r="C4377" i="1"/>
  <c r="S4377" i="1"/>
  <c r="T4377" i="1"/>
  <c r="U4377" i="1"/>
  <c r="BB4377" i="1"/>
  <c r="BW4377" i="1"/>
  <c r="A4378" i="1"/>
  <c r="C4378" i="1"/>
  <c r="S4378" i="1"/>
  <c r="T4378" i="1"/>
  <c r="U4378" i="1"/>
  <c r="BB4378" i="1"/>
  <c r="BW4378" i="1"/>
  <c r="A4379" i="1"/>
  <c r="C4379" i="1"/>
  <c r="S4379" i="1"/>
  <c r="T4379" i="1"/>
  <c r="U4379" i="1"/>
  <c r="BB4379" i="1"/>
  <c r="BW4379" i="1"/>
  <c r="A4380" i="1"/>
  <c r="C4380" i="1"/>
  <c r="S4380" i="1"/>
  <c r="T4380" i="1"/>
  <c r="U4380" i="1"/>
  <c r="BB4380" i="1"/>
  <c r="BW4380" i="1"/>
  <c r="A4381" i="1"/>
  <c r="C4381" i="1"/>
  <c r="S4381" i="1"/>
  <c r="T4381" i="1"/>
  <c r="U4381" i="1"/>
  <c r="BB4381" i="1"/>
  <c r="BW4381" i="1"/>
  <c r="A4382" i="1"/>
  <c r="C4382" i="1"/>
  <c r="S4382" i="1"/>
  <c r="T4382" i="1"/>
  <c r="U4382" i="1"/>
  <c r="BB4382" i="1"/>
  <c r="BW4382" i="1"/>
  <c r="A4383" i="1"/>
  <c r="C4383" i="1"/>
  <c r="S4383" i="1"/>
  <c r="T4383" i="1"/>
  <c r="U4383" i="1"/>
  <c r="BB4383" i="1"/>
  <c r="BW4383" i="1"/>
  <c r="A4384" i="1"/>
  <c r="C4384" i="1"/>
  <c r="S4384" i="1"/>
  <c r="T4384" i="1"/>
  <c r="U4384" i="1"/>
  <c r="BB4384" i="1"/>
  <c r="BW4384" i="1"/>
  <c r="A4385" i="1"/>
  <c r="C4385" i="1"/>
  <c r="S4385" i="1"/>
  <c r="T4385" i="1"/>
  <c r="U4385" i="1"/>
  <c r="BB4385" i="1"/>
  <c r="BW4385" i="1"/>
  <c r="A4386" i="1"/>
  <c r="C4386" i="1"/>
  <c r="S4386" i="1"/>
  <c r="T4386" i="1"/>
  <c r="U4386" i="1"/>
  <c r="BB4386" i="1"/>
  <c r="BW4386" i="1"/>
  <c r="A4387" i="1"/>
  <c r="C4387" i="1"/>
  <c r="S4387" i="1"/>
  <c r="T4387" i="1"/>
  <c r="U4387" i="1"/>
  <c r="BB4387" i="1"/>
  <c r="BW4387" i="1"/>
  <c r="A4388" i="1"/>
  <c r="C4388" i="1"/>
  <c r="S4388" i="1"/>
  <c r="T4388" i="1"/>
  <c r="U4388" i="1"/>
  <c r="BB4388" i="1"/>
  <c r="BW4388" i="1"/>
  <c r="A4389" i="1"/>
  <c r="C4389" i="1"/>
  <c r="S4389" i="1"/>
  <c r="T4389" i="1"/>
  <c r="U4389" i="1"/>
  <c r="BB4389" i="1"/>
  <c r="BW4389" i="1"/>
  <c r="A4390" i="1"/>
  <c r="C4390" i="1"/>
  <c r="S4390" i="1"/>
  <c r="T4390" i="1"/>
  <c r="U4390" i="1"/>
  <c r="BB4390" i="1"/>
  <c r="BW4390" i="1"/>
  <c r="A4391" i="1"/>
  <c r="C4391" i="1"/>
  <c r="S4391" i="1"/>
  <c r="T4391" i="1"/>
  <c r="U4391" i="1"/>
  <c r="BB4391" i="1"/>
  <c r="BW4391" i="1"/>
  <c r="A4392" i="1"/>
  <c r="C4392" i="1"/>
  <c r="S4392" i="1"/>
  <c r="T4392" i="1"/>
  <c r="U4392" i="1"/>
  <c r="BB4392" i="1"/>
  <c r="BW4392" i="1"/>
  <c r="A4393" i="1"/>
  <c r="C4393" i="1"/>
  <c r="S4393" i="1"/>
  <c r="T4393" i="1"/>
  <c r="U4393" i="1"/>
  <c r="BB4393" i="1"/>
  <c r="BW4393" i="1"/>
  <c r="A4394" i="1"/>
  <c r="C4394" i="1"/>
  <c r="S4394" i="1"/>
  <c r="T4394" i="1"/>
  <c r="U4394" i="1"/>
  <c r="BB4394" i="1"/>
  <c r="BW4394" i="1"/>
  <c r="A4395" i="1"/>
  <c r="C4395" i="1"/>
  <c r="S4395" i="1"/>
  <c r="T4395" i="1"/>
  <c r="U4395" i="1"/>
  <c r="BB4395" i="1"/>
  <c r="BW4395" i="1"/>
  <c r="A4396" i="1"/>
  <c r="C4396" i="1"/>
  <c r="S4396" i="1"/>
  <c r="T4396" i="1"/>
  <c r="U4396" i="1"/>
  <c r="BB4396" i="1"/>
  <c r="BW4396" i="1"/>
  <c r="A4397" i="1"/>
  <c r="C4397" i="1"/>
  <c r="S4397" i="1"/>
  <c r="T4397" i="1"/>
  <c r="U4397" i="1"/>
  <c r="BB4397" i="1"/>
  <c r="BW4397" i="1"/>
  <c r="A4398" i="1"/>
  <c r="C4398" i="1"/>
  <c r="S4398" i="1"/>
  <c r="T4398" i="1"/>
  <c r="U4398" i="1"/>
  <c r="BB4398" i="1"/>
  <c r="BW4398" i="1"/>
  <c r="A4399" i="1"/>
  <c r="C4399" i="1"/>
  <c r="S4399" i="1"/>
  <c r="T4399" i="1"/>
  <c r="U4399" i="1"/>
  <c r="BB4399" i="1"/>
  <c r="BW4399" i="1"/>
  <c r="A4400" i="1"/>
  <c r="C4400" i="1"/>
  <c r="S4400" i="1"/>
  <c r="T4400" i="1"/>
  <c r="U4400" i="1"/>
  <c r="BB4400" i="1"/>
  <c r="BW4400" i="1"/>
  <c r="A4401" i="1"/>
  <c r="C4401" i="1"/>
  <c r="S4401" i="1"/>
  <c r="T4401" i="1"/>
  <c r="U4401" i="1"/>
  <c r="BB4401" i="1"/>
  <c r="BW4401" i="1"/>
  <c r="A4402" i="1"/>
  <c r="C4402" i="1"/>
  <c r="S4402" i="1"/>
  <c r="T4402" i="1"/>
  <c r="U4402" i="1"/>
  <c r="BB4402" i="1"/>
  <c r="BW4402" i="1"/>
  <c r="A4403" i="1"/>
  <c r="C4403" i="1"/>
  <c r="S4403" i="1"/>
  <c r="T4403" i="1"/>
  <c r="U4403" i="1"/>
  <c r="BB4403" i="1"/>
  <c r="BW4403" i="1"/>
  <c r="A4404" i="1"/>
  <c r="C4404" i="1"/>
  <c r="S4404" i="1"/>
  <c r="T4404" i="1"/>
  <c r="U4404" i="1"/>
  <c r="BB4404" i="1"/>
  <c r="BW4404" i="1"/>
  <c r="A4405" i="1"/>
  <c r="C4405" i="1"/>
  <c r="S4405" i="1"/>
  <c r="T4405" i="1"/>
  <c r="U4405" i="1"/>
  <c r="BB4405" i="1"/>
  <c r="BW4405" i="1"/>
  <c r="A4406" i="1"/>
  <c r="C4406" i="1"/>
  <c r="S4406" i="1"/>
  <c r="T4406" i="1"/>
  <c r="U4406" i="1"/>
  <c r="BB4406" i="1"/>
  <c r="BW4406" i="1"/>
  <c r="A4407" i="1"/>
  <c r="C4407" i="1"/>
  <c r="S4407" i="1"/>
  <c r="T4407" i="1"/>
  <c r="U4407" i="1"/>
  <c r="BB4407" i="1"/>
  <c r="BW4407" i="1"/>
  <c r="A4408" i="1"/>
  <c r="C4408" i="1"/>
  <c r="S4408" i="1"/>
  <c r="T4408" i="1"/>
  <c r="U4408" i="1"/>
  <c r="BB4408" i="1"/>
  <c r="BW4408" i="1"/>
  <c r="A4409" i="1"/>
  <c r="C4409" i="1"/>
  <c r="S4409" i="1"/>
  <c r="T4409" i="1"/>
  <c r="U4409" i="1"/>
  <c r="BB4409" i="1"/>
  <c r="BW4409" i="1"/>
  <c r="A4410" i="1"/>
  <c r="C4410" i="1"/>
  <c r="S4410" i="1"/>
  <c r="T4410" i="1"/>
  <c r="U4410" i="1"/>
  <c r="BB4410" i="1"/>
  <c r="BW4410" i="1"/>
  <c r="A4411" i="1"/>
  <c r="C4411" i="1"/>
  <c r="S4411" i="1"/>
  <c r="T4411" i="1"/>
  <c r="U4411" i="1"/>
  <c r="BB4411" i="1"/>
  <c r="BW4411" i="1"/>
  <c r="A4412" i="1"/>
  <c r="C4412" i="1"/>
  <c r="S4412" i="1"/>
  <c r="T4412" i="1"/>
  <c r="U4412" i="1"/>
  <c r="BB4412" i="1"/>
  <c r="BW4412" i="1"/>
  <c r="A4413" i="1"/>
  <c r="C4413" i="1"/>
  <c r="S4413" i="1"/>
  <c r="T4413" i="1"/>
  <c r="U4413" i="1"/>
  <c r="BB4413" i="1"/>
  <c r="BW4413" i="1"/>
  <c r="A4414" i="1"/>
  <c r="C4414" i="1"/>
  <c r="S4414" i="1"/>
  <c r="T4414" i="1"/>
  <c r="U4414" i="1"/>
  <c r="BB4414" i="1"/>
  <c r="BW4414" i="1"/>
  <c r="A4415" i="1"/>
  <c r="C4415" i="1"/>
  <c r="S4415" i="1"/>
  <c r="T4415" i="1"/>
  <c r="U4415" i="1"/>
  <c r="BB4415" i="1"/>
  <c r="BW4415" i="1"/>
  <c r="A4416" i="1"/>
  <c r="C4416" i="1"/>
  <c r="S4416" i="1"/>
  <c r="T4416" i="1"/>
  <c r="U4416" i="1"/>
  <c r="BB4416" i="1"/>
  <c r="BW4416" i="1"/>
  <c r="A4417" i="1"/>
  <c r="C4417" i="1"/>
  <c r="S4417" i="1"/>
  <c r="T4417" i="1"/>
  <c r="U4417" i="1"/>
  <c r="BB4417" i="1"/>
  <c r="BW4417" i="1"/>
  <c r="A4418" i="1"/>
  <c r="C4418" i="1"/>
  <c r="S4418" i="1"/>
  <c r="T4418" i="1"/>
  <c r="U4418" i="1"/>
  <c r="BB4418" i="1"/>
  <c r="BW4418" i="1"/>
  <c r="A4419" i="1"/>
  <c r="C4419" i="1"/>
  <c r="S4419" i="1"/>
  <c r="T4419" i="1"/>
  <c r="U4419" i="1"/>
  <c r="BB4419" i="1"/>
  <c r="BW4419" i="1"/>
  <c r="A4420" i="1"/>
  <c r="C4420" i="1"/>
  <c r="S4420" i="1"/>
  <c r="T4420" i="1"/>
  <c r="U4420" i="1"/>
  <c r="BB4420" i="1"/>
  <c r="BW4420" i="1"/>
  <c r="A4421" i="1"/>
  <c r="C4421" i="1"/>
  <c r="S4421" i="1"/>
  <c r="T4421" i="1"/>
  <c r="U4421" i="1"/>
  <c r="BB4421" i="1"/>
  <c r="BW4421" i="1"/>
  <c r="A4422" i="1"/>
  <c r="C4422" i="1"/>
  <c r="S4422" i="1"/>
  <c r="T4422" i="1"/>
  <c r="U4422" i="1"/>
  <c r="BB4422" i="1"/>
  <c r="BW4422" i="1"/>
  <c r="A4423" i="1"/>
  <c r="C4423" i="1"/>
  <c r="S4423" i="1"/>
  <c r="T4423" i="1"/>
  <c r="U4423" i="1"/>
  <c r="BB4423" i="1"/>
  <c r="BW4423" i="1"/>
  <c r="A4424" i="1"/>
  <c r="C4424" i="1"/>
  <c r="S4424" i="1"/>
  <c r="T4424" i="1"/>
  <c r="U4424" i="1"/>
  <c r="BB4424" i="1"/>
  <c r="BW4424" i="1"/>
  <c r="A4425" i="1"/>
  <c r="C4425" i="1"/>
  <c r="S4425" i="1"/>
  <c r="T4425" i="1"/>
  <c r="U4425" i="1"/>
  <c r="BB4425" i="1"/>
  <c r="BW4425" i="1"/>
  <c r="A4426" i="1"/>
  <c r="C4426" i="1"/>
  <c r="S4426" i="1"/>
  <c r="T4426" i="1"/>
  <c r="U4426" i="1"/>
  <c r="BB4426" i="1"/>
  <c r="BW4426" i="1"/>
  <c r="A4427" i="1"/>
  <c r="C4427" i="1"/>
  <c r="S4427" i="1"/>
  <c r="T4427" i="1"/>
  <c r="U4427" i="1"/>
  <c r="BB4427" i="1"/>
  <c r="BW4427" i="1"/>
  <c r="A4428" i="1"/>
  <c r="C4428" i="1"/>
  <c r="S4428" i="1"/>
  <c r="T4428" i="1"/>
  <c r="U4428" i="1"/>
  <c r="BB4428" i="1"/>
  <c r="BW4428" i="1"/>
  <c r="A4429" i="1"/>
  <c r="C4429" i="1"/>
  <c r="S4429" i="1"/>
  <c r="T4429" i="1"/>
  <c r="U4429" i="1"/>
  <c r="BB4429" i="1"/>
  <c r="BW4429" i="1"/>
  <c r="A4430" i="1"/>
  <c r="C4430" i="1"/>
  <c r="S4430" i="1"/>
  <c r="T4430" i="1"/>
  <c r="U4430" i="1"/>
  <c r="BB4430" i="1"/>
  <c r="BW4430" i="1"/>
  <c r="A4431" i="1"/>
  <c r="C4431" i="1"/>
  <c r="S4431" i="1"/>
  <c r="T4431" i="1"/>
  <c r="U4431" i="1"/>
  <c r="BB4431" i="1"/>
  <c r="BW4431" i="1"/>
  <c r="A4432" i="1"/>
  <c r="C4432" i="1"/>
  <c r="S4432" i="1"/>
  <c r="T4432" i="1"/>
  <c r="U4432" i="1"/>
  <c r="BB4432" i="1"/>
  <c r="BW4432" i="1"/>
  <c r="A4433" i="1"/>
  <c r="C4433" i="1"/>
  <c r="S4433" i="1"/>
  <c r="T4433" i="1"/>
  <c r="U4433" i="1"/>
  <c r="BB4433" i="1"/>
  <c r="BW4433" i="1"/>
  <c r="A4434" i="1"/>
  <c r="C4434" i="1"/>
  <c r="S4434" i="1"/>
  <c r="T4434" i="1"/>
  <c r="U4434" i="1"/>
  <c r="BB4434" i="1"/>
  <c r="BW4434" i="1"/>
  <c r="A4435" i="1"/>
  <c r="C4435" i="1"/>
  <c r="S4435" i="1"/>
  <c r="T4435" i="1"/>
  <c r="U4435" i="1"/>
  <c r="BB4435" i="1"/>
  <c r="BW4435" i="1"/>
  <c r="A4436" i="1"/>
  <c r="C4436" i="1"/>
  <c r="S4436" i="1"/>
  <c r="T4436" i="1"/>
  <c r="U4436" i="1"/>
  <c r="BB4436" i="1"/>
  <c r="BW4436" i="1"/>
  <c r="A4437" i="1"/>
  <c r="C4437" i="1"/>
  <c r="S4437" i="1"/>
  <c r="T4437" i="1"/>
  <c r="U4437" i="1"/>
  <c r="BB4437" i="1"/>
  <c r="BW4437" i="1"/>
  <c r="A4438" i="1"/>
  <c r="C4438" i="1"/>
  <c r="S4438" i="1"/>
  <c r="T4438" i="1"/>
  <c r="U4438" i="1"/>
  <c r="BB4438" i="1"/>
  <c r="BW4438" i="1"/>
  <c r="A4439" i="1"/>
  <c r="C4439" i="1"/>
  <c r="S4439" i="1"/>
  <c r="T4439" i="1"/>
  <c r="U4439" i="1"/>
  <c r="BB4439" i="1"/>
  <c r="BW4439" i="1"/>
  <c r="A4440" i="1"/>
  <c r="C4440" i="1"/>
  <c r="S4440" i="1"/>
  <c r="T4440" i="1"/>
  <c r="U4440" i="1"/>
  <c r="BB4440" i="1"/>
  <c r="BW4440" i="1"/>
  <c r="A4441" i="1"/>
  <c r="C4441" i="1"/>
  <c r="S4441" i="1"/>
  <c r="T4441" i="1"/>
  <c r="U4441" i="1"/>
  <c r="BB4441" i="1"/>
  <c r="BW4441" i="1"/>
  <c r="A4442" i="1"/>
  <c r="C4442" i="1"/>
  <c r="S4442" i="1"/>
  <c r="T4442" i="1"/>
  <c r="U4442" i="1"/>
  <c r="BB4442" i="1"/>
  <c r="BW4442" i="1"/>
  <c r="A4443" i="1"/>
  <c r="C4443" i="1"/>
  <c r="S4443" i="1"/>
  <c r="T4443" i="1"/>
  <c r="U4443" i="1"/>
  <c r="BB4443" i="1"/>
  <c r="BW4443" i="1"/>
  <c r="A4444" i="1"/>
  <c r="C4444" i="1"/>
  <c r="S4444" i="1"/>
  <c r="T4444" i="1"/>
  <c r="U4444" i="1"/>
  <c r="BB4444" i="1"/>
  <c r="BW4444" i="1"/>
  <c r="A4445" i="1"/>
  <c r="C4445" i="1"/>
  <c r="S4445" i="1"/>
  <c r="T4445" i="1"/>
  <c r="U4445" i="1"/>
  <c r="BB4445" i="1"/>
  <c r="BW4445" i="1"/>
  <c r="A4446" i="1"/>
  <c r="C4446" i="1"/>
  <c r="S4446" i="1"/>
  <c r="T4446" i="1"/>
  <c r="U4446" i="1"/>
  <c r="BB4446" i="1"/>
  <c r="BW4446" i="1"/>
  <c r="A4447" i="1"/>
  <c r="C4447" i="1"/>
  <c r="S4447" i="1"/>
  <c r="T4447" i="1"/>
  <c r="U4447" i="1"/>
  <c r="BB4447" i="1"/>
  <c r="BW4447" i="1"/>
  <c r="A4448" i="1"/>
  <c r="C4448" i="1"/>
  <c r="S4448" i="1"/>
  <c r="T4448" i="1"/>
  <c r="U4448" i="1"/>
  <c r="BB4448" i="1"/>
  <c r="BW4448" i="1"/>
  <c r="A4449" i="1"/>
  <c r="C4449" i="1"/>
  <c r="S4449" i="1"/>
  <c r="T4449" i="1"/>
  <c r="U4449" i="1"/>
  <c r="BB4449" i="1"/>
  <c r="BW4449" i="1"/>
  <c r="A4450" i="1"/>
  <c r="C4450" i="1"/>
  <c r="S4450" i="1"/>
  <c r="T4450" i="1"/>
  <c r="U4450" i="1"/>
  <c r="BB4450" i="1"/>
  <c r="BW4450" i="1"/>
  <c r="A4451" i="1"/>
  <c r="C4451" i="1"/>
  <c r="S4451" i="1"/>
  <c r="T4451" i="1"/>
  <c r="U4451" i="1"/>
  <c r="BB4451" i="1"/>
  <c r="BW4451" i="1"/>
  <c r="A4452" i="1"/>
  <c r="C4452" i="1"/>
  <c r="S4452" i="1"/>
  <c r="T4452" i="1"/>
  <c r="U4452" i="1"/>
  <c r="BB4452" i="1"/>
  <c r="BW4452" i="1"/>
  <c r="A4453" i="1"/>
  <c r="C4453" i="1"/>
  <c r="S4453" i="1"/>
  <c r="T4453" i="1"/>
  <c r="U4453" i="1"/>
  <c r="BB4453" i="1"/>
  <c r="BW4453" i="1"/>
  <c r="A4454" i="1"/>
  <c r="C4454" i="1"/>
  <c r="S4454" i="1"/>
  <c r="T4454" i="1"/>
  <c r="U4454" i="1"/>
  <c r="BB4454" i="1"/>
  <c r="BW4454" i="1"/>
  <c r="A4455" i="1"/>
  <c r="C4455" i="1"/>
  <c r="S4455" i="1"/>
  <c r="T4455" i="1"/>
  <c r="U4455" i="1"/>
  <c r="BB4455" i="1"/>
  <c r="BW4455" i="1"/>
  <c r="A4456" i="1"/>
  <c r="C4456" i="1"/>
  <c r="S4456" i="1"/>
  <c r="T4456" i="1"/>
  <c r="U4456" i="1"/>
  <c r="BB4456" i="1"/>
  <c r="BW4456" i="1"/>
  <c r="A4457" i="1"/>
  <c r="C4457" i="1"/>
  <c r="S4457" i="1"/>
  <c r="T4457" i="1"/>
  <c r="U4457" i="1"/>
  <c r="BB4457" i="1"/>
  <c r="BW4457" i="1"/>
  <c r="A4458" i="1"/>
  <c r="C4458" i="1"/>
  <c r="S4458" i="1"/>
  <c r="T4458" i="1"/>
  <c r="U4458" i="1"/>
  <c r="BB4458" i="1"/>
  <c r="BW4458" i="1"/>
  <c r="A4459" i="1"/>
  <c r="C4459" i="1"/>
  <c r="S4459" i="1"/>
  <c r="T4459" i="1"/>
  <c r="U4459" i="1"/>
  <c r="BB4459" i="1"/>
  <c r="BW4459" i="1"/>
  <c r="A4460" i="1"/>
  <c r="C4460" i="1"/>
  <c r="S4460" i="1"/>
  <c r="T4460" i="1"/>
  <c r="U4460" i="1"/>
  <c r="BB4460" i="1"/>
  <c r="BW4460" i="1"/>
  <c r="A4461" i="1"/>
  <c r="C4461" i="1"/>
  <c r="S4461" i="1"/>
  <c r="T4461" i="1"/>
  <c r="U4461" i="1"/>
  <c r="BB4461" i="1"/>
  <c r="BW4461" i="1"/>
  <c r="A4462" i="1"/>
  <c r="C4462" i="1"/>
  <c r="S4462" i="1"/>
  <c r="T4462" i="1"/>
  <c r="U4462" i="1"/>
  <c r="BB4462" i="1"/>
  <c r="BW4462" i="1"/>
  <c r="A4463" i="1"/>
  <c r="C4463" i="1"/>
  <c r="S4463" i="1"/>
  <c r="T4463" i="1"/>
  <c r="U4463" i="1"/>
  <c r="BB4463" i="1"/>
  <c r="BW4463" i="1"/>
  <c r="A4464" i="1"/>
  <c r="C4464" i="1"/>
  <c r="S4464" i="1"/>
  <c r="T4464" i="1"/>
  <c r="U4464" i="1"/>
  <c r="BB4464" i="1"/>
  <c r="BW4464" i="1"/>
  <c r="A4465" i="1"/>
  <c r="C4465" i="1"/>
  <c r="S4465" i="1"/>
  <c r="T4465" i="1"/>
  <c r="U4465" i="1"/>
  <c r="BB4465" i="1"/>
  <c r="BW4465" i="1"/>
  <c r="A4466" i="1"/>
  <c r="C4466" i="1"/>
  <c r="S4466" i="1"/>
  <c r="T4466" i="1"/>
  <c r="U4466" i="1"/>
  <c r="BB4466" i="1"/>
  <c r="BW4466" i="1"/>
  <c r="A4467" i="1"/>
  <c r="C4467" i="1"/>
  <c r="S4467" i="1"/>
  <c r="T4467" i="1"/>
  <c r="U4467" i="1"/>
  <c r="BB4467" i="1"/>
  <c r="BW4467" i="1"/>
  <c r="A4468" i="1"/>
  <c r="C4468" i="1"/>
  <c r="S4468" i="1"/>
  <c r="T4468" i="1"/>
  <c r="U4468" i="1"/>
  <c r="BB4468" i="1"/>
  <c r="BW4468" i="1"/>
  <c r="A4469" i="1"/>
  <c r="C4469" i="1"/>
  <c r="S4469" i="1"/>
  <c r="T4469" i="1"/>
  <c r="U4469" i="1"/>
  <c r="BB4469" i="1"/>
  <c r="BW4469" i="1"/>
  <c r="A4470" i="1"/>
  <c r="C4470" i="1"/>
  <c r="S4470" i="1"/>
  <c r="T4470" i="1"/>
  <c r="U4470" i="1"/>
  <c r="BB4470" i="1"/>
  <c r="BW4470" i="1"/>
  <c r="A4471" i="1"/>
  <c r="C4471" i="1"/>
  <c r="S4471" i="1"/>
  <c r="T4471" i="1"/>
  <c r="U4471" i="1"/>
  <c r="BB4471" i="1"/>
  <c r="BW4471" i="1"/>
  <c r="A4472" i="1"/>
  <c r="C4472" i="1"/>
  <c r="S4472" i="1"/>
  <c r="T4472" i="1"/>
  <c r="U4472" i="1"/>
  <c r="BB4472" i="1"/>
  <c r="BW4472" i="1"/>
  <c r="A4473" i="1"/>
  <c r="C4473" i="1"/>
  <c r="S4473" i="1"/>
  <c r="T4473" i="1"/>
  <c r="U4473" i="1"/>
  <c r="BB4473" i="1"/>
  <c r="BW4473" i="1"/>
  <c r="A4474" i="1"/>
  <c r="C4474" i="1"/>
  <c r="S4474" i="1"/>
  <c r="T4474" i="1"/>
  <c r="U4474" i="1"/>
  <c r="BB4474" i="1"/>
  <c r="BW4474" i="1"/>
  <c r="A4475" i="1"/>
  <c r="C4475" i="1"/>
  <c r="S4475" i="1"/>
  <c r="T4475" i="1"/>
  <c r="U4475" i="1"/>
  <c r="BB4475" i="1"/>
  <c r="BW4475" i="1"/>
  <c r="A4476" i="1"/>
  <c r="C4476" i="1"/>
  <c r="S4476" i="1"/>
  <c r="T4476" i="1"/>
  <c r="U4476" i="1"/>
  <c r="BB4476" i="1"/>
  <c r="BW4476" i="1"/>
  <c r="A4477" i="1"/>
  <c r="C4477" i="1"/>
  <c r="S4477" i="1"/>
  <c r="T4477" i="1"/>
  <c r="U4477" i="1"/>
  <c r="BB4477" i="1"/>
  <c r="BW4477" i="1"/>
  <c r="A4478" i="1"/>
  <c r="C4478" i="1"/>
  <c r="S4478" i="1"/>
  <c r="T4478" i="1"/>
  <c r="U4478" i="1"/>
  <c r="BB4478" i="1"/>
  <c r="BW4478" i="1"/>
  <c r="A4479" i="1"/>
  <c r="C4479" i="1"/>
  <c r="S4479" i="1"/>
  <c r="T4479" i="1"/>
  <c r="U4479" i="1"/>
  <c r="BB4479" i="1"/>
  <c r="BW4479" i="1"/>
  <c r="A4480" i="1"/>
  <c r="C4480" i="1"/>
  <c r="S4480" i="1"/>
  <c r="T4480" i="1"/>
  <c r="U4480" i="1"/>
  <c r="BB4480" i="1"/>
  <c r="BW4480" i="1"/>
  <c r="A4481" i="1"/>
  <c r="C4481" i="1"/>
  <c r="S4481" i="1"/>
  <c r="T4481" i="1"/>
  <c r="U4481" i="1"/>
  <c r="BB4481" i="1"/>
  <c r="BW4481" i="1"/>
  <c r="A4482" i="1"/>
  <c r="C4482" i="1"/>
  <c r="S4482" i="1"/>
  <c r="T4482" i="1"/>
  <c r="U4482" i="1"/>
  <c r="BB4482" i="1"/>
  <c r="BW4482" i="1"/>
  <c r="A4483" i="1"/>
  <c r="C4483" i="1"/>
  <c r="S4483" i="1"/>
  <c r="T4483" i="1"/>
  <c r="U4483" i="1"/>
  <c r="BB4483" i="1"/>
  <c r="BW4483" i="1"/>
  <c r="A4484" i="1"/>
  <c r="C4484" i="1"/>
  <c r="S4484" i="1"/>
  <c r="T4484" i="1"/>
  <c r="U4484" i="1"/>
  <c r="BB4484" i="1"/>
  <c r="BW4484" i="1"/>
  <c r="A4485" i="1"/>
  <c r="C4485" i="1"/>
  <c r="S4485" i="1"/>
  <c r="T4485" i="1"/>
  <c r="U4485" i="1"/>
  <c r="BB4485" i="1"/>
  <c r="BW4485" i="1"/>
  <c r="A4486" i="1"/>
  <c r="C4486" i="1"/>
  <c r="S4486" i="1"/>
  <c r="T4486" i="1"/>
  <c r="U4486" i="1"/>
  <c r="BB4486" i="1"/>
  <c r="BW4486" i="1"/>
  <c r="A4487" i="1"/>
  <c r="C4487" i="1"/>
  <c r="S4487" i="1"/>
  <c r="T4487" i="1"/>
  <c r="U4487" i="1"/>
  <c r="BB4487" i="1"/>
  <c r="BW4487" i="1"/>
  <c r="A4488" i="1"/>
  <c r="C4488" i="1"/>
  <c r="S4488" i="1"/>
  <c r="T4488" i="1"/>
  <c r="U4488" i="1"/>
  <c r="BB4488" i="1"/>
  <c r="BW4488" i="1"/>
  <c r="A4489" i="1"/>
  <c r="C4489" i="1"/>
  <c r="S4489" i="1"/>
  <c r="T4489" i="1"/>
  <c r="U4489" i="1"/>
  <c r="BB4489" i="1"/>
  <c r="BW4489" i="1"/>
  <c r="A4490" i="1"/>
  <c r="C4490" i="1"/>
  <c r="S4490" i="1"/>
  <c r="T4490" i="1"/>
  <c r="U4490" i="1"/>
  <c r="BB4490" i="1"/>
  <c r="BW4490" i="1"/>
  <c r="A4491" i="1"/>
  <c r="C4491" i="1"/>
  <c r="S4491" i="1"/>
  <c r="T4491" i="1"/>
  <c r="U4491" i="1"/>
  <c r="BB4491" i="1"/>
  <c r="BW4491" i="1"/>
  <c r="A4492" i="1"/>
  <c r="C4492" i="1"/>
  <c r="S4492" i="1"/>
  <c r="T4492" i="1"/>
  <c r="U4492" i="1"/>
  <c r="BB4492" i="1"/>
  <c r="BW4492" i="1"/>
  <c r="A4493" i="1"/>
  <c r="C4493" i="1"/>
  <c r="S4493" i="1"/>
  <c r="T4493" i="1"/>
  <c r="U4493" i="1"/>
  <c r="BB4493" i="1"/>
  <c r="BW4493" i="1"/>
  <c r="A4494" i="1"/>
  <c r="C4494" i="1"/>
  <c r="S4494" i="1"/>
  <c r="T4494" i="1"/>
  <c r="U4494" i="1"/>
  <c r="BB4494" i="1"/>
  <c r="BW4494" i="1"/>
  <c r="A4495" i="1"/>
  <c r="C4495" i="1"/>
  <c r="S4495" i="1"/>
  <c r="T4495" i="1"/>
  <c r="U4495" i="1"/>
  <c r="BB4495" i="1"/>
  <c r="BW4495" i="1"/>
  <c r="A4496" i="1"/>
  <c r="C4496" i="1"/>
  <c r="S4496" i="1"/>
  <c r="T4496" i="1"/>
  <c r="U4496" i="1"/>
  <c r="BB4496" i="1"/>
  <c r="BW4496" i="1"/>
  <c r="A4497" i="1"/>
  <c r="C4497" i="1"/>
  <c r="S4497" i="1"/>
  <c r="T4497" i="1"/>
  <c r="U4497" i="1"/>
  <c r="BB4497" i="1"/>
  <c r="BW4497" i="1"/>
  <c r="A4498" i="1"/>
  <c r="C4498" i="1"/>
  <c r="S4498" i="1"/>
  <c r="T4498" i="1"/>
  <c r="U4498" i="1"/>
  <c r="BB4498" i="1"/>
  <c r="BW4498" i="1"/>
  <c r="A4499" i="1"/>
  <c r="C4499" i="1"/>
  <c r="S4499" i="1"/>
  <c r="T4499" i="1"/>
  <c r="U4499" i="1"/>
  <c r="BB4499" i="1"/>
  <c r="BW4499" i="1"/>
  <c r="A4500" i="1"/>
  <c r="C4500" i="1"/>
  <c r="S4500" i="1"/>
  <c r="T4500" i="1"/>
  <c r="U4500" i="1"/>
  <c r="BB4500" i="1"/>
  <c r="BW4500" i="1"/>
  <c r="A4501" i="1"/>
  <c r="C4501" i="1"/>
  <c r="S4501" i="1"/>
  <c r="T4501" i="1"/>
  <c r="U4501" i="1"/>
  <c r="BB4501" i="1"/>
  <c r="BW4501" i="1"/>
  <c r="A4502" i="1"/>
  <c r="C4502" i="1"/>
  <c r="S4502" i="1"/>
  <c r="T4502" i="1"/>
  <c r="U4502" i="1"/>
  <c r="BB4502" i="1"/>
  <c r="BW4502" i="1"/>
  <c r="A4503" i="1"/>
  <c r="C4503" i="1"/>
  <c r="S4503" i="1"/>
  <c r="T4503" i="1"/>
  <c r="U4503" i="1"/>
  <c r="BB4503" i="1"/>
  <c r="BW4503" i="1"/>
  <c r="A4504" i="1"/>
  <c r="C4504" i="1"/>
  <c r="S4504" i="1"/>
  <c r="T4504" i="1"/>
  <c r="U4504" i="1"/>
  <c r="BB4504" i="1"/>
  <c r="BW4504" i="1"/>
  <c r="A4505" i="1"/>
  <c r="C4505" i="1"/>
  <c r="S4505" i="1"/>
  <c r="T4505" i="1"/>
  <c r="U4505" i="1"/>
  <c r="BB4505" i="1"/>
  <c r="BW4505" i="1"/>
  <c r="A4506" i="1"/>
  <c r="C4506" i="1"/>
  <c r="S4506" i="1"/>
  <c r="T4506" i="1"/>
  <c r="U4506" i="1"/>
  <c r="BB4506" i="1"/>
  <c r="BW4506" i="1"/>
  <c r="A4507" i="1"/>
  <c r="C4507" i="1"/>
  <c r="S4507" i="1"/>
  <c r="T4507" i="1"/>
  <c r="U4507" i="1"/>
  <c r="BB4507" i="1"/>
  <c r="BW4507" i="1"/>
  <c r="A4508" i="1"/>
  <c r="C4508" i="1"/>
  <c r="S4508" i="1"/>
  <c r="T4508" i="1"/>
  <c r="U4508" i="1"/>
  <c r="BB4508" i="1"/>
  <c r="BW4508" i="1"/>
  <c r="A4509" i="1"/>
  <c r="C4509" i="1"/>
  <c r="S4509" i="1"/>
  <c r="T4509" i="1"/>
  <c r="U4509" i="1"/>
  <c r="BB4509" i="1"/>
  <c r="BW4509" i="1"/>
  <c r="A4510" i="1"/>
  <c r="C4510" i="1"/>
  <c r="S4510" i="1"/>
  <c r="T4510" i="1"/>
  <c r="U4510" i="1"/>
  <c r="BB4510" i="1"/>
  <c r="BW4510" i="1"/>
  <c r="A4511" i="1"/>
  <c r="C4511" i="1"/>
  <c r="S4511" i="1"/>
  <c r="T4511" i="1"/>
  <c r="U4511" i="1"/>
  <c r="BB4511" i="1"/>
  <c r="BW4511" i="1"/>
  <c r="A4512" i="1"/>
  <c r="C4512" i="1"/>
  <c r="S4512" i="1"/>
  <c r="T4512" i="1"/>
  <c r="U4512" i="1"/>
  <c r="BB4512" i="1"/>
  <c r="BW4512" i="1"/>
  <c r="A4513" i="1"/>
  <c r="C4513" i="1"/>
  <c r="S4513" i="1"/>
  <c r="T4513" i="1"/>
  <c r="U4513" i="1"/>
  <c r="BB4513" i="1"/>
  <c r="BW4513" i="1"/>
  <c r="A4514" i="1"/>
  <c r="C4514" i="1"/>
  <c r="S4514" i="1"/>
  <c r="T4514" i="1"/>
  <c r="U4514" i="1"/>
  <c r="BB4514" i="1"/>
  <c r="BW4514" i="1"/>
  <c r="A4515" i="1"/>
  <c r="C4515" i="1"/>
  <c r="S4515" i="1"/>
  <c r="T4515" i="1"/>
  <c r="U4515" i="1"/>
  <c r="BB4515" i="1"/>
  <c r="BW4515" i="1"/>
  <c r="A4516" i="1"/>
  <c r="C4516" i="1"/>
  <c r="S4516" i="1"/>
  <c r="T4516" i="1"/>
  <c r="U4516" i="1"/>
  <c r="BB4516" i="1"/>
  <c r="BW4516" i="1"/>
  <c r="A4517" i="1"/>
  <c r="C4517" i="1"/>
  <c r="S4517" i="1"/>
  <c r="T4517" i="1"/>
  <c r="U4517" i="1"/>
  <c r="BB4517" i="1"/>
  <c r="BW4517" i="1"/>
  <c r="A4518" i="1"/>
  <c r="C4518" i="1"/>
  <c r="S4518" i="1"/>
  <c r="T4518" i="1"/>
  <c r="U4518" i="1"/>
  <c r="BB4518" i="1"/>
  <c r="BW4518" i="1"/>
  <c r="A4519" i="1"/>
  <c r="C4519" i="1"/>
  <c r="S4519" i="1"/>
  <c r="T4519" i="1"/>
  <c r="U4519" i="1"/>
  <c r="BB4519" i="1"/>
  <c r="BW4519" i="1"/>
  <c r="A4520" i="1"/>
  <c r="C4520" i="1"/>
  <c r="S4520" i="1"/>
  <c r="T4520" i="1"/>
  <c r="U4520" i="1"/>
  <c r="BB4520" i="1"/>
  <c r="BW4520" i="1"/>
  <c r="A4521" i="1"/>
  <c r="C4521" i="1"/>
  <c r="S4521" i="1"/>
  <c r="T4521" i="1"/>
  <c r="U4521" i="1"/>
  <c r="BB4521" i="1"/>
  <c r="BW4521" i="1"/>
  <c r="A4522" i="1"/>
  <c r="C4522" i="1"/>
  <c r="S4522" i="1"/>
  <c r="T4522" i="1"/>
  <c r="U4522" i="1"/>
  <c r="BB4522" i="1"/>
  <c r="BW4522" i="1"/>
  <c r="A4523" i="1"/>
  <c r="C4523" i="1"/>
  <c r="S4523" i="1"/>
  <c r="T4523" i="1"/>
  <c r="U4523" i="1"/>
  <c r="BB4523" i="1"/>
  <c r="BW4523" i="1"/>
  <c r="A4524" i="1"/>
  <c r="C4524" i="1"/>
  <c r="S4524" i="1"/>
  <c r="T4524" i="1"/>
  <c r="U4524" i="1"/>
  <c r="BB4524" i="1"/>
  <c r="BW4524" i="1"/>
  <c r="A4525" i="1"/>
  <c r="C4525" i="1"/>
  <c r="S4525" i="1"/>
  <c r="T4525" i="1"/>
  <c r="U4525" i="1"/>
  <c r="BB4525" i="1"/>
  <c r="BW4525" i="1"/>
  <c r="A4526" i="1"/>
  <c r="C4526" i="1"/>
  <c r="S4526" i="1"/>
  <c r="T4526" i="1"/>
  <c r="U4526" i="1"/>
  <c r="BB4526" i="1"/>
  <c r="BW4526" i="1"/>
  <c r="A4527" i="1"/>
  <c r="C4527" i="1"/>
  <c r="S4527" i="1"/>
  <c r="T4527" i="1"/>
  <c r="U4527" i="1"/>
  <c r="BB4527" i="1"/>
  <c r="BW4527" i="1"/>
  <c r="A4528" i="1"/>
  <c r="C4528" i="1"/>
  <c r="S4528" i="1"/>
  <c r="T4528" i="1"/>
  <c r="U4528" i="1"/>
  <c r="BB4528" i="1"/>
  <c r="BW4528" i="1"/>
  <c r="A4529" i="1"/>
  <c r="C4529" i="1"/>
  <c r="S4529" i="1"/>
  <c r="T4529" i="1"/>
  <c r="U4529" i="1"/>
  <c r="BB4529" i="1"/>
  <c r="BW4529" i="1"/>
  <c r="A4530" i="1"/>
  <c r="C4530" i="1"/>
  <c r="S4530" i="1"/>
  <c r="T4530" i="1"/>
  <c r="U4530" i="1"/>
  <c r="BB4530" i="1"/>
  <c r="BW4530" i="1"/>
  <c r="A4531" i="1"/>
  <c r="C4531" i="1"/>
  <c r="S4531" i="1"/>
  <c r="T4531" i="1"/>
  <c r="U4531" i="1"/>
  <c r="BB4531" i="1"/>
  <c r="BW4531" i="1"/>
  <c r="A4532" i="1"/>
  <c r="C4532" i="1"/>
  <c r="S4532" i="1"/>
  <c r="T4532" i="1"/>
  <c r="U4532" i="1"/>
  <c r="BB4532" i="1"/>
  <c r="BW4532" i="1"/>
  <c r="A4533" i="1"/>
  <c r="C4533" i="1"/>
  <c r="S4533" i="1"/>
  <c r="T4533" i="1"/>
  <c r="U4533" i="1"/>
  <c r="BB4533" i="1"/>
  <c r="BW4533" i="1"/>
  <c r="A4534" i="1"/>
  <c r="C4534" i="1"/>
  <c r="S4534" i="1"/>
  <c r="T4534" i="1"/>
  <c r="U4534" i="1"/>
  <c r="BB4534" i="1"/>
  <c r="BW4534" i="1"/>
  <c r="A4535" i="1"/>
  <c r="C4535" i="1"/>
  <c r="S4535" i="1"/>
  <c r="T4535" i="1"/>
  <c r="U4535" i="1"/>
  <c r="BB4535" i="1"/>
  <c r="BW4535" i="1"/>
  <c r="A4536" i="1"/>
  <c r="C4536" i="1"/>
  <c r="S4536" i="1"/>
  <c r="T4536" i="1"/>
  <c r="U4536" i="1"/>
  <c r="BB4536" i="1"/>
  <c r="BW4536" i="1"/>
  <c r="A4537" i="1"/>
  <c r="C4537" i="1"/>
  <c r="S4537" i="1"/>
  <c r="T4537" i="1"/>
  <c r="U4537" i="1"/>
  <c r="BB4537" i="1"/>
  <c r="BW4537" i="1"/>
  <c r="A4538" i="1"/>
  <c r="C4538" i="1"/>
  <c r="S4538" i="1"/>
  <c r="T4538" i="1"/>
  <c r="U4538" i="1"/>
  <c r="BB4538" i="1"/>
  <c r="BW4538" i="1"/>
  <c r="A4539" i="1"/>
  <c r="C4539" i="1"/>
  <c r="S4539" i="1"/>
  <c r="T4539" i="1"/>
  <c r="U4539" i="1"/>
  <c r="BB4539" i="1"/>
  <c r="BW4539" i="1"/>
  <c r="A4540" i="1"/>
  <c r="C4540" i="1"/>
  <c r="S4540" i="1"/>
  <c r="T4540" i="1"/>
  <c r="U4540" i="1"/>
  <c r="BB4540" i="1"/>
  <c r="BW4540" i="1"/>
  <c r="A4541" i="1"/>
  <c r="C4541" i="1"/>
  <c r="S4541" i="1"/>
  <c r="T4541" i="1"/>
  <c r="U4541" i="1"/>
  <c r="BB4541" i="1"/>
  <c r="BW4541" i="1"/>
  <c r="A4542" i="1"/>
  <c r="C4542" i="1"/>
  <c r="S4542" i="1"/>
  <c r="T4542" i="1"/>
  <c r="U4542" i="1"/>
  <c r="BB4542" i="1"/>
  <c r="BW4542" i="1"/>
  <c r="A4543" i="1"/>
  <c r="C4543" i="1"/>
  <c r="S4543" i="1"/>
  <c r="T4543" i="1"/>
  <c r="U4543" i="1"/>
  <c r="BB4543" i="1"/>
  <c r="BW4543" i="1"/>
  <c r="A4544" i="1"/>
  <c r="C4544" i="1"/>
  <c r="S4544" i="1"/>
  <c r="T4544" i="1"/>
  <c r="U4544" i="1"/>
  <c r="BB4544" i="1"/>
  <c r="BW4544" i="1"/>
  <c r="A4545" i="1"/>
  <c r="C4545" i="1"/>
  <c r="S4545" i="1"/>
  <c r="T4545" i="1"/>
  <c r="U4545" i="1"/>
  <c r="BB4545" i="1"/>
  <c r="BW4545" i="1"/>
  <c r="A4546" i="1"/>
  <c r="C4546" i="1"/>
  <c r="S4546" i="1"/>
  <c r="T4546" i="1"/>
  <c r="U4546" i="1"/>
  <c r="BB4546" i="1"/>
  <c r="BW4546" i="1"/>
  <c r="A4547" i="1"/>
  <c r="C4547" i="1"/>
  <c r="S4547" i="1"/>
  <c r="T4547" i="1"/>
  <c r="U4547" i="1"/>
  <c r="BB4547" i="1"/>
  <c r="BW4547" i="1"/>
  <c r="A4548" i="1"/>
  <c r="C4548" i="1"/>
  <c r="S4548" i="1"/>
  <c r="T4548" i="1"/>
  <c r="U4548" i="1"/>
  <c r="BB4548" i="1"/>
  <c r="BW4548" i="1"/>
  <c r="A4549" i="1"/>
  <c r="C4549" i="1"/>
  <c r="S4549" i="1"/>
  <c r="T4549" i="1"/>
  <c r="U4549" i="1"/>
  <c r="BB4549" i="1"/>
  <c r="BW4549" i="1"/>
  <c r="A4550" i="1"/>
  <c r="C4550" i="1"/>
  <c r="S4550" i="1"/>
  <c r="T4550" i="1"/>
  <c r="U4550" i="1"/>
  <c r="BB4550" i="1"/>
  <c r="BW4550" i="1"/>
  <c r="A4551" i="1"/>
  <c r="C4551" i="1"/>
  <c r="S4551" i="1"/>
  <c r="T4551" i="1"/>
  <c r="U4551" i="1"/>
  <c r="BB4551" i="1"/>
  <c r="BW4551" i="1"/>
  <c r="A4552" i="1"/>
  <c r="C4552" i="1"/>
  <c r="S4552" i="1"/>
  <c r="T4552" i="1"/>
  <c r="U4552" i="1"/>
  <c r="BB4552" i="1"/>
  <c r="BW4552" i="1"/>
  <c r="A4553" i="1"/>
  <c r="C4553" i="1"/>
  <c r="S4553" i="1"/>
  <c r="T4553" i="1"/>
  <c r="U4553" i="1"/>
  <c r="BB4553" i="1"/>
  <c r="BW4553" i="1"/>
  <c r="A4554" i="1"/>
  <c r="C4554" i="1"/>
  <c r="S4554" i="1"/>
  <c r="T4554" i="1"/>
  <c r="U4554" i="1"/>
  <c r="BB4554" i="1"/>
  <c r="BW4554" i="1"/>
  <c r="A4555" i="1"/>
  <c r="C4555" i="1"/>
  <c r="S4555" i="1"/>
  <c r="T4555" i="1"/>
  <c r="U4555" i="1"/>
  <c r="BB4555" i="1"/>
  <c r="BW4555" i="1"/>
  <c r="A4556" i="1"/>
  <c r="C4556" i="1"/>
  <c r="S4556" i="1"/>
  <c r="T4556" i="1"/>
  <c r="U4556" i="1"/>
  <c r="BB4556" i="1"/>
  <c r="BW4556" i="1"/>
  <c r="A4557" i="1"/>
  <c r="C4557" i="1"/>
  <c r="S4557" i="1"/>
  <c r="T4557" i="1"/>
  <c r="U4557" i="1"/>
  <c r="BB4557" i="1"/>
  <c r="BW4557" i="1"/>
  <c r="A4558" i="1"/>
  <c r="C4558" i="1"/>
  <c r="S4558" i="1"/>
  <c r="T4558" i="1"/>
  <c r="U4558" i="1"/>
  <c r="BB4558" i="1"/>
  <c r="BW4558" i="1"/>
  <c r="A4559" i="1"/>
  <c r="C4559" i="1"/>
  <c r="S4559" i="1"/>
  <c r="T4559" i="1"/>
  <c r="U4559" i="1"/>
  <c r="BB4559" i="1"/>
  <c r="BW4559" i="1"/>
  <c r="A4560" i="1"/>
  <c r="C4560" i="1"/>
  <c r="S4560" i="1"/>
  <c r="T4560" i="1"/>
  <c r="U4560" i="1"/>
  <c r="BB4560" i="1"/>
  <c r="BW4560" i="1"/>
  <c r="A4561" i="1"/>
  <c r="C4561" i="1"/>
  <c r="S4561" i="1"/>
  <c r="T4561" i="1"/>
  <c r="U4561" i="1"/>
  <c r="BB4561" i="1"/>
  <c r="BW4561" i="1"/>
  <c r="A4562" i="1"/>
  <c r="C4562" i="1"/>
  <c r="S4562" i="1"/>
  <c r="T4562" i="1"/>
  <c r="U4562" i="1"/>
  <c r="BB4562" i="1"/>
  <c r="BW4562" i="1"/>
  <c r="A4563" i="1"/>
  <c r="C4563" i="1"/>
  <c r="S4563" i="1"/>
  <c r="T4563" i="1"/>
  <c r="U4563" i="1"/>
  <c r="BB4563" i="1"/>
  <c r="BW4563" i="1"/>
  <c r="A4564" i="1"/>
  <c r="C4564" i="1"/>
  <c r="S4564" i="1"/>
  <c r="T4564" i="1"/>
  <c r="U4564" i="1"/>
  <c r="BB4564" i="1"/>
  <c r="BW4564" i="1"/>
  <c r="A4565" i="1"/>
  <c r="C4565" i="1"/>
  <c r="S4565" i="1"/>
  <c r="T4565" i="1"/>
  <c r="U4565" i="1"/>
  <c r="BB4565" i="1"/>
  <c r="BW4565" i="1"/>
  <c r="A4566" i="1"/>
  <c r="C4566" i="1"/>
  <c r="S4566" i="1"/>
  <c r="T4566" i="1"/>
  <c r="U4566" i="1"/>
  <c r="BB4566" i="1"/>
  <c r="BW4566" i="1"/>
  <c r="A4567" i="1"/>
  <c r="C4567" i="1"/>
  <c r="S4567" i="1"/>
  <c r="T4567" i="1"/>
  <c r="U4567" i="1"/>
  <c r="BB4567" i="1"/>
  <c r="BW4567" i="1"/>
  <c r="A4568" i="1"/>
  <c r="C4568" i="1"/>
  <c r="S4568" i="1"/>
  <c r="T4568" i="1"/>
  <c r="U4568" i="1"/>
  <c r="BB4568" i="1"/>
  <c r="BW4568" i="1"/>
  <c r="A4569" i="1"/>
  <c r="C4569" i="1"/>
  <c r="S4569" i="1"/>
  <c r="T4569" i="1"/>
  <c r="U4569" i="1"/>
  <c r="BB4569" i="1"/>
  <c r="BW4569" i="1"/>
  <c r="A4570" i="1"/>
  <c r="C4570" i="1"/>
  <c r="S4570" i="1"/>
  <c r="T4570" i="1"/>
  <c r="U4570" i="1"/>
  <c r="BB4570" i="1"/>
  <c r="BW4570" i="1"/>
  <c r="A4571" i="1"/>
  <c r="C4571" i="1"/>
  <c r="S4571" i="1"/>
  <c r="T4571" i="1"/>
  <c r="U4571" i="1"/>
  <c r="BB4571" i="1"/>
  <c r="BW4571" i="1"/>
  <c r="A4572" i="1"/>
  <c r="C4572" i="1"/>
  <c r="S4572" i="1"/>
  <c r="T4572" i="1"/>
  <c r="U4572" i="1"/>
  <c r="BB4572" i="1"/>
  <c r="BW4572" i="1"/>
  <c r="A4573" i="1"/>
  <c r="C4573" i="1"/>
  <c r="S4573" i="1"/>
  <c r="T4573" i="1"/>
  <c r="U4573" i="1"/>
  <c r="BB4573" i="1"/>
  <c r="BW4573" i="1"/>
  <c r="A4574" i="1"/>
  <c r="C4574" i="1"/>
  <c r="S4574" i="1"/>
  <c r="T4574" i="1"/>
  <c r="U4574" i="1"/>
  <c r="BB4574" i="1"/>
  <c r="BW4574" i="1"/>
  <c r="A4575" i="1"/>
  <c r="C4575" i="1"/>
  <c r="S4575" i="1"/>
  <c r="T4575" i="1"/>
  <c r="U4575" i="1"/>
  <c r="BB4575" i="1"/>
  <c r="BW4575" i="1"/>
  <c r="A4576" i="1"/>
  <c r="C4576" i="1"/>
  <c r="S4576" i="1"/>
  <c r="T4576" i="1"/>
  <c r="U4576" i="1"/>
  <c r="BB4576" i="1"/>
  <c r="BW4576" i="1"/>
  <c r="A4577" i="1"/>
  <c r="C4577" i="1"/>
  <c r="S4577" i="1"/>
  <c r="T4577" i="1"/>
  <c r="U4577" i="1"/>
  <c r="BB4577" i="1"/>
  <c r="BW4577" i="1"/>
  <c r="A4578" i="1"/>
  <c r="C4578" i="1"/>
  <c r="S4578" i="1"/>
  <c r="T4578" i="1"/>
  <c r="U4578" i="1"/>
  <c r="BB4578" i="1"/>
  <c r="BW4578" i="1"/>
  <c r="A4579" i="1"/>
  <c r="C4579" i="1"/>
  <c r="S4579" i="1"/>
  <c r="T4579" i="1"/>
  <c r="U4579" i="1"/>
  <c r="BB4579" i="1"/>
  <c r="BW4579" i="1"/>
  <c r="A4580" i="1"/>
  <c r="C4580" i="1"/>
  <c r="S4580" i="1"/>
  <c r="T4580" i="1"/>
  <c r="U4580" i="1"/>
  <c r="BB4580" i="1"/>
  <c r="BW4580" i="1"/>
  <c r="A4581" i="1"/>
  <c r="C4581" i="1"/>
  <c r="S4581" i="1"/>
  <c r="T4581" i="1"/>
  <c r="U4581" i="1"/>
  <c r="BB4581" i="1"/>
  <c r="BW4581" i="1"/>
  <c r="A4582" i="1"/>
  <c r="C4582" i="1"/>
  <c r="S4582" i="1"/>
  <c r="T4582" i="1"/>
  <c r="U4582" i="1"/>
  <c r="BB4582" i="1"/>
  <c r="BW4582" i="1"/>
  <c r="A4583" i="1"/>
  <c r="C4583" i="1"/>
  <c r="S4583" i="1"/>
  <c r="T4583" i="1"/>
  <c r="U4583" i="1"/>
  <c r="BB4583" i="1"/>
  <c r="BW4583" i="1"/>
  <c r="A4584" i="1"/>
  <c r="C4584" i="1"/>
  <c r="S4584" i="1"/>
  <c r="T4584" i="1"/>
  <c r="U4584" i="1"/>
  <c r="BB4584" i="1"/>
  <c r="BW4584" i="1"/>
  <c r="A4585" i="1"/>
  <c r="C4585" i="1"/>
  <c r="S4585" i="1"/>
  <c r="T4585" i="1"/>
  <c r="U4585" i="1"/>
  <c r="BB4585" i="1"/>
  <c r="BW4585" i="1"/>
  <c r="A4586" i="1"/>
  <c r="C4586" i="1"/>
  <c r="S4586" i="1"/>
  <c r="T4586" i="1"/>
  <c r="U4586" i="1"/>
  <c r="BB4586" i="1"/>
  <c r="BW4586" i="1"/>
  <c r="A4587" i="1"/>
  <c r="C4587" i="1"/>
  <c r="S4587" i="1"/>
  <c r="T4587" i="1"/>
  <c r="U4587" i="1"/>
  <c r="BB4587" i="1"/>
  <c r="BW4587" i="1"/>
  <c r="A4588" i="1"/>
  <c r="C4588" i="1"/>
  <c r="S4588" i="1"/>
  <c r="T4588" i="1"/>
  <c r="U4588" i="1"/>
  <c r="BB4588" i="1"/>
  <c r="BW4588" i="1"/>
  <c r="A4589" i="1"/>
  <c r="C4589" i="1"/>
  <c r="S4589" i="1"/>
  <c r="T4589" i="1"/>
  <c r="U4589" i="1"/>
  <c r="BB4589" i="1"/>
  <c r="BW4589" i="1"/>
  <c r="A4590" i="1"/>
  <c r="C4590" i="1"/>
  <c r="S4590" i="1"/>
  <c r="T4590" i="1"/>
  <c r="U4590" i="1"/>
  <c r="BB4590" i="1"/>
  <c r="BW4590" i="1"/>
  <c r="A4591" i="1"/>
  <c r="C4591" i="1"/>
  <c r="S4591" i="1"/>
  <c r="T4591" i="1"/>
  <c r="U4591" i="1"/>
  <c r="BB4591" i="1"/>
  <c r="BW4591" i="1"/>
  <c r="A4592" i="1"/>
  <c r="C4592" i="1"/>
  <c r="S4592" i="1"/>
  <c r="T4592" i="1"/>
  <c r="U4592" i="1"/>
  <c r="BB4592" i="1"/>
  <c r="BW4592" i="1"/>
  <c r="A4593" i="1"/>
  <c r="C4593" i="1"/>
  <c r="S4593" i="1"/>
  <c r="T4593" i="1"/>
  <c r="U4593" i="1"/>
  <c r="BB4593" i="1"/>
  <c r="BW4593" i="1"/>
  <c r="A4594" i="1"/>
  <c r="C4594" i="1"/>
  <c r="S4594" i="1"/>
  <c r="T4594" i="1"/>
  <c r="U4594" i="1"/>
  <c r="BB4594" i="1"/>
  <c r="BW4594" i="1"/>
  <c r="A4595" i="1"/>
  <c r="C4595" i="1"/>
  <c r="S4595" i="1"/>
  <c r="T4595" i="1"/>
  <c r="U4595" i="1"/>
  <c r="BB4595" i="1"/>
  <c r="BW4595" i="1"/>
  <c r="A4596" i="1"/>
  <c r="C4596" i="1"/>
  <c r="S4596" i="1"/>
  <c r="T4596" i="1"/>
  <c r="U4596" i="1"/>
  <c r="BB4596" i="1"/>
  <c r="BW4596" i="1"/>
  <c r="A4597" i="1"/>
  <c r="C4597" i="1"/>
  <c r="S4597" i="1"/>
  <c r="T4597" i="1"/>
  <c r="U4597" i="1"/>
  <c r="BB4597" i="1"/>
  <c r="BW4597" i="1"/>
  <c r="A4598" i="1"/>
  <c r="C4598" i="1"/>
  <c r="S4598" i="1"/>
  <c r="T4598" i="1"/>
  <c r="U4598" i="1"/>
  <c r="BB4598" i="1"/>
  <c r="BW4598" i="1"/>
  <c r="A4599" i="1"/>
  <c r="C4599" i="1"/>
  <c r="S4599" i="1"/>
  <c r="T4599" i="1"/>
  <c r="U4599" i="1"/>
  <c r="BB4599" i="1"/>
  <c r="BW4599" i="1"/>
  <c r="A4600" i="1"/>
  <c r="C4600" i="1"/>
  <c r="S4600" i="1"/>
  <c r="T4600" i="1"/>
  <c r="U4600" i="1"/>
  <c r="BB4600" i="1"/>
  <c r="BW4600" i="1"/>
  <c r="A4601" i="1"/>
  <c r="C4601" i="1"/>
  <c r="S4601" i="1"/>
  <c r="T4601" i="1"/>
  <c r="U4601" i="1"/>
  <c r="BB4601" i="1"/>
  <c r="BW4601" i="1"/>
  <c r="A4602" i="1"/>
  <c r="C4602" i="1"/>
  <c r="S4602" i="1"/>
  <c r="T4602" i="1"/>
  <c r="U4602" i="1"/>
  <c r="BB4602" i="1"/>
  <c r="BW4602" i="1"/>
  <c r="A4603" i="1"/>
  <c r="C4603" i="1"/>
  <c r="S4603" i="1"/>
  <c r="T4603" i="1"/>
  <c r="U4603" i="1"/>
  <c r="BB4603" i="1"/>
  <c r="BW4603" i="1"/>
  <c r="A4604" i="1"/>
  <c r="C4604" i="1"/>
  <c r="S4604" i="1"/>
  <c r="T4604" i="1"/>
  <c r="U4604" i="1"/>
  <c r="BB4604" i="1"/>
  <c r="BW4604" i="1"/>
  <c r="A4605" i="1"/>
  <c r="C4605" i="1"/>
  <c r="S4605" i="1"/>
  <c r="T4605" i="1"/>
  <c r="U4605" i="1"/>
  <c r="BB4605" i="1"/>
  <c r="BW4605" i="1"/>
  <c r="A4606" i="1"/>
  <c r="C4606" i="1"/>
  <c r="S4606" i="1"/>
  <c r="T4606" i="1"/>
  <c r="U4606" i="1"/>
  <c r="BB4606" i="1"/>
  <c r="BW4606" i="1"/>
  <c r="A4607" i="1"/>
  <c r="C4607" i="1"/>
  <c r="S4607" i="1"/>
  <c r="T4607" i="1"/>
  <c r="U4607" i="1"/>
  <c r="BB4607" i="1"/>
  <c r="BW4607" i="1"/>
  <c r="A4608" i="1"/>
  <c r="C4608" i="1"/>
  <c r="S4608" i="1"/>
  <c r="T4608" i="1"/>
  <c r="U4608" i="1"/>
  <c r="BB4608" i="1"/>
  <c r="BW4608" i="1"/>
  <c r="A4609" i="1"/>
  <c r="C4609" i="1"/>
  <c r="S4609" i="1"/>
  <c r="T4609" i="1"/>
  <c r="U4609" i="1"/>
  <c r="BB4609" i="1"/>
  <c r="BW4609" i="1"/>
  <c r="A4610" i="1"/>
  <c r="C4610" i="1"/>
  <c r="S4610" i="1"/>
  <c r="T4610" i="1"/>
  <c r="U4610" i="1"/>
  <c r="BB4610" i="1"/>
  <c r="BW4610" i="1"/>
  <c r="A4611" i="1"/>
  <c r="C4611" i="1"/>
  <c r="S4611" i="1"/>
  <c r="T4611" i="1"/>
  <c r="U4611" i="1"/>
  <c r="BB4611" i="1"/>
  <c r="BW4611" i="1"/>
  <c r="A4612" i="1"/>
  <c r="C4612" i="1"/>
  <c r="S4612" i="1"/>
  <c r="T4612" i="1"/>
  <c r="U4612" i="1"/>
  <c r="BB4612" i="1"/>
  <c r="BW4612" i="1"/>
  <c r="A4613" i="1"/>
  <c r="C4613" i="1"/>
  <c r="S4613" i="1"/>
  <c r="T4613" i="1"/>
  <c r="U4613" i="1"/>
  <c r="BB4613" i="1"/>
  <c r="BW4613" i="1"/>
  <c r="A4614" i="1"/>
  <c r="C4614" i="1"/>
  <c r="S4614" i="1"/>
  <c r="T4614" i="1"/>
  <c r="U4614" i="1"/>
  <c r="BB4614" i="1"/>
  <c r="BW4614" i="1"/>
  <c r="A4615" i="1"/>
  <c r="C4615" i="1"/>
  <c r="S4615" i="1"/>
  <c r="T4615" i="1"/>
  <c r="U4615" i="1"/>
  <c r="BB4615" i="1"/>
  <c r="BW4615" i="1"/>
  <c r="A4616" i="1"/>
  <c r="C4616" i="1"/>
  <c r="S4616" i="1"/>
  <c r="T4616" i="1"/>
  <c r="U4616" i="1"/>
  <c r="BB4616" i="1"/>
  <c r="BW4616" i="1"/>
  <c r="A4617" i="1"/>
  <c r="C4617" i="1"/>
  <c r="S4617" i="1"/>
  <c r="T4617" i="1"/>
  <c r="U4617" i="1"/>
  <c r="BB4617" i="1"/>
  <c r="BW4617" i="1"/>
  <c r="A4618" i="1"/>
  <c r="C4618" i="1"/>
  <c r="S4618" i="1"/>
  <c r="T4618" i="1"/>
  <c r="U4618" i="1"/>
  <c r="BB4618" i="1"/>
  <c r="BW4618" i="1"/>
  <c r="A4619" i="1"/>
  <c r="C4619" i="1"/>
  <c r="S4619" i="1"/>
  <c r="T4619" i="1"/>
  <c r="U4619" i="1"/>
  <c r="BB4619" i="1"/>
  <c r="BW4619" i="1"/>
  <c r="A4620" i="1"/>
  <c r="C4620" i="1"/>
  <c r="S4620" i="1"/>
  <c r="T4620" i="1"/>
  <c r="U4620" i="1"/>
  <c r="BB4620" i="1"/>
  <c r="BW4620" i="1"/>
  <c r="A4621" i="1"/>
  <c r="C4621" i="1"/>
  <c r="S4621" i="1"/>
  <c r="T4621" i="1"/>
  <c r="U4621" i="1"/>
  <c r="BB4621" i="1"/>
  <c r="BW4621" i="1"/>
  <c r="A4622" i="1"/>
  <c r="C4622" i="1"/>
  <c r="S4622" i="1"/>
  <c r="T4622" i="1"/>
  <c r="U4622" i="1"/>
  <c r="BB4622" i="1"/>
  <c r="BW4622" i="1"/>
  <c r="A4623" i="1"/>
  <c r="C4623" i="1"/>
  <c r="S4623" i="1"/>
  <c r="T4623" i="1"/>
  <c r="U4623" i="1"/>
  <c r="BB4623" i="1"/>
  <c r="BW4623" i="1"/>
  <c r="A4624" i="1"/>
  <c r="C4624" i="1"/>
  <c r="S4624" i="1"/>
  <c r="T4624" i="1"/>
  <c r="U4624" i="1"/>
  <c r="BB4624" i="1"/>
  <c r="BW4624" i="1"/>
  <c r="A4625" i="1"/>
  <c r="C4625" i="1"/>
  <c r="S4625" i="1"/>
  <c r="T4625" i="1"/>
  <c r="U4625" i="1"/>
  <c r="BB4625" i="1"/>
  <c r="BW4625" i="1"/>
  <c r="A4626" i="1"/>
  <c r="C4626" i="1"/>
  <c r="S4626" i="1"/>
  <c r="T4626" i="1"/>
  <c r="U4626" i="1"/>
  <c r="BB4626" i="1"/>
  <c r="BW4626" i="1"/>
  <c r="A4627" i="1"/>
  <c r="C4627" i="1"/>
  <c r="S4627" i="1"/>
  <c r="T4627" i="1"/>
  <c r="U4627" i="1"/>
  <c r="BB4627" i="1"/>
  <c r="BW4627" i="1"/>
  <c r="A4628" i="1"/>
  <c r="C4628" i="1"/>
  <c r="S4628" i="1"/>
  <c r="T4628" i="1"/>
  <c r="U4628" i="1"/>
  <c r="BB4628" i="1"/>
  <c r="BW4628" i="1"/>
  <c r="A4629" i="1"/>
  <c r="C4629" i="1"/>
  <c r="S4629" i="1"/>
  <c r="T4629" i="1"/>
  <c r="U4629" i="1"/>
  <c r="BB4629" i="1"/>
  <c r="BW4629" i="1"/>
  <c r="A4630" i="1"/>
  <c r="C4630" i="1"/>
  <c r="S4630" i="1"/>
  <c r="T4630" i="1"/>
  <c r="U4630" i="1"/>
  <c r="BB4630" i="1"/>
  <c r="BW4630" i="1"/>
  <c r="A4631" i="1"/>
  <c r="C4631" i="1"/>
  <c r="S4631" i="1"/>
  <c r="T4631" i="1"/>
  <c r="U4631" i="1"/>
  <c r="BB4631" i="1"/>
  <c r="BW4631" i="1"/>
  <c r="A4632" i="1"/>
  <c r="C4632" i="1"/>
  <c r="S4632" i="1"/>
  <c r="T4632" i="1"/>
  <c r="U4632" i="1"/>
  <c r="BB4632" i="1"/>
  <c r="BW4632" i="1"/>
  <c r="A4633" i="1"/>
  <c r="C4633" i="1"/>
  <c r="S4633" i="1"/>
  <c r="T4633" i="1"/>
  <c r="U4633" i="1"/>
  <c r="BB4633" i="1"/>
  <c r="BW4633" i="1"/>
  <c r="A4634" i="1"/>
  <c r="C4634" i="1"/>
  <c r="S4634" i="1"/>
  <c r="T4634" i="1"/>
  <c r="U4634" i="1"/>
  <c r="BB4634" i="1"/>
  <c r="BW4634" i="1"/>
  <c r="A4635" i="1"/>
  <c r="C4635" i="1"/>
  <c r="S4635" i="1"/>
  <c r="T4635" i="1"/>
  <c r="U4635" i="1"/>
  <c r="BB4635" i="1"/>
  <c r="BW4635" i="1"/>
  <c r="A4636" i="1"/>
  <c r="C4636" i="1"/>
  <c r="S4636" i="1"/>
  <c r="T4636" i="1"/>
  <c r="U4636" i="1"/>
  <c r="BB4636" i="1"/>
  <c r="BW4636" i="1"/>
  <c r="A4637" i="1"/>
  <c r="C4637" i="1"/>
  <c r="S4637" i="1"/>
  <c r="T4637" i="1"/>
  <c r="U4637" i="1"/>
  <c r="BB4637" i="1"/>
  <c r="BW4637" i="1"/>
  <c r="A4638" i="1"/>
  <c r="C4638" i="1"/>
  <c r="S4638" i="1"/>
  <c r="T4638" i="1"/>
  <c r="U4638" i="1"/>
  <c r="BB4638" i="1"/>
  <c r="BW4638" i="1"/>
  <c r="A4639" i="1"/>
  <c r="C4639" i="1"/>
  <c r="S4639" i="1"/>
  <c r="T4639" i="1"/>
  <c r="U4639" i="1"/>
  <c r="BB4639" i="1"/>
  <c r="BW4639" i="1"/>
  <c r="A4640" i="1"/>
  <c r="C4640" i="1"/>
  <c r="S4640" i="1"/>
  <c r="T4640" i="1"/>
  <c r="U4640" i="1"/>
  <c r="BB4640" i="1"/>
  <c r="BW4640" i="1"/>
  <c r="A4641" i="1"/>
  <c r="C4641" i="1"/>
  <c r="S4641" i="1"/>
  <c r="T4641" i="1"/>
  <c r="U4641" i="1"/>
  <c r="BB4641" i="1"/>
  <c r="BW4641" i="1"/>
  <c r="A4642" i="1"/>
  <c r="C4642" i="1"/>
  <c r="S4642" i="1"/>
  <c r="T4642" i="1"/>
  <c r="U4642" i="1"/>
  <c r="BB4642" i="1"/>
  <c r="BW4642" i="1"/>
  <c r="A4643" i="1"/>
  <c r="C4643" i="1"/>
  <c r="S4643" i="1"/>
  <c r="U4643" i="1"/>
  <c r="BB4643" i="1"/>
  <c r="BW4643" i="1"/>
  <c r="A4644" i="1"/>
  <c r="C4644" i="1"/>
  <c r="S4644" i="1"/>
  <c r="T4644" i="1"/>
  <c r="U4644" i="1"/>
  <c r="BB4644" i="1"/>
  <c r="BW4644" i="1"/>
  <c r="A4645" i="1"/>
  <c r="C4645" i="1"/>
  <c r="S4645" i="1"/>
  <c r="T4645" i="1"/>
  <c r="U4645" i="1"/>
  <c r="BB4645" i="1"/>
  <c r="BW4645" i="1"/>
  <c r="A4646" i="1"/>
  <c r="C4646" i="1"/>
  <c r="S4646" i="1"/>
  <c r="T4646" i="1"/>
  <c r="U4646" i="1"/>
  <c r="BB4646" i="1"/>
  <c r="BW4646" i="1"/>
  <c r="A4647" i="1"/>
  <c r="C4647" i="1"/>
  <c r="S4647" i="1"/>
  <c r="T4647" i="1"/>
  <c r="U4647" i="1"/>
  <c r="BB4647" i="1"/>
  <c r="BW4647" i="1"/>
  <c r="A4648" i="1"/>
  <c r="C4648" i="1"/>
  <c r="S4648" i="1"/>
  <c r="T4648" i="1"/>
  <c r="U4648" i="1"/>
  <c r="BB4648" i="1"/>
  <c r="BW4648" i="1"/>
  <c r="A4649" i="1"/>
  <c r="C4649" i="1"/>
  <c r="S4649" i="1"/>
  <c r="T4649" i="1"/>
  <c r="U4649" i="1"/>
  <c r="BB4649" i="1"/>
  <c r="BW4649" i="1"/>
  <c r="A4650" i="1"/>
  <c r="C4650" i="1"/>
  <c r="S4650" i="1"/>
  <c r="T4650" i="1"/>
  <c r="U4650" i="1"/>
  <c r="BB4650" i="1"/>
  <c r="BW4650" i="1"/>
  <c r="A4651" i="1"/>
  <c r="C4651" i="1"/>
  <c r="S4651" i="1"/>
  <c r="T4651" i="1"/>
  <c r="U4651" i="1"/>
  <c r="BB4651" i="1"/>
  <c r="BW4651" i="1"/>
  <c r="A4652" i="1"/>
  <c r="C4652" i="1"/>
  <c r="S4652" i="1"/>
  <c r="T4652" i="1"/>
  <c r="U4652" i="1"/>
  <c r="BB4652" i="1"/>
  <c r="BW4652" i="1"/>
  <c r="A4653" i="1"/>
  <c r="C4653" i="1"/>
  <c r="S4653" i="1"/>
  <c r="T4653" i="1"/>
  <c r="U4653" i="1"/>
  <c r="BB4653" i="1"/>
  <c r="BW4653" i="1"/>
  <c r="A4654" i="1"/>
  <c r="C4654" i="1"/>
  <c r="S4654" i="1"/>
  <c r="T4654" i="1"/>
  <c r="U4654" i="1"/>
  <c r="BB4654" i="1"/>
  <c r="BW4654" i="1"/>
  <c r="A4655" i="1"/>
  <c r="C4655" i="1"/>
  <c r="S4655" i="1"/>
  <c r="T4655" i="1"/>
  <c r="U4655" i="1"/>
  <c r="BB4655" i="1"/>
  <c r="BW4655" i="1"/>
  <c r="A4656" i="1"/>
  <c r="C4656" i="1"/>
  <c r="S4656" i="1"/>
  <c r="T4656" i="1"/>
  <c r="U4656" i="1"/>
  <c r="BB4656" i="1"/>
  <c r="BW4656" i="1"/>
  <c r="A4657" i="1"/>
  <c r="C4657" i="1"/>
  <c r="S4657" i="1"/>
  <c r="T4657" i="1"/>
  <c r="U4657" i="1"/>
  <c r="BB4657" i="1"/>
  <c r="BW4657" i="1"/>
  <c r="A4658" i="1"/>
  <c r="C4658" i="1"/>
  <c r="S4658" i="1"/>
  <c r="T4658" i="1"/>
  <c r="U4658" i="1"/>
  <c r="BB4658" i="1"/>
  <c r="BW4658" i="1"/>
  <c r="A4659" i="1"/>
  <c r="C4659" i="1"/>
  <c r="S4659" i="1"/>
  <c r="T4659" i="1"/>
  <c r="U4659" i="1"/>
  <c r="BB4659" i="1"/>
  <c r="BW4659" i="1"/>
  <c r="A4660" i="1"/>
  <c r="C4660" i="1"/>
  <c r="S4660" i="1"/>
  <c r="T4660" i="1"/>
  <c r="U4660" i="1"/>
  <c r="BB4660" i="1"/>
  <c r="BW4660" i="1"/>
  <c r="A4661" i="1"/>
  <c r="C4661" i="1"/>
  <c r="S4661" i="1"/>
  <c r="T4661" i="1"/>
  <c r="U4661" i="1"/>
  <c r="BB4661" i="1"/>
  <c r="BW4661" i="1"/>
  <c r="A4662" i="1"/>
  <c r="C4662" i="1"/>
  <c r="S4662" i="1"/>
  <c r="T4662" i="1"/>
  <c r="U4662" i="1"/>
  <c r="BB4662" i="1"/>
  <c r="BW4662" i="1"/>
  <c r="A4663" i="1"/>
  <c r="C4663" i="1"/>
  <c r="S4663" i="1"/>
  <c r="T4663" i="1"/>
  <c r="U4663" i="1"/>
  <c r="BB4663" i="1"/>
  <c r="BW4663" i="1"/>
  <c r="A4664" i="1"/>
  <c r="C4664" i="1"/>
  <c r="S4664" i="1"/>
  <c r="T4664" i="1"/>
  <c r="U4664" i="1"/>
  <c r="BB4664" i="1"/>
  <c r="BW4664" i="1"/>
  <c r="A4665" i="1"/>
  <c r="C4665" i="1"/>
  <c r="S4665" i="1"/>
  <c r="T4665" i="1"/>
  <c r="U4665" i="1"/>
  <c r="BB4665" i="1"/>
  <c r="BW4665" i="1"/>
  <c r="A4666" i="1"/>
  <c r="C4666" i="1"/>
  <c r="S4666" i="1"/>
  <c r="T4666" i="1"/>
  <c r="U4666" i="1"/>
  <c r="BB4666" i="1"/>
  <c r="BW4666" i="1"/>
  <c r="A4667" i="1"/>
  <c r="C4667" i="1"/>
  <c r="S4667" i="1"/>
  <c r="T4667" i="1"/>
  <c r="U4667" i="1"/>
  <c r="BB4667" i="1"/>
  <c r="BW4667" i="1"/>
  <c r="A4668" i="1"/>
  <c r="C4668" i="1"/>
  <c r="S4668" i="1"/>
  <c r="T4668" i="1"/>
  <c r="U4668" i="1"/>
  <c r="BB4668" i="1"/>
  <c r="BW4668" i="1"/>
  <c r="A4669" i="1"/>
  <c r="C4669" i="1"/>
  <c r="S4669" i="1"/>
  <c r="T4669" i="1"/>
  <c r="U4669" i="1"/>
  <c r="BB4669" i="1"/>
  <c r="BW4669" i="1"/>
  <c r="A4670" i="1"/>
  <c r="C4670" i="1"/>
  <c r="S4670" i="1"/>
  <c r="T4670" i="1"/>
  <c r="U4670" i="1"/>
  <c r="BB4670" i="1"/>
  <c r="BW4670" i="1"/>
  <c r="A4671" i="1"/>
  <c r="C4671" i="1"/>
  <c r="S4671" i="1"/>
  <c r="T4671" i="1"/>
  <c r="U4671" i="1"/>
  <c r="BB4671" i="1"/>
  <c r="BW4671" i="1"/>
  <c r="A4672" i="1"/>
  <c r="C4672" i="1"/>
  <c r="S4672" i="1"/>
  <c r="T4672" i="1"/>
  <c r="U4672" i="1"/>
  <c r="BB4672" i="1"/>
  <c r="BW4672" i="1"/>
  <c r="A4673" i="1"/>
  <c r="C4673" i="1"/>
  <c r="S4673" i="1"/>
  <c r="T4673" i="1"/>
  <c r="U4673" i="1"/>
  <c r="BB4673" i="1"/>
  <c r="BW4673" i="1"/>
  <c r="A4674" i="1"/>
  <c r="C4674" i="1"/>
  <c r="S4674" i="1"/>
  <c r="T4674" i="1"/>
  <c r="U4674" i="1"/>
  <c r="BB4674" i="1"/>
  <c r="BW4674" i="1"/>
  <c r="A4675" i="1"/>
  <c r="C4675" i="1"/>
  <c r="S4675" i="1"/>
  <c r="T4675" i="1"/>
  <c r="U4675" i="1"/>
  <c r="BB4675" i="1"/>
  <c r="BW4675" i="1"/>
  <c r="A4676" i="1"/>
  <c r="C4676" i="1"/>
  <c r="S4676" i="1"/>
  <c r="T4676" i="1"/>
  <c r="U4676" i="1"/>
  <c r="BB4676" i="1"/>
  <c r="BW4676" i="1"/>
  <c r="A4677" i="1"/>
  <c r="C4677" i="1"/>
  <c r="S4677" i="1"/>
  <c r="T4677" i="1"/>
  <c r="U4677" i="1"/>
  <c r="BB4677" i="1"/>
  <c r="BW4677" i="1"/>
  <c r="A4678" i="1"/>
  <c r="C4678" i="1"/>
  <c r="S4678" i="1"/>
  <c r="T4678" i="1"/>
  <c r="U4678" i="1"/>
  <c r="BB4678" i="1"/>
  <c r="BW4678" i="1"/>
  <c r="A4679" i="1"/>
  <c r="C4679" i="1"/>
  <c r="S4679" i="1"/>
  <c r="T4679" i="1"/>
  <c r="U4679" i="1"/>
  <c r="BB4679" i="1"/>
  <c r="BW4679" i="1"/>
  <c r="A4680" i="1"/>
  <c r="C4680" i="1"/>
  <c r="S4680" i="1"/>
  <c r="T4680" i="1"/>
  <c r="U4680" i="1"/>
  <c r="BB4680" i="1"/>
  <c r="BW4680" i="1"/>
  <c r="A4681" i="1"/>
  <c r="C4681" i="1"/>
  <c r="S4681" i="1"/>
  <c r="T4681" i="1"/>
  <c r="U4681" i="1"/>
  <c r="BB4681" i="1"/>
  <c r="BW4681" i="1"/>
  <c r="A4682" i="1"/>
  <c r="C4682" i="1"/>
  <c r="S4682" i="1"/>
  <c r="T4682" i="1"/>
  <c r="U4682" i="1"/>
  <c r="BB4682" i="1"/>
  <c r="BW4682" i="1"/>
  <c r="A4683" i="1"/>
  <c r="C4683" i="1"/>
  <c r="S4683" i="1"/>
  <c r="T4683" i="1"/>
  <c r="U4683" i="1"/>
  <c r="BB4683" i="1"/>
  <c r="BW4683" i="1"/>
  <c r="A4684" i="1"/>
  <c r="C4684" i="1"/>
  <c r="S4684" i="1"/>
  <c r="T4684" i="1"/>
  <c r="U4684" i="1"/>
  <c r="BB4684" i="1"/>
  <c r="BW4684" i="1"/>
  <c r="A4685" i="1"/>
  <c r="C4685" i="1"/>
  <c r="S4685" i="1"/>
  <c r="T4685" i="1"/>
  <c r="U4685" i="1"/>
  <c r="BB4685" i="1"/>
  <c r="BW4685" i="1"/>
  <c r="A4686" i="1"/>
  <c r="C4686" i="1"/>
  <c r="S4686" i="1"/>
  <c r="T4686" i="1"/>
  <c r="U4686" i="1"/>
  <c r="BB4686" i="1"/>
  <c r="BW4686" i="1"/>
  <c r="A4687" i="1"/>
  <c r="C4687" i="1"/>
  <c r="S4687" i="1"/>
  <c r="T4687" i="1"/>
  <c r="U4687" i="1"/>
  <c r="BB4687" i="1"/>
  <c r="BW4687" i="1"/>
  <c r="A4688" i="1"/>
  <c r="C4688" i="1"/>
  <c r="S4688" i="1"/>
  <c r="T4688" i="1"/>
  <c r="U4688" i="1"/>
  <c r="BB4688" i="1"/>
  <c r="BW4688" i="1"/>
  <c r="A4689" i="1"/>
  <c r="C4689" i="1"/>
  <c r="S4689" i="1"/>
  <c r="T4689" i="1"/>
  <c r="U4689" i="1"/>
  <c r="BB4689" i="1"/>
  <c r="BW4689" i="1"/>
  <c r="A4690" i="1"/>
  <c r="C4690" i="1"/>
  <c r="S4690" i="1"/>
  <c r="T4690" i="1"/>
  <c r="U4690" i="1"/>
  <c r="BB4690" i="1"/>
  <c r="BW4690" i="1"/>
  <c r="A4691" i="1"/>
  <c r="C4691" i="1"/>
  <c r="S4691" i="1"/>
  <c r="T4691" i="1"/>
  <c r="U4691" i="1"/>
  <c r="BB4691" i="1"/>
  <c r="BW4691" i="1"/>
  <c r="A4692" i="1"/>
  <c r="C4692" i="1"/>
  <c r="S4692" i="1"/>
  <c r="T4692" i="1"/>
  <c r="U4692" i="1"/>
  <c r="BB4692" i="1"/>
  <c r="BW4692" i="1"/>
  <c r="A4693" i="1"/>
  <c r="C4693" i="1"/>
  <c r="S4693" i="1"/>
  <c r="T4693" i="1"/>
  <c r="U4693" i="1"/>
  <c r="BB4693" i="1"/>
  <c r="BW4693" i="1"/>
  <c r="A4694" i="1"/>
  <c r="C4694" i="1"/>
  <c r="S4694" i="1"/>
  <c r="T4694" i="1"/>
  <c r="U4694" i="1"/>
  <c r="BB4694" i="1"/>
  <c r="BW4694" i="1"/>
  <c r="A4695" i="1"/>
  <c r="C4695" i="1"/>
  <c r="S4695" i="1"/>
  <c r="T4695" i="1"/>
  <c r="U4695" i="1"/>
  <c r="BB4695" i="1"/>
  <c r="BW4695" i="1"/>
  <c r="A4696" i="1"/>
  <c r="C4696" i="1"/>
  <c r="S4696" i="1"/>
  <c r="T4696" i="1"/>
  <c r="U4696" i="1"/>
  <c r="BB4696" i="1"/>
  <c r="BW4696" i="1"/>
  <c r="A4697" i="1"/>
  <c r="C4697" i="1"/>
  <c r="S4697" i="1"/>
  <c r="T4697" i="1"/>
  <c r="U4697" i="1"/>
  <c r="BB4697" i="1"/>
  <c r="BW4697" i="1"/>
  <c r="A4698" i="1"/>
  <c r="C4698" i="1"/>
  <c r="S4698" i="1"/>
  <c r="T4698" i="1"/>
  <c r="U4698" i="1"/>
  <c r="BB4698" i="1"/>
  <c r="BW4698" i="1"/>
  <c r="A4699" i="1"/>
  <c r="C4699" i="1"/>
  <c r="S4699" i="1"/>
  <c r="T4699" i="1"/>
  <c r="U4699" i="1"/>
  <c r="BB4699" i="1"/>
  <c r="BW4699" i="1"/>
  <c r="A4700" i="1"/>
  <c r="C4700" i="1"/>
  <c r="S4700" i="1"/>
  <c r="T4700" i="1"/>
  <c r="U4700" i="1"/>
  <c r="BB4700" i="1"/>
  <c r="BW4700" i="1"/>
  <c r="A4701" i="1"/>
  <c r="C4701" i="1"/>
  <c r="S4701" i="1"/>
  <c r="T4701" i="1"/>
  <c r="U4701" i="1"/>
  <c r="BB4701" i="1"/>
  <c r="BW4701" i="1"/>
  <c r="A4702" i="1"/>
  <c r="C4702" i="1"/>
  <c r="S4702" i="1"/>
  <c r="T4702" i="1"/>
  <c r="U4702" i="1"/>
  <c r="BB4702" i="1"/>
  <c r="BW4702" i="1"/>
  <c r="A4703" i="1"/>
  <c r="C4703" i="1"/>
  <c r="S4703" i="1"/>
  <c r="T4703" i="1"/>
  <c r="U4703" i="1"/>
  <c r="BB4703" i="1"/>
  <c r="BW4703" i="1"/>
  <c r="A4704" i="1"/>
  <c r="C4704" i="1"/>
  <c r="S4704" i="1"/>
  <c r="T4704" i="1"/>
  <c r="U4704" i="1"/>
  <c r="BB4704" i="1"/>
  <c r="BW4704" i="1"/>
  <c r="A4705" i="1"/>
  <c r="C4705" i="1"/>
  <c r="S4705" i="1"/>
  <c r="T4705" i="1"/>
  <c r="U4705" i="1"/>
  <c r="BB4705" i="1"/>
  <c r="BW4705" i="1"/>
  <c r="A4706" i="1"/>
  <c r="C4706" i="1"/>
  <c r="S4706" i="1"/>
  <c r="T4706" i="1"/>
  <c r="U4706" i="1"/>
  <c r="BB4706" i="1"/>
  <c r="BW4706" i="1"/>
  <c r="A4707" i="1"/>
  <c r="C4707" i="1"/>
  <c r="S4707" i="1"/>
  <c r="T4707" i="1"/>
  <c r="U4707" i="1"/>
  <c r="BB4707" i="1"/>
  <c r="BW4707" i="1"/>
  <c r="A4708" i="1"/>
  <c r="C4708" i="1"/>
  <c r="S4708" i="1"/>
  <c r="T4708" i="1"/>
  <c r="U4708" i="1"/>
  <c r="BB4708" i="1"/>
  <c r="BW4708" i="1"/>
  <c r="A4709" i="1"/>
  <c r="C4709" i="1"/>
  <c r="S4709" i="1"/>
  <c r="T4709" i="1"/>
  <c r="U4709" i="1"/>
  <c r="BB4709" i="1"/>
  <c r="BW4709" i="1"/>
  <c r="A4710" i="1"/>
  <c r="C4710" i="1"/>
  <c r="S4710" i="1"/>
  <c r="T4710" i="1"/>
  <c r="U4710" i="1"/>
  <c r="BB4710" i="1"/>
  <c r="BW4710" i="1"/>
  <c r="A4711" i="1"/>
  <c r="C4711" i="1"/>
  <c r="S4711" i="1"/>
  <c r="T4711" i="1"/>
  <c r="U4711" i="1"/>
  <c r="BB4711" i="1"/>
  <c r="BW4711" i="1"/>
  <c r="A4712" i="1"/>
  <c r="C4712" i="1"/>
  <c r="S4712" i="1"/>
  <c r="T4712" i="1"/>
  <c r="U4712" i="1"/>
  <c r="BB4712" i="1"/>
  <c r="BW4712" i="1"/>
  <c r="A4713" i="1"/>
  <c r="C4713" i="1"/>
  <c r="S4713" i="1"/>
  <c r="T4713" i="1"/>
  <c r="U4713" i="1"/>
  <c r="BB4713" i="1"/>
  <c r="BW4713" i="1"/>
  <c r="A4714" i="1"/>
  <c r="C4714" i="1"/>
  <c r="S4714" i="1"/>
  <c r="T4714" i="1"/>
  <c r="U4714" i="1"/>
  <c r="BB4714" i="1"/>
  <c r="BW4714" i="1"/>
  <c r="A4715" i="1"/>
  <c r="C4715" i="1"/>
  <c r="S4715" i="1"/>
  <c r="T4715" i="1"/>
  <c r="U4715" i="1"/>
  <c r="BB4715" i="1"/>
  <c r="BW4715" i="1"/>
  <c r="A4716" i="1"/>
  <c r="C4716" i="1"/>
  <c r="S4716" i="1"/>
  <c r="T4716" i="1"/>
  <c r="U4716" i="1"/>
  <c r="BB4716" i="1"/>
  <c r="BW4716" i="1"/>
  <c r="A4717" i="1"/>
  <c r="C4717" i="1"/>
  <c r="S4717" i="1"/>
  <c r="T4717" i="1"/>
  <c r="U4717" i="1"/>
  <c r="BB4717" i="1"/>
  <c r="BW4717" i="1"/>
  <c r="A4718" i="1"/>
  <c r="C4718" i="1"/>
  <c r="S4718" i="1"/>
  <c r="T4718" i="1"/>
  <c r="U4718" i="1"/>
  <c r="BB4718" i="1"/>
  <c r="BW4718" i="1"/>
  <c r="A4719" i="1"/>
  <c r="C4719" i="1"/>
  <c r="S4719" i="1"/>
  <c r="T4719" i="1"/>
  <c r="U4719" i="1"/>
  <c r="BB4719" i="1"/>
  <c r="BW4719" i="1"/>
  <c r="A4720" i="1"/>
  <c r="C4720" i="1"/>
  <c r="S4720" i="1"/>
  <c r="T4720" i="1"/>
  <c r="U4720" i="1"/>
  <c r="BB4720" i="1"/>
  <c r="BW4720" i="1"/>
  <c r="A4721" i="1"/>
  <c r="C4721" i="1"/>
  <c r="S4721" i="1"/>
  <c r="T4721" i="1"/>
  <c r="U4721" i="1"/>
  <c r="BB4721" i="1"/>
  <c r="BW4721" i="1"/>
  <c r="A4722" i="1"/>
  <c r="C4722" i="1"/>
  <c r="S4722" i="1"/>
  <c r="T4722" i="1"/>
  <c r="U4722" i="1"/>
  <c r="BB4722" i="1"/>
  <c r="BW4722" i="1"/>
  <c r="A4723" i="1"/>
  <c r="C4723" i="1"/>
  <c r="S4723" i="1"/>
  <c r="T4723" i="1"/>
  <c r="U4723" i="1"/>
  <c r="BB4723" i="1"/>
  <c r="BW4723" i="1"/>
  <c r="A4724" i="1"/>
  <c r="C4724" i="1"/>
  <c r="S4724" i="1"/>
  <c r="T4724" i="1"/>
  <c r="U4724" i="1"/>
  <c r="BB4724" i="1"/>
  <c r="BW4724" i="1"/>
  <c r="A4725" i="1"/>
  <c r="C4725" i="1"/>
  <c r="S4725" i="1"/>
  <c r="T4725" i="1"/>
  <c r="U4725" i="1"/>
  <c r="BB4725" i="1"/>
  <c r="BW4725" i="1"/>
  <c r="A4726" i="1"/>
  <c r="C4726" i="1"/>
  <c r="S4726" i="1"/>
  <c r="T4726" i="1"/>
  <c r="U4726" i="1"/>
  <c r="BB4726" i="1"/>
  <c r="BW4726" i="1"/>
  <c r="A4727" i="1"/>
  <c r="C4727" i="1"/>
  <c r="S4727" i="1"/>
  <c r="T4727" i="1"/>
  <c r="U4727" i="1"/>
  <c r="BB4727" i="1"/>
  <c r="BW4727" i="1"/>
  <c r="A4728" i="1"/>
  <c r="C4728" i="1"/>
  <c r="S4728" i="1"/>
  <c r="T4728" i="1"/>
  <c r="U4728" i="1"/>
  <c r="BB4728" i="1"/>
  <c r="BW4728" i="1"/>
  <c r="A4729" i="1"/>
  <c r="C4729" i="1"/>
  <c r="S4729" i="1"/>
  <c r="T4729" i="1"/>
  <c r="U4729" i="1"/>
  <c r="BB4729" i="1"/>
  <c r="BW4729" i="1"/>
  <c r="A4730" i="1"/>
  <c r="C4730" i="1"/>
  <c r="S4730" i="1"/>
  <c r="T4730" i="1"/>
  <c r="U4730" i="1"/>
  <c r="BB4730" i="1"/>
  <c r="BW4730" i="1"/>
  <c r="A4731" i="1"/>
  <c r="C4731" i="1"/>
  <c r="S4731" i="1"/>
  <c r="T4731" i="1"/>
  <c r="U4731" i="1"/>
  <c r="BB4731" i="1"/>
  <c r="BW4731" i="1"/>
  <c r="A4732" i="1"/>
  <c r="C4732" i="1"/>
  <c r="S4732" i="1"/>
  <c r="T4732" i="1"/>
  <c r="U4732" i="1"/>
  <c r="BB4732" i="1"/>
  <c r="BW4732" i="1"/>
  <c r="A4733" i="1"/>
  <c r="C4733" i="1"/>
  <c r="S4733" i="1"/>
  <c r="T4733" i="1"/>
  <c r="U4733" i="1"/>
  <c r="BB4733" i="1"/>
  <c r="BW4733" i="1"/>
  <c r="A4734" i="1"/>
  <c r="C4734" i="1"/>
  <c r="S4734" i="1"/>
  <c r="T4734" i="1"/>
  <c r="U4734" i="1"/>
  <c r="BB4734" i="1"/>
  <c r="BW4734" i="1"/>
  <c r="A4735" i="1"/>
  <c r="C4735" i="1"/>
  <c r="S4735" i="1"/>
  <c r="T4735" i="1"/>
  <c r="U4735" i="1"/>
  <c r="BB4735" i="1"/>
  <c r="BW4735" i="1"/>
  <c r="A4736" i="1"/>
  <c r="C4736" i="1"/>
  <c r="S4736" i="1"/>
  <c r="T4736" i="1"/>
  <c r="U4736" i="1"/>
  <c r="BB4736" i="1"/>
  <c r="BW4736" i="1"/>
  <c r="A4737" i="1"/>
  <c r="C4737" i="1"/>
  <c r="S4737" i="1"/>
  <c r="T4737" i="1"/>
  <c r="U4737" i="1"/>
  <c r="BB4737" i="1"/>
  <c r="BW4737" i="1"/>
  <c r="A4738" i="1"/>
  <c r="C4738" i="1"/>
  <c r="S4738" i="1"/>
  <c r="T4738" i="1"/>
  <c r="U4738" i="1"/>
  <c r="BB4738" i="1"/>
  <c r="BW4738" i="1"/>
  <c r="A4739" i="1"/>
  <c r="C4739" i="1"/>
  <c r="S4739" i="1"/>
  <c r="T4739" i="1"/>
  <c r="U4739" i="1"/>
  <c r="BB4739" i="1"/>
  <c r="BW4739" i="1"/>
  <c r="A4740" i="1"/>
  <c r="C4740" i="1"/>
  <c r="S4740" i="1"/>
  <c r="T4740" i="1"/>
  <c r="U4740" i="1"/>
  <c r="BB4740" i="1"/>
  <c r="BW4740" i="1"/>
  <c r="A4741" i="1"/>
  <c r="C4741" i="1"/>
  <c r="S4741" i="1"/>
  <c r="T4741" i="1"/>
  <c r="U4741" i="1"/>
  <c r="BB4741" i="1"/>
  <c r="BW4741" i="1"/>
  <c r="A4742" i="1"/>
  <c r="C4742" i="1"/>
  <c r="S4742" i="1"/>
  <c r="T4742" i="1"/>
  <c r="U4742" i="1"/>
  <c r="BB4742" i="1"/>
  <c r="BW4742" i="1"/>
  <c r="A4743" i="1"/>
  <c r="C4743" i="1"/>
  <c r="S4743" i="1"/>
  <c r="T4743" i="1"/>
  <c r="U4743" i="1"/>
  <c r="BB4743" i="1"/>
  <c r="BW4743" i="1"/>
  <c r="A4744" i="1"/>
  <c r="C4744" i="1"/>
  <c r="S4744" i="1"/>
  <c r="T4744" i="1"/>
  <c r="U4744" i="1"/>
  <c r="BB4744" i="1"/>
  <c r="BW4744" i="1"/>
  <c r="A4745" i="1"/>
  <c r="C4745" i="1"/>
  <c r="S4745" i="1"/>
  <c r="T4745" i="1"/>
  <c r="U4745" i="1"/>
  <c r="BB4745" i="1"/>
  <c r="BW4745" i="1"/>
  <c r="A4746" i="1"/>
  <c r="C4746" i="1"/>
  <c r="S4746" i="1"/>
  <c r="T4746" i="1"/>
  <c r="U4746" i="1"/>
  <c r="BB4746" i="1"/>
  <c r="BW4746" i="1"/>
  <c r="A4747" i="1"/>
  <c r="C4747" i="1"/>
  <c r="S4747" i="1"/>
  <c r="T4747" i="1"/>
  <c r="U4747" i="1"/>
  <c r="BB4747" i="1"/>
  <c r="BW4747" i="1"/>
  <c r="A4748" i="1"/>
  <c r="C4748" i="1"/>
  <c r="S4748" i="1"/>
  <c r="T4748" i="1"/>
  <c r="U4748" i="1"/>
  <c r="BB4748" i="1"/>
  <c r="BW4748" i="1"/>
  <c r="A4749" i="1"/>
  <c r="C4749" i="1"/>
  <c r="S4749" i="1"/>
  <c r="T4749" i="1"/>
  <c r="U4749" i="1"/>
  <c r="BB4749" i="1"/>
  <c r="BW4749" i="1"/>
  <c r="A4750" i="1"/>
  <c r="C4750" i="1"/>
  <c r="S4750" i="1"/>
  <c r="T4750" i="1"/>
  <c r="U4750" i="1"/>
  <c r="BB4750" i="1"/>
  <c r="BW4750" i="1"/>
  <c r="A4751" i="1"/>
  <c r="C4751" i="1"/>
  <c r="S4751" i="1"/>
  <c r="T4751" i="1"/>
  <c r="U4751" i="1"/>
  <c r="BB4751" i="1"/>
  <c r="BW4751" i="1"/>
  <c r="A4752" i="1"/>
  <c r="C4752" i="1"/>
  <c r="S4752" i="1"/>
  <c r="T4752" i="1"/>
  <c r="U4752" i="1"/>
  <c r="BB4752" i="1"/>
  <c r="BW4752" i="1"/>
  <c r="A4753" i="1"/>
  <c r="C4753" i="1"/>
  <c r="S4753" i="1"/>
  <c r="T4753" i="1"/>
  <c r="U4753" i="1"/>
  <c r="BB4753" i="1"/>
  <c r="BW4753" i="1"/>
</calcChain>
</file>

<file path=xl/sharedStrings.xml><?xml version="1.0" encoding="utf-8"?>
<sst xmlns="http://schemas.openxmlformats.org/spreadsheetml/2006/main" count="33377" uniqueCount="1472">
  <si>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</si>
  <si>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</si>
  <si>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</si>
  <si>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</si>
  <si>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</si>
  <si>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</si>
  <si>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</si>
  <si>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</si>
  <si>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</si>
  <si>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</si>
  <si>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</si>
  <si>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</si>
  <si>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</si>
  <si>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</si>
  <si>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</si>
  <si>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</si>
  <si>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</si>
  <si>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</si>
  <si>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</si>
  <si>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</si>
  <si>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</si>
  <si>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</si>
  <si>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</si>
  <si>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</si>
  <si>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</si>
  <si>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</si>
  <si>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</si>
  <si>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</si>
  <si>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</si>
  <si>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</si>
  <si>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</si>
  <si>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</si>
  <si>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</si>
  <si>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</si>
  <si>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</si>
  <si>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</si>
  <si>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</si>
  <si>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</si>
  <si>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</si>
  <si>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</si>
  <si>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</si>
  <si>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</si>
  <si>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</si>
  <si>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</si>
  <si>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</si>
  <si>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</si>
  <si>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</si>
  <si>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</si>
  <si>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</si>
  <si>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</si>
  <si>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</si>
  <si>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</si>
  <si>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</si>
  <si>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</si>
  <si>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</si>
  <si>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</si>
  <si>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</si>
  <si>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</si>
  <si>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</si>
  <si>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</si>
  <si>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</si>
  <si>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</si>
  <si>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</si>
  <si>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</si>
  <si>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</si>
  <si>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</si>
  <si>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</si>
  <si>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</si>
  <si>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</si>
  <si>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</si>
  <si>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</si>
  <si>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</si>
  <si>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</si>
  <si>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</si>
  <si>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</si>
  <si>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</si>
  <si>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</si>
  <si>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</si>
  <si>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</si>
  <si>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</si>
  <si>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</si>
  <si>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</si>
  <si>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</si>
  <si>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</si>
  <si>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</si>
  <si>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</si>
  <si>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</si>
  <si>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</si>
  <si>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</si>
  <si>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</si>
  <si>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</si>
  <si>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</si>
  <si>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</si>
  <si>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</si>
  <si>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</si>
  <si>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</si>
  <si>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</si>
  <si>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</si>
  <si>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</si>
  <si>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</si>
  <si>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</si>
  <si>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</si>
  <si>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</si>
  <si>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</si>
  <si>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</si>
  <si>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</si>
  <si>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</si>
  <si>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</si>
  <si>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</si>
  <si>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</si>
  <si>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</si>
  <si>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</si>
  <si>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</si>
  <si>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</si>
  <si>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Los Angeles</t>
  </si>
  <si>
    <t>Enroute</t>
  </si>
  <si>
    <t>034:15:04.74 N</t>
  </si>
  <si>
    <t>116:52:08.85 W</t>
  </si>
  <si>
    <t>GNSS</t>
  </si>
  <si>
    <t>RS - HP 1090 Multi Chl Radio</t>
  </si>
  <si>
    <t>034:15:04.50 N</t>
  </si>
  <si>
    <t>116:52:10.55 W</t>
  </si>
  <si>
    <t>034:15:04.04 N</t>
  </si>
  <si>
    <t>116:52:12.33 W</t>
  </si>
  <si>
    <t>034:15:03.58 N</t>
  </si>
  <si>
    <t>116:52:14.03 W</t>
  </si>
  <si>
    <t>034:15:03.19 N</t>
  </si>
  <si>
    <t>116:52:15.34 W</t>
  </si>
  <si>
    <t>034:15:02.73 N</t>
  </si>
  <si>
    <t>116:52:17.12 W</t>
  </si>
  <si>
    <t>034:14:59.87 N</t>
  </si>
  <si>
    <t>116:52:23.61 W</t>
  </si>
  <si>
    <t>034:14:57.24 N</t>
  </si>
  <si>
    <t>116:52:28.63 W</t>
  </si>
  <si>
    <t>C2</t>
  </si>
  <si>
    <t>Southern California TRACON CTV</t>
  </si>
  <si>
    <t>TerminalCTV</t>
  </si>
  <si>
    <t>034:14:54.46 N</t>
  </si>
  <si>
    <t>116:52:33.11 W</t>
  </si>
  <si>
    <t>034:14:54.93 N</t>
  </si>
  <si>
    <t>116:52:32.33 W</t>
  </si>
  <si>
    <t>C1</t>
  </si>
  <si>
    <t>EnrouteCTV</t>
  </si>
  <si>
    <t>C3</t>
  </si>
  <si>
    <t>MCAS Yuma</t>
  </si>
  <si>
    <t>UserDefinedCTV</t>
  </si>
  <si>
    <t>034:14:54.00 N</t>
  </si>
  <si>
    <t>116:52:33.80 W</t>
  </si>
  <si>
    <t>BC</t>
  </si>
  <si>
    <t>Ontario</t>
  </si>
  <si>
    <t>Terminal</t>
  </si>
  <si>
    <t>BD</t>
  </si>
  <si>
    <t>Palm Springs</t>
  </si>
  <si>
    <t>034:14:53.54 N</t>
  </si>
  <si>
    <t>116:52:34.57 W</t>
  </si>
  <si>
    <t>034:14:52.99 N</t>
  </si>
  <si>
    <t>116:52:35.35 W</t>
  </si>
  <si>
    <t>034:14:52.61 N</t>
  </si>
  <si>
    <t>116:52:35.97 W</t>
  </si>
  <si>
    <t>034:14:52.30 N</t>
  </si>
  <si>
    <t>116:52:36.58 W</t>
  </si>
  <si>
    <t>034:14:51.30 N</t>
  </si>
  <si>
    <t>116:52:38.13 W</t>
  </si>
  <si>
    <t>034:14:49.98 N</t>
  </si>
  <si>
    <t>116:52:40.14 W</t>
  </si>
  <si>
    <t>034:14:49.21 N</t>
  </si>
  <si>
    <t>116:52:41.60 W</t>
  </si>
  <si>
    <t>034:14:48.36 N</t>
  </si>
  <si>
    <t>116:52:43.07 W</t>
  </si>
  <si>
    <t>034:14:47.66 N</t>
  </si>
  <si>
    <t>116:52:44.23 W</t>
  </si>
  <si>
    <t>034:14:46.81 N</t>
  </si>
  <si>
    <t>116:52:45.54 W</t>
  </si>
  <si>
    <t>034:14:46.04 N</t>
  </si>
  <si>
    <t>116:52:46.86 W</t>
  </si>
  <si>
    <t>034:14:45.12 N</t>
  </si>
  <si>
    <t>116:52:48.40 W</t>
  </si>
  <si>
    <t>034:14:44.27 N</t>
  </si>
  <si>
    <t>116:52:49.64 W</t>
  </si>
  <si>
    <t>034:14:43.42 N</t>
  </si>
  <si>
    <t>116:52:51.11 W</t>
  </si>
  <si>
    <t>034:14:42.72 N</t>
  </si>
  <si>
    <t>116:52:52.11 W</t>
  </si>
  <si>
    <t>034:14:41.79 N</t>
  </si>
  <si>
    <t>116:52:53.73 W</t>
  </si>
  <si>
    <t>034:14:40.94 N</t>
  </si>
  <si>
    <t>116:52:54.97 W</t>
  </si>
  <si>
    <t>034:14:40.09 N</t>
  </si>
  <si>
    <t>116:52:56.13 W</t>
  </si>
  <si>
    <t>034:14:39.48 N</t>
  </si>
  <si>
    <t>116:52:57.44 W</t>
  </si>
  <si>
    <t>034:14:38.78 N</t>
  </si>
  <si>
    <t>116:52:58.52 W</t>
  </si>
  <si>
    <t>034:14:38.01 N</t>
  </si>
  <si>
    <t>116:52:59.76 W</t>
  </si>
  <si>
    <t>034:14:37.00 N</t>
  </si>
  <si>
    <t>116:53:01.38 W</t>
  </si>
  <si>
    <t>034:14:36.31 N</t>
  </si>
  <si>
    <t>116:53:02.38 W</t>
  </si>
  <si>
    <t>034:14:35.61 N</t>
  </si>
  <si>
    <t>116:53:03.62 W</t>
  </si>
  <si>
    <t>034:14:34.84 N</t>
  </si>
  <si>
    <t>116:53:05.01 W</t>
  </si>
  <si>
    <t>034:14:33.99 N</t>
  </si>
  <si>
    <t>116:53:06.25 W</t>
  </si>
  <si>
    <t>034:14:33.37 N</t>
  </si>
  <si>
    <t>116:53:07.41 W</t>
  </si>
  <si>
    <t>034:14:32.60 N</t>
  </si>
  <si>
    <t>116:53:08.56 W</t>
  </si>
  <si>
    <t>034:14:31.60 N</t>
  </si>
  <si>
    <t>116:53:10.26 W</t>
  </si>
  <si>
    <t>034:14:30.90 N</t>
  </si>
  <si>
    <t>116:53:11.50 W</t>
  </si>
  <si>
    <t>034:14:29.90 N</t>
  </si>
  <si>
    <t>116:53:13.28 W</t>
  </si>
  <si>
    <t>034:14:29.05 N</t>
  </si>
  <si>
    <t>116:53:14.67 W</t>
  </si>
  <si>
    <t>034:14:28.12 N</t>
  </si>
  <si>
    <t>116:53:16.13 W</t>
  </si>
  <si>
    <t>034:14:27.35 N</t>
  </si>
  <si>
    <t>116:53:17.68 W</t>
  </si>
  <si>
    <t>034:14:25.88 N</t>
  </si>
  <si>
    <t>116:53:20.31 W</t>
  </si>
  <si>
    <t>034:14:25.11 N</t>
  </si>
  <si>
    <t>116:53:21.54 W</t>
  </si>
  <si>
    <t>034:14:24.34 N</t>
  </si>
  <si>
    <t>116:53:23.01 W</t>
  </si>
  <si>
    <t>034:14:23.49 N</t>
  </si>
  <si>
    <t>116:53:24.79 W</t>
  </si>
  <si>
    <t>034:14:22.71 N</t>
  </si>
  <si>
    <t>116:53:26.10 W</t>
  </si>
  <si>
    <t>034:14:21.79 N</t>
  </si>
  <si>
    <t>116:53:27.41 W</t>
  </si>
  <si>
    <t>034:14:21.01 N</t>
  </si>
  <si>
    <t>116:53:28.80 W</t>
  </si>
  <si>
    <t>034:14:20.32 N</t>
  </si>
  <si>
    <t>116:53:30.19 W</t>
  </si>
  <si>
    <t>034:14:19.47 N</t>
  </si>
  <si>
    <t>116:53:31.66 W</t>
  </si>
  <si>
    <t>034:14:18.70 N</t>
  </si>
  <si>
    <t>116:53:33.05 W</t>
  </si>
  <si>
    <t>034:14:17.85 N</t>
  </si>
  <si>
    <t>116:53:34.36 W</t>
  </si>
  <si>
    <t>034:14:17.15 N</t>
  </si>
  <si>
    <t>116:53:35.60 W</t>
  </si>
  <si>
    <t>034:14:16.38 N</t>
  </si>
  <si>
    <t>116:53:36.91 W</t>
  </si>
  <si>
    <t>034:14:15.45 N</t>
  </si>
  <si>
    <t>116:53:38.23 W</t>
  </si>
  <si>
    <t>034:14:14.45 N</t>
  </si>
  <si>
    <t>116:53:39.93 W</t>
  </si>
  <si>
    <t>034:14:13.60 N</t>
  </si>
  <si>
    <t>116:53:41.55 W</t>
  </si>
  <si>
    <t>034:14:12.98 N</t>
  </si>
  <si>
    <t>116:53:42.78 W</t>
  </si>
  <si>
    <t>034:14:12.13 N</t>
  </si>
  <si>
    <t>116:53:44.17 W</t>
  </si>
  <si>
    <t>034:14:11.28 N</t>
  </si>
  <si>
    <t>116:53:45.49 W</t>
  </si>
  <si>
    <t>034:14:10.66 N</t>
  </si>
  <si>
    <t>116:53:46.72 W</t>
  </si>
  <si>
    <t>034:14:09.81 N</t>
  </si>
  <si>
    <t>116:53:48.19 W</t>
  </si>
  <si>
    <t>034:14:08.96 N</t>
  </si>
  <si>
    <t>116:53:49.81 W</t>
  </si>
  <si>
    <t>034:14:08.27 N</t>
  </si>
  <si>
    <t>116:53:51.20 W</t>
  </si>
  <si>
    <t>034:14:07.50 N</t>
  </si>
  <si>
    <t>116:53:52.59 W</t>
  </si>
  <si>
    <t>034:14:06.95 N</t>
  </si>
  <si>
    <t>116:53:53.83 W</t>
  </si>
  <si>
    <t>034:14:06.26 N</t>
  </si>
  <si>
    <t>116:53:55.38 W</t>
  </si>
  <si>
    <t>034:14:05.64 N</t>
  </si>
  <si>
    <t>116:53:56.46 W</t>
  </si>
  <si>
    <t>034:14:04.87 N</t>
  </si>
  <si>
    <t>116:53:58.23 W</t>
  </si>
  <si>
    <t>034:14:04.10 N</t>
  </si>
  <si>
    <t>116:53:59.86 W</t>
  </si>
  <si>
    <t>034:14:03.25 N</t>
  </si>
  <si>
    <t>116:54:01.56 W</t>
  </si>
  <si>
    <t>034:14:02.78 N</t>
  </si>
  <si>
    <t>116:54:02.95 W</t>
  </si>
  <si>
    <t>034:14:02.01 N</t>
  </si>
  <si>
    <t>116:54:04.34 W</t>
  </si>
  <si>
    <t>034:14:01.39 N</t>
  </si>
  <si>
    <t>116:54:05.88 W</t>
  </si>
  <si>
    <t>034:14:00.70 N</t>
  </si>
  <si>
    <t>116:54:07.12 W</t>
  </si>
  <si>
    <t>034:14:00.08 N</t>
  </si>
  <si>
    <t>116:54:08.97 W</t>
  </si>
  <si>
    <t>034:13:59.38 N</t>
  </si>
  <si>
    <t>116:54:10.59 W</t>
  </si>
  <si>
    <t>034:13:58.61 N</t>
  </si>
  <si>
    <t>116:54:12.22 W</t>
  </si>
  <si>
    <t>034:13:57.92 N</t>
  </si>
  <si>
    <t>116:54:13.92 W</t>
  </si>
  <si>
    <t>034:13:57.30 N</t>
  </si>
  <si>
    <t>116:54:15.46 W</t>
  </si>
  <si>
    <t>034:13:56.60 N</t>
  </si>
  <si>
    <t>116:54:17.01 W</t>
  </si>
  <si>
    <t>034:13:55.99 N</t>
  </si>
  <si>
    <t>116:54:18.47 W</t>
  </si>
  <si>
    <t>034:13:55.37 N</t>
  </si>
  <si>
    <t>116:54:20.10 W</t>
  </si>
  <si>
    <t>034:13:54.60 N</t>
  </si>
  <si>
    <t>116:54:21.49 W</t>
  </si>
  <si>
    <t>034:13:54.13 N</t>
  </si>
  <si>
    <t>116:54:22.88 W</t>
  </si>
  <si>
    <t>034:13:53.51 N</t>
  </si>
  <si>
    <t>116:54:24.11 W</t>
  </si>
  <si>
    <t>034:13:52.66 N</t>
  </si>
  <si>
    <t>116:54:25.89 W</t>
  </si>
  <si>
    <t>034:13:51.89 N</t>
  </si>
  <si>
    <t>116:54:27.67 W</t>
  </si>
  <si>
    <t>034:13:51.35 N</t>
  </si>
  <si>
    <t>116:54:29.13 W</t>
  </si>
  <si>
    <t>034:13:50.50 N</t>
  </si>
  <si>
    <t>116:54:30.76 W</t>
  </si>
  <si>
    <t>034:13:49.81 N</t>
  </si>
  <si>
    <t>116:54:32.45 W</t>
  </si>
  <si>
    <t>034:13:49.03 N</t>
  </si>
  <si>
    <t>116:54:34.00 W</t>
  </si>
  <si>
    <t>034:13:48.57 N</t>
  </si>
  <si>
    <t>116:54:35.62 W</t>
  </si>
  <si>
    <t>034:13:47.80 N</t>
  </si>
  <si>
    <t>116:54:37.17 W</t>
  </si>
  <si>
    <t>034:13:47.03 N</t>
  </si>
  <si>
    <t>116:54:39.02 W</t>
  </si>
  <si>
    <t>034:13:46.33 N</t>
  </si>
  <si>
    <t>116:54:40.26 W</t>
  </si>
  <si>
    <t>034:13:45.71 N</t>
  </si>
  <si>
    <t>116:54:41.88 W</t>
  </si>
  <si>
    <t>034:13:44.94 N</t>
  </si>
  <si>
    <t>116:54:43.89 W</t>
  </si>
  <si>
    <t>034:13:44.40 N</t>
  </si>
  <si>
    <t>116:54:45.12 W</t>
  </si>
  <si>
    <t>034:13:43.63 N</t>
  </si>
  <si>
    <t>116:54:46.90 W</t>
  </si>
  <si>
    <t>034:13:42.93 N</t>
  </si>
  <si>
    <t>116:54:48.52 W</t>
  </si>
  <si>
    <t>034:13:42.08 N</t>
  </si>
  <si>
    <t>116:54:50.14 W</t>
  </si>
  <si>
    <t>034:13:41.46 N</t>
  </si>
  <si>
    <t>116:54:51.77 W</t>
  </si>
  <si>
    <t>034:13:40.77 N</t>
  </si>
  <si>
    <t>116:54:53.54 W</t>
  </si>
  <si>
    <t>034:13:40.15 N</t>
  </si>
  <si>
    <t>116:54:55.09 W</t>
  </si>
  <si>
    <t>034:13:39.61 N</t>
  </si>
  <si>
    <t>116:54:56.56 W</t>
  </si>
  <si>
    <t>034:13:38.99 N</t>
  </si>
  <si>
    <t>116:54:58.18 W</t>
  </si>
  <si>
    <t>Oceanside-Camp Pendleton</t>
  </si>
  <si>
    <t>034:13:38.14 N</t>
  </si>
  <si>
    <t>116:54:59.80 W</t>
  </si>
  <si>
    <t>034:13:37.45 N</t>
  </si>
  <si>
    <t>116:55:01.50 W</t>
  </si>
  <si>
    <t>034:13:36.75 N</t>
  </si>
  <si>
    <t>116:55:03.35 W</t>
  </si>
  <si>
    <t>034:13:35.98 N</t>
  </si>
  <si>
    <t>116:55:05.05 W</t>
  </si>
  <si>
    <t>034:13:35.52 N</t>
  </si>
  <si>
    <t>116:55:06.44 W</t>
  </si>
  <si>
    <t>Santa Ana</t>
  </si>
  <si>
    <t>034:13:34.90 N</t>
  </si>
  <si>
    <t>116:55:08.07 W</t>
  </si>
  <si>
    <t>034:13:34.20 N</t>
  </si>
  <si>
    <t>116:55:09.69 W</t>
  </si>
  <si>
    <t>034:13:33.58 N</t>
  </si>
  <si>
    <t>116:55:11.16 W</t>
  </si>
  <si>
    <t>034:13:32.89 N</t>
  </si>
  <si>
    <t>116:55:12.39 W</t>
  </si>
  <si>
    <t>034:13:32.27 N</t>
  </si>
  <si>
    <t>116:55:14.01 W</t>
  </si>
  <si>
    <t>034:13:31.58 N</t>
  </si>
  <si>
    <t>116:55:15.79 W</t>
  </si>
  <si>
    <t>034:13:30.73 N</t>
  </si>
  <si>
    <t>116:55:17.57 W</t>
  </si>
  <si>
    <t>034:13:30.26 N</t>
  </si>
  <si>
    <t>116:55:18.96 W</t>
  </si>
  <si>
    <t>034:13:29.57 N</t>
  </si>
  <si>
    <t>116:55:20.66 W</t>
  </si>
  <si>
    <t>034:13:28.79 N</t>
  </si>
  <si>
    <t>116:55:22.20 W</t>
  </si>
  <si>
    <t>034:13:28.25 N</t>
  </si>
  <si>
    <t>116:55:23.90 W</t>
  </si>
  <si>
    <t>034:13:27.40 N</t>
  </si>
  <si>
    <t>116:55:25.45 W</t>
  </si>
  <si>
    <t>034:13:26.86 N</t>
  </si>
  <si>
    <t>116:55:26.99 W</t>
  </si>
  <si>
    <t>034:13:26.01 N</t>
  </si>
  <si>
    <t>116:55:28.85 W</t>
  </si>
  <si>
    <t>034:13:25.32 N</t>
  </si>
  <si>
    <t>116:55:30.47 W</t>
  </si>
  <si>
    <t>034:13:24.70 N</t>
  </si>
  <si>
    <t>116:55:32.17 W</t>
  </si>
  <si>
    <t>034:13:24.01 N</t>
  </si>
  <si>
    <t>116:55:33.63 W</t>
  </si>
  <si>
    <t>034:13:23.23 N</t>
  </si>
  <si>
    <t>116:55:35.49 W</t>
  </si>
  <si>
    <t>034:13:22.69 N</t>
  </si>
  <si>
    <t>116:55:37.11 W</t>
  </si>
  <si>
    <t>034:13:22.00 N</t>
  </si>
  <si>
    <t>116:55:38.58 W</t>
  </si>
  <si>
    <t>034:13:21.38 N</t>
  </si>
  <si>
    <t>116:55:40.36 W</t>
  </si>
  <si>
    <t>034:13:20.53 N</t>
  </si>
  <si>
    <t>116:55:42.05 W</t>
  </si>
  <si>
    <t>034:13:19.99 N</t>
  </si>
  <si>
    <t>116:55:43.60 W</t>
  </si>
  <si>
    <t>034:13:19.22 N</t>
  </si>
  <si>
    <t>116:55:44.99 W</t>
  </si>
  <si>
    <t>034:13:18.68 N</t>
  </si>
  <si>
    <t>116:55:46.61 W</t>
  </si>
  <si>
    <t>034:13:17.90 N</t>
  </si>
  <si>
    <t>116:55:48.47 W</t>
  </si>
  <si>
    <t>034:13:17.13 N</t>
  </si>
  <si>
    <t>116:55:50.09 W</t>
  </si>
  <si>
    <t>034:13:16.13 N</t>
  </si>
  <si>
    <t>116:55:52.17 W</t>
  </si>
  <si>
    <t>034:13:15.51 N</t>
  </si>
  <si>
    <t>116:55:53.56 W</t>
  </si>
  <si>
    <t>034:13:14.66 N</t>
  </si>
  <si>
    <t>116:55:55.65 W</t>
  </si>
  <si>
    <t>034:13:13.81 N</t>
  </si>
  <si>
    <t>116:55:57.12 W</t>
  </si>
  <si>
    <t>034:13:13.11 N</t>
  </si>
  <si>
    <t>116:55:58.97 W</t>
  </si>
  <si>
    <t>034:13:12.11 N</t>
  </si>
  <si>
    <t>116:56:00.98 W</t>
  </si>
  <si>
    <t>034:13:11.49 N</t>
  </si>
  <si>
    <t>116:56:02.60 W</t>
  </si>
  <si>
    <t>034:13:10.49 N</t>
  </si>
  <si>
    <t>116:56:04.61 W</t>
  </si>
  <si>
    <t>034:13:09.79 N</t>
  </si>
  <si>
    <t>116:56:06.39 W</t>
  </si>
  <si>
    <t>034:13:09.02 N</t>
  </si>
  <si>
    <t>116:56:08.24 W</t>
  </si>
  <si>
    <t>034:13:08.25 N</t>
  </si>
  <si>
    <t>116:56:10.10 W</t>
  </si>
  <si>
    <t>034:13:07.32 N</t>
  </si>
  <si>
    <t>116:56:12.03 W</t>
  </si>
  <si>
    <t>034:13:06.55 N</t>
  </si>
  <si>
    <t>116:56:13.88 W</t>
  </si>
  <si>
    <t>034:13:05.85 N</t>
  </si>
  <si>
    <t>116:56:15.50 W</t>
  </si>
  <si>
    <t>034:13:04.93 N</t>
  </si>
  <si>
    <t>116:56:17.51 W</t>
  </si>
  <si>
    <t>034:13:04.23 N</t>
  </si>
  <si>
    <t>116:56:19.13 W</t>
  </si>
  <si>
    <t>034:13:03.46 N</t>
  </si>
  <si>
    <t>116:56:20.99 W</t>
  </si>
  <si>
    <t>034:13:02.53 N</t>
  </si>
  <si>
    <t>116:56:22.92 W</t>
  </si>
  <si>
    <t>034:13:01.76 N</t>
  </si>
  <si>
    <t>116:56:24.93 W</t>
  </si>
  <si>
    <t>034:13:00.91 N</t>
  </si>
  <si>
    <t>116:56:27.01 W</t>
  </si>
  <si>
    <t>034:13:00.06 N</t>
  </si>
  <si>
    <t>116:56:28.79 W</t>
  </si>
  <si>
    <t>034:12:59.13 N</t>
  </si>
  <si>
    <t>116:56:30.80 W</t>
  </si>
  <si>
    <t>034:12:58.20 N</t>
  </si>
  <si>
    <t>116:56:32.73 W</t>
  </si>
  <si>
    <t>034:12:57.43 N</t>
  </si>
  <si>
    <t>116:56:34.66 W</t>
  </si>
  <si>
    <t>034:12:56.35 N</t>
  </si>
  <si>
    <t>116:56:36.67 W</t>
  </si>
  <si>
    <t>034:12:55.35 N</t>
  </si>
  <si>
    <t>116:56:38.91 W</t>
  </si>
  <si>
    <t>034:12:54.34 N</t>
  </si>
  <si>
    <t>116:56:40.69 W</t>
  </si>
  <si>
    <t>034:12:53.49 N</t>
  </si>
  <si>
    <t>116:56:42.54 W</t>
  </si>
  <si>
    <t>034:12:52.33 N</t>
  </si>
  <si>
    <t>116:56:44.78 W</t>
  </si>
  <si>
    <t>034:12:51.48 N</t>
  </si>
  <si>
    <t>116:56:46.32 W</t>
  </si>
  <si>
    <t>034:12:50.48 N</t>
  </si>
  <si>
    <t>116:56:48.18 W</t>
  </si>
  <si>
    <t>034:12:49.55 N</t>
  </si>
  <si>
    <t>116:56:50.19 W</t>
  </si>
  <si>
    <t>034:12:48.32 N</t>
  </si>
  <si>
    <t>116:56:52.50 W</t>
  </si>
  <si>
    <t>034:12:47.39 N</t>
  </si>
  <si>
    <t>116:56:54.44 W</t>
  </si>
  <si>
    <t>034:12:46.08 N</t>
  </si>
  <si>
    <t>116:56:56.68 W</t>
  </si>
  <si>
    <t>034:12:45.00 N</t>
  </si>
  <si>
    <t>116:56:58.92 W</t>
  </si>
  <si>
    <t>034:12:43.99 N</t>
  </si>
  <si>
    <t>116:57:00.77 W</t>
  </si>
  <si>
    <t>034:12:42.83 N</t>
  </si>
  <si>
    <t>116:57:03.24 W</t>
  </si>
  <si>
    <t>034:12:41.44 N</t>
  </si>
  <si>
    <t>116:57:05.48 W</t>
  </si>
  <si>
    <t>034:12:40.44 N</t>
  </si>
  <si>
    <t>116:57:07.34 W</t>
  </si>
  <si>
    <t>034:12:39.36 N</t>
  </si>
  <si>
    <t>116:57:09.58 W</t>
  </si>
  <si>
    <t>034:12:38.27 N</t>
  </si>
  <si>
    <t>116:57:11.66 W</t>
  </si>
  <si>
    <t>034:12:37.19 N</t>
  </si>
  <si>
    <t>116:57:13.82 W</t>
  </si>
  <si>
    <t>034:12:36.11 N</t>
  </si>
  <si>
    <t>116:57:15.76 W</t>
  </si>
  <si>
    <t>034:12:34.88 N</t>
  </si>
  <si>
    <t>116:57:18.07 W</t>
  </si>
  <si>
    <t>034:12:33.79 N</t>
  </si>
  <si>
    <t>116:57:20.08 W</t>
  </si>
  <si>
    <t>034:12:32.71 N</t>
  </si>
  <si>
    <t>116:57:22.09 W</t>
  </si>
  <si>
    <t>034:12:31.40 N</t>
  </si>
  <si>
    <t>116:57:24.64 W</t>
  </si>
  <si>
    <t>034:12:30.24 N</t>
  </si>
  <si>
    <t>116:57:26.73 W</t>
  </si>
  <si>
    <t>034:12:29.24 N</t>
  </si>
  <si>
    <t>116:57:28.73 W</t>
  </si>
  <si>
    <t>034:12:28.31 N</t>
  </si>
  <si>
    <t>116:57:30.97 W</t>
  </si>
  <si>
    <t>034:12:27.07 N</t>
  </si>
  <si>
    <t>116:57:33.06 W</t>
  </si>
  <si>
    <t>034:12:25.99 N</t>
  </si>
  <si>
    <t>116:57:35.22 W</t>
  </si>
  <si>
    <t>034:12:24.91 N</t>
  </si>
  <si>
    <t>116:57:37.39 W</t>
  </si>
  <si>
    <t>034:12:23.83 N</t>
  </si>
  <si>
    <t>116:57:39.47 W</t>
  </si>
  <si>
    <t>034:12:22.67 N</t>
  </si>
  <si>
    <t>116:57:41.56 W</t>
  </si>
  <si>
    <t>034:12:21.67 N</t>
  </si>
  <si>
    <t>116:57:43.87 W</t>
  </si>
  <si>
    <t>034:12:20.51 N</t>
  </si>
  <si>
    <t>116:57:46.27 W</t>
  </si>
  <si>
    <t>034:12:19.50 N</t>
  </si>
  <si>
    <t>116:57:48.51 W</t>
  </si>
  <si>
    <t>034:12:18.42 N</t>
  </si>
  <si>
    <t>116:57:50.75 W</t>
  </si>
  <si>
    <t>034:12:17.50 N</t>
  </si>
  <si>
    <t>116:57:53.07 W</t>
  </si>
  <si>
    <t>034:12:16.57 N</t>
  </si>
  <si>
    <t>116:57:55.00 W</t>
  </si>
  <si>
    <t>034:12:15.64 N</t>
  </si>
  <si>
    <t>116:57:57.16 W</t>
  </si>
  <si>
    <t>034:12:14.79 N</t>
  </si>
  <si>
    <t>116:57:59.25 W</t>
  </si>
  <si>
    <t>034:12:13.79 N</t>
  </si>
  <si>
    <t>116:58:01.49 W</t>
  </si>
  <si>
    <t>034:12:12.94 N</t>
  </si>
  <si>
    <t>116:58:03.65 W</t>
  </si>
  <si>
    <t>034:12:12.01 N</t>
  </si>
  <si>
    <t>116:58:05.81 W</t>
  </si>
  <si>
    <t>034:12:11.01 N</t>
  </si>
  <si>
    <t>116:58:08.28 W</t>
  </si>
  <si>
    <t>034:12:10.16 N</t>
  </si>
  <si>
    <t>116:58:10.37 W</t>
  </si>
  <si>
    <t>034:12:09.31 N</t>
  </si>
  <si>
    <t>116:58:12.15 W</t>
  </si>
  <si>
    <t>034:12:08.30 N</t>
  </si>
  <si>
    <t>116:58:14.31 W</t>
  </si>
  <si>
    <t>034:12:07.53 N</t>
  </si>
  <si>
    <t>116:58:16.55 W</t>
  </si>
  <si>
    <t>034:12:06.68 N</t>
  </si>
  <si>
    <t>116:58:18.17 W</t>
  </si>
  <si>
    <t>034:12:05.60 N</t>
  </si>
  <si>
    <t>116:58:20.49 W</t>
  </si>
  <si>
    <t>034:12:04.75 N</t>
  </si>
  <si>
    <t>116:58:22.65 W</t>
  </si>
  <si>
    <t>034:12:03.74 N</t>
  </si>
  <si>
    <t>116:58:24.82 W</t>
  </si>
  <si>
    <t>034:12:02.90 N</t>
  </si>
  <si>
    <t>116:58:26.82 W</t>
  </si>
  <si>
    <t>034:12:01.74 N</t>
  </si>
  <si>
    <t>116:58:29.06 W</t>
  </si>
  <si>
    <t>034:12:00.89 N</t>
  </si>
  <si>
    <t>116:58:31.07 W</t>
  </si>
  <si>
    <t>034:12:00.04 N</t>
  </si>
  <si>
    <t>116:58:32.85 W</t>
  </si>
  <si>
    <t>034:11:58.96 N</t>
  </si>
  <si>
    <t>116:58:34.93 W</t>
  </si>
  <si>
    <t>034:11:58.11 N</t>
  </si>
  <si>
    <t>116:58:36.71 W</t>
  </si>
  <si>
    <t>034:11:57.26 N</t>
  </si>
  <si>
    <t>116:58:39.03 W</t>
  </si>
  <si>
    <t>034:11:56.02 N</t>
  </si>
  <si>
    <t>116:58:41.27 W</t>
  </si>
  <si>
    <t>034:11:54.86 N</t>
  </si>
  <si>
    <t>116:58:43.74 W</t>
  </si>
  <si>
    <t>034:11:53.86 N</t>
  </si>
  <si>
    <t>116:58:45.60 W</t>
  </si>
  <si>
    <t>034:11:52.85 N</t>
  </si>
  <si>
    <t>116:58:47.60 W</t>
  </si>
  <si>
    <t>034:11:51.85 N</t>
  </si>
  <si>
    <t>116:58:49.69 W</t>
  </si>
  <si>
    <t>034:11:50.69 N</t>
  </si>
  <si>
    <t>116:58:51.85 W</t>
  </si>
  <si>
    <t>034:11:49.53 N</t>
  </si>
  <si>
    <t>116:58:54.32 W</t>
  </si>
  <si>
    <t>034:11:48.37 N</t>
  </si>
  <si>
    <t>116:58:56.49 W</t>
  </si>
  <si>
    <t>034:11:47.45 N</t>
  </si>
  <si>
    <t>116:58:58.57 W</t>
  </si>
  <si>
    <t>034:11:46.13 N</t>
  </si>
  <si>
    <t>116:59:00.66 W</t>
  </si>
  <si>
    <t>034:11:44.97 N</t>
  </si>
  <si>
    <t>116:59:02.90 W</t>
  </si>
  <si>
    <t>034:11:43.97 N</t>
  </si>
  <si>
    <t>116:59:04.75 W</t>
  </si>
  <si>
    <t>RS - LP 1090 Single Chl Radio</t>
  </si>
  <si>
    <t>034:11:42.97 N</t>
  </si>
  <si>
    <t>116:59:06.99 W</t>
  </si>
  <si>
    <t>034:11:41.81 N</t>
  </si>
  <si>
    <t>116:59:09.08 W</t>
  </si>
  <si>
    <t>034:11:40.65 N</t>
  </si>
  <si>
    <t>116:59:11.24 W</t>
  </si>
  <si>
    <t>034:11:39.64 N</t>
  </si>
  <si>
    <t>116:59:13.40 W</t>
  </si>
  <si>
    <t>034:11:38.48 N</t>
  </si>
  <si>
    <t>116:59:15.49 W</t>
  </si>
  <si>
    <t>034:11:37.48 N</t>
  </si>
  <si>
    <t>116:59:17.50 W</t>
  </si>
  <si>
    <t>034:11:36.40 N</t>
  </si>
  <si>
    <t>116:59:19.51 W</t>
  </si>
  <si>
    <t>034:11:35.40 N</t>
  </si>
  <si>
    <t>116:59:21.52 W</t>
  </si>
  <si>
    <t>034:11:34.24 N</t>
  </si>
  <si>
    <t>116:59:23.76 W</t>
  </si>
  <si>
    <t>034:11:33.08 N</t>
  </si>
  <si>
    <t>116:59:26.00 W</t>
  </si>
  <si>
    <t>034:11:31.92 N</t>
  </si>
  <si>
    <t>116:59:28.24 W</t>
  </si>
  <si>
    <t>034:11:30.91 N</t>
  </si>
  <si>
    <t>116:59:30.09 W</t>
  </si>
  <si>
    <t>034:11:29.91 N</t>
  </si>
  <si>
    <t>116:59:31.94 W</t>
  </si>
  <si>
    <t>034:11:28.75 N</t>
  </si>
  <si>
    <t>116:59:34.03 W</t>
  </si>
  <si>
    <t>034:11:27.67 N</t>
  </si>
  <si>
    <t>116:59:36.50 W</t>
  </si>
  <si>
    <t>034:11:26.28 N</t>
  </si>
  <si>
    <t>116:59:38.66 W</t>
  </si>
  <si>
    <t>034:11:25.20 N</t>
  </si>
  <si>
    <t>116:59:40.67 W</t>
  </si>
  <si>
    <t>034:11:24.04 N</t>
  </si>
  <si>
    <t>116:59:42.91 W</t>
  </si>
  <si>
    <t>034:11:23.04 N</t>
  </si>
  <si>
    <t>116:59:44.77 W</t>
  </si>
  <si>
    <t>034:11:21.88 N</t>
  </si>
  <si>
    <t>116:59:46.78 W</t>
  </si>
  <si>
    <t>034:11:20.72 N</t>
  </si>
  <si>
    <t>116:59:49.02 W</t>
  </si>
  <si>
    <t>034:11:19.56 N</t>
  </si>
  <si>
    <t>116:59:51.18 W</t>
  </si>
  <si>
    <t>034:11:18.48 N</t>
  </si>
  <si>
    <t>116:59:53.19 W</t>
  </si>
  <si>
    <t>034:11:17.47 N</t>
  </si>
  <si>
    <t>116:59:55.04 W</t>
  </si>
  <si>
    <t>034:11:16.16 N</t>
  </si>
  <si>
    <t>116:59:57.28 W</t>
  </si>
  <si>
    <t>034:11:15.08 N</t>
  </si>
  <si>
    <t>116:59:59.44 W</t>
  </si>
  <si>
    <t>034:11:14.00 N</t>
  </si>
  <si>
    <t>117:00:01.38 W</t>
  </si>
  <si>
    <t>034:11:12.99 N</t>
  </si>
  <si>
    <t>117:00:03.31 W</t>
  </si>
  <si>
    <t>034:11:11.99 N</t>
  </si>
  <si>
    <t>117:00:05.31 W</t>
  </si>
  <si>
    <t>034:11:10.98 N</t>
  </si>
  <si>
    <t>117:00:06.94 W</t>
  </si>
  <si>
    <t>034:11:09.67 N</t>
  </si>
  <si>
    <t>117:00:09.18 W</t>
  </si>
  <si>
    <t>034:11:08.36 N</t>
  </si>
  <si>
    <t>117:00:11.57 W</t>
  </si>
  <si>
    <t>034:11:07.12 N</t>
  </si>
  <si>
    <t>117:00:13.73 W</t>
  </si>
  <si>
    <t>034:11:06.12 N</t>
  </si>
  <si>
    <t>117:00:15.43 W</t>
  </si>
  <si>
    <t>034:11:04.96 N</t>
  </si>
  <si>
    <t>117:00:17.67 W</t>
  </si>
  <si>
    <t>034:11:03.72 N</t>
  </si>
  <si>
    <t>117:00:20.07 W</t>
  </si>
  <si>
    <t>034:11:02.41 N</t>
  </si>
  <si>
    <t>117:00:22.31 W</t>
  </si>
  <si>
    <t>034:11:01.25 N</t>
  </si>
  <si>
    <t>117:00:24.24 W</t>
  </si>
  <si>
    <t>034:11:00.25 N</t>
  </si>
  <si>
    <t>117:00:26.33 W</t>
  </si>
  <si>
    <t>034:10:59.09 N</t>
  </si>
  <si>
    <t>117:00:28.10 W</t>
  </si>
  <si>
    <t>034:10:58.16 N</t>
  </si>
  <si>
    <t>117:00:30.11 W</t>
  </si>
  <si>
    <t>034:10:56.85 N</t>
  </si>
  <si>
    <t>117:00:32.35 W</t>
  </si>
  <si>
    <t>034:10:55.69 N</t>
  </si>
  <si>
    <t>117:00:34.59 W</t>
  </si>
  <si>
    <t>034:10:54.38 N</t>
  </si>
  <si>
    <t>117:00:36.83 W</t>
  </si>
  <si>
    <t>034:10:53.37 N</t>
  </si>
  <si>
    <t>117:00:38.69 W</t>
  </si>
  <si>
    <t>034:10:52.21 N</t>
  </si>
  <si>
    <t>117:00:40.62 W</t>
  </si>
  <si>
    <t>034:10:50.90 N</t>
  </si>
  <si>
    <t>117:00:42.86 W</t>
  </si>
  <si>
    <t>034:10:49.66 N</t>
  </si>
  <si>
    <t>117:00:45.10 W</t>
  </si>
  <si>
    <t>034:10:48.58 N</t>
  </si>
  <si>
    <t>117:00:47.11 W</t>
  </si>
  <si>
    <t>034:10:47.35 N</t>
  </si>
  <si>
    <t>117:00:49.19 W</t>
  </si>
  <si>
    <t>034:10:46.27 N</t>
  </si>
  <si>
    <t>117:00:50.97 W</t>
  </si>
  <si>
    <t>034:10:45.11 N</t>
  </si>
  <si>
    <t>117:00:52.51 W</t>
  </si>
  <si>
    <t>034:10:43.79 N</t>
  </si>
  <si>
    <t>117:00:54.75 W</t>
  </si>
  <si>
    <t>034:10:42.63 N</t>
  </si>
  <si>
    <t>117:00:56.38 W</t>
  </si>
  <si>
    <t>034:10:41.63 N</t>
  </si>
  <si>
    <t>117:00:58.23 W</t>
  </si>
  <si>
    <t>034:10:40.32 N</t>
  </si>
  <si>
    <t>117:01:00.01 W</t>
  </si>
  <si>
    <t>034:10:38.93 N</t>
  </si>
  <si>
    <t>117:01:01.94 W</t>
  </si>
  <si>
    <t>034:10:37.54 N</t>
  </si>
  <si>
    <t>117:01:04.02 W</t>
  </si>
  <si>
    <t>034:10:36.30 N</t>
  </si>
  <si>
    <t>117:01:05.88 W</t>
  </si>
  <si>
    <t>034:10:34.76 N</t>
  </si>
  <si>
    <t>117:01:07.96 W</t>
  </si>
  <si>
    <t>034:10:33.60 N</t>
  </si>
  <si>
    <t>117:01:09.58 W</t>
  </si>
  <si>
    <t>034:10:32.05 N</t>
  </si>
  <si>
    <t>117:01:11.67 W</t>
  </si>
  <si>
    <t>034:10:30.58 N</t>
  </si>
  <si>
    <t>117:01:13.52 W</t>
  </si>
  <si>
    <t>034:10:29.43 N</t>
  </si>
  <si>
    <t>117:01:15.15 W</t>
  </si>
  <si>
    <t>034:10:28.27 N</t>
  </si>
  <si>
    <t>117:01:16.77 W</t>
  </si>
  <si>
    <t>034:10:26.80 N</t>
  </si>
  <si>
    <t>117:01:18.55 W</t>
  </si>
  <si>
    <t>034:10:25.18 N</t>
  </si>
  <si>
    <t>117:01:20.79 W</t>
  </si>
  <si>
    <t>034:10:24.02 N</t>
  </si>
  <si>
    <t>117:01:22.18 W</t>
  </si>
  <si>
    <t>034:10:22.71 N</t>
  </si>
  <si>
    <t>117:01:24.03 W</t>
  </si>
  <si>
    <t>034:10:21.39 N</t>
  </si>
  <si>
    <t>117:01:25.81 W</t>
  </si>
  <si>
    <t>034:10:19.77 N</t>
  </si>
  <si>
    <t>117:01:27.89 W</t>
  </si>
  <si>
    <t>034:10:18.38 N</t>
  </si>
  <si>
    <t>117:01:29.59 W</t>
  </si>
  <si>
    <t>034:10:16.76 N</t>
  </si>
  <si>
    <t>117:01:31.52 W</t>
  </si>
  <si>
    <t>034:10:15.52 N</t>
  </si>
  <si>
    <t>117:01:33.30 W</t>
  </si>
  <si>
    <t>034:10:14.13 N</t>
  </si>
  <si>
    <t>117:01:34.92 W</t>
  </si>
  <si>
    <t>034:10:12.82 N</t>
  </si>
  <si>
    <t>117:01:36.78 W</t>
  </si>
  <si>
    <t>034:10:11.50 N</t>
  </si>
  <si>
    <t>117:01:38.40 W</t>
  </si>
  <si>
    <t>034:10:09.80 N</t>
  </si>
  <si>
    <t>117:01:40.48 W</t>
  </si>
  <si>
    <t>034:10:08.26 N</t>
  </si>
  <si>
    <t>117:01:42.57 W</t>
  </si>
  <si>
    <t>034:10:06.87 N</t>
  </si>
  <si>
    <t>117:01:44.19 W</t>
  </si>
  <si>
    <t>034:10:05.71 N</t>
  </si>
  <si>
    <t>117:01:45.81 W</t>
  </si>
  <si>
    <t>034:10:04.24 N</t>
  </si>
  <si>
    <t>117:01:47.67 W</t>
  </si>
  <si>
    <t>034:10:03.08 N</t>
  </si>
  <si>
    <t>117:01:49.44 W</t>
  </si>
  <si>
    <t>034:10:01.62 N</t>
  </si>
  <si>
    <t>117:01:51.45 W</t>
  </si>
  <si>
    <t>034:10:00.07 N</t>
  </si>
  <si>
    <t>117:01:53.46 W</t>
  </si>
  <si>
    <t>034:09:58.99 N</t>
  </si>
  <si>
    <t>117:01:55.08 W</t>
  </si>
  <si>
    <t>034:09:57.75 N</t>
  </si>
  <si>
    <t>117:01:56.78 W</t>
  </si>
  <si>
    <t>034:09:56.60 N</t>
  </si>
  <si>
    <t>117:01:58.64 W</t>
  </si>
  <si>
    <t>034:09:55.20 N</t>
  </si>
  <si>
    <t>117:02:00.34 W</t>
  </si>
  <si>
    <t>034:09:54.05 N</t>
  </si>
  <si>
    <t>117:02:02.11 W</t>
  </si>
  <si>
    <t>034:09:52.50 N</t>
  </si>
  <si>
    <t>117:02:04.20 W</t>
  </si>
  <si>
    <t>034:09:51.34 N</t>
  </si>
  <si>
    <t>117:02:05.82 W</t>
  </si>
  <si>
    <t>034:09:50.42 N</t>
  </si>
  <si>
    <t>117:02:07.44 W</t>
  </si>
  <si>
    <t>034:09:49.03 N</t>
  </si>
  <si>
    <t>117:02:09.30 W</t>
  </si>
  <si>
    <t>034:09:47.71 N</t>
  </si>
  <si>
    <t>117:02:11.15 W</t>
  </si>
  <si>
    <t>034:09:46.48 N</t>
  </si>
  <si>
    <t>117:02:13.08 W</t>
  </si>
  <si>
    <t>034:09:45.16 N</t>
  </si>
  <si>
    <t>117:02:14.70 W</t>
  </si>
  <si>
    <t>034:09:43.62 N</t>
  </si>
  <si>
    <t>117:02:16.71 W</t>
  </si>
  <si>
    <t>034:09:42.46 N</t>
  </si>
  <si>
    <t>117:02:18.41 W</t>
  </si>
  <si>
    <t>034:09:41.30 N</t>
  </si>
  <si>
    <t>117:02:20.03 W</t>
  </si>
  <si>
    <t>034:09:39.99 N</t>
  </si>
  <si>
    <t>117:02:21.73 W</t>
  </si>
  <si>
    <t>034:09:38.36 N</t>
  </si>
  <si>
    <t>117:02:23.59 W</t>
  </si>
  <si>
    <t>034:09:37.13 N</t>
  </si>
  <si>
    <t>117:02:25.21 W</t>
  </si>
  <si>
    <t>034:09:35.82 N</t>
  </si>
  <si>
    <t>117:02:26.83 W</t>
  </si>
  <si>
    <t>034:09:34.12 N</t>
  </si>
  <si>
    <t>117:02:28.69 W</t>
  </si>
  <si>
    <t>034:09:32.96 N</t>
  </si>
  <si>
    <t>117:02:29.92 W</t>
  </si>
  <si>
    <t>034:09:31.64 N</t>
  </si>
  <si>
    <t>117:02:31.39 W</t>
  </si>
  <si>
    <t>034:09:29.94 N</t>
  </si>
  <si>
    <t>117:02:33.01 W</t>
  </si>
  <si>
    <t>034:09:28.09 N</t>
  </si>
  <si>
    <t>117:02:34.63 W</t>
  </si>
  <si>
    <t>034:09:26.55 N</t>
  </si>
  <si>
    <t>117:02:36.10 W</t>
  </si>
  <si>
    <t>034:09:25.39 N</t>
  </si>
  <si>
    <t>117:02:37.26 W</t>
  </si>
  <si>
    <t>034:09:23.69 N</t>
  </si>
  <si>
    <t>117:02:38.57 W</t>
  </si>
  <si>
    <t>034:09:22.07 N</t>
  </si>
  <si>
    <t>117:02:40.04 W</t>
  </si>
  <si>
    <t>034:09:20.06 N</t>
  </si>
  <si>
    <t>117:02:41.51 W</t>
  </si>
  <si>
    <t>034:09:18.67 N</t>
  </si>
  <si>
    <t>117:02:42.67 W</t>
  </si>
  <si>
    <t>034:09:16.97 N</t>
  </si>
  <si>
    <t>117:02:43.90 W</t>
  </si>
  <si>
    <t>034:09:15.35 N</t>
  </si>
  <si>
    <t>117:02:45.14 W</t>
  </si>
  <si>
    <t>034:09:13.65 N</t>
  </si>
  <si>
    <t>117:02:46.14 W</t>
  </si>
  <si>
    <t>034:09:12.02 N</t>
  </si>
  <si>
    <t>117:02:47.38 W</t>
  </si>
  <si>
    <t>034:09:10.56 N</t>
  </si>
  <si>
    <t>117:02:48.54 W</t>
  </si>
  <si>
    <t>034:09:09.17 N</t>
  </si>
  <si>
    <t>117:02:49.47 W</t>
  </si>
  <si>
    <t>034:09:07.39 N</t>
  </si>
  <si>
    <t>117:02:50.78 W</t>
  </si>
  <si>
    <t>034:09:05.77 N</t>
  </si>
  <si>
    <t>117:02:51.94 W</t>
  </si>
  <si>
    <t>034:09:04.07 N</t>
  </si>
  <si>
    <t>117:02:53.25 W</t>
  </si>
  <si>
    <t>034:09:02.60 N</t>
  </si>
  <si>
    <t>117:02:54.26 W</t>
  </si>
  <si>
    <t>034:09:00.98 N</t>
  </si>
  <si>
    <t>117:02:55.41 W</t>
  </si>
  <si>
    <t>034:08:59.43 N</t>
  </si>
  <si>
    <t>117:02:56.73 W</t>
  </si>
  <si>
    <t>034:08:57.96 N</t>
  </si>
  <si>
    <t>117:02:57.65 W</t>
  </si>
  <si>
    <t>034:08:56.57 N</t>
  </si>
  <si>
    <t>117:02:58.74 W</t>
  </si>
  <si>
    <t>034:08:54.87 N</t>
  </si>
  <si>
    <t>117:03:00.05 W</t>
  </si>
  <si>
    <t>034:08:53.25 N</t>
  </si>
  <si>
    <t>117:03:01.28 W</t>
  </si>
  <si>
    <t>034:08:51.71 N</t>
  </si>
  <si>
    <t>117:03:02.44 W</t>
  </si>
  <si>
    <t>034:08:50.09 N</t>
  </si>
  <si>
    <t>117:03:03.68 W</t>
  </si>
  <si>
    <t>034:08:48.54 N</t>
  </si>
  <si>
    <t>117:03:04.92 W</t>
  </si>
  <si>
    <t>034:08:47.15 N</t>
  </si>
  <si>
    <t>117:03:05.77 W</t>
  </si>
  <si>
    <t>034:08:45.60 N</t>
  </si>
  <si>
    <t>117:03:06.92 W</t>
  </si>
  <si>
    <t>034:08:43.98 N</t>
  </si>
  <si>
    <t>117:03:08.16 W</t>
  </si>
  <si>
    <t>034:08:42.67 N</t>
  </si>
  <si>
    <t>117:03:08.93 W</t>
  </si>
  <si>
    <t>034:08:41.12 N</t>
  </si>
  <si>
    <t>117:03:10.09 W</t>
  </si>
  <si>
    <t>034:08:39.35 N</t>
  </si>
  <si>
    <t>117:03:11.40 W</t>
  </si>
  <si>
    <t>034:08:37.96 N</t>
  </si>
  <si>
    <t>117:03:12.33 W</t>
  </si>
  <si>
    <t>034:08:36.41 N</t>
  </si>
  <si>
    <t>117:03:13.41 W</t>
  </si>
  <si>
    <t>034:08:34.94 N</t>
  </si>
  <si>
    <t>117:03:14.42 W</t>
  </si>
  <si>
    <t>034:08:32.94 N</t>
  </si>
  <si>
    <t>117:03:15.42 W</t>
  </si>
  <si>
    <t>034:08:31.31 N</t>
  </si>
  <si>
    <t>117:03:16.43 W</t>
  </si>
  <si>
    <t>034:08:29.85 N</t>
  </si>
  <si>
    <t>117:03:17.20 W</t>
  </si>
  <si>
    <t>034:08:28.15 N</t>
  </si>
  <si>
    <t>117:03:18.20 W</t>
  </si>
  <si>
    <t>034:08:26.22 N</t>
  </si>
  <si>
    <t>117:03:19.13 W</t>
  </si>
  <si>
    <t>034:08:24.52 N</t>
  </si>
  <si>
    <t>117:03:19.82 W</t>
  </si>
  <si>
    <t>034:08:22.74 N</t>
  </si>
  <si>
    <t>117:03:20.67 W</t>
  </si>
  <si>
    <t>034:08:21.43 N</t>
  </si>
  <si>
    <t>117:03:21.29 W</t>
  </si>
  <si>
    <t>034:08:19.42 N</t>
  </si>
  <si>
    <t>117:03:22.30 W</t>
  </si>
  <si>
    <t>034:08:17.80 N</t>
  </si>
  <si>
    <t>117:03:22.91 W</t>
  </si>
  <si>
    <t>034:08:15.94 N</t>
  </si>
  <si>
    <t>117:03:23.45 W</t>
  </si>
  <si>
    <t>034:08:14.47 N</t>
  </si>
  <si>
    <t>117:03:24.07 W</t>
  </si>
  <si>
    <t>034:08:12.85 N</t>
  </si>
  <si>
    <t>117:03:24.54 W</t>
  </si>
  <si>
    <t>034:08:10.84 N</t>
  </si>
  <si>
    <t>117:03:25.08 W</t>
  </si>
  <si>
    <t>034:08:09.14 N</t>
  </si>
  <si>
    <t>117:03:25.54 W</t>
  </si>
  <si>
    <t>034:08:07.44 N</t>
  </si>
  <si>
    <t>117:03:25.93 W</t>
  </si>
  <si>
    <t>034:08:05.82 N</t>
  </si>
  <si>
    <t>117:03:26.16 W</t>
  </si>
  <si>
    <t>034:08:04.12 N</t>
  </si>
  <si>
    <t>117:03:26.54 W</t>
  </si>
  <si>
    <t>034:08:02.27 N</t>
  </si>
  <si>
    <t>117:03:26.78 W</t>
  </si>
  <si>
    <t>034:08:00.34 N</t>
  </si>
  <si>
    <t>117:03:27.09 W</t>
  </si>
  <si>
    <t>034:07:58.41 N</t>
  </si>
  <si>
    <t>117:03:27.63 W</t>
  </si>
  <si>
    <t>034:07:56.71 N</t>
  </si>
  <si>
    <t>117:03:27.70 W</t>
  </si>
  <si>
    <t>034:07:54.70 N</t>
  </si>
  <si>
    <t>117:03:28.01 W</t>
  </si>
  <si>
    <t>034:07:53.08 N</t>
  </si>
  <si>
    <t>117:03:28.09 W</t>
  </si>
  <si>
    <t>034:07:51.22 N</t>
  </si>
  <si>
    <t>117:03:28.24 W</t>
  </si>
  <si>
    <t>034:07:49.45 N</t>
  </si>
  <si>
    <t>117:03:28.32 W</t>
  </si>
  <si>
    <t>034:07:47.44 N</t>
  </si>
  <si>
    <t>117:03:28.71 W</t>
  </si>
  <si>
    <t>034:07:45.97 N</t>
  </si>
  <si>
    <t>117:03:28.55 W</t>
  </si>
  <si>
    <t>034:07:44.19 N</t>
  </si>
  <si>
    <t>117:03:28.40 W</t>
  </si>
  <si>
    <t>034:07:42.34 N</t>
  </si>
  <si>
    <t>034:07:40.56 N</t>
  </si>
  <si>
    <t>034:07:38.86 N</t>
  </si>
  <si>
    <t>034:07:37.09 N</t>
  </si>
  <si>
    <t>034:07:35.46 N</t>
  </si>
  <si>
    <t>034:07:33.92 N</t>
  </si>
  <si>
    <t>034:07:31.91 N</t>
  </si>
  <si>
    <t>117:03:27.78 W</t>
  </si>
  <si>
    <t>034:07:29.98 N</t>
  </si>
  <si>
    <t>117:03:27.55 W</t>
  </si>
  <si>
    <t>034:07:28.05 N</t>
  </si>
  <si>
    <t>117:03:27.32 W</t>
  </si>
  <si>
    <t>034:07:26.35 N</t>
  </si>
  <si>
    <t>034:07:24.57 N</t>
  </si>
  <si>
    <t>117:03:26.70 W</t>
  </si>
  <si>
    <t>034:07:22.95 N</t>
  </si>
  <si>
    <t>034:07:21.17 N</t>
  </si>
  <si>
    <t>034:07:19.63 N</t>
  </si>
  <si>
    <t>034:07:17.85 N</t>
  </si>
  <si>
    <t>034:07:16.00 N</t>
  </si>
  <si>
    <t>117:03:24.92 W</t>
  </si>
  <si>
    <t>034:07:14.14 N</t>
  </si>
  <si>
    <t>117:03:24.69 W</t>
  </si>
  <si>
    <t>034:07:12.68 N</t>
  </si>
  <si>
    <t>117:03:24.30 W</t>
  </si>
  <si>
    <t>034:07:10.67 N</t>
  </si>
  <si>
    <t>117:03:23.92 W</t>
  </si>
  <si>
    <t>034:07:08.89 N</t>
  </si>
  <si>
    <t>034:07:07.11 N</t>
  </si>
  <si>
    <t>117:03:22.84 W</t>
  </si>
  <si>
    <t>034:07:05.65 N</t>
  </si>
  <si>
    <t>117:03:22.45 W</t>
  </si>
  <si>
    <t>034:07:03.95 N</t>
  </si>
  <si>
    <t>117:03:21.83 W</t>
  </si>
  <si>
    <t>034:07:02.09 N</t>
  </si>
  <si>
    <t>117:03:21.45 W</t>
  </si>
  <si>
    <t>034:07:00.08 N</t>
  </si>
  <si>
    <t>117:03:20.83 W</t>
  </si>
  <si>
    <t>034:06:58.39 N</t>
  </si>
  <si>
    <t>117:03:20.29 W</t>
  </si>
  <si>
    <t>034:06:56.61 N</t>
  </si>
  <si>
    <t>117:03:19.59 W</t>
  </si>
  <si>
    <t>034:06:54.75 N</t>
  </si>
  <si>
    <t>117:03:18.82 W</t>
  </si>
  <si>
    <t>034:06:52.90 N</t>
  </si>
  <si>
    <t>117:03:18.12 W</t>
  </si>
  <si>
    <t>034:06:51.28 N</t>
  </si>
  <si>
    <t>117:03:17.43 W</t>
  </si>
  <si>
    <t>034:06:49.81 N</t>
  </si>
  <si>
    <t>117:03:16.81 W</t>
  </si>
  <si>
    <t>034:06:48.19 N</t>
  </si>
  <si>
    <t>117:03:16.04 W</t>
  </si>
  <si>
    <t>034:06:46.33 N</t>
  </si>
  <si>
    <t>117:03:15.19 W</t>
  </si>
  <si>
    <t>034:06:44.48 N</t>
  </si>
  <si>
    <t>034:06:42.47 N</t>
  </si>
  <si>
    <t>034:06:41.08 N</t>
  </si>
  <si>
    <t>117:03:12.56 W</t>
  </si>
  <si>
    <t>034:06:39.30 N</t>
  </si>
  <si>
    <t>117:03:11.71 W</t>
  </si>
  <si>
    <t>034:06:37.45 N</t>
  </si>
  <si>
    <t>117:03:10.79 W</t>
  </si>
  <si>
    <t>034:06:35.75 N</t>
  </si>
  <si>
    <t>117:03:09.94 W</t>
  </si>
  <si>
    <t>034:06:34.28 N</t>
  </si>
  <si>
    <t>117:03:09.16 W</t>
  </si>
  <si>
    <t>034:06:32.35 N</t>
  </si>
  <si>
    <t>034:06:30.81 N</t>
  </si>
  <si>
    <t>117:03:07.31 W</t>
  </si>
  <si>
    <t>034:06:29.26 N</t>
  </si>
  <si>
    <t>117:03:06.61 W</t>
  </si>
  <si>
    <t>034:06:27.87 N</t>
  </si>
  <si>
    <t>034:06:26.40 N</t>
  </si>
  <si>
    <t>034:06:24.40 N</t>
  </si>
  <si>
    <t>117:03:03.91 W</t>
  </si>
  <si>
    <t>034:06:22.85 N</t>
  </si>
  <si>
    <t>117:03:03.06 W</t>
  </si>
  <si>
    <t>034:06:21.23 N</t>
  </si>
  <si>
    <t>117:03:01.83 W</t>
  </si>
  <si>
    <t>034:06:19.61 N</t>
  </si>
  <si>
    <t>117:03:00.90 W</t>
  </si>
  <si>
    <t>034:06:18.14 N</t>
  </si>
  <si>
    <t>117:02:59.89 W</t>
  </si>
  <si>
    <t>034:06:16.83 N</t>
  </si>
  <si>
    <t>117:02:58.97 W</t>
  </si>
  <si>
    <t>034:06:15.20 N</t>
  </si>
  <si>
    <t>034:06:13.35 N</t>
  </si>
  <si>
    <t>117:02:56.42 W</t>
  </si>
  <si>
    <t>034:06:11.80 N</t>
  </si>
  <si>
    <t>117:02:55.26 W</t>
  </si>
  <si>
    <t>034:06:10.41 N</t>
  </si>
  <si>
    <t>117:02:54.02 W</t>
  </si>
  <si>
    <t>034:06:08.95 N</t>
  </si>
  <si>
    <t>117:02:53.02 W</t>
  </si>
  <si>
    <t>034:06:07.40 N</t>
  </si>
  <si>
    <t>117:02:51.63 W</t>
  </si>
  <si>
    <t>034:06:06.09 N</t>
  </si>
  <si>
    <t>034:06:04.62 N</t>
  </si>
  <si>
    <t>034:06:02.92 N</t>
  </si>
  <si>
    <t>117:02:48.08 W</t>
  </si>
  <si>
    <t>034:06:01.53 N</t>
  </si>
  <si>
    <t>117:02:46.76 W</t>
  </si>
  <si>
    <t>034:06:00.06 N</t>
  </si>
  <si>
    <t>117:02:45.60 W</t>
  </si>
  <si>
    <t>034:05:58.52 N</t>
  </si>
  <si>
    <t>117:02:44.14 W</t>
  </si>
  <si>
    <t>034:05:57.28 N</t>
  </si>
  <si>
    <t>117:02:42.90 W</t>
  </si>
  <si>
    <t>034:05:55.74 N</t>
  </si>
  <si>
    <t>034:05:54.19 N</t>
  </si>
  <si>
    <t>117:02:40.20 W</t>
  </si>
  <si>
    <t>034:05:52.80 N</t>
  </si>
  <si>
    <t>117:02:38.88 W</t>
  </si>
  <si>
    <t>034:05:51.18 N</t>
  </si>
  <si>
    <t>117:02:37.57 W</t>
  </si>
  <si>
    <t>034:05:49.79 N</t>
  </si>
  <si>
    <t>034:05:48.55 N</t>
  </si>
  <si>
    <t>117:02:34.87 W</t>
  </si>
  <si>
    <t>034:05:47.16 N</t>
  </si>
  <si>
    <t>117:02:33.63 W</t>
  </si>
  <si>
    <t>034:05:45.70 N</t>
  </si>
  <si>
    <t>117:02:32.16 W</t>
  </si>
  <si>
    <t>034:05:44.30 N</t>
  </si>
  <si>
    <t>117:02:30.93 W</t>
  </si>
  <si>
    <t>034:05:43.07 N</t>
  </si>
  <si>
    <t>117:02:29.61 W</t>
  </si>
  <si>
    <t>034:05:41.60 N</t>
  </si>
  <si>
    <t>117:02:27.99 W</t>
  </si>
  <si>
    <t>034:05:39.98 N</t>
  </si>
  <si>
    <t>117:02:26.45 W</t>
  </si>
  <si>
    <t>034:05:38.59 N</t>
  </si>
  <si>
    <t>117:02:24.98 W</t>
  </si>
  <si>
    <t>034:05:37.12 N</t>
  </si>
  <si>
    <t>034:05:35.81 N</t>
  </si>
  <si>
    <t>117:02:22.12 W</t>
  </si>
  <si>
    <t>034:05:34.65 N</t>
  </si>
  <si>
    <t>117:02:20.88 W</t>
  </si>
  <si>
    <t>034:05:33.34 N</t>
  </si>
  <si>
    <t>117:02:19.34 W</t>
  </si>
  <si>
    <t>034:05:32.10 N</t>
  </si>
  <si>
    <t>117:02:17.95 W</t>
  </si>
  <si>
    <t>034:05:30.71 N</t>
  </si>
  <si>
    <t>117:02:16.33 W</t>
  </si>
  <si>
    <t>034:05:29.24 N</t>
  </si>
  <si>
    <t>117:02:14.86 W</t>
  </si>
  <si>
    <t>034:05:28.08 N</t>
  </si>
  <si>
    <t>117:02:13.24 W</t>
  </si>
  <si>
    <t>034:05:26.77 N</t>
  </si>
  <si>
    <t>117:02:11.85 W</t>
  </si>
  <si>
    <t>034:05:25.38 N</t>
  </si>
  <si>
    <t>117:02:10.38 W</t>
  </si>
  <si>
    <t>034:05:24.22 N</t>
  </si>
  <si>
    <t>117:02:08.91 W</t>
  </si>
  <si>
    <t>034:05:23.14 N</t>
  </si>
  <si>
    <t>117:02:07.60 W</t>
  </si>
  <si>
    <t>034:05:21.90 N</t>
  </si>
  <si>
    <t>117:02:06.05 W</t>
  </si>
  <si>
    <t>034:05:20.36 N</t>
  </si>
  <si>
    <t>117:02:04.35 W</t>
  </si>
  <si>
    <t>034:05:19.35 N</t>
  </si>
  <si>
    <t>117:02:02.96 W</t>
  </si>
  <si>
    <t>034:05:18.04 N</t>
  </si>
  <si>
    <t>117:02:01.50 W</t>
  </si>
  <si>
    <t>034:05:16.65 N</t>
  </si>
  <si>
    <t>117:01:59.95 W</t>
  </si>
  <si>
    <t>034:05:15.34 N</t>
  </si>
  <si>
    <t>117:01:58.41 W</t>
  </si>
  <si>
    <t>034:05:14.18 N</t>
  </si>
  <si>
    <t>117:01:56.94 W</t>
  </si>
  <si>
    <t>034:05:12.86 N</t>
  </si>
  <si>
    <t>117:01:55.32 W</t>
  </si>
  <si>
    <t>034:05:11.94 N</t>
  </si>
  <si>
    <t>117:01:54.08 W</t>
  </si>
  <si>
    <t>034:05:10.86 N</t>
  </si>
  <si>
    <t>117:01:52.61 W</t>
  </si>
  <si>
    <t>034:05:09.85 N</t>
  </si>
  <si>
    <t>117:01:51.22 W</t>
  </si>
  <si>
    <t>034:05:08.77 N</t>
  </si>
  <si>
    <t>117:01:49.83 W</t>
  </si>
  <si>
    <t>034:05:07.61 N</t>
  </si>
  <si>
    <t>117:01:48.29 W</t>
  </si>
  <si>
    <t>034:05:06.30 N</t>
  </si>
  <si>
    <t>117:01:46.43 W</t>
  </si>
  <si>
    <t>034:05:05.14 N</t>
  </si>
  <si>
    <t>117:01:45.04 W</t>
  </si>
  <si>
    <t>034:05:03.98 N</t>
  </si>
  <si>
    <t>117:01:43.19 W</t>
  </si>
  <si>
    <t>034:05:02.98 N</t>
  </si>
  <si>
    <t>117:01:41.57 W</t>
  </si>
  <si>
    <t>034:05:01.74 N</t>
  </si>
  <si>
    <t>117:01:39.87 W</t>
  </si>
  <si>
    <t>034:05:00.89 N</t>
  </si>
  <si>
    <t>117:01:38.17 W</t>
  </si>
  <si>
    <t>034:04:59.58 N</t>
  </si>
  <si>
    <t>117:01:36.31 W</t>
  </si>
  <si>
    <t>034:04:58.73 N</t>
  </si>
  <si>
    <t>034:04:57.57 N</t>
  </si>
  <si>
    <t>117:01:32.84 W</t>
  </si>
  <si>
    <t>034:04:56.72 N</t>
  </si>
  <si>
    <t>117:01:31.29 W</t>
  </si>
  <si>
    <t>034:04:55.72 N</t>
  </si>
  <si>
    <t>117:01:29.75 W</t>
  </si>
  <si>
    <t>034:04:54.25 N</t>
  </si>
  <si>
    <t>117:01:27.27 W</t>
  </si>
  <si>
    <t>034:04:53.24 N</t>
  </si>
  <si>
    <t>117:01:25.65 W</t>
  </si>
  <si>
    <t>034:04:52.32 N</t>
  </si>
  <si>
    <t>117:01:23.80 W</t>
  </si>
  <si>
    <t>034:04:51.16 N</t>
  </si>
  <si>
    <t>117:01:22.02 W</t>
  </si>
  <si>
    <t>034:04:50.23 N</t>
  </si>
  <si>
    <t>117:01:20.32 W</t>
  </si>
  <si>
    <t>034:04:49.15 N</t>
  </si>
  <si>
    <t>117:01:18.39 W</t>
  </si>
  <si>
    <t>034:04:48.30 N</t>
  </si>
  <si>
    <t>034:04:47.22 N</t>
  </si>
  <si>
    <t>117:01:14.91 W</t>
  </si>
  <si>
    <t>034:04:46.21 N</t>
  </si>
  <si>
    <t>117:01:13.29 W</t>
  </si>
  <si>
    <t>034:04:45.21 N</t>
  </si>
  <si>
    <t>117:01:11.75 W</t>
  </si>
  <si>
    <t>034:04:43.82 N</t>
  </si>
  <si>
    <t>117:01:09.97 W</t>
  </si>
  <si>
    <t>034:04:42.58 N</t>
  </si>
  <si>
    <t>117:01:08.50 W</t>
  </si>
  <si>
    <t>034:04:40.27 N</t>
  </si>
  <si>
    <t>117:01:06.03 W</t>
  </si>
  <si>
    <t>034:04:38.64 N</t>
  </si>
  <si>
    <t>117:01:04.64 W</t>
  </si>
  <si>
    <t>034:04:37.33 N</t>
  </si>
  <si>
    <t>117:01:03.64 W</t>
  </si>
  <si>
    <t>034:04:35.79 N</t>
  </si>
  <si>
    <t>117:01:02.40 W</t>
  </si>
  <si>
    <t>034:04:34.47 N</t>
  </si>
  <si>
    <t>117:01:01.63 W</t>
  </si>
  <si>
    <t>034:04:33.08 N</t>
  </si>
  <si>
    <t>117:01:00.93 W</t>
  </si>
  <si>
    <t>034:04:31.38 N</t>
  </si>
  <si>
    <t>117:01:00.24 W</t>
  </si>
  <si>
    <t>034:04:29.92 N</t>
  </si>
  <si>
    <t>117:00:59.70 W</t>
  </si>
  <si>
    <t>034:04:28.45 N</t>
  </si>
  <si>
    <t>117:00:59.47 W</t>
  </si>
  <si>
    <t>034:04:26.59 N</t>
  </si>
  <si>
    <t>117:00:59.31 W</t>
  </si>
  <si>
    <t>034:04:24.59 N</t>
  </si>
  <si>
    <t>034:04:23.19 N</t>
  </si>
  <si>
    <t>034:04:21.42 N</t>
  </si>
  <si>
    <t>034:04:19.80 N</t>
  </si>
  <si>
    <t>034:04:17.01 N</t>
  </si>
  <si>
    <t>117:01:01.32 W</t>
  </si>
  <si>
    <t>034:04:15.55 N</t>
  </si>
  <si>
    <t>117:01:02.17 W</t>
  </si>
  <si>
    <t>034:04:13.92 N</t>
  </si>
  <si>
    <t>117:01:02.86 W</t>
  </si>
  <si>
    <t>034:04:11.84 N</t>
  </si>
  <si>
    <t>034:04:10.45 N</t>
  </si>
  <si>
    <t>034:04:09.29 N</t>
  </si>
  <si>
    <t>117:01:05.26 W</t>
  </si>
  <si>
    <t>034:04:07.98 N</t>
  </si>
  <si>
    <t>034:04:06.66 N</t>
  </si>
  <si>
    <t>117:01:06.49 W</t>
  </si>
  <si>
    <t>034:04:04.96 N</t>
  </si>
  <si>
    <t>117:01:07.27 W</t>
  </si>
  <si>
    <t>034:04:03.65 N</t>
  </si>
  <si>
    <t>117:01:07.73 W</t>
  </si>
  <si>
    <t>034:04:02.03 N</t>
  </si>
  <si>
    <t>117:01:08.27 W</t>
  </si>
  <si>
    <t>034:04:00.41 N</t>
  </si>
  <si>
    <t>117:01:08.73 W</t>
  </si>
  <si>
    <t>034:03:59.09 N</t>
  </si>
  <si>
    <t>117:01:09.12 W</t>
  </si>
  <si>
    <t>034:03:57.63 N</t>
  </si>
  <si>
    <t>117:01:09.35 W</t>
  </si>
  <si>
    <t>034:03:56.24 N</t>
  </si>
  <si>
    <t>034:03:54.77 N</t>
  </si>
  <si>
    <t>117:01:09.89 W</t>
  </si>
  <si>
    <t>034:03:53.15 N</t>
  </si>
  <si>
    <t>117:01:10.13 W</t>
  </si>
  <si>
    <t>034:03:51.52 N</t>
  </si>
  <si>
    <t>117:01:10.43 W</t>
  </si>
  <si>
    <t>034:03:49.98 N</t>
  </si>
  <si>
    <t>117:01:10.51 W</t>
  </si>
  <si>
    <t>034:03:48.51 N</t>
  </si>
  <si>
    <t>117:01:10.59 W</t>
  </si>
  <si>
    <t>034:03:47.20 N</t>
  </si>
  <si>
    <t>117:01:10.74 W</t>
  </si>
  <si>
    <t>034:03:45.73 N</t>
  </si>
  <si>
    <t>034:03:43.41 N</t>
  </si>
  <si>
    <t>034:03:41.64 N</t>
  </si>
  <si>
    <t>034:03:39.32 N</t>
  </si>
  <si>
    <t>117:01:09.66 W</t>
  </si>
  <si>
    <t>034:03:38.00 N</t>
  </si>
  <si>
    <t>117:01:09.28 W</t>
  </si>
  <si>
    <t>034:03:36.46 N</t>
  </si>
  <si>
    <t>117:01:08.58 W</t>
  </si>
  <si>
    <t>034:03:35.15 N</t>
  </si>
  <si>
    <t>117:01:07.65 W</t>
  </si>
  <si>
    <t>034:03:33.76 N</t>
  </si>
  <si>
    <t>117:01:06.88 W</t>
  </si>
  <si>
    <t>034:03:32.44 N</t>
  </si>
  <si>
    <t>117:01:05.65 W</t>
  </si>
  <si>
    <t>034:03:31.21 N</t>
  </si>
  <si>
    <t>117:01:04.49 W</t>
  </si>
  <si>
    <t>034:03:30.13 N</t>
  </si>
  <si>
    <t>117:01:03.17 W</t>
  </si>
  <si>
    <t>034:03:29.28 N</t>
  </si>
  <si>
    <t>117:01:01.78 W</t>
  </si>
  <si>
    <t>034:03:28.43 N</t>
  </si>
  <si>
    <t>034:03:27.73 N</t>
  </si>
  <si>
    <t>117:00:58.46 W</t>
  </si>
  <si>
    <t>034:03:27.11 N</t>
  </si>
  <si>
    <t>117:00:55.99 W</t>
  </si>
  <si>
    <t>034:03:26.73 N</t>
  </si>
  <si>
    <t>117:00:53.75 W</t>
  </si>
  <si>
    <t>034:03:26.57 N</t>
  </si>
  <si>
    <t>117:00:51.74 W</t>
  </si>
  <si>
    <t>117:00:50.04 W</t>
  </si>
  <si>
    <t>034:03:27.27 N</t>
  </si>
  <si>
    <t>117:00:47.88 W</t>
  </si>
  <si>
    <t>034:03:28.12 N</t>
  </si>
  <si>
    <t>117:00:45.25 W</t>
  </si>
  <si>
    <t>034:03:30.59 N</t>
  </si>
  <si>
    <t>117:00:42.08 W</t>
  </si>
  <si>
    <t>034:03:38.93 N</t>
  </si>
  <si>
    <t>117:00:40.00 W</t>
  </si>
  <si>
    <t>034:03:40.48 N</t>
  </si>
  <si>
    <t>117:00:40.23 W</t>
  </si>
  <si>
    <t>034:03:41.87 N</t>
  </si>
  <si>
    <t>117:00:40.93 W</t>
  </si>
  <si>
    <t>034:03:43.26 N</t>
  </si>
  <si>
    <t>117:00:41.62 W</t>
  </si>
  <si>
    <t>034:03:44.49 N</t>
  </si>
  <si>
    <t>117:00:42.39 W</t>
  </si>
  <si>
    <t>034:03:46.66 N</t>
  </si>
  <si>
    <t>117:00:43.63 W</t>
  </si>
  <si>
    <t>034:03:47.89 N</t>
  </si>
  <si>
    <t>117:00:44.48 W</t>
  </si>
  <si>
    <t>034:03:48.97 N</t>
  </si>
  <si>
    <t>117:00:45.72 W</t>
  </si>
  <si>
    <t>034:03:50.36 N</t>
  </si>
  <si>
    <t>117:00:46.95 W</t>
  </si>
  <si>
    <t>034:03:51.68 N</t>
  </si>
  <si>
    <t>117:00:48.11 W</t>
  </si>
  <si>
    <t>034:03:52.53 N</t>
  </si>
  <si>
    <t>117:00:49.42 W</t>
  </si>
  <si>
    <t>034:03:54.23 N</t>
  </si>
  <si>
    <t>117:00:51.43 W</t>
  </si>
  <si>
    <t>034:03:55.08 N</t>
  </si>
  <si>
    <t>117:00:52.74 W</t>
  </si>
  <si>
    <t>034:03:56.08 N</t>
  </si>
  <si>
    <t>117:00:54.37 W</t>
  </si>
  <si>
    <t>117:00:56.61 W</t>
  </si>
  <si>
    <t>034:03:58.24 N</t>
  </si>
  <si>
    <t>117:00:58.00 W</t>
  </si>
  <si>
    <t>034:03:59.87 N</t>
  </si>
  <si>
    <t>117:01:01.24 W</t>
  </si>
  <si>
    <t>034:04:00.79 N</t>
  </si>
  <si>
    <t>117:01:03.02 W</t>
  </si>
  <si>
    <t>034:04:01.33 N</t>
  </si>
  <si>
    <t>034:04:02.11 N</t>
  </si>
  <si>
    <t>117:01:06.26 W</t>
  </si>
  <si>
    <t>034:04:02.80 N</t>
  </si>
  <si>
    <t>117:01:08.12 W</t>
  </si>
  <si>
    <t>034:04:03.42 N</t>
  </si>
  <si>
    <t>117:01:09.82 W</t>
  </si>
  <si>
    <t>034:04:04.04 N</t>
  </si>
  <si>
    <t>117:01:11.52 W</t>
  </si>
  <si>
    <t>034:04:04.66 N</t>
  </si>
  <si>
    <t>117:01:13.14 W</t>
  </si>
  <si>
    <t>034:04:05.12 N</t>
  </si>
  <si>
    <t>034:04:05.81 N</t>
  </si>
  <si>
    <t>034:04:06.51 N</t>
  </si>
  <si>
    <t>117:01:18.78 W</t>
  </si>
  <si>
    <t>034:04:06.97 N</t>
  </si>
  <si>
    <t>117:01:20.71 W</t>
  </si>
  <si>
    <t>034:04:07.67 N</t>
  </si>
  <si>
    <t>117:01:22.64 W</t>
  </si>
  <si>
    <t>034:04:08.29 N</t>
  </si>
  <si>
    <t>117:01:24.65 W</t>
  </si>
  <si>
    <t>034:04:08.75 N</t>
  </si>
  <si>
    <t>117:01:26.27 W</t>
  </si>
  <si>
    <t>117:01:28.36 W</t>
  </si>
  <si>
    <t>034:04:09.91 N</t>
  </si>
  <si>
    <t>117:01:30.06 W</t>
  </si>
  <si>
    <t>117:01:31.68 W</t>
  </si>
  <si>
    <t>034:04:10.91 N</t>
  </si>
  <si>
    <t>117:01:33.92 W</t>
  </si>
  <si>
    <t>034:04:11.68 N</t>
  </si>
  <si>
    <t>117:01:36.16 W</t>
  </si>
  <si>
    <t>034:04:12.23 N</t>
  </si>
  <si>
    <t>034:04:12.69 N</t>
  </si>
  <si>
    <t>117:01:39.63 W</t>
  </si>
  <si>
    <t>034:04:13.23 N</t>
  </si>
  <si>
    <t>117:01:41.95 W</t>
  </si>
  <si>
    <t>034:04:14.31 N</t>
  </si>
  <si>
    <t>117:01:46.28 W</t>
  </si>
  <si>
    <t>034:04:14.85 N</t>
  </si>
  <si>
    <t>117:01:48.44 W</t>
  </si>
  <si>
    <t>034:04:15.32 N</t>
  </si>
  <si>
    <t>117:01:50.37 W</t>
  </si>
  <si>
    <t>034:04:15.70 N</t>
  </si>
  <si>
    <t>117:01:52.69 W</t>
  </si>
  <si>
    <t>034:04:16.17 N</t>
  </si>
  <si>
    <t>117:01:54.47 W</t>
  </si>
  <si>
    <t>034:04:16.71 N</t>
  </si>
  <si>
    <t>117:01:57.79 W</t>
  </si>
  <si>
    <t>034:04:17.17 N</t>
  </si>
  <si>
    <t>034:04:17.56 N</t>
  </si>
  <si>
    <t>117:02:01.88 W</t>
  </si>
  <si>
    <t>034:04:18.02 N</t>
  </si>
  <si>
    <t>117:02:05.20 W</t>
  </si>
  <si>
    <t>034:04:18.17 N</t>
  </si>
  <si>
    <t>117:02:06.83 W</t>
  </si>
  <si>
    <t>034:04:18.41 N</t>
  </si>
  <si>
    <t>117:02:07.67 W</t>
  </si>
  <si>
    <t>034:04:19.02 N</t>
  </si>
  <si>
    <t>117:02:11.38 W</t>
  </si>
  <si>
    <t>034:04:19.33 N</t>
  </si>
  <si>
    <t>034:04:19.72 N</t>
  </si>
  <si>
    <t>117:02:15.32 W</t>
  </si>
  <si>
    <t>034:04:20.34 N</t>
  </si>
  <si>
    <t>117:02:18.34 W</t>
  </si>
  <si>
    <t>034:04:20.65 N</t>
  </si>
  <si>
    <t>117:02:20.50 W</t>
  </si>
  <si>
    <t>034:04:20.95 N</t>
  </si>
  <si>
    <t>117:02:22.51 W</t>
  </si>
  <si>
    <t>117:02:24.59 W</t>
  </si>
  <si>
    <t>034:04:21.88 N</t>
  </si>
  <si>
    <t>034:04:22.11 N</t>
  </si>
  <si>
    <t>117:02:28.61 W</t>
  </si>
  <si>
    <t>034:04:22.58 N</t>
  </si>
  <si>
    <t>117:02:30.77 W</t>
  </si>
  <si>
    <t>034:04:22.96 N</t>
  </si>
  <si>
    <t>117:02:32.63 W</t>
  </si>
  <si>
    <t>034:04:23.43 N</t>
  </si>
  <si>
    <t>034:04:23.74 N</t>
  </si>
  <si>
    <t>117:02:36.49 W</t>
  </si>
  <si>
    <t>034:04:24.28 N</t>
  </si>
  <si>
    <t>117:02:39.27 W</t>
  </si>
  <si>
    <t>034:04:24.74 N</t>
  </si>
  <si>
    <t>117:02:41.74 W</t>
  </si>
  <si>
    <t>034:04:25.13 N</t>
  </si>
  <si>
    <t>117:02:43.36 W</t>
  </si>
  <si>
    <t>034:04:25.43 N</t>
  </si>
  <si>
    <t>117:02:45.76 W</t>
  </si>
  <si>
    <t>034:04:25.90 N</t>
  </si>
  <si>
    <t>117:02:47.84 W</t>
  </si>
  <si>
    <t>034:04:26.21 N</t>
  </si>
  <si>
    <t>117:02:49.93 W</t>
  </si>
  <si>
    <t>034:04:27.21 N</t>
  </si>
  <si>
    <t>117:02:56.26 W</t>
  </si>
  <si>
    <t>034:04:27.44 N</t>
  </si>
  <si>
    <t>117:02:58.35 W</t>
  </si>
  <si>
    <t>034:04:27.75 N</t>
  </si>
  <si>
    <t>117:03:00.51 W</t>
  </si>
  <si>
    <t>034:04:27.91 N</t>
  </si>
  <si>
    <t>117:03:02.68 W</t>
  </si>
  <si>
    <t>034:04:28.06 N</t>
  </si>
  <si>
    <t>117:03:04.53 W</t>
  </si>
  <si>
    <t>034:04:28.37 N</t>
  </si>
  <si>
    <t>117:03:12.18 W</t>
  </si>
  <si>
    <t>034:04:28.22 N</t>
  </si>
  <si>
    <t>117:03:14.80 W</t>
  </si>
  <si>
    <t>034:04:28.29 N</t>
  </si>
  <si>
    <t>117:03:17.27 W</t>
  </si>
  <si>
    <t>117:03:19.67 W</t>
  </si>
  <si>
    <t>117:03:21.60 W</t>
  </si>
  <si>
    <t>034:04:27.06 N</t>
  </si>
  <si>
    <t>117:03:29.94 W</t>
  </si>
  <si>
    <t>034:04:26.75 N</t>
  </si>
  <si>
    <t>117:03:32.34 W</t>
  </si>
  <si>
    <t>117:03:35.20 W</t>
  </si>
  <si>
    <t>117:03:37.44 W</t>
  </si>
  <si>
    <t>117:03:39.60 W</t>
  </si>
  <si>
    <t>034:04:24.89 N</t>
  </si>
  <si>
    <t>117:03:41.99 W</t>
  </si>
  <si>
    <t>117:03:44.70 W</t>
  </si>
  <si>
    <t>034:04:23.58 N</t>
  </si>
  <si>
    <t>117:03:47.09 W</t>
  </si>
  <si>
    <t>034:04:22.89 N</t>
  </si>
  <si>
    <t>117:03:49.87 W</t>
  </si>
  <si>
    <t>117:03:52.11 W</t>
  </si>
  <si>
    <t>117:03:54.59 W</t>
  </si>
  <si>
    <t>117:03:56.59 W</t>
  </si>
  <si>
    <t>034:04:19.87 N</t>
  </si>
  <si>
    <t>117:03:58.91 W</t>
  </si>
  <si>
    <t>117:04:01.15 W</t>
  </si>
  <si>
    <t>117:04:03.86 W</t>
  </si>
  <si>
    <t>117:04:07.33 W</t>
  </si>
  <si>
    <t>117:04:09.73 W</t>
  </si>
  <si>
    <t>117:04:11.50 W</t>
  </si>
  <si>
    <t>034:04:13.85 N</t>
  </si>
  <si>
    <t>117:04:13.74 W</t>
  </si>
  <si>
    <t>034:04:12.84 N</t>
  </si>
  <si>
    <t>117:04:16.21 W</t>
  </si>
  <si>
    <t>034:04:11.76 N</t>
  </si>
  <si>
    <t>117:04:18.61 W</t>
  </si>
  <si>
    <t>034:04:10.76 N</t>
  </si>
  <si>
    <t>117:04:20.62 W</t>
  </si>
  <si>
    <t>034:04:09.60 N</t>
  </si>
  <si>
    <t>117:04:23.01 W</t>
  </si>
  <si>
    <t>034:04:08.52 N</t>
  </si>
  <si>
    <t>117:04:25.25 W</t>
  </si>
  <si>
    <t>117:04:28.81 W</t>
  </si>
  <si>
    <t>034:04:05.50 N</t>
  </si>
  <si>
    <t>117:04:30.89 W</t>
  </si>
  <si>
    <t>034:04:04.11 N</t>
  </si>
  <si>
    <t>117:04:33.13 W</t>
  </si>
  <si>
    <t>034:04:02.88 N</t>
  </si>
  <si>
    <t>117:04:34.91 W</t>
  </si>
  <si>
    <t>034:04:01.10 N</t>
  </si>
  <si>
    <t>117:04:37.61 W</t>
  </si>
  <si>
    <t>034:03:59.71 N</t>
  </si>
  <si>
    <t>117:04:39.78 W</t>
  </si>
  <si>
    <t>034:03:57.78 N</t>
  </si>
  <si>
    <t>117:04:42.56 W</t>
  </si>
  <si>
    <t>117:04:44.87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</si>
</sst>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4753"/>
  <sheetViews>
    <sheetView tabSelected="1" workbookViewId="0">
      <pane ySplit="1" topLeftCell="A4734" activePane="bottomLeft" state="frozen"/>
      <selection activeCell="CK1" sqref="CK1"/>
      <selection pane="bottomLeft" activeCell="A4552" sqref="A4552"/>
    </sheetView>
  </sheetViews>
  <sheetFormatPr defaultRowHeight="15" x14ac:dyDescent="0.25"/>
  <cols>
    <col min="1" max="1" width="22.28515625" bestFit="1" customWidth="1"/>
    <col min="2" max="34" width="0" hidden="1" customWidth="1"/>
    <col min="35" max="35" width="13.7109375" hidden="1" customWidth="1"/>
    <col min="36" max="36" width="10" bestFit="1" customWidth="1"/>
    <col min="37" max="37" width="14.140625" hidden="1" customWidth="1"/>
    <col min="39" max="39" width="4.140625" hidden="1" customWidth="1"/>
    <col min="40" max="59" width="9.140625" hidden="1" customWidth="1"/>
    <col min="61" max="113" width="9.140625" hidden="1" customWidth="1"/>
  </cols>
  <sheetData>
    <row r="1" spans="1:1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25">
      <c r="A2" t="str">
        <f>"06/05/2020 14:48:42.860"</f>
        <v>06/05/2020 14:48:42.860</v>
      </c>
      <c r="C2" t="str">
        <f t="shared" ref="C2:C25" si="0">"FFD3D3C0"</f>
        <v>FFD3D3C0</v>
      </c>
      <c r="D2" t="s">
        <v>113</v>
      </c>
      <c r="E2">
        <v>3</v>
      </c>
      <c r="H2">
        <v>166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"14:48:48.203"</f>
        <v>14:48:48.203</v>
      </c>
      <c r="T2" t="str">
        <f>"14:48:46.903"</f>
        <v>14:48:46.903</v>
      </c>
      <c r="U2" t="str">
        <f t="shared" ref="U2:U65" si="1">"ACC530"</f>
        <v>ACC530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9</v>
      </c>
      <c r="AE2">
        <v>0</v>
      </c>
      <c r="AF2">
        <v>0</v>
      </c>
      <c r="AG2">
        <v>1</v>
      </c>
      <c r="AH2">
        <v>0</v>
      </c>
      <c r="AI2" t="s">
        <v>116</v>
      </c>
      <c r="AJ2">
        <v>34.251316000000003</v>
      </c>
      <c r="AK2" t="s">
        <v>117</v>
      </c>
      <c r="AL2">
        <v>-116.869125</v>
      </c>
      <c r="AM2">
        <v>100</v>
      </c>
      <c r="AN2">
        <v>8300</v>
      </c>
      <c r="AO2" t="s">
        <v>118</v>
      </c>
      <c r="AP2">
        <v>-80</v>
      </c>
      <c r="AQ2">
        <v>-12</v>
      </c>
      <c r="AR2">
        <v>640</v>
      </c>
      <c r="AZ2">
        <v>1200</v>
      </c>
      <c r="BA2">
        <v>0</v>
      </c>
      <c r="BE2">
        <v>0</v>
      </c>
      <c r="BF2">
        <v>0</v>
      </c>
      <c r="BG2">
        <v>0</v>
      </c>
      <c r="BH2">
        <v>8325</v>
      </c>
      <c r="BI2">
        <v>1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"14:48:48.204"</f>
        <v>14:48:48.204</v>
      </c>
      <c r="CJ2">
        <v>0</v>
      </c>
      <c r="CK2">
        <v>2</v>
      </c>
      <c r="CL2">
        <v>0</v>
      </c>
      <c r="CM2">
        <v>2</v>
      </c>
      <c r="CN2">
        <v>0</v>
      </c>
      <c r="CO2">
        <v>3</v>
      </c>
      <c r="CP2" t="s">
        <v>119</v>
      </c>
      <c r="CQ2">
        <v>293</v>
      </c>
      <c r="CR2">
        <v>2</v>
      </c>
      <c r="CW2">
        <v>15260238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1</v>
      </c>
    </row>
    <row r="3" spans="1:113" x14ac:dyDescent="0.25">
      <c r="A3" t="str">
        <f>"06/05/2020 14:48:43.921"</f>
        <v>06/05/2020 14:48:43.921</v>
      </c>
      <c r="C3" t="str">
        <f t="shared" si="0"/>
        <v>FFD3D3C0</v>
      </c>
      <c r="D3" t="s">
        <v>113</v>
      </c>
      <c r="E3">
        <v>3</v>
      </c>
      <c r="H3">
        <v>166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"14:48:49.219"</f>
        <v>14:48:49.219</v>
      </c>
      <c r="T3" t="str">
        <f>"14:48:48.519"</f>
        <v>14:48:48.519</v>
      </c>
      <c r="U3" t="str">
        <f t="shared" si="1"/>
        <v>ACC530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9</v>
      </c>
      <c r="AE3">
        <v>0</v>
      </c>
      <c r="AF3">
        <v>0</v>
      </c>
      <c r="AG3">
        <v>1</v>
      </c>
      <c r="AH3">
        <v>0</v>
      </c>
      <c r="AI3" t="s">
        <v>120</v>
      </c>
      <c r="AJ3">
        <v>34.251251000000003</v>
      </c>
      <c r="AK3" t="s">
        <v>121</v>
      </c>
      <c r="AL3">
        <v>-116.869597</v>
      </c>
      <c r="AM3">
        <v>100</v>
      </c>
      <c r="AN3">
        <v>8300</v>
      </c>
      <c r="AO3" t="s">
        <v>118</v>
      </c>
      <c r="AP3">
        <v>-79</v>
      </c>
      <c r="AQ3">
        <v>-15</v>
      </c>
      <c r="AR3">
        <v>192</v>
      </c>
      <c r="AZ3">
        <v>1200</v>
      </c>
      <c r="BA3">
        <v>0</v>
      </c>
      <c r="BE3">
        <v>0</v>
      </c>
      <c r="BF3">
        <v>0</v>
      </c>
      <c r="BG3">
        <v>0</v>
      </c>
      <c r="BH3">
        <v>8350</v>
      </c>
      <c r="BI3">
        <v>1</v>
      </c>
      <c r="BJ3">
        <v>0</v>
      </c>
      <c r="BK3">
        <v>0</v>
      </c>
      <c r="BL3">
        <v>0</v>
      </c>
      <c r="BO3">
        <v>0</v>
      </c>
      <c r="BP3">
        <v>0</v>
      </c>
      <c r="BW3" t="str">
        <f>"14:48:49.224"</f>
        <v>14:48:49.224</v>
      </c>
      <c r="CJ3">
        <v>0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293</v>
      </c>
      <c r="CR3">
        <v>2</v>
      </c>
      <c r="CW3">
        <v>15260344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25">
      <c r="A4" t="str">
        <f>"06/05/2020 14:48:45.032"</f>
        <v>06/05/2020 14:48:45.032</v>
      </c>
      <c r="C4" t="str">
        <f t="shared" si="0"/>
        <v>FFD3D3C0</v>
      </c>
      <c r="D4" t="s">
        <v>113</v>
      </c>
      <c r="E4">
        <v>3</v>
      </c>
      <c r="H4">
        <v>166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"14:48:50.375"</f>
        <v>14:48:50.375</v>
      </c>
      <c r="T4" t="str">
        <f>"14:48:48.575"</f>
        <v>14:48:48.575</v>
      </c>
      <c r="U4" t="str">
        <f t="shared" si="1"/>
        <v>ACC530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9</v>
      </c>
      <c r="AE4">
        <v>0</v>
      </c>
      <c r="AF4">
        <v>0</v>
      </c>
      <c r="AG4">
        <v>1</v>
      </c>
      <c r="AH4">
        <v>0</v>
      </c>
      <c r="AI4" t="s">
        <v>122</v>
      </c>
      <c r="AJ4">
        <v>34.251122000000002</v>
      </c>
      <c r="AK4" t="s">
        <v>123</v>
      </c>
      <c r="AL4">
        <v>-116.870091</v>
      </c>
      <c r="AM4">
        <v>100</v>
      </c>
      <c r="AN4">
        <v>8300</v>
      </c>
      <c r="AO4" t="s">
        <v>118</v>
      </c>
      <c r="AP4">
        <v>-79</v>
      </c>
      <c r="AQ4">
        <v>-15</v>
      </c>
      <c r="AR4">
        <v>192</v>
      </c>
      <c r="AZ4">
        <v>1200</v>
      </c>
      <c r="BA4">
        <v>0</v>
      </c>
      <c r="BE4">
        <v>0</v>
      </c>
      <c r="BF4">
        <v>0</v>
      </c>
      <c r="BG4">
        <v>0</v>
      </c>
      <c r="BH4">
        <v>8350</v>
      </c>
      <c r="BI4">
        <v>1</v>
      </c>
      <c r="BJ4">
        <v>0</v>
      </c>
      <c r="BK4">
        <v>0</v>
      </c>
      <c r="BL4">
        <v>0</v>
      </c>
      <c r="BO4">
        <v>0</v>
      </c>
      <c r="BP4">
        <v>0</v>
      </c>
      <c r="BW4" t="str">
        <f>"14:48:50.379"</f>
        <v>14:48:50.379</v>
      </c>
      <c r="CJ4">
        <v>0</v>
      </c>
      <c r="CK4">
        <v>2</v>
      </c>
      <c r="CL4">
        <v>0</v>
      </c>
      <c r="CM4">
        <v>2</v>
      </c>
      <c r="CN4">
        <v>0</v>
      </c>
      <c r="CO4">
        <v>2</v>
      </c>
      <c r="CP4" t="s">
        <v>119</v>
      </c>
      <c r="CQ4">
        <v>293</v>
      </c>
      <c r="CR4">
        <v>2</v>
      </c>
      <c r="CW4">
        <v>15260478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25">
      <c r="A5" t="str">
        <f>"06/05/2020 14:48:46.140"</f>
        <v>06/05/2020 14:48:46.140</v>
      </c>
      <c r="C5" t="str">
        <f t="shared" si="0"/>
        <v>FFD3D3C0</v>
      </c>
      <c r="D5" t="s">
        <v>113</v>
      </c>
      <c r="E5">
        <v>3</v>
      </c>
      <c r="H5">
        <v>166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"14:48:51.484"</f>
        <v>14:48:51.484</v>
      </c>
      <c r="T5" t="str">
        <f>"14:48:50.484"</f>
        <v>14:48:50.484</v>
      </c>
      <c r="U5" t="str">
        <f t="shared" si="1"/>
        <v>ACC530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9</v>
      </c>
      <c r="AE5">
        <v>0</v>
      </c>
      <c r="AF5">
        <v>0</v>
      </c>
      <c r="AG5">
        <v>1</v>
      </c>
      <c r="AH5">
        <v>0</v>
      </c>
      <c r="AI5" t="s">
        <v>124</v>
      </c>
      <c r="AJ5">
        <v>34.250993999999999</v>
      </c>
      <c r="AK5" t="s">
        <v>125</v>
      </c>
      <c r="AL5">
        <v>-116.870563</v>
      </c>
      <c r="AM5">
        <v>100</v>
      </c>
      <c r="AN5">
        <v>8300</v>
      </c>
      <c r="AO5" t="s">
        <v>118</v>
      </c>
      <c r="AP5">
        <v>-78</v>
      </c>
      <c r="AQ5">
        <v>-23</v>
      </c>
      <c r="AR5">
        <v>320</v>
      </c>
      <c r="AZ5">
        <v>1200</v>
      </c>
      <c r="BA5">
        <v>0</v>
      </c>
      <c r="BE5">
        <v>0</v>
      </c>
      <c r="BF5">
        <v>0</v>
      </c>
      <c r="BG5">
        <v>0</v>
      </c>
      <c r="BH5">
        <v>8350</v>
      </c>
      <c r="BI5">
        <v>1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>"14:48:51.489"</f>
        <v>14:48:51.489</v>
      </c>
      <c r="CJ5">
        <v>0</v>
      </c>
      <c r="CK5">
        <v>2</v>
      </c>
      <c r="CL5">
        <v>0</v>
      </c>
      <c r="CM5">
        <v>2</v>
      </c>
      <c r="CN5">
        <v>0</v>
      </c>
      <c r="CO5">
        <v>3</v>
      </c>
      <c r="CP5" t="s">
        <v>119</v>
      </c>
      <c r="CQ5">
        <v>293</v>
      </c>
      <c r="CR5">
        <v>2</v>
      </c>
      <c r="CW5">
        <v>15260605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1</v>
      </c>
    </row>
    <row r="6" spans="1:113" x14ac:dyDescent="0.25">
      <c r="A6" t="str">
        <f>"06/05/2020 14:48:47.099"</f>
        <v>06/05/2020 14:48:47.099</v>
      </c>
      <c r="C6" t="str">
        <f t="shared" si="0"/>
        <v>FFD3D3C0</v>
      </c>
      <c r="D6" t="s">
        <v>113</v>
      </c>
      <c r="E6">
        <v>3</v>
      </c>
      <c r="H6">
        <v>166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"14:48:52.398"</f>
        <v>14:48:52.398</v>
      </c>
      <c r="T6" t="str">
        <f>"14:48:52.098"</f>
        <v>14:48:52.098</v>
      </c>
      <c r="U6" t="str">
        <f t="shared" si="1"/>
        <v>ACC530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9</v>
      </c>
      <c r="AE6">
        <v>0</v>
      </c>
      <c r="AF6">
        <v>0</v>
      </c>
      <c r="AG6">
        <v>1</v>
      </c>
      <c r="AH6">
        <v>0</v>
      </c>
      <c r="AI6" t="s">
        <v>126</v>
      </c>
      <c r="AJ6">
        <v>34.250886000000001</v>
      </c>
      <c r="AK6" t="s">
        <v>127</v>
      </c>
      <c r="AL6">
        <v>-116.87092800000001</v>
      </c>
      <c r="AM6">
        <v>100</v>
      </c>
      <c r="AN6">
        <v>8300</v>
      </c>
      <c r="AO6" t="s">
        <v>118</v>
      </c>
      <c r="AP6">
        <v>-77</v>
      </c>
      <c r="AQ6">
        <v>-26</v>
      </c>
      <c r="AR6">
        <v>512</v>
      </c>
      <c r="AZ6">
        <v>1200</v>
      </c>
      <c r="BA6">
        <v>0</v>
      </c>
      <c r="BE6">
        <v>0</v>
      </c>
      <c r="BF6">
        <v>0</v>
      </c>
      <c r="BG6">
        <v>0</v>
      </c>
      <c r="BH6">
        <v>8375</v>
      </c>
      <c r="BI6">
        <v>1</v>
      </c>
      <c r="BJ6">
        <v>0</v>
      </c>
      <c r="BK6">
        <v>0</v>
      </c>
      <c r="BL6">
        <v>0</v>
      </c>
      <c r="BO6">
        <v>0</v>
      </c>
      <c r="BP6">
        <v>0</v>
      </c>
      <c r="BW6" t="str">
        <f>"14:48:52.404"</f>
        <v>14:48:52.404</v>
      </c>
      <c r="CJ6">
        <v>0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293</v>
      </c>
      <c r="CR6">
        <v>1</v>
      </c>
      <c r="CW6">
        <v>15260710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1</v>
      </c>
    </row>
    <row r="7" spans="1:113" x14ac:dyDescent="0.25">
      <c r="A7" t="str">
        <f>"06/05/2020 14:48:48.110"</f>
        <v>06/05/2020 14:48:48.110</v>
      </c>
      <c r="C7" t="str">
        <f t="shared" si="0"/>
        <v>FFD3D3C0</v>
      </c>
      <c r="D7" t="s">
        <v>113</v>
      </c>
      <c r="E7">
        <v>3</v>
      </c>
      <c r="H7">
        <v>166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"14:48:53.422"</f>
        <v>14:48:53.422</v>
      </c>
      <c r="T7" t="str">
        <f>"14:48:53.422"</f>
        <v>14:48:53.422</v>
      </c>
      <c r="U7" t="str">
        <f t="shared" si="1"/>
        <v>ACC530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9</v>
      </c>
      <c r="AE7">
        <v>0</v>
      </c>
      <c r="AF7">
        <v>0</v>
      </c>
      <c r="AG7">
        <v>1</v>
      </c>
      <c r="AH7">
        <v>0</v>
      </c>
      <c r="AI7" t="s">
        <v>128</v>
      </c>
      <c r="AJ7">
        <v>34.250757999999998</v>
      </c>
      <c r="AK7" t="s">
        <v>129</v>
      </c>
      <c r="AL7">
        <v>-116.871421</v>
      </c>
      <c r="AM7">
        <v>100</v>
      </c>
      <c r="AN7">
        <v>8300</v>
      </c>
      <c r="AO7" t="s">
        <v>118</v>
      </c>
      <c r="AP7">
        <v>-76</v>
      </c>
      <c r="AQ7">
        <v>-29</v>
      </c>
      <c r="AR7">
        <v>384</v>
      </c>
      <c r="AZ7">
        <v>1200</v>
      </c>
      <c r="BA7">
        <v>0</v>
      </c>
      <c r="BE7">
        <v>0</v>
      </c>
      <c r="BF7">
        <v>0</v>
      </c>
      <c r="BG7">
        <v>0</v>
      </c>
      <c r="BH7">
        <v>8375</v>
      </c>
      <c r="BI7">
        <v>1</v>
      </c>
      <c r="BJ7">
        <v>0</v>
      </c>
      <c r="BK7">
        <v>0</v>
      </c>
      <c r="BL7">
        <v>0</v>
      </c>
      <c r="BO7">
        <v>0</v>
      </c>
      <c r="BP7">
        <v>0</v>
      </c>
      <c r="BW7" t="str">
        <f>"14:48:53.424"</f>
        <v>14:48:53.424</v>
      </c>
      <c r="CJ7">
        <v>0</v>
      </c>
      <c r="CK7">
        <v>2</v>
      </c>
      <c r="CL7">
        <v>0</v>
      </c>
      <c r="CM7">
        <v>2</v>
      </c>
      <c r="CN7">
        <v>0</v>
      </c>
      <c r="CO7">
        <v>1</v>
      </c>
      <c r="CP7" t="s">
        <v>119</v>
      </c>
      <c r="CQ7">
        <v>293</v>
      </c>
      <c r="CR7">
        <v>2</v>
      </c>
      <c r="CW7">
        <v>15260834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1</v>
      </c>
    </row>
    <row r="8" spans="1:113" x14ac:dyDescent="0.25">
      <c r="A8" t="str">
        <f>"06/05/2020 14:48:52.604"</f>
        <v>06/05/2020 14:48:52.604</v>
      </c>
      <c r="C8" t="str">
        <f t="shared" si="0"/>
        <v>FFD3D3C0</v>
      </c>
      <c r="D8" t="s">
        <v>113</v>
      </c>
      <c r="E8">
        <v>3</v>
      </c>
      <c r="H8">
        <v>166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"14:48:57.953"</f>
        <v>14:48:57.953</v>
      </c>
      <c r="T8" t="str">
        <f>"14:48:57.953"</f>
        <v>14:48:57.953</v>
      </c>
      <c r="U8" t="str">
        <f t="shared" si="1"/>
        <v>ACC530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9</v>
      </c>
      <c r="AE8">
        <v>0</v>
      </c>
      <c r="AF8">
        <v>0</v>
      </c>
      <c r="AG8">
        <v>1</v>
      </c>
      <c r="AH8">
        <v>0</v>
      </c>
      <c r="AI8" t="s">
        <v>130</v>
      </c>
      <c r="AJ8">
        <v>34.249963999999999</v>
      </c>
      <c r="AK8" t="s">
        <v>131</v>
      </c>
      <c r="AL8">
        <v>-116.87322399999999</v>
      </c>
      <c r="AM8">
        <v>100</v>
      </c>
      <c r="AN8">
        <v>8300</v>
      </c>
      <c r="AO8" t="s">
        <v>118</v>
      </c>
      <c r="AP8">
        <v>-73</v>
      </c>
      <c r="AQ8">
        <v>-44</v>
      </c>
      <c r="AR8">
        <v>-64</v>
      </c>
      <c r="AZ8">
        <v>1200</v>
      </c>
      <c r="BA8">
        <v>0</v>
      </c>
      <c r="BE8">
        <v>0</v>
      </c>
      <c r="BF8">
        <v>0</v>
      </c>
      <c r="BG8">
        <v>0</v>
      </c>
      <c r="BH8">
        <v>8375</v>
      </c>
      <c r="BI8">
        <v>1</v>
      </c>
      <c r="BJ8">
        <v>0</v>
      </c>
      <c r="BK8">
        <v>0</v>
      </c>
      <c r="BL8">
        <v>0</v>
      </c>
      <c r="BO8">
        <v>0</v>
      </c>
      <c r="BP8">
        <v>0</v>
      </c>
      <c r="BW8" t="str">
        <f>"14:48:57.953"</f>
        <v>14:48:57.953</v>
      </c>
      <c r="CJ8">
        <v>0</v>
      </c>
      <c r="CK8">
        <v>2</v>
      </c>
      <c r="CL8">
        <v>0</v>
      </c>
      <c r="CM8">
        <v>2</v>
      </c>
      <c r="CN8">
        <v>0</v>
      </c>
      <c r="CO8">
        <v>2</v>
      </c>
      <c r="CP8" t="s">
        <v>119</v>
      </c>
      <c r="CQ8">
        <v>293</v>
      </c>
      <c r="CR8">
        <v>2</v>
      </c>
      <c r="CW8">
        <v>15261338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1</v>
      </c>
    </row>
    <row r="9" spans="1:113" x14ac:dyDescent="0.25">
      <c r="A9" t="str">
        <f>"06/05/2020 14:48:56.037"</f>
        <v>06/05/2020 14:48:56.037</v>
      </c>
      <c r="C9" t="str">
        <f t="shared" si="0"/>
        <v>FFD3D3C0</v>
      </c>
      <c r="D9" t="s">
        <v>113</v>
      </c>
      <c r="E9">
        <v>3</v>
      </c>
      <c r="H9">
        <v>166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"14:49:01.352"</f>
        <v>14:49:01.352</v>
      </c>
      <c r="T9" t="str">
        <f>"14:48:58.952"</f>
        <v>14:48:58.952</v>
      </c>
      <c r="U9" t="str">
        <f t="shared" si="1"/>
        <v>ACC530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9</v>
      </c>
      <c r="AE9">
        <v>0</v>
      </c>
      <c r="AF9">
        <v>0</v>
      </c>
      <c r="AG9">
        <v>1</v>
      </c>
      <c r="AH9">
        <v>0</v>
      </c>
      <c r="AI9" t="s">
        <v>132</v>
      </c>
      <c r="AJ9">
        <v>34.249234000000001</v>
      </c>
      <c r="AK9" t="s">
        <v>133</v>
      </c>
      <c r="AL9">
        <v>-116.874619</v>
      </c>
      <c r="AM9">
        <v>100</v>
      </c>
      <c r="AN9">
        <v>8300</v>
      </c>
      <c r="AO9" t="s">
        <v>118</v>
      </c>
      <c r="AP9">
        <v>-73</v>
      </c>
      <c r="AQ9">
        <v>-46</v>
      </c>
      <c r="AR9">
        <v>-64</v>
      </c>
      <c r="AZ9">
        <v>1200</v>
      </c>
      <c r="BA9">
        <v>0</v>
      </c>
      <c r="BE9">
        <v>0</v>
      </c>
      <c r="BF9">
        <v>0</v>
      </c>
      <c r="BG9">
        <v>0</v>
      </c>
      <c r="BH9">
        <v>8375</v>
      </c>
      <c r="BI9">
        <v>1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>"14:49:01.358"</f>
        <v>14:49:01.358</v>
      </c>
      <c r="CJ9">
        <v>0</v>
      </c>
      <c r="CK9">
        <v>2</v>
      </c>
      <c r="CL9">
        <v>0</v>
      </c>
      <c r="CM9">
        <v>2</v>
      </c>
      <c r="CN9">
        <v>0</v>
      </c>
      <c r="CO9">
        <v>2</v>
      </c>
      <c r="CP9" t="s">
        <v>119</v>
      </c>
      <c r="CQ9">
        <v>293</v>
      </c>
      <c r="CR9">
        <v>2</v>
      </c>
      <c r="CW9">
        <v>15261727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1</v>
      </c>
      <c r="DG9">
        <v>0</v>
      </c>
      <c r="DH9">
        <v>0</v>
      </c>
      <c r="DI9">
        <v>1</v>
      </c>
    </row>
    <row r="10" spans="1:113" x14ac:dyDescent="0.25">
      <c r="A10" t="str">
        <f>"06/05/2020 14:48:58.860"</f>
        <v>06/05/2020 14:48:58.860</v>
      </c>
      <c r="C10" t="str">
        <f t="shared" si="0"/>
        <v>FFD3D3C0</v>
      </c>
      <c r="D10" t="s">
        <v>134</v>
      </c>
      <c r="E10">
        <v>7</v>
      </c>
      <c r="F10">
        <v>2007</v>
      </c>
      <c r="G10" t="s">
        <v>135</v>
      </c>
      <c r="J10" t="s">
        <v>136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"14:49:04.477"</f>
        <v>14:49:04.477</v>
      </c>
      <c r="T10" t="str">
        <f>"14:49:04.077"</f>
        <v>14:49:04.077</v>
      </c>
      <c r="U10" t="str">
        <f t="shared" si="1"/>
        <v>ACC530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1</v>
      </c>
      <c r="AH10">
        <v>0</v>
      </c>
      <c r="AI10" t="s">
        <v>137</v>
      </c>
      <c r="AJ10">
        <v>34.248462000000004</v>
      </c>
      <c r="AK10" t="s">
        <v>138</v>
      </c>
      <c r="AL10">
        <v>-116.875863</v>
      </c>
      <c r="AM10">
        <v>100</v>
      </c>
      <c r="AN10">
        <v>8300</v>
      </c>
      <c r="AO10" t="s">
        <v>118</v>
      </c>
      <c r="AP10">
        <v>-71</v>
      </c>
      <c r="AQ10">
        <v>-53</v>
      </c>
      <c r="AR10">
        <v>320</v>
      </c>
      <c r="AZ10">
        <v>1200</v>
      </c>
      <c r="BA10">
        <v>1</v>
      </c>
      <c r="BE10">
        <v>0</v>
      </c>
      <c r="BF10">
        <v>0</v>
      </c>
      <c r="BG10">
        <v>0</v>
      </c>
      <c r="BH10">
        <v>8400</v>
      </c>
      <c r="BI10">
        <v>1</v>
      </c>
      <c r="BJ10">
        <v>0</v>
      </c>
      <c r="BK10">
        <v>0</v>
      </c>
      <c r="BL10">
        <v>0</v>
      </c>
      <c r="BO10">
        <v>0</v>
      </c>
      <c r="BP10">
        <v>0</v>
      </c>
      <c r="BW10" t="str">
        <f>"14:49:04.478"</f>
        <v>14:49:04.478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2</v>
      </c>
      <c r="CP10" t="s">
        <v>119</v>
      </c>
      <c r="CQ10">
        <v>293</v>
      </c>
      <c r="CR10">
        <v>1</v>
      </c>
      <c r="CW10">
        <v>15262090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1</v>
      </c>
    </row>
    <row r="11" spans="1:113" x14ac:dyDescent="0.25">
      <c r="A11" t="str">
        <f>"06/05/2020 14:48:58.860"</f>
        <v>06/05/2020 14:48:58.860</v>
      </c>
      <c r="C11" t="str">
        <f t="shared" si="0"/>
        <v>FFD3D3C0</v>
      </c>
      <c r="D11" t="s">
        <v>113</v>
      </c>
      <c r="E11">
        <v>3</v>
      </c>
      <c r="H11">
        <v>166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"14:49:03.992"</f>
        <v>14:49:03.992</v>
      </c>
      <c r="T11" t="str">
        <f>"14:49:03.592"</f>
        <v>14:49:03.592</v>
      </c>
      <c r="U11" t="str">
        <f t="shared" si="1"/>
        <v>ACC530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1</v>
      </c>
      <c r="AH11">
        <v>0</v>
      </c>
      <c r="AI11" t="s">
        <v>139</v>
      </c>
      <c r="AJ11">
        <v>34.24859</v>
      </c>
      <c r="AK11" t="s">
        <v>140</v>
      </c>
      <c r="AL11">
        <v>-116.875648</v>
      </c>
      <c r="AM11">
        <v>100</v>
      </c>
      <c r="AN11">
        <v>8300</v>
      </c>
      <c r="AO11" t="s">
        <v>118</v>
      </c>
      <c r="AP11">
        <v>-71</v>
      </c>
      <c r="AQ11">
        <v>-53</v>
      </c>
      <c r="AR11">
        <v>192</v>
      </c>
      <c r="AZ11">
        <v>1200</v>
      </c>
      <c r="BA11">
        <v>0</v>
      </c>
      <c r="BE11">
        <v>0</v>
      </c>
      <c r="BF11">
        <v>0</v>
      </c>
      <c r="BG11">
        <v>0</v>
      </c>
      <c r="BH11">
        <v>8400</v>
      </c>
      <c r="BI11">
        <v>1</v>
      </c>
      <c r="BJ11">
        <v>0</v>
      </c>
      <c r="BK11">
        <v>0</v>
      </c>
      <c r="BL11">
        <v>0</v>
      </c>
      <c r="BO11">
        <v>0</v>
      </c>
      <c r="BP11">
        <v>0</v>
      </c>
      <c r="BW11" t="str">
        <f>"14:49:03.998"</f>
        <v>14:49:03.998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1</v>
      </c>
      <c r="CP11" t="s">
        <v>119</v>
      </c>
      <c r="CQ11">
        <v>293</v>
      </c>
      <c r="CR11">
        <v>1</v>
      </c>
      <c r="CW11">
        <v>15262031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1</v>
      </c>
    </row>
    <row r="12" spans="1:113" x14ac:dyDescent="0.25">
      <c r="A12" t="str">
        <f>"06/05/2020 14:48:58.860"</f>
        <v>06/05/2020 14:48:58.860</v>
      </c>
      <c r="C12" t="str">
        <f t="shared" si="0"/>
        <v>FFD3D3C0</v>
      </c>
      <c r="D12" t="s">
        <v>141</v>
      </c>
      <c r="E12">
        <v>20</v>
      </c>
      <c r="F12">
        <v>1020</v>
      </c>
      <c r="G12" t="s">
        <v>114</v>
      </c>
      <c r="J12" t="s">
        <v>142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"14:49:04.477"</f>
        <v>14:49:04.477</v>
      </c>
      <c r="T12" t="str">
        <f>"14:49:04.077"</f>
        <v>14:49:04.077</v>
      </c>
      <c r="U12" t="str">
        <f t="shared" si="1"/>
        <v>ACC530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1</v>
      </c>
      <c r="AH12">
        <v>0</v>
      </c>
      <c r="AI12" t="s">
        <v>137</v>
      </c>
      <c r="AJ12">
        <v>34.248462000000004</v>
      </c>
      <c r="AK12" t="s">
        <v>138</v>
      </c>
      <c r="AL12">
        <v>-116.875863</v>
      </c>
      <c r="AM12">
        <v>100</v>
      </c>
      <c r="AN12">
        <v>8300</v>
      </c>
      <c r="AO12" t="s">
        <v>118</v>
      </c>
      <c r="AP12">
        <v>-71</v>
      </c>
      <c r="AQ12">
        <v>-53</v>
      </c>
      <c r="AR12">
        <v>320</v>
      </c>
      <c r="AZ12">
        <v>1200</v>
      </c>
      <c r="BA12">
        <v>1</v>
      </c>
      <c r="BE12">
        <v>0</v>
      </c>
      <c r="BF12">
        <v>0</v>
      </c>
      <c r="BG12">
        <v>0</v>
      </c>
      <c r="BH12">
        <v>8400</v>
      </c>
      <c r="BI12">
        <v>1</v>
      </c>
      <c r="BJ12">
        <v>0</v>
      </c>
      <c r="BK12">
        <v>0</v>
      </c>
      <c r="BL12">
        <v>0</v>
      </c>
      <c r="BO12">
        <v>0</v>
      </c>
      <c r="BP12">
        <v>0</v>
      </c>
      <c r="BW12" t="str">
        <f>"14:49:04.478"</f>
        <v>14:49:04.478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293</v>
      </c>
      <c r="CR12">
        <v>1</v>
      </c>
      <c r="CW12">
        <v>15262090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1</v>
      </c>
    </row>
    <row r="13" spans="1:113" x14ac:dyDescent="0.25">
      <c r="A13" t="str">
        <f>"06/05/2020 14:48:58.896"</f>
        <v>06/05/2020 14:48:58.896</v>
      </c>
      <c r="C13" t="str">
        <f t="shared" si="0"/>
        <v>FFD3D3C0</v>
      </c>
      <c r="D13" t="s">
        <v>143</v>
      </c>
      <c r="E13">
        <v>10</v>
      </c>
      <c r="F13">
        <v>3010</v>
      </c>
      <c r="G13" t="s">
        <v>144</v>
      </c>
      <c r="J13" t="s">
        <v>145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"14:49:04.477"</f>
        <v>14:49:04.477</v>
      </c>
      <c r="T13" t="str">
        <f>"14:49:04.077"</f>
        <v>14:49:04.077</v>
      </c>
      <c r="U13" t="str">
        <f t="shared" si="1"/>
        <v>ACC530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1</v>
      </c>
      <c r="AH13">
        <v>0</v>
      </c>
      <c r="AI13" t="s">
        <v>137</v>
      </c>
      <c r="AJ13">
        <v>34.248462000000004</v>
      </c>
      <c r="AK13" t="s">
        <v>138</v>
      </c>
      <c r="AL13">
        <v>-116.875863</v>
      </c>
      <c r="AM13">
        <v>100</v>
      </c>
      <c r="AN13">
        <v>8300</v>
      </c>
      <c r="AO13" t="s">
        <v>118</v>
      </c>
      <c r="AP13">
        <v>-71</v>
      </c>
      <c r="AQ13">
        <v>-53</v>
      </c>
      <c r="AR13">
        <v>320</v>
      </c>
      <c r="AZ13">
        <v>1200</v>
      </c>
      <c r="BA13">
        <v>1</v>
      </c>
      <c r="BE13">
        <v>0</v>
      </c>
      <c r="BF13">
        <v>0</v>
      </c>
      <c r="BG13">
        <v>0</v>
      </c>
      <c r="BH13">
        <v>8400</v>
      </c>
      <c r="BI13">
        <v>1</v>
      </c>
      <c r="BJ13">
        <v>0</v>
      </c>
      <c r="BK13">
        <v>0</v>
      </c>
      <c r="BL13">
        <v>0</v>
      </c>
      <c r="BO13">
        <v>0</v>
      </c>
      <c r="BP13">
        <v>0</v>
      </c>
      <c r="BW13" t="str">
        <f>"14:49:04.478"</f>
        <v>14:49:04.478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293</v>
      </c>
      <c r="CR13">
        <v>1</v>
      </c>
      <c r="CW13">
        <v>15262090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1</v>
      </c>
    </row>
    <row r="14" spans="1:113" x14ac:dyDescent="0.25">
      <c r="A14" t="str">
        <f>"06/05/2020 14:48:59.370"</f>
        <v>06/05/2020 14:48:59.370</v>
      </c>
      <c r="C14" t="str">
        <f t="shared" si="0"/>
        <v>FFD3D3C0</v>
      </c>
      <c r="D14" t="s">
        <v>113</v>
      </c>
      <c r="E14">
        <v>3</v>
      </c>
      <c r="H14">
        <v>166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T16" si="2">"14:49:04.984"</f>
        <v>14:49:04.984</v>
      </c>
      <c r="T14" t="str">
        <f t="shared" si="2"/>
        <v>14:49:04.984</v>
      </c>
      <c r="U14" t="str">
        <f t="shared" si="1"/>
        <v>ACC530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1</v>
      </c>
      <c r="AH14">
        <v>0</v>
      </c>
      <c r="AI14" t="s">
        <v>146</v>
      </c>
      <c r="AJ14">
        <v>34.248333000000002</v>
      </c>
      <c r="AK14" t="s">
        <v>147</v>
      </c>
      <c r="AL14">
        <v>-116.87605600000001</v>
      </c>
      <c r="AM14">
        <v>100</v>
      </c>
      <c r="AN14">
        <v>8300</v>
      </c>
      <c r="AO14" t="s">
        <v>118</v>
      </c>
      <c r="AP14">
        <v>-71</v>
      </c>
      <c r="AQ14">
        <v>-53</v>
      </c>
      <c r="AR14">
        <v>448</v>
      </c>
      <c r="AZ14">
        <v>1200</v>
      </c>
      <c r="BA14">
        <v>1</v>
      </c>
      <c r="BE14">
        <v>0</v>
      </c>
      <c r="BF14">
        <v>0</v>
      </c>
      <c r="BG14">
        <v>0</v>
      </c>
      <c r="BH14">
        <v>8400</v>
      </c>
      <c r="BI14">
        <v>1</v>
      </c>
      <c r="BJ14">
        <v>0</v>
      </c>
      <c r="BK14">
        <v>0</v>
      </c>
      <c r="BL14">
        <v>0</v>
      </c>
      <c r="BO14">
        <v>0</v>
      </c>
      <c r="BP14">
        <v>0</v>
      </c>
      <c r="BW14" t="str">
        <f>"14:49:04.988"</f>
        <v>14:49:04.988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293</v>
      </c>
      <c r="CR14">
        <v>1</v>
      </c>
      <c r="CW14">
        <v>15262142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1</v>
      </c>
    </row>
    <row r="15" spans="1:113" x14ac:dyDescent="0.25">
      <c r="A15" t="str">
        <f>"06/05/2020 14:48:59.370"</f>
        <v>06/05/2020 14:48:59.370</v>
      </c>
      <c r="C15" t="str">
        <f t="shared" si="0"/>
        <v>FFD3D3C0</v>
      </c>
      <c r="D15" t="s">
        <v>148</v>
      </c>
      <c r="E15">
        <v>8</v>
      </c>
      <c r="H15">
        <v>50</v>
      </c>
      <c r="I15" t="s">
        <v>149</v>
      </c>
      <c r="J15" t="s">
        <v>150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2"/>
        <v>14:49:04.984</v>
      </c>
      <c r="T15" t="str">
        <f t="shared" si="2"/>
        <v>14:49:04.984</v>
      </c>
      <c r="U15" t="str">
        <f t="shared" si="1"/>
        <v>ACC530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1</v>
      </c>
      <c r="AH15">
        <v>0</v>
      </c>
      <c r="AI15" t="s">
        <v>146</v>
      </c>
      <c r="AJ15">
        <v>34.248333000000002</v>
      </c>
      <c r="AK15" t="s">
        <v>147</v>
      </c>
      <c r="AL15">
        <v>-116.87605600000001</v>
      </c>
      <c r="AM15">
        <v>100</v>
      </c>
      <c r="AN15">
        <v>8300</v>
      </c>
      <c r="AO15" t="s">
        <v>118</v>
      </c>
      <c r="AP15">
        <v>-71</v>
      </c>
      <c r="AQ15">
        <v>-53</v>
      </c>
      <c r="AR15">
        <v>448</v>
      </c>
      <c r="AZ15">
        <v>1200</v>
      </c>
      <c r="BA15">
        <v>1</v>
      </c>
      <c r="BE15">
        <v>0</v>
      </c>
      <c r="BF15">
        <v>0</v>
      </c>
      <c r="BG15">
        <v>0</v>
      </c>
      <c r="BH15">
        <v>8400</v>
      </c>
      <c r="BI15">
        <v>1</v>
      </c>
      <c r="BJ15">
        <v>0</v>
      </c>
      <c r="BK15">
        <v>0</v>
      </c>
      <c r="BL15">
        <v>0</v>
      </c>
      <c r="BO15">
        <v>0</v>
      </c>
      <c r="BP15">
        <v>0</v>
      </c>
      <c r="BW15" t="str">
        <f>"14:49:04.988"</f>
        <v>14:49:04.988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293</v>
      </c>
      <c r="CR15">
        <v>1</v>
      </c>
      <c r="CW15">
        <v>15262142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0</v>
      </c>
      <c r="DH15">
        <v>0</v>
      </c>
      <c r="DI15">
        <v>1</v>
      </c>
    </row>
    <row r="16" spans="1:113" x14ac:dyDescent="0.25">
      <c r="A16" t="str">
        <f>"06/05/2020 14:48:59.370"</f>
        <v>06/05/2020 14:48:59.370</v>
      </c>
      <c r="C16" t="str">
        <f t="shared" si="0"/>
        <v>FFD3D3C0</v>
      </c>
      <c r="D16" t="s">
        <v>151</v>
      </c>
      <c r="E16">
        <v>9</v>
      </c>
      <c r="H16">
        <v>226</v>
      </c>
      <c r="I16" t="s">
        <v>152</v>
      </c>
      <c r="J16" t="s">
        <v>150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2"/>
        <v>14:49:04.984</v>
      </c>
      <c r="T16" t="str">
        <f t="shared" si="2"/>
        <v>14:49:04.984</v>
      </c>
      <c r="U16" t="str">
        <f t="shared" si="1"/>
        <v>ACC530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1</v>
      </c>
      <c r="AH16">
        <v>0</v>
      </c>
      <c r="AI16" t="s">
        <v>146</v>
      </c>
      <c r="AJ16">
        <v>34.248333000000002</v>
      </c>
      <c r="AK16" t="s">
        <v>147</v>
      </c>
      <c r="AL16">
        <v>-116.87605600000001</v>
      </c>
      <c r="AM16">
        <v>100</v>
      </c>
      <c r="AN16">
        <v>8300</v>
      </c>
      <c r="AO16" t="s">
        <v>118</v>
      </c>
      <c r="AP16">
        <v>-71</v>
      </c>
      <c r="AQ16">
        <v>-53</v>
      </c>
      <c r="AR16">
        <v>448</v>
      </c>
      <c r="AZ16">
        <v>1200</v>
      </c>
      <c r="BA16">
        <v>1</v>
      </c>
      <c r="BE16">
        <v>0</v>
      </c>
      <c r="BF16">
        <v>0</v>
      </c>
      <c r="BG16">
        <v>0</v>
      </c>
      <c r="BH16">
        <v>8400</v>
      </c>
      <c r="BI16">
        <v>1</v>
      </c>
      <c r="BJ16">
        <v>0</v>
      </c>
      <c r="BK16">
        <v>0</v>
      </c>
      <c r="BL16">
        <v>0</v>
      </c>
      <c r="BO16">
        <v>0</v>
      </c>
      <c r="BP16">
        <v>0</v>
      </c>
      <c r="BW16" t="str">
        <f>"14:49:04.988"</f>
        <v>14:49:04.988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293</v>
      </c>
      <c r="CR16">
        <v>1</v>
      </c>
      <c r="CW16">
        <v>15262142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0</v>
      </c>
      <c r="DH16">
        <v>0</v>
      </c>
      <c r="DI16">
        <v>1</v>
      </c>
    </row>
    <row r="17" spans="1:113" x14ac:dyDescent="0.25">
      <c r="A17" t="str">
        <f>"06/05/2020 14:48:59.886"</f>
        <v>06/05/2020 14:48:59.886</v>
      </c>
      <c r="C17" t="str">
        <f t="shared" si="0"/>
        <v>FFD3D3C0</v>
      </c>
      <c r="D17" t="s">
        <v>141</v>
      </c>
      <c r="E17">
        <v>20</v>
      </c>
      <c r="F17">
        <v>1020</v>
      </c>
      <c r="G17" t="s">
        <v>114</v>
      </c>
      <c r="J17" t="s">
        <v>142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"14:49:05.539"</f>
        <v>14:49:05.539</v>
      </c>
      <c r="T17" t="str">
        <f>"14:49:05.439"</f>
        <v>14:49:05.439</v>
      </c>
      <c r="U17" t="str">
        <f t="shared" si="1"/>
        <v>ACC530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1</v>
      </c>
      <c r="AH17">
        <v>0</v>
      </c>
      <c r="AI17" t="s">
        <v>153</v>
      </c>
      <c r="AJ17">
        <v>34.248204000000001</v>
      </c>
      <c r="AK17" t="s">
        <v>154</v>
      </c>
      <c r="AL17">
        <v>-116.876271</v>
      </c>
      <c r="AM17">
        <v>100</v>
      </c>
      <c r="AN17">
        <v>8300</v>
      </c>
      <c r="AO17" t="s">
        <v>118</v>
      </c>
      <c r="AP17">
        <v>-71</v>
      </c>
      <c r="AQ17">
        <v>-53</v>
      </c>
      <c r="AR17">
        <v>576</v>
      </c>
      <c r="AZ17">
        <v>1200</v>
      </c>
      <c r="BA17">
        <v>1</v>
      </c>
      <c r="BE17">
        <v>0</v>
      </c>
      <c r="BF17">
        <v>0</v>
      </c>
      <c r="BG17">
        <v>0</v>
      </c>
      <c r="BH17">
        <v>8425</v>
      </c>
      <c r="BI17">
        <v>1</v>
      </c>
      <c r="BJ17">
        <v>0</v>
      </c>
      <c r="BK17">
        <v>0</v>
      </c>
      <c r="BL17">
        <v>0</v>
      </c>
      <c r="BO17">
        <v>0</v>
      </c>
      <c r="BP17">
        <v>0</v>
      </c>
      <c r="BW17" t="str">
        <f>"14:49:05.543"</f>
        <v>14:49:05.543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293</v>
      </c>
      <c r="CR17">
        <v>2</v>
      </c>
      <c r="CW17">
        <v>15262203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0</v>
      </c>
      <c r="DI17">
        <v>1</v>
      </c>
    </row>
    <row r="18" spans="1:113" x14ac:dyDescent="0.25">
      <c r="A18" t="str">
        <f>"06/05/2020 14:48:59.886"</f>
        <v>06/05/2020 14:48:59.886</v>
      </c>
      <c r="C18" t="str">
        <f t="shared" si="0"/>
        <v>FFD3D3C0</v>
      </c>
      <c r="D18" t="s">
        <v>143</v>
      </c>
      <c r="E18">
        <v>10</v>
      </c>
      <c r="F18">
        <v>3010</v>
      </c>
      <c r="G18" t="s">
        <v>144</v>
      </c>
      <c r="J18" t="s">
        <v>145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"14:49:05.539"</f>
        <v>14:49:05.539</v>
      </c>
      <c r="T18" t="str">
        <f>"14:49:05.439"</f>
        <v>14:49:05.439</v>
      </c>
      <c r="U18" t="str">
        <f t="shared" si="1"/>
        <v>ACC530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1</v>
      </c>
      <c r="AH18">
        <v>0</v>
      </c>
      <c r="AI18" t="s">
        <v>153</v>
      </c>
      <c r="AJ18">
        <v>34.248204000000001</v>
      </c>
      <c r="AK18" t="s">
        <v>154</v>
      </c>
      <c r="AL18">
        <v>-116.876271</v>
      </c>
      <c r="AM18">
        <v>100</v>
      </c>
      <c r="AN18">
        <v>8300</v>
      </c>
      <c r="AO18" t="s">
        <v>118</v>
      </c>
      <c r="AP18">
        <v>-71</v>
      </c>
      <c r="AQ18">
        <v>-53</v>
      </c>
      <c r="AR18">
        <v>576</v>
      </c>
      <c r="AZ18">
        <v>1200</v>
      </c>
      <c r="BA18">
        <v>1</v>
      </c>
      <c r="BE18">
        <v>0</v>
      </c>
      <c r="BF18">
        <v>0</v>
      </c>
      <c r="BG18">
        <v>0</v>
      </c>
      <c r="BH18">
        <v>8425</v>
      </c>
      <c r="BI18">
        <v>1</v>
      </c>
      <c r="BJ18">
        <v>0</v>
      </c>
      <c r="BK18">
        <v>0</v>
      </c>
      <c r="BL18">
        <v>0</v>
      </c>
      <c r="BO18">
        <v>0</v>
      </c>
      <c r="BP18">
        <v>0</v>
      </c>
      <c r="BW18" t="str">
        <f>"14:49:05.543"</f>
        <v>14:49:05.543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293</v>
      </c>
      <c r="CR18">
        <v>2</v>
      </c>
      <c r="CW18">
        <v>15262203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0</v>
      </c>
      <c r="DH18">
        <v>0</v>
      </c>
      <c r="DI18">
        <v>1</v>
      </c>
    </row>
    <row r="19" spans="1:113" x14ac:dyDescent="0.25">
      <c r="A19" t="str">
        <f>"06/05/2020 14:48:59.886"</f>
        <v>06/05/2020 14:48:59.886</v>
      </c>
      <c r="C19" t="str">
        <f t="shared" si="0"/>
        <v>FFD3D3C0</v>
      </c>
      <c r="D19" t="s">
        <v>134</v>
      </c>
      <c r="E19">
        <v>7</v>
      </c>
      <c r="F19">
        <v>2007</v>
      </c>
      <c r="G19" t="s">
        <v>135</v>
      </c>
      <c r="J19" t="s">
        <v>136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"14:49:05.539"</f>
        <v>14:49:05.539</v>
      </c>
      <c r="T19" t="str">
        <f>"14:49:05.439"</f>
        <v>14:49:05.439</v>
      </c>
      <c r="U19" t="str">
        <f t="shared" si="1"/>
        <v>ACC530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1</v>
      </c>
      <c r="AH19">
        <v>0</v>
      </c>
      <c r="AI19" t="s">
        <v>153</v>
      </c>
      <c r="AJ19">
        <v>34.248204000000001</v>
      </c>
      <c r="AK19" t="s">
        <v>154</v>
      </c>
      <c r="AL19">
        <v>-116.876271</v>
      </c>
      <c r="AM19">
        <v>100</v>
      </c>
      <c r="AN19">
        <v>8300</v>
      </c>
      <c r="AO19" t="s">
        <v>118</v>
      </c>
      <c r="AP19">
        <v>-71</v>
      </c>
      <c r="AQ19">
        <v>-53</v>
      </c>
      <c r="AR19">
        <v>576</v>
      </c>
      <c r="AZ19">
        <v>1200</v>
      </c>
      <c r="BA19">
        <v>1</v>
      </c>
      <c r="BE19">
        <v>0</v>
      </c>
      <c r="BF19">
        <v>0</v>
      </c>
      <c r="BG19">
        <v>0</v>
      </c>
      <c r="BH19">
        <v>8425</v>
      </c>
      <c r="BI19">
        <v>1</v>
      </c>
      <c r="BJ19">
        <v>0</v>
      </c>
      <c r="BK19">
        <v>0</v>
      </c>
      <c r="BL19">
        <v>0</v>
      </c>
      <c r="BO19">
        <v>0</v>
      </c>
      <c r="BP19">
        <v>0</v>
      </c>
      <c r="BW19" t="str">
        <f>"14:49:05.543"</f>
        <v>14:49:05.543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293</v>
      </c>
      <c r="CR19">
        <v>2</v>
      </c>
      <c r="CW19">
        <v>15262203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0</v>
      </c>
      <c r="DH19">
        <v>0</v>
      </c>
      <c r="DI19">
        <v>1</v>
      </c>
    </row>
    <row r="20" spans="1:113" x14ac:dyDescent="0.25">
      <c r="A20" t="str">
        <f>"06/05/2020 14:49:00.406"</f>
        <v>06/05/2020 14:49:00.406</v>
      </c>
      <c r="C20" t="str">
        <f t="shared" si="0"/>
        <v>FFD3D3C0</v>
      </c>
      <c r="D20" t="s">
        <v>151</v>
      </c>
      <c r="E20">
        <v>9</v>
      </c>
      <c r="H20">
        <v>226</v>
      </c>
      <c r="I20" t="s">
        <v>152</v>
      </c>
      <c r="J20" t="s">
        <v>150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"14:49:06.047"</f>
        <v>14:49:06.047</v>
      </c>
      <c r="T20" t="str">
        <f>"14:49:05.447"</f>
        <v>14:49:05.447</v>
      </c>
      <c r="U20" t="str">
        <f t="shared" si="1"/>
        <v>ACC530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1</v>
      </c>
      <c r="AH20">
        <v>0</v>
      </c>
      <c r="AI20" t="s">
        <v>155</v>
      </c>
      <c r="AJ20">
        <v>34.248054000000003</v>
      </c>
      <c r="AK20" t="s">
        <v>156</v>
      </c>
      <c r="AL20">
        <v>-116.876485</v>
      </c>
      <c r="AM20">
        <v>100</v>
      </c>
      <c r="AN20">
        <v>8300</v>
      </c>
      <c r="AO20" t="s">
        <v>118</v>
      </c>
      <c r="AP20">
        <v>-71</v>
      </c>
      <c r="AQ20">
        <v>-53</v>
      </c>
      <c r="AR20">
        <v>576</v>
      </c>
      <c r="AZ20">
        <v>1200</v>
      </c>
      <c r="BA20">
        <v>1</v>
      </c>
      <c r="BE20">
        <v>0</v>
      </c>
      <c r="BF20">
        <v>0</v>
      </c>
      <c r="BG20">
        <v>0</v>
      </c>
      <c r="BH20">
        <v>8425</v>
      </c>
      <c r="BI20">
        <v>1</v>
      </c>
      <c r="BJ20">
        <v>0</v>
      </c>
      <c r="BK20">
        <v>0</v>
      </c>
      <c r="BL20">
        <v>0</v>
      </c>
      <c r="BO20">
        <v>0</v>
      </c>
      <c r="BP20">
        <v>0</v>
      </c>
      <c r="BW20" t="str">
        <f>"14:49:06.052"</f>
        <v>14:49:06.052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2</v>
      </c>
      <c r="CP20" t="s">
        <v>119</v>
      </c>
      <c r="CQ20">
        <v>293</v>
      </c>
      <c r="CR20">
        <v>2</v>
      </c>
      <c r="CW20">
        <v>15262265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1</v>
      </c>
    </row>
    <row r="21" spans="1:113" x14ac:dyDescent="0.25">
      <c r="A21" t="str">
        <f>"06/05/2020 14:49:00.406"</f>
        <v>06/05/2020 14:49:00.406</v>
      </c>
      <c r="C21" t="str">
        <f t="shared" si="0"/>
        <v>FFD3D3C0</v>
      </c>
      <c r="D21" t="s">
        <v>113</v>
      </c>
      <c r="E21">
        <v>3</v>
      </c>
      <c r="H21">
        <v>166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"14:49:06.047"</f>
        <v>14:49:06.047</v>
      </c>
      <c r="T21" t="str">
        <f>"14:49:05.447"</f>
        <v>14:49:05.447</v>
      </c>
      <c r="U21" t="str">
        <f t="shared" si="1"/>
        <v>ACC530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1</v>
      </c>
      <c r="AH21">
        <v>0</v>
      </c>
      <c r="AI21" t="s">
        <v>155</v>
      </c>
      <c r="AJ21">
        <v>34.248054000000003</v>
      </c>
      <c r="AK21" t="s">
        <v>156</v>
      </c>
      <c r="AL21">
        <v>-116.876485</v>
      </c>
      <c r="AM21">
        <v>100</v>
      </c>
      <c r="AN21">
        <v>8300</v>
      </c>
      <c r="AO21" t="s">
        <v>118</v>
      </c>
      <c r="AP21">
        <v>-71</v>
      </c>
      <c r="AQ21">
        <v>-53</v>
      </c>
      <c r="AR21">
        <v>576</v>
      </c>
      <c r="AZ21">
        <v>1200</v>
      </c>
      <c r="BA21">
        <v>1</v>
      </c>
      <c r="BE21">
        <v>0</v>
      </c>
      <c r="BF21">
        <v>0</v>
      </c>
      <c r="BG21">
        <v>0</v>
      </c>
      <c r="BH21">
        <v>8425</v>
      </c>
      <c r="BI21">
        <v>1</v>
      </c>
      <c r="BJ21">
        <v>0</v>
      </c>
      <c r="BK21">
        <v>0</v>
      </c>
      <c r="BL21">
        <v>0</v>
      </c>
      <c r="BO21">
        <v>0</v>
      </c>
      <c r="BP21">
        <v>0</v>
      </c>
      <c r="BW21" t="str">
        <f>"14:49:06.052"</f>
        <v>14:49:06.052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293</v>
      </c>
      <c r="CR21">
        <v>2</v>
      </c>
      <c r="CW21">
        <v>15262265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0</v>
      </c>
      <c r="DH21">
        <v>0</v>
      </c>
      <c r="DI21">
        <v>1</v>
      </c>
    </row>
    <row r="22" spans="1:113" x14ac:dyDescent="0.25">
      <c r="A22" t="str">
        <f>"06/05/2020 14:49:00.406"</f>
        <v>06/05/2020 14:49:00.406</v>
      </c>
      <c r="C22" t="str">
        <f t="shared" si="0"/>
        <v>FFD3D3C0</v>
      </c>
      <c r="D22" t="s">
        <v>148</v>
      </c>
      <c r="E22">
        <v>8</v>
      </c>
      <c r="H22">
        <v>50</v>
      </c>
      <c r="I22" t="s">
        <v>149</v>
      </c>
      <c r="J22" t="s">
        <v>150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"14:49:06.047"</f>
        <v>14:49:06.047</v>
      </c>
      <c r="T22" t="str">
        <f>"14:49:05.447"</f>
        <v>14:49:05.447</v>
      </c>
      <c r="U22" t="str">
        <f t="shared" si="1"/>
        <v>ACC530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1</v>
      </c>
      <c r="AH22">
        <v>0</v>
      </c>
      <c r="AI22" t="s">
        <v>155</v>
      </c>
      <c r="AJ22">
        <v>34.248054000000003</v>
      </c>
      <c r="AK22" t="s">
        <v>156</v>
      </c>
      <c r="AL22">
        <v>-116.876485</v>
      </c>
      <c r="AM22">
        <v>100</v>
      </c>
      <c r="AN22">
        <v>8300</v>
      </c>
      <c r="AO22" t="s">
        <v>118</v>
      </c>
      <c r="AP22">
        <v>-71</v>
      </c>
      <c r="AQ22">
        <v>-53</v>
      </c>
      <c r="AR22">
        <v>576</v>
      </c>
      <c r="AZ22">
        <v>1200</v>
      </c>
      <c r="BA22">
        <v>1</v>
      </c>
      <c r="BE22">
        <v>0</v>
      </c>
      <c r="BF22">
        <v>0</v>
      </c>
      <c r="BG22">
        <v>0</v>
      </c>
      <c r="BH22">
        <v>8425</v>
      </c>
      <c r="BI22">
        <v>1</v>
      </c>
      <c r="BJ22">
        <v>0</v>
      </c>
      <c r="BK22">
        <v>0</v>
      </c>
      <c r="BL22">
        <v>0</v>
      </c>
      <c r="BO22">
        <v>0</v>
      </c>
      <c r="BP22">
        <v>0</v>
      </c>
      <c r="BW22" t="str">
        <f>"14:49:06.052"</f>
        <v>14:49:06.052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2</v>
      </c>
      <c r="CP22" t="s">
        <v>119</v>
      </c>
      <c r="CQ22">
        <v>293</v>
      </c>
      <c r="CR22">
        <v>2</v>
      </c>
      <c r="CW22">
        <v>15262265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1</v>
      </c>
    </row>
    <row r="23" spans="1:113" x14ac:dyDescent="0.25">
      <c r="A23" t="str">
        <f>"06/05/2020 14:49:00.855"</f>
        <v>06/05/2020 14:49:00.855</v>
      </c>
      <c r="C23" t="str">
        <f t="shared" si="0"/>
        <v>FFD3D3C0</v>
      </c>
      <c r="D23" t="s">
        <v>143</v>
      </c>
      <c r="E23">
        <v>10</v>
      </c>
      <c r="F23">
        <v>3010</v>
      </c>
      <c r="G23" t="s">
        <v>144</v>
      </c>
      <c r="J23" t="s">
        <v>145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ref="S23:T25" si="3">"14:49:06.469"</f>
        <v>14:49:06.469</v>
      </c>
      <c r="T23" t="str">
        <f t="shared" si="3"/>
        <v>14:49:06.469</v>
      </c>
      <c r="U23" t="str">
        <f t="shared" si="1"/>
        <v>ACC530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1</v>
      </c>
      <c r="AH23">
        <v>0</v>
      </c>
      <c r="AI23" t="s">
        <v>157</v>
      </c>
      <c r="AJ23">
        <v>34.247947000000003</v>
      </c>
      <c r="AK23" t="s">
        <v>158</v>
      </c>
      <c r="AL23">
        <v>-116.87665699999999</v>
      </c>
      <c r="AM23">
        <v>100</v>
      </c>
      <c r="AN23">
        <v>8400</v>
      </c>
      <c r="AO23" t="s">
        <v>118</v>
      </c>
      <c r="AP23">
        <v>-71</v>
      </c>
      <c r="AQ23">
        <v>-54</v>
      </c>
      <c r="AR23">
        <v>704</v>
      </c>
      <c r="AZ23">
        <v>1200</v>
      </c>
      <c r="BA23">
        <v>1</v>
      </c>
      <c r="BE23">
        <v>0</v>
      </c>
      <c r="BF23">
        <v>0</v>
      </c>
      <c r="BG23">
        <v>0</v>
      </c>
      <c r="BH23">
        <v>8425</v>
      </c>
      <c r="BI23">
        <v>1</v>
      </c>
      <c r="BJ23">
        <v>0</v>
      </c>
      <c r="BK23">
        <v>0</v>
      </c>
      <c r="BL23">
        <v>0</v>
      </c>
      <c r="BO23">
        <v>0</v>
      </c>
      <c r="BP23">
        <v>0</v>
      </c>
      <c r="BW23" t="str">
        <f>"14:49:06.472"</f>
        <v>14:49:06.472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2</v>
      </c>
      <c r="CP23" t="s">
        <v>119</v>
      </c>
      <c r="CQ23">
        <v>293</v>
      </c>
      <c r="CR23">
        <v>2</v>
      </c>
      <c r="CW23">
        <v>15262314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0</v>
      </c>
      <c r="DH23">
        <v>0</v>
      </c>
      <c r="DI23">
        <v>1</v>
      </c>
    </row>
    <row r="24" spans="1:113" x14ac:dyDescent="0.25">
      <c r="A24" t="str">
        <f>"06/05/2020 14:49:00.855"</f>
        <v>06/05/2020 14:49:00.855</v>
      </c>
      <c r="C24" t="str">
        <f t="shared" si="0"/>
        <v>FFD3D3C0</v>
      </c>
      <c r="D24" t="s">
        <v>134</v>
      </c>
      <c r="E24">
        <v>7</v>
      </c>
      <c r="F24">
        <v>2007</v>
      </c>
      <c r="G24" t="s">
        <v>135</v>
      </c>
      <c r="J24" t="s">
        <v>136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3"/>
        <v>14:49:06.469</v>
      </c>
      <c r="T24" t="str">
        <f t="shared" si="3"/>
        <v>14:49:06.469</v>
      </c>
      <c r="U24" t="str">
        <f t="shared" si="1"/>
        <v>ACC530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1</v>
      </c>
      <c r="AH24">
        <v>0</v>
      </c>
      <c r="AI24" t="s">
        <v>157</v>
      </c>
      <c r="AJ24">
        <v>34.247947000000003</v>
      </c>
      <c r="AK24" t="s">
        <v>158</v>
      </c>
      <c r="AL24">
        <v>-116.87665699999999</v>
      </c>
      <c r="AM24">
        <v>100</v>
      </c>
      <c r="AN24">
        <v>8400</v>
      </c>
      <c r="AO24" t="s">
        <v>118</v>
      </c>
      <c r="AP24">
        <v>-71</v>
      </c>
      <c r="AQ24">
        <v>-54</v>
      </c>
      <c r="AR24">
        <v>704</v>
      </c>
      <c r="AZ24">
        <v>1200</v>
      </c>
      <c r="BA24">
        <v>1</v>
      </c>
      <c r="BE24">
        <v>0</v>
      </c>
      <c r="BF24">
        <v>0</v>
      </c>
      <c r="BG24">
        <v>0</v>
      </c>
      <c r="BH24">
        <v>8425</v>
      </c>
      <c r="BI24">
        <v>1</v>
      </c>
      <c r="BJ24">
        <v>0</v>
      </c>
      <c r="BK24">
        <v>0</v>
      </c>
      <c r="BL24">
        <v>0</v>
      </c>
      <c r="BO24">
        <v>0</v>
      </c>
      <c r="BP24">
        <v>0</v>
      </c>
      <c r="BW24" t="str">
        <f>"14:49:06.472"</f>
        <v>14:49:06.472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2</v>
      </c>
      <c r="CP24" t="s">
        <v>119</v>
      </c>
      <c r="CQ24">
        <v>293</v>
      </c>
      <c r="CR24">
        <v>2</v>
      </c>
      <c r="CW24">
        <v>15262314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1</v>
      </c>
    </row>
    <row r="25" spans="1:113" x14ac:dyDescent="0.25">
      <c r="A25" t="str">
        <f>"06/05/2020 14:49:00.855"</f>
        <v>06/05/2020 14:49:00.855</v>
      </c>
      <c r="C25" t="str">
        <f t="shared" si="0"/>
        <v>FFD3D3C0</v>
      </c>
      <c r="D25" t="s">
        <v>141</v>
      </c>
      <c r="E25">
        <v>20</v>
      </c>
      <c r="F25">
        <v>1020</v>
      </c>
      <c r="G25" t="s">
        <v>114</v>
      </c>
      <c r="J25" t="s">
        <v>142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3"/>
        <v>14:49:06.469</v>
      </c>
      <c r="T25" t="str">
        <f t="shared" si="3"/>
        <v>14:49:06.469</v>
      </c>
      <c r="U25" t="str">
        <f t="shared" si="1"/>
        <v>ACC530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1</v>
      </c>
      <c r="AH25">
        <v>0</v>
      </c>
      <c r="AI25" t="s">
        <v>157</v>
      </c>
      <c r="AJ25">
        <v>34.247947000000003</v>
      </c>
      <c r="AK25" t="s">
        <v>158</v>
      </c>
      <c r="AL25">
        <v>-116.87665699999999</v>
      </c>
      <c r="AM25">
        <v>100</v>
      </c>
      <c r="AN25">
        <v>8400</v>
      </c>
      <c r="AO25" t="s">
        <v>118</v>
      </c>
      <c r="AP25">
        <v>-71</v>
      </c>
      <c r="AQ25">
        <v>-54</v>
      </c>
      <c r="AR25">
        <v>704</v>
      </c>
      <c r="AZ25">
        <v>1200</v>
      </c>
      <c r="BA25">
        <v>1</v>
      </c>
      <c r="BE25">
        <v>0</v>
      </c>
      <c r="BF25">
        <v>0</v>
      </c>
      <c r="BG25">
        <v>0</v>
      </c>
      <c r="BH25">
        <v>8425</v>
      </c>
      <c r="BI25">
        <v>1</v>
      </c>
      <c r="BJ25">
        <v>0</v>
      </c>
      <c r="BK25">
        <v>0</v>
      </c>
      <c r="BL25">
        <v>0</v>
      </c>
      <c r="BO25">
        <v>0</v>
      </c>
      <c r="BP25">
        <v>0</v>
      </c>
      <c r="BW25" t="str">
        <f>"14:49:06.472"</f>
        <v>14:49:06.472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2</v>
      </c>
      <c r="CP25" t="s">
        <v>119</v>
      </c>
      <c r="CQ25">
        <v>293</v>
      </c>
      <c r="CR25">
        <v>2</v>
      </c>
      <c r="CW25">
        <v>15262314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0</v>
      </c>
      <c r="DH25">
        <v>0</v>
      </c>
      <c r="DI25">
        <v>1</v>
      </c>
    </row>
    <row r="26" spans="1:113" x14ac:dyDescent="0.25">
      <c r="A26" t="str">
        <f>"06/05/2020 14:49:01.583"</f>
        <v>06/05/2020 14:49:01.583</v>
      </c>
      <c r="C26" t="str">
        <f>"FFDF53C0"</f>
        <v>FFDF53C0</v>
      </c>
      <c r="D26" t="s">
        <v>134</v>
      </c>
      <c r="E26">
        <v>7</v>
      </c>
      <c r="F26">
        <v>2007</v>
      </c>
      <c r="G26" t="s">
        <v>135</v>
      </c>
      <c r="J26" t="s">
        <v>136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"14:49:06.906"</f>
        <v>14:49:06.906</v>
      </c>
      <c r="U26" t="str">
        <f t="shared" si="1"/>
        <v>ACC530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1</v>
      </c>
      <c r="AH26">
        <v>0</v>
      </c>
      <c r="AI26" t="s">
        <v>159</v>
      </c>
      <c r="AJ26">
        <v>34.247861</v>
      </c>
      <c r="AK26" t="s">
        <v>160</v>
      </c>
      <c r="AL26">
        <v>-116.876829</v>
      </c>
      <c r="AM26">
        <v>100</v>
      </c>
      <c r="AN26">
        <v>8400</v>
      </c>
      <c r="AO26" t="s">
        <v>118</v>
      </c>
      <c r="AR26">
        <v>192</v>
      </c>
      <c r="AZ26">
        <v>1200</v>
      </c>
      <c r="BA26">
        <v>1</v>
      </c>
      <c r="BB26" t="str">
        <f>"N9217B  "</f>
        <v xml:space="preserve">N9217B  </v>
      </c>
      <c r="BC26">
        <v>1</v>
      </c>
      <c r="BE26">
        <v>0</v>
      </c>
      <c r="BF26">
        <v>0</v>
      </c>
      <c r="BG26">
        <v>0</v>
      </c>
      <c r="BI26">
        <v>1</v>
      </c>
      <c r="BJ26">
        <v>0</v>
      </c>
      <c r="BK26">
        <v>0</v>
      </c>
      <c r="BL26">
        <v>0</v>
      </c>
      <c r="BO26">
        <v>0</v>
      </c>
      <c r="BP26">
        <v>0</v>
      </c>
      <c r="BW26" t="str">
        <f>"14:49:06.908"</f>
        <v>14:49:06.908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 t="s">
        <v>119</v>
      </c>
      <c r="CQ26">
        <v>296</v>
      </c>
      <c r="CR26">
        <v>0</v>
      </c>
      <c r="CW26">
        <v>14716453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0</v>
      </c>
      <c r="DI26">
        <v>0</v>
      </c>
    </row>
    <row r="27" spans="1:113" x14ac:dyDescent="0.25">
      <c r="A27" t="str">
        <f>"06/05/2020 14:49:01.583"</f>
        <v>06/05/2020 14:49:01.583</v>
      </c>
      <c r="C27" t="str">
        <f>"FFDF53C0"</f>
        <v>FFDF53C0</v>
      </c>
      <c r="D27" t="s">
        <v>113</v>
      </c>
      <c r="E27">
        <v>3</v>
      </c>
      <c r="H27">
        <v>166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"14:49:06.906"</f>
        <v>14:49:06.906</v>
      </c>
      <c r="U27" t="str">
        <f t="shared" si="1"/>
        <v>ACC530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1</v>
      </c>
      <c r="AH27">
        <v>0</v>
      </c>
      <c r="AI27" t="s">
        <v>159</v>
      </c>
      <c r="AJ27">
        <v>34.247861</v>
      </c>
      <c r="AK27" t="s">
        <v>160</v>
      </c>
      <c r="AL27">
        <v>-116.876829</v>
      </c>
      <c r="AM27">
        <v>100</v>
      </c>
      <c r="AN27">
        <v>8400</v>
      </c>
      <c r="AO27" t="s">
        <v>118</v>
      </c>
      <c r="AR27">
        <v>192</v>
      </c>
      <c r="AZ27">
        <v>1200</v>
      </c>
      <c r="BA27">
        <v>1</v>
      </c>
      <c r="BB27" t="str">
        <f>"N9217B  "</f>
        <v xml:space="preserve">N9217B  </v>
      </c>
      <c r="BC27">
        <v>1</v>
      </c>
      <c r="BE27">
        <v>0</v>
      </c>
      <c r="BF27">
        <v>0</v>
      </c>
      <c r="BG27">
        <v>0</v>
      </c>
      <c r="BI27">
        <v>1</v>
      </c>
      <c r="BJ27">
        <v>0</v>
      </c>
      <c r="BK27">
        <v>0</v>
      </c>
      <c r="BL27">
        <v>0</v>
      </c>
      <c r="BO27">
        <v>0</v>
      </c>
      <c r="BP27">
        <v>0</v>
      </c>
      <c r="BW27" t="str">
        <f>"14:49:06.908"</f>
        <v>14:49:06.908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296</v>
      </c>
      <c r="CR27">
        <v>0</v>
      </c>
      <c r="CW27">
        <v>14716453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1</v>
      </c>
      <c r="DG27">
        <v>0</v>
      </c>
      <c r="DH27">
        <v>0</v>
      </c>
      <c r="DI27">
        <v>0</v>
      </c>
    </row>
    <row r="28" spans="1:113" x14ac:dyDescent="0.25">
      <c r="A28" t="str">
        <f>"06/05/2020 14:49:01.583"</f>
        <v>06/05/2020 14:49:01.583</v>
      </c>
      <c r="C28" t="str">
        <f>"FFDF53C0"</f>
        <v>FFDF53C0</v>
      </c>
      <c r="D28" t="s">
        <v>141</v>
      </c>
      <c r="E28">
        <v>20</v>
      </c>
      <c r="F28">
        <v>1020</v>
      </c>
      <c r="G28" t="s">
        <v>114</v>
      </c>
      <c r="J28" t="s">
        <v>142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"14:49:06.906"</f>
        <v>14:49:06.906</v>
      </c>
      <c r="U28" t="str">
        <f t="shared" si="1"/>
        <v>ACC530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1</v>
      </c>
      <c r="AH28">
        <v>0</v>
      </c>
      <c r="AI28" t="s">
        <v>159</v>
      </c>
      <c r="AJ28">
        <v>34.247861</v>
      </c>
      <c r="AK28" t="s">
        <v>160</v>
      </c>
      <c r="AL28">
        <v>-116.876829</v>
      </c>
      <c r="AM28">
        <v>100</v>
      </c>
      <c r="AN28">
        <v>8400</v>
      </c>
      <c r="AO28" t="s">
        <v>118</v>
      </c>
      <c r="AR28">
        <v>192</v>
      </c>
      <c r="AZ28">
        <v>1200</v>
      </c>
      <c r="BA28">
        <v>1</v>
      </c>
      <c r="BB28" t="str">
        <f>"N9217B  "</f>
        <v xml:space="preserve">N9217B  </v>
      </c>
      <c r="BC28">
        <v>1</v>
      </c>
      <c r="BE28">
        <v>0</v>
      </c>
      <c r="BF28">
        <v>0</v>
      </c>
      <c r="BG28">
        <v>0</v>
      </c>
      <c r="BI28">
        <v>1</v>
      </c>
      <c r="BJ28">
        <v>0</v>
      </c>
      <c r="BK28">
        <v>0</v>
      </c>
      <c r="BL28">
        <v>0</v>
      </c>
      <c r="BO28">
        <v>0</v>
      </c>
      <c r="BP28">
        <v>0</v>
      </c>
      <c r="BW28" t="str">
        <f>"14:49:06.908"</f>
        <v>14:49:06.908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2</v>
      </c>
      <c r="CP28" t="s">
        <v>119</v>
      </c>
      <c r="CQ28">
        <v>296</v>
      </c>
      <c r="CR28">
        <v>0</v>
      </c>
      <c r="CW28">
        <v>14716453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1</v>
      </c>
      <c r="DG28">
        <v>0</v>
      </c>
      <c r="DH28">
        <v>0</v>
      </c>
      <c r="DI28">
        <v>0</v>
      </c>
    </row>
    <row r="29" spans="1:113" x14ac:dyDescent="0.25">
      <c r="A29" t="str">
        <f t="shared" ref="A29:A34" si="4">"06/05/2020 14:49:02.411"</f>
        <v>06/05/2020 14:49:02.411</v>
      </c>
      <c r="C29" t="str">
        <f t="shared" ref="C29:C34" si="5">"FFD3D3C0"</f>
        <v>FFD3D3C0</v>
      </c>
      <c r="D29" t="s">
        <v>143</v>
      </c>
      <c r="E29">
        <v>10</v>
      </c>
      <c r="F29">
        <v>3010</v>
      </c>
      <c r="G29" t="s">
        <v>144</v>
      </c>
      <c r="J29" t="s">
        <v>145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ref="S29:S34" si="6">"14:49:08.031"</f>
        <v>14:49:08.031</v>
      </c>
      <c r="T29" t="str">
        <f t="shared" ref="T29:T34" si="7">"14:49:07.131"</f>
        <v>14:49:07.131</v>
      </c>
      <c r="U29" t="str">
        <f t="shared" si="1"/>
        <v>ACC530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1</v>
      </c>
      <c r="AH29">
        <v>0</v>
      </c>
      <c r="AI29" t="s">
        <v>161</v>
      </c>
      <c r="AJ29">
        <v>34.247582000000001</v>
      </c>
      <c r="AK29" t="s">
        <v>162</v>
      </c>
      <c r="AL29">
        <v>-116.877258</v>
      </c>
      <c r="AM29">
        <v>100</v>
      </c>
      <c r="AN29">
        <v>8400</v>
      </c>
      <c r="AO29" t="s">
        <v>118</v>
      </c>
      <c r="AP29">
        <v>-71</v>
      </c>
      <c r="AQ29">
        <v>-53</v>
      </c>
      <c r="AR29">
        <v>576</v>
      </c>
      <c r="AZ29">
        <v>1200</v>
      </c>
      <c r="BA29">
        <v>1</v>
      </c>
      <c r="BE29">
        <v>0</v>
      </c>
      <c r="BF29">
        <v>0</v>
      </c>
      <c r="BG29">
        <v>0</v>
      </c>
      <c r="BH29">
        <v>8525</v>
      </c>
      <c r="BI29">
        <v>1</v>
      </c>
      <c r="BJ29">
        <v>0</v>
      </c>
      <c r="BK29">
        <v>0</v>
      </c>
      <c r="BL29">
        <v>0</v>
      </c>
      <c r="BO29">
        <v>0</v>
      </c>
      <c r="BP29">
        <v>0</v>
      </c>
      <c r="BW29" t="str">
        <f t="shared" ref="BW29:BW34" si="8">"14:49:08.032"</f>
        <v>14:49:08.032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4</v>
      </c>
      <c r="CP29" t="s">
        <v>119</v>
      </c>
      <c r="CQ29">
        <v>293</v>
      </c>
      <c r="CR29">
        <v>1</v>
      </c>
      <c r="CW29">
        <v>15262488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</v>
      </c>
      <c r="DG29">
        <v>0</v>
      </c>
      <c r="DH29">
        <v>0</v>
      </c>
      <c r="DI29">
        <v>1</v>
      </c>
    </row>
    <row r="30" spans="1:113" x14ac:dyDescent="0.25">
      <c r="A30" t="str">
        <f t="shared" si="4"/>
        <v>06/05/2020 14:49:02.411</v>
      </c>
      <c r="C30" t="str">
        <f t="shared" si="5"/>
        <v>FFD3D3C0</v>
      </c>
      <c r="D30" t="s">
        <v>151</v>
      </c>
      <c r="E30">
        <v>9</v>
      </c>
      <c r="H30">
        <v>226</v>
      </c>
      <c r="I30" t="s">
        <v>152</v>
      </c>
      <c r="J30" t="s">
        <v>150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6"/>
        <v>14:49:08.031</v>
      </c>
      <c r="T30" t="str">
        <f t="shared" si="7"/>
        <v>14:49:07.131</v>
      </c>
      <c r="U30" t="str">
        <f t="shared" si="1"/>
        <v>ACC530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1</v>
      </c>
      <c r="AH30">
        <v>0</v>
      </c>
      <c r="AI30" t="s">
        <v>161</v>
      </c>
      <c r="AJ30">
        <v>34.247582000000001</v>
      </c>
      <c r="AK30" t="s">
        <v>162</v>
      </c>
      <c r="AL30">
        <v>-116.877258</v>
      </c>
      <c r="AM30">
        <v>100</v>
      </c>
      <c r="AN30">
        <v>8400</v>
      </c>
      <c r="AO30" t="s">
        <v>118</v>
      </c>
      <c r="AP30">
        <v>-71</v>
      </c>
      <c r="AQ30">
        <v>-53</v>
      </c>
      <c r="AR30">
        <v>576</v>
      </c>
      <c r="AZ30">
        <v>1200</v>
      </c>
      <c r="BA30">
        <v>1</v>
      </c>
      <c r="BE30">
        <v>0</v>
      </c>
      <c r="BF30">
        <v>0</v>
      </c>
      <c r="BG30">
        <v>0</v>
      </c>
      <c r="BH30">
        <v>8525</v>
      </c>
      <c r="BI30">
        <v>1</v>
      </c>
      <c r="BJ30">
        <v>0</v>
      </c>
      <c r="BK30">
        <v>0</v>
      </c>
      <c r="BL30">
        <v>0</v>
      </c>
      <c r="BO30">
        <v>0</v>
      </c>
      <c r="BP30">
        <v>0</v>
      </c>
      <c r="BW30" t="str">
        <f t="shared" si="8"/>
        <v>14:49:08.032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4</v>
      </c>
      <c r="CP30" t="s">
        <v>119</v>
      </c>
      <c r="CQ30">
        <v>293</v>
      </c>
      <c r="CR30">
        <v>1</v>
      </c>
      <c r="CW30">
        <v>15262488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1</v>
      </c>
      <c r="DG30">
        <v>0</v>
      </c>
      <c r="DH30">
        <v>0</v>
      </c>
      <c r="DI30">
        <v>1</v>
      </c>
    </row>
    <row r="31" spans="1:113" x14ac:dyDescent="0.25">
      <c r="A31" t="str">
        <f t="shared" si="4"/>
        <v>06/05/2020 14:49:02.411</v>
      </c>
      <c r="C31" t="str">
        <f t="shared" si="5"/>
        <v>FFD3D3C0</v>
      </c>
      <c r="D31" t="s">
        <v>134</v>
      </c>
      <c r="E31">
        <v>7</v>
      </c>
      <c r="F31">
        <v>2007</v>
      </c>
      <c r="G31" t="s">
        <v>135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6"/>
        <v>14:49:08.031</v>
      </c>
      <c r="T31" t="str">
        <f t="shared" si="7"/>
        <v>14:49:07.131</v>
      </c>
      <c r="U31" t="str">
        <f t="shared" si="1"/>
        <v>ACC530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1</v>
      </c>
      <c r="AH31">
        <v>0</v>
      </c>
      <c r="AI31" t="s">
        <v>161</v>
      </c>
      <c r="AJ31">
        <v>34.247582000000001</v>
      </c>
      <c r="AK31" t="s">
        <v>162</v>
      </c>
      <c r="AL31">
        <v>-116.877258</v>
      </c>
      <c r="AM31">
        <v>100</v>
      </c>
      <c r="AN31">
        <v>8400</v>
      </c>
      <c r="AO31" t="s">
        <v>118</v>
      </c>
      <c r="AP31">
        <v>-71</v>
      </c>
      <c r="AQ31">
        <v>-53</v>
      </c>
      <c r="AR31">
        <v>576</v>
      </c>
      <c r="AZ31">
        <v>1200</v>
      </c>
      <c r="BA31">
        <v>1</v>
      </c>
      <c r="BE31">
        <v>0</v>
      </c>
      <c r="BF31">
        <v>0</v>
      </c>
      <c r="BG31">
        <v>0</v>
      </c>
      <c r="BH31">
        <v>8525</v>
      </c>
      <c r="BI31">
        <v>1</v>
      </c>
      <c r="BJ31">
        <v>0</v>
      </c>
      <c r="BK31">
        <v>0</v>
      </c>
      <c r="BL31">
        <v>0</v>
      </c>
      <c r="BO31">
        <v>0</v>
      </c>
      <c r="BP31">
        <v>0</v>
      </c>
      <c r="BW31" t="str">
        <f t="shared" si="8"/>
        <v>14:49:08.032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4</v>
      </c>
      <c r="CP31" t="s">
        <v>119</v>
      </c>
      <c r="CQ31">
        <v>293</v>
      </c>
      <c r="CR31">
        <v>1</v>
      </c>
      <c r="CW31">
        <v>15262488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0</v>
      </c>
      <c r="DH31">
        <v>0</v>
      </c>
      <c r="DI31">
        <v>1</v>
      </c>
    </row>
    <row r="32" spans="1:113" x14ac:dyDescent="0.25">
      <c r="A32" t="str">
        <f t="shared" si="4"/>
        <v>06/05/2020 14:49:02.411</v>
      </c>
      <c r="C32" t="str">
        <f t="shared" si="5"/>
        <v>FFD3D3C0</v>
      </c>
      <c r="D32" t="s">
        <v>113</v>
      </c>
      <c r="E32">
        <v>3</v>
      </c>
      <c r="H32">
        <v>166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6"/>
        <v>14:49:08.031</v>
      </c>
      <c r="T32" t="str">
        <f t="shared" si="7"/>
        <v>14:49:07.131</v>
      </c>
      <c r="U32" t="str">
        <f t="shared" si="1"/>
        <v>ACC530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1</v>
      </c>
      <c r="AH32">
        <v>0</v>
      </c>
      <c r="AI32" t="s">
        <v>161</v>
      </c>
      <c r="AJ32">
        <v>34.247582000000001</v>
      </c>
      <c r="AK32" t="s">
        <v>162</v>
      </c>
      <c r="AL32">
        <v>-116.877258</v>
      </c>
      <c r="AM32">
        <v>100</v>
      </c>
      <c r="AN32">
        <v>8400</v>
      </c>
      <c r="AO32" t="s">
        <v>118</v>
      </c>
      <c r="AP32">
        <v>-71</v>
      </c>
      <c r="AQ32">
        <v>-53</v>
      </c>
      <c r="AR32">
        <v>576</v>
      </c>
      <c r="AZ32">
        <v>1200</v>
      </c>
      <c r="BA32">
        <v>1</v>
      </c>
      <c r="BE32">
        <v>0</v>
      </c>
      <c r="BF32">
        <v>0</v>
      </c>
      <c r="BG32">
        <v>0</v>
      </c>
      <c r="BH32">
        <v>8525</v>
      </c>
      <c r="BI32">
        <v>1</v>
      </c>
      <c r="BJ32">
        <v>0</v>
      </c>
      <c r="BK32">
        <v>0</v>
      </c>
      <c r="BL32">
        <v>0</v>
      </c>
      <c r="BO32">
        <v>0</v>
      </c>
      <c r="BP32">
        <v>0</v>
      </c>
      <c r="BW32" t="str">
        <f t="shared" si="8"/>
        <v>14:49:08.032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4</v>
      </c>
      <c r="CP32" t="s">
        <v>119</v>
      </c>
      <c r="CQ32">
        <v>293</v>
      </c>
      <c r="CR32">
        <v>1</v>
      </c>
      <c r="CW32">
        <v>15262488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1</v>
      </c>
      <c r="DG32">
        <v>0</v>
      </c>
      <c r="DH32">
        <v>0</v>
      </c>
      <c r="DI32">
        <v>1</v>
      </c>
    </row>
    <row r="33" spans="1:113" x14ac:dyDescent="0.25">
      <c r="A33" t="str">
        <f t="shared" si="4"/>
        <v>06/05/2020 14:49:02.411</v>
      </c>
      <c r="C33" t="str">
        <f t="shared" si="5"/>
        <v>FFD3D3C0</v>
      </c>
      <c r="D33" t="s">
        <v>141</v>
      </c>
      <c r="E33">
        <v>20</v>
      </c>
      <c r="F33">
        <v>1020</v>
      </c>
      <c r="G33" t="s">
        <v>114</v>
      </c>
      <c r="J33" t="s">
        <v>142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6"/>
        <v>14:49:08.031</v>
      </c>
      <c r="T33" t="str">
        <f t="shared" si="7"/>
        <v>14:49:07.131</v>
      </c>
      <c r="U33" t="str">
        <f t="shared" si="1"/>
        <v>ACC530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1</v>
      </c>
      <c r="AH33">
        <v>0</v>
      </c>
      <c r="AI33" t="s">
        <v>161</v>
      </c>
      <c r="AJ33">
        <v>34.247582000000001</v>
      </c>
      <c r="AK33" t="s">
        <v>162</v>
      </c>
      <c r="AL33">
        <v>-116.877258</v>
      </c>
      <c r="AM33">
        <v>100</v>
      </c>
      <c r="AN33">
        <v>8400</v>
      </c>
      <c r="AO33" t="s">
        <v>118</v>
      </c>
      <c r="AP33">
        <v>-71</v>
      </c>
      <c r="AQ33">
        <v>-53</v>
      </c>
      <c r="AR33">
        <v>576</v>
      </c>
      <c r="AZ33">
        <v>1200</v>
      </c>
      <c r="BA33">
        <v>1</v>
      </c>
      <c r="BE33">
        <v>0</v>
      </c>
      <c r="BF33">
        <v>0</v>
      </c>
      <c r="BG33">
        <v>0</v>
      </c>
      <c r="BH33">
        <v>8525</v>
      </c>
      <c r="BI33">
        <v>1</v>
      </c>
      <c r="BJ33">
        <v>0</v>
      </c>
      <c r="BK33">
        <v>0</v>
      </c>
      <c r="BL33">
        <v>0</v>
      </c>
      <c r="BO33">
        <v>0</v>
      </c>
      <c r="BP33">
        <v>0</v>
      </c>
      <c r="BW33" t="str">
        <f t="shared" si="8"/>
        <v>14:49:08.032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4</v>
      </c>
      <c r="CP33" t="s">
        <v>119</v>
      </c>
      <c r="CQ33">
        <v>293</v>
      </c>
      <c r="CR33">
        <v>1</v>
      </c>
      <c r="CW33">
        <v>15262488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0</v>
      </c>
      <c r="DI33">
        <v>1</v>
      </c>
    </row>
    <row r="34" spans="1:113" x14ac:dyDescent="0.25">
      <c r="A34" t="str">
        <f t="shared" si="4"/>
        <v>06/05/2020 14:49:02.411</v>
      </c>
      <c r="C34" t="str">
        <f t="shared" si="5"/>
        <v>FFD3D3C0</v>
      </c>
      <c r="D34" t="s">
        <v>148</v>
      </c>
      <c r="E34">
        <v>8</v>
      </c>
      <c r="H34">
        <v>50</v>
      </c>
      <c r="I34" t="s">
        <v>149</v>
      </c>
      <c r="J34" t="s">
        <v>150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6"/>
        <v>14:49:08.031</v>
      </c>
      <c r="T34" t="str">
        <f t="shared" si="7"/>
        <v>14:49:07.131</v>
      </c>
      <c r="U34" t="str">
        <f t="shared" si="1"/>
        <v>ACC530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1</v>
      </c>
      <c r="AH34">
        <v>0</v>
      </c>
      <c r="AI34" t="s">
        <v>161</v>
      </c>
      <c r="AJ34">
        <v>34.247582000000001</v>
      </c>
      <c r="AK34" t="s">
        <v>162</v>
      </c>
      <c r="AL34">
        <v>-116.877258</v>
      </c>
      <c r="AM34">
        <v>100</v>
      </c>
      <c r="AN34">
        <v>8400</v>
      </c>
      <c r="AO34" t="s">
        <v>118</v>
      </c>
      <c r="AP34">
        <v>-71</v>
      </c>
      <c r="AQ34">
        <v>-53</v>
      </c>
      <c r="AR34">
        <v>576</v>
      </c>
      <c r="AZ34">
        <v>1200</v>
      </c>
      <c r="BA34">
        <v>1</v>
      </c>
      <c r="BE34">
        <v>0</v>
      </c>
      <c r="BF34">
        <v>0</v>
      </c>
      <c r="BG34">
        <v>0</v>
      </c>
      <c r="BH34">
        <v>8525</v>
      </c>
      <c r="BI34">
        <v>1</v>
      </c>
      <c r="BJ34">
        <v>0</v>
      </c>
      <c r="BK34">
        <v>0</v>
      </c>
      <c r="BL34">
        <v>0</v>
      </c>
      <c r="BO34">
        <v>0</v>
      </c>
      <c r="BP34">
        <v>0</v>
      </c>
      <c r="BW34" t="str">
        <f t="shared" si="8"/>
        <v>14:49:08.032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4</v>
      </c>
      <c r="CP34" t="s">
        <v>119</v>
      </c>
      <c r="CQ34">
        <v>293</v>
      </c>
      <c r="CR34">
        <v>1</v>
      </c>
      <c r="CW34">
        <v>15262488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1</v>
      </c>
      <c r="DG34">
        <v>0</v>
      </c>
      <c r="DH34">
        <v>0</v>
      </c>
      <c r="DI34">
        <v>1</v>
      </c>
    </row>
    <row r="35" spans="1:113" x14ac:dyDescent="0.25">
      <c r="A35" t="str">
        <f t="shared" ref="A35:A40" si="9">"06/05/2020 14:49:03.848"</f>
        <v>06/05/2020 14:49:03.848</v>
      </c>
      <c r="C35" t="str">
        <f t="shared" ref="C35:C98" si="10">"FFDFD3C0"</f>
        <v>FFDFD3C0</v>
      </c>
      <c r="D35" t="s">
        <v>151</v>
      </c>
      <c r="E35">
        <v>9</v>
      </c>
      <c r="H35">
        <v>226</v>
      </c>
      <c r="I35" t="s">
        <v>152</v>
      </c>
      <c r="J35" t="s">
        <v>150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ref="S35:S40" si="11">"14:49:09.469"</f>
        <v>14:49:09.469</v>
      </c>
      <c r="T35" t="str">
        <f t="shared" ref="T35:T40" si="12">"14:49:09.069"</f>
        <v>14:49:09.069</v>
      </c>
      <c r="U35" t="str">
        <f t="shared" si="1"/>
        <v>ACC530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1</v>
      </c>
      <c r="AH35">
        <v>0</v>
      </c>
      <c r="AI35" t="s">
        <v>163</v>
      </c>
      <c r="AJ35">
        <v>34.247216999999999</v>
      </c>
      <c r="AK35" t="s">
        <v>164</v>
      </c>
      <c r="AL35">
        <v>-116.877816</v>
      </c>
      <c r="AM35">
        <v>100</v>
      </c>
      <c r="AN35">
        <v>8400</v>
      </c>
      <c r="AO35" t="s">
        <v>118</v>
      </c>
      <c r="AP35">
        <v>-71</v>
      </c>
      <c r="AQ35">
        <v>-50</v>
      </c>
      <c r="AR35">
        <v>960</v>
      </c>
      <c r="AZ35">
        <v>1200</v>
      </c>
      <c r="BA35">
        <v>1</v>
      </c>
      <c r="BB35" t="str">
        <f t="shared" ref="BB35:BB66" si="13">"N9217B  "</f>
        <v xml:space="preserve">N9217B  </v>
      </c>
      <c r="BC35">
        <v>1</v>
      </c>
      <c r="BE35">
        <v>0</v>
      </c>
      <c r="BF35">
        <v>0</v>
      </c>
      <c r="BG35">
        <v>0</v>
      </c>
      <c r="BH35">
        <v>8450</v>
      </c>
      <c r="BI35">
        <v>1</v>
      </c>
      <c r="BJ35">
        <v>0</v>
      </c>
      <c r="BK35">
        <v>0</v>
      </c>
      <c r="BL35">
        <v>0</v>
      </c>
      <c r="BO35">
        <v>0</v>
      </c>
      <c r="BP35">
        <v>0</v>
      </c>
      <c r="BW35" t="str">
        <f t="shared" ref="BW35:BW40" si="14">"14:49:09.472"</f>
        <v>14:49:09.472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5</v>
      </c>
      <c r="CP35" t="s">
        <v>119</v>
      </c>
      <c r="CQ35">
        <v>293</v>
      </c>
      <c r="CR35">
        <v>1</v>
      </c>
      <c r="CW35">
        <v>15262667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25">
      <c r="A36" t="str">
        <f t="shared" si="9"/>
        <v>06/05/2020 14:49:03.848</v>
      </c>
      <c r="C36" t="str">
        <f t="shared" si="10"/>
        <v>FFDFD3C0</v>
      </c>
      <c r="D36" t="s">
        <v>134</v>
      </c>
      <c r="E36">
        <v>7</v>
      </c>
      <c r="F36">
        <v>2007</v>
      </c>
      <c r="G36" t="s">
        <v>135</v>
      </c>
      <c r="J36" t="s">
        <v>136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1"/>
        <v>14:49:09.469</v>
      </c>
      <c r="T36" t="str">
        <f t="shared" si="12"/>
        <v>14:49:09.069</v>
      </c>
      <c r="U36" t="str">
        <f t="shared" si="1"/>
        <v>ACC530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1</v>
      </c>
      <c r="AH36">
        <v>0</v>
      </c>
      <c r="AI36" t="s">
        <v>163</v>
      </c>
      <c r="AJ36">
        <v>34.247216999999999</v>
      </c>
      <c r="AK36" t="s">
        <v>164</v>
      </c>
      <c r="AL36">
        <v>-116.877816</v>
      </c>
      <c r="AM36">
        <v>100</v>
      </c>
      <c r="AN36">
        <v>8400</v>
      </c>
      <c r="AO36" t="s">
        <v>118</v>
      </c>
      <c r="AP36">
        <v>-71</v>
      </c>
      <c r="AQ36">
        <v>-50</v>
      </c>
      <c r="AR36">
        <v>960</v>
      </c>
      <c r="AZ36">
        <v>1200</v>
      </c>
      <c r="BA36">
        <v>1</v>
      </c>
      <c r="BB36" t="str">
        <f t="shared" si="13"/>
        <v xml:space="preserve">N9217B  </v>
      </c>
      <c r="BC36">
        <v>1</v>
      </c>
      <c r="BE36">
        <v>0</v>
      </c>
      <c r="BF36">
        <v>0</v>
      </c>
      <c r="BG36">
        <v>0</v>
      </c>
      <c r="BH36">
        <v>8450</v>
      </c>
      <c r="BI36">
        <v>1</v>
      </c>
      <c r="BJ36">
        <v>0</v>
      </c>
      <c r="BK36">
        <v>0</v>
      </c>
      <c r="BL36">
        <v>0</v>
      </c>
      <c r="BO36">
        <v>0</v>
      </c>
      <c r="BP36">
        <v>0</v>
      </c>
      <c r="BW36" t="str">
        <f t="shared" si="14"/>
        <v>14:49:09.472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5</v>
      </c>
      <c r="CP36" t="s">
        <v>119</v>
      </c>
      <c r="CQ36">
        <v>293</v>
      </c>
      <c r="CR36">
        <v>1</v>
      </c>
      <c r="CW36">
        <v>15262667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25">
      <c r="A37" t="str">
        <f t="shared" si="9"/>
        <v>06/05/2020 14:49:03.848</v>
      </c>
      <c r="C37" t="str">
        <f t="shared" si="10"/>
        <v>FFDFD3C0</v>
      </c>
      <c r="D37" t="s">
        <v>113</v>
      </c>
      <c r="E37">
        <v>3</v>
      </c>
      <c r="H37">
        <v>166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1"/>
        <v>14:49:09.469</v>
      </c>
      <c r="T37" t="str">
        <f t="shared" si="12"/>
        <v>14:49:09.069</v>
      </c>
      <c r="U37" t="str">
        <f t="shared" si="1"/>
        <v>ACC530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1</v>
      </c>
      <c r="AH37">
        <v>0</v>
      </c>
      <c r="AI37" t="s">
        <v>163</v>
      </c>
      <c r="AJ37">
        <v>34.247216999999999</v>
      </c>
      <c r="AK37" t="s">
        <v>164</v>
      </c>
      <c r="AL37">
        <v>-116.877816</v>
      </c>
      <c r="AM37">
        <v>100</v>
      </c>
      <c r="AN37">
        <v>8400</v>
      </c>
      <c r="AO37" t="s">
        <v>118</v>
      </c>
      <c r="AP37">
        <v>-71</v>
      </c>
      <c r="AQ37">
        <v>-50</v>
      </c>
      <c r="AR37">
        <v>960</v>
      </c>
      <c r="AZ37">
        <v>1200</v>
      </c>
      <c r="BA37">
        <v>1</v>
      </c>
      <c r="BB37" t="str">
        <f t="shared" si="13"/>
        <v xml:space="preserve">N9217B  </v>
      </c>
      <c r="BC37">
        <v>1</v>
      </c>
      <c r="BE37">
        <v>0</v>
      </c>
      <c r="BF37">
        <v>0</v>
      </c>
      <c r="BG37">
        <v>0</v>
      </c>
      <c r="BH37">
        <v>8450</v>
      </c>
      <c r="BI37">
        <v>1</v>
      </c>
      <c r="BJ37">
        <v>0</v>
      </c>
      <c r="BK37">
        <v>0</v>
      </c>
      <c r="BL37">
        <v>0</v>
      </c>
      <c r="BO37">
        <v>0</v>
      </c>
      <c r="BP37">
        <v>0</v>
      </c>
      <c r="BW37" t="str">
        <f t="shared" si="14"/>
        <v>14:49:09.472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5</v>
      </c>
      <c r="CP37" t="s">
        <v>119</v>
      </c>
      <c r="CQ37">
        <v>293</v>
      </c>
      <c r="CR37">
        <v>1</v>
      </c>
      <c r="CW37">
        <v>15262667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25">
      <c r="A38" t="str">
        <f t="shared" si="9"/>
        <v>06/05/2020 14:49:03.848</v>
      </c>
      <c r="C38" t="str">
        <f t="shared" si="10"/>
        <v>FFDFD3C0</v>
      </c>
      <c r="D38" t="s">
        <v>143</v>
      </c>
      <c r="E38">
        <v>10</v>
      </c>
      <c r="F38">
        <v>3010</v>
      </c>
      <c r="G38" t="s">
        <v>144</v>
      </c>
      <c r="J38" t="s">
        <v>145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11"/>
        <v>14:49:09.469</v>
      </c>
      <c r="T38" t="str">
        <f t="shared" si="12"/>
        <v>14:49:09.069</v>
      </c>
      <c r="U38" t="str">
        <f t="shared" si="1"/>
        <v>ACC530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1</v>
      </c>
      <c r="AH38">
        <v>0</v>
      </c>
      <c r="AI38" t="s">
        <v>163</v>
      </c>
      <c r="AJ38">
        <v>34.247216999999999</v>
      </c>
      <c r="AK38" t="s">
        <v>164</v>
      </c>
      <c r="AL38">
        <v>-116.877816</v>
      </c>
      <c r="AM38">
        <v>100</v>
      </c>
      <c r="AN38">
        <v>8400</v>
      </c>
      <c r="AO38" t="s">
        <v>118</v>
      </c>
      <c r="AP38">
        <v>-71</v>
      </c>
      <c r="AQ38">
        <v>-50</v>
      </c>
      <c r="AR38">
        <v>960</v>
      </c>
      <c r="AZ38">
        <v>1200</v>
      </c>
      <c r="BA38">
        <v>1</v>
      </c>
      <c r="BB38" t="str">
        <f t="shared" si="13"/>
        <v xml:space="preserve">N9217B  </v>
      </c>
      <c r="BC38">
        <v>1</v>
      </c>
      <c r="BE38">
        <v>0</v>
      </c>
      <c r="BF38">
        <v>0</v>
      </c>
      <c r="BG38">
        <v>0</v>
      </c>
      <c r="BH38">
        <v>8450</v>
      </c>
      <c r="BI38">
        <v>1</v>
      </c>
      <c r="BJ38">
        <v>0</v>
      </c>
      <c r="BK38">
        <v>0</v>
      </c>
      <c r="BL38">
        <v>0</v>
      </c>
      <c r="BO38">
        <v>0</v>
      </c>
      <c r="BP38">
        <v>0</v>
      </c>
      <c r="BW38" t="str">
        <f t="shared" si="14"/>
        <v>14:49:09.472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5</v>
      </c>
      <c r="CP38" t="s">
        <v>119</v>
      </c>
      <c r="CQ38">
        <v>293</v>
      </c>
      <c r="CR38">
        <v>1</v>
      </c>
      <c r="CW38">
        <v>15262667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25">
      <c r="A39" t="str">
        <f t="shared" si="9"/>
        <v>06/05/2020 14:49:03.848</v>
      </c>
      <c r="C39" t="str">
        <f t="shared" si="10"/>
        <v>FFDFD3C0</v>
      </c>
      <c r="D39" t="s">
        <v>141</v>
      </c>
      <c r="E39">
        <v>20</v>
      </c>
      <c r="F39">
        <v>1020</v>
      </c>
      <c r="G39" t="s">
        <v>114</v>
      </c>
      <c r="J39" t="s">
        <v>142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11"/>
        <v>14:49:09.469</v>
      </c>
      <c r="T39" t="str">
        <f t="shared" si="12"/>
        <v>14:49:09.069</v>
      </c>
      <c r="U39" t="str">
        <f t="shared" si="1"/>
        <v>ACC530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1</v>
      </c>
      <c r="AH39">
        <v>0</v>
      </c>
      <c r="AI39" t="s">
        <v>163</v>
      </c>
      <c r="AJ39">
        <v>34.247216999999999</v>
      </c>
      <c r="AK39" t="s">
        <v>164</v>
      </c>
      <c r="AL39">
        <v>-116.877816</v>
      </c>
      <c r="AM39">
        <v>100</v>
      </c>
      <c r="AN39">
        <v>8400</v>
      </c>
      <c r="AO39" t="s">
        <v>118</v>
      </c>
      <c r="AP39">
        <v>-71</v>
      </c>
      <c r="AQ39">
        <v>-50</v>
      </c>
      <c r="AR39">
        <v>960</v>
      </c>
      <c r="AZ39">
        <v>1200</v>
      </c>
      <c r="BA39">
        <v>1</v>
      </c>
      <c r="BB39" t="str">
        <f t="shared" si="13"/>
        <v xml:space="preserve">N9217B  </v>
      </c>
      <c r="BC39">
        <v>1</v>
      </c>
      <c r="BE39">
        <v>0</v>
      </c>
      <c r="BF39">
        <v>0</v>
      </c>
      <c r="BG39">
        <v>0</v>
      </c>
      <c r="BH39">
        <v>8450</v>
      </c>
      <c r="BI39">
        <v>1</v>
      </c>
      <c r="BJ39">
        <v>0</v>
      </c>
      <c r="BK39">
        <v>0</v>
      </c>
      <c r="BL39">
        <v>0</v>
      </c>
      <c r="BO39">
        <v>0</v>
      </c>
      <c r="BP39">
        <v>0</v>
      </c>
      <c r="BW39" t="str">
        <f t="shared" si="14"/>
        <v>14:49:09.472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5</v>
      </c>
      <c r="CP39" t="s">
        <v>119</v>
      </c>
      <c r="CQ39">
        <v>293</v>
      </c>
      <c r="CR39">
        <v>1</v>
      </c>
      <c r="CW39">
        <v>15262667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25">
      <c r="A40" t="str">
        <f t="shared" si="9"/>
        <v>06/05/2020 14:49:03.848</v>
      </c>
      <c r="C40" t="str">
        <f t="shared" si="10"/>
        <v>FFDFD3C0</v>
      </c>
      <c r="D40" t="s">
        <v>148</v>
      </c>
      <c r="E40">
        <v>8</v>
      </c>
      <c r="H40">
        <v>50</v>
      </c>
      <c r="I40" t="s">
        <v>149</v>
      </c>
      <c r="J40" t="s">
        <v>150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11"/>
        <v>14:49:09.469</v>
      </c>
      <c r="T40" t="str">
        <f t="shared" si="12"/>
        <v>14:49:09.069</v>
      </c>
      <c r="U40" t="str">
        <f t="shared" si="1"/>
        <v>ACC530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1</v>
      </c>
      <c r="AH40">
        <v>0</v>
      </c>
      <c r="AI40" t="s">
        <v>163</v>
      </c>
      <c r="AJ40">
        <v>34.247216999999999</v>
      </c>
      <c r="AK40" t="s">
        <v>164</v>
      </c>
      <c r="AL40">
        <v>-116.877816</v>
      </c>
      <c r="AM40">
        <v>100</v>
      </c>
      <c r="AN40">
        <v>8400</v>
      </c>
      <c r="AO40" t="s">
        <v>118</v>
      </c>
      <c r="AP40">
        <v>-71</v>
      </c>
      <c r="AQ40">
        <v>-50</v>
      </c>
      <c r="AR40">
        <v>960</v>
      </c>
      <c r="AZ40">
        <v>1200</v>
      </c>
      <c r="BA40">
        <v>1</v>
      </c>
      <c r="BB40" t="str">
        <f t="shared" si="13"/>
        <v xml:space="preserve">N9217B  </v>
      </c>
      <c r="BC40">
        <v>1</v>
      </c>
      <c r="BE40">
        <v>0</v>
      </c>
      <c r="BF40">
        <v>0</v>
      </c>
      <c r="BG40">
        <v>0</v>
      </c>
      <c r="BH40">
        <v>8450</v>
      </c>
      <c r="BI40">
        <v>1</v>
      </c>
      <c r="BJ40">
        <v>0</v>
      </c>
      <c r="BK40">
        <v>0</v>
      </c>
      <c r="BL40">
        <v>0</v>
      </c>
      <c r="BO40">
        <v>0</v>
      </c>
      <c r="BP40">
        <v>0</v>
      </c>
      <c r="BW40" t="str">
        <f t="shared" si="14"/>
        <v>14:49:09.472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293</v>
      </c>
      <c r="CR40">
        <v>1</v>
      </c>
      <c r="CW40">
        <v>15262667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25">
      <c r="A41" t="str">
        <f t="shared" ref="A41:A46" si="15">"06/05/2020 14:49:04.911"</f>
        <v>06/05/2020 14:49:04.911</v>
      </c>
      <c r="C41" t="str">
        <f t="shared" si="10"/>
        <v>FFDFD3C0</v>
      </c>
      <c r="D41" t="s">
        <v>134</v>
      </c>
      <c r="E41">
        <v>7</v>
      </c>
      <c r="F41">
        <v>2007</v>
      </c>
      <c r="G41" t="s">
        <v>135</v>
      </c>
      <c r="J41" t="s">
        <v>136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ref="S41:S46" si="16">"14:49:10.516"</f>
        <v>14:49:10.516</v>
      </c>
      <c r="T41" t="str">
        <f t="shared" ref="T41:T46" si="17">"14:49:10.116"</f>
        <v>14:49:10.116</v>
      </c>
      <c r="U41" t="str">
        <f t="shared" si="1"/>
        <v>ACC530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1</v>
      </c>
      <c r="AH41">
        <v>0</v>
      </c>
      <c r="AI41" t="s">
        <v>165</v>
      </c>
      <c r="AJ41">
        <v>34.247002999999999</v>
      </c>
      <c r="AK41" t="s">
        <v>166</v>
      </c>
      <c r="AL41">
        <v>-116.87822300000001</v>
      </c>
      <c r="AM41">
        <v>100</v>
      </c>
      <c r="AN41">
        <v>8400</v>
      </c>
      <c r="AO41" t="s">
        <v>118</v>
      </c>
      <c r="AP41">
        <v>-70</v>
      </c>
      <c r="AQ41">
        <v>-49</v>
      </c>
      <c r="AR41">
        <v>896</v>
      </c>
      <c r="AZ41">
        <v>1200</v>
      </c>
      <c r="BA41">
        <v>1</v>
      </c>
      <c r="BB41" t="str">
        <f t="shared" si="13"/>
        <v xml:space="preserve">N9217B  </v>
      </c>
      <c r="BC41">
        <v>1</v>
      </c>
      <c r="BE41">
        <v>0</v>
      </c>
      <c r="BF41">
        <v>0</v>
      </c>
      <c r="BG41">
        <v>0</v>
      </c>
      <c r="BH41">
        <v>8475</v>
      </c>
      <c r="BI41">
        <v>1</v>
      </c>
      <c r="BJ41">
        <v>0</v>
      </c>
      <c r="BK41">
        <v>0</v>
      </c>
      <c r="BL41">
        <v>0</v>
      </c>
      <c r="BO41">
        <v>0</v>
      </c>
      <c r="BP41">
        <v>0</v>
      </c>
      <c r="BW41" t="str">
        <f t="shared" ref="BW41:BW46" si="18">"14:49:10.522"</f>
        <v>14:49:10.522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293</v>
      </c>
      <c r="CR41">
        <v>1</v>
      </c>
      <c r="CW41">
        <v>15262789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25">
      <c r="A42" t="str">
        <f t="shared" si="15"/>
        <v>06/05/2020 14:49:04.911</v>
      </c>
      <c r="C42" t="str">
        <f t="shared" si="10"/>
        <v>FFDFD3C0</v>
      </c>
      <c r="D42" t="s">
        <v>151</v>
      </c>
      <c r="E42">
        <v>9</v>
      </c>
      <c r="H42">
        <v>226</v>
      </c>
      <c r="I42" t="s">
        <v>152</v>
      </c>
      <c r="J42" t="s">
        <v>150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16"/>
        <v>14:49:10.516</v>
      </c>
      <c r="T42" t="str">
        <f t="shared" si="17"/>
        <v>14:49:10.116</v>
      </c>
      <c r="U42" t="str">
        <f t="shared" si="1"/>
        <v>ACC530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1</v>
      </c>
      <c r="AH42">
        <v>0</v>
      </c>
      <c r="AI42" t="s">
        <v>165</v>
      </c>
      <c r="AJ42">
        <v>34.247002999999999</v>
      </c>
      <c r="AK42" t="s">
        <v>166</v>
      </c>
      <c r="AL42">
        <v>-116.87822300000001</v>
      </c>
      <c r="AM42">
        <v>100</v>
      </c>
      <c r="AN42">
        <v>8400</v>
      </c>
      <c r="AO42" t="s">
        <v>118</v>
      </c>
      <c r="AP42">
        <v>-70</v>
      </c>
      <c r="AQ42">
        <v>-49</v>
      </c>
      <c r="AR42">
        <v>896</v>
      </c>
      <c r="AZ42">
        <v>1200</v>
      </c>
      <c r="BA42">
        <v>1</v>
      </c>
      <c r="BB42" t="str">
        <f t="shared" si="13"/>
        <v xml:space="preserve">N9217B  </v>
      </c>
      <c r="BC42">
        <v>1</v>
      </c>
      <c r="BE42">
        <v>0</v>
      </c>
      <c r="BF42">
        <v>0</v>
      </c>
      <c r="BG42">
        <v>0</v>
      </c>
      <c r="BH42">
        <v>8475</v>
      </c>
      <c r="BI42">
        <v>1</v>
      </c>
      <c r="BJ42">
        <v>0</v>
      </c>
      <c r="BK42">
        <v>0</v>
      </c>
      <c r="BL42">
        <v>0</v>
      </c>
      <c r="BO42">
        <v>0</v>
      </c>
      <c r="BP42">
        <v>0</v>
      </c>
      <c r="BW42" t="str">
        <f t="shared" si="18"/>
        <v>14:49:10.522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5</v>
      </c>
      <c r="CP42" t="s">
        <v>119</v>
      </c>
      <c r="CQ42">
        <v>293</v>
      </c>
      <c r="CR42">
        <v>1</v>
      </c>
      <c r="CW42">
        <v>15262789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25">
      <c r="A43" t="str">
        <f t="shared" si="15"/>
        <v>06/05/2020 14:49:04.911</v>
      </c>
      <c r="C43" t="str">
        <f t="shared" si="10"/>
        <v>FFDFD3C0</v>
      </c>
      <c r="D43" t="s">
        <v>143</v>
      </c>
      <c r="E43">
        <v>10</v>
      </c>
      <c r="F43">
        <v>3010</v>
      </c>
      <c r="G43" t="s">
        <v>144</v>
      </c>
      <c r="J43" t="s">
        <v>145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16"/>
        <v>14:49:10.516</v>
      </c>
      <c r="T43" t="str">
        <f t="shared" si="17"/>
        <v>14:49:10.116</v>
      </c>
      <c r="U43" t="str">
        <f t="shared" si="1"/>
        <v>ACC530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1</v>
      </c>
      <c r="AH43">
        <v>0</v>
      </c>
      <c r="AI43" t="s">
        <v>165</v>
      </c>
      <c r="AJ43">
        <v>34.247002999999999</v>
      </c>
      <c r="AK43" t="s">
        <v>166</v>
      </c>
      <c r="AL43">
        <v>-116.87822300000001</v>
      </c>
      <c r="AM43">
        <v>100</v>
      </c>
      <c r="AN43">
        <v>8400</v>
      </c>
      <c r="AO43" t="s">
        <v>118</v>
      </c>
      <c r="AP43">
        <v>-70</v>
      </c>
      <c r="AQ43">
        <v>-49</v>
      </c>
      <c r="AR43">
        <v>896</v>
      </c>
      <c r="AZ43">
        <v>1200</v>
      </c>
      <c r="BA43">
        <v>1</v>
      </c>
      <c r="BB43" t="str">
        <f t="shared" si="13"/>
        <v xml:space="preserve">N9217B  </v>
      </c>
      <c r="BC43">
        <v>1</v>
      </c>
      <c r="BE43">
        <v>0</v>
      </c>
      <c r="BF43">
        <v>0</v>
      </c>
      <c r="BG43">
        <v>0</v>
      </c>
      <c r="BH43">
        <v>8475</v>
      </c>
      <c r="BI43">
        <v>1</v>
      </c>
      <c r="BJ43">
        <v>0</v>
      </c>
      <c r="BK43">
        <v>0</v>
      </c>
      <c r="BL43">
        <v>0</v>
      </c>
      <c r="BO43">
        <v>0</v>
      </c>
      <c r="BP43">
        <v>0</v>
      </c>
      <c r="BW43" t="str">
        <f t="shared" si="18"/>
        <v>14:49:10.522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293</v>
      </c>
      <c r="CR43">
        <v>1</v>
      </c>
      <c r="CW43">
        <v>15262789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25">
      <c r="A44" t="str">
        <f t="shared" si="15"/>
        <v>06/05/2020 14:49:04.911</v>
      </c>
      <c r="C44" t="str">
        <f t="shared" si="10"/>
        <v>FFDFD3C0</v>
      </c>
      <c r="D44" t="s">
        <v>113</v>
      </c>
      <c r="E44">
        <v>3</v>
      </c>
      <c r="H44">
        <v>166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16"/>
        <v>14:49:10.516</v>
      </c>
      <c r="T44" t="str">
        <f t="shared" si="17"/>
        <v>14:49:10.116</v>
      </c>
      <c r="U44" t="str">
        <f t="shared" si="1"/>
        <v>ACC530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1</v>
      </c>
      <c r="AH44">
        <v>0</v>
      </c>
      <c r="AI44" t="s">
        <v>165</v>
      </c>
      <c r="AJ44">
        <v>34.247002999999999</v>
      </c>
      <c r="AK44" t="s">
        <v>166</v>
      </c>
      <c r="AL44">
        <v>-116.87822300000001</v>
      </c>
      <c r="AM44">
        <v>100</v>
      </c>
      <c r="AN44">
        <v>8400</v>
      </c>
      <c r="AO44" t="s">
        <v>118</v>
      </c>
      <c r="AP44">
        <v>-70</v>
      </c>
      <c r="AQ44">
        <v>-49</v>
      </c>
      <c r="AR44">
        <v>896</v>
      </c>
      <c r="AZ44">
        <v>1200</v>
      </c>
      <c r="BA44">
        <v>1</v>
      </c>
      <c r="BB44" t="str">
        <f t="shared" si="13"/>
        <v xml:space="preserve">N9217B  </v>
      </c>
      <c r="BC44">
        <v>1</v>
      </c>
      <c r="BE44">
        <v>0</v>
      </c>
      <c r="BF44">
        <v>0</v>
      </c>
      <c r="BG44">
        <v>0</v>
      </c>
      <c r="BH44">
        <v>8475</v>
      </c>
      <c r="BI44">
        <v>1</v>
      </c>
      <c r="BJ44">
        <v>0</v>
      </c>
      <c r="BK44">
        <v>0</v>
      </c>
      <c r="BL44">
        <v>0</v>
      </c>
      <c r="BO44">
        <v>0</v>
      </c>
      <c r="BP44">
        <v>0</v>
      </c>
      <c r="BW44" t="str">
        <f t="shared" si="18"/>
        <v>14:49:10.522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5</v>
      </c>
      <c r="CP44" t="s">
        <v>119</v>
      </c>
      <c r="CQ44">
        <v>293</v>
      </c>
      <c r="CR44">
        <v>1</v>
      </c>
      <c r="CW44">
        <v>15262789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25">
      <c r="A45" t="str">
        <f t="shared" si="15"/>
        <v>06/05/2020 14:49:04.911</v>
      </c>
      <c r="C45" t="str">
        <f t="shared" si="10"/>
        <v>FFDFD3C0</v>
      </c>
      <c r="D45" t="s">
        <v>141</v>
      </c>
      <c r="E45">
        <v>20</v>
      </c>
      <c r="F45">
        <v>1020</v>
      </c>
      <c r="G45" t="s">
        <v>114</v>
      </c>
      <c r="J45" t="s">
        <v>142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16"/>
        <v>14:49:10.516</v>
      </c>
      <c r="T45" t="str">
        <f t="shared" si="17"/>
        <v>14:49:10.116</v>
      </c>
      <c r="U45" t="str">
        <f t="shared" si="1"/>
        <v>ACC530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1</v>
      </c>
      <c r="AH45">
        <v>0</v>
      </c>
      <c r="AI45" t="s">
        <v>165</v>
      </c>
      <c r="AJ45">
        <v>34.247002999999999</v>
      </c>
      <c r="AK45" t="s">
        <v>166</v>
      </c>
      <c r="AL45">
        <v>-116.87822300000001</v>
      </c>
      <c r="AM45">
        <v>100</v>
      </c>
      <c r="AN45">
        <v>8400</v>
      </c>
      <c r="AO45" t="s">
        <v>118</v>
      </c>
      <c r="AP45">
        <v>-70</v>
      </c>
      <c r="AQ45">
        <v>-49</v>
      </c>
      <c r="AR45">
        <v>896</v>
      </c>
      <c r="AZ45">
        <v>1200</v>
      </c>
      <c r="BA45">
        <v>1</v>
      </c>
      <c r="BB45" t="str">
        <f t="shared" si="13"/>
        <v xml:space="preserve">N9217B  </v>
      </c>
      <c r="BC45">
        <v>1</v>
      </c>
      <c r="BE45">
        <v>0</v>
      </c>
      <c r="BF45">
        <v>0</v>
      </c>
      <c r="BG45">
        <v>0</v>
      </c>
      <c r="BH45">
        <v>8475</v>
      </c>
      <c r="BI45">
        <v>1</v>
      </c>
      <c r="BJ45">
        <v>0</v>
      </c>
      <c r="BK45">
        <v>0</v>
      </c>
      <c r="BL45">
        <v>0</v>
      </c>
      <c r="BO45">
        <v>0</v>
      </c>
      <c r="BP45">
        <v>0</v>
      </c>
      <c r="BW45" t="str">
        <f t="shared" si="18"/>
        <v>14:49:10.522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293</v>
      </c>
      <c r="CR45">
        <v>1</v>
      </c>
      <c r="CW45">
        <v>15262789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25">
      <c r="A46" t="str">
        <f t="shared" si="15"/>
        <v>06/05/2020 14:49:04.911</v>
      </c>
      <c r="C46" t="str">
        <f t="shared" si="10"/>
        <v>FFDFD3C0</v>
      </c>
      <c r="D46" t="s">
        <v>148</v>
      </c>
      <c r="E46">
        <v>8</v>
      </c>
      <c r="H46">
        <v>50</v>
      </c>
      <c r="I46" t="s">
        <v>149</v>
      </c>
      <c r="J46" t="s">
        <v>150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16"/>
        <v>14:49:10.516</v>
      </c>
      <c r="T46" t="str">
        <f t="shared" si="17"/>
        <v>14:49:10.116</v>
      </c>
      <c r="U46" t="str">
        <f t="shared" si="1"/>
        <v>ACC530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1</v>
      </c>
      <c r="AH46">
        <v>0</v>
      </c>
      <c r="AI46" t="s">
        <v>165</v>
      </c>
      <c r="AJ46">
        <v>34.247002999999999</v>
      </c>
      <c r="AK46" t="s">
        <v>166</v>
      </c>
      <c r="AL46">
        <v>-116.87822300000001</v>
      </c>
      <c r="AM46">
        <v>100</v>
      </c>
      <c r="AN46">
        <v>8400</v>
      </c>
      <c r="AO46" t="s">
        <v>118</v>
      </c>
      <c r="AP46">
        <v>-70</v>
      </c>
      <c r="AQ46">
        <v>-49</v>
      </c>
      <c r="AR46">
        <v>896</v>
      </c>
      <c r="AZ46">
        <v>1200</v>
      </c>
      <c r="BA46">
        <v>1</v>
      </c>
      <c r="BB46" t="str">
        <f t="shared" si="13"/>
        <v xml:space="preserve">N9217B  </v>
      </c>
      <c r="BC46">
        <v>1</v>
      </c>
      <c r="BE46">
        <v>0</v>
      </c>
      <c r="BF46">
        <v>0</v>
      </c>
      <c r="BG46">
        <v>0</v>
      </c>
      <c r="BH46">
        <v>8475</v>
      </c>
      <c r="BI46">
        <v>1</v>
      </c>
      <c r="BJ46">
        <v>0</v>
      </c>
      <c r="BK46">
        <v>0</v>
      </c>
      <c r="BL46">
        <v>0</v>
      </c>
      <c r="BO46">
        <v>0</v>
      </c>
      <c r="BP46">
        <v>0</v>
      </c>
      <c r="BW46" t="str">
        <f t="shared" si="18"/>
        <v>14:49:10.522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293</v>
      </c>
      <c r="CR46">
        <v>1</v>
      </c>
      <c r="CW46">
        <v>15262789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25">
      <c r="A47" t="str">
        <f t="shared" ref="A47:A52" si="19">"06/05/2020 14:49:05.846"</f>
        <v>06/05/2020 14:49:05.846</v>
      </c>
      <c r="C47" t="str">
        <f t="shared" si="10"/>
        <v>FFDFD3C0</v>
      </c>
      <c r="D47" t="s">
        <v>148</v>
      </c>
      <c r="E47">
        <v>8</v>
      </c>
      <c r="H47">
        <v>50</v>
      </c>
      <c r="I47" t="s">
        <v>149</v>
      </c>
      <c r="J47" t="s">
        <v>150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ref="S47:S52" si="20">"14:49:11.492"</f>
        <v>14:49:11.492</v>
      </c>
      <c r="T47" t="str">
        <f t="shared" ref="T47:T52" si="21">"14:49:10.992"</f>
        <v>14:49:10.992</v>
      </c>
      <c r="U47" t="str">
        <f t="shared" si="1"/>
        <v>ACC530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1</v>
      </c>
      <c r="AH47">
        <v>0</v>
      </c>
      <c r="AI47" t="s">
        <v>167</v>
      </c>
      <c r="AJ47">
        <v>34.246766999999998</v>
      </c>
      <c r="AK47" t="s">
        <v>168</v>
      </c>
      <c r="AL47">
        <v>-116.878631</v>
      </c>
      <c r="AM47">
        <v>100</v>
      </c>
      <c r="AN47">
        <v>8400</v>
      </c>
      <c r="AO47" t="s">
        <v>118</v>
      </c>
      <c r="AP47">
        <v>-69</v>
      </c>
      <c r="AQ47">
        <v>-49</v>
      </c>
      <c r="AR47">
        <v>1088</v>
      </c>
      <c r="AZ47">
        <v>1200</v>
      </c>
      <c r="BA47">
        <v>1</v>
      </c>
      <c r="BB47" t="str">
        <f t="shared" si="13"/>
        <v xml:space="preserve">N9217B  </v>
      </c>
      <c r="BC47">
        <v>1</v>
      </c>
      <c r="BE47">
        <v>0</v>
      </c>
      <c r="BF47">
        <v>0</v>
      </c>
      <c r="BG47">
        <v>0</v>
      </c>
      <c r="BH47">
        <v>8500</v>
      </c>
      <c r="BI47">
        <v>1</v>
      </c>
      <c r="BJ47">
        <v>0</v>
      </c>
      <c r="BK47">
        <v>0</v>
      </c>
      <c r="BL47">
        <v>0</v>
      </c>
      <c r="BO47">
        <v>0</v>
      </c>
      <c r="BP47">
        <v>0</v>
      </c>
      <c r="BW47" t="str">
        <f t="shared" ref="BW47:BW52" si="22">"14:49:11.497"</f>
        <v>14:49:11.497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293</v>
      </c>
      <c r="CR47">
        <v>1</v>
      </c>
      <c r="CW47">
        <v>15262905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25">
      <c r="A48" t="str">
        <f t="shared" si="19"/>
        <v>06/05/2020 14:49:05.846</v>
      </c>
      <c r="C48" t="str">
        <f t="shared" si="10"/>
        <v>FFDFD3C0</v>
      </c>
      <c r="D48" t="s">
        <v>134</v>
      </c>
      <c r="E48">
        <v>7</v>
      </c>
      <c r="F48">
        <v>2007</v>
      </c>
      <c r="G48" t="s">
        <v>135</v>
      </c>
      <c r="J48" t="s">
        <v>136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0"/>
        <v>14:49:11.492</v>
      </c>
      <c r="T48" t="str">
        <f t="shared" si="21"/>
        <v>14:49:10.992</v>
      </c>
      <c r="U48" t="str">
        <f t="shared" si="1"/>
        <v>ACC530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1</v>
      </c>
      <c r="AH48">
        <v>0</v>
      </c>
      <c r="AI48" t="s">
        <v>167</v>
      </c>
      <c r="AJ48">
        <v>34.246766999999998</v>
      </c>
      <c r="AK48" t="s">
        <v>168</v>
      </c>
      <c r="AL48">
        <v>-116.878631</v>
      </c>
      <c r="AM48">
        <v>100</v>
      </c>
      <c r="AN48">
        <v>8400</v>
      </c>
      <c r="AO48" t="s">
        <v>118</v>
      </c>
      <c r="AP48">
        <v>-69</v>
      </c>
      <c r="AQ48">
        <v>-49</v>
      </c>
      <c r="AR48">
        <v>1088</v>
      </c>
      <c r="AZ48">
        <v>1200</v>
      </c>
      <c r="BA48">
        <v>1</v>
      </c>
      <c r="BB48" t="str">
        <f t="shared" si="13"/>
        <v xml:space="preserve">N9217B  </v>
      </c>
      <c r="BC48">
        <v>1</v>
      </c>
      <c r="BE48">
        <v>0</v>
      </c>
      <c r="BF48">
        <v>0</v>
      </c>
      <c r="BG48">
        <v>0</v>
      </c>
      <c r="BH48">
        <v>8500</v>
      </c>
      <c r="BI48">
        <v>1</v>
      </c>
      <c r="BJ48">
        <v>0</v>
      </c>
      <c r="BK48">
        <v>0</v>
      </c>
      <c r="BL48">
        <v>0</v>
      </c>
      <c r="BO48">
        <v>0</v>
      </c>
      <c r="BP48">
        <v>0</v>
      </c>
      <c r="BW48" t="str">
        <f t="shared" si="22"/>
        <v>14:49:11.497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5</v>
      </c>
      <c r="CP48" t="s">
        <v>119</v>
      </c>
      <c r="CQ48">
        <v>293</v>
      </c>
      <c r="CR48">
        <v>1</v>
      </c>
      <c r="CW48">
        <v>15262905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25">
      <c r="A49" t="str">
        <f t="shared" si="19"/>
        <v>06/05/2020 14:49:05.846</v>
      </c>
      <c r="C49" t="str">
        <f t="shared" si="10"/>
        <v>FFDFD3C0</v>
      </c>
      <c r="D49" t="s">
        <v>151</v>
      </c>
      <c r="E49">
        <v>9</v>
      </c>
      <c r="H49">
        <v>226</v>
      </c>
      <c r="I49" t="s">
        <v>152</v>
      </c>
      <c r="J49" t="s">
        <v>150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0"/>
        <v>14:49:11.492</v>
      </c>
      <c r="T49" t="str">
        <f t="shared" si="21"/>
        <v>14:49:10.992</v>
      </c>
      <c r="U49" t="str">
        <f t="shared" si="1"/>
        <v>ACC530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1</v>
      </c>
      <c r="AH49">
        <v>0</v>
      </c>
      <c r="AI49" t="s">
        <v>167</v>
      </c>
      <c r="AJ49">
        <v>34.246766999999998</v>
      </c>
      <c r="AK49" t="s">
        <v>168</v>
      </c>
      <c r="AL49">
        <v>-116.878631</v>
      </c>
      <c r="AM49">
        <v>100</v>
      </c>
      <c r="AN49">
        <v>8400</v>
      </c>
      <c r="AO49" t="s">
        <v>118</v>
      </c>
      <c r="AP49">
        <v>-69</v>
      </c>
      <c r="AQ49">
        <v>-49</v>
      </c>
      <c r="AR49">
        <v>1088</v>
      </c>
      <c r="AZ49">
        <v>1200</v>
      </c>
      <c r="BA49">
        <v>1</v>
      </c>
      <c r="BB49" t="str">
        <f t="shared" si="13"/>
        <v xml:space="preserve">N9217B  </v>
      </c>
      <c r="BC49">
        <v>1</v>
      </c>
      <c r="BE49">
        <v>0</v>
      </c>
      <c r="BF49">
        <v>0</v>
      </c>
      <c r="BG49">
        <v>0</v>
      </c>
      <c r="BH49">
        <v>8500</v>
      </c>
      <c r="BI49">
        <v>1</v>
      </c>
      <c r="BJ49">
        <v>0</v>
      </c>
      <c r="BK49">
        <v>0</v>
      </c>
      <c r="BL49">
        <v>0</v>
      </c>
      <c r="BO49">
        <v>0</v>
      </c>
      <c r="BP49">
        <v>0</v>
      </c>
      <c r="BW49" t="str">
        <f t="shared" si="22"/>
        <v>14:49:11.497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293</v>
      </c>
      <c r="CR49">
        <v>1</v>
      </c>
      <c r="CW49">
        <v>15262905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25">
      <c r="A50" t="str">
        <f t="shared" si="19"/>
        <v>06/05/2020 14:49:05.846</v>
      </c>
      <c r="C50" t="str">
        <f t="shared" si="10"/>
        <v>FFDFD3C0</v>
      </c>
      <c r="D50" t="s">
        <v>143</v>
      </c>
      <c r="E50">
        <v>10</v>
      </c>
      <c r="F50">
        <v>3010</v>
      </c>
      <c r="G50" t="s">
        <v>144</v>
      </c>
      <c r="J50" t="s">
        <v>145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0"/>
        <v>14:49:11.492</v>
      </c>
      <c r="T50" t="str">
        <f t="shared" si="21"/>
        <v>14:49:10.992</v>
      </c>
      <c r="U50" t="str">
        <f t="shared" si="1"/>
        <v>ACC530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1</v>
      </c>
      <c r="AH50">
        <v>0</v>
      </c>
      <c r="AI50" t="s">
        <v>167</v>
      </c>
      <c r="AJ50">
        <v>34.246766999999998</v>
      </c>
      <c r="AK50" t="s">
        <v>168</v>
      </c>
      <c r="AL50">
        <v>-116.878631</v>
      </c>
      <c r="AM50">
        <v>100</v>
      </c>
      <c r="AN50">
        <v>8400</v>
      </c>
      <c r="AO50" t="s">
        <v>118</v>
      </c>
      <c r="AP50">
        <v>-69</v>
      </c>
      <c r="AQ50">
        <v>-49</v>
      </c>
      <c r="AR50">
        <v>1088</v>
      </c>
      <c r="AZ50">
        <v>1200</v>
      </c>
      <c r="BA50">
        <v>1</v>
      </c>
      <c r="BB50" t="str">
        <f t="shared" si="13"/>
        <v xml:space="preserve">N9217B  </v>
      </c>
      <c r="BC50">
        <v>1</v>
      </c>
      <c r="BE50">
        <v>0</v>
      </c>
      <c r="BF50">
        <v>0</v>
      </c>
      <c r="BG50">
        <v>0</v>
      </c>
      <c r="BH50">
        <v>8500</v>
      </c>
      <c r="BI50">
        <v>1</v>
      </c>
      <c r="BJ50">
        <v>0</v>
      </c>
      <c r="BK50">
        <v>0</v>
      </c>
      <c r="BL50">
        <v>0</v>
      </c>
      <c r="BO50">
        <v>0</v>
      </c>
      <c r="BP50">
        <v>0</v>
      </c>
      <c r="BW50" t="str">
        <f t="shared" si="22"/>
        <v>14:49:11.497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293</v>
      </c>
      <c r="CR50">
        <v>1</v>
      </c>
      <c r="CW50">
        <v>15262905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25">
      <c r="A51" t="str">
        <f t="shared" si="19"/>
        <v>06/05/2020 14:49:05.846</v>
      </c>
      <c r="C51" t="str">
        <f t="shared" si="10"/>
        <v>FFDFD3C0</v>
      </c>
      <c r="D51" t="s">
        <v>113</v>
      </c>
      <c r="E51">
        <v>3</v>
      </c>
      <c r="H51">
        <v>166</v>
      </c>
      <c r="I51" t="s">
        <v>114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0"/>
        <v>14:49:11.492</v>
      </c>
      <c r="T51" t="str">
        <f t="shared" si="21"/>
        <v>14:49:10.992</v>
      </c>
      <c r="U51" t="str">
        <f t="shared" si="1"/>
        <v>ACC530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1</v>
      </c>
      <c r="AH51">
        <v>0</v>
      </c>
      <c r="AI51" t="s">
        <v>167</v>
      </c>
      <c r="AJ51">
        <v>34.246766999999998</v>
      </c>
      <c r="AK51" t="s">
        <v>168</v>
      </c>
      <c r="AL51">
        <v>-116.878631</v>
      </c>
      <c r="AM51">
        <v>100</v>
      </c>
      <c r="AN51">
        <v>8400</v>
      </c>
      <c r="AO51" t="s">
        <v>118</v>
      </c>
      <c r="AP51">
        <v>-69</v>
      </c>
      <c r="AQ51">
        <v>-49</v>
      </c>
      <c r="AR51">
        <v>1088</v>
      </c>
      <c r="AZ51">
        <v>1200</v>
      </c>
      <c r="BA51">
        <v>1</v>
      </c>
      <c r="BB51" t="str">
        <f t="shared" si="13"/>
        <v xml:space="preserve">N9217B  </v>
      </c>
      <c r="BC51">
        <v>1</v>
      </c>
      <c r="BE51">
        <v>0</v>
      </c>
      <c r="BF51">
        <v>0</v>
      </c>
      <c r="BG51">
        <v>0</v>
      </c>
      <c r="BH51">
        <v>8500</v>
      </c>
      <c r="BI51">
        <v>1</v>
      </c>
      <c r="BJ51">
        <v>0</v>
      </c>
      <c r="BK51">
        <v>0</v>
      </c>
      <c r="BL51">
        <v>0</v>
      </c>
      <c r="BO51">
        <v>0</v>
      </c>
      <c r="BP51">
        <v>0</v>
      </c>
      <c r="BW51" t="str">
        <f t="shared" si="22"/>
        <v>14:49:11.497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293</v>
      </c>
      <c r="CR51">
        <v>1</v>
      </c>
      <c r="CW51">
        <v>15262905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25">
      <c r="A52" t="str">
        <f t="shared" si="19"/>
        <v>06/05/2020 14:49:05.846</v>
      </c>
      <c r="C52" t="str">
        <f t="shared" si="10"/>
        <v>FFDFD3C0</v>
      </c>
      <c r="D52" t="s">
        <v>141</v>
      </c>
      <c r="E52">
        <v>20</v>
      </c>
      <c r="F52">
        <v>1020</v>
      </c>
      <c r="G52" t="s">
        <v>114</v>
      </c>
      <c r="J52" t="s">
        <v>142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0"/>
        <v>14:49:11.492</v>
      </c>
      <c r="T52" t="str">
        <f t="shared" si="21"/>
        <v>14:49:10.992</v>
      </c>
      <c r="U52" t="str">
        <f t="shared" si="1"/>
        <v>ACC530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1</v>
      </c>
      <c r="AH52">
        <v>0</v>
      </c>
      <c r="AI52" t="s">
        <v>167</v>
      </c>
      <c r="AJ52">
        <v>34.246766999999998</v>
      </c>
      <c r="AK52" t="s">
        <v>168</v>
      </c>
      <c r="AL52">
        <v>-116.878631</v>
      </c>
      <c r="AM52">
        <v>100</v>
      </c>
      <c r="AN52">
        <v>8400</v>
      </c>
      <c r="AO52" t="s">
        <v>118</v>
      </c>
      <c r="AP52">
        <v>-69</v>
      </c>
      <c r="AQ52">
        <v>-49</v>
      </c>
      <c r="AR52">
        <v>1088</v>
      </c>
      <c r="AZ52">
        <v>1200</v>
      </c>
      <c r="BA52">
        <v>1</v>
      </c>
      <c r="BB52" t="str">
        <f t="shared" si="13"/>
        <v xml:space="preserve">N9217B  </v>
      </c>
      <c r="BC52">
        <v>1</v>
      </c>
      <c r="BE52">
        <v>0</v>
      </c>
      <c r="BF52">
        <v>0</v>
      </c>
      <c r="BG52">
        <v>0</v>
      </c>
      <c r="BH52">
        <v>8500</v>
      </c>
      <c r="BI52">
        <v>1</v>
      </c>
      <c r="BJ52">
        <v>0</v>
      </c>
      <c r="BK52">
        <v>0</v>
      </c>
      <c r="BL52">
        <v>0</v>
      </c>
      <c r="BO52">
        <v>0</v>
      </c>
      <c r="BP52">
        <v>0</v>
      </c>
      <c r="BW52" t="str">
        <f t="shared" si="22"/>
        <v>14:49:11.497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293</v>
      </c>
      <c r="CR52">
        <v>1</v>
      </c>
      <c r="CW52">
        <v>15262905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25">
      <c r="A53" t="str">
        <f t="shared" ref="A53:A58" si="23">"06/05/2020 14:49:06.808"</f>
        <v>06/05/2020 14:49:06.808</v>
      </c>
      <c r="C53" t="str">
        <f t="shared" si="10"/>
        <v>FFDFD3C0</v>
      </c>
      <c r="D53" t="s">
        <v>148</v>
      </c>
      <c r="E53">
        <v>8</v>
      </c>
      <c r="H53">
        <v>50</v>
      </c>
      <c r="I53" t="s">
        <v>149</v>
      </c>
      <c r="J53" t="s">
        <v>150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ref="S53:S58" si="24">"14:49:12.422"</f>
        <v>14:49:12.422</v>
      </c>
      <c r="T53" t="str">
        <f t="shared" ref="T53:T58" si="25">"14:49:12.022"</f>
        <v>14:49:12.022</v>
      </c>
      <c r="U53" t="str">
        <f t="shared" si="1"/>
        <v>ACC530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1</v>
      </c>
      <c r="AH53">
        <v>0</v>
      </c>
      <c r="AI53" t="s">
        <v>169</v>
      </c>
      <c r="AJ53">
        <v>34.246572999999998</v>
      </c>
      <c r="AK53" t="s">
        <v>170</v>
      </c>
      <c r="AL53">
        <v>-116.878953</v>
      </c>
      <c r="AM53">
        <v>100</v>
      </c>
      <c r="AN53">
        <v>8500</v>
      </c>
      <c r="AO53" t="s">
        <v>118</v>
      </c>
      <c r="AP53">
        <v>-68</v>
      </c>
      <c r="AQ53">
        <v>-49</v>
      </c>
      <c r="AR53">
        <v>960</v>
      </c>
      <c r="AZ53">
        <v>1200</v>
      </c>
      <c r="BA53">
        <v>1</v>
      </c>
      <c r="BB53" t="str">
        <f t="shared" si="13"/>
        <v xml:space="preserve">N9217B  </v>
      </c>
      <c r="BC53">
        <v>1</v>
      </c>
      <c r="BE53">
        <v>0</v>
      </c>
      <c r="BF53">
        <v>0</v>
      </c>
      <c r="BG53">
        <v>0</v>
      </c>
      <c r="BH53">
        <v>8600</v>
      </c>
      <c r="BI53">
        <v>1</v>
      </c>
      <c r="BJ53">
        <v>0</v>
      </c>
      <c r="BK53">
        <v>0</v>
      </c>
      <c r="BL53">
        <v>0</v>
      </c>
      <c r="BO53">
        <v>0</v>
      </c>
      <c r="BP53">
        <v>0</v>
      </c>
      <c r="BW53" t="str">
        <f t="shared" ref="BW53:BW58" si="26">"14:49:12.427"</f>
        <v>14:49:12.427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293</v>
      </c>
      <c r="CR53">
        <v>1</v>
      </c>
      <c r="CW53">
        <v>15263020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25">
      <c r="A54" t="str">
        <f t="shared" si="23"/>
        <v>06/05/2020 14:49:06.808</v>
      </c>
      <c r="C54" t="str">
        <f t="shared" si="10"/>
        <v>FFDFD3C0</v>
      </c>
      <c r="D54" t="s">
        <v>134</v>
      </c>
      <c r="E54">
        <v>7</v>
      </c>
      <c r="F54">
        <v>2007</v>
      </c>
      <c r="G54" t="s">
        <v>135</v>
      </c>
      <c r="J54" t="s">
        <v>136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24"/>
        <v>14:49:12.422</v>
      </c>
      <c r="T54" t="str">
        <f t="shared" si="25"/>
        <v>14:49:12.022</v>
      </c>
      <c r="U54" t="str">
        <f t="shared" si="1"/>
        <v>ACC530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1</v>
      </c>
      <c r="AH54">
        <v>0</v>
      </c>
      <c r="AI54" t="s">
        <v>169</v>
      </c>
      <c r="AJ54">
        <v>34.246572999999998</v>
      </c>
      <c r="AK54" t="s">
        <v>170</v>
      </c>
      <c r="AL54">
        <v>-116.878953</v>
      </c>
      <c r="AM54">
        <v>100</v>
      </c>
      <c r="AN54">
        <v>8500</v>
      </c>
      <c r="AO54" t="s">
        <v>118</v>
      </c>
      <c r="AP54">
        <v>-68</v>
      </c>
      <c r="AQ54">
        <v>-49</v>
      </c>
      <c r="AR54">
        <v>960</v>
      </c>
      <c r="AZ54">
        <v>1200</v>
      </c>
      <c r="BA54">
        <v>1</v>
      </c>
      <c r="BB54" t="str">
        <f t="shared" si="13"/>
        <v xml:space="preserve">N9217B  </v>
      </c>
      <c r="BC54">
        <v>1</v>
      </c>
      <c r="BE54">
        <v>0</v>
      </c>
      <c r="BF54">
        <v>0</v>
      </c>
      <c r="BG54">
        <v>0</v>
      </c>
      <c r="BH54">
        <v>8600</v>
      </c>
      <c r="BI54">
        <v>1</v>
      </c>
      <c r="BJ54">
        <v>0</v>
      </c>
      <c r="BK54">
        <v>0</v>
      </c>
      <c r="BL54">
        <v>0</v>
      </c>
      <c r="BO54">
        <v>0</v>
      </c>
      <c r="BP54">
        <v>0</v>
      </c>
      <c r="BW54" t="str">
        <f t="shared" si="26"/>
        <v>14:49:12.427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5</v>
      </c>
      <c r="CP54" t="s">
        <v>119</v>
      </c>
      <c r="CQ54">
        <v>293</v>
      </c>
      <c r="CR54">
        <v>1</v>
      </c>
      <c r="CW54">
        <v>15263020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25">
      <c r="A55" t="str">
        <f t="shared" si="23"/>
        <v>06/05/2020 14:49:06.808</v>
      </c>
      <c r="C55" t="str">
        <f t="shared" si="10"/>
        <v>FFDFD3C0</v>
      </c>
      <c r="D55" t="s">
        <v>143</v>
      </c>
      <c r="E55">
        <v>10</v>
      </c>
      <c r="F55">
        <v>3010</v>
      </c>
      <c r="G55" t="s">
        <v>144</v>
      </c>
      <c r="J55" t="s">
        <v>145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4"/>
        <v>14:49:12.422</v>
      </c>
      <c r="T55" t="str">
        <f t="shared" si="25"/>
        <v>14:49:12.022</v>
      </c>
      <c r="U55" t="str">
        <f t="shared" si="1"/>
        <v>ACC530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1</v>
      </c>
      <c r="AH55">
        <v>0</v>
      </c>
      <c r="AI55" t="s">
        <v>169</v>
      </c>
      <c r="AJ55">
        <v>34.246572999999998</v>
      </c>
      <c r="AK55" t="s">
        <v>170</v>
      </c>
      <c r="AL55">
        <v>-116.878953</v>
      </c>
      <c r="AM55">
        <v>100</v>
      </c>
      <c r="AN55">
        <v>8500</v>
      </c>
      <c r="AO55" t="s">
        <v>118</v>
      </c>
      <c r="AP55">
        <v>-68</v>
      </c>
      <c r="AQ55">
        <v>-49</v>
      </c>
      <c r="AR55">
        <v>960</v>
      </c>
      <c r="AZ55">
        <v>1200</v>
      </c>
      <c r="BA55">
        <v>1</v>
      </c>
      <c r="BB55" t="str">
        <f t="shared" si="13"/>
        <v xml:space="preserve">N9217B  </v>
      </c>
      <c r="BC55">
        <v>1</v>
      </c>
      <c r="BE55">
        <v>0</v>
      </c>
      <c r="BF55">
        <v>0</v>
      </c>
      <c r="BG55">
        <v>0</v>
      </c>
      <c r="BH55">
        <v>8600</v>
      </c>
      <c r="BI55">
        <v>1</v>
      </c>
      <c r="BJ55">
        <v>0</v>
      </c>
      <c r="BK55">
        <v>0</v>
      </c>
      <c r="BL55">
        <v>0</v>
      </c>
      <c r="BO55">
        <v>0</v>
      </c>
      <c r="BP55">
        <v>0</v>
      </c>
      <c r="BW55" t="str">
        <f t="shared" si="26"/>
        <v>14:49:12.427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5</v>
      </c>
      <c r="CP55" t="s">
        <v>119</v>
      </c>
      <c r="CQ55">
        <v>293</v>
      </c>
      <c r="CR55">
        <v>1</v>
      </c>
      <c r="CW55">
        <v>15263020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25">
      <c r="A56" t="str">
        <f t="shared" si="23"/>
        <v>06/05/2020 14:49:06.808</v>
      </c>
      <c r="C56" t="str">
        <f t="shared" si="10"/>
        <v>FFDFD3C0</v>
      </c>
      <c r="D56" t="s">
        <v>151</v>
      </c>
      <c r="E56">
        <v>9</v>
      </c>
      <c r="H56">
        <v>226</v>
      </c>
      <c r="I56" t="s">
        <v>152</v>
      </c>
      <c r="J56" t="s">
        <v>150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24"/>
        <v>14:49:12.422</v>
      </c>
      <c r="T56" t="str">
        <f t="shared" si="25"/>
        <v>14:49:12.022</v>
      </c>
      <c r="U56" t="str">
        <f t="shared" si="1"/>
        <v>ACC530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1</v>
      </c>
      <c r="AH56">
        <v>0</v>
      </c>
      <c r="AI56" t="s">
        <v>169</v>
      </c>
      <c r="AJ56">
        <v>34.246572999999998</v>
      </c>
      <c r="AK56" t="s">
        <v>170</v>
      </c>
      <c r="AL56">
        <v>-116.878953</v>
      </c>
      <c r="AM56">
        <v>100</v>
      </c>
      <c r="AN56">
        <v>8500</v>
      </c>
      <c r="AO56" t="s">
        <v>118</v>
      </c>
      <c r="AP56">
        <v>-68</v>
      </c>
      <c r="AQ56">
        <v>-49</v>
      </c>
      <c r="AR56">
        <v>960</v>
      </c>
      <c r="AZ56">
        <v>1200</v>
      </c>
      <c r="BA56">
        <v>1</v>
      </c>
      <c r="BB56" t="str">
        <f t="shared" si="13"/>
        <v xml:space="preserve">N9217B  </v>
      </c>
      <c r="BC56">
        <v>1</v>
      </c>
      <c r="BE56">
        <v>0</v>
      </c>
      <c r="BF56">
        <v>0</v>
      </c>
      <c r="BG56">
        <v>0</v>
      </c>
      <c r="BH56">
        <v>8600</v>
      </c>
      <c r="BI56">
        <v>1</v>
      </c>
      <c r="BJ56">
        <v>0</v>
      </c>
      <c r="BK56">
        <v>0</v>
      </c>
      <c r="BL56">
        <v>0</v>
      </c>
      <c r="BO56">
        <v>0</v>
      </c>
      <c r="BP56">
        <v>0</v>
      </c>
      <c r="BW56" t="str">
        <f t="shared" si="26"/>
        <v>14:49:12.427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5</v>
      </c>
      <c r="CP56" t="s">
        <v>119</v>
      </c>
      <c r="CQ56">
        <v>293</v>
      </c>
      <c r="CR56">
        <v>1</v>
      </c>
      <c r="CW56">
        <v>15263020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25">
      <c r="A57" t="str">
        <f t="shared" si="23"/>
        <v>06/05/2020 14:49:06.808</v>
      </c>
      <c r="C57" t="str">
        <f t="shared" si="10"/>
        <v>FFDFD3C0</v>
      </c>
      <c r="D57" t="s">
        <v>113</v>
      </c>
      <c r="E57">
        <v>3</v>
      </c>
      <c r="H57">
        <v>166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24"/>
        <v>14:49:12.422</v>
      </c>
      <c r="T57" t="str">
        <f t="shared" si="25"/>
        <v>14:49:12.022</v>
      </c>
      <c r="U57" t="str">
        <f t="shared" si="1"/>
        <v>ACC530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1</v>
      </c>
      <c r="AH57">
        <v>0</v>
      </c>
      <c r="AI57" t="s">
        <v>169</v>
      </c>
      <c r="AJ57">
        <v>34.246572999999998</v>
      </c>
      <c r="AK57" t="s">
        <v>170</v>
      </c>
      <c r="AL57">
        <v>-116.878953</v>
      </c>
      <c r="AM57">
        <v>100</v>
      </c>
      <c r="AN57">
        <v>8500</v>
      </c>
      <c r="AO57" t="s">
        <v>118</v>
      </c>
      <c r="AP57">
        <v>-68</v>
      </c>
      <c r="AQ57">
        <v>-49</v>
      </c>
      <c r="AR57">
        <v>960</v>
      </c>
      <c r="AZ57">
        <v>1200</v>
      </c>
      <c r="BA57">
        <v>1</v>
      </c>
      <c r="BB57" t="str">
        <f t="shared" si="13"/>
        <v xml:space="preserve">N9217B  </v>
      </c>
      <c r="BC57">
        <v>1</v>
      </c>
      <c r="BE57">
        <v>0</v>
      </c>
      <c r="BF57">
        <v>0</v>
      </c>
      <c r="BG57">
        <v>0</v>
      </c>
      <c r="BH57">
        <v>8600</v>
      </c>
      <c r="BI57">
        <v>1</v>
      </c>
      <c r="BJ57">
        <v>0</v>
      </c>
      <c r="BK57">
        <v>0</v>
      </c>
      <c r="BL57">
        <v>0</v>
      </c>
      <c r="BO57">
        <v>0</v>
      </c>
      <c r="BP57">
        <v>0</v>
      </c>
      <c r="BW57" t="str">
        <f t="shared" si="26"/>
        <v>14:49:12.427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119</v>
      </c>
      <c r="CQ57">
        <v>293</v>
      </c>
      <c r="CR57">
        <v>1</v>
      </c>
      <c r="CW57">
        <v>15263020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25">
      <c r="A58" t="str">
        <f t="shared" si="23"/>
        <v>06/05/2020 14:49:06.808</v>
      </c>
      <c r="C58" t="str">
        <f t="shared" si="10"/>
        <v>FFDFD3C0</v>
      </c>
      <c r="D58" t="s">
        <v>141</v>
      </c>
      <c r="E58">
        <v>20</v>
      </c>
      <c r="F58">
        <v>1020</v>
      </c>
      <c r="G58" t="s">
        <v>114</v>
      </c>
      <c r="J58" t="s">
        <v>142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24"/>
        <v>14:49:12.422</v>
      </c>
      <c r="T58" t="str">
        <f t="shared" si="25"/>
        <v>14:49:12.022</v>
      </c>
      <c r="U58" t="str">
        <f t="shared" si="1"/>
        <v>ACC530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1</v>
      </c>
      <c r="AH58">
        <v>0</v>
      </c>
      <c r="AI58" t="s">
        <v>169</v>
      </c>
      <c r="AJ58">
        <v>34.246572999999998</v>
      </c>
      <c r="AK58" t="s">
        <v>170</v>
      </c>
      <c r="AL58">
        <v>-116.878953</v>
      </c>
      <c r="AM58">
        <v>100</v>
      </c>
      <c r="AN58">
        <v>8500</v>
      </c>
      <c r="AO58" t="s">
        <v>118</v>
      </c>
      <c r="AP58">
        <v>-68</v>
      </c>
      <c r="AQ58">
        <v>-49</v>
      </c>
      <c r="AR58">
        <v>960</v>
      </c>
      <c r="AZ58">
        <v>1200</v>
      </c>
      <c r="BA58">
        <v>1</v>
      </c>
      <c r="BB58" t="str">
        <f t="shared" si="13"/>
        <v xml:space="preserve">N9217B  </v>
      </c>
      <c r="BC58">
        <v>1</v>
      </c>
      <c r="BE58">
        <v>0</v>
      </c>
      <c r="BF58">
        <v>0</v>
      </c>
      <c r="BG58">
        <v>0</v>
      </c>
      <c r="BH58">
        <v>8600</v>
      </c>
      <c r="BI58">
        <v>1</v>
      </c>
      <c r="BJ58">
        <v>0</v>
      </c>
      <c r="BK58">
        <v>0</v>
      </c>
      <c r="BL58">
        <v>0</v>
      </c>
      <c r="BO58">
        <v>0</v>
      </c>
      <c r="BP58">
        <v>0</v>
      </c>
      <c r="BW58" t="str">
        <f t="shared" si="26"/>
        <v>14:49:12.427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293</v>
      </c>
      <c r="CR58">
        <v>1</v>
      </c>
      <c r="CW58">
        <v>15263020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25">
      <c r="A59" t="str">
        <f t="shared" ref="A59:A64" si="27">"06/05/2020 14:49:07.719"</f>
        <v>06/05/2020 14:49:07.719</v>
      </c>
      <c r="C59" t="str">
        <f t="shared" si="10"/>
        <v>FFDFD3C0</v>
      </c>
      <c r="D59" t="s">
        <v>148</v>
      </c>
      <c r="E59">
        <v>8</v>
      </c>
      <c r="H59">
        <v>50</v>
      </c>
      <c r="I59" t="s">
        <v>149</v>
      </c>
      <c r="J59" t="s">
        <v>150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ref="S59:S64" si="28">"14:49:13.352"</f>
        <v>14:49:13.352</v>
      </c>
      <c r="T59" t="str">
        <f t="shared" ref="T59:T64" si="29">"14:49:12.952"</f>
        <v>14:49:12.952</v>
      </c>
      <c r="U59" t="str">
        <f t="shared" si="1"/>
        <v>ACC530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1</v>
      </c>
      <c r="AH59">
        <v>0</v>
      </c>
      <c r="AI59" t="s">
        <v>171</v>
      </c>
      <c r="AJ59">
        <v>34.246336999999997</v>
      </c>
      <c r="AK59" t="s">
        <v>172</v>
      </c>
      <c r="AL59">
        <v>-116.879318</v>
      </c>
      <c r="AM59">
        <v>100</v>
      </c>
      <c r="AN59">
        <v>8500</v>
      </c>
      <c r="AO59" t="s">
        <v>118</v>
      </c>
      <c r="AP59">
        <v>-67</v>
      </c>
      <c r="AQ59">
        <v>-49</v>
      </c>
      <c r="AR59">
        <v>960</v>
      </c>
      <c r="AZ59">
        <v>1200</v>
      </c>
      <c r="BA59">
        <v>1</v>
      </c>
      <c r="BB59" t="str">
        <f t="shared" si="13"/>
        <v xml:space="preserve">N9217B  </v>
      </c>
      <c r="BC59">
        <v>1</v>
      </c>
      <c r="BE59">
        <v>0</v>
      </c>
      <c r="BF59">
        <v>0</v>
      </c>
      <c r="BG59">
        <v>0</v>
      </c>
      <c r="BH59">
        <v>8625</v>
      </c>
      <c r="BI59">
        <v>1</v>
      </c>
      <c r="BJ59">
        <v>0</v>
      </c>
      <c r="BK59">
        <v>0</v>
      </c>
      <c r="BL59">
        <v>0</v>
      </c>
      <c r="BO59">
        <v>0</v>
      </c>
      <c r="BP59">
        <v>0</v>
      </c>
      <c r="BW59" t="str">
        <f t="shared" ref="BW59:BW64" si="30">"14:49:13.357"</f>
        <v>14:49:13.357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293</v>
      </c>
      <c r="CR59">
        <v>1</v>
      </c>
      <c r="CW59">
        <v>15263127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25">
      <c r="A60" t="str">
        <f t="shared" si="27"/>
        <v>06/05/2020 14:49:07.719</v>
      </c>
      <c r="C60" t="str">
        <f t="shared" si="10"/>
        <v>FFDFD3C0</v>
      </c>
      <c r="D60" t="s">
        <v>143</v>
      </c>
      <c r="E60">
        <v>10</v>
      </c>
      <c r="F60">
        <v>3010</v>
      </c>
      <c r="G60" t="s">
        <v>144</v>
      </c>
      <c r="J60" t="s">
        <v>145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28"/>
        <v>14:49:13.352</v>
      </c>
      <c r="T60" t="str">
        <f t="shared" si="29"/>
        <v>14:49:12.952</v>
      </c>
      <c r="U60" t="str">
        <f t="shared" si="1"/>
        <v>ACC530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1</v>
      </c>
      <c r="AH60">
        <v>0</v>
      </c>
      <c r="AI60" t="s">
        <v>171</v>
      </c>
      <c r="AJ60">
        <v>34.246336999999997</v>
      </c>
      <c r="AK60" t="s">
        <v>172</v>
      </c>
      <c r="AL60">
        <v>-116.879318</v>
      </c>
      <c r="AM60">
        <v>100</v>
      </c>
      <c r="AN60">
        <v>8500</v>
      </c>
      <c r="AO60" t="s">
        <v>118</v>
      </c>
      <c r="AP60">
        <v>-67</v>
      </c>
      <c r="AQ60">
        <v>-49</v>
      </c>
      <c r="AR60">
        <v>960</v>
      </c>
      <c r="AZ60">
        <v>1200</v>
      </c>
      <c r="BA60">
        <v>1</v>
      </c>
      <c r="BB60" t="str">
        <f t="shared" si="13"/>
        <v xml:space="preserve">N9217B  </v>
      </c>
      <c r="BC60">
        <v>1</v>
      </c>
      <c r="BE60">
        <v>0</v>
      </c>
      <c r="BF60">
        <v>0</v>
      </c>
      <c r="BG60">
        <v>0</v>
      </c>
      <c r="BH60">
        <v>8625</v>
      </c>
      <c r="BI60">
        <v>1</v>
      </c>
      <c r="BJ60">
        <v>0</v>
      </c>
      <c r="BK60">
        <v>0</v>
      </c>
      <c r="BL60">
        <v>0</v>
      </c>
      <c r="BO60">
        <v>0</v>
      </c>
      <c r="BP60">
        <v>0</v>
      </c>
      <c r="BW60" t="str">
        <f t="shared" si="30"/>
        <v>14:49:13.357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293</v>
      </c>
      <c r="CR60">
        <v>1</v>
      </c>
      <c r="CW60">
        <v>15263127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25">
      <c r="A61" t="str">
        <f t="shared" si="27"/>
        <v>06/05/2020 14:49:07.719</v>
      </c>
      <c r="C61" t="str">
        <f t="shared" si="10"/>
        <v>FFDFD3C0</v>
      </c>
      <c r="D61" t="s">
        <v>134</v>
      </c>
      <c r="E61">
        <v>7</v>
      </c>
      <c r="F61">
        <v>2007</v>
      </c>
      <c r="G61" t="s">
        <v>135</v>
      </c>
      <c r="J61" t="s">
        <v>136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28"/>
        <v>14:49:13.352</v>
      </c>
      <c r="T61" t="str">
        <f t="shared" si="29"/>
        <v>14:49:12.952</v>
      </c>
      <c r="U61" t="str">
        <f t="shared" si="1"/>
        <v>ACC530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1</v>
      </c>
      <c r="AH61">
        <v>0</v>
      </c>
      <c r="AI61" t="s">
        <v>171</v>
      </c>
      <c r="AJ61">
        <v>34.246336999999997</v>
      </c>
      <c r="AK61" t="s">
        <v>172</v>
      </c>
      <c r="AL61">
        <v>-116.879318</v>
      </c>
      <c r="AM61">
        <v>100</v>
      </c>
      <c r="AN61">
        <v>8500</v>
      </c>
      <c r="AO61" t="s">
        <v>118</v>
      </c>
      <c r="AP61">
        <v>-67</v>
      </c>
      <c r="AQ61">
        <v>-49</v>
      </c>
      <c r="AR61">
        <v>960</v>
      </c>
      <c r="AZ61">
        <v>1200</v>
      </c>
      <c r="BA61">
        <v>1</v>
      </c>
      <c r="BB61" t="str">
        <f t="shared" si="13"/>
        <v xml:space="preserve">N9217B  </v>
      </c>
      <c r="BC61">
        <v>1</v>
      </c>
      <c r="BE61">
        <v>0</v>
      </c>
      <c r="BF61">
        <v>0</v>
      </c>
      <c r="BG61">
        <v>0</v>
      </c>
      <c r="BH61">
        <v>8625</v>
      </c>
      <c r="BI61">
        <v>1</v>
      </c>
      <c r="BJ61">
        <v>0</v>
      </c>
      <c r="BK61">
        <v>0</v>
      </c>
      <c r="BL61">
        <v>0</v>
      </c>
      <c r="BO61">
        <v>0</v>
      </c>
      <c r="BP61">
        <v>0</v>
      </c>
      <c r="BW61" t="str">
        <f t="shared" si="30"/>
        <v>14:49:13.357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293</v>
      </c>
      <c r="CR61">
        <v>1</v>
      </c>
      <c r="CW61">
        <v>15263127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25">
      <c r="A62" t="str">
        <f t="shared" si="27"/>
        <v>06/05/2020 14:49:07.719</v>
      </c>
      <c r="C62" t="str">
        <f t="shared" si="10"/>
        <v>FFDFD3C0</v>
      </c>
      <c r="D62" t="s">
        <v>151</v>
      </c>
      <c r="E62">
        <v>9</v>
      </c>
      <c r="H62">
        <v>226</v>
      </c>
      <c r="I62" t="s">
        <v>152</v>
      </c>
      <c r="J62" t="s">
        <v>150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28"/>
        <v>14:49:13.352</v>
      </c>
      <c r="T62" t="str">
        <f t="shared" si="29"/>
        <v>14:49:12.952</v>
      </c>
      <c r="U62" t="str">
        <f t="shared" si="1"/>
        <v>ACC530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1</v>
      </c>
      <c r="AH62">
        <v>0</v>
      </c>
      <c r="AI62" t="s">
        <v>171</v>
      </c>
      <c r="AJ62">
        <v>34.246336999999997</v>
      </c>
      <c r="AK62" t="s">
        <v>172</v>
      </c>
      <c r="AL62">
        <v>-116.879318</v>
      </c>
      <c r="AM62">
        <v>100</v>
      </c>
      <c r="AN62">
        <v>8500</v>
      </c>
      <c r="AO62" t="s">
        <v>118</v>
      </c>
      <c r="AP62">
        <v>-67</v>
      </c>
      <c r="AQ62">
        <v>-49</v>
      </c>
      <c r="AR62">
        <v>960</v>
      </c>
      <c r="AZ62">
        <v>1200</v>
      </c>
      <c r="BA62">
        <v>1</v>
      </c>
      <c r="BB62" t="str">
        <f t="shared" si="13"/>
        <v xml:space="preserve">N9217B  </v>
      </c>
      <c r="BC62">
        <v>1</v>
      </c>
      <c r="BE62">
        <v>0</v>
      </c>
      <c r="BF62">
        <v>0</v>
      </c>
      <c r="BG62">
        <v>0</v>
      </c>
      <c r="BH62">
        <v>8625</v>
      </c>
      <c r="BI62">
        <v>1</v>
      </c>
      <c r="BJ62">
        <v>0</v>
      </c>
      <c r="BK62">
        <v>0</v>
      </c>
      <c r="BL62">
        <v>0</v>
      </c>
      <c r="BO62">
        <v>0</v>
      </c>
      <c r="BP62">
        <v>0</v>
      </c>
      <c r="BW62" t="str">
        <f t="shared" si="30"/>
        <v>14:49:13.357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293</v>
      </c>
      <c r="CR62">
        <v>1</v>
      </c>
      <c r="CW62">
        <v>15263127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25">
      <c r="A63" t="str">
        <f t="shared" si="27"/>
        <v>06/05/2020 14:49:07.719</v>
      </c>
      <c r="C63" t="str">
        <f t="shared" si="10"/>
        <v>FFDFD3C0</v>
      </c>
      <c r="D63" t="s">
        <v>113</v>
      </c>
      <c r="E63">
        <v>3</v>
      </c>
      <c r="H63">
        <v>166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28"/>
        <v>14:49:13.352</v>
      </c>
      <c r="T63" t="str">
        <f t="shared" si="29"/>
        <v>14:49:12.952</v>
      </c>
      <c r="U63" t="str">
        <f t="shared" si="1"/>
        <v>ACC530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1</v>
      </c>
      <c r="AH63">
        <v>0</v>
      </c>
      <c r="AI63" t="s">
        <v>171</v>
      </c>
      <c r="AJ63">
        <v>34.246336999999997</v>
      </c>
      <c r="AK63" t="s">
        <v>172</v>
      </c>
      <c r="AL63">
        <v>-116.879318</v>
      </c>
      <c r="AM63">
        <v>100</v>
      </c>
      <c r="AN63">
        <v>8500</v>
      </c>
      <c r="AO63" t="s">
        <v>118</v>
      </c>
      <c r="AP63">
        <v>-67</v>
      </c>
      <c r="AQ63">
        <v>-49</v>
      </c>
      <c r="AR63">
        <v>960</v>
      </c>
      <c r="AZ63">
        <v>1200</v>
      </c>
      <c r="BA63">
        <v>1</v>
      </c>
      <c r="BB63" t="str">
        <f t="shared" si="13"/>
        <v xml:space="preserve">N9217B  </v>
      </c>
      <c r="BC63">
        <v>1</v>
      </c>
      <c r="BE63">
        <v>0</v>
      </c>
      <c r="BF63">
        <v>0</v>
      </c>
      <c r="BG63">
        <v>0</v>
      </c>
      <c r="BH63">
        <v>8625</v>
      </c>
      <c r="BI63">
        <v>1</v>
      </c>
      <c r="BJ63">
        <v>0</v>
      </c>
      <c r="BK63">
        <v>0</v>
      </c>
      <c r="BL63">
        <v>0</v>
      </c>
      <c r="BO63">
        <v>0</v>
      </c>
      <c r="BP63">
        <v>0</v>
      </c>
      <c r="BW63" t="str">
        <f t="shared" si="30"/>
        <v>14:49:13.357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293</v>
      </c>
      <c r="CR63">
        <v>1</v>
      </c>
      <c r="CW63">
        <v>15263127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25">
      <c r="A64" t="str">
        <f t="shared" si="27"/>
        <v>06/05/2020 14:49:07.719</v>
      </c>
      <c r="C64" t="str">
        <f t="shared" si="10"/>
        <v>FFDFD3C0</v>
      </c>
      <c r="D64" t="s">
        <v>141</v>
      </c>
      <c r="E64">
        <v>20</v>
      </c>
      <c r="F64">
        <v>1020</v>
      </c>
      <c r="G64" t="s">
        <v>114</v>
      </c>
      <c r="J64" t="s">
        <v>142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28"/>
        <v>14:49:13.352</v>
      </c>
      <c r="T64" t="str">
        <f t="shared" si="29"/>
        <v>14:49:12.952</v>
      </c>
      <c r="U64" t="str">
        <f t="shared" si="1"/>
        <v>ACC530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1</v>
      </c>
      <c r="AH64">
        <v>0</v>
      </c>
      <c r="AI64" t="s">
        <v>171</v>
      </c>
      <c r="AJ64">
        <v>34.246336999999997</v>
      </c>
      <c r="AK64" t="s">
        <v>172</v>
      </c>
      <c r="AL64">
        <v>-116.879318</v>
      </c>
      <c r="AM64">
        <v>100</v>
      </c>
      <c r="AN64">
        <v>8500</v>
      </c>
      <c r="AO64" t="s">
        <v>118</v>
      </c>
      <c r="AP64">
        <v>-67</v>
      </c>
      <c r="AQ64">
        <v>-49</v>
      </c>
      <c r="AR64">
        <v>960</v>
      </c>
      <c r="AZ64">
        <v>1200</v>
      </c>
      <c r="BA64">
        <v>1</v>
      </c>
      <c r="BB64" t="str">
        <f t="shared" si="13"/>
        <v xml:space="preserve">N9217B  </v>
      </c>
      <c r="BC64">
        <v>1</v>
      </c>
      <c r="BE64">
        <v>0</v>
      </c>
      <c r="BF64">
        <v>0</v>
      </c>
      <c r="BG64">
        <v>0</v>
      </c>
      <c r="BH64">
        <v>8625</v>
      </c>
      <c r="BI64">
        <v>1</v>
      </c>
      <c r="BJ64">
        <v>0</v>
      </c>
      <c r="BK64">
        <v>0</v>
      </c>
      <c r="BL64">
        <v>0</v>
      </c>
      <c r="BO64">
        <v>0</v>
      </c>
      <c r="BP64">
        <v>0</v>
      </c>
      <c r="BW64" t="str">
        <f t="shared" si="30"/>
        <v>14:49:13.357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293</v>
      </c>
      <c r="CR64">
        <v>1</v>
      </c>
      <c r="CW64">
        <v>15263127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25">
      <c r="A65" t="str">
        <f t="shared" ref="A65:A70" si="31">"06/05/2020 14:49:08.780"</f>
        <v>06/05/2020 14:49:08.780</v>
      </c>
      <c r="C65" t="str">
        <f t="shared" si="10"/>
        <v>FFDFD3C0</v>
      </c>
      <c r="D65" t="s">
        <v>148</v>
      </c>
      <c r="E65">
        <v>8</v>
      </c>
      <c r="H65">
        <v>50</v>
      </c>
      <c r="I65" t="s">
        <v>149</v>
      </c>
      <c r="J65" t="s">
        <v>150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ref="S65:S70" si="32">"14:49:14.414"</f>
        <v>14:49:14.414</v>
      </c>
      <c r="T65" t="str">
        <f t="shared" ref="T65:T70" si="33">"14:49:14.214"</f>
        <v>14:49:14.214</v>
      </c>
      <c r="U65" t="str">
        <f t="shared" si="1"/>
        <v>ACC530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1</v>
      </c>
      <c r="AH65">
        <v>0</v>
      </c>
      <c r="AI65" t="s">
        <v>173</v>
      </c>
      <c r="AJ65">
        <v>34.246122999999997</v>
      </c>
      <c r="AK65" t="s">
        <v>174</v>
      </c>
      <c r="AL65">
        <v>-116.879683</v>
      </c>
      <c r="AM65">
        <v>100</v>
      </c>
      <c r="AN65">
        <v>8500</v>
      </c>
      <c r="AO65" t="s">
        <v>118</v>
      </c>
      <c r="AP65">
        <v>-65</v>
      </c>
      <c r="AQ65">
        <v>-49</v>
      </c>
      <c r="AR65">
        <v>960</v>
      </c>
      <c r="AZ65">
        <v>1200</v>
      </c>
      <c r="BA65">
        <v>1</v>
      </c>
      <c r="BB65" t="str">
        <f t="shared" si="13"/>
        <v xml:space="preserve">N9217B  </v>
      </c>
      <c r="BC65">
        <v>1</v>
      </c>
      <c r="BE65">
        <v>0</v>
      </c>
      <c r="BF65">
        <v>0</v>
      </c>
      <c r="BG65">
        <v>0</v>
      </c>
      <c r="BH65">
        <v>8550</v>
      </c>
      <c r="BI65">
        <v>1</v>
      </c>
      <c r="BJ65">
        <v>0</v>
      </c>
      <c r="BK65">
        <v>0</v>
      </c>
      <c r="BL65">
        <v>0</v>
      </c>
      <c r="BO65">
        <v>0</v>
      </c>
      <c r="BP65">
        <v>0</v>
      </c>
      <c r="BW65" t="str">
        <f t="shared" ref="BW65:BW70" si="34">"14:49:14.422"</f>
        <v>14:49:14.422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293</v>
      </c>
      <c r="CR65">
        <v>1</v>
      </c>
      <c r="CW65">
        <v>15263250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25">
      <c r="A66" t="str">
        <f t="shared" si="31"/>
        <v>06/05/2020 14:49:08.780</v>
      </c>
      <c r="C66" t="str">
        <f t="shared" si="10"/>
        <v>FFDFD3C0</v>
      </c>
      <c r="D66" t="s">
        <v>143</v>
      </c>
      <c r="E66">
        <v>10</v>
      </c>
      <c r="F66">
        <v>3010</v>
      </c>
      <c r="G66" t="s">
        <v>144</v>
      </c>
      <c r="J66" t="s">
        <v>145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2"/>
        <v>14:49:14.414</v>
      </c>
      <c r="T66" t="str">
        <f t="shared" si="33"/>
        <v>14:49:14.214</v>
      </c>
      <c r="U66" t="str">
        <f t="shared" ref="U66:U129" si="35">"ACC530"</f>
        <v>ACC530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1</v>
      </c>
      <c r="AH66">
        <v>0</v>
      </c>
      <c r="AI66" t="s">
        <v>173</v>
      </c>
      <c r="AJ66">
        <v>34.246122999999997</v>
      </c>
      <c r="AK66" t="s">
        <v>174</v>
      </c>
      <c r="AL66">
        <v>-116.879683</v>
      </c>
      <c r="AM66">
        <v>100</v>
      </c>
      <c r="AN66">
        <v>8500</v>
      </c>
      <c r="AO66" t="s">
        <v>118</v>
      </c>
      <c r="AP66">
        <v>-65</v>
      </c>
      <c r="AQ66">
        <v>-49</v>
      </c>
      <c r="AR66">
        <v>960</v>
      </c>
      <c r="AZ66">
        <v>1200</v>
      </c>
      <c r="BA66">
        <v>1</v>
      </c>
      <c r="BB66" t="str">
        <f t="shared" si="13"/>
        <v xml:space="preserve">N9217B  </v>
      </c>
      <c r="BC66">
        <v>1</v>
      </c>
      <c r="BE66">
        <v>0</v>
      </c>
      <c r="BF66">
        <v>0</v>
      </c>
      <c r="BG66">
        <v>0</v>
      </c>
      <c r="BH66">
        <v>8550</v>
      </c>
      <c r="BI66">
        <v>1</v>
      </c>
      <c r="BJ66">
        <v>0</v>
      </c>
      <c r="BK66">
        <v>0</v>
      </c>
      <c r="BL66">
        <v>0</v>
      </c>
      <c r="BO66">
        <v>0</v>
      </c>
      <c r="BP66">
        <v>0</v>
      </c>
      <c r="BW66" t="str">
        <f t="shared" si="34"/>
        <v>14:49:14.422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293</v>
      </c>
      <c r="CR66">
        <v>1</v>
      </c>
      <c r="CW66">
        <v>15263250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25">
      <c r="A67" t="str">
        <f t="shared" si="31"/>
        <v>06/05/2020 14:49:08.780</v>
      </c>
      <c r="C67" t="str">
        <f t="shared" si="10"/>
        <v>FFDFD3C0</v>
      </c>
      <c r="D67" t="s">
        <v>134</v>
      </c>
      <c r="E67">
        <v>7</v>
      </c>
      <c r="F67">
        <v>2007</v>
      </c>
      <c r="G67" t="s">
        <v>135</v>
      </c>
      <c r="J67" t="s">
        <v>136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2"/>
        <v>14:49:14.414</v>
      </c>
      <c r="T67" t="str">
        <f t="shared" si="33"/>
        <v>14:49:14.214</v>
      </c>
      <c r="U67" t="str">
        <f t="shared" si="35"/>
        <v>ACC530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1</v>
      </c>
      <c r="AH67">
        <v>0</v>
      </c>
      <c r="AI67" t="s">
        <v>173</v>
      </c>
      <c r="AJ67">
        <v>34.246122999999997</v>
      </c>
      <c r="AK67" t="s">
        <v>174</v>
      </c>
      <c r="AL67">
        <v>-116.879683</v>
      </c>
      <c r="AM67">
        <v>100</v>
      </c>
      <c r="AN67">
        <v>8500</v>
      </c>
      <c r="AO67" t="s">
        <v>118</v>
      </c>
      <c r="AP67">
        <v>-65</v>
      </c>
      <c r="AQ67">
        <v>-49</v>
      </c>
      <c r="AR67">
        <v>960</v>
      </c>
      <c r="AZ67">
        <v>1200</v>
      </c>
      <c r="BA67">
        <v>1</v>
      </c>
      <c r="BB67" t="str">
        <f t="shared" ref="BB67:BB98" si="36">"N9217B  "</f>
        <v xml:space="preserve">N9217B  </v>
      </c>
      <c r="BC67">
        <v>1</v>
      </c>
      <c r="BE67">
        <v>0</v>
      </c>
      <c r="BF67">
        <v>0</v>
      </c>
      <c r="BG67">
        <v>0</v>
      </c>
      <c r="BH67">
        <v>8550</v>
      </c>
      <c r="BI67">
        <v>1</v>
      </c>
      <c r="BJ67">
        <v>0</v>
      </c>
      <c r="BK67">
        <v>0</v>
      </c>
      <c r="BL67">
        <v>0</v>
      </c>
      <c r="BO67">
        <v>0</v>
      </c>
      <c r="BP67">
        <v>0</v>
      </c>
      <c r="BW67" t="str">
        <f t="shared" si="34"/>
        <v>14:49:14.422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119</v>
      </c>
      <c r="CQ67">
        <v>293</v>
      </c>
      <c r="CR67">
        <v>1</v>
      </c>
      <c r="CW67">
        <v>15263250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25">
      <c r="A68" t="str">
        <f t="shared" si="31"/>
        <v>06/05/2020 14:49:08.780</v>
      </c>
      <c r="C68" t="str">
        <f t="shared" si="10"/>
        <v>FFDFD3C0</v>
      </c>
      <c r="D68" t="s">
        <v>151</v>
      </c>
      <c r="E68">
        <v>9</v>
      </c>
      <c r="H68">
        <v>226</v>
      </c>
      <c r="I68" t="s">
        <v>152</v>
      </c>
      <c r="J68" t="s">
        <v>150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32"/>
        <v>14:49:14.414</v>
      </c>
      <c r="T68" t="str">
        <f t="shared" si="33"/>
        <v>14:49:14.214</v>
      </c>
      <c r="U68" t="str">
        <f t="shared" si="35"/>
        <v>ACC530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9</v>
      </c>
      <c r="AE68">
        <v>0</v>
      </c>
      <c r="AF68">
        <v>0</v>
      </c>
      <c r="AG68">
        <v>1</v>
      </c>
      <c r="AH68">
        <v>0</v>
      </c>
      <c r="AI68" t="s">
        <v>173</v>
      </c>
      <c r="AJ68">
        <v>34.246122999999997</v>
      </c>
      <c r="AK68" t="s">
        <v>174</v>
      </c>
      <c r="AL68">
        <v>-116.879683</v>
      </c>
      <c r="AM68">
        <v>100</v>
      </c>
      <c r="AN68">
        <v>8500</v>
      </c>
      <c r="AO68" t="s">
        <v>118</v>
      </c>
      <c r="AP68">
        <v>-65</v>
      </c>
      <c r="AQ68">
        <v>-49</v>
      </c>
      <c r="AR68">
        <v>960</v>
      </c>
      <c r="AZ68">
        <v>1200</v>
      </c>
      <c r="BA68">
        <v>1</v>
      </c>
      <c r="BB68" t="str">
        <f t="shared" si="36"/>
        <v xml:space="preserve">N9217B  </v>
      </c>
      <c r="BC68">
        <v>1</v>
      </c>
      <c r="BE68">
        <v>0</v>
      </c>
      <c r="BF68">
        <v>0</v>
      </c>
      <c r="BG68">
        <v>0</v>
      </c>
      <c r="BH68">
        <v>8550</v>
      </c>
      <c r="BI68">
        <v>1</v>
      </c>
      <c r="BJ68">
        <v>0</v>
      </c>
      <c r="BK68">
        <v>0</v>
      </c>
      <c r="BL68">
        <v>0</v>
      </c>
      <c r="BO68">
        <v>0</v>
      </c>
      <c r="BP68">
        <v>0</v>
      </c>
      <c r="BW68" t="str">
        <f t="shared" si="34"/>
        <v>14:49:14.422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119</v>
      </c>
      <c r="CQ68">
        <v>293</v>
      </c>
      <c r="CR68">
        <v>1</v>
      </c>
      <c r="CW68">
        <v>15263250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25">
      <c r="A69" t="str">
        <f t="shared" si="31"/>
        <v>06/05/2020 14:49:08.780</v>
      </c>
      <c r="C69" t="str">
        <f t="shared" si="10"/>
        <v>FFDFD3C0</v>
      </c>
      <c r="D69" t="s">
        <v>113</v>
      </c>
      <c r="E69">
        <v>3</v>
      </c>
      <c r="H69">
        <v>166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32"/>
        <v>14:49:14.414</v>
      </c>
      <c r="T69" t="str">
        <f t="shared" si="33"/>
        <v>14:49:14.214</v>
      </c>
      <c r="U69" t="str">
        <f t="shared" si="35"/>
        <v>ACC530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9</v>
      </c>
      <c r="AE69">
        <v>0</v>
      </c>
      <c r="AF69">
        <v>0</v>
      </c>
      <c r="AG69">
        <v>1</v>
      </c>
      <c r="AH69">
        <v>0</v>
      </c>
      <c r="AI69" t="s">
        <v>173</v>
      </c>
      <c r="AJ69">
        <v>34.246122999999997</v>
      </c>
      <c r="AK69" t="s">
        <v>174</v>
      </c>
      <c r="AL69">
        <v>-116.879683</v>
      </c>
      <c r="AM69">
        <v>100</v>
      </c>
      <c r="AN69">
        <v>8500</v>
      </c>
      <c r="AO69" t="s">
        <v>118</v>
      </c>
      <c r="AP69">
        <v>-65</v>
      </c>
      <c r="AQ69">
        <v>-49</v>
      </c>
      <c r="AR69">
        <v>960</v>
      </c>
      <c r="AZ69">
        <v>1200</v>
      </c>
      <c r="BA69">
        <v>1</v>
      </c>
      <c r="BB69" t="str">
        <f t="shared" si="36"/>
        <v xml:space="preserve">N9217B  </v>
      </c>
      <c r="BC69">
        <v>1</v>
      </c>
      <c r="BE69">
        <v>0</v>
      </c>
      <c r="BF69">
        <v>0</v>
      </c>
      <c r="BG69">
        <v>0</v>
      </c>
      <c r="BH69">
        <v>8550</v>
      </c>
      <c r="BI69">
        <v>1</v>
      </c>
      <c r="BJ69">
        <v>0</v>
      </c>
      <c r="BK69">
        <v>0</v>
      </c>
      <c r="BL69">
        <v>0</v>
      </c>
      <c r="BO69">
        <v>0</v>
      </c>
      <c r="BP69">
        <v>0</v>
      </c>
      <c r="BW69" t="str">
        <f t="shared" si="34"/>
        <v>14:49:14.422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293</v>
      </c>
      <c r="CR69">
        <v>1</v>
      </c>
      <c r="CW69">
        <v>15263250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25">
      <c r="A70" t="str">
        <f t="shared" si="31"/>
        <v>06/05/2020 14:49:08.780</v>
      </c>
      <c r="C70" t="str">
        <f t="shared" si="10"/>
        <v>FFDFD3C0</v>
      </c>
      <c r="D70" t="s">
        <v>141</v>
      </c>
      <c r="E70">
        <v>20</v>
      </c>
      <c r="F70">
        <v>1020</v>
      </c>
      <c r="G70" t="s">
        <v>114</v>
      </c>
      <c r="J70" t="s">
        <v>142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32"/>
        <v>14:49:14.414</v>
      </c>
      <c r="T70" t="str">
        <f t="shared" si="33"/>
        <v>14:49:14.214</v>
      </c>
      <c r="U70" t="str">
        <f t="shared" si="35"/>
        <v>ACC530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9</v>
      </c>
      <c r="AE70">
        <v>0</v>
      </c>
      <c r="AF70">
        <v>0</v>
      </c>
      <c r="AG70">
        <v>1</v>
      </c>
      <c r="AH70">
        <v>0</v>
      </c>
      <c r="AI70" t="s">
        <v>173</v>
      </c>
      <c r="AJ70">
        <v>34.246122999999997</v>
      </c>
      <c r="AK70" t="s">
        <v>174</v>
      </c>
      <c r="AL70">
        <v>-116.879683</v>
      </c>
      <c r="AM70">
        <v>100</v>
      </c>
      <c r="AN70">
        <v>8500</v>
      </c>
      <c r="AO70" t="s">
        <v>118</v>
      </c>
      <c r="AP70">
        <v>-65</v>
      </c>
      <c r="AQ70">
        <v>-49</v>
      </c>
      <c r="AR70">
        <v>960</v>
      </c>
      <c r="AZ70">
        <v>1200</v>
      </c>
      <c r="BA70">
        <v>1</v>
      </c>
      <c r="BB70" t="str">
        <f t="shared" si="36"/>
        <v xml:space="preserve">N9217B  </v>
      </c>
      <c r="BC70">
        <v>1</v>
      </c>
      <c r="BE70">
        <v>0</v>
      </c>
      <c r="BF70">
        <v>0</v>
      </c>
      <c r="BG70">
        <v>0</v>
      </c>
      <c r="BH70">
        <v>8550</v>
      </c>
      <c r="BI70">
        <v>1</v>
      </c>
      <c r="BJ70">
        <v>0</v>
      </c>
      <c r="BK70">
        <v>0</v>
      </c>
      <c r="BL70">
        <v>0</v>
      </c>
      <c r="BO70">
        <v>0</v>
      </c>
      <c r="BP70">
        <v>0</v>
      </c>
      <c r="BW70" t="str">
        <f t="shared" si="34"/>
        <v>14:49:14.422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119</v>
      </c>
      <c r="CQ70">
        <v>293</v>
      </c>
      <c r="CR70">
        <v>1</v>
      </c>
      <c r="CW70">
        <v>15263250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25">
      <c r="A71" t="str">
        <f t="shared" ref="A71:A76" si="37">"06/05/2020 14:49:09.812"</f>
        <v>06/05/2020 14:49:09.812</v>
      </c>
      <c r="C71" t="str">
        <f t="shared" si="10"/>
        <v>FFDFD3C0</v>
      </c>
      <c r="D71" t="s">
        <v>151</v>
      </c>
      <c r="E71">
        <v>9</v>
      </c>
      <c r="H71">
        <v>226</v>
      </c>
      <c r="I71" t="s">
        <v>152</v>
      </c>
      <c r="J71" t="s">
        <v>150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ref="S71:S76" si="38">"14:49:15.438"</f>
        <v>14:49:15.438</v>
      </c>
      <c r="T71" t="str">
        <f t="shared" ref="T71:T76" si="39">"14:49:15.338"</f>
        <v>14:49:15.338</v>
      </c>
      <c r="U71" t="str">
        <f t="shared" si="35"/>
        <v>ACC530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9</v>
      </c>
      <c r="AE71">
        <v>0</v>
      </c>
      <c r="AF71">
        <v>0</v>
      </c>
      <c r="AG71">
        <v>1</v>
      </c>
      <c r="AH71">
        <v>0</v>
      </c>
      <c r="AI71" t="s">
        <v>175</v>
      </c>
      <c r="AJ71">
        <v>34.245865000000002</v>
      </c>
      <c r="AK71" t="s">
        <v>176</v>
      </c>
      <c r="AL71">
        <v>-116.880112</v>
      </c>
      <c r="AM71">
        <v>100</v>
      </c>
      <c r="AN71">
        <v>8500</v>
      </c>
      <c r="AO71" t="s">
        <v>118</v>
      </c>
      <c r="AP71">
        <v>-65</v>
      </c>
      <c r="AQ71">
        <v>-50</v>
      </c>
      <c r="AR71">
        <v>768</v>
      </c>
      <c r="AZ71">
        <v>1200</v>
      </c>
      <c r="BA71">
        <v>1</v>
      </c>
      <c r="BB71" t="str">
        <f t="shared" si="36"/>
        <v xml:space="preserve">N9217B  </v>
      </c>
      <c r="BC71">
        <v>1</v>
      </c>
      <c r="BE71">
        <v>0</v>
      </c>
      <c r="BF71">
        <v>0</v>
      </c>
      <c r="BG71">
        <v>0</v>
      </c>
      <c r="BH71">
        <v>8550</v>
      </c>
      <c r="BI71">
        <v>1</v>
      </c>
      <c r="BJ71">
        <v>0</v>
      </c>
      <c r="BK71">
        <v>0</v>
      </c>
      <c r="BL71">
        <v>0</v>
      </c>
      <c r="BO71">
        <v>0</v>
      </c>
      <c r="BP71">
        <v>0</v>
      </c>
      <c r="BW71" t="str">
        <f t="shared" ref="BW71:BW76" si="40">"14:49:15.442"</f>
        <v>14:49:15.442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119</v>
      </c>
      <c r="CQ71">
        <v>293</v>
      </c>
      <c r="CR71">
        <v>1</v>
      </c>
      <c r="CW71">
        <v>15263370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25">
      <c r="A72" t="str">
        <f t="shared" si="37"/>
        <v>06/05/2020 14:49:09.812</v>
      </c>
      <c r="C72" t="str">
        <f t="shared" si="10"/>
        <v>FFDFD3C0</v>
      </c>
      <c r="D72" t="s">
        <v>113</v>
      </c>
      <c r="E72">
        <v>3</v>
      </c>
      <c r="H72">
        <v>166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8"/>
        <v>14:49:15.438</v>
      </c>
      <c r="T72" t="str">
        <f t="shared" si="39"/>
        <v>14:49:15.338</v>
      </c>
      <c r="U72" t="str">
        <f t="shared" si="35"/>
        <v>ACC530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9</v>
      </c>
      <c r="AE72">
        <v>0</v>
      </c>
      <c r="AF72">
        <v>0</v>
      </c>
      <c r="AG72">
        <v>1</v>
      </c>
      <c r="AH72">
        <v>0</v>
      </c>
      <c r="AI72" t="s">
        <v>175</v>
      </c>
      <c r="AJ72">
        <v>34.245865000000002</v>
      </c>
      <c r="AK72" t="s">
        <v>176</v>
      </c>
      <c r="AL72">
        <v>-116.880112</v>
      </c>
      <c r="AM72">
        <v>100</v>
      </c>
      <c r="AN72">
        <v>8500</v>
      </c>
      <c r="AO72" t="s">
        <v>118</v>
      </c>
      <c r="AP72">
        <v>-65</v>
      </c>
      <c r="AQ72">
        <v>-50</v>
      </c>
      <c r="AR72">
        <v>768</v>
      </c>
      <c r="AZ72">
        <v>1200</v>
      </c>
      <c r="BA72">
        <v>1</v>
      </c>
      <c r="BB72" t="str">
        <f t="shared" si="36"/>
        <v xml:space="preserve">N9217B  </v>
      </c>
      <c r="BC72">
        <v>1</v>
      </c>
      <c r="BE72">
        <v>0</v>
      </c>
      <c r="BF72">
        <v>0</v>
      </c>
      <c r="BG72">
        <v>0</v>
      </c>
      <c r="BH72">
        <v>8550</v>
      </c>
      <c r="BI72">
        <v>1</v>
      </c>
      <c r="BJ72">
        <v>0</v>
      </c>
      <c r="BK72">
        <v>0</v>
      </c>
      <c r="BL72">
        <v>0</v>
      </c>
      <c r="BO72">
        <v>0</v>
      </c>
      <c r="BP72">
        <v>0</v>
      </c>
      <c r="BW72" t="str">
        <f t="shared" si="40"/>
        <v>14:49:15.442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119</v>
      </c>
      <c r="CQ72">
        <v>293</v>
      </c>
      <c r="CR72">
        <v>1</v>
      </c>
      <c r="CW72">
        <v>15263370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25">
      <c r="A73" t="str">
        <f t="shared" si="37"/>
        <v>06/05/2020 14:49:09.812</v>
      </c>
      <c r="C73" t="str">
        <f t="shared" si="10"/>
        <v>FFDFD3C0</v>
      </c>
      <c r="D73" t="s">
        <v>141</v>
      </c>
      <c r="E73">
        <v>20</v>
      </c>
      <c r="F73">
        <v>1020</v>
      </c>
      <c r="G73" t="s">
        <v>114</v>
      </c>
      <c r="J73" t="s">
        <v>142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38"/>
        <v>14:49:15.438</v>
      </c>
      <c r="T73" t="str">
        <f t="shared" si="39"/>
        <v>14:49:15.338</v>
      </c>
      <c r="U73" t="str">
        <f t="shared" si="35"/>
        <v>ACC530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9</v>
      </c>
      <c r="AE73">
        <v>0</v>
      </c>
      <c r="AF73">
        <v>0</v>
      </c>
      <c r="AG73">
        <v>1</v>
      </c>
      <c r="AH73">
        <v>0</v>
      </c>
      <c r="AI73" t="s">
        <v>175</v>
      </c>
      <c r="AJ73">
        <v>34.245865000000002</v>
      </c>
      <c r="AK73" t="s">
        <v>176</v>
      </c>
      <c r="AL73">
        <v>-116.880112</v>
      </c>
      <c r="AM73">
        <v>100</v>
      </c>
      <c r="AN73">
        <v>8500</v>
      </c>
      <c r="AO73" t="s">
        <v>118</v>
      </c>
      <c r="AP73">
        <v>-65</v>
      </c>
      <c r="AQ73">
        <v>-50</v>
      </c>
      <c r="AR73">
        <v>768</v>
      </c>
      <c r="AZ73">
        <v>1200</v>
      </c>
      <c r="BA73">
        <v>1</v>
      </c>
      <c r="BB73" t="str">
        <f t="shared" si="36"/>
        <v xml:space="preserve">N9217B  </v>
      </c>
      <c r="BC73">
        <v>1</v>
      </c>
      <c r="BE73">
        <v>0</v>
      </c>
      <c r="BF73">
        <v>0</v>
      </c>
      <c r="BG73">
        <v>0</v>
      </c>
      <c r="BH73">
        <v>8550</v>
      </c>
      <c r="BI73">
        <v>1</v>
      </c>
      <c r="BJ73">
        <v>0</v>
      </c>
      <c r="BK73">
        <v>0</v>
      </c>
      <c r="BL73">
        <v>0</v>
      </c>
      <c r="BO73">
        <v>0</v>
      </c>
      <c r="BP73">
        <v>0</v>
      </c>
      <c r="BW73" t="str">
        <f t="shared" si="40"/>
        <v>14:49:15.442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119</v>
      </c>
      <c r="CQ73">
        <v>293</v>
      </c>
      <c r="CR73">
        <v>1</v>
      </c>
      <c r="CW73">
        <v>15263370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25">
      <c r="A74" t="str">
        <f t="shared" si="37"/>
        <v>06/05/2020 14:49:09.812</v>
      </c>
      <c r="C74" t="str">
        <f t="shared" si="10"/>
        <v>FFDFD3C0</v>
      </c>
      <c r="D74" t="s">
        <v>148</v>
      </c>
      <c r="E74">
        <v>8</v>
      </c>
      <c r="H74">
        <v>50</v>
      </c>
      <c r="I74" t="s">
        <v>149</v>
      </c>
      <c r="J74" t="s">
        <v>150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38"/>
        <v>14:49:15.438</v>
      </c>
      <c r="T74" t="str">
        <f t="shared" si="39"/>
        <v>14:49:15.338</v>
      </c>
      <c r="U74" t="str">
        <f t="shared" si="35"/>
        <v>ACC530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9</v>
      </c>
      <c r="AE74">
        <v>0</v>
      </c>
      <c r="AF74">
        <v>0</v>
      </c>
      <c r="AG74">
        <v>1</v>
      </c>
      <c r="AH74">
        <v>0</v>
      </c>
      <c r="AI74" t="s">
        <v>175</v>
      </c>
      <c r="AJ74">
        <v>34.245865000000002</v>
      </c>
      <c r="AK74" t="s">
        <v>176</v>
      </c>
      <c r="AL74">
        <v>-116.880112</v>
      </c>
      <c r="AM74">
        <v>100</v>
      </c>
      <c r="AN74">
        <v>8500</v>
      </c>
      <c r="AO74" t="s">
        <v>118</v>
      </c>
      <c r="AP74">
        <v>-65</v>
      </c>
      <c r="AQ74">
        <v>-50</v>
      </c>
      <c r="AR74">
        <v>768</v>
      </c>
      <c r="AZ74">
        <v>1200</v>
      </c>
      <c r="BA74">
        <v>1</v>
      </c>
      <c r="BB74" t="str">
        <f t="shared" si="36"/>
        <v xml:space="preserve">N9217B  </v>
      </c>
      <c r="BC74">
        <v>1</v>
      </c>
      <c r="BE74">
        <v>0</v>
      </c>
      <c r="BF74">
        <v>0</v>
      </c>
      <c r="BG74">
        <v>0</v>
      </c>
      <c r="BH74">
        <v>8550</v>
      </c>
      <c r="BI74">
        <v>1</v>
      </c>
      <c r="BJ74">
        <v>0</v>
      </c>
      <c r="BK74">
        <v>0</v>
      </c>
      <c r="BL74">
        <v>0</v>
      </c>
      <c r="BO74">
        <v>0</v>
      </c>
      <c r="BP74">
        <v>0</v>
      </c>
      <c r="BW74" t="str">
        <f t="shared" si="40"/>
        <v>14:49:15.442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6</v>
      </c>
      <c r="CP74" t="s">
        <v>119</v>
      </c>
      <c r="CQ74">
        <v>293</v>
      </c>
      <c r="CR74">
        <v>1</v>
      </c>
      <c r="CW74">
        <v>15263370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25">
      <c r="A75" t="str">
        <f t="shared" si="37"/>
        <v>06/05/2020 14:49:09.812</v>
      </c>
      <c r="C75" t="str">
        <f t="shared" si="10"/>
        <v>FFDFD3C0</v>
      </c>
      <c r="D75" t="s">
        <v>143</v>
      </c>
      <c r="E75">
        <v>10</v>
      </c>
      <c r="F75">
        <v>3010</v>
      </c>
      <c r="G75" t="s">
        <v>144</v>
      </c>
      <c r="J75" t="s">
        <v>145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38"/>
        <v>14:49:15.438</v>
      </c>
      <c r="T75" t="str">
        <f t="shared" si="39"/>
        <v>14:49:15.338</v>
      </c>
      <c r="U75" t="str">
        <f t="shared" si="35"/>
        <v>ACC530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9</v>
      </c>
      <c r="AE75">
        <v>0</v>
      </c>
      <c r="AF75">
        <v>0</v>
      </c>
      <c r="AG75">
        <v>1</v>
      </c>
      <c r="AH75">
        <v>0</v>
      </c>
      <c r="AI75" t="s">
        <v>175</v>
      </c>
      <c r="AJ75">
        <v>34.245865000000002</v>
      </c>
      <c r="AK75" t="s">
        <v>176</v>
      </c>
      <c r="AL75">
        <v>-116.880112</v>
      </c>
      <c r="AM75">
        <v>100</v>
      </c>
      <c r="AN75">
        <v>8500</v>
      </c>
      <c r="AO75" t="s">
        <v>118</v>
      </c>
      <c r="AP75">
        <v>-65</v>
      </c>
      <c r="AQ75">
        <v>-50</v>
      </c>
      <c r="AR75">
        <v>768</v>
      </c>
      <c r="AZ75">
        <v>1200</v>
      </c>
      <c r="BA75">
        <v>1</v>
      </c>
      <c r="BB75" t="str">
        <f t="shared" si="36"/>
        <v xml:space="preserve">N9217B  </v>
      </c>
      <c r="BC75">
        <v>1</v>
      </c>
      <c r="BE75">
        <v>0</v>
      </c>
      <c r="BF75">
        <v>0</v>
      </c>
      <c r="BG75">
        <v>0</v>
      </c>
      <c r="BH75">
        <v>8550</v>
      </c>
      <c r="BI75">
        <v>1</v>
      </c>
      <c r="BJ75">
        <v>0</v>
      </c>
      <c r="BK75">
        <v>0</v>
      </c>
      <c r="BL75">
        <v>0</v>
      </c>
      <c r="BO75">
        <v>0</v>
      </c>
      <c r="BP75">
        <v>0</v>
      </c>
      <c r="BW75" t="str">
        <f t="shared" si="40"/>
        <v>14:49:15.442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6</v>
      </c>
      <c r="CP75" t="s">
        <v>119</v>
      </c>
      <c r="CQ75">
        <v>293</v>
      </c>
      <c r="CR75">
        <v>1</v>
      </c>
      <c r="CW75">
        <v>15263370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25">
      <c r="A76" t="str">
        <f t="shared" si="37"/>
        <v>06/05/2020 14:49:09.812</v>
      </c>
      <c r="C76" t="str">
        <f t="shared" si="10"/>
        <v>FFDFD3C0</v>
      </c>
      <c r="D76" t="s">
        <v>134</v>
      </c>
      <c r="E76">
        <v>7</v>
      </c>
      <c r="F76">
        <v>2007</v>
      </c>
      <c r="G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38"/>
        <v>14:49:15.438</v>
      </c>
      <c r="T76" t="str">
        <f t="shared" si="39"/>
        <v>14:49:15.338</v>
      </c>
      <c r="U76" t="str">
        <f t="shared" si="35"/>
        <v>ACC530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9</v>
      </c>
      <c r="AE76">
        <v>0</v>
      </c>
      <c r="AF76">
        <v>0</v>
      </c>
      <c r="AG76">
        <v>1</v>
      </c>
      <c r="AH76">
        <v>0</v>
      </c>
      <c r="AI76" t="s">
        <v>175</v>
      </c>
      <c r="AJ76">
        <v>34.245865000000002</v>
      </c>
      <c r="AK76" t="s">
        <v>176</v>
      </c>
      <c r="AL76">
        <v>-116.880112</v>
      </c>
      <c r="AM76">
        <v>100</v>
      </c>
      <c r="AN76">
        <v>8500</v>
      </c>
      <c r="AO76" t="s">
        <v>118</v>
      </c>
      <c r="AP76">
        <v>-65</v>
      </c>
      <c r="AQ76">
        <v>-50</v>
      </c>
      <c r="AR76">
        <v>768</v>
      </c>
      <c r="AZ76">
        <v>1200</v>
      </c>
      <c r="BA76">
        <v>1</v>
      </c>
      <c r="BB76" t="str">
        <f t="shared" si="36"/>
        <v xml:space="preserve">N9217B  </v>
      </c>
      <c r="BC76">
        <v>1</v>
      </c>
      <c r="BE76">
        <v>0</v>
      </c>
      <c r="BF76">
        <v>0</v>
      </c>
      <c r="BG76">
        <v>0</v>
      </c>
      <c r="BH76">
        <v>8550</v>
      </c>
      <c r="BI76">
        <v>1</v>
      </c>
      <c r="BJ76">
        <v>0</v>
      </c>
      <c r="BK76">
        <v>0</v>
      </c>
      <c r="BL76">
        <v>0</v>
      </c>
      <c r="BO76">
        <v>0</v>
      </c>
      <c r="BP76">
        <v>0</v>
      </c>
      <c r="BW76" t="str">
        <f t="shared" si="40"/>
        <v>14:49:15.442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6</v>
      </c>
      <c r="CP76" t="s">
        <v>119</v>
      </c>
      <c r="CQ76">
        <v>293</v>
      </c>
      <c r="CR76">
        <v>1</v>
      </c>
      <c r="CW76">
        <v>15263370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25">
      <c r="A77" t="str">
        <f t="shared" ref="A77:A82" si="41">"06/05/2020 14:49:10.883"</f>
        <v>06/05/2020 14:49:10.883</v>
      </c>
      <c r="C77" t="str">
        <f t="shared" si="10"/>
        <v>FFDFD3C0</v>
      </c>
      <c r="D77" t="s">
        <v>141</v>
      </c>
      <c r="E77">
        <v>20</v>
      </c>
      <c r="F77">
        <v>1020</v>
      </c>
      <c r="G77" t="s">
        <v>114</v>
      </c>
      <c r="J77" t="s">
        <v>142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ref="S77:S82" si="42">"14:49:16.516"</f>
        <v>14:49:16.516</v>
      </c>
      <c r="T77" t="str">
        <f t="shared" ref="T77:T82" si="43">"14:49:16.416"</f>
        <v>14:49:16.416</v>
      </c>
      <c r="U77" t="str">
        <f t="shared" si="35"/>
        <v>ACC530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1</v>
      </c>
      <c r="AH77">
        <v>0</v>
      </c>
      <c r="AI77" t="s">
        <v>177</v>
      </c>
      <c r="AJ77">
        <v>34.245629000000001</v>
      </c>
      <c r="AK77" t="s">
        <v>178</v>
      </c>
      <c r="AL77">
        <v>-116.880455</v>
      </c>
      <c r="AM77">
        <v>100</v>
      </c>
      <c r="AN77">
        <v>8500</v>
      </c>
      <c r="AO77" t="s">
        <v>118</v>
      </c>
      <c r="AP77">
        <v>-65</v>
      </c>
      <c r="AQ77">
        <v>-50</v>
      </c>
      <c r="AR77">
        <v>768</v>
      </c>
      <c r="AZ77">
        <v>1200</v>
      </c>
      <c r="BA77">
        <v>1</v>
      </c>
      <c r="BB77" t="str">
        <f t="shared" si="36"/>
        <v xml:space="preserve">N9217B  </v>
      </c>
      <c r="BC77">
        <v>1</v>
      </c>
      <c r="BE77">
        <v>0</v>
      </c>
      <c r="BF77">
        <v>0</v>
      </c>
      <c r="BG77">
        <v>0</v>
      </c>
      <c r="BH77">
        <v>8575</v>
      </c>
      <c r="BI77">
        <v>1</v>
      </c>
      <c r="BJ77">
        <v>0</v>
      </c>
      <c r="BK77">
        <v>0</v>
      </c>
      <c r="BL77">
        <v>0</v>
      </c>
      <c r="BO77">
        <v>0</v>
      </c>
      <c r="BP77">
        <v>0</v>
      </c>
      <c r="BW77" t="str">
        <f t="shared" ref="BW77:BW82" si="44">"14:49:16.521"</f>
        <v>14:49:16.521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6</v>
      </c>
      <c r="CP77" t="s">
        <v>119</v>
      </c>
      <c r="CQ77">
        <v>293</v>
      </c>
      <c r="CR77">
        <v>1</v>
      </c>
      <c r="CW77">
        <v>15263487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25">
      <c r="A78" t="str">
        <f t="shared" si="41"/>
        <v>06/05/2020 14:49:10.883</v>
      </c>
      <c r="C78" t="str">
        <f t="shared" si="10"/>
        <v>FFDFD3C0</v>
      </c>
      <c r="D78" t="s">
        <v>113</v>
      </c>
      <c r="E78">
        <v>3</v>
      </c>
      <c r="H78">
        <v>166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2"/>
        <v>14:49:16.516</v>
      </c>
      <c r="T78" t="str">
        <f t="shared" si="43"/>
        <v>14:49:16.416</v>
      </c>
      <c r="U78" t="str">
        <f t="shared" si="35"/>
        <v>ACC530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9</v>
      </c>
      <c r="AE78">
        <v>0</v>
      </c>
      <c r="AF78">
        <v>0</v>
      </c>
      <c r="AG78">
        <v>1</v>
      </c>
      <c r="AH78">
        <v>0</v>
      </c>
      <c r="AI78" t="s">
        <v>177</v>
      </c>
      <c r="AJ78">
        <v>34.245629000000001</v>
      </c>
      <c r="AK78" t="s">
        <v>178</v>
      </c>
      <c r="AL78">
        <v>-116.880455</v>
      </c>
      <c r="AM78">
        <v>100</v>
      </c>
      <c r="AN78">
        <v>8500</v>
      </c>
      <c r="AO78" t="s">
        <v>118</v>
      </c>
      <c r="AP78">
        <v>-65</v>
      </c>
      <c r="AQ78">
        <v>-50</v>
      </c>
      <c r="AR78">
        <v>768</v>
      </c>
      <c r="AZ78">
        <v>1200</v>
      </c>
      <c r="BA78">
        <v>1</v>
      </c>
      <c r="BB78" t="str">
        <f t="shared" si="36"/>
        <v xml:space="preserve">N9217B  </v>
      </c>
      <c r="BC78">
        <v>1</v>
      </c>
      <c r="BE78">
        <v>0</v>
      </c>
      <c r="BF78">
        <v>0</v>
      </c>
      <c r="BG78">
        <v>0</v>
      </c>
      <c r="BH78">
        <v>8575</v>
      </c>
      <c r="BI78">
        <v>1</v>
      </c>
      <c r="BJ78">
        <v>0</v>
      </c>
      <c r="BK78">
        <v>0</v>
      </c>
      <c r="BL78">
        <v>0</v>
      </c>
      <c r="BO78">
        <v>0</v>
      </c>
      <c r="BP78">
        <v>0</v>
      </c>
      <c r="BW78" t="str">
        <f t="shared" si="44"/>
        <v>14:49:16.521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6</v>
      </c>
      <c r="CP78" t="s">
        <v>119</v>
      </c>
      <c r="CQ78">
        <v>293</v>
      </c>
      <c r="CR78">
        <v>1</v>
      </c>
      <c r="CW78">
        <v>15263487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25">
      <c r="A79" t="str">
        <f t="shared" si="41"/>
        <v>06/05/2020 14:49:10.883</v>
      </c>
      <c r="C79" t="str">
        <f t="shared" si="10"/>
        <v>FFDFD3C0</v>
      </c>
      <c r="D79" t="s">
        <v>143</v>
      </c>
      <c r="E79">
        <v>10</v>
      </c>
      <c r="F79">
        <v>3010</v>
      </c>
      <c r="G79" t="s">
        <v>144</v>
      </c>
      <c r="J79" t="s">
        <v>145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2"/>
        <v>14:49:16.516</v>
      </c>
      <c r="T79" t="str">
        <f t="shared" si="43"/>
        <v>14:49:16.416</v>
      </c>
      <c r="U79" t="str">
        <f t="shared" si="35"/>
        <v>ACC530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1</v>
      </c>
      <c r="AH79">
        <v>0</v>
      </c>
      <c r="AI79" t="s">
        <v>177</v>
      </c>
      <c r="AJ79">
        <v>34.245629000000001</v>
      </c>
      <c r="AK79" t="s">
        <v>178</v>
      </c>
      <c r="AL79">
        <v>-116.880455</v>
      </c>
      <c r="AM79">
        <v>100</v>
      </c>
      <c r="AN79">
        <v>8500</v>
      </c>
      <c r="AO79" t="s">
        <v>118</v>
      </c>
      <c r="AP79">
        <v>-65</v>
      </c>
      <c r="AQ79">
        <v>-50</v>
      </c>
      <c r="AR79">
        <v>768</v>
      </c>
      <c r="AZ79">
        <v>1200</v>
      </c>
      <c r="BA79">
        <v>1</v>
      </c>
      <c r="BB79" t="str">
        <f t="shared" si="36"/>
        <v xml:space="preserve">N9217B  </v>
      </c>
      <c r="BC79">
        <v>1</v>
      </c>
      <c r="BE79">
        <v>0</v>
      </c>
      <c r="BF79">
        <v>0</v>
      </c>
      <c r="BG79">
        <v>0</v>
      </c>
      <c r="BH79">
        <v>8575</v>
      </c>
      <c r="BI79">
        <v>1</v>
      </c>
      <c r="BJ79">
        <v>0</v>
      </c>
      <c r="BK79">
        <v>0</v>
      </c>
      <c r="BL79">
        <v>0</v>
      </c>
      <c r="BO79">
        <v>0</v>
      </c>
      <c r="BP79">
        <v>0</v>
      </c>
      <c r="BW79" t="str">
        <f t="shared" si="44"/>
        <v>14:49:16.521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6</v>
      </c>
      <c r="CP79" t="s">
        <v>119</v>
      </c>
      <c r="CQ79">
        <v>293</v>
      </c>
      <c r="CR79">
        <v>1</v>
      </c>
      <c r="CW79">
        <v>15263487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25">
      <c r="A80" t="str">
        <f t="shared" si="41"/>
        <v>06/05/2020 14:49:10.883</v>
      </c>
      <c r="C80" t="str">
        <f t="shared" si="10"/>
        <v>FFDFD3C0</v>
      </c>
      <c r="D80" t="s">
        <v>148</v>
      </c>
      <c r="E80">
        <v>8</v>
      </c>
      <c r="H80">
        <v>50</v>
      </c>
      <c r="I80" t="s">
        <v>149</v>
      </c>
      <c r="J80" t="s">
        <v>150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42"/>
        <v>14:49:16.516</v>
      </c>
      <c r="T80" t="str">
        <f t="shared" si="43"/>
        <v>14:49:16.416</v>
      </c>
      <c r="U80" t="str">
        <f t="shared" si="35"/>
        <v>ACC530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9</v>
      </c>
      <c r="AE80">
        <v>0</v>
      </c>
      <c r="AF80">
        <v>0</v>
      </c>
      <c r="AG80">
        <v>1</v>
      </c>
      <c r="AH80">
        <v>0</v>
      </c>
      <c r="AI80" t="s">
        <v>177</v>
      </c>
      <c r="AJ80">
        <v>34.245629000000001</v>
      </c>
      <c r="AK80" t="s">
        <v>178</v>
      </c>
      <c r="AL80">
        <v>-116.880455</v>
      </c>
      <c r="AM80">
        <v>100</v>
      </c>
      <c r="AN80">
        <v>8500</v>
      </c>
      <c r="AO80" t="s">
        <v>118</v>
      </c>
      <c r="AP80">
        <v>-65</v>
      </c>
      <c r="AQ80">
        <v>-50</v>
      </c>
      <c r="AR80">
        <v>768</v>
      </c>
      <c r="AZ80">
        <v>1200</v>
      </c>
      <c r="BA80">
        <v>1</v>
      </c>
      <c r="BB80" t="str">
        <f t="shared" si="36"/>
        <v xml:space="preserve">N9217B  </v>
      </c>
      <c r="BC80">
        <v>1</v>
      </c>
      <c r="BE80">
        <v>0</v>
      </c>
      <c r="BF80">
        <v>0</v>
      </c>
      <c r="BG80">
        <v>0</v>
      </c>
      <c r="BH80">
        <v>8575</v>
      </c>
      <c r="BI80">
        <v>1</v>
      </c>
      <c r="BJ80">
        <v>0</v>
      </c>
      <c r="BK80">
        <v>0</v>
      </c>
      <c r="BL80">
        <v>0</v>
      </c>
      <c r="BO80">
        <v>0</v>
      </c>
      <c r="BP80">
        <v>0</v>
      </c>
      <c r="BW80" t="str">
        <f t="shared" si="44"/>
        <v>14:49:16.521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6</v>
      </c>
      <c r="CP80" t="s">
        <v>119</v>
      </c>
      <c r="CQ80">
        <v>293</v>
      </c>
      <c r="CR80">
        <v>1</v>
      </c>
      <c r="CW80">
        <v>15263487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25">
      <c r="A81" t="str">
        <f t="shared" si="41"/>
        <v>06/05/2020 14:49:10.883</v>
      </c>
      <c r="C81" t="str">
        <f t="shared" si="10"/>
        <v>FFDFD3C0</v>
      </c>
      <c r="D81" t="s">
        <v>134</v>
      </c>
      <c r="E81">
        <v>7</v>
      </c>
      <c r="F81">
        <v>2007</v>
      </c>
      <c r="G81" t="s">
        <v>135</v>
      </c>
      <c r="J81" t="s">
        <v>136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2"/>
        <v>14:49:16.516</v>
      </c>
      <c r="T81" t="str">
        <f t="shared" si="43"/>
        <v>14:49:16.416</v>
      </c>
      <c r="U81" t="str">
        <f t="shared" si="35"/>
        <v>ACC530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1</v>
      </c>
      <c r="AH81">
        <v>0</v>
      </c>
      <c r="AI81" t="s">
        <v>177</v>
      </c>
      <c r="AJ81">
        <v>34.245629000000001</v>
      </c>
      <c r="AK81" t="s">
        <v>178</v>
      </c>
      <c r="AL81">
        <v>-116.880455</v>
      </c>
      <c r="AM81">
        <v>100</v>
      </c>
      <c r="AN81">
        <v>8500</v>
      </c>
      <c r="AO81" t="s">
        <v>118</v>
      </c>
      <c r="AP81">
        <v>-65</v>
      </c>
      <c r="AQ81">
        <v>-50</v>
      </c>
      <c r="AR81">
        <v>768</v>
      </c>
      <c r="AZ81">
        <v>1200</v>
      </c>
      <c r="BA81">
        <v>1</v>
      </c>
      <c r="BB81" t="str">
        <f t="shared" si="36"/>
        <v xml:space="preserve">N9217B  </v>
      </c>
      <c r="BC81">
        <v>1</v>
      </c>
      <c r="BE81">
        <v>0</v>
      </c>
      <c r="BF81">
        <v>0</v>
      </c>
      <c r="BG81">
        <v>0</v>
      </c>
      <c r="BH81">
        <v>8575</v>
      </c>
      <c r="BI81">
        <v>1</v>
      </c>
      <c r="BJ81">
        <v>0</v>
      </c>
      <c r="BK81">
        <v>0</v>
      </c>
      <c r="BL81">
        <v>0</v>
      </c>
      <c r="BO81">
        <v>0</v>
      </c>
      <c r="BP81">
        <v>0</v>
      </c>
      <c r="BW81" t="str">
        <f t="shared" si="44"/>
        <v>14:49:16.521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6</v>
      </c>
      <c r="CP81" t="s">
        <v>119</v>
      </c>
      <c r="CQ81">
        <v>293</v>
      </c>
      <c r="CR81">
        <v>1</v>
      </c>
      <c r="CW81">
        <v>15263487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25">
      <c r="A82" t="str">
        <f t="shared" si="41"/>
        <v>06/05/2020 14:49:10.883</v>
      </c>
      <c r="C82" t="str">
        <f t="shared" si="10"/>
        <v>FFDFD3C0</v>
      </c>
      <c r="D82" t="s">
        <v>151</v>
      </c>
      <c r="E82">
        <v>9</v>
      </c>
      <c r="H82">
        <v>226</v>
      </c>
      <c r="I82" t="s">
        <v>152</v>
      </c>
      <c r="J82" t="s">
        <v>150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42"/>
        <v>14:49:16.516</v>
      </c>
      <c r="T82" t="str">
        <f t="shared" si="43"/>
        <v>14:49:16.416</v>
      </c>
      <c r="U82" t="str">
        <f t="shared" si="35"/>
        <v>ACC530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9</v>
      </c>
      <c r="AE82">
        <v>0</v>
      </c>
      <c r="AF82">
        <v>0</v>
      </c>
      <c r="AG82">
        <v>1</v>
      </c>
      <c r="AH82">
        <v>0</v>
      </c>
      <c r="AI82" t="s">
        <v>177</v>
      </c>
      <c r="AJ82">
        <v>34.245629000000001</v>
      </c>
      <c r="AK82" t="s">
        <v>178</v>
      </c>
      <c r="AL82">
        <v>-116.880455</v>
      </c>
      <c r="AM82">
        <v>100</v>
      </c>
      <c r="AN82">
        <v>8500</v>
      </c>
      <c r="AO82" t="s">
        <v>118</v>
      </c>
      <c r="AP82">
        <v>-65</v>
      </c>
      <c r="AQ82">
        <v>-50</v>
      </c>
      <c r="AR82">
        <v>768</v>
      </c>
      <c r="AZ82">
        <v>1200</v>
      </c>
      <c r="BA82">
        <v>1</v>
      </c>
      <c r="BB82" t="str">
        <f t="shared" si="36"/>
        <v xml:space="preserve">N9217B  </v>
      </c>
      <c r="BC82">
        <v>1</v>
      </c>
      <c r="BE82">
        <v>0</v>
      </c>
      <c r="BF82">
        <v>0</v>
      </c>
      <c r="BG82">
        <v>0</v>
      </c>
      <c r="BH82">
        <v>8575</v>
      </c>
      <c r="BI82">
        <v>1</v>
      </c>
      <c r="BJ82">
        <v>0</v>
      </c>
      <c r="BK82">
        <v>0</v>
      </c>
      <c r="BL82">
        <v>0</v>
      </c>
      <c r="BO82">
        <v>0</v>
      </c>
      <c r="BP82">
        <v>0</v>
      </c>
      <c r="BW82" t="str">
        <f t="shared" si="44"/>
        <v>14:49:16.521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6</v>
      </c>
      <c r="CP82" t="s">
        <v>119</v>
      </c>
      <c r="CQ82">
        <v>293</v>
      </c>
      <c r="CR82">
        <v>1</v>
      </c>
      <c r="CW82">
        <v>15263487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25">
      <c r="A83" t="str">
        <f t="shared" ref="A83:A88" si="45">"06/05/2020 14:49:11.927"</f>
        <v>06/05/2020 14:49:11.927</v>
      </c>
      <c r="C83" t="str">
        <f t="shared" si="10"/>
        <v>FFDFD3C0</v>
      </c>
      <c r="D83" t="s">
        <v>134</v>
      </c>
      <c r="E83">
        <v>7</v>
      </c>
      <c r="F83">
        <v>2007</v>
      </c>
      <c r="G83" t="s">
        <v>135</v>
      </c>
      <c r="J83" t="s">
        <v>136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ref="S83:S88" si="46">"14:49:17.555"</f>
        <v>14:49:17.555</v>
      </c>
      <c r="T83" t="str">
        <f t="shared" ref="T83:T88" si="47">"14:49:17.455"</f>
        <v>14:49:17.455</v>
      </c>
      <c r="U83" t="str">
        <f t="shared" si="35"/>
        <v>ACC530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1</v>
      </c>
      <c r="AH83">
        <v>0</v>
      </c>
      <c r="AI83" t="s">
        <v>179</v>
      </c>
      <c r="AJ83">
        <v>34.245393</v>
      </c>
      <c r="AK83" t="s">
        <v>180</v>
      </c>
      <c r="AL83">
        <v>-116.88086300000001</v>
      </c>
      <c r="AM83">
        <v>100</v>
      </c>
      <c r="AN83">
        <v>8500</v>
      </c>
      <c r="AO83" t="s">
        <v>118</v>
      </c>
      <c r="AP83">
        <v>-64</v>
      </c>
      <c r="AQ83">
        <v>-50</v>
      </c>
      <c r="AR83">
        <v>832</v>
      </c>
      <c r="AZ83">
        <v>1200</v>
      </c>
      <c r="BA83">
        <v>1</v>
      </c>
      <c r="BB83" t="str">
        <f t="shared" si="36"/>
        <v xml:space="preserve">N9217B  </v>
      </c>
      <c r="BC83">
        <v>1</v>
      </c>
      <c r="BE83">
        <v>0</v>
      </c>
      <c r="BF83">
        <v>0</v>
      </c>
      <c r="BG83">
        <v>0</v>
      </c>
      <c r="BH83">
        <v>8575</v>
      </c>
      <c r="BI83">
        <v>1</v>
      </c>
      <c r="BJ83">
        <v>0</v>
      </c>
      <c r="BK83">
        <v>0</v>
      </c>
      <c r="BL83">
        <v>0</v>
      </c>
      <c r="BO83">
        <v>0</v>
      </c>
      <c r="BP83">
        <v>0</v>
      </c>
      <c r="BW83" t="str">
        <f t="shared" ref="BW83:BW88" si="48">"14:49:17.556"</f>
        <v>14:49:17.556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6</v>
      </c>
      <c r="CP83" t="s">
        <v>119</v>
      </c>
      <c r="CQ83">
        <v>293</v>
      </c>
      <c r="CR83">
        <v>1</v>
      </c>
      <c r="CW83">
        <v>15263601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25">
      <c r="A84" t="str">
        <f t="shared" si="45"/>
        <v>06/05/2020 14:49:11.927</v>
      </c>
      <c r="C84" t="str">
        <f t="shared" si="10"/>
        <v>FFDFD3C0</v>
      </c>
      <c r="D84" t="s">
        <v>151</v>
      </c>
      <c r="E84">
        <v>9</v>
      </c>
      <c r="H84">
        <v>226</v>
      </c>
      <c r="I84" t="s">
        <v>152</v>
      </c>
      <c r="J84" t="s">
        <v>150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6"/>
        <v>14:49:17.555</v>
      </c>
      <c r="T84" t="str">
        <f t="shared" si="47"/>
        <v>14:49:17.455</v>
      </c>
      <c r="U84" t="str">
        <f t="shared" si="35"/>
        <v>ACC530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1</v>
      </c>
      <c r="AH84">
        <v>0</v>
      </c>
      <c r="AI84" t="s">
        <v>179</v>
      </c>
      <c r="AJ84">
        <v>34.245393</v>
      </c>
      <c r="AK84" t="s">
        <v>180</v>
      </c>
      <c r="AL84">
        <v>-116.88086300000001</v>
      </c>
      <c r="AM84">
        <v>100</v>
      </c>
      <c r="AN84">
        <v>8500</v>
      </c>
      <c r="AO84" t="s">
        <v>118</v>
      </c>
      <c r="AP84">
        <v>-64</v>
      </c>
      <c r="AQ84">
        <v>-50</v>
      </c>
      <c r="AR84">
        <v>832</v>
      </c>
      <c r="AZ84">
        <v>1200</v>
      </c>
      <c r="BA84">
        <v>1</v>
      </c>
      <c r="BB84" t="str">
        <f t="shared" si="36"/>
        <v xml:space="preserve">N9217B  </v>
      </c>
      <c r="BC84">
        <v>1</v>
      </c>
      <c r="BE84">
        <v>0</v>
      </c>
      <c r="BF84">
        <v>0</v>
      </c>
      <c r="BG84">
        <v>0</v>
      </c>
      <c r="BH84">
        <v>8575</v>
      </c>
      <c r="BI84">
        <v>1</v>
      </c>
      <c r="BJ84">
        <v>0</v>
      </c>
      <c r="BK84">
        <v>0</v>
      </c>
      <c r="BL84">
        <v>0</v>
      </c>
      <c r="BO84">
        <v>0</v>
      </c>
      <c r="BP84">
        <v>0</v>
      </c>
      <c r="BW84" t="str">
        <f t="shared" si="48"/>
        <v>14:49:17.556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6</v>
      </c>
      <c r="CP84" t="s">
        <v>119</v>
      </c>
      <c r="CQ84">
        <v>293</v>
      </c>
      <c r="CR84">
        <v>1</v>
      </c>
      <c r="CW84">
        <v>15263601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25">
      <c r="A85" t="str">
        <f t="shared" si="45"/>
        <v>06/05/2020 14:49:11.927</v>
      </c>
      <c r="C85" t="str">
        <f t="shared" si="10"/>
        <v>FFDFD3C0</v>
      </c>
      <c r="D85" t="s">
        <v>141</v>
      </c>
      <c r="E85">
        <v>20</v>
      </c>
      <c r="F85">
        <v>1020</v>
      </c>
      <c r="G85" t="s">
        <v>114</v>
      </c>
      <c r="J85" t="s">
        <v>142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6"/>
        <v>14:49:17.555</v>
      </c>
      <c r="T85" t="str">
        <f t="shared" si="47"/>
        <v>14:49:17.455</v>
      </c>
      <c r="U85" t="str">
        <f t="shared" si="35"/>
        <v>ACC530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1</v>
      </c>
      <c r="AH85">
        <v>0</v>
      </c>
      <c r="AI85" t="s">
        <v>179</v>
      </c>
      <c r="AJ85">
        <v>34.245393</v>
      </c>
      <c r="AK85" t="s">
        <v>180</v>
      </c>
      <c r="AL85">
        <v>-116.88086300000001</v>
      </c>
      <c r="AM85">
        <v>100</v>
      </c>
      <c r="AN85">
        <v>8500</v>
      </c>
      <c r="AO85" t="s">
        <v>118</v>
      </c>
      <c r="AP85">
        <v>-64</v>
      </c>
      <c r="AQ85">
        <v>-50</v>
      </c>
      <c r="AR85">
        <v>832</v>
      </c>
      <c r="AZ85">
        <v>1200</v>
      </c>
      <c r="BA85">
        <v>1</v>
      </c>
      <c r="BB85" t="str">
        <f t="shared" si="36"/>
        <v xml:space="preserve">N9217B  </v>
      </c>
      <c r="BC85">
        <v>1</v>
      </c>
      <c r="BE85">
        <v>0</v>
      </c>
      <c r="BF85">
        <v>0</v>
      </c>
      <c r="BG85">
        <v>0</v>
      </c>
      <c r="BH85">
        <v>8575</v>
      </c>
      <c r="BI85">
        <v>1</v>
      </c>
      <c r="BJ85">
        <v>0</v>
      </c>
      <c r="BK85">
        <v>0</v>
      </c>
      <c r="BL85">
        <v>0</v>
      </c>
      <c r="BO85">
        <v>0</v>
      </c>
      <c r="BP85">
        <v>0</v>
      </c>
      <c r="BW85" t="str">
        <f t="shared" si="48"/>
        <v>14:49:17.556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6</v>
      </c>
      <c r="CP85" t="s">
        <v>119</v>
      </c>
      <c r="CQ85">
        <v>293</v>
      </c>
      <c r="CR85">
        <v>1</v>
      </c>
      <c r="CW85">
        <v>15263601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25">
      <c r="A86" t="str">
        <f t="shared" si="45"/>
        <v>06/05/2020 14:49:11.927</v>
      </c>
      <c r="C86" t="str">
        <f t="shared" si="10"/>
        <v>FFDFD3C0</v>
      </c>
      <c r="D86" t="s">
        <v>113</v>
      </c>
      <c r="E86">
        <v>3</v>
      </c>
      <c r="H86">
        <v>166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46"/>
        <v>14:49:17.555</v>
      </c>
      <c r="T86" t="str">
        <f t="shared" si="47"/>
        <v>14:49:17.455</v>
      </c>
      <c r="U86" t="str">
        <f t="shared" si="35"/>
        <v>ACC530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1</v>
      </c>
      <c r="AH86">
        <v>0</v>
      </c>
      <c r="AI86" t="s">
        <v>179</v>
      </c>
      <c r="AJ86">
        <v>34.245393</v>
      </c>
      <c r="AK86" t="s">
        <v>180</v>
      </c>
      <c r="AL86">
        <v>-116.88086300000001</v>
      </c>
      <c r="AM86">
        <v>100</v>
      </c>
      <c r="AN86">
        <v>8500</v>
      </c>
      <c r="AO86" t="s">
        <v>118</v>
      </c>
      <c r="AP86">
        <v>-64</v>
      </c>
      <c r="AQ86">
        <v>-50</v>
      </c>
      <c r="AR86">
        <v>832</v>
      </c>
      <c r="AZ86">
        <v>1200</v>
      </c>
      <c r="BA86">
        <v>1</v>
      </c>
      <c r="BB86" t="str">
        <f t="shared" si="36"/>
        <v xml:space="preserve">N9217B  </v>
      </c>
      <c r="BC86">
        <v>1</v>
      </c>
      <c r="BE86">
        <v>0</v>
      </c>
      <c r="BF86">
        <v>0</v>
      </c>
      <c r="BG86">
        <v>0</v>
      </c>
      <c r="BH86">
        <v>8575</v>
      </c>
      <c r="BI86">
        <v>1</v>
      </c>
      <c r="BJ86">
        <v>0</v>
      </c>
      <c r="BK86">
        <v>0</v>
      </c>
      <c r="BL86">
        <v>0</v>
      </c>
      <c r="BO86">
        <v>0</v>
      </c>
      <c r="BP86">
        <v>0</v>
      </c>
      <c r="BW86" t="str">
        <f t="shared" si="48"/>
        <v>14:49:17.556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6</v>
      </c>
      <c r="CP86" t="s">
        <v>119</v>
      </c>
      <c r="CQ86">
        <v>293</v>
      </c>
      <c r="CR86">
        <v>1</v>
      </c>
      <c r="CW86">
        <v>15263601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25">
      <c r="A87" t="str">
        <f t="shared" si="45"/>
        <v>06/05/2020 14:49:11.927</v>
      </c>
      <c r="C87" t="str">
        <f t="shared" si="10"/>
        <v>FFDFD3C0</v>
      </c>
      <c r="D87" t="s">
        <v>143</v>
      </c>
      <c r="E87">
        <v>10</v>
      </c>
      <c r="F87">
        <v>3010</v>
      </c>
      <c r="G87" t="s">
        <v>144</v>
      </c>
      <c r="J87" t="s">
        <v>145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6"/>
        <v>14:49:17.555</v>
      </c>
      <c r="T87" t="str">
        <f t="shared" si="47"/>
        <v>14:49:17.455</v>
      </c>
      <c r="U87" t="str">
        <f t="shared" si="35"/>
        <v>ACC530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1</v>
      </c>
      <c r="AH87">
        <v>0</v>
      </c>
      <c r="AI87" t="s">
        <v>179</v>
      </c>
      <c r="AJ87">
        <v>34.245393</v>
      </c>
      <c r="AK87" t="s">
        <v>180</v>
      </c>
      <c r="AL87">
        <v>-116.88086300000001</v>
      </c>
      <c r="AM87">
        <v>100</v>
      </c>
      <c r="AN87">
        <v>8500</v>
      </c>
      <c r="AO87" t="s">
        <v>118</v>
      </c>
      <c r="AP87">
        <v>-64</v>
      </c>
      <c r="AQ87">
        <v>-50</v>
      </c>
      <c r="AR87">
        <v>832</v>
      </c>
      <c r="AZ87">
        <v>1200</v>
      </c>
      <c r="BA87">
        <v>1</v>
      </c>
      <c r="BB87" t="str">
        <f t="shared" si="36"/>
        <v xml:space="preserve">N9217B  </v>
      </c>
      <c r="BC87">
        <v>1</v>
      </c>
      <c r="BE87">
        <v>0</v>
      </c>
      <c r="BF87">
        <v>0</v>
      </c>
      <c r="BG87">
        <v>0</v>
      </c>
      <c r="BH87">
        <v>8575</v>
      </c>
      <c r="BI87">
        <v>1</v>
      </c>
      <c r="BJ87">
        <v>0</v>
      </c>
      <c r="BK87">
        <v>0</v>
      </c>
      <c r="BL87">
        <v>0</v>
      </c>
      <c r="BO87">
        <v>0</v>
      </c>
      <c r="BP87">
        <v>0</v>
      </c>
      <c r="BW87" t="str">
        <f t="shared" si="48"/>
        <v>14:49:17.556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6</v>
      </c>
      <c r="CP87" t="s">
        <v>119</v>
      </c>
      <c r="CQ87">
        <v>293</v>
      </c>
      <c r="CR87">
        <v>1</v>
      </c>
      <c r="CW87">
        <v>15263601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25">
      <c r="A88" t="str">
        <f t="shared" si="45"/>
        <v>06/05/2020 14:49:11.927</v>
      </c>
      <c r="C88" t="str">
        <f t="shared" si="10"/>
        <v>FFDFD3C0</v>
      </c>
      <c r="D88" t="s">
        <v>148</v>
      </c>
      <c r="E88">
        <v>8</v>
      </c>
      <c r="H88">
        <v>50</v>
      </c>
      <c r="I88" t="s">
        <v>149</v>
      </c>
      <c r="J88" t="s">
        <v>150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6"/>
        <v>14:49:17.555</v>
      </c>
      <c r="T88" t="str">
        <f t="shared" si="47"/>
        <v>14:49:17.455</v>
      </c>
      <c r="U88" t="str">
        <f t="shared" si="35"/>
        <v>ACC530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9</v>
      </c>
      <c r="AE88">
        <v>0</v>
      </c>
      <c r="AF88">
        <v>3</v>
      </c>
      <c r="AG88">
        <v>1</v>
      </c>
      <c r="AH88">
        <v>0</v>
      </c>
      <c r="AI88" t="s">
        <v>179</v>
      </c>
      <c r="AJ88">
        <v>34.245393</v>
      </c>
      <c r="AK88" t="s">
        <v>180</v>
      </c>
      <c r="AL88">
        <v>-116.88086300000001</v>
      </c>
      <c r="AM88">
        <v>100</v>
      </c>
      <c r="AN88">
        <v>8500</v>
      </c>
      <c r="AO88" t="s">
        <v>118</v>
      </c>
      <c r="AP88">
        <v>-64</v>
      </c>
      <c r="AQ88">
        <v>-50</v>
      </c>
      <c r="AR88">
        <v>832</v>
      </c>
      <c r="AZ88">
        <v>1200</v>
      </c>
      <c r="BA88">
        <v>1</v>
      </c>
      <c r="BB88" t="str">
        <f t="shared" si="36"/>
        <v xml:space="preserve">N9217B  </v>
      </c>
      <c r="BC88">
        <v>1</v>
      </c>
      <c r="BE88">
        <v>0</v>
      </c>
      <c r="BF88">
        <v>0</v>
      </c>
      <c r="BG88">
        <v>0</v>
      </c>
      <c r="BH88">
        <v>8575</v>
      </c>
      <c r="BI88">
        <v>1</v>
      </c>
      <c r="BJ88">
        <v>0</v>
      </c>
      <c r="BK88">
        <v>0</v>
      </c>
      <c r="BL88">
        <v>0</v>
      </c>
      <c r="BO88">
        <v>0</v>
      </c>
      <c r="BP88">
        <v>0</v>
      </c>
      <c r="BW88" t="str">
        <f t="shared" si="48"/>
        <v>14:49:17.556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6</v>
      </c>
      <c r="CP88" t="s">
        <v>119</v>
      </c>
      <c r="CQ88">
        <v>293</v>
      </c>
      <c r="CR88">
        <v>1</v>
      </c>
      <c r="CW88">
        <v>15263601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25">
      <c r="A89" t="str">
        <f t="shared" ref="A89:A94" si="49">"06/05/2020 14:49:12.848"</f>
        <v>06/05/2020 14:49:12.848</v>
      </c>
      <c r="C89" t="str">
        <f t="shared" si="10"/>
        <v>FFDFD3C0</v>
      </c>
      <c r="D89" t="s">
        <v>151</v>
      </c>
      <c r="E89">
        <v>9</v>
      </c>
      <c r="H89">
        <v>226</v>
      </c>
      <c r="I89" t="s">
        <v>152</v>
      </c>
      <c r="J89" t="s">
        <v>150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ref="S89:T94" si="50">"14:49:18.469"</f>
        <v>14:49:18.469</v>
      </c>
      <c r="T89" t="str">
        <f t="shared" si="50"/>
        <v>14:49:18.469</v>
      </c>
      <c r="U89" t="str">
        <f t="shared" si="35"/>
        <v>ACC530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9</v>
      </c>
      <c r="AE89">
        <v>0</v>
      </c>
      <c r="AF89">
        <v>3</v>
      </c>
      <c r="AG89">
        <v>1</v>
      </c>
      <c r="AH89">
        <v>0</v>
      </c>
      <c r="AI89" t="s">
        <v>181</v>
      </c>
      <c r="AJ89">
        <v>34.245199999999997</v>
      </c>
      <c r="AK89" t="s">
        <v>182</v>
      </c>
      <c r="AL89">
        <v>-116.881142</v>
      </c>
      <c r="AM89">
        <v>100</v>
      </c>
      <c r="AN89">
        <v>8500</v>
      </c>
      <c r="AO89" t="s">
        <v>118</v>
      </c>
      <c r="AP89">
        <v>-64</v>
      </c>
      <c r="AQ89">
        <v>-49</v>
      </c>
      <c r="AR89">
        <v>832</v>
      </c>
      <c r="AZ89">
        <v>1200</v>
      </c>
      <c r="BA89">
        <v>1</v>
      </c>
      <c r="BB89" t="str">
        <f t="shared" si="36"/>
        <v xml:space="preserve">N9217B  </v>
      </c>
      <c r="BC89">
        <v>1</v>
      </c>
      <c r="BE89">
        <v>0</v>
      </c>
      <c r="BF89">
        <v>0</v>
      </c>
      <c r="BG89">
        <v>0</v>
      </c>
      <c r="BH89">
        <v>8600</v>
      </c>
      <c r="BI89">
        <v>1</v>
      </c>
      <c r="BJ89">
        <v>0</v>
      </c>
      <c r="BK89">
        <v>0</v>
      </c>
      <c r="BL89">
        <v>0</v>
      </c>
      <c r="BO89">
        <v>0</v>
      </c>
      <c r="BP89">
        <v>0</v>
      </c>
      <c r="BW89" t="str">
        <f t="shared" ref="BW89:BW94" si="51">"14:49:18.471"</f>
        <v>14:49:18.471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6</v>
      </c>
      <c r="CP89" t="s">
        <v>119</v>
      </c>
      <c r="CQ89">
        <v>293</v>
      </c>
      <c r="CR89">
        <v>1</v>
      </c>
      <c r="CW89">
        <v>15263711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25">
      <c r="A90" t="str">
        <f t="shared" si="49"/>
        <v>06/05/2020 14:49:12.848</v>
      </c>
      <c r="C90" t="str">
        <f t="shared" si="10"/>
        <v>FFDFD3C0</v>
      </c>
      <c r="D90" t="s">
        <v>141</v>
      </c>
      <c r="E90">
        <v>20</v>
      </c>
      <c r="F90">
        <v>1020</v>
      </c>
      <c r="G90" t="s">
        <v>114</v>
      </c>
      <c r="J90" t="s">
        <v>142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50"/>
        <v>14:49:18.469</v>
      </c>
      <c r="T90" t="str">
        <f t="shared" si="50"/>
        <v>14:49:18.469</v>
      </c>
      <c r="U90" t="str">
        <f t="shared" si="35"/>
        <v>ACC530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9</v>
      </c>
      <c r="AE90">
        <v>0</v>
      </c>
      <c r="AF90">
        <v>3</v>
      </c>
      <c r="AG90">
        <v>1</v>
      </c>
      <c r="AH90">
        <v>0</v>
      </c>
      <c r="AI90" t="s">
        <v>181</v>
      </c>
      <c r="AJ90">
        <v>34.245199999999997</v>
      </c>
      <c r="AK90" t="s">
        <v>182</v>
      </c>
      <c r="AL90">
        <v>-116.881142</v>
      </c>
      <c r="AM90">
        <v>100</v>
      </c>
      <c r="AN90">
        <v>8500</v>
      </c>
      <c r="AO90" t="s">
        <v>118</v>
      </c>
      <c r="AP90">
        <v>-64</v>
      </c>
      <c r="AQ90">
        <v>-49</v>
      </c>
      <c r="AR90">
        <v>832</v>
      </c>
      <c r="AZ90">
        <v>1200</v>
      </c>
      <c r="BA90">
        <v>1</v>
      </c>
      <c r="BB90" t="str">
        <f t="shared" si="36"/>
        <v xml:space="preserve">N9217B  </v>
      </c>
      <c r="BC90">
        <v>1</v>
      </c>
      <c r="BE90">
        <v>0</v>
      </c>
      <c r="BF90">
        <v>0</v>
      </c>
      <c r="BG90">
        <v>0</v>
      </c>
      <c r="BH90">
        <v>8600</v>
      </c>
      <c r="BI90">
        <v>1</v>
      </c>
      <c r="BJ90">
        <v>0</v>
      </c>
      <c r="BK90">
        <v>0</v>
      </c>
      <c r="BL90">
        <v>0</v>
      </c>
      <c r="BO90">
        <v>0</v>
      </c>
      <c r="BP90">
        <v>0</v>
      </c>
      <c r="BW90" t="str">
        <f t="shared" si="51"/>
        <v>14:49:18.471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6</v>
      </c>
      <c r="CP90" t="s">
        <v>119</v>
      </c>
      <c r="CQ90">
        <v>293</v>
      </c>
      <c r="CR90">
        <v>1</v>
      </c>
      <c r="CW90">
        <v>15263711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25">
      <c r="A91" t="str">
        <f t="shared" si="49"/>
        <v>06/05/2020 14:49:12.848</v>
      </c>
      <c r="C91" t="str">
        <f t="shared" si="10"/>
        <v>FFDFD3C0</v>
      </c>
      <c r="D91" t="s">
        <v>113</v>
      </c>
      <c r="E91">
        <v>3</v>
      </c>
      <c r="H91">
        <v>166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50"/>
        <v>14:49:18.469</v>
      </c>
      <c r="T91" t="str">
        <f t="shared" si="50"/>
        <v>14:49:18.469</v>
      </c>
      <c r="U91" t="str">
        <f t="shared" si="35"/>
        <v>ACC530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9</v>
      </c>
      <c r="AE91">
        <v>0</v>
      </c>
      <c r="AF91">
        <v>3</v>
      </c>
      <c r="AG91">
        <v>1</v>
      </c>
      <c r="AH91">
        <v>0</v>
      </c>
      <c r="AI91" t="s">
        <v>181</v>
      </c>
      <c r="AJ91">
        <v>34.245199999999997</v>
      </c>
      <c r="AK91" t="s">
        <v>182</v>
      </c>
      <c r="AL91">
        <v>-116.881142</v>
      </c>
      <c r="AM91">
        <v>100</v>
      </c>
      <c r="AN91">
        <v>8500</v>
      </c>
      <c r="AO91" t="s">
        <v>118</v>
      </c>
      <c r="AP91">
        <v>-64</v>
      </c>
      <c r="AQ91">
        <v>-49</v>
      </c>
      <c r="AR91">
        <v>832</v>
      </c>
      <c r="AZ91">
        <v>1200</v>
      </c>
      <c r="BA91">
        <v>1</v>
      </c>
      <c r="BB91" t="str">
        <f t="shared" si="36"/>
        <v xml:space="preserve">N9217B  </v>
      </c>
      <c r="BC91">
        <v>1</v>
      </c>
      <c r="BE91">
        <v>0</v>
      </c>
      <c r="BF91">
        <v>0</v>
      </c>
      <c r="BG91">
        <v>0</v>
      </c>
      <c r="BH91">
        <v>8600</v>
      </c>
      <c r="BI91">
        <v>1</v>
      </c>
      <c r="BJ91">
        <v>0</v>
      </c>
      <c r="BK91">
        <v>0</v>
      </c>
      <c r="BL91">
        <v>0</v>
      </c>
      <c r="BO91">
        <v>0</v>
      </c>
      <c r="BP91">
        <v>0</v>
      </c>
      <c r="BW91" t="str">
        <f t="shared" si="51"/>
        <v>14:49:18.471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6</v>
      </c>
      <c r="CP91" t="s">
        <v>119</v>
      </c>
      <c r="CQ91">
        <v>293</v>
      </c>
      <c r="CR91">
        <v>1</v>
      </c>
      <c r="CW91">
        <v>15263711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25">
      <c r="A92" t="str">
        <f t="shared" si="49"/>
        <v>06/05/2020 14:49:12.848</v>
      </c>
      <c r="C92" t="str">
        <f t="shared" si="10"/>
        <v>FFDFD3C0</v>
      </c>
      <c r="D92" t="s">
        <v>143</v>
      </c>
      <c r="E92">
        <v>10</v>
      </c>
      <c r="F92">
        <v>3010</v>
      </c>
      <c r="G92" t="s">
        <v>144</v>
      </c>
      <c r="J92" t="s">
        <v>145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50"/>
        <v>14:49:18.469</v>
      </c>
      <c r="T92" t="str">
        <f t="shared" si="50"/>
        <v>14:49:18.469</v>
      </c>
      <c r="U92" t="str">
        <f t="shared" si="35"/>
        <v>ACC530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9</v>
      </c>
      <c r="AE92">
        <v>0</v>
      </c>
      <c r="AF92">
        <v>3</v>
      </c>
      <c r="AG92">
        <v>1</v>
      </c>
      <c r="AH92">
        <v>0</v>
      </c>
      <c r="AI92" t="s">
        <v>181</v>
      </c>
      <c r="AJ92">
        <v>34.245199999999997</v>
      </c>
      <c r="AK92" t="s">
        <v>182</v>
      </c>
      <c r="AL92">
        <v>-116.881142</v>
      </c>
      <c r="AM92">
        <v>100</v>
      </c>
      <c r="AN92">
        <v>8500</v>
      </c>
      <c r="AO92" t="s">
        <v>118</v>
      </c>
      <c r="AP92">
        <v>-64</v>
      </c>
      <c r="AQ92">
        <v>-49</v>
      </c>
      <c r="AR92">
        <v>832</v>
      </c>
      <c r="AZ92">
        <v>1200</v>
      </c>
      <c r="BA92">
        <v>1</v>
      </c>
      <c r="BB92" t="str">
        <f t="shared" si="36"/>
        <v xml:space="preserve">N9217B  </v>
      </c>
      <c r="BC92">
        <v>1</v>
      </c>
      <c r="BE92">
        <v>0</v>
      </c>
      <c r="BF92">
        <v>0</v>
      </c>
      <c r="BG92">
        <v>0</v>
      </c>
      <c r="BH92">
        <v>8600</v>
      </c>
      <c r="BI92">
        <v>1</v>
      </c>
      <c r="BJ92">
        <v>0</v>
      </c>
      <c r="BK92">
        <v>0</v>
      </c>
      <c r="BL92">
        <v>0</v>
      </c>
      <c r="BO92">
        <v>0</v>
      </c>
      <c r="BP92">
        <v>0</v>
      </c>
      <c r="BW92" t="str">
        <f t="shared" si="51"/>
        <v>14:49:18.471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6</v>
      </c>
      <c r="CP92" t="s">
        <v>119</v>
      </c>
      <c r="CQ92">
        <v>293</v>
      </c>
      <c r="CR92">
        <v>1</v>
      </c>
      <c r="CW92">
        <v>15263711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25">
      <c r="A93" t="str">
        <f t="shared" si="49"/>
        <v>06/05/2020 14:49:12.848</v>
      </c>
      <c r="C93" t="str">
        <f t="shared" si="10"/>
        <v>FFDFD3C0</v>
      </c>
      <c r="D93" t="s">
        <v>148</v>
      </c>
      <c r="E93">
        <v>8</v>
      </c>
      <c r="H93">
        <v>50</v>
      </c>
      <c r="I93" t="s">
        <v>149</v>
      </c>
      <c r="J93" t="s">
        <v>150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50"/>
        <v>14:49:18.469</v>
      </c>
      <c r="T93" t="str">
        <f t="shared" si="50"/>
        <v>14:49:18.469</v>
      </c>
      <c r="U93" t="str">
        <f t="shared" si="35"/>
        <v>ACC530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1</v>
      </c>
      <c r="AH93">
        <v>0</v>
      </c>
      <c r="AI93" t="s">
        <v>181</v>
      </c>
      <c r="AJ93">
        <v>34.245199999999997</v>
      </c>
      <c r="AK93" t="s">
        <v>182</v>
      </c>
      <c r="AL93">
        <v>-116.881142</v>
      </c>
      <c r="AM93">
        <v>100</v>
      </c>
      <c r="AN93">
        <v>8500</v>
      </c>
      <c r="AO93" t="s">
        <v>118</v>
      </c>
      <c r="AP93">
        <v>-64</v>
      </c>
      <c r="AQ93">
        <v>-49</v>
      </c>
      <c r="AR93">
        <v>832</v>
      </c>
      <c r="AZ93">
        <v>1200</v>
      </c>
      <c r="BA93">
        <v>1</v>
      </c>
      <c r="BB93" t="str">
        <f t="shared" si="36"/>
        <v xml:space="preserve">N9217B  </v>
      </c>
      <c r="BC93">
        <v>1</v>
      </c>
      <c r="BE93">
        <v>0</v>
      </c>
      <c r="BF93">
        <v>0</v>
      </c>
      <c r="BG93">
        <v>0</v>
      </c>
      <c r="BH93">
        <v>8600</v>
      </c>
      <c r="BI93">
        <v>1</v>
      </c>
      <c r="BJ93">
        <v>0</v>
      </c>
      <c r="BK93">
        <v>0</v>
      </c>
      <c r="BL93">
        <v>0</v>
      </c>
      <c r="BO93">
        <v>0</v>
      </c>
      <c r="BP93">
        <v>0</v>
      </c>
      <c r="BW93" t="str">
        <f t="shared" si="51"/>
        <v>14:49:18.471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6</v>
      </c>
      <c r="CP93" t="s">
        <v>119</v>
      </c>
      <c r="CQ93">
        <v>293</v>
      </c>
      <c r="CR93">
        <v>1</v>
      </c>
      <c r="CW93">
        <v>15263711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25">
      <c r="A94" t="str">
        <f t="shared" si="49"/>
        <v>06/05/2020 14:49:12.848</v>
      </c>
      <c r="C94" t="str">
        <f t="shared" si="10"/>
        <v>FFDFD3C0</v>
      </c>
      <c r="D94" t="s">
        <v>134</v>
      </c>
      <c r="E94">
        <v>7</v>
      </c>
      <c r="F94">
        <v>2007</v>
      </c>
      <c r="G94" t="s">
        <v>135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50"/>
        <v>14:49:18.469</v>
      </c>
      <c r="T94" t="str">
        <f t="shared" si="50"/>
        <v>14:49:18.469</v>
      </c>
      <c r="U94" t="str">
        <f t="shared" si="35"/>
        <v>ACC530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1</v>
      </c>
      <c r="AH94">
        <v>0</v>
      </c>
      <c r="AI94" t="s">
        <v>181</v>
      </c>
      <c r="AJ94">
        <v>34.245199999999997</v>
      </c>
      <c r="AK94" t="s">
        <v>182</v>
      </c>
      <c r="AL94">
        <v>-116.881142</v>
      </c>
      <c r="AM94">
        <v>100</v>
      </c>
      <c r="AN94">
        <v>8500</v>
      </c>
      <c r="AO94" t="s">
        <v>118</v>
      </c>
      <c r="AP94">
        <v>-64</v>
      </c>
      <c r="AQ94">
        <v>-49</v>
      </c>
      <c r="AR94">
        <v>832</v>
      </c>
      <c r="AZ94">
        <v>1200</v>
      </c>
      <c r="BA94">
        <v>1</v>
      </c>
      <c r="BB94" t="str">
        <f t="shared" si="36"/>
        <v xml:space="preserve">N9217B  </v>
      </c>
      <c r="BC94">
        <v>1</v>
      </c>
      <c r="BE94">
        <v>0</v>
      </c>
      <c r="BF94">
        <v>0</v>
      </c>
      <c r="BG94">
        <v>0</v>
      </c>
      <c r="BH94">
        <v>8600</v>
      </c>
      <c r="BI94">
        <v>1</v>
      </c>
      <c r="BJ94">
        <v>0</v>
      </c>
      <c r="BK94">
        <v>0</v>
      </c>
      <c r="BL94">
        <v>0</v>
      </c>
      <c r="BO94">
        <v>0</v>
      </c>
      <c r="BP94">
        <v>0</v>
      </c>
      <c r="BW94" t="str">
        <f t="shared" si="51"/>
        <v>14:49:18.471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6</v>
      </c>
      <c r="CP94" t="s">
        <v>119</v>
      </c>
      <c r="CQ94">
        <v>293</v>
      </c>
      <c r="CR94">
        <v>1</v>
      </c>
      <c r="CW94">
        <v>15263711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25">
      <c r="A95" t="str">
        <f t="shared" ref="A95:A100" si="52">"06/05/2020 14:49:13.990"</f>
        <v>06/05/2020 14:49:13.990</v>
      </c>
      <c r="C95" t="str">
        <f t="shared" si="10"/>
        <v>FFDFD3C0</v>
      </c>
      <c r="D95" t="s">
        <v>148</v>
      </c>
      <c r="E95">
        <v>8</v>
      </c>
      <c r="H95">
        <v>50</v>
      </c>
      <c r="I95" t="s">
        <v>149</v>
      </c>
      <c r="J95" t="s">
        <v>150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ref="S95:S100" si="53">"14:49:19.648"</f>
        <v>14:49:19.648</v>
      </c>
      <c r="T95" t="str">
        <f t="shared" ref="T95:T100" si="54">"14:49:19.548"</f>
        <v>14:49:19.548</v>
      </c>
      <c r="U95" t="str">
        <f t="shared" si="35"/>
        <v>ACC530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1</v>
      </c>
      <c r="AH95">
        <v>0</v>
      </c>
      <c r="AI95" t="s">
        <v>183</v>
      </c>
      <c r="AJ95">
        <v>34.244942999999999</v>
      </c>
      <c r="AK95" t="s">
        <v>184</v>
      </c>
      <c r="AL95">
        <v>-116.881592</v>
      </c>
      <c r="AM95">
        <v>100</v>
      </c>
      <c r="AN95">
        <v>8500</v>
      </c>
      <c r="AO95" t="s">
        <v>118</v>
      </c>
      <c r="AP95">
        <v>-64</v>
      </c>
      <c r="AQ95">
        <v>-49</v>
      </c>
      <c r="AR95">
        <v>832</v>
      </c>
      <c r="AZ95">
        <v>1200</v>
      </c>
      <c r="BA95">
        <v>1</v>
      </c>
      <c r="BB95" t="str">
        <f t="shared" si="36"/>
        <v xml:space="preserve">N9217B  </v>
      </c>
      <c r="BC95">
        <v>1</v>
      </c>
      <c r="BE95">
        <v>0</v>
      </c>
      <c r="BF95">
        <v>0</v>
      </c>
      <c r="BG95">
        <v>0</v>
      </c>
      <c r="BH95">
        <v>8625</v>
      </c>
      <c r="BI95">
        <v>1</v>
      </c>
      <c r="BJ95">
        <v>0</v>
      </c>
      <c r="BK95">
        <v>0</v>
      </c>
      <c r="BL95">
        <v>0</v>
      </c>
      <c r="BO95">
        <v>0</v>
      </c>
      <c r="BP95">
        <v>0</v>
      </c>
      <c r="BW95" t="str">
        <f t="shared" ref="BW95:BW100" si="55">"14:49:19.656"</f>
        <v>14:49:19.656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6</v>
      </c>
      <c r="CP95" t="s">
        <v>119</v>
      </c>
      <c r="CQ95">
        <v>293</v>
      </c>
      <c r="CR95">
        <v>2</v>
      </c>
      <c r="CW95">
        <v>15263855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25">
      <c r="A96" t="str">
        <f t="shared" si="52"/>
        <v>06/05/2020 14:49:13.990</v>
      </c>
      <c r="C96" t="str">
        <f t="shared" si="10"/>
        <v>FFDFD3C0</v>
      </c>
      <c r="D96" t="s">
        <v>134</v>
      </c>
      <c r="E96">
        <v>7</v>
      </c>
      <c r="F96">
        <v>2007</v>
      </c>
      <c r="G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53"/>
        <v>14:49:19.648</v>
      </c>
      <c r="T96" t="str">
        <f t="shared" si="54"/>
        <v>14:49:19.548</v>
      </c>
      <c r="U96" t="str">
        <f t="shared" si="35"/>
        <v>ACC530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1</v>
      </c>
      <c r="AH96">
        <v>0</v>
      </c>
      <c r="AI96" t="s">
        <v>183</v>
      </c>
      <c r="AJ96">
        <v>34.244942999999999</v>
      </c>
      <c r="AK96" t="s">
        <v>184</v>
      </c>
      <c r="AL96">
        <v>-116.881592</v>
      </c>
      <c r="AM96">
        <v>100</v>
      </c>
      <c r="AN96">
        <v>8500</v>
      </c>
      <c r="AO96" t="s">
        <v>118</v>
      </c>
      <c r="AP96">
        <v>-64</v>
      </c>
      <c r="AQ96">
        <v>-49</v>
      </c>
      <c r="AR96">
        <v>832</v>
      </c>
      <c r="AZ96">
        <v>1200</v>
      </c>
      <c r="BA96">
        <v>1</v>
      </c>
      <c r="BB96" t="str">
        <f t="shared" si="36"/>
        <v xml:space="preserve">N9217B  </v>
      </c>
      <c r="BC96">
        <v>1</v>
      </c>
      <c r="BE96">
        <v>0</v>
      </c>
      <c r="BF96">
        <v>0</v>
      </c>
      <c r="BG96">
        <v>0</v>
      </c>
      <c r="BH96">
        <v>8625</v>
      </c>
      <c r="BI96">
        <v>1</v>
      </c>
      <c r="BJ96">
        <v>0</v>
      </c>
      <c r="BK96">
        <v>0</v>
      </c>
      <c r="BL96">
        <v>0</v>
      </c>
      <c r="BO96">
        <v>0</v>
      </c>
      <c r="BP96">
        <v>0</v>
      </c>
      <c r="BW96" t="str">
        <f t="shared" si="55"/>
        <v>14:49:19.656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6</v>
      </c>
      <c r="CP96" t="s">
        <v>119</v>
      </c>
      <c r="CQ96">
        <v>293</v>
      </c>
      <c r="CR96">
        <v>2</v>
      </c>
      <c r="CW96">
        <v>15263855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25">
      <c r="A97" t="str">
        <f t="shared" si="52"/>
        <v>06/05/2020 14:49:13.990</v>
      </c>
      <c r="C97" t="str">
        <f t="shared" si="10"/>
        <v>FFDFD3C0</v>
      </c>
      <c r="D97" t="s">
        <v>141</v>
      </c>
      <c r="E97">
        <v>20</v>
      </c>
      <c r="F97">
        <v>1020</v>
      </c>
      <c r="G97" t="s">
        <v>114</v>
      </c>
      <c r="J97" t="s">
        <v>142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53"/>
        <v>14:49:19.648</v>
      </c>
      <c r="T97" t="str">
        <f t="shared" si="54"/>
        <v>14:49:19.548</v>
      </c>
      <c r="U97" t="str">
        <f t="shared" si="35"/>
        <v>ACC530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1</v>
      </c>
      <c r="AH97">
        <v>0</v>
      </c>
      <c r="AI97" t="s">
        <v>183</v>
      </c>
      <c r="AJ97">
        <v>34.244942999999999</v>
      </c>
      <c r="AK97" t="s">
        <v>184</v>
      </c>
      <c r="AL97">
        <v>-116.881592</v>
      </c>
      <c r="AM97">
        <v>100</v>
      </c>
      <c r="AN97">
        <v>8500</v>
      </c>
      <c r="AO97" t="s">
        <v>118</v>
      </c>
      <c r="AP97">
        <v>-64</v>
      </c>
      <c r="AQ97">
        <v>-49</v>
      </c>
      <c r="AR97">
        <v>832</v>
      </c>
      <c r="AZ97">
        <v>1200</v>
      </c>
      <c r="BA97">
        <v>1</v>
      </c>
      <c r="BB97" t="str">
        <f t="shared" si="36"/>
        <v xml:space="preserve">N9217B  </v>
      </c>
      <c r="BC97">
        <v>1</v>
      </c>
      <c r="BE97">
        <v>0</v>
      </c>
      <c r="BF97">
        <v>0</v>
      </c>
      <c r="BG97">
        <v>0</v>
      </c>
      <c r="BH97">
        <v>8625</v>
      </c>
      <c r="BI97">
        <v>1</v>
      </c>
      <c r="BJ97">
        <v>0</v>
      </c>
      <c r="BK97">
        <v>0</v>
      </c>
      <c r="BL97">
        <v>0</v>
      </c>
      <c r="BO97">
        <v>0</v>
      </c>
      <c r="BP97">
        <v>0</v>
      </c>
      <c r="BW97" t="str">
        <f t="shared" si="55"/>
        <v>14:49:19.656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6</v>
      </c>
      <c r="CP97" t="s">
        <v>119</v>
      </c>
      <c r="CQ97">
        <v>293</v>
      </c>
      <c r="CR97">
        <v>2</v>
      </c>
      <c r="CW97">
        <v>15263855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25">
      <c r="A98" t="str">
        <f t="shared" si="52"/>
        <v>06/05/2020 14:49:13.990</v>
      </c>
      <c r="C98" t="str">
        <f t="shared" si="10"/>
        <v>FFDFD3C0</v>
      </c>
      <c r="D98" t="s">
        <v>143</v>
      </c>
      <c r="E98">
        <v>10</v>
      </c>
      <c r="F98">
        <v>3010</v>
      </c>
      <c r="G98" t="s">
        <v>144</v>
      </c>
      <c r="J98" t="s">
        <v>145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53"/>
        <v>14:49:19.648</v>
      </c>
      <c r="T98" t="str">
        <f t="shared" si="54"/>
        <v>14:49:19.548</v>
      </c>
      <c r="U98" t="str">
        <f t="shared" si="35"/>
        <v>ACC530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1</v>
      </c>
      <c r="AH98">
        <v>0</v>
      </c>
      <c r="AI98" t="s">
        <v>183</v>
      </c>
      <c r="AJ98">
        <v>34.244942999999999</v>
      </c>
      <c r="AK98" t="s">
        <v>184</v>
      </c>
      <c r="AL98">
        <v>-116.881592</v>
      </c>
      <c r="AM98">
        <v>100</v>
      </c>
      <c r="AN98">
        <v>8500</v>
      </c>
      <c r="AO98" t="s">
        <v>118</v>
      </c>
      <c r="AP98">
        <v>-64</v>
      </c>
      <c r="AQ98">
        <v>-49</v>
      </c>
      <c r="AR98">
        <v>832</v>
      </c>
      <c r="AZ98">
        <v>1200</v>
      </c>
      <c r="BA98">
        <v>1</v>
      </c>
      <c r="BB98" t="str">
        <f t="shared" si="36"/>
        <v xml:space="preserve">N9217B  </v>
      </c>
      <c r="BC98">
        <v>1</v>
      </c>
      <c r="BE98">
        <v>0</v>
      </c>
      <c r="BF98">
        <v>0</v>
      </c>
      <c r="BG98">
        <v>0</v>
      </c>
      <c r="BH98">
        <v>8625</v>
      </c>
      <c r="BI98">
        <v>1</v>
      </c>
      <c r="BJ98">
        <v>0</v>
      </c>
      <c r="BK98">
        <v>0</v>
      </c>
      <c r="BL98">
        <v>0</v>
      </c>
      <c r="BO98">
        <v>0</v>
      </c>
      <c r="BP98">
        <v>0</v>
      </c>
      <c r="BW98" t="str">
        <f t="shared" si="55"/>
        <v>14:49:19.656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6</v>
      </c>
      <c r="CP98" t="s">
        <v>119</v>
      </c>
      <c r="CQ98">
        <v>293</v>
      </c>
      <c r="CR98">
        <v>2</v>
      </c>
      <c r="CW98">
        <v>15263855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25">
      <c r="A99" t="str">
        <f t="shared" si="52"/>
        <v>06/05/2020 14:49:13.990</v>
      </c>
      <c r="C99" t="str">
        <f t="shared" ref="C99:C162" si="56">"FFDFD3C0"</f>
        <v>FFDFD3C0</v>
      </c>
      <c r="D99" t="s">
        <v>151</v>
      </c>
      <c r="E99">
        <v>9</v>
      </c>
      <c r="H99">
        <v>226</v>
      </c>
      <c r="I99" t="s">
        <v>152</v>
      </c>
      <c r="J99" t="s">
        <v>150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53"/>
        <v>14:49:19.648</v>
      </c>
      <c r="T99" t="str">
        <f t="shared" si="54"/>
        <v>14:49:19.548</v>
      </c>
      <c r="U99" t="str">
        <f t="shared" si="35"/>
        <v>ACC530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1</v>
      </c>
      <c r="AH99">
        <v>0</v>
      </c>
      <c r="AI99" t="s">
        <v>183</v>
      </c>
      <c r="AJ99">
        <v>34.244942999999999</v>
      </c>
      <c r="AK99" t="s">
        <v>184</v>
      </c>
      <c r="AL99">
        <v>-116.881592</v>
      </c>
      <c r="AM99">
        <v>100</v>
      </c>
      <c r="AN99">
        <v>8500</v>
      </c>
      <c r="AO99" t="s">
        <v>118</v>
      </c>
      <c r="AP99">
        <v>-64</v>
      </c>
      <c r="AQ99">
        <v>-49</v>
      </c>
      <c r="AR99">
        <v>832</v>
      </c>
      <c r="AZ99">
        <v>1200</v>
      </c>
      <c r="BA99">
        <v>1</v>
      </c>
      <c r="BB99" t="str">
        <f t="shared" ref="BB99:BB130" si="57">"N9217B  "</f>
        <v xml:space="preserve">N9217B  </v>
      </c>
      <c r="BC99">
        <v>1</v>
      </c>
      <c r="BE99">
        <v>0</v>
      </c>
      <c r="BF99">
        <v>0</v>
      </c>
      <c r="BG99">
        <v>0</v>
      </c>
      <c r="BH99">
        <v>8625</v>
      </c>
      <c r="BI99">
        <v>1</v>
      </c>
      <c r="BJ99">
        <v>0</v>
      </c>
      <c r="BK99">
        <v>0</v>
      </c>
      <c r="BL99">
        <v>0</v>
      </c>
      <c r="BO99">
        <v>0</v>
      </c>
      <c r="BP99">
        <v>0</v>
      </c>
      <c r="BW99" t="str">
        <f t="shared" si="55"/>
        <v>14:49:19.656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6</v>
      </c>
      <c r="CP99" t="s">
        <v>119</v>
      </c>
      <c r="CQ99">
        <v>293</v>
      </c>
      <c r="CR99">
        <v>2</v>
      </c>
      <c r="CW99">
        <v>15263855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25">
      <c r="A100" t="str">
        <f t="shared" si="52"/>
        <v>06/05/2020 14:49:13.990</v>
      </c>
      <c r="C100" t="str">
        <f t="shared" si="56"/>
        <v>FFDFD3C0</v>
      </c>
      <c r="D100" t="s">
        <v>113</v>
      </c>
      <c r="E100">
        <v>3</v>
      </c>
      <c r="H100">
        <v>166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53"/>
        <v>14:49:19.648</v>
      </c>
      <c r="T100" t="str">
        <f t="shared" si="54"/>
        <v>14:49:19.548</v>
      </c>
      <c r="U100" t="str">
        <f t="shared" si="35"/>
        <v>ACC530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1</v>
      </c>
      <c r="AH100">
        <v>0</v>
      </c>
      <c r="AI100" t="s">
        <v>183</v>
      </c>
      <c r="AJ100">
        <v>34.244942999999999</v>
      </c>
      <c r="AK100" t="s">
        <v>184</v>
      </c>
      <c r="AL100">
        <v>-116.881592</v>
      </c>
      <c r="AM100">
        <v>100</v>
      </c>
      <c r="AN100">
        <v>8500</v>
      </c>
      <c r="AO100" t="s">
        <v>118</v>
      </c>
      <c r="AP100">
        <v>-64</v>
      </c>
      <c r="AQ100">
        <v>-49</v>
      </c>
      <c r="AR100">
        <v>832</v>
      </c>
      <c r="AZ100">
        <v>1200</v>
      </c>
      <c r="BA100">
        <v>1</v>
      </c>
      <c r="BB100" t="str">
        <f t="shared" si="57"/>
        <v xml:space="preserve">N9217B  </v>
      </c>
      <c r="BC100">
        <v>1</v>
      </c>
      <c r="BE100">
        <v>0</v>
      </c>
      <c r="BF100">
        <v>0</v>
      </c>
      <c r="BG100">
        <v>0</v>
      </c>
      <c r="BH100">
        <v>8625</v>
      </c>
      <c r="BI100">
        <v>1</v>
      </c>
      <c r="BJ100">
        <v>0</v>
      </c>
      <c r="BK100">
        <v>0</v>
      </c>
      <c r="BL100">
        <v>0</v>
      </c>
      <c r="BO100">
        <v>0</v>
      </c>
      <c r="BP100">
        <v>0</v>
      </c>
      <c r="BW100" t="str">
        <f t="shared" si="55"/>
        <v>14:49:19.656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6</v>
      </c>
      <c r="CP100" t="s">
        <v>119</v>
      </c>
      <c r="CQ100">
        <v>293</v>
      </c>
      <c r="CR100">
        <v>2</v>
      </c>
      <c r="CW100">
        <v>15263855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25">
      <c r="A101" t="str">
        <f t="shared" ref="A101:A106" si="58">"06/05/2020 14:49:14.948"</f>
        <v>06/05/2020 14:49:14.948</v>
      </c>
      <c r="C101" t="str">
        <f t="shared" si="56"/>
        <v>FFDFD3C0</v>
      </c>
      <c r="D101" t="s">
        <v>134</v>
      </c>
      <c r="E101">
        <v>7</v>
      </c>
      <c r="F101">
        <v>2007</v>
      </c>
      <c r="G101" t="s">
        <v>135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ref="S101:T106" si="59">"14:49:20.594"</f>
        <v>14:49:20.594</v>
      </c>
      <c r="T101" t="str">
        <f t="shared" si="59"/>
        <v>14:49:20.594</v>
      </c>
      <c r="U101" t="str">
        <f t="shared" si="35"/>
        <v>ACC530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1</v>
      </c>
      <c r="AH101">
        <v>0</v>
      </c>
      <c r="AI101" t="s">
        <v>185</v>
      </c>
      <c r="AJ101">
        <v>34.244706999999998</v>
      </c>
      <c r="AK101" t="s">
        <v>186</v>
      </c>
      <c r="AL101">
        <v>-116.881936</v>
      </c>
      <c r="AM101">
        <v>100</v>
      </c>
      <c r="AN101">
        <v>8500</v>
      </c>
      <c r="AO101" t="s">
        <v>118</v>
      </c>
      <c r="AP101">
        <v>-64</v>
      </c>
      <c r="AQ101">
        <v>-48</v>
      </c>
      <c r="AR101">
        <v>896</v>
      </c>
      <c r="AZ101">
        <v>1200</v>
      </c>
      <c r="BA101">
        <v>1</v>
      </c>
      <c r="BB101" t="str">
        <f t="shared" si="57"/>
        <v xml:space="preserve">N9217B  </v>
      </c>
      <c r="BC101">
        <v>1</v>
      </c>
      <c r="BE101">
        <v>0</v>
      </c>
      <c r="BF101">
        <v>0</v>
      </c>
      <c r="BG101">
        <v>0</v>
      </c>
      <c r="BH101">
        <v>8625</v>
      </c>
      <c r="BI101">
        <v>1</v>
      </c>
      <c r="BJ101">
        <v>0</v>
      </c>
      <c r="BK101">
        <v>0</v>
      </c>
      <c r="BL101">
        <v>0</v>
      </c>
      <c r="BO101">
        <v>0</v>
      </c>
      <c r="BP101">
        <v>0</v>
      </c>
      <c r="BW101" t="str">
        <f t="shared" ref="BW101:BW106" si="60">"14:49:20.601"</f>
        <v>14:49:20.601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6</v>
      </c>
      <c r="CP101" t="s">
        <v>119</v>
      </c>
      <c r="CQ101">
        <v>293</v>
      </c>
      <c r="CR101">
        <v>1</v>
      </c>
      <c r="CW101">
        <v>15263963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25">
      <c r="A102" t="str">
        <f t="shared" si="58"/>
        <v>06/05/2020 14:49:14.948</v>
      </c>
      <c r="C102" t="str">
        <f t="shared" si="56"/>
        <v>FFDFD3C0</v>
      </c>
      <c r="D102" t="s">
        <v>148</v>
      </c>
      <c r="E102">
        <v>8</v>
      </c>
      <c r="H102">
        <v>50</v>
      </c>
      <c r="I102" t="s">
        <v>149</v>
      </c>
      <c r="J102" t="s">
        <v>150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9"/>
        <v>14:49:20.594</v>
      </c>
      <c r="T102" t="str">
        <f t="shared" si="59"/>
        <v>14:49:20.594</v>
      </c>
      <c r="U102" t="str">
        <f t="shared" si="35"/>
        <v>ACC530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1</v>
      </c>
      <c r="AH102">
        <v>0</v>
      </c>
      <c r="AI102" t="s">
        <v>185</v>
      </c>
      <c r="AJ102">
        <v>34.244706999999998</v>
      </c>
      <c r="AK102" t="s">
        <v>186</v>
      </c>
      <c r="AL102">
        <v>-116.881936</v>
      </c>
      <c r="AM102">
        <v>100</v>
      </c>
      <c r="AN102">
        <v>8500</v>
      </c>
      <c r="AO102" t="s">
        <v>118</v>
      </c>
      <c r="AP102">
        <v>-64</v>
      </c>
      <c r="AQ102">
        <v>-48</v>
      </c>
      <c r="AR102">
        <v>896</v>
      </c>
      <c r="AZ102">
        <v>1200</v>
      </c>
      <c r="BA102">
        <v>1</v>
      </c>
      <c r="BB102" t="str">
        <f t="shared" si="57"/>
        <v xml:space="preserve">N9217B  </v>
      </c>
      <c r="BC102">
        <v>1</v>
      </c>
      <c r="BE102">
        <v>0</v>
      </c>
      <c r="BF102">
        <v>0</v>
      </c>
      <c r="BG102">
        <v>0</v>
      </c>
      <c r="BH102">
        <v>8625</v>
      </c>
      <c r="BI102">
        <v>1</v>
      </c>
      <c r="BJ102">
        <v>0</v>
      </c>
      <c r="BK102">
        <v>0</v>
      </c>
      <c r="BL102">
        <v>0</v>
      </c>
      <c r="BO102">
        <v>0</v>
      </c>
      <c r="BP102">
        <v>0</v>
      </c>
      <c r="BW102" t="str">
        <f t="shared" si="60"/>
        <v>14:49:20.601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6</v>
      </c>
      <c r="CP102" t="s">
        <v>119</v>
      </c>
      <c r="CQ102">
        <v>293</v>
      </c>
      <c r="CR102">
        <v>1</v>
      </c>
      <c r="CW102">
        <v>15263963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25">
      <c r="A103" t="str">
        <f t="shared" si="58"/>
        <v>06/05/2020 14:49:14.948</v>
      </c>
      <c r="C103" t="str">
        <f t="shared" si="56"/>
        <v>FFDFD3C0</v>
      </c>
      <c r="D103" t="s">
        <v>143</v>
      </c>
      <c r="E103">
        <v>10</v>
      </c>
      <c r="F103">
        <v>3010</v>
      </c>
      <c r="G103" t="s">
        <v>144</v>
      </c>
      <c r="J103" t="s">
        <v>145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9"/>
        <v>14:49:20.594</v>
      </c>
      <c r="T103" t="str">
        <f t="shared" si="59"/>
        <v>14:49:20.594</v>
      </c>
      <c r="U103" t="str">
        <f t="shared" si="35"/>
        <v>ACC530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1</v>
      </c>
      <c r="AH103">
        <v>0</v>
      </c>
      <c r="AI103" t="s">
        <v>185</v>
      </c>
      <c r="AJ103">
        <v>34.244706999999998</v>
      </c>
      <c r="AK103" t="s">
        <v>186</v>
      </c>
      <c r="AL103">
        <v>-116.881936</v>
      </c>
      <c r="AM103">
        <v>100</v>
      </c>
      <c r="AN103">
        <v>8500</v>
      </c>
      <c r="AO103" t="s">
        <v>118</v>
      </c>
      <c r="AP103">
        <v>-64</v>
      </c>
      <c r="AQ103">
        <v>-48</v>
      </c>
      <c r="AR103">
        <v>896</v>
      </c>
      <c r="AZ103">
        <v>1200</v>
      </c>
      <c r="BA103">
        <v>1</v>
      </c>
      <c r="BB103" t="str">
        <f t="shared" si="57"/>
        <v xml:space="preserve">N9217B  </v>
      </c>
      <c r="BC103">
        <v>1</v>
      </c>
      <c r="BE103">
        <v>0</v>
      </c>
      <c r="BF103">
        <v>0</v>
      </c>
      <c r="BG103">
        <v>0</v>
      </c>
      <c r="BH103">
        <v>8625</v>
      </c>
      <c r="BI103">
        <v>1</v>
      </c>
      <c r="BJ103">
        <v>0</v>
      </c>
      <c r="BK103">
        <v>0</v>
      </c>
      <c r="BL103">
        <v>0</v>
      </c>
      <c r="BO103">
        <v>0</v>
      </c>
      <c r="BP103">
        <v>0</v>
      </c>
      <c r="BW103" t="str">
        <f t="shared" si="60"/>
        <v>14:49:20.601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6</v>
      </c>
      <c r="CP103" t="s">
        <v>119</v>
      </c>
      <c r="CQ103">
        <v>293</v>
      </c>
      <c r="CR103">
        <v>1</v>
      </c>
      <c r="CW103">
        <v>15263963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25">
      <c r="A104" t="str">
        <f t="shared" si="58"/>
        <v>06/05/2020 14:49:14.948</v>
      </c>
      <c r="C104" t="str">
        <f t="shared" si="56"/>
        <v>FFDFD3C0</v>
      </c>
      <c r="D104" t="s">
        <v>141</v>
      </c>
      <c r="E104">
        <v>20</v>
      </c>
      <c r="F104">
        <v>1020</v>
      </c>
      <c r="G104" t="s">
        <v>114</v>
      </c>
      <c r="J104" t="s">
        <v>142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59"/>
        <v>14:49:20.594</v>
      </c>
      <c r="T104" t="str">
        <f t="shared" si="59"/>
        <v>14:49:20.594</v>
      </c>
      <c r="U104" t="str">
        <f t="shared" si="35"/>
        <v>ACC530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1</v>
      </c>
      <c r="AH104">
        <v>0</v>
      </c>
      <c r="AI104" t="s">
        <v>185</v>
      </c>
      <c r="AJ104">
        <v>34.244706999999998</v>
      </c>
      <c r="AK104" t="s">
        <v>186</v>
      </c>
      <c r="AL104">
        <v>-116.881936</v>
      </c>
      <c r="AM104">
        <v>100</v>
      </c>
      <c r="AN104">
        <v>8500</v>
      </c>
      <c r="AO104" t="s">
        <v>118</v>
      </c>
      <c r="AP104">
        <v>-64</v>
      </c>
      <c r="AQ104">
        <v>-48</v>
      </c>
      <c r="AR104">
        <v>896</v>
      </c>
      <c r="AZ104">
        <v>1200</v>
      </c>
      <c r="BA104">
        <v>1</v>
      </c>
      <c r="BB104" t="str">
        <f t="shared" si="57"/>
        <v xml:space="preserve">N9217B  </v>
      </c>
      <c r="BC104">
        <v>1</v>
      </c>
      <c r="BE104">
        <v>0</v>
      </c>
      <c r="BF104">
        <v>0</v>
      </c>
      <c r="BG104">
        <v>0</v>
      </c>
      <c r="BH104">
        <v>8625</v>
      </c>
      <c r="BI104">
        <v>1</v>
      </c>
      <c r="BJ104">
        <v>0</v>
      </c>
      <c r="BK104">
        <v>0</v>
      </c>
      <c r="BL104">
        <v>0</v>
      </c>
      <c r="BO104">
        <v>0</v>
      </c>
      <c r="BP104">
        <v>0</v>
      </c>
      <c r="BW104" t="str">
        <f t="shared" si="60"/>
        <v>14:49:20.601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6</v>
      </c>
      <c r="CP104" t="s">
        <v>119</v>
      </c>
      <c r="CQ104">
        <v>293</v>
      </c>
      <c r="CR104">
        <v>1</v>
      </c>
      <c r="CW104">
        <v>15263963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25">
      <c r="A105" t="str">
        <f t="shared" si="58"/>
        <v>06/05/2020 14:49:14.948</v>
      </c>
      <c r="C105" t="str">
        <f t="shared" si="56"/>
        <v>FFDFD3C0</v>
      </c>
      <c r="D105" t="s">
        <v>151</v>
      </c>
      <c r="E105">
        <v>9</v>
      </c>
      <c r="H105">
        <v>226</v>
      </c>
      <c r="I105" t="s">
        <v>152</v>
      </c>
      <c r="J105" t="s">
        <v>150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9"/>
        <v>14:49:20.594</v>
      </c>
      <c r="T105" t="str">
        <f t="shared" si="59"/>
        <v>14:49:20.594</v>
      </c>
      <c r="U105" t="str">
        <f t="shared" si="35"/>
        <v>ACC530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1</v>
      </c>
      <c r="AH105">
        <v>0</v>
      </c>
      <c r="AI105" t="s">
        <v>185</v>
      </c>
      <c r="AJ105">
        <v>34.244706999999998</v>
      </c>
      <c r="AK105" t="s">
        <v>186</v>
      </c>
      <c r="AL105">
        <v>-116.881936</v>
      </c>
      <c r="AM105">
        <v>100</v>
      </c>
      <c r="AN105">
        <v>8500</v>
      </c>
      <c r="AO105" t="s">
        <v>118</v>
      </c>
      <c r="AP105">
        <v>-64</v>
      </c>
      <c r="AQ105">
        <v>-48</v>
      </c>
      <c r="AR105">
        <v>896</v>
      </c>
      <c r="AZ105">
        <v>1200</v>
      </c>
      <c r="BA105">
        <v>1</v>
      </c>
      <c r="BB105" t="str">
        <f t="shared" si="57"/>
        <v xml:space="preserve">N9217B  </v>
      </c>
      <c r="BC105">
        <v>1</v>
      </c>
      <c r="BE105">
        <v>0</v>
      </c>
      <c r="BF105">
        <v>0</v>
      </c>
      <c r="BG105">
        <v>0</v>
      </c>
      <c r="BH105">
        <v>8625</v>
      </c>
      <c r="BI105">
        <v>1</v>
      </c>
      <c r="BJ105">
        <v>0</v>
      </c>
      <c r="BK105">
        <v>0</v>
      </c>
      <c r="BL105">
        <v>0</v>
      </c>
      <c r="BO105">
        <v>0</v>
      </c>
      <c r="BP105">
        <v>0</v>
      </c>
      <c r="BW105" t="str">
        <f t="shared" si="60"/>
        <v>14:49:20.601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6</v>
      </c>
      <c r="CP105" t="s">
        <v>119</v>
      </c>
      <c r="CQ105">
        <v>293</v>
      </c>
      <c r="CR105">
        <v>1</v>
      </c>
      <c r="CW105">
        <v>15263963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25">
      <c r="A106" t="str">
        <f t="shared" si="58"/>
        <v>06/05/2020 14:49:14.948</v>
      </c>
      <c r="C106" t="str">
        <f t="shared" si="56"/>
        <v>FFDFD3C0</v>
      </c>
      <c r="D106" t="s">
        <v>113</v>
      </c>
      <c r="E106">
        <v>3</v>
      </c>
      <c r="H106">
        <v>166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9"/>
        <v>14:49:20.594</v>
      </c>
      <c r="T106" t="str">
        <f t="shared" si="59"/>
        <v>14:49:20.594</v>
      </c>
      <c r="U106" t="str">
        <f t="shared" si="35"/>
        <v>ACC530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1</v>
      </c>
      <c r="AH106">
        <v>0</v>
      </c>
      <c r="AI106" t="s">
        <v>185</v>
      </c>
      <c r="AJ106">
        <v>34.244706999999998</v>
      </c>
      <c r="AK106" t="s">
        <v>186</v>
      </c>
      <c r="AL106">
        <v>-116.881936</v>
      </c>
      <c r="AM106">
        <v>100</v>
      </c>
      <c r="AN106">
        <v>8500</v>
      </c>
      <c r="AO106" t="s">
        <v>118</v>
      </c>
      <c r="AP106">
        <v>-64</v>
      </c>
      <c r="AQ106">
        <v>-48</v>
      </c>
      <c r="AR106">
        <v>896</v>
      </c>
      <c r="AZ106">
        <v>1200</v>
      </c>
      <c r="BA106">
        <v>1</v>
      </c>
      <c r="BB106" t="str">
        <f t="shared" si="57"/>
        <v xml:space="preserve">N9217B  </v>
      </c>
      <c r="BC106">
        <v>1</v>
      </c>
      <c r="BE106">
        <v>0</v>
      </c>
      <c r="BF106">
        <v>0</v>
      </c>
      <c r="BG106">
        <v>0</v>
      </c>
      <c r="BH106">
        <v>8625</v>
      </c>
      <c r="BI106">
        <v>1</v>
      </c>
      <c r="BJ106">
        <v>0</v>
      </c>
      <c r="BK106">
        <v>0</v>
      </c>
      <c r="BL106">
        <v>0</v>
      </c>
      <c r="BO106">
        <v>0</v>
      </c>
      <c r="BP106">
        <v>0</v>
      </c>
      <c r="BW106" t="str">
        <f t="shared" si="60"/>
        <v>14:49:20.601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6</v>
      </c>
      <c r="CP106" t="s">
        <v>119</v>
      </c>
      <c r="CQ106">
        <v>293</v>
      </c>
      <c r="CR106">
        <v>1</v>
      </c>
      <c r="CW106">
        <v>15263963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25">
      <c r="A107" t="str">
        <f t="shared" ref="A107:A112" si="61">"06/05/2020 14:49:15.919"</f>
        <v>06/05/2020 14:49:15.919</v>
      </c>
      <c r="C107" t="str">
        <f t="shared" si="56"/>
        <v>FFDFD3C0</v>
      </c>
      <c r="D107" t="s">
        <v>143</v>
      </c>
      <c r="E107">
        <v>10</v>
      </c>
      <c r="F107">
        <v>3010</v>
      </c>
      <c r="G107" t="s">
        <v>144</v>
      </c>
      <c r="J107" t="s">
        <v>145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ref="S107:S112" si="62">"14:49:21.555"</f>
        <v>14:49:21.555</v>
      </c>
      <c r="T107" t="str">
        <f t="shared" ref="T107:T112" si="63">"14:49:21.455"</f>
        <v>14:49:21.455</v>
      </c>
      <c r="U107" t="str">
        <f t="shared" si="35"/>
        <v>ACC530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1</v>
      </c>
      <c r="AH107">
        <v>0</v>
      </c>
      <c r="AI107" t="s">
        <v>187</v>
      </c>
      <c r="AJ107">
        <v>34.244470999999997</v>
      </c>
      <c r="AK107" t="s">
        <v>188</v>
      </c>
      <c r="AL107">
        <v>-116.882257</v>
      </c>
      <c r="AM107">
        <v>100</v>
      </c>
      <c r="AN107">
        <v>8500</v>
      </c>
      <c r="AO107" t="s">
        <v>118</v>
      </c>
      <c r="AP107">
        <v>-64</v>
      </c>
      <c r="AQ107">
        <v>-47</v>
      </c>
      <c r="AR107">
        <v>768</v>
      </c>
      <c r="AZ107">
        <v>1200</v>
      </c>
      <c r="BA107">
        <v>1</v>
      </c>
      <c r="BB107" t="str">
        <f t="shared" si="57"/>
        <v xml:space="preserve">N9217B  </v>
      </c>
      <c r="BC107">
        <v>1</v>
      </c>
      <c r="BE107">
        <v>0</v>
      </c>
      <c r="BF107">
        <v>0</v>
      </c>
      <c r="BG107">
        <v>0</v>
      </c>
      <c r="BH107">
        <v>8650</v>
      </c>
      <c r="BI107">
        <v>1</v>
      </c>
      <c r="BJ107">
        <v>0</v>
      </c>
      <c r="BK107">
        <v>0</v>
      </c>
      <c r="BL107">
        <v>0</v>
      </c>
      <c r="BO107">
        <v>0</v>
      </c>
      <c r="BP107">
        <v>0</v>
      </c>
      <c r="BW107" t="str">
        <f t="shared" ref="BW107:BW112" si="64">"14:49:21.561"</f>
        <v>14:49:21.561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6</v>
      </c>
      <c r="CP107" t="s">
        <v>119</v>
      </c>
      <c r="CQ107">
        <v>293</v>
      </c>
      <c r="CR107">
        <v>1</v>
      </c>
      <c r="CW107">
        <v>15264081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25">
      <c r="A108" t="str">
        <f t="shared" si="61"/>
        <v>06/05/2020 14:49:15.919</v>
      </c>
      <c r="C108" t="str">
        <f t="shared" si="56"/>
        <v>FFDFD3C0</v>
      </c>
      <c r="D108" t="s">
        <v>141</v>
      </c>
      <c r="E108">
        <v>20</v>
      </c>
      <c r="F108">
        <v>1020</v>
      </c>
      <c r="G108" t="s">
        <v>114</v>
      </c>
      <c r="J108" t="s">
        <v>142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62"/>
        <v>14:49:21.555</v>
      </c>
      <c r="T108" t="str">
        <f t="shared" si="63"/>
        <v>14:49:21.455</v>
      </c>
      <c r="U108" t="str">
        <f t="shared" si="35"/>
        <v>ACC530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1</v>
      </c>
      <c r="AH108">
        <v>0</v>
      </c>
      <c r="AI108" t="s">
        <v>187</v>
      </c>
      <c r="AJ108">
        <v>34.244470999999997</v>
      </c>
      <c r="AK108" t="s">
        <v>188</v>
      </c>
      <c r="AL108">
        <v>-116.882257</v>
      </c>
      <c r="AM108">
        <v>100</v>
      </c>
      <c r="AN108">
        <v>8500</v>
      </c>
      <c r="AO108" t="s">
        <v>118</v>
      </c>
      <c r="AP108">
        <v>-64</v>
      </c>
      <c r="AQ108">
        <v>-47</v>
      </c>
      <c r="AR108">
        <v>768</v>
      </c>
      <c r="AZ108">
        <v>1200</v>
      </c>
      <c r="BA108">
        <v>1</v>
      </c>
      <c r="BB108" t="str">
        <f t="shared" si="57"/>
        <v xml:space="preserve">N9217B  </v>
      </c>
      <c r="BC108">
        <v>1</v>
      </c>
      <c r="BE108">
        <v>0</v>
      </c>
      <c r="BF108">
        <v>0</v>
      </c>
      <c r="BG108">
        <v>0</v>
      </c>
      <c r="BH108">
        <v>8650</v>
      </c>
      <c r="BI108">
        <v>1</v>
      </c>
      <c r="BJ108">
        <v>0</v>
      </c>
      <c r="BK108">
        <v>0</v>
      </c>
      <c r="BL108">
        <v>0</v>
      </c>
      <c r="BO108">
        <v>0</v>
      </c>
      <c r="BP108">
        <v>0</v>
      </c>
      <c r="BW108" t="str">
        <f t="shared" si="64"/>
        <v>14:49:21.561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119</v>
      </c>
      <c r="CQ108">
        <v>293</v>
      </c>
      <c r="CR108">
        <v>1</v>
      </c>
      <c r="CW108">
        <v>15264081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25">
      <c r="A109" t="str">
        <f t="shared" si="61"/>
        <v>06/05/2020 14:49:15.919</v>
      </c>
      <c r="C109" t="str">
        <f t="shared" si="56"/>
        <v>FFDFD3C0</v>
      </c>
      <c r="D109" t="s">
        <v>113</v>
      </c>
      <c r="E109">
        <v>3</v>
      </c>
      <c r="H109">
        <v>166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62"/>
        <v>14:49:21.555</v>
      </c>
      <c r="T109" t="str">
        <f t="shared" si="63"/>
        <v>14:49:21.455</v>
      </c>
      <c r="U109" t="str">
        <f t="shared" si="35"/>
        <v>ACC530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1</v>
      </c>
      <c r="AH109">
        <v>0</v>
      </c>
      <c r="AI109" t="s">
        <v>187</v>
      </c>
      <c r="AJ109">
        <v>34.244470999999997</v>
      </c>
      <c r="AK109" t="s">
        <v>188</v>
      </c>
      <c r="AL109">
        <v>-116.882257</v>
      </c>
      <c r="AM109">
        <v>100</v>
      </c>
      <c r="AN109">
        <v>8500</v>
      </c>
      <c r="AO109" t="s">
        <v>118</v>
      </c>
      <c r="AP109">
        <v>-64</v>
      </c>
      <c r="AQ109">
        <v>-47</v>
      </c>
      <c r="AR109">
        <v>768</v>
      </c>
      <c r="AZ109">
        <v>1200</v>
      </c>
      <c r="BA109">
        <v>1</v>
      </c>
      <c r="BB109" t="str">
        <f t="shared" si="57"/>
        <v xml:space="preserve">N9217B  </v>
      </c>
      <c r="BC109">
        <v>1</v>
      </c>
      <c r="BE109">
        <v>0</v>
      </c>
      <c r="BF109">
        <v>0</v>
      </c>
      <c r="BG109">
        <v>0</v>
      </c>
      <c r="BH109">
        <v>8650</v>
      </c>
      <c r="BI109">
        <v>1</v>
      </c>
      <c r="BJ109">
        <v>0</v>
      </c>
      <c r="BK109">
        <v>0</v>
      </c>
      <c r="BL109">
        <v>0</v>
      </c>
      <c r="BO109">
        <v>0</v>
      </c>
      <c r="BP109">
        <v>0</v>
      </c>
      <c r="BW109" t="str">
        <f t="shared" si="64"/>
        <v>14:49:21.561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119</v>
      </c>
      <c r="CQ109">
        <v>293</v>
      </c>
      <c r="CR109">
        <v>1</v>
      </c>
      <c r="CW109">
        <v>15264081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25">
      <c r="A110" t="str">
        <f t="shared" si="61"/>
        <v>06/05/2020 14:49:15.919</v>
      </c>
      <c r="C110" t="str">
        <f t="shared" si="56"/>
        <v>FFDFD3C0</v>
      </c>
      <c r="D110" t="s">
        <v>151</v>
      </c>
      <c r="E110">
        <v>9</v>
      </c>
      <c r="H110">
        <v>226</v>
      </c>
      <c r="I110" t="s">
        <v>152</v>
      </c>
      <c r="J110" t="s">
        <v>150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62"/>
        <v>14:49:21.555</v>
      </c>
      <c r="T110" t="str">
        <f t="shared" si="63"/>
        <v>14:49:21.455</v>
      </c>
      <c r="U110" t="str">
        <f t="shared" si="35"/>
        <v>ACC530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1</v>
      </c>
      <c r="AH110">
        <v>0</v>
      </c>
      <c r="AI110" t="s">
        <v>187</v>
      </c>
      <c r="AJ110">
        <v>34.244470999999997</v>
      </c>
      <c r="AK110" t="s">
        <v>188</v>
      </c>
      <c r="AL110">
        <v>-116.882257</v>
      </c>
      <c r="AM110">
        <v>100</v>
      </c>
      <c r="AN110">
        <v>8500</v>
      </c>
      <c r="AO110" t="s">
        <v>118</v>
      </c>
      <c r="AP110">
        <v>-64</v>
      </c>
      <c r="AQ110">
        <v>-47</v>
      </c>
      <c r="AR110">
        <v>768</v>
      </c>
      <c r="AZ110">
        <v>1200</v>
      </c>
      <c r="BA110">
        <v>1</v>
      </c>
      <c r="BB110" t="str">
        <f t="shared" si="57"/>
        <v xml:space="preserve">N9217B  </v>
      </c>
      <c r="BC110">
        <v>1</v>
      </c>
      <c r="BE110">
        <v>0</v>
      </c>
      <c r="BF110">
        <v>0</v>
      </c>
      <c r="BG110">
        <v>0</v>
      </c>
      <c r="BH110">
        <v>8650</v>
      </c>
      <c r="BI110">
        <v>1</v>
      </c>
      <c r="BJ110">
        <v>0</v>
      </c>
      <c r="BK110">
        <v>0</v>
      </c>
      <c r="BL110">
        <v>0</v>
      </c>
      <c r="BO110">
        <v>0</v>
      </c>
      <c r="BP110">
        <v>0</v>
      </c>
      <c r="BW110" t="str">
        <f t="shared" si="64"/>
        <v>14:49:21.561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6</v>
      </c>
      <c r="CP110" t="s">
        <v>119</v>
      </c>
      <c r="CQ110">
        <v>293</v>
      </c>
      <c r="CR110">
        <v>1</v>
      </c>
      <c r="CW110">
        <v>15264081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25">
      <c r="A111" t="str">
        <f t="shared" si="61"/>
        <v>06/05/2020 14:49:15.919</v>
      </c>
      <c r="C111" t="str">
        <f t="shared" si="56"/>
        <v>FFDFD3C0</v>
      </c>
      <c r="D111" t="s">
        <v>134</v>
      </c>
      <c r="E111">
        <v>7</v>
      </c>
      <c r="F111">
        <v>2007</v>
      </c>
      <c r="G111" t="s">
        <v>135</v>
      </c>
      <c r="J111" t="s">
        <v>136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62"/>
        <v>14:49:21.555</v>
      </c>
      <c r="T111" t="str">
        <f t="shared" si="63"/>
        <v>14:49:21.455</v>
      </c>
      <c r="U111" t="str">
        <f t="shared" si="35"/>
        <v>ACC530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1</v>
      </c>
      <c r="AH111">
        <v>0</v>
      </c>
      <c r="AI111" t="s">
        <v>187</v>
      </c>
      <c r="AJ111">
        <v>34.244470999999997</v>
      </c>
      <c r="AK111" t="s">
        <v>188</v>
      </c>
      <c r="AL111">
        <v>-116.882257</v>
      </c>
      <c r="AM111">
        <v>100</v>
      </c>
      <c r="AN111">
        <v>8500</v>
      </c>
      <c r="AO111" t="s">
        <v>118</v>
      </c>
      <c r="AP111">
        <v>-64</v>
      </c>
      <c r="AQ111">
        <v>-47</v>
      </c>
      <c r="AR111">
        <v>768</v>
      </c>
      <c r="AZ111">
        <v>1200</v>
      </c>
      <c r="BA111">
        <v>1</v>
      </c>
      <c r="BB111" t="str">
        <f t="shared" si="57"/>
        <v xml:space="preserve">N9217B  </v>
      </c>
      <c r="BC111">
        <v>1</v>
      </c>
      <c r="BE111">
        <v>0</v>
      </c>
      <c r="BF111">
        <v>0</v>
      </c>
      <c r="BG111">
        <v>0</v>
      </c>
      <c r="BH111">
        <v>8650</v>
      </c>
      <c r="BI111">
        <v>1</v>
      </c>
      <c r="BJ111">
        <v>0</v>
      </c>
      <c r="BK111">
        <v>0</v>
      </c>
      <c r="BL111">
        <v>0</v>
      </c>
      <c r="BO111">
        <v>0</v>
      </c>
      <c r="BP111">
        <v>0</v>
      </c>
      <c r="BW111" t="str">
        <f t="shared" si="64"/>
        <v>14:49:21.561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6</v>
      </c>
      <c r="CP111" t="s">
        <v>119</v>
      </c>
      <c r="CQ111">
        <v>293</v>
      </c>
      <c r="CR111">
        <v>1</v>
      </c>
      <c r="CW111">
        <v>15264081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25">
      <c r="A112" t="str">
        <f t="shared" si="61"/>
        <v>06/05/2020 14:49:15.919</v>
      </c>
      <c r="C112" t="str">
        <f t="shared" si="56"/>
        <v>FFDFD3C0</v>
      </c>
      <c r="D112" t="s">
        <v>148</v>
      </c>
      <c r="E112">
        <v>8</v>
      </c>
      <c r="H112">
        <v>50</v>
      </c>
      <c r="I112" t="s">
        <v>149</v>
      </c>
      <c r="J112" t="s">
        <v>150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62"/>
        <v>14:49:21.555</v>
      </c>
      <c r="T112" t="str">
        <f t="shared" si="63"/>
        <v>14:49:21.455</v>
      </c>
      <c r="U112" t="str">
        <f t="shared" si="35"/>
        <v>ACC530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1</v>
      </c>
      <c r="AH112">
        <v>0</v>
      </c>
      <c r="AI112" t="s">
        <v>187</v>
      </c>
      <c r="AJ112">
        <v>34.244470999999997</v>
      </c>
      <c r="AK112" t="s">
        <v>188</v>
      </c>
      <c r="AL112">
        <v>-116.882257</v>
      </c>
      <c r="AM112">
        <v>100</v>
      </c>
      <c r="AN112">
        <v>8500</v>
      </c>
      <c r="AO112" t="s">
        <v>118</v>
      </c>
      <c r="AP112">
        <v>-64</v>
      </c>
      <c r="AQ112">
        <v>-47</v>
      </c>
      <c r="AR112">
        <v>768</v>
      </c>
      <c r="AZ112">
        <v>1200</v>
      </c>
      <c r="BA112">
        <v>1</v>
      </c>
      <c r="BB112" t="str">
        <f t="shared" si="57"/>
        <v xml:space="preserve">N9217B  </v>
      </c>
      <c r="BC112">
        <v>1</v>
      </c>
      <c r="BE112">
        <v>0</v>
      </c>
      <c r="BF112">
        <v>0</v>
      </c>
      <c r="BG112">
        <v>0</v>
      </c>
      <c r="BH112">
        <v>8650</v>
      </c>
      <c r="BI112">
        <v>1</v>
      </c>
      <c r="BJ112">
        <v>0</v>
      </c>
      <c r="BK112">
        <v>0</v>
      </c>
      <c r="BL112">
        <v>0</v>
      </c>
      <c r="BO112">
        <v>0</v>
      </c>
      <c r="BP112">
        <v>0</v>
      </c>
      <c r="BW112" t="str">
        <f t="shared" si="64"/>
        <v>14:49:21.561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6</v>
      </c>
      <c r="CP112" t="s">
        <v>119</v>
      </c>
      <c r="CQ112">
        <v>293</v>
      </c>
      <c r="CR112">
        <v>1</v>
      </c>
      <c r="CW112">
        <v>15264081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25">
      <c r="A113" t="str">
        <f t="shared" ref="A113:A118" si="65">"06/05/2020 14:49:16.964"</f>
        <v>06/05/2020 14:49:16.964</v>
      </c>
      <c r="C113" t="str">
        <f t="shared" si="56"/>
        <v>FFDFD3C0</v>
      </c>
      <c r="D113" t="s">
        <v>134</v>
      </c>
      <c r="E113">
        <v>7</v>
      </c>
      <c r="F113">
        <v>2007</v>
      </c>
      <c r="G113" t="s">
        <v>135</v>
      </c>
      <c r="J113" t="s">
        <v>136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ref="S113:S118" si="66">"14:49:22.578"</f>
        <v>14:49:22.578</v>
      </c>
      <c r="T113" t="str">
        <f t="shared" ref="T113:T118" si="67">"14:49:22.478"</f>
        <v>14:49:22.478</v>
      </c>
      <c r="U113" t="str">
        <f t="shared" si="35"/>
        <v>ACC530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1</v>
      </c>
      <c r="AH113">
        <v>0</v>
      </c>
      <c r="AI113" t="s">
        <v>189</v>
      </c>
      <c r="AJ113">
        <v>34.244298999999998</v>
      </c>
      <c r="AK113" t="s">
        <v>190</v>
      </c>
      <c r="AL113">
        <v>-116.882622</v>
      </c>
      <c r="AM113">
        <v>100</v>
      </c>
      <c r="AN113">
        <v>8600</v>
      </c>
      <c r="AO113" t="s">
        <v>118</v>
      </c>
      <c r="AP113">
        <v>-64</v>
      </c>
      <c r="AQ113">
        <v>-47</v>
      </c>
      <c r="AR113">
        <v>704</v>
      </c>
      <c r="AZ113">
        <v>1200</v>
      </c>
      <c r="BA113">
        <v>1</v>
      </c>
      <c r="BB113" t="str">
        <f t="shared" si="57"/>
        <v xml:space="preserve">N9217B  </v>
      </c>
      <c r="BC113">
        <v>1</v>
      </c>
      <c r="BE113">
        <v>0</v>
      </c>
      <c r="BF113">
        <v>0</v>
      </c>
      <c r="BG113">
        <v>0</v>
      </c>
      <c r="BH113">
        <v>8650</v>
      </c>
      <c r="BI113">
        <v>1</v>
      </c>
      <c r="BJ113">
        <v>0</v>
      </c>
      <c r="BK113">
        <v>0</v>
      </c>
      <c r="BL113">
        <v>0</v>
      </c>
      <c r="BO113">
        <v>0</v>
      </c>
      <c r="BP113">
        <v>0</v>
      </c>
      <c r="BW113" t="str">
        <f t="shared" ref="BW113:BW118" si="68">"14:49:22.581"</f>
        <v>14:49:22.581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5</v>
      </c>
      <c r="CP113" t="s">
        <v>119</v>
      </c>
      <c r="CQ113">
        <v>293</v>
      </c>
      <c r="CR113">
        <v>1</v>
      </c>
      <c r="CW113">
        <v>15264191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25">
      <c r="A114" t="str">
        <f t="shared" si="65"/>
        <v>06/05/2020 14:49:16.964</v>
      </c>
      <c r="C114" t="str">
        <f t="shared" si="56"/>
        <v>FFDFD3C0</v>
      </c>
      <c r="D114" t="s">
        <v>148</v>
      </c>
      <c r="E114">
        <v>8</v>
      </c>
      <c r="H114">
        <v>50</v>
      </c>
      <c r="I114" t="s">
        <v>149</v>
      </c>
      <c r="J114" t="s">
        <v>150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66"/>
        <v>14:49:22.578</v>
      </c>
      <c r="T114" t="str">
        <f t="shared" si="67"/>
        <v>14:49:22.478</v>
      </c>
      <c r="U114" t="str">
        <f t="shared" si="35"/>
        <v>ACC530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1</v>
      </c>
      <c r="AH114">
        <v>0</v>
      </c>
      <c r="AI114" t="s">
        <v>189</v>
      </c>
      <c r="AJ114">
        <v>34.244298999999998</v>
      </c>
      <c r="AK114" t="s">
        <v>190</v>
      </c>
      <c r="AL114">
        <v>-116.882622</v>
      </c>
      <c r="AM114">
        <v>100</v>
      </c>
      <c r="AN114">
        <v>8600</v>
      </c>
      <c r="AO114" t="s">
        <v>118</v>
      </c>
      <c r="AP114">
        <v>-64</v>
      </c>
      <c r="AQ114">
        <v>-47</v>
      </c>
      <c r="AR114">
        <v>704</v>
      </c>
      <c r="AZ114">
        <v>1200</v>
      </c>
      <c r="BA114">
        <v>1</v>
      </c>
      <c r="BB114" t="str">
        <f t="shared" si="57"/>
        <v xml:space="preserve">N9217B  </v>
      </c>
      <c r="BC114">
        <v>1</v>
      </c>
      <c r="BE114">
        <v>0</v>
      </c>
      <c r="BF114">
        <v>0</v>
      </c>
      <c r="BG114">
        <v>0</v>
      </c>
      <c r="BH114">
        <v>8650</v>
      </c>
      <c r="BI114">
        <v>1</v>
      </c>
      <c r="BJ114">
        <v>0</v>
      </c>
      <c r="BK114">
        <v>0</v>
      </c>
      <c r="BL114">
        <v>0</v>
      </c>
      <c r="BO114">
        <v>0</v>
      </c>
      <c r="BP114">
        <v>0</v>
      </c>
      <c r="BW114" t="str">
        <f t="shared" si="68"/>
        <v>14:49:22.581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5</v>
      </c>
      <c r="CP114" t="s">
        <v>119</v>
      </c>
      <c r="CQ114">
        <v>293</v>
      </c>
      <c r="CR114">
        <v>1</v>
      </c>
      <c r="CW114">
        <v>15264191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25">
      <c r="A115" t="str">
        <f t="shared" si="65"/>
        <v>06/05/2020 14:49:16.964</v>
      </c>
      <c r="C115" t="str">
        <f t="shared" si="56"/>
        <v>FFDFD3C0</v>
      </c>
      <c r="D115" t="s">
        <v>143</v>
      </c>
      <c r="E115">
        <v>10</v>
      </c>
      <c r="F115">
        <v>3010</v>
      </c>
      <c r="G115" t="s">
        <v>144</v>
      </c>
      <c r="J115" t="s">
        <v>145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66"/>
        <v>14:49:22.578</v>
      </c>
      <c r="T115" t="str">
        <f t="shared" si="67"/>
        <v>14:49:22.478</v>
      </c>
      <c r="U115" t="str">
        <f t="shared" si="35"/>
        <v>ACC530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1</v>
      </c>
      <c r="AH115">
        <v>0</v>
      </c>
      <c r="AI115" t="s">
        <v>189</v>
      </c>
      <c r="AJ115">
        <v>34.244298999999998</v>
      </c>
      <c r="AK115" t="s">
        <v>190</v>
      </c>
      <c r="AL115">
        <v>-116.882622</v>
      </c>
      <c r="AM115">
        <v>100</v>
      </c>
      <c r="AN115">
        <v>8600</v>
      </c>
      <c r="AO115" t="s">
        <v>118</v>
      </c>
      <c r="AP115">
        <v>-64</v>
      </c>
      <c r="AQ115">
        <v>-47</v>
      </c>
      <c r="AR115">
        <v>704</v>
      </c>
      <c r="AZ115">
        <v>1200</v>
      </c>
      <c r="BA115">
        <v>1</v>
      </c>
      <c r="BB115" t="str">
        <f t="shared" si="57"/>
        <v xml:space="preserve">N9217B  </v>
      </c>
      <c r="BC115">
        <v>1</v>
      </c>
      <c r="BE115">
        <v>0</v>
      </c>
      <c r="BF115">
        <v>0</v>
      </c>
      <c r="BG115">
        <v>0</v>
      </c>
      <c r="BH115">
        <v>8650</v>
      </c>
      <c r="BI115">
        <v>1</v>
      </c>
      <c r="BJ115">
        <v>0</v>
      </c>
      <c r="BK115">
        <v>0</v>
      </c>
      <c r="BL115">
        <v>0</v>
      </c>
      <c r="BO115">
        <v>0</v>
      </c>
      <c r="BP115">
        <v>0</v>
      </c>
      <c r="BW115" t="str">
        <f t="shared" si="68"/>
        <v>14:49:22.581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5</v>
      </c>
      <c r="CP115" t="s">
        <v>119</v>
      </c>
      <c r="CQ115">
        <v>293</v>
      </c>
      <c r="CR115">
        <v>1</v>
      </c>
      <c r="CW115">
        <v>15264191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25">
      <c r="A116" t="str">
        <f t="shared" si="65"/>
        <v>06/05/2020 14:49:16.964</v>
      </c>
      <c r="C116" t="str">
        <f t="shared" si="56"/>
        <v>FFDFD3C0</v>
      </c>
      <c r="D116" t="s">
        <v>141</v>
      </c>
      <c r="E116">
        <v>20</v>
      </c>
      <c r="F116">
        <v>1020</v>
      </c>
      <c r="G116" t="s">
        <v>114</v>
      </c>
      <c r="J116" t="s">
        <v>142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66"/>
        <v>14:49:22.578</v>
      </c>
      <c r="T116" t="str">
        <f t="shared" si="67"/>
        <v>14:49:22.478</v>
      </c>
      <c r="U116" t="str">
        <f t="shared" si="35"/>
        <v>ACC530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1</v>
      </c>
      <c r="AH116">
        <v>0</v>
      </c>
      <c r="AI116" t="s">
        <v>189</v>
      </c>
      <c r="AJ116">
        <v>34.244298999999998</v>
      </c>
      <c r="AK116" t="s">
        <v>190</v>
      </c>
      <c r="AL116">
        <v>-116.882622</v>
      </c>
      <c r="AM116">
        <v>100</v>
      </c>
      <c r="AN116">
        <v>8600</v>
      </c>
      <c r="AO116" t="s">
        <v>118</v>
      </c>
      <c r="AP116">
        <v>-64</v>
      </c>
      <c r="AQ116">
        <v>-47</v>
      </c>
      <c r="AR116">
        <v>704</v>
      </c>
      <c r="AZ116">
        <v>1200</v>
      </c>
      <c r="BA116">
        <v>1</v>
      </c>
      <c r="BB116" t="str">
        <f t="shared" si="57"/>
        <v xml:space="preserve">N9217B  </v>
      </c>
      <c r="BC116">
        <v>1</v>
      </c>
      <c r="BE116">
        <v>0</v>
      </c>
      <c r="BF116">
        <v>0</v>
      </c>
      <c r="BG116">
        <v>0</v>
      </c>
      <c r="BH116">
        <v>8650</v>
      </c>
      <c r="BI116">
        <v>1</v>
      </c>
      <c r="BJ116">
        <v>0</v>
      </c>
      <c r="BK116">
        <v>0</v>
      </c>
      <c r="BL116">
        <v>0</v>
      </c>
      <c r="BO116">
        <v>0</v>
      </c>
      <c r="BP116">
        <v>0</v>
      </c>
      <c r="BW116" t="str">
        <f t="shared" si="68"/>
        <v>14:49:22.581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5</v>
      </c>
      <c r="CP116" t="s">
        <v>119</v>
      </c>
      <c r="CQ116">
        <v>293</v>
      </c>
      <c r="CR116">
        <v>1</v>
      </c>
      <c r="CW116">
        <v>15264191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25">
      <c r="A117" t="str">
        <f t="shared" si="65"/>
        <v>06/05/2020 14:49:16.964</v>
      </c>
      <c r="C117" t="str">
        <f t="shared" si="56"/>
        <v>FFDFD3C0</v>
      </c>
      <c r="D117" t="s">
        <v>113</v>
      </c>
      <c r="E117">
        <v>3</v>
      </c>
      <c r="H117">
        <v>166</v>
      </c>
      <c r="I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66"/>
        <v>14:49:22.578</v>
      </c>
      <c r="T117" t="str">
        <f t="shared" si="67"/>
        <v>14:49:22.478</v>
      </c>
      <c r="U117" t="str">
        <f t="shared" si="35"/>
        <v>ACC530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1</v>
      </c>
      <c r="AH117">
        <v>0</v>
      </c>
      <c r="AI117" t="s">
        <v>189</v>
      </c>
      <c r="AJ117">
        <v>34.244298999999998</v>
      </c>
      <c r="AK117" t="s">
        <v>190</v>
      </c>
      <c r="AL117">
        <v>-116.882622</v>
      </c>
      <c r="AM117">
        <v>100</v>
      </c>
      <c r="AN117">
        <v>8600</v>
      </c>
      <c r="AO117" t="s">
        <v>118</v>
      </c>
      <c r="AP117">
        <v>-64</v>
      </c>
      <c r="AQ117">
        <v>-47</v>
      </c>
      <c r="AR117">
        <v>704</v>
      </c>
      <c r="AZ117">
        <v>1200</v>
      </c>
      <c r="BA117">
        <v>1</v>
      </c>
      <c r="BB117" t="str">
        <f t="shared" si="57"/>
        <v xml:space="preserve">N9217B  </v>
      </c>
      <c r="BC117">
        <v>1</v>
      </c>
      <c r="BE117">
        <v>0</v>
      </c>
      <c r="BF117">
        <v>0</v>
      </c>
      <c r="BG117">
        <v>0</v>
      </c>
      <c r="BH117">
        <v>8650</v>
      </c>
      <c r="BI117">
        <v>1</v>
      </c>
      <c r="BJ117">
        <v>0</v>
      </c>
      <c r="BK117">
        <v>0</v>
      </c>
      <c r="BL117">
        <v>0</v>
      </c>
      <c r="BO117">
        <v>0</v>
      </c>
      <c r="BP117">
        <v>0</v>
      </c>
      <c r="BW117" t="str">
        <f t="shared" si="68"/>
        <v>14:49:22.581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5</v>
      </c>
      <c r="CP117" t="s">
        <v>119</v>
      </c>
      <c r="CQ117">
        <v>293</v>
      </c>
      <c r="CR117">
        <v>1</v>
      </c>
      <c r="CW117">
        <v>15264191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25">
      <c r="A118" t="str">
        <f t="shared" si="65"/>
        <v>06/05/2020 14:49:16.964</v>
      </c>
      <c r="C118" t="str">
        <f t="shared" si="56"/>
        <v>FFDFD3C0</v>
      </c>
      <c r="D118" t="s">
        <v>151</v>
      </c>
      <c r="E118">
        <v>9</v>
      </c>
      <c r="H118">
        <v>226</v>
      </c>
      <c r="I118" t="s">
        <v>152</v>
      </c>
      <c r="J118" t="s">
        <v>150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6"/>
        <v>14:49:22.578</v>
      </c>
      <c r="T118" t="str">
        <f t="shared" si="67"/>
        <v>14:49:22.478</v>
      </c>
      <c r="U118" t="str">
        <f t="shared" si="35"/>
        <v>ACC530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1</v>
      </c>
      <c r="AH118">
        <v>0</v>
      </c>
      <c r="AI118" t="s">
        <v>189</v>
      </c>
      <c r="AJ118">
        <v>34.244298999999998</v>
      </c>
      <c r="AK118" t="s">
        <v>190</v>
      </c>
      <c r="AL118">
        <v>-116.882622</v>
      </c>
      <c r="AM118">
        <v>100</v>
      </c>
      <c r="AN118">
        <v>8600</v>
      </c>
      <c r="AO118" t="s">
        <v>118</v>
      </c>
      <c r="AP118">
        <v>-64</v>
      </c>
      <c r="AQ118">
        <v>-47</v>
      </c>
      <c r="AR118">
        <v>704</v>
      </c>
      <c r="AZ118">
        <v>1200</v>
      </c>
      <c r="BA118">
        <v>1</v>
      </c>
      <c r="BB118" t="str">
        <f t="shared" si="57"/>
        <v xml:space="preserve">N9217B  </v>
      </c>
      <c r="BC118">
        <v>1</v>
      </c>
      <c r="BE118">
        <v>0</v>
      </c>
      <c r="BF118">
        <v>0</v>
      </c>
      <c r="BG118">
        <v>0</v>
      </c>
      <c r="BH118">
        <v>8650</v>
      </c>
      <c r="BI118">
        <v>1</v>
      </c>
      <c r="BJ118">
        <v>0</v>
      </c>
      <c r="BK118">
        <v>0</v>
      </c>
      <c r="BL118">
        <v>0</v>
      </c>
      <c r="BO118">
        <v>0</v>
      </c>
      <c r="BP118">
        <v>0</v>
      </c>
      <c r="BW118" t="str">
        <f t="shared" si="68"/>
        <v>14:49:22.581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5</v>
      </c>
      <c r="CP118" t="s">
        <v>119</v>
      </c>
      <c r="CQ118">
        <v>293</v>
      </c>
      <c r="CR118">
        <v>1</v>
      </c>
      <c r="CW118">
        <v>15264191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25">
      <c r="A119" t="str">
        <f t="shared" ref="A119:A124" si="69">"06/05/2020 14:49:17.767"</f>
        <v>06/05/2020 14:49:17.767</v>
      </c>
      <c r="C119" t="str">
        <f t="shared" si="56"/>
        <v>FFDFD3C0</v>
      </c>
      <c r="D119" t="s">
        <v>134</v>
      </c>
      <c r="E119">
        <v>7</v>
      </c>
      <c r="F119">
        <v>2007</v>
      </c>
      <c r="G119" t="s">
        <v>135</v>
      </c>
      <c r="J119" t="s">
        <v>136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ref="S119:S124" si="70">"14:49:23.414"</f>
        <v>14:49:23.414</v>
      </c>
      <c r="T119" t="str">
        <f t="shared" ref="T119:T124" si="71">"14:49:23.014"</f>
        <v>14:49:23.014</v>
      </c>
      <c r="U119" t="str">
        <f t="shared" si="35"/>
        <v>ACC530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1</v>
      </c>
      <c r="AH119">
        <v>0</v>
      </c>
      <c r="AI119" t="s">
        <v>191</v>
      </c>
      <c r="AJ119">
        <v>34.244106000000002</v>
      </c>
      <c r="AK119" t="s">
        <v>192</v>
      </c>
      <c r="AL119">
        <v>-116.88292300000001</v>
      </c>
      <c r="AM119">
        <v>100</v>
      </c>
      <c r="AN119">
        <v>8600</v>
      </c>
      <c r="AO119" t="s">
        <v>118</v>
      </c>
      <c r="AP119">
        <v>-64</v>
      </c>
      <c r="AQ119">
        <v>-47</v>
      </c>
      <c r="AR119">
        <v>640</v>
      </c>
      <c r="AZ119">
        <v>1200</v>
      </c>
      <c r="BA119">
        <v>1</v>
      </c>
      <c r="BB119" t="str">
        <f t="shared" si="57"/>
        <v xml:space="preserve">N9217B  </v>
      </c>
      <c r="BC119">
        <v>1</v>
      </c>
      <c r="BE119">
        <v>0</v>
      </c>
      <c r="BF119">
        <v>0</v>
      </c>
      <c r="BG119">
        <v>0</v>
      </c>
      <c r="BH119">
        <v>8650</v>
      </c>
      <c r="BI119">
        <v>1</v>
      </c>
      <c r="BJ119">
        <v>0</v>
      </c>
      <c r="BK119">
        <v>0</v>
      </c>
      <c r="BL119">
        <v>0</v>
      </c>
      <c r="BO119">
        <v>0</v>
      </c>
      <c r="BP119">
        <v>0</v>
      </c>
      <c r="BW119" t="str">
        <f t="shared" ref="BW119:BW124" si="72">"14:49:23.421"</f>
        <v>14:49:23.421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5</v>
      </c>
      <c r="CP119" t="s">
        <v>119</v>
      </c>
      <c r="CQ119">
        <v>293</v>
      </c>
      <c r="CR119">
        <v>2</v>
      </c>
      <c r="CW119">
        <v>15264288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25">
      <c r="A120" t="str">
        <f t="shared" si="69"/>
        <v>06/05/2020 14:49:17.767</v>
      </c>
      <c r="C120" t="str">
        <f t="shared" si="56"/>
        <v>FFDFD3C0</v>
      </c>
      <c r="D120" t="s">
        <v>143</v>
      </c>
      <c r="E120">
        <v>10</v>
      </c>
      <c r="F120">
        <v>3010</v>
      </c>
      <c r="G120" t="s">
        <v>144</v>
      </c>
      <c r="J120" t="s">
        <v>145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70"/>
        <v>14:49:23.414</v>
      </c>
      <c r="T120" t="str">
        <f t="shared" si="71"/>
        <v>14:49:23.014</v>
      </c>
      <c r="U120" t="str">
        <f t="shared" si="35"/>
        <v>ACC530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1</v>
      </c>
      <c r="AH120">
        <v>0</v>
      </c>
      <c r="AI120" t="s">
        <v>191</v>
      </c>
      <c r="AJ120">
        <v>34.244106000000002</v>
      </c>
      <c r="AK120" t="s">
        <v>192</v>
      </c>
      <c r="AL120">
        <v>-116.88292300000001</v>
      </c>
      <c r="AM120">
        <v>100</v>
      </c>
      <c r="AN120">
        <v>8600</v>
      </c>
      <c r="AO120" t="s">
        <v>118</v>
      </c>
      <c r="AP120">
        <v>-64</v>
      </c>
      <c r="AQ120">
        <v>-47</v>
      </c>
      <c r="AR120">
        <v>640</v>
      </c>
      <c r="AZ120">
        <v>1200</v>
      </c>
      <c r="BA120">
        <v>1</v>
      </c>
      <c r="BB120" t="str">
        <f t="shared" si="57"/>
        <v xml:space="preserve">N9217B  </v>
      </c>
      <c r="BC120">
        <v>1</v>
      </c>
      <c r="BE120">
        <v>0</v>
      </c>
      <c r="BF120">
        <v>0</v>
      </c>
      <c r="BG120">
        <v>0</v>
      </c>
      <c r="BH120">
        <v>8650</v>
      </c>
      <c r="BI120">
        <v>1</v>
      </c>
      <c r="BJ120">
        <v>0</v>
      </c>
      <c r="BK120">
        <v>0</v>
      </c>
      <c r="BL120">
        <v>0</v>
      </c>
      <c r="BO120">
        <v>0</v>
      </c>
      <c r="BP120">
        <v>0</v>
      </c>
      <c r="BW120" t="str">
        <f t="shared" si="72"/>
        <v>14:49:23.421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5</v>
      </c>
      <c r="CP120" t="s">
        <v>119</v>
      </c>
      <c r="CQ120">
        <v>293</v>
      </c>
      <c r="CR120">
        <v>2</v>
      </c>
      <c r="CW120">
        <v>15264288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25">
      <c r="A121" t="str">
        <f t="shared" si="69"/>
        <v>06/05/2020 14:49:17.767</v>
      </c>
      <c r="C121" t="str">
        <f t="shared" si="56"/>
        <v>FFDFD3C0</v>
      </c>
      <c r="D121" t="s">
        <v>148</v>
      </c>
      <c r="E121">
        <v>8</v>
      </c>
      <c r="H121">
        <v>50</v>
      </c>
      <c r="I121" t="s">
        <v>149</v>
      </c>
      <c r="J121" t="s">
        <v>150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70"/>
        <v>14:49:23.414</v>
      </c>
      <c r="T121" t="str">
        <f t="shared" si="71"/>
        <v>14:49:23.014</v>
      </c>
      <c r="U121" t="str">
        <f t="shared" si="35"/>
        <v>ACC530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1</v>
      </c>
      <c r="AH121">
        <v>0</v>
      </c>
      <c r="AI121" t="s">
        <v>191</v>
      </c>
      <c r="AJ121">
        <v>34.244106000000002</v>
      </c>
      <c r="AK121" t="s">
        <v>192</v>
      </c>
      <c r="AL121">
        <v>-116.88292300000001</v>
      </c>
      <c r="AM121">
        <v>100</v>
      </c>
      <c r="AN121">
        <v>8600</v>
      </c>
      <c r="AO121" t="s">
        <v>118</v>
      </c>
      <c r="AP121">
        <v>-64</v>
      </c>
      <c r="AQ121">
        <v>-47</v>
      </c>
      <c r="AR121">
        <v>640</v>
      </c>
      <c r="AZ121">
        <v>1200</v>
      </c>
      <c r="BA121">
        <v>1</v>
      </c>
      <c r="BB121" t="str">
        <f t="shared" si="57"/>
        <v xml:space="preserve">N9217B  </v>
      </c>
      <c r="BC121">
        <v>1</v>
      </c>
      <c r="BE121">
        <v>0</v>
      </c>
      <c r="BF121">
        <v>0</v>
      </c>
      <c r="BG121">
        <v>0</v>
      </c>
      <c r="BH121">
        <v>8650</v>
      </c>
      <c r="BI121">
        <v>1</v>
      </c>
      <c r="BJ121">
        <v>0</v>
      </c>
      <c r="BK121">
        <v>0</v>
      </c>
      <c r="BL121">
        <v>0</v>
      </c>
      <c r="BO121">
        <v>0</v>
      </c>
      <c r="BP121">
        <v>0</v>
      </c>
      <c r="BW121" t="str">
        <f t="shared" si="72"/>
        <v>14:49:23.421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5</v>
      </c>
      <c r="CP121" t="s">
        <v>119</v>
      </c>
      <c r="CQ121">
        <v>293</v>
      </c>
      <c r="CR121">
        <v>2</v>
      </c>
      <c r="CW121">
        <v>15264288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25">
      <c r="A122" t="str">
        <f t="shared" si="69"/>
        <v>06/05/2020 14:49:17.767</v>
      </c>
      <c r="C122" t="str">
        <f t="shared" si="56"/>
        <v>FFDFD3C0</v>
      </c>
      <c r="D122" t="s">
        <v>141</v>
      </c>
      <c r="E122">
        <v>20</v>
      </c>
      <c r="F122">
        <v>1020</v>
      </c>
      <c r="G122" t="s">
        <v>114</v>
      </c>
      <c r="J122" t="s">
        <v>142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70"/>
        <v>14:49:23.414</v>
      </c>
      <c r="T122" t="str">
        <f t="shared" si="71"/>
        <v>14:49:23.014</v>
      </c>
      <c r="U122" t="str">
        <f t="shared" si="35"/>
        <v>ACC530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1</v>
      </c>
      <c r="AH122">
        <v>0</v>
      </c>
      <c r="AI122" t="s">
        <v>191</v>
      </c>
      <c r="AJ122">
        <v>34.244106000000002</v>
      </c>
      <c r="AK122" t="s">
        <v>192</v>
      </c>
      <c r="AL122">
        <v>-116.88292300000001</v>
      </c>
      <c r="AM122">
        <v>100</v>
      </c>
      <c r="AN122">
        <v>8600</v>
      </c>
      <c r="AO122" t="s">
        <v>118</v>
      </c>
      <c r="AP122">
        <v>-64</v>
      </c>
      <c r="AQ122">
        <v>-47</v>
      </c>
      <c r="AR122">
        <v>640</v>
      </c>
      <c r="AZ122">
        <v>1200</v>
      </c>
      <c r="BA122">
        <v>1</v>
      </c>
      <c r="BB122" t="str">
        <f t="shared" si="57"/>
        <v xml:space="preserve">N9217B  </v>
      </c>
      <c r="BC122">
        <v>1</v>
      </c>
      <c r="BE122">
        <v>0</v>
      </c>
      <c r="BF122">
        <v>0</v>
      </c>
      <c r="BG122">
        <v>0</v>
      </c>
      <c r="BH122">
        <v>8650</v>
      </c>
      <c r="BI122">
        <v>1</v>
      </c>
      <c r="BJ122">
        <v>0</v>
      </c>
      <c r="BK122">
        <v>0</v>
      </c>
      <c r="BL122">
        <v>0</v>
      </c>
      <c r="BO122">
        <v>0</v>
      </c>
      <c r="BP122">
        <v>0</v>
      </c>
      <c r="BW122" t="str">
        <f t="shared" si="72"/>
        <v>14:49:23.421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5</v>
      </c>
      <c r="CP122" t="s">
        <v>119</v>
      </c>
      <c r="CQ122">
        <v>293</v>
      </c>
      <c r="CR122">
        <v>2</v>
      </c>
      <c r="CW122">
        <v>15264288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25">
      <c r="A123" t="str">
        <f t="shared" si="69"/>
        <v>06/05/2020 14:49:17.767</v>
      </c>
      <c r="C123" t="str">
        <f t="shared" si="56"/>
        <v>FFDFD3C0</v>
      </c>
      <c r="D123" t="s">
        <v>113</v>
      </c>
      <c r="E123">
        <v>3</v>
      </c>
      <c r="H123">
        <v>166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70"/>
        <v>14:49:23.414</v>
      </c>
      <c r="T123" t="str">
        <f t="shared" si="71"/>
        <v>14:49:23.014</v>
      </c>
      <c r="U123" t="str">
        <f t="shared" si="35"/>
        <v>ACC530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1</v>
      </c>
      <c r="AH123">
        <v>0</v>
      </c>
      <c r="AI123" t="s">
        <v>191</v>
      </c>
      <c r="AJ123">
        <v>34.244106000000002</v>
      </c>
      <c r="AK123" t="s">
        <v>192</v>
      </c>
      <c r="AL123">
        <v>-116.88292300000001</v>
      </c>
      <c r="AM123">
        <v>100</v>
      </c>
      <c r="AN123">
        <v>8600</v>
      </c>
      <c r="AO123" t="s">
        <v>118</v>
      </c>
      <c r="AP123">
        <v>-64</v>
      </c>
      <c r="AQ123">
        <v>-47</v>
      </c>
      <c r="AR123">
        <v>640</v>
      </c>
      <c r="AZ123">
        <v>1200</v>
      </c>
      <c r="BA123">
        <v>1</v>
      </c>
      <c r="BB123" t="str">
        <f t="shared" si="57"/>
        <v xml:space="preserve">N9217B  </v>
      </c>
      <c r="BC123">
        <v>1</v>
      </c>
      <c r="BE123">
        <v>0</v>
      </c>
      <c r="BF123">
        <v>0</v>
      </c>
      <c r="BG123">
        <v>0</v>
      </c>
      <c r="BH123">
        <v>8650</v>
      </c>
      <c r="BI123">
        <v>1</v>
      </c>
      <c r="BJ123">
        <v>0</v>
      </c>
      <c r="BK123">
        <v>0</v>
      </c>
      <c r="BL123">
        <v>0</v>
      </c>
      <c r="BO123">
        <v>0</v>
      </c>
      <c r="BP123">
        <v>0</v>
      </c>
      <c r="BW123" t="str">
        <f t="shared" si="72"/>
        <v>14:49:23.421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5</v>
      </c>
      <c r="CP123" t="s">
        <v>119</v>
      </c>
      <c r="CQ123">
        <v>293</v>
      </c>
      <c r="CR123">
        <v>2</v>
      </c>
      <c r="CW123">
        <v>15264288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25">
      <c r="A124" t="str">
        <f t="shared" si="69"/>
        <v>06/05/2020 14:49:17.767</v>
      </c>
      <c r="C124" t="str">
        <f t="shared" si="56"/>
        <v>FFDFD3C0</v>
      </c>
      <c r="D124" t="s">
        <v>151</v>
      </c>
      <c r="E124">
        <v>9</v>
      </c>
      <c r="H124">
        <v>226</v>
      </c>
      <c r="I124" t="s">
        <v>152</v>
      </c>
      <c r="J124" t="s">
        <v>150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70"/>
        <v>14:49:23.414</v>
      </c>
      <c r="T124" t="str">
        <f t="shared" si="71"/>
        <v>14:49:23.014</v>
      </c>
      <c r="U124" t="str">
        <f t="shared" si="35"/>
        <v>ACC530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1</v>
      </c>
      <c r="AH124">
        <v>0</v>
      </c>
      <c r="AI124" t="s">
        <v>191</v>
      </c>
      <c r="AJ124">
        <v>34.244106000000002</v>
      </c>
      <c r="AK124" t="s">
        <v>192</v>
      </c>
      <c r="AL124">
        <v>-116.88292300000001</v>
      </c>
      <c r="AM124">
        <v>100</v>
      </c>
      <c r="AN124">
        <v>8600</v>
      </c>
      <c r="AO124" t="s">
        <v>118</v>
      </c>
      <c r="AP124">
        <v>-64</v>
      </c>
      <c r="AQ124">
        <v>-47</v>
      </c>
      <c r="AR124">
        <v>640</v>
      </c>
      <c r="AZ124">
        <v>1200</v>
      </c>
      <c r="BA124">
        <v>1</v>
      </c>
      <c r="BB124" t="str">
        <f t="shared" si="57"/>
        <v xml:space="preserve">N9217B  </v>
      </c>
      <c r="BC124">
        <v>1</v>
      </c>
      <c r="BE124">
        <v>0</v>
      </c>
      <c r="BF124">
        <v>0</v>
      </c>
      <c r="BG124">
        <v>0</v>
      </c>
      <c r="BH124">
        <v>8650</v>
      </c>
      <c r="BI124">
        <v>1</v>
      </c>
      <c r="BJ124">
        <v>0</v>
      </c>
      <c r="BK124">
        <v>0</v>
      </c>
      <c r="BL124">
        <v>0</v>
      </c>
      <c r="BO124">
        <v>0</v>
      </c>
      <c r="BP124">
        <v>0</v>
      </c>
      <c r="BW124" t="str">
        <f t="shared" si="72"/>
        <v>14:49:23.421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5</v>
      </c>
      <c r="CP124" t="s">
        <v>119</v>
      </c>
      <c r="CQ124">
        <v>293</v>
      </c>
      <c r="CR124">
        <v>2</v>
      </c>
      <c r="CW124">
        <v>15264288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25">
      <c r="A125" t="str">
        <f t="shared" ref="A125:A130" si="73">"06/05/2020 14:49:18.770"</f>
        <v>06/05/2020 14:49:18.770</v>
      </c>
      <c r="C125" t="str">
        <f t="shared" si="56"/>
        <v>FFDFD3C0</v>
      </c>
      <c r="D125" t="s">
        <v>151</v>
      </c>
      <c r="E125">
        <v>9</v>
      </c>
      <c r="H125">
        <v>226</v>
      </c>
      <c r="I125" t="s">
        <v>152</v>
      </c>
      <c r="J125" t="s">
        <v>150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ref="S125:S130" si="74">"14:49:24.422"</f>
        <v>14:49:24.422</v>
      </c>
      <c r="T125" t="str">
        <f t="shared" ref="T125:T130" si="75">"14:49:24.122"</f>
        <v>14:49:24.122</v>
      </c>
      <c r="U125" t="str">
        <f t="shared" si="35"/>
        <v>ACC530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1</v>
      </c>
      <c r="AH125">
        <v>0</v>
      </c>
      <c r="AI125" t="s">
        <v>193</v>
      </c>
      <c r="AJ125">
        <v>34.243890999999998</v>
      </c>
      <c r="AK125" t="s">
        <v>194</v>
      </c>
      <c r="AL125">
        <v>-116.88326600000001</v>
      </c>
      <c r="AM125">
        <v>100</v>
      </c>
      <c r="AN125">
        <v>8600</v>
      </c>
      <c r="AO125" t="s">
        <v>118</v>
      </c>
      <c r="AP125">
        <v>-64</v>
      </c>
      <c r="AQ125">
        <v>-46</v>
      </c>
      <c r="AR125">
        <v>512</v>
      </c>
      <c r="AZ125">
        <v>1200</v>
      </c>
      <c r="BA125">
        <v>1</v>
      </c>
      <c r="BB125" t="str">
        <f t="shared" si="57"/>
        <v xml:space="preserve">N9217B  </v>
      </c>
      <c r="BC125">
        <v>1</v>
      </c>
      <c r="BE125">
        <v>0</v>
      </c>
      <c r="BF125">
        <v>0</v>
      </c>
      <c r="BG125">
        <v>0</v>
      </c>
      <c r="BH125">
        <v>8675</v>
      </c>
      <c r="BI125">
        <v>1</v>
      </c>
      <c r="BJ125">
        <v>0</v>
      </c>
      <c r="BK125">
        <v>0</v>
      </c>
      <c r="BL125">
        <v>0</v>
      </c>
      <c r="BO125">
        <v>0</v>
      </c>
      <c r="BP125">
        <v>0</v>
      </c>
      <c r="BW125" t="str">
        <f t="shared" ref="BW125:BW130" si="76">"14:49:24.426"</f>
        <v>14:49:24.426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5</v>
      </c>
      <c r="CP125" t="s">
        <v>119</v>
      </c>
      <c r="CQ125">
        <v>293</v>
      </c>
      <c r="CR125">
        <v>1</v>
      </c>
      <c r="CW125">
        <v>15264415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25">
      <c r="A126" t="str">
        <f t="shared" si="73"/>
        <v>06/05/2020 14:49:18.770</v>
      </c>
      <c r="C126" t="str">
        <f t="shared" si="56"/>
        <v>FFDFD3C0</v>
      </c>
      <c r="D126" t="s">
        <v>134</v>
      </c>
      <c r="E126">
        <v>7</v>
      </c>
      <c r="F126">
        <v>2007</v>
      </c>
      <c r="G126" t="s">
        <v>135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74"/>
        <v>14:49:24.422</v>
      </c>
      <c r="T126" t="str">
        <f t="shared" si="75"/>
        <v>14:49:24.122</v>
      </c>
      <c r="U126" t="str">
        <f t="shared" si="35"/>
        <v>ACC530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1</v>
      </c>
      <c r="AH126">
        <v>0</v>
      </c>
      <c r="AI126" t="s">
        <v>193</v>
      </c>
      <c r="AJ126">
        <v>34.243890999999998</v>
      </c>
      <c r="AK126" t="s">
        <v>194</v>
      </c>
      <c r="AL126">
        <v>-116.88326600000001</v>
      </c>
      <c r="AM126">
        <v>100</v>
      </c>
      <c r="AN126">
        <v>8600</v>
      </c>
      <c r="AO126" t="s">
        <v>118</v>
      </c>
      <c r="AP126">
        <v>-64</v>
      </c>
      <c r="AQ126">
        <v>-46</v>
      </c>
      <c r="AR126">
        <v>512</v>
      </c>
      <c r="AZ126">
        <v>1200</v>
      </c>
      <c r="BA126">
        <v>1</v>
      </c>
      <c r="BB126" t="str">
        <f t="shared" si="57"/>
        <v xml:space="preserve">N9217B  </v>
      </c>
      <c r="BC126">
        <v>1</v>
      </c>
      <c r="BE126">
        <v>0</v>
      </c>
      <c r="BF126">
        <v>0</v>
      </c>
      <c r="BG126">
        <v>0</v>
      </c>
      <c r="BH126">
        <v>8675</v>
      </c>
      <c r="BI126">
        <v>1</v>
      </c>
      <c r="BJ126">
        <v>0</v>
      </c>
      <c r="BK126">
        <v>0</v>
      </c>
      <c r="BL126">
        <v>0</v>
      </c>
      <c r="BO126">
        <v>0</v>
      </c>
      <c r="BP126">
        <v>0</v>
      </c>
      <c r="BW126" t="str">
        <f t="shared" si="76"/>
        <v>14:49:24.426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5</v>
      </c>
      <c r="CP126" t="s">
        <v>119</v>
      </c>
      <c r="CQ126">
        <v>293</v>
      </c>
      <c r="CR126">
        <v>1</v>
      </c>
      <c r="CW126">
        <v>15264415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25">
      <c r="A127" t="str">
        <f t="shared" si="73"/>
        <v>06/05/2020 14:49:18.770</v>
      </c>
      <c r="C127" t="str">
        <f t="shared" si="56"/>
        <v>FFDFD3C0</v>
      </c>
      <c r="D127" t="s">
        <v>143</v>
      </c>
      <c r="E127">
        <v>10</v>
      </c>
      <c r="F127">
        <v>3010</v>
      </c>
      <c r="G127" t="s">
        <v>144</v>
      </c>
      <c r="J127" t="s">
        <v>145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74"/>
        <v>14:49:24.422</v>
      </c>
      <c r="T127" t="str">
        <f t="shared" si="75"/>
        <v>14:49:24.122</v>
      </c>
      <c r="U127" t="str">
        <f t="shared" si="35"/>
        <v>ACC530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1</v>
      </c>
      <c r="AH127">
        <v>0</v>
      </c>
      <c r="AI127" t="s">
        <v>193</v>
      </c>
      <c r="AJ127">
        <v>34.243890999999998</v>
      </c>
      <c r="AK127" t="s">
        <v>194</v>
      </c>
      <c r="AL127">
        <v>-116.88326600000001</v>
      </c>
      <c r="AM127">
        <v>100</v>
      </c>
      <c r="AN127">
        <v>8600</v>
      </c>
      <c r="AO127" t="s">
        <v>118</v>
      </c>
      <c r="AP127">
        <v>-64</v>
      </c>
      <c r="AQ127">
        <v>-46</v>
      </c>
      <c r="AR127">
        <v>512</v>
      </c>
      <c r="AZ127">
        <v>1200</v>
      </c>
      <c r="BA127">
        <v>1</v>
      </c>
      <c r="BB127" t="str">
        <f t="shared" si="57"/>
        <v xml:space="preserve">N9217B  </v>
      </c>
      <c r="BC127">
        <v>1</v>
      </c>
      <c r="BE127">
        <v>0</v>
      </c>
      <c r="BF127">
        <v>0</v>
      </c>
      <c r="BG127">
        <v>0</v>
      </c>
      <c r="BH127">
        <v>8675</v>
      </c>
      <c r="BI127">
        <v>1</v>
      </c>
      <c r="BJ127">
        <v>0</v>
      </c>
      <c r="BK127">
        <v>0</v>
      </c>
      <c r="BL127">
        <v>0</v>
      </c>
      <c r="BO127">
        <v>0</v>
      </c>
      <c r="BP127">
        <v>0</v>
      </c>
      <c r="BW127" t="str">
        <f t="shared" si="76"/>
        <v>14:49:24.426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5</v>
      </c>
      <c r="CP127" t="s">
        <v>119</v>
      </c>
      <c r="CQ127">
        <v>293</v>
      </c>
      <c r="CR127">
        <v>1</v>
      </c>
      <c r="CW127">
        <v>15264415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25">
      <c r="A128" t="str">
        <f t="shared" si="73"/>
        <v>06/05/2020 14:49:18.770</v>
      </c>
      <c r="C128" t="str">
        <f t="shared" si="56"/>
        <v>FFDFD3C0</v>
      </c>
      <c r="D128" t="s">
        <v>148</v>
      </c>
      <c r="E128">
        <v>8</v>
      </c>
      <c r="H128">
        <v>50</v>
      </c>
      <c r="I128" t="s">
        <v>149</v>
      </c>
      <c r="J128" t="s">
        <v>150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74"/>
        <v>14:49:24.422</v>
      </c>
      <c r="T128" t="str">
        <f t="shared" si="75"/>
        <v>14:49:24.122</v>
      </c>
      <c r="U128" t="str">
        <f t="shared" si="35"/>
        <v>ACC530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1</v>
      </c>
      <c r="AH128">
        <v>0</v>
      </c>
      <c r="AI128" t="s">
        <v>193</v>
      </c>
      <c r="AJ128">
        <v>34.243890999999998</v>
      </c>
      <c r="AK128" t="s">
        <v>194</v>
      </c>
      <c r="AL128">
        <v>-116.88326600000001</v>
      </c>
      <c r="AM128">
        <v>100</v>
      </c>
      <c r="AN128">
        <v>8600</v>
      </c>
      <c r="AO128" t="s">
        <v>118</v>
      </c>
      <c r="AP128">
        <v>-64</v>
      </c>
      <c r="AQ128">
        <v>-46</v>
      </c>
      <c r="AR128">
        <v>512</v>
      </c>
      <c r="AZ128">
        <v>1200</v>
      </c>
      <c r="BA128">
        <v>1</v>
      </c>
      <c r="BB128" t="str">
        <f t="shared" si="57"/>
        <v xml:space="preserve">N9217B  </v>
      </c>
      <c r="BC128">
        <v>1</v>
      </c>
      <c r="BE128">
        <v>0</v>
      </c>
      <c r="BF128">
        <v>0</v>
      </c>
      <c r="BG128">
        <v>0</v>
      </c>
      <c r="BH128">
        <v>8675</v>
      </c>
      <c r="BI128">
        <v>1</v>
      </c>
      <c r="BJ128">
        <v>0</v>
      </c>
      <c r="BK128">
        <v>0</v>
      </c>
      <c r="BL128">
        <v>0</v>
      </c>
      <c r="BO128">
        <v>0</v>
      </c>
      <c r="BP128">
        <v>0</v>
      </c>
      <c r="BW128" t="str">
        <f t="shared" si="76"/>
        <v>14:49:24.426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5</v>
      </c>
      <c r="CP128" t="s">
        <v>119</v>
      </c>
      <c r="CQ128">
        <v>293</v>
      </c>
      <c r="CR128">
        <v>1</v>
      </c>
      <c r="CW128">
        <v>15264415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25">
      <c r="A129" t="str">
        <f t="shared" si="73"/>
        <v>06/05/2020 14:49:18.770</v>
      </c>
      <c r="C129" t="str">
        <f t="shared" si="56"/>
        <v>FFDFD3C0</v>
      </c>
      <c r="D129" t="s">
        <v>141</v>
      </c>
      <c r="E129">
        <v>20</v>
      </c>
      <c r="F129">
        <v>1020</v>
      </c>
      <c r="G129" t="s">
        <v>114</v>
      </c>
      <c r="J129" t="s">
        <v>142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74"/>
        <v>14:49:24.422</v>
      </c>
      <c r="T129" t="str">
        <f t="shared" si="75"/>
        <v>14:49:24.122</v>
      </c>
      <c r="U129" t="str">
        <f t="shared" si="35"/>
        <v>ACC530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1</v>
      </c>
      <c r="AH129">
        <v>0</v>
      </c>
      <c r="AI129" t="s">
        <v>193</v>
      </c>
      <c r="AJ129">
        <v>34.243890999999998</v>
      </c>
      <c r="AK129" t="s">
        <v>194</v>
      </c>
      <c r="AL129">
        <v>-116.88326600000001</v>
      </c>
      <c r="AM129">
        <v>100</v>
      </c>
      <c r="AN129">
        <v>8600</v>
      </c>
      <c r="AO129" t="s">
        <v>118</v>
      </c>
      <c r="AP129">
        <v>-64</v>
      </c>
      <c r="AQ129">
        <v>-46</v>
      </c>
      <c r="AR129">
        <v>512</v>
      </c>
      <c r="AZ129">
        <v>1200</v>
      </c>
      <c r="BA129">
        <v>1</v>
      </c>
      <c r="BB129" t="str">
        <f t="shared" si="57"/>
        <v xml:space="preserve">N9217B  </v>
      </c>
      <c r="BC129">
        <v>1</v>
      </c>
      <c r="BE129">
        <v>0</v>
      </c>
      <c r="BF129">
        <v>0</v>
      </c>
      <c r="BG129">
        <v>0</v>
      </c>
      <c r="BH129">
        <v>8675</v>
      </c>
      <c r="BI129">
        <v>1</v>
      </c>
      <c r="BJ129">
        <v>0</v>
      </c>
      <c r="BK129">
        <v>0</v>
      </c>
      <c r="BL129">
        <v>0</v>
      </c>
      <c r="BO129">
        <v>0</v>
      </c>
      <c r="BP129">
        <v>0</v>
      </c>
      <c r="BW129" t="str">
        <f t="shared" si="76"/>
        <v>14:49:24.426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5</v>
      </c>
      <c r="CP129" t="s">
        <v>119</v>
      </c>
      <c r="CQ129">
        <v>293</v>
      </c>
      <c r="CR129">
        <v>1</v>
      </c>
      <c r="CW129">
        <v>15264415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25">
      <c r="A130" t="str">
        <f t="shared" si="73"/>
        <v>06/05/2020 14:49:18.770</v>
      </c>
      <c r="C130" t="str">
        <f t="shared" si="56"/>
        <v>FFDFD3C0</v>
      </c>
      <c r="D130" t="s">
        <v>113</v>
      </c>
      <c r="E130">
        <v>3</v>
      </c>
      <c r="H130">
        <v>166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74"/>
        <v>14:49:24.422</v>
      </c>
      <c r="T130" t="str">
        <f t="shared" si="75"/>
        <v>14:49:24.122</v>
      </c>
      <c r="U130" t="str">
        <f t="shared" ref="U130:U193" si="77">"ACC530"</f>
        <v>ACC530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1</v>
      </c>
      <c r="AH130">
        <v>0</v>
      </c>
      <c r="AI130" t="s">
        <v>193</v>
      </c>
      <c r="AJ130">
        <v>34.243890999999998</v>
      </c>
      <c r="AK130" t="s">
        <v>194</v>
      </c>
      <c r="AL130">
        <v>-116.88326600000001</v>
      </c>
      <c r="AM130">
        <v>100</v>
      </c>
      <c r="AN130">
        <v>8600</v>
      </c>
      <c r="AO130" t="s">
        <v>118</v>
      </c>
      <c r="AP130">
        <v>-64</v>
      </c>
      <c r="AQ130">
        <v>-46</v>
      </c>
      <c r="AR130">
        <v>512</v>
      </c>
      <c r="AZ130">
        <v>1200</v>
      </c>
      <c r="BA130">
        <v>1</v>
      </c>
      <c r="BB130" t="str">
        <f t="shared" si="57"/>
        <v xml:space="preserve">N9217B  </v>
      </c>
      <c r="BC130">
        <v>1</v>
      </c>
      <c r="BE130">
        <v>0</v>
      </c>
      <c r="BF130">
        <v>0</v>
      </c>
      <c r="BG130">
        <v>0</v>
      </c>
      <c r="BH130">
        <v>8675</v>
      </c>
      <c r="BI130">
        <v>1</v>
      </c>
      <c r="BJ130">
        <v>0</v>
      </c>
      <c r="BK130">
        <v>0</v>
      </c>
      <c r="BL130">
        <v>0</v>
      </c>
      <c r="BO130">
        <v>0</v>
      </c>
      <c r="BP130">
        <v>0</v>
      </c>
      <c r="BW130" t="str">
        <f t="shared" si="76"/>
        <v>14:49:24.426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5</v>
      </c>
      <c r="CP130" t="s">
        <v>119</v>
      </c>
      <c r="CQ130">
        <v>293</v>
      </c>
      <c r="CR130">
        <v>1</v>
      </c>
      <c r="CW130">
        <v>15264415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25">
      <c r="A131" t="str">
        <f t="shared" ref="A131:A136" si="78">"06/05/2020 14:49:19.937"</f>
        <v>06/05/2020 14:49:19.937</v>
      </c>
      <c r="C131" t="str">
        <f t="shared" si="56"/>
        <v>FFDFD3C0</v>
      </c>
      <c r="D131" t="s">
        <v>143</v>
      </c>
      <c r="E131">
        <v>10</v>
      </c>
      <c r="F131">
        <v>3010</v>
      </c>
      <c r="G131" t="s">
        <v>144</v>
      </c>
      <c r="J131" t="s">
        <v>145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S136" si="79">"14:49:25.563"</f>
        <v>14:49:25.563</v>
      </c>
      <c r="T131" t="str">
        <f t="shared" ref="T131:T136" si="80">"14:49:25.263"</f>
        <v>14:49:25.263</v>
      </c>
      <c r="U131" t="str">
        <f t="shared" si="77"/>
        <v>ACC530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1</v>
      </c>
      <c r="AH131">
        <v>0</v>
      </c>
      <c r="AI131" t="s">
        <v>195</v>
      </c>
      <c r="AJ131">
        <v>34.243611999999999</v>
      </c>
      <c r="AK131" t="s">
        <v>196</v>
      </c>
      <c r="AL131">
        <v>-116.883717</v>
      </c>
      <c r="AM131">
        <v>100</v>
      </c>
      <c r="AN131">
        <v>8600</v>
      </c>
      <c r="AO131" t="s">
        <v>118</v>
      </c>
      <c r="AP131">
        <v>-64</v>
      </c>
      <c r="AQ131">
        <v>-45</v>
      </c>
      <c r="AR131">
        <v>256</v>
      </c>
      <c r="AZ131">
        <v>1200</v>
      </c>
      <c r="BA131">
        <v>1</v>
      </c>
      <c r="BB131" t="str">
        <f t="shared" ref="BB131:BB162" si="81">"N9217B  "</f>
        <v xml:space="preserve">N9217B  </v>
      </c>
      <c r="BC131">
        <v>1</v>
      </c>
      <c r="BE131">
        <v>0</v>
      </c>
      <c r="BF131">
        <v>0</v>
      </c>
      <c r="BG131">
        <v>0</v>
      </c>
      <c r="BH131">
        <v>8675</v>
      </c>
      <c r="BI131">
        <v>1</v>
      </c>
      <c r="BJ131">
        <v>0</v>
      </c>
      <c r="BK131">
        <v>0</v>
      </c>
      <c r="BL131">
        <v>0</v>
      </c>
      <c r="BO131">
        <v>0</v>
      </c>
      <c r="BP131">
        <v>0</v>
      </c>
      <c r="BW131" t="str">
        <f t="shared" ref="BW131:BW136" si="82">"14:49:25.566"</f>
        <v>14:49:25.566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5</v>
      </c>
      <c r="CP131" t="s">
        <v>119</v>
      </c>
      <c r="CQ131">
        <v>293</v>
      </c>
      <c r="CR131">
        <v>2</v>
      </c>
      <c r="CW131">
        <v>15264541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25">
      <c r="A132" t="str">
        <f t="shared" si="78"/>
        <v>06/05/2020 14:49:19.937</v>
      </c>
      <c r="C132" t="str">
        <f t="shared" si="56"/>
        <v>FFDFD3C0</v>
      </c>
      <c r="D132" t="s">
        <v>134</v>
      </c>
      <c r="E132">
        <v>7</v>
      </c>
      <c r="F132">
        <v>2007</v>
      </c>
      <c r="G132" t="s">
        <v>135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79"/>
        <v>14:49:25.563</v>
      </c>
      <c r="T132" t="str">
        <f t="shared" si="80"/>
        <v>14:49:25.263</v>
      </c>
      <c r="U132" t="str">
        <f t="shared" si="77"/>
        <v>ACC530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1</v>
      </c>
      <c r="AH132">
        <v>0</v>
      </c>
      <c r="AI132" t="s">
        <v>195</v>
      </c>
      <c r="AJ132">
        <v>34.243611999999999</v>
      </c>
      <c r="AK132" t="s">
        <v>196</v>
      </c>
      <c r="AL132">
        <v>-116.883717</v>
      </c>
      <c r="AM132">
        <v>100</v>
      </c>
      <c r="AN132">
        <v>8600</v>
      </c>
      <c r="AO132" t="s">
        <v>118</v>
      </c>
      <c r="AP132">
        <v>-64</v>
      </c>
      <c r="AQ132">
        <v>-45</v>
      </c>
      <c r="AR132">
        <v>256</v>
      </c>
      <c r="AZ132">
        <v>1200</v>
      </c>
      <c r="BA132">
        <v>1</v>
      </c>
      <c r="BB132" t="str">
        <f t="shared" si="81"/>
        <v xml:space="preserve">N9217B  </v>
      </c>
      <c r="BC132">
        <v>1</v>
      </c>
      <c r="BE132">
        <v>0</v>
      </c>
      <c r="BF132">
        <v>0</v>
      </c>
      <c r="BG132">
        <v>0</v>
      </c>
      <c r="BH132">
        <v>8675</v>
      </c>
      <c r="BI132">
        <v>1</v>
      </c>
      <c r="BJ132">
        <v>0</v>
      </c>
      <c r="BK132">
        <v>0</v>
      </c>
      <c r="BL132">
        <v>0</v>
      </c>
      <c r="BO132">
        <v>0</v>
      </c>
      <c r="BP132">
        <v>0</v>
      </c>
      <c r="BW132" t="str">
        <f t="shared" si="82"/>
        <v>14:49:25.566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5</v>
      </c>
      <c r="CP132" t="s">
        <v>119</v>
      </c>
      <c r="CQ132">
        <v>293</v>
      </c>
      <c r="CR132">
        <v>2</v>
      </c>
      <c r="CW132">
        <v>15264541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25">
      <c r="A133" t="str">
        <f t="shared" si="78"/>
        <v>06/05/2020 14:49:19.937</v>
      </c>
      <c r="C133" t="str">
        <f t="shared" si="56"/>
        <v>FFDFD3C0</v>
      </c>
      <c r="D133" t="s">
        <v>148</v>
      </c>
      <c r="E133">
        <v>8</v>
      </c>
      <c r="H133">
        <v>50</v>
      </c>
      <c r="I133" t="s">
        <v>149</v>
      </c>
      <c r="J133" t="s">
        <v>150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79"/>
        <v>14:49:25.563</v>
      </c>
      <c r="T133" t="str">
        <f t="shared" si="80"/>
        <v>14:49:25.263</v>
      </c>
      <c r="U133" t="str">
        <f t="shared" si="77"/>
        <v>ACC530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1</v>
      </c>
      <c r="AH133">
        <v>0</v>
      </c>
      <c r="AI133" t="s">
        <v>195</v>
      </c>
      <c r="AJ133">
        <v>34.243611999999999</v>
      </c>
      <c r="AK133" t="s">
        <v>196</v>
      </c>
      <c r="AL133">
        <v>-116.883717</v>
      </c>
      <c r="AM133">
        <v>100</v>
      </c>
      <c r="AN133">
        <v>8600</v>
      </c>
      <c r="AO133" t="s">
        <v>118</v>
      </c>
      <c r="AP133">
        <v>-64</v>
      </c>
      <c r="AQ133">
        <v>-45</v>
      </c>
      <c r="AR133">
        <v>256</v>
      </c>
      <c r="AZ133">
        <v>1200</v>
      </c>
      <c r="BA133">
        <v>1</v>
      </c>
      <c r="BB133" t="str">
        <f t="shared" si="81"/>
        <v xml:space="preserve">N9217B  </v>
      </c>
      <c r="BC133">
        <v>1</v>
      </c>
      <c r="BE133">
        <v>0</v>
      </c>
      <c r="BF133">
        <v>0</v>
      </c>
      <c r="BG133">
        <v>0</v>
      </c>
      <c r="BH133">
        <v>8675</v>
      </c>
      <c r="BI133">
        <v>1</v>
      </c>
      <c r="BJ133">
        <v>0</v>
      </c>
      <c r="BK133">
        <v>0</v>
      </c>
      <c r="BL133">
        <v>0</v>
      </c>
      <c r="BO133">
        <v>0</v>
      </c>
      <c r="BP133">
        <v>0</v>
      </c>
      <c r="BW133" t="str">
        <f t="shared" si="82"/>
        <v>14:49:25.566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5</v>
      </c>
      <c r="CP133" t="s">
        <v>119</v>
      </c>
      <c r="CQ133">
        <v>293</v>
      </c>
      <c r="CR133">
        <v>2</v>
      </c>
      <c r="CW133">
        <v>15264541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25">
      <c r="A134" t="str">
        <f t="shared" si="78"/>
        <v>06/05/2020 14:49:19.937</v>
      </c>
      <c r="C134" t="str">
        <f t="shared" si="56"/>
        <v>FFDFD3C0</v>
      </c>
      <c r="D134" t="s">
        <v>141</v>
      </c>
      <c r="E134">
        <v>20</v>
      </c>
      <c r="F134">
        <v>1020</v>
      </c>
      <c r="G134" t="s">
        <v>114</v>
      </c>
      <c r="J134" t="s">
        <v>142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79"/>
        <v>14:49:25.563</v>
      </c>
      <c r="T134" t="str">
        <f t="shared" si="80"/>
        <v>14:49:25.263</v>
      </c>
      <c r="U134" t="str">
        <f t="shared" si="77"/>
        <v>ACC530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1</v>
      </c>
      <c r="AH134">
        <v>0</v>
      </c>
      <c r="AI134" t="s">
        <v>195</v>
      </c>
      <c r="AJ134">
        <v>34.243611999999999</v>
      </c>
      <c r="AK134" t="s">
        <v>196</v>
      </c>
      <c r="AL134">
        <v>-116.883717</v>
      </c>
      <c r="AM134">
        <v>100</v>
      </c>
      <c r="AN134">
        <v>8600</v>
      </c>
      <c r="AO134" t="s">
        <v>118</v>
      </c>
      <c r="AP134">
        <v>-64</v>
      </c>
      <c r="AQ134">
        <v>-45</v>
      </c>
      <c r="AR134">
        <v>256</v>
      </c>
      <c r="AZ134">
        <v>1200</v>
      </c>
      <c r="BA134">
        <v>1</v>
      </c>
      <c r="BB134" t="str">
        <f t="shared" si="81"/>
        <v xml:space="preserve">N9217B  </v>
      </c>
      <c r="BC134">
        <v>1</v>
      </c>
      <c r="BE134">
        <v>0</v>
      </c>
      <c r="BF134">
        <v>0</v>
      </c>
      <c r="BG134">
        <v>0</v>
      </c>
      <c r="BH134">
        <v>8675</v>
      </c>
      <c r="BI134">
        <v>1</v>
      </c>
      <c r="BJ134">
        <v>0</v>
      </c>
      <c r="BK134">
        <v>0</v>
      </c>
      <c r="BL134">
        <v>0</v>
      </c>
      <c r="BO134">
        <v>0</v>
      </c>
      <c r="BP134">
        <v>0</v>
      </c>
      <c r="BW134" t="str">
        <f t="shared" si="82"/>
        <v>14:49:25.566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5</v>
      </c>
      <c r="CP134" t="s">
        <v>119</v>
      </c>
      <c r="CQ134">
        <v>293</v>
      </c>
      <c r="CR134">
        <v>2</v>
      </c>
      <c r="CW134">
        <v>15264541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25">
      <c r="A135" t="str">
        <f t="shared" si="78"/>
        <v>06/05/2020 14:49:19.937</v>
      </c>
      <c r="C135" t="str">
        <f t="shared" si="56"/>
        <v>FFDFD3C0</v>
      </c>
      <c r="D135" t="s">
        <v>113</v>
      </c>
      <c r="E135">
        <v>3</v>
      </c>
      <c r="H135">
        <v>166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79"/>
        <v>14:49:25.563</v>
      </c>
      <c r="T135" t="str">
        <f t="shared" si="80"/>
        <v>14:49:25.263</v>
      </c>
      <c r="U135" t="str">
        <f t="shared" si="77"/>
        <v>ACC530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1</v>
      </c>
      <c r="AH135">
        <v>0</v>
      </c>
      <c r="AI135" t="s">
        <v>195</v>
      </c>
      <c r="AJ135">
        <v>34.243611999999999</v>
      </c>
      <c r="AK135" t="s">
        <v>196</v>
      </c>
      <c r="AL135">
        <v>-116.883717</v>
      </c>
      <c r="AM135">
        <v>100</v>
      </c>
      <c r="AN135">
        <v>8600</v>
      </c>
      <c r="AO135" t="s">
        <v>118</v>
      </c>
      <c r="AP135">
        <v>-64</v>
      </c>
      <c r="AQ135">
        <v>-45</v>
      </c>
      <c r="AR135">
        <v>256</v>
      </c>
      <c r="AZ135">
        <v>1200</v>
      </c>
      <c r="BA135">
        <v>1</v>
      </c>
      <c r="BB135" t="str">
        <f t="shared" si="81"/>
        <v xml:space="preserve">N9217B  </v>
      </c>
      <c r="BC135">
        <v>1</v>
      </c>
      <c r="BE135">
        <v>0</v>
      </c>
      <c r="BF135">
        <v>0</v>
      </c>
      <c r="BG135">
        <v>0</v>
      </c>
      <c r="BH135">
        <v>8675</v>
      </c>
      <c r="BI135">
        <v>1</v>
      </c>
      <c r="BJ135">
        <v>0</v>
      </c>
      <c r="BK135">
        <v>0</v>
      </c>
      <c r="BL135">
        <v>0</v>
      </c>
      <c r="BO135">
        <v>0</v>
      </c>
      <c r="BP135">
        <v>0</v>
      </c>
      <c r="BW135" t="str">
        <f t="shared" si="82"/>
        <v>14:49:25.566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5</v>
      </c>
      <c r="CP135" t="s">
        <v>119</v>
      </c>
      <c r="CQ135">
        <v>293</v>
      </c>
      <c r="CR135">
        <v>2</v>
      </c>
      <c r="CW135">
        <v>15264541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25">
      <c r="A136" t="str">
        <f t="shared" si="78"/>
        <v>06/05/2020 14:49:19.937</v>
      </c>
      <c r="C136" t="str">
        <f t="shared" si="56"/>
        <v>FFDFD3C0</v>
      </c>
      <c r="D136" t="s">
        <v>151</v>
      </c>
      <c r="E136">
        <v>9</v>
      </c>
      <c r="H136">
        <v>226</v>
      </c>
      <c r="I136" t="s">
        <v>152</v>
      </c>
      <c r="J136" t="s">
        <v>150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79"/>
        <v>14:49:25.563</v>
      </c>
      <c r="T136" t="str">
        <f t="shared" si="80"/>
        <v>14:49:25.263</v>
      </c>
      <c r="U136" t="str">
        <f t="shared" si="77"/>
        <v>ACC530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1</v>
      </c>
      <c r="AH136">
        <v>0</v>
      </c>
      <c r="AI136" t="s">
        <v>195</v>
      </c>
      <c r="AJ136">
        <v>34.243611999999999</v>
      </c>
      <c r="AK136" t="s">
        <v>196</v>
      </c>
      <c r="AL136">
        <v>-116.883717</v>
      </c>
      <c r="AM136">
        <v>100</v>
      </c>
      <c r="AN136">
        <v>8600</v>
      </c>
      <c r="AO136" t="s">
        <v>118</v>
      </c>
      <c r="AP136">
        <v>-64</v>
      </c>
      <c r="AQ136">
        <v>-45</v>
      </c>
      <c r="AR136">
        <v>256</v>
      </c>
      <c r="AZ136">
        <v>1200</v>
      </c>
      <c r="BA136">
        <v>1</v>
      </c>
      <c r="BB136" t="str">
        <f t="shared" si="81"/>
        <v xml:space="preserve">N9217B  </v>
      </c>
      <c r="BC136">
        <v>1</v>
      </c>
      <c r="BE136">
        <v>0</v>
      </c>
      <c r="BF136">
        <v>0</v>
      </c>
      <c r="BG136">
        <v>0</v>
      </c>
      <c r="BH136">
        <v>8675</v>
      </c>
      <c r="BI136">
        <v>1</v>
      </c>
      <c r="BJ136">
        <v>0</v>
      </c>
      <c r="BK136">
        <v>0</v>
      </c>
      <c r="BL136">
        <v>0</v>
      </c>
      <c r="BO136">
        <v>0</v>
      </c>
      <c r="BP136">
        <v>0</v>
      </c>
      <c r="BW136" t="str">
        <f t="shared" si="82"/>
        <v>14:49:25.566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5</v>
      </c>
      <c r="CP136" t="s">
        <v>119</v>
      </c>
      <c r="CQ136">
        <v>293</v>
      </c>
      <c r="CR136">
        <v>2</v>
      </c>
      <c r="CW136">
        <v>15264541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25">
      <c r="A137" t="str">
        <f t="shared" ref="A137:A142" si="83">"06/05/2020 14:49:20.842"</f>
        <v>06/05/2020 14:49:20.842</v>
      </c>
      <c r="C137" t="str">
        <f t="shared" si="56"/>
        <v>FFDFD3C0</v>
      </c>
      <c r="D137" t="s">
        <v>151</v>
      </c>
      <c r="E137">
        <v>9</v>
      </c>
      <c r="H137">
        <v>226</v>
      </c>
      <c r="I137" t="s">
        <v>152</v>
      </c>
      <c r="J137" t="s">
        <v>150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S142" si="84">"14:49:26.508"</f>
        <v>14:49:26.508</v>
      </c>
      <c r="T137" t="str">
        <f t="shared" ref="T137:T142" si="85">"14:49:26.108"</f>
        <v>14:49:26.108</v>
      </c>
      <c r="U137" t="str">
        <f t="shared" si="77"/>
        <v>ACC530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1</v>
      </c>
      <c r="AH137">
        <v>0</v>
      </c>
      <c r="AI137" t="s">
        <v>197</v>
      </c>
      <c r="AJ137">
        <v>34.243419000000003</v>
      </c>
      <c r="AK137" t="s">
        <v>198</v>
      </c>
      <c r="AL137">
        <v>-116.883996</v>
      </c>
      <c r="AM137">
        <v>100</v>
      </c>
      <c r="AN137">
        <v>8600</v>
      </c>
      <c r="AO137" t="s">
        <v>118</v>
      </c>
      <c r="AP137">
        <v>-63</v>
      </c>
      <c r="AQ137">
        <v>-45</v>
      </c>
      <c r="AR137">
        <v>192</v>
      </c>
      <c r="AZ137">
        <v>1200</v>
      </c>
      <c r="BA137">
        <v>1</v>
      </c>
      <c r="BB137" t="str">
        <f t="shared" si="81"/>
        <v xml:space="preserve">N9217B  </v>
      </c>
      <c r="BC137">
        <v>1</v>
      </c>
      <c r="BE137">
        <v>0</v>
      </c>
      <c r="BF137">
        <v>0</v>
      </c>
      <c r="BG137">
        <v>0</v>
      </c>
      <c r="BH137">
        <v>8675</v>
      </c>
      <c r="BI137">
        <v>1</v>
      </c>
      <c r="BJ137">
        <v>0</v>
      </c>
      <c r="BK137">
        <v>0</v>
      </c>
      <c r="BL137">
        <v>0</v>
      </c>
      <c r="BO137">
        <v>0</v>
      </c>
      <c r="BP137">
        <v>0</v>
      </c>
      <c r="BW137" t="str">
        <f t="shared" ref="BW137:BW142" si="86">"14:49:26.510"</f>
        <v>14:49:26.510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5</v>
      </c>
      <c r="CP137" t="s">
        <v>119</v>
      </c>
      <c r="CQ137">
        <v>293</v>
      </c>
      <c r="CR137">
        <v>2</v>
      </c>
      <c r="CW137">
        <v>15264649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25">
      <c r="A138" t="str">
        <f t="shared" si="83"/>
        <v>06/05/2020 14:49:20.842</v>
      </c>
      <c r="C138" t="str">
        <f t="shared" si="56"/>
        <v>FFDFD3C0</v>
      </c>
      <c r="D138" t="s">
        <v>143</v>
      </c>
      <c r="E138">
        <v>10</v>
      </c>
      <c r="F138">
        <v>3010</v>
      </c>
      <c r="G138" t="s">
        <v>144</v>
      </c>
      <c r="J138" t="s">
        <v>145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84"/>
        <v>14:49:26.508</v>
      </c>
      <c r="T138" t="str">
        <f t="shared" si="85"/>
        <v>14:49:26.108</v>
      </c>
      <c r="U138" t="str">
        <f t="shared" si="77"/>
        <v>ACC530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1</v>
      </c>
      <c r="AH138">
        <v>0</v>
      </c>
      <c r="AI138" t="s">
        <v>197</v>
      </c>
      <c r="AJ138">
        <v>34.243419000000003</v>
      </c>
      <c r="AK138" t="s">
        <v>198</v>
      </c>
      <c r="AL138">
        <v>-116.883996</v>
      </c>
      <c r="AM138">
        <v>100</v>
      </c>
      <c r="AN138">
        <v>8600</v>
      </c>
      <c r="AO138" t="s">
        <v>118</v>
      </c>
      <c r="AP138">
        <v>-63</v>
      </c>
      <c r="AQ138">
        <v>-45</v>
      </c>
      <c r="AR138">
        <v>192</v>
      </c>
      <c r="AZ138">
        <v>1200</v>
      </c>
      <c r="BA138">
        <v>1</v>
      </c>
      <c r="BB138" t="str">
        <f t="shared" si="81"/>
        <v xml:space="preserve">N9217B  </v>
      </c>
      <c r="BC138">
        <v>1</v>
      </c>
      <c r="BE138">
        <v>0</v>
      </c>
      <c r="BF138">
        <v>0</v>
      </c>
      <c r="BG138">
        <v>0</v>
      </c>
      <c r="BH138">
        <v>8675</v>
      </c>
      <c r="BI138">
        <v>1</v>
      </c>
      <c r="BJ138">
        <v>0</v>
      </c>
      <c r="BK138">
        <v>0</v>
      </c>
      <c r="BL138">
        <v>0</v>
      </c>
      <c r="BO138">
        <v>0</v>
      </c>
      <c r="BP138">
        <v>0</v>
      </c>
      <c r="BW138" t="str">
        <f t="shared" si="86"/>
        <v>14:49:26.510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5</v>
      </c>
      <c r="CP138" t="s">
        <v>119</v>
      </c>
      <c r="CQ138">
        <v>293</v>
      </c>
      <c r="CR138">
        <v>2</v>
      </c>
      <c r="CW138">
        <v>15264649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25">
      <c r="A139" t="str">
        <f t="shared" si="83"/>
        <v>06/05/2020 14:49:20.842</v>
      </c>
      <c r="C139" t="str">
        <f t="shared" si="56"/>
        <v>FFDFD3C0</v>
      </c>
      <c r="D139" t="s">
        <v>134</v>
      </c>
      <c r="E139">
        <v>7</v>
      </c>
      <c r="F139">
        <v>2007</v>
      </c>
      <c r="G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84"/>
        <v>14:49:26.508</v>
      </c>
      <c r="T139" t="str">
        <f t="shared" si="85"/>
        <v>14:49:26.108</v>
      </c>
      <c r="U139" t="str">
        <f t="shared" si="77"/>
        <v>ACC530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1</v>
      </c>
      <c r="AH139">
        <v>0</v>
      </c>
      <c r="AI139" t="s">
        <v>197</v>
      </c>
      <c r="AJ139">
        <v>34.243419000000003</v>
      </c>
      <c r="AK139" t="s">
        <v>198</v>
      </c>
      <c r="AL139">
        <v>-116.883996</v>
      </c>
      <c r="AM139">
        <v>100</v>
      </c>
      <c r="AN139">
        <v>8600</v>
      </c>
      <c r="AO139" t="s">
        <v>118</v>
      </c>
      <c r="AP139">
        <v>-63</v>
      </c>
      <c r="AQ139">
        <v>-45</v>
      </c>
      <c r="AR139">
        <v>192</v>
      </c>
      <c r="AZ139">
        <v>1200</v>
      </c>
      <c r="BA139">
        <v>1</v>
      </c>
      <c r="BB139" t="str">
        <f t="shared" si="81"/>
        <v xml:space="preserve">N9217B  </v>
      </c>
      <c r="BC139">
        <v>1</v>
      </c>
      <c r="BE139">
        <v>0</v>
      </c>
      <c r="BF139">
        <v>0</v>
      </c>
      <c r="BG139">
        <v>0</v>
      </c>
      <c r="BH139">
        <v>8675</v>
      </c>
      <c r="BI139">
        <v>1</v>
      </c>
      <c r="BJ139">
        <v>0</v>
      </c>
      <c r="BK139">
        <v>0</v>
      </c>
      <c r="BL139">
        <v>0</v>
      </c>
      <c r="BO139">
        <v>0</v>
      </c>
      <c r="BP139">
        <v>0</v>
      </c>
      <c r="BW139" t="str">
        <f t="shared" si="86"/>
        <v>14:49:26.510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5</v>
      </c>
      <c r="CP139" t="s">
        <v>119</v>
      </c>
      <c r="CQ139">
        <v>293</v>
      </c>
      <c r="CR139">
        <v>2</v>
      </c>
      <c r="CW139">
        <v>15264649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25">
      <c r="A140" t="str">
        <f t="shared" si="83"/>
        <v>06/05/2020 14:49:20.842</v>
      </c>
      <c r="C140" t="str">
        <f t="shared" si="56"/>
        <v>FFDFD3C0</v>
      </c>
      <c r="D140" t="s">
        <v>141</v>
      </c>
      <c r="E140">
        <v>20</v>
      </c>
      <c r="F140">
        <v>1020</v>
      </c>
      <c r="G140" t="s">
        <v>114</v>
      </c>
      <c r="J140" t="s">
        <v>142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84"/>
        <v>14:49:26.508</v>
      </c>
      <c r="T140" t="str">
        <f t="shared" si="85"/>
        <v>14:49:26.108</v>
      </c>
      <c r="U140" t="str">
        <f t="shared" si="77"/>
        <v>ACC530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1</v>
      </c>
      <c r="AH140">
        <v>0</v>
      </c>
      <c r="AI140" t="s">
        <v>197</v>
      </c>
      <c r="AJ140">
        <v>34.243419000000003</v>
      </c>
      <c r="AK140" t="s">
        <v>198</v>
      </c>
      <c r="AL140">
        <v>-116.883996</v>
      </c>
      <c r="AM140">
        <v>100</v>
      </c>
      <c r="AN140">
        <v>8600</v>
      </c>
      <c r="AO140" t="s">
        <v>118</v>
      </c>
      <c r="AP140">
        <v>-63</v>
      </c>
      <c r="AQ140">
        <v>-45</v>
      </c>
      <c r="AR140">
        <v>192</v>
      </c>
      <c r="AZ140">
        <v>1200</v>
      </c>
      <c r="BA140">
        <v>1</v>
      </c>
      <c r="BB140" t="str">
        <f t="shared" si="81"/>
        <v xml:space="preserve">N9217B  </v>
      </c>
      <c r="BC140">
        <v>1</v>
      </c>
      <c r="BE140">
        <v>0</v>
      </c>
      <c r="BF140">
        <v>0</v>
      </c>
      <c r="BG140">
        <v>0</v>
      </c>
      <c r="BH140">
        <v>8675</v>
      </c>
      <c r="BI140">
        <v>1</v>
      </c>
      <c r="BJ140">
        <v>0</v>
      </c>
      <c r="BK140">
        <v>0</v>
      </c>
      <c r="BL140">
        <v>0</v>
      </c>
      <c r="BO140">
        <v>0</v>
      </c>
      <c r="BP140">
        <v>0</v>
      </c>
      <c r="BW140" t="str">
        <f t="shared" si="86"/>
        <v>14:49:26.510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5</v>
      </c>
      <c r="CP140" t="s">
        <v>119</v>
      </c>
      <c r="CQ140">
        <v>293</v>
      </c>
      <c r="CR140">
        <v>2</v>
      </c>
      <c r="CW140">
        <v>15264649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25">
      <c r="A141" t="str">
        <f t="shared" si="83"/>
        <v>06/05/2020 14:49:20.842</v>
      </c>
      <c r="C141" t="str">
        <f t="shared" si="56"/>
        <v>FFDFD3C0</v>
      </c>
      <c r="D141" t="s">
        <v>148</v>
      </c>
      <c r="E141">
        <v>8</v>
      </c>
      <c r="H141">
        <v>50</v>
      </c>
      <c r="I141" t="s">
        <v>149</v>
      </c>
      <c r="J141" t="s">
        <v>150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84"/>
        <v>14:49:26.508</v>
      </c>
      <c r="T141" t="str">
        <f t="shared" si="85"/>
        <v>14:49:26.108</v>
      </c>
      <c r="U141" t="str">
        <f t="shared" si="77"/>
        <v>ACC530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1</v>
      </c>
      <c r="AH141">
        <v>0</v>
      </c>
      <c r="AI141" t="s">
        <v>197</v>
      </c>
      <c r="AJ141">
        <v>34.243419000000003</v>
      </c>
      <c r="AK141" t="s">
        <v>198</v>
      </c>
      <c r="AL141">
        <v>-116.883996</v>
      </c>
      <c r="AM141">
        <v>100</v>
      </c>
      <c r="AN141">
        <v>8600</v>
      </c>
      <c r="AO141" t="s">
        <v>118</v>
      </c>
      <c r="AP141">
        <v>-63</v>
      </c>
      <c r="AQ141">
        <v>-45</v>
      </c>
      <c r="AR141">
        <v>192</v>
      </c>
      <c r="AZ141">
        <v>1200</v>
      </c>
      <c r="BA141">
        <v>1</v>
      </c>
      <c r="BB141" t="str">
        <f t="shared" si="81"/>
        <v xml:space="preserve">N9217B  </v>
      </c>
      <c r="BC141">
        <v>1</v>
      </c>
      <c r="BE141">
        <v>0</v>
      </c>
      <c r="BF141">
        <v>0</v>
      </c>
      <c r="BG141">
        <v>0</v>
      </c>
      <c r="BH141">
        <v>8675</v>
      </c>
      <c r="BI141">
        <v>1</v>
      </c>
      <c r="BJ141">
        <v>0</v>
      </c>
      <c r="BK141">
        <v>0</v>
      </c>
      <c r="BL141">
        <v>0</v>
      </c>
      <c r="BO141">
        <v>0</v>
      </c>
      <c r="BP141">
        <v>0</v>
      </c>
      <c r="BW141" t="str">
        <f t="shared" si="86"/>
        <v>14:49:26.510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293</v>
      </c>
      <c r="CR141">
        <v>2</v>
      </c>
      <c r="CW141">
        <v>15264649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25">
      <c r="A142" t="str">
        <f t="shared" si="83"/>
        <v>06/05/2020 14:49:20.842</v>
      </c>
      <c r="C142" t="str">
        <f t="shared" si="56"/>
        <v>FFDFD3C0</v>
      </c>
      <c r="D142" t="s">
        <v>113</v>
      </c>
      <c r="E142">
        <v>3</v>
      </c>
      <c r="H142">
        <v>166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84"/>
        <v>14:49:26.508</v>
      </c>
      <c r="T142" t="str">
        <f t="shared" si="85"/>
        <v>14:49:26.108</v>
      </c>
      <c r="U142" t="str">
        <f t="shared" si="77"/>
        <v>ACC530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1</v>
      </c>
      <c r="AH142">
        <v>0</v>
      </c>
      <c r="AI142" t="s">
        <v>197</v>
      </c>
      <c r="AJ142">
        <v>34.243419000000003</v>
      </c>
      <c r="AK142" t="s">
        <v>198</v>
      </c>
      <c r="AL142">
        <v>-116.883996</v>
      </c>
      <c r="AM142">
        <v>100</v>
      </c>
      <c r="AN142">
        <v>8600</v>
      </c>
      <c r="AO142" t="s">
        <v>118</v>
      </c>
      <c r="AP142">
        <v>-63</v>
      </c>
      <c r="AQ142">
        <v>-45</v>
      </c>
      <c r="AR142">
        <v>192</v>
      </c>
      <c r="AZ142">
        <v>1200</v>
      </c>
      <c r="BA142">
        <v>1</v>
      </c>
      <c r="BB142" t="str">
        <f t="shared" si="81"/>
        <v xml:space="preserve">N9217B  </v>
      </c>
      <c r="BC142">
        <v>1</v>
      </c>
      <c r="BE142">
        <v>0</v>
      </c>
      <c r="BF142">
        <v>0</v>
      </c>
      <c r="BG142">
        <v>0</v>
      </c>
      <c r="BH142">
        <v>8675</v>
      </c>
      <c r="BI142">
        <v>1</v>
      </c>
      <c r="BJ142">
        <v>0</v>
      </c>
      <c r="BK142">
        <v>0</v>
      </c>
      <c r="BL142">
        <v>0</v>
      </c>
      <c r="BO142">
        <v>0</v>
      </c>
      <c r="BP142">
        <v>0</v>
      </c>
      <c r="BW142" t="str">
        <f t="shared" si="86"/>
        <v>14:49:26.510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5</v>
      </c>
      <c r="CP142" t="s">
        <v>119</v>
      </c>
      <c r="CQ142">
        <v>293</v>
      </c>
      <c r="CR142">
        <v>2</v>
      </c>
      <c r="CW142">
        <v>15264649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25">
      <c r="A143" t="str">
        <f t="shared" ref="A143:A148" si="87">"06/05/2020 14:49:21.844"</f>
        <v>06/05/2020 14:49:21.844</v>
      </c>
      <c r="C143" t="str">
        <f t="shared" si="56"/>
        <v>FFDFD3C0</v>
      </c>
      <c r="D143" t="s">
        <v>113</v>
      </c>
      <c r="E143">
        <v>3</v>
      </c>
      <c r="H143">
        <v>166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ref="S143:S148" si="88">"14:49:27.453"</f>
        <v>14:49:27.453</v>
      </c>
      <c r="T143" t="str">
        <f t="shared" ref="T143:T148" si="89">"14:49:27.253"</f>
        <v>14:49:27.253</v>
      </c>
      <c r="U143" t="str">
        <f t="shared" si="77"/>
        <v>ACC530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1</v>
      </c>
      <c r="AH143">
        <v>0</v>
      </c>
      <c r="AI143" t="s">
        <v>199</v>
      </c>
      <c r="AJ143">
        <v>34.243226</v>
      </c>
      <c r="AK143" t="s">
        <v>200</v>
      </c>
      <c r="AL143">
        <v>-116.884339</v>
      </c>
      <c r="AM143">
        <v>100</v>
      </c>
      <c r="AN143">
        <v>8600</v>
      </c>
      <c r="AO143" t="s">
        <v>118</v>
      </c>
      <c r="AP143">
        <v>-62</v>
      </c>
      <c r="AQ143">
        <v>-45</v>
      </c>
      <c r="AR143">
        <v>256</v>
      </c>
      <c r="AZ143">
        <v>1200</v>
      </c>
      <c r="BA143">
        <v>1</v>
      </c>
      <c r="BB143" t="str">
        <f t="shared" si="81"/>
        <v xml:space="preserve">N9217B  </v>
      </c>
      <c r="BC143">
        <v>1</v>
      </c>
      <c r="BE143">
        <v>0</v>
      </c>
      <c r="BF143">
        <v>0</v>
      </c>
      <c r="BG143">
        <v>0</v>
      </c>
      <c r="BH143">
        <v>8675</v>
      </c>
      <c r="BI143">
        <v>1</v>
      </c>
      <c r="BJ143">
        <v>0</v>
      </c>
      <c r="BK143">
        <v>0</v>
      </c>
      <c r="BL143">
        <v>0</v>
      </c>
      <c r="BO143">
        <v>0</v>
      </c>
      <c r="BP143">
        <v>0</v>
      </c>
      <c r="BW143" t="str">
        <f t="shared" ref="BW143:BW148" si="90">"14:49:27.455"</f>
        <v>14:49:27.455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293</v>
      </c>
      <c r="CR143">
        <v>2</v>
      </c>
      <c r="CW143">
        <v>15264752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25">
      <c r="A144" t="str">
        <f t="shared" si="87"/>
        <v>06/05/2020 14:49:21.844</v>
      </c>
      <c r="C144" t="str">
        <f t="shared" si="56"/>
        <v>FFDFD3C0</v>
      </c>
      <c r="D144" t="s">
        <v>143</v>
      </c>
      <c r="E144">
        <v>10</v>
      </c>
      <c r="F144">
        <v>3010</v>
      </c>
      <c r="G144" t="s">
        <v>144</v>
      </c>
      <c r="J144" t="s">
        <v>145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88"/>
        <v>14:49:27.453</v>
      </c>
      <c r="T144" t="str">
        <f t="shared" si="89"/>
        <v>14:49:27.253</v>
      </c>
      <c r="U144" t="str">
        <f t="shared" si="77"/>
        <v>ACC530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1</v>
      </c>
      <c r="AH144">
        <v>0</v>
      </c>
      <c r="AI144" t="s">
        <v>199</v>
      </c>
      <c r="AJ144">
        <v>34.243226</v>
      </c>
      <c r="AK144" t="s">
        <v>200</v>
      </c>
      <c r="AL144">
        <v>-116.884339</v>
      </c>
      <c r="AM144">
        <v>100</v>
      </c>
      <c r="AN144">
        <v>8600</v>
      </c>
      <c r="AO144" t="s">
        <v>118</v>
      </c>
      <c r="AP144">
        <v>-62</v>
      </c>
      <c r="AQ144">
        <v>-45</v>
      </c>
      <c r="AR144">
        <v>256</v>
      </c>
      <c r="AZ144">
        <v>1200</v>
      </c>
      <c r="BA144">
        <v>1</v>
      </c>
      <c r="BB144" t="str">
        <f t="shared" si="81"/>
        <v xml:space="preserve">N9217B  </v>
      </c>
      <c r="BC144">
        <v>1</v>
      </c>
      <c r="BE144">
        <v>0</v>
      </c>
      <c r="BF144">
        <v>0</v>
      </c>
      <c r="BG144">
        <v>0</v>
      </c>
      <c r="BH144">
        <v>8675</v>
      </c>
      <c r="BI144">
        <v>1</v>
      </c>
      <c r="BJ144">
        <v>0</v>
      </c>
      <c r="BK144">
        <v>0</v>
      </c>
      <c r="BL144">
        <v>0</v>
      </c>
      <c r="BO144">
        <v>0</v>
      </c>
      <c r="BP144">
        <v>0</v>
      </c>
      <c r="BW144" t="str">
        <f t="shared" si="90"/>
        <v>14:49:27.455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5</v>
      </c>
      <c r="CP144" t="s">
        <v>119</v>
      </c>
      <c r="CQ144">
        <v>293</v>
      </c>
      <c r="CR144">
        <v>2</v>
      </c>
      <c r="CW144">
        <v>15264752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25">
      <c r="A145" t="str">
        <f t="shared" si="87"/>
        <v>06/05/2020 14:49:21.844</v>
      </c>
      <c r="C145" t="str">
        <f t="shared" si="56"/>
        <v>FFDFD3C0</v>
      </c>
      <c r="D145" t="s">
        <v>151</v>
      </c>
      <c r="E145">
        <v>9</v>
      </c>
      <c r="H145">
        <v>226</v>
      </c>
      <c r="I145" t="s">
        <v>152</v>
      </c>
      <c r="J145" t="s">
        <v>150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88"/>
        <v>14:49:27.453</v>
      </c>
      <c r="T145" t="str">
        <f t="shared" si="89"/>
        <v>14:49:27.253</v>
      </c>
      <c r="U145" t="str">
        <f t="shared" si="77"/>
        <v>ACC530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1</v>
      </c>
      <c r="AH145">
        <v>0</v>
      </c>
      <c r="AI145" t="s">
        <v>199</v>
      </c>
      <c r="AJ145">
        <v>34.243226</v>
      </c>
      <c r="AK145" t="s">
        <v>200</v>
      </c>
      <c r="AL145">
        <v>-116.884339</v>
      </c>
      <c r="AM145">
        <v>100</v>
      </c>
      <c r="AN145">
        <v>8600</v>
      </c>
      <c r="AO145" t="s">
        <v>118</v>
      </c>
      <c r="AP145">
        <v>-62</v>
      </c>
      <c r="AQ145">
        <v>-45</v>
      </c>
      <c r="AR145">
        <v>256</v>
      </c>
      <c r="AZ145">
        <v>1200</v>
      </c>
      <c r="BA145">
        <v>1</v>
      </c>
      <c r="BB145" t="str">
        <f t="shared" si="81"/>
        <v xml:space="preserve">N9217B  </v>
      </c>
      <c r="BC145">
        <v>1</v>
      </c>
      <c r="BE145">
        <v>0</v>
      </c>
      <c r="BF145">
        <v>0</v>
      </c>
      <c r="BG145">
        <v>0</v>
      </c>
      <c r="BH145">
        <v>8675</v>
      </c>
      <c r="BI145">
        <v>1</v>
      </c>
      <c r="BJ145">
        <v>0</v>
      </c>
      <c r="BK145">
        <v>0</v>
      </c>
      <c r="BL145">
        <v>0</v>
      </c>
      <c r="BO145">
        <v>0</v>
      </c>
      <c r="BP145">
        <v>0</v>
      </c>
      <c r="BW145" t="str">
        <f t="shared" si="90"/>
        <v>14:49:27.455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119</v>
      </c>
      <c r="CQ145">
        <v>293</v>
      </c>
      <c r="CR145">
        <v>2</v>
      </c>
      <c r="CW145">
        <v>15264752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25">
      <c r="A146" t="str">
        <f t="shared" si="87"/>
        <v>06/05/2020 14:49:21.844</v>
      </c>
      <c r="C146" t="str">
        <f t="shared" si="56"/>
        <v>FFDFD3C0</v>
      </c>
      <c r="D146" t="s">
        <v>134</v>
      </c>
      <c r="E146">
        <v>7</v>
      </c>
      <c r="F146">
        <v>2007</v>
      </c>
      <c r="G146" t="s">
        <v>135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88"/>
        <v>14:49:27.453</v>
      </c>
      <c r="T146" t="str">
        <f t="shared" si="89"/>
        <v>14:49:27.253</v>
      </c>
      <c r="U146" t="str">
        <f t="shared" si="77"/>
        <v>ACC530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1</v>
      </c>
      <c r="AH146">
        <v>0</v>
      </c>
      <c r="AI146" t="s">
        <v>199</v>
      </c>
      <c r="AJ146">
        <v>34.243226</v>
      </c>
      <c r="AK146" t="s">
        <v>200</v>
      </c>
      <c r="AL146">
        <v>-116.884339</v>
      </c>
      <c r="AM146">
        <v>100</v>
      </c>
      <c r="AN146">
        <v>8600</v>
      </c>
      <c r="AO146" t="s">
        <v>118</v>
      </c>
      <c r="AP146">
        <v>-62</v>
      </c>
      <c r="AQ146">
        <v>-45</v>
      </c>
      <c r="AR146">
        <v>256</v>
      </c>
      <c r="AZ146">
        <v>1200</v>
      </c>
      <c r="BA146">
        <v>1</v>
      </c>
      <c r="BB146" t="str">
        <f t="shared" si="81"/>
        <v xml:space="preserve">N9217B  </v>
      </c>
      <c r="BC146">
        <v>1</v>
      </c>
      <c r="BE146">
        <v>0</v>
      </c>
      <c r="BF146">
        <v>0</v>
      </c>
      <c r="BG146">
        <v>0</v>
      </c>
      <c r="BH146">
        <v>8675</v>
      </c>
      <c r="BI146">
        <v>1</v>
      </c>
      <c r="BJ146">
        <v>0</v>
      </c>
      <c r="BK146">
        <v>0</v>
      </c>
      <c r="BL146">
        <v>0</v>
      </c>
      <c r="BO146">
        <v>0</v>
      </c>
      <c r="BP146">
        <v>0</v>
      </c>
      <c r="BW146" t="str">
        <f t="shared" si="90"/>
        <v>14:49:27.455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5</v>
      </c>
      <c r="CP146" t="s">
        <v>119</v>
      </c>
      <c r="CQ146">
        <v>293</v>
      </c>
      <c r="CR146">
        <v>2</v>
      </c>
      <c r="CW146">
        <v>15264752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25">
      <c r="A147" t="str">
        <f t="shared" si="87"/>
        <v>06/05/2020 14:49:21.844</v>
      </c>
      <c r="C147" t="str">
        <f t="shared" si="56"/>
        <v>FFDFD3C0</v>
      </c>
      <c r="D147" t="s">
        <v>141</v>
      </c>
      <c r="E147">
        <v>20</v>
      </c>
      <c r="F147">
        <v>1020</v>
      </c>
      <c r="G147" t="s">
        <v>114</v>
      </c>
      <c r="J147" t="s">
        <v>142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88"/>
        <v>14:49:27.453</v>
      </c>
      <c r="T147" t="str">
        <f t="shared" si="89"/>
        <v>14:49:27.253</v>
      </c>
      <c r="U147" t="str">
        <f t="shared" si="77"/>
        <v>ACC530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1</v>
      </c>
      <c r="AH147">
        <v>0</v>
      </c>
      <c r="AI147" t="s">
        <v>199</v>
      </c>
      <c r="AJ147">
        <v>34.243226</v>
      </c>
      <c r="AK147" t="s">
        <v>200</v>
      </c>
      <c r="AL147">
        <v>-116.884339</v>
      </c>
      <c r="AM147">
        <v>100</v>
      </c>
      <c r="AN147">
        <v>8600</v>
      </c>
      <c r="AO147" t="s">
        <v>118</v>
      </c>
      <c r="AP147">
        <v>-62</v>
      </c>
      <c r="AQ147">
        <v>-45</v>
      </c>
      <c r="AR147">
        <v>256</v>
      </c>
      <c r="AZ147">
        <v>1200</v>
      </c>
      <c r="BA147">
        <v>1</v>
      </c>
      <c r="BB147" t="str">
        <f t="shared" si="81"/>
        <v xml:space="preserve">N9217B  </v>
      </c>
      <c r="BC147">
        <v>1</v>
      </c>
      <c r="BE147">
        <v>0</v>
      </c>
      <c r="BF147">
        <v>0</v>
      </c>
      <c r="BG147">
        <v>0</v>
      </c>
      <c r="BH147">
        <v>8675</v>
      </c>
      <c r="BI147">
        <v>1</v>
      </c>
      <c r="BJ147">
        <v>0</v>
      </c>
      <c r="BK147">
        <v>0</v>
      </c>
      <c r="BL147">
        <v>0</v>
      </c>
      <c r="BO147">
        <v>0</v>
      </c>
      <c r="BP147">
        <v>0</v>
      </c>
      <c r="BW147" t="str">
        <f t="shared" si="90"/>
        <v>14:49:27.455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5</v>
      </c>
      <c r="CP147" t="s">
        <v>119</v>
      </c>
      <c r="CQ147">
        <v>293</v>
      </c>
      <c r="CR147">
        <v>2</v>
      </c>
      <c r="CW147">
        <v>15264752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25">
      <c r="A148" t="str">
        <f t="shared" si="87"/>
        <v>06/05/2020 14:49:21.844</v>
      </c>
      <c r="C148" t="str">
        <f t="shared" si="56"/>
        <v>FFDFD3C0</v>
      </c>
      <c r="D148" t="s">
        <v>148</v>
      </c>
      <c r="E148">
        <v>8</v>
      </c>
      <c r="H148">
        <v>50</v>
      </c>
      <c r="I148" t="s">
        <v>149</v>
      </c>
      <c r="J148" t="s">
        <v>150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88"/>
        <v>14:49:27.453</v>
      </c>
      <c r="T148" t="str">
        <f t="shared" si="89"/>
        <v>14:49:27.253</v>
      </c>
      <c r="U148" t="str">
        <f t="shared" si="77"/>
        <v>ACC530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1</v>
      </c>
      <c r="AH148">
        <v>0</v>
      </c>
      <c r="AI148" t="s">
        <v>199</v>
      </c>
      <c r="AJ148">
        <v>34.243226</v>
      </c>
      <c r="AK148" t="s">
        <v>200</v>
      </c>
      <c r="AL148">
        <v>-116.884339</v>
      </c>
      <c r="AM148">
        <v>100</v>
      </c>
      <c r="AN148">
        <v>8600</v>
      </c>
      <c r="AO148" t="s">
        <v>118</v>
      </c>
      <c r="AP148">
        <v>-62</v>
      </c>
      <c r="AQ148">
        <v>-45</v>
      </c>
      <c r="AR148">
        <v>256</v>
      </c>
      <c r="AZ148">
        <v>1200</v>
      </c>
      <c r="BA148">
        <v>1</v>
      </c>
      <c r="BB148" t="str">
        <f t="shared" si="81"/>
        <v xml:space="preserve">N9217B  </v>
      </c>
      <c r="BC148">
        <v>1</v>
      </c>
      <c r="BE148">
        <v>0</v>
      </c>
      <c r="BF148">
        <v>0</v>
      </c>
      <c r="BG148">
        <v>0</v>
      </c>
      <c r="BH148">
        <v>8675</v>
      </c>
      <c r="BI148">
        <v>1</v>
      </c>
      <c r="BJ148">
        <v>0</v>
      </c>
      <c r="BK148">
        <v>0</v>
      </c>
      <c r="BL148">
        <v>0</v>
      </c>
      <c r="BO148">
        <v>0</v>
      </c>
      <c r="BP148">
        <v>0</v>
      </c>
      <c r="BW148" t="str">
        <f t="shared" si="90"/>
        <v>14:49:27.455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5</v>
      </c>
      <c r="CP148" t="s">
        <v>119</v>
      </c>
      <c r="CQ148">
        <v>293</v>
      </c>
      <c r="CR148">
        <v>2</v>
      </c>
      <c r="CW148">
        <v>15264752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25">
      <c r="A149" t="str">
        <f t="shared" ref="A149:A154" si="91">"06/05/2020 14:49:22.868"</f>
        <v>06/05/2020 14:49:22.868</v>
      </c>
      <c r="C149" t="str">
        <f t="shared" si="56"/>
        <v>FFDFD3C0</v>
      </c>
      <c r="D149" t="s">
        <v>151</v>
      </c>
      <c r="E149">
        <v>9</v>
      </c>
      <c r="H149">
        <v>226</v>
      </c>
      <c r="I149" t="s">
        <v>152</v>
      </c>
      <c r="J149" t="s">
        <v>150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ref="S149:S154" si="92">"14:49:28.484"</f>
        <v>14:49:28.484</v>
      </c>
      <c r="T149" t="str">
        <f t="shared" ref="T149:T154" si="93">"14:49:28.184"</f>
        <v>14:49:28.184</v>
      </c>
      <c r="U149" t="str">
        <f t="shared" si="77"/>
        <v>ACC530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1</v>
      </c>
      <c r="AH149">
        <v>0</v>
      </c>
      <c r="AI149" t="s">
        <v>201</v>
      </c>
      <c r="AJ149">
        <v>34.243011000000003</v>
      </c>
      <c r="AK149" t="s">
        <v>202</v>
      </c>
      <c r="AL149">
        <v>-116.884725</v>
      </c>
      <c r="AM149">
        <v>100</v>
      </c>
      <c r="AN149">
        <v>8600</v>
      </c>
      <c r="AO149" t="s">
        <v>118</v>
      </c>
      <c r="AP149">
        <v>-62</v>
      </c>
      <c r="AQ149">
        <v>-46</v>
      </c>
      <c r="AR149">
        <v>192</v>
      </c>
      <c r="AZ149">
        <v>1200</v>
      </c>
      <c r="BA149">
        <v>1</v>
      </c>
      <c r="BB149" t="str">
        <f t="shared" si="81"/>
        <v xml:space="preserve">N9217B  </v>
      </c>
      <c r="BC149">
        <v>1</v>
      </c>
      <c r="BE149">
        <v>0</v>
      </c>
      <c r="BF149">
        <v>0</v>
      </c>
      <c r="BG149">
        <v>0</v>
      </c>
      <c r="BH149">
        <v>8675</v>
      </c>
      <c r="BI149">
        <v>1</v>
      </c>
      <c r="BJ149">
        <v>0</v>
      </c>
      <c r="BK149">
        <v>0</v>
      </c>
      <c r="BL149">
        <v>0</v>
      </c>
      <c r="BO149">
        <v>0</v>
      </c>
      <c r="BP149">
        <v>0</v>
      </c>
      <c r="BW149" t="str">
        <f t="shared" ref="BW149:BW154" si="94">"14:49:28.490"</f>
        <v>14:49:28.490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5</v>
      </c>
      <c r="CP149" t="s">
        <v>119</v>
      </c>
      <c r="CQ149">
        <v>293</v>
      </c>
      <c r="CR149">
        <v>1</v>
      </c>
      <c r="CW149">
        <v>15264875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25">
      <c r="A150" t="str">
        <f t="shared" si="91"/>
        <v>06/05/2020 14:49:22.868</v>
      </c>
      <c r="C150" t="str">
        <f t="shared" si="56"/>
        <v>FFDFD3C0</v>
      </c>
      <c r="D150" t="s">
        <v>141</v>
      </c>
      <c r="E150">
        <v>20</v>
      </c>
      <c r="F150">
        <v>1020</v>
      </c>
      <c r="G150" t="s">
        <v>114</v>
      </c>
      <c r="J150" t="s">
        <v>142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92"/>
        <v>14:49:28.484</v>
      </c>
      <c r="T150" t="str">
        <f t="shared" si="93"/>
        <v>14:49:28.184</v>
      </c>
      <c r="U150" t="str">
        <f t="shared" si="77"/>
        <v>ACC530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9</v>
      </c>
      <c r="AE150">
        <v>0</v>
      </c>
      <c r="AF150">
        <v>3</v>
      </c>
      <c r="AG150">
        <v>1</v>
      </c>
      <c r="AH150">
        <v>0</v>
      </c>
      <c r="AI150" t="s">
        <v>201</v>
      </c>
      <c r="AJ150">
        <v>34.243011000000003</v>
      </c>
      <c r="AK150" t="s">
        <v>202</v>
      </c>
      <c r="AL150">
        <v>-116.884725</v>
      </c>
      <c r="AM150">
        <v>100</v>
      </c>
      <c r="AN150">
        <v>8600</v>
      </c>
      <c r="AO150" t="s">
        <v>118</v>
      </c>
      <c r="AP150">
        <v>-62</v>
      </c>
      <c r="AQ150">
        <v>-46</v>
      </c>
      <c r="AR150">
        <v>192</v>
      </c>
      <c r="AZ150">
        <v>1200</v>
      </c>
      <c r="BA150">
        <v>1</v>
      </c>
      <c r="BB150" t="str">
        <f t="shared" si="81"/>
        <v xml:space="preserve">N9217B  </v>
      </c>
      <c r="BC150">
        <v>1</v>
      </c>
      <c r="BE150">
        <v>0</v>
      </c>
      <c r="BF150">
        <v>0</v>
      </c>
      <c r="BG150">
        <v>0</v>
      </c>
      <c r="BH150">
        <v>8675</v>
      </c>
      <c r="BI150">
        <v>1</v>
      </c>
      <c r="BJ150">
        <v>0</v>
      </c>
      <c r="BK150">
        <v>0</v>
      </c>
      <c r="BL150">
        <v>0</v>
      </c>
      <c r="BO150">
        <v>0</v>
      </c>
      <c r="BP150">
        <v>0</v>
      </c>
      <c r="BW150" t="str">
        <f t="shared" si="94"/>
        <v>14:49:28.490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5</v>
      </c>
      <c r="CP150" t="s">
        <v>119</v>
      </c>
      <c r="CQ150">
        <v>293</v>
      </c>
      <c r="CR150">
        <v>1</v>
      </c>
      <c r="CW150">
        <v>15264875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25">
      <c r="A151" t="str">
        <f t="shared" si="91"/>
        <v>06/05/2020 14:49:22.868</v>
      </c>
      <c r="C151" t="str">
        <f t="shared" si="56"/>
        <v>FFDFD3C0</v>
      </c>
      <c r="D151" t="s">
        <v>148</v>
      </c>
      <c r="E151">
        <v>8</v>
      </c>
      <c r="H151">
        <v>50</v>
      </c>
      <c r="I151" t="s">
        <v>149</v>
      </c>
      <c r="J151" t="s">
        <v>150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92"/>
        <v>14:49:28.484</v>
      </c>
      <c r="T151" t="str">
        <f t="shared" si="93"/>
        <v>14:49:28.184</v>
      </c>
      <c r="U151" t="str">
        <f t="shared" si="77"/>
        <v>ACC530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1</v>
      </c>
      <c r="AH151">
        <v>0</v>
      </c>
      <c r="AI151" t="s">
        <v>201</v>
      </c>
      <c r="AJ151">
        <v>34.243011000000003</v>
      </c>
      <c r="AK151" t="s">
        <v>202</v>
      </c>
      <c r="AL151">
        <v>-116.884725</v>
      </c>
      <c r="AM151">
        <v>100</v>
      </c>
      <c r="AN151">
        <v>8600</v>
      </c>
      <c r="AO151" t="s">
        <v>118</v>
      </c>
      <c r="AP151">
        <v>-62</v>
      </c>
      <c r="AQ151">
        <v>-46</v>
      </c>
      <c r="AR151">
        <v>192</v>
      </c>
      <c r="AZ151">
        <v>1200</v>
      </c>
      <c r="BA151">
        <v>1</v>
      </c>
      <c r="BB151" t="str">
        <f t="shared" si="81"/>
        <v xml:space="preserve">N9217B  </v>
      </c>
      <c r="BC151">
        <v>1</v>
      </c>
      <c r="BE151">
        <v>0</v>
      </c>
      <c r="BF151">
        <v>0</v>
      </c>
      <c r="BG151">
        <v>0</v>
      </c>
      <c r="BH151">
        <v>8675</v>
      </c>
      <c r="BI151">
        <v>1</v>
      </c>
      <c r="BJ151">
        <v>0</v>
      </c>
      <c r="BK151">
        <v>0</v>
      </c>
      <c r="BL151">
        <v>0</v>
      </c>
      <c r="BO151">
        <v>0</v>
      </c>
      <c r="BP151">
        <v>0</v>
      </c>
      <c r="BW151" t="str">
        <f t="shared" si="94"/>
        <v>14:49:28.490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5</v>
      </c>
      <c r="CP151" t="s">
        <v>119</v>
      </c>
      <c r="CQ151">
        <v>293</v>
      </c>
      <c r="CR151">
        <v>1</v>
      </c>
      <c r="CW151">
        <v>15264875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25">
      <c r="A152" t="str">
        <f t="shared" si="91"/>
        <v>06/05/2020 14:49:22.868</v>
      </c>
      <c r="C152" t="str">
        <f t="shared" si="56"/>
        <v>FFDFD3C0</v>
      </c>
      <c r="D152" t="s">
        <v>143</v>
      </c>
      <c r="E152">
        <v>10</v>
      </c>
      <c r="F152">
        <v>3010</v>
      </c>
      <c r="G152" t="s">
        <v>144</v>
      </c>
      <c r="J152" t="s">
        <v>145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92"/>
        <v>14:49:28.484</v>
      </c>
      <c r="T152" t="str">
        <f t="shared" si="93"/>
        <v>14:49:28.184</v>
      </c>
      <c r="U152" t="str">
        <f t="shared" si="77"/>
        <v>ACC530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1</v>
      </c>
      <c r="AH152">
        <v>0</v>
      </c>
      <c r="AI152" t="s">
        <v>201</v>
      </c>
      <c r="AJ152">
        <v>34.243011000000003</v>
      </c>
      <c r="AK152" t="s">
        <v>202</v>
      </c>
      <c r="AL152">
        <v>-116.884725</v>
      </c>
      <c r="AM152">
        <v>100</v>
      </c>
      <c r="AN152">
        <v>8600</v>
      </c>
      <c r="AO152" t="s">
        <v>118</v>
      </c>
      <c r="AP152">
        <v>-62</v>
      </c>
      <c r="AQ152">
        <v>-46</v>
      </c>
      <c r="AR152">
        <v>192</v>
      </c>
      <c r="AZ152">
        <v>1200</v>
      </c>
      <c r="BA152">
        <v>1</v>
      </c>
      <c r="BB152" t="str">
        <f t="shared" si="81"/>
        <v xml:space="preserve">N9217B  </v>
      </c>
      <c r="BC152">
        <v>1</v>
      </c>
      <c r="BE152">
        <v>0</v>
      </c>
      <c r="BF152">
        <v>0</v>
      </c>
      <c r="BG152">
        <v>0</v>
      </c>
      <c r="BH152">
        <v>8675</v>
      </c>
      <c r="BI152">
        <v>1</v>
      </c>
      <c r="BJ152">
        <v>0</v>
      </c>
      <c r="BK152">
        <v>0</v>
      </c>
      <c r="BL152">
        <v>0</v>
      </c>
      <c r="BO152">
        <v>0</v>
      </c>
      <c r="BP152">
        <v>0</v>
      </c>
      <c r="BW152" t="str">
        <f t="shared" si="94"/>
        <v>14:49:28.490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119</v>
      </c>
      <c r="CQ152">
        <v>293</v>
      </c>
      <c r="CR152">
        <v>1</v>
      </c>
      <c r="CW152">
        <v>15264875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25">
      <c r="A153" t="str">
        <f t="shared" si="91"/>
        <v>06/05/2020 14:49:22.868</v>
      </c>
      <c r="C153" t="str">
        <f t="shared" si="56"/>
        <v>FFDFD3C0</v>
      </c>
      <c r="D153" t="s">
        <v>113</v>
      </c>
      <c r="E153">
        <v>3</v>
      </c>
      <c r="H153">
        <v>166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92"/>
        <v>14:49:28.484</v>
      </c>
      <c r="T153" t="str">
        <f t="shared" si="93"/>
        <v>14:49:28.184</v>
      </c>
      <c r="U153" t="str">
        <f t="shared" si="77"/>
        <v>ACC530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1</v>
      </c>
      <c r="AH153">
        <v>0</v>
      </c>
      <c r="AI153" t="s">
        <v>201</v>
      </c>
      <c r="AJ153">
        <v>34.243011000000003</v>
      </c>
      <c r="AK153" t="s">
        <v>202</v>
      </c>
      <c r="AL153">
        <v>-116.884725</v>
      </c>
      <c r="AM153">
        <v>100</v>
      </c>
      <c r="AN153">
        <v>8600</v>
      </c>
      <c r="AO153" t="s">
        <v>118</v>
      </c>
      <c r="AP153">
        <v>-62</v>
      </c>
      <c r="AQ153">
        <v>-46</v>
      </c>
      <c r="AR153">
        <v>192</v>
      </c>
      <c r="AZ153">
        <v>1200</v>
      </c>
      <c r="BA153">
        <v>1</v>
      </c>
      <c r="BB153" t="str">
        <f t="shared" si="81"/>
        <v xml:space="preserve">N9217B  </v>
      </c>
      <c r="BC153">
        <v>1</v>
      </c>
      <c r="BE153">
        <v>0</v>
      </c>
      <c r="BF153">
        <v>0</v>
      </c>
      <c r="BG153">
        <v>0</v>
      </c>
      <c r="BH153">
        <v>8675</v>
      </c>
      <c r="BI153">
        <v>1</v>
      </c>
      <c r="BJ153">
        <v>0</v>
      </c>
      <c r="BK153">
        <v>0</v>
      </c>
      <c r="BL153">
        <v>0</v>
      </c>
      <c r="BO153">
        <v>0</v>
      </c>
      <c r="BP153">
        <v>0</v>
      </c>
      <c r="BW153" t="str">
        <f t="shared" si="94"/>
        <v>14:49:28.490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119</v>
      </c>
      <c r="CQ153">
        <v>293</v>
      </c>
      <c r="CR153">
        <v>1</v>
      </c>
      <c r="CW153">
        <v>15264875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25">
      <c r="A154" t="str">
        <f t="shared" si="91"/>
        <v>06/05/2020 14:49:22.868</v>
      </c>
      <c r="C154" t="str">
        <f t="shared" si="56"/>
        <v>FFDFD3C0</v>
      </c>
      <c r="D154" t="s">
        <v>134</v>
      </c>
      <c r="E154">
        <v>7</v>
      </c>
      <c r="F154">
        <v>2007</v>
      </c>
      <c r="G154" t="s">
        <v>135</v>
      </c>
      <c r="J154" t="s">
        <v>136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92"/>
        <v>14:49:28.484</v>
      </c>
      <c r="T154" t="str">
        <f t="shared" si="93"/>
        <v>14:49:28.184</v>
      </c>
      <c r="U154" t="str">
        <f t="shared" si="77"/>
        <v>ACC530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1</v>
      </c>
      <c r="AH154">
        <v>0</v>
      </c>
      <c r="AI154" t="s">
        <v>201</v>
      </c>
      <c r="AJ154">
        <v>34.243011000000003</v>
      </c>
      <c r="AK154" t="s">
        <v>202</v>
      </c>
      <c r="AL154">
        <v>-116.884725</v>
      </c>
      <c r="AM154">
        <v>100</v>
      </c>
      <c r="AN154">
        <v>8600</v>
      </c>
      <c r="AO154" t="s">
        <v>118</v>
      </c>
      <c r="AP154">
        <v>-62</v>
      </c>
      <c r="AQ154">
        <v>-46</v>
      </c>
      <c r="AR154">
        <v>192</v>
      </c>
      <c r="AZ154">
        <v>1200</v>
      </c>
      <c r="BA154">
        <v>1</v>
      </c>
      <c r="BB154" t="str">
        <f t="shared" si="81"/>
        <v xml:space="preserve">N9217B  </v>
      </c>
      <c r="BC154">
        <v>1</v>
      </c>
      <c r="BE154">
        <v>0</v>
      </c>
      <c r="BF154">
        <v>0</v>
      </c>
      <c r="BG154">
        <v>0</v>
      </c>
      <c r="BH154">
        <v>8675</v>
      </c>
      <c r="BI154">
        <v>1</v>
      </c>
      <c r="BJ154">
        <v>0</v>
      </c>
      <c r="BK154">
        <v>0</v>
      </c>
      <c r="BL154">
        <v>0</v>
      </c>
      <c r="BO154">
        <v>0</v>
      </c>
      <c r="BP154">
        <v>0</v>
      </c>
      <c r="BW154" t="str">
        <f t="shared" si="94"/>
        <v>14:49:28.490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293</v>
      </c>
      <c r="CR154">
        <v>1</v>
      </c>
      <c r="CW154">
        <v>15264875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25">
      <c r="A155" t="str">
        <f t="shared" ref="A155:A160" si="95">"06/05/2020 14:49:23.964"</f>
        <v>06/05/2020 14:49:23.964</v>
      </c>
      <c r="C155" t="str">
        <f t="shared" si="56"/>
        <v>FFDFD3C0</v>
      </c>
      <c r="D155" t="s">
        <v>113</v>
      </c>
      <c r="E155">
        <v>3</v>
      </c>
      <c r="H155">
        <v>166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S160" si="96">"14:49:29.578"</f>
        <v>14:49:29.578</v>
      </c>
      <c r="T155" t="str">
        <f t="shared" ref="T155:T160" si="97">"14:49:29.478"</f>
        <v>14:49:29.478</v>
      </c>
      <c r="U155" t="str">
        <f t="shared" si="77"/>
        <v>ACC530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1</v>
      </c>
      <c r="AH155">
        <v>0</v>
      </c>
      <c r="AI155" t="s">
        <v>203</v>
      </c>
      <c r="AJ155">
        <v>34.242775000000002</v>
      </c>
      <c r="AK155" t="s">
        <v>204</v>
      </c>
      <c r="AL155">
        <v>-116.885068</v>
      </c>
      <c r="AM155">
        <v>100</v>
      </c>
      <c r="AN155">
        <v>8600</v>
      </c>
      <c r="AO155" t="s">
        <v>118</v>
      </c>
      <c r="AP155">
        <v>-62</v>
      </c>
      <c r="AQ155">
        <v>-47</v>
      </c>
      <c r="AR155">
        <v>192</v>
      </c>
      <c r="AZ155">
        <v>1200</v>
      </c>
      <c r="BA155">
        <v>1</v>
      </c>
      <c r="BB155" t="str">
        <f t="shared" si="81"/>
        <v xml:space="preserve">N9217B  </v>
      </c>
      <c r="BC155">
        <v>1</v>
      </c>
      <c r="BE155">
        <v>0</v>
      </c>
      <c r="BF155">
        <v>0</v>
      </c>
      <c r="BG155">
        <v>0</v>
      </c>
      <c r="BH155">
        <v>8700</v>
      </c>
      <c r="BI155">
        <v>1</v>
      </c>
      <c r="BJ155">
        <v>0</v>
      </c>
      <c r="BK155">
        <v>0</v>
      </c>
      <c r="BL155">
        <v>0</v>
      </c>
      <c r="BO155">
        <v>0</v>
      </c>
      <c r="BP155">
        <v>0</v>
      </c>
      <c r="BW155" t="str">
        <f t="shared" ref="BW155:BW160" si="98">"14:49:29.585"</f>
        <v>14:49:29.585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4</v>
      </c>
      <c r="CP155" t="s">
        <v>119</v>
      </c>
      <c r="CQ155">
        <v>293</v>
      </c>
      <c r="CR155">
        <v>1</v>
      </c>
      <c r="CW155">
        <v>15264999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25">
      <c r="A156" t="str">
        <f t="shared" si="95"/>
        <v>06/05/2020 14:49:23.964</v>
      </c>
      <c r="C156" t="str">
        <f t="shared" si="56"/>
        <v>FFDFD3C0</v>
      </c>
      <c r="D156" t="s">
        <v>134</v>
      </c>
      <c r="E156">
        <v>7</v>
      </c>
      <c r="F156">
        <v>2007</v>
      </c>
      <c r="G156" t="s">
        <v>135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96"/>
        <v>14:49:29.578</v>
      </c>
      <c r="T156" t="str">
        <f t="shared" si="97"/>
        <v>14:49:29.478</v>
      </c>
      <c r="U156" t="str">
        <f t="shared" si="77"/>
        <v>ACC530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1</v>
      </c>
      <c r="AH156">
        <v>0</v>
      </c>
      <c r="AI156" t="s">
        <v>203</v>
      </c>
      <c r="AJ156">
        <v>34.242775000000002</v>
      </c>
      <c r="AK156" t="s">
        <v>204</v>
      </c>
      <c r="AL156">
        <v>-116.885068</v>
      </c>
      <c r="AM156">
        <v>100</v>
      </c>
      <c r="AN156">
        <v>8600</v>
      </c>
      <c r="AO156" t="s">
        <v>118</v>
      </c>
      <c r="AP156">
        <v>-62</v>
      </c>
      <c r="AQ156">
        <v>-47</v>
      </c>
      <c r="AR156">
        <v>192</v>
      </c>
      <c r="AZ156">
        <v>1200</v>
      </c>
      <c r="BA156">
        <v>1</v>
      </c>
      <c r="BB156" t="str">
        <f t="shared" si="81"/>
        <v xml:space="preserve">N9217B  </v>
      </c>
      <c r="BC156">
        <v>1</v>
      </c>
      <c r="BE156">
        <v>0</v>
      </c>
      <c r="BF156">
        <v>0</v>
      </c>
      <c r="BG156">
        <v>0</v>
      </c>
      <c r="BH156">
        <v>8700</v>
      </c>
      <c r="BI156">
        <v>1</v>
      </c>
      <c r="BJ156">
        <v>0</v>
      </c>
      <c r="BK156">
        <v>0</v>
      </c>
      <c r="BL156">
        <v>0</v>
      </c>
      <c r="BO156">
        <v>0</v>
      </c>
      <c r="BP156">
        <v>0</v>
      </c>
      <c r="BW156" t="str">
        <f t="shared" si="98"/>
        <v>14:49:29.585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4</v>
      </c>
      <c r="CP156" t="s">
        <v>119</v>
      </c>
      <c r="CQ156">
        <v>293</v>
      </c>
      <c r="CR156">
        <v>1</v>
      </c>
      <c r="CW156">
        <v>15264999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25">
      <c r="A157" t="str">
        <f t="shared" si="95"/>
        <v>06/05/2020 14:49:23.964</v>
      </c>
      <c r="C157" t="str">
        <f t="shared" si="56"/>
        <v>FFDFD3C0</v>
      </c>
      <c r="D157" t="s">
        <v>151</v>
      </c>
      <c r="E157">
        <v>9</v>
      </c>
      <c r="H157">
        <v>226</v>
      </c>
      <c r="I157" t="s">
        <v>152</v>
      </c>
      <c r="J157" t="s">
        <v>150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96"/>
        <v>14:49:29.578</v>
      </c>
      <c r="T157" t="str">
        <f t="shared" si="97"/>
        <v>14:49:29.478</v>
      </c>
      <c r="U157" t="str">
        <f t="shared" si="77"/>
        <v>ACC530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1</v>
      </c>
      <c r="AH157">
        <v>0</v>
      </c>
      <c r="AI157" t="s">
        <v>203</v>
      </c>
      <c r="AJ157">
        <v>34.242775000000002</v>
      </c>
      <c r="AK157" t="s">
        <v>204</v>
      </c>
      <c r="AL157">
        <v>-116.885068</v>
      </c>
      <c r="AM157">
        <v>100</v>
      </c>
      <c r="AN157">
        <v>8600</v>
      </c>
      <c r="AO157" t="s">
        <v>118</v>
      </c>
      <c r="AP157">
        <v>-62</v>
      </c>
      <c r="AQ157">
        <v>-47</v>
      </c>
      <c r="AR157">
        <v>192</v>
      </c>
      <c r="AZ157">
        <v>1200</v>
      </c>
      <c r="BA157">
        <v>1</v>
      </c>
      <c r="BB157" t="str">
        <f t="shared" si="81"/>
        <v xml:space="preserve">N9217B  </v>
      </c>
      <c r="BC157">
        <v>1</v>
      </c>
      <c r="BE157">
        <v>0</v>
      </c>
      <c r="BF157">
        <v>0</v>
      </c>
      <c r="BG157">
        <v>0</v>
      </c>
      <c r="BH157">
        <v>8700</v>
      </c>
      <c r="BI157">
        <v>1</v>
      </c>
      <c r="BJ157">
        <v>0</v>
      </c>
      <c r="BK157">
        <v>0</v>
      </c>
      <c r="BL157">
        <v>0</v>
      </c>
      <c r="BO157">
        <v>0</v>
      </c>
      <c r="BP157">
        <v>0</v>
      </c>
      <c r="BW157" t="str">
        <f t="shared" si="98"/>
        <v>14:49:29.585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4</v>
      </c>
      <c r="CP157" t="s">
        <v>119</v>
      </c>
      <c r="CQ157">
        <v>293</v>
      </c>
      <c r="CR157">
        <v>1</v>
      </c>
      <c r="CW157">
        <v>15264999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25">
      <c r="A158" t="str">
        <f t="shared" si="95"/>
        <v>06/05/2020 14:49:23.964</v>
      </c>
      <c r="C158" t="str">
        <f t="shared" si="56"/>
        <v>FFDFD3C0</v>
      </c>
      <c r="D158" t="s">
        <v>141</v>
      </c>
      <c r="E158">
        <v>20</v>
      </c>
      <c r="F158">
        <v>1020</v>
      </c>
      <c r="G158" t="s">
        <v>114</v>
      </c>
      <c r="J158" t="s">
        <v>142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96"/>
        <v>14:49:29.578</v>
      </c>
      <c r="T158" t="str">
        <f t="shared" si="97"/>
        <v>14:49:29.478</v>
      </c>
      <c r="U158" t="str">
        <f t="shared" si="77"/>
        <v>ACC530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1</v>
      </c>
      <c r="AH158">
        <v>0</v>
      </c>
      <c r="AI158" t="s">
        <v>203</v>
      </c>
      <c r="AJ158">
        <v>34.242775000000002</v>
      </c>
      <c r="AK158" t="s">
        <v>204</v>
      </c>
      <c r="AL158">
        <v>-116.885068</v>
      </c>
      <c r="AM158">
        <v>100</v>
      </c>
      <c r="AN158">
        <v>8600</v>
      </c>
      <c r="AO158" t="s">
        <v>118</v>
      </c>
      <c r="AP158">
        <v>-62</v>
      </c>
      <c r="AQ158">
        <v>-47</v>
      </c>
      <c r="AR158">
        <v>192</v>
      </c>
      <c r="AZ158">
        <v>1200</v>
      </c>
      <c r="BA158">
        <v>1</v>
      </c>
      <c r="BB158" t="str">
        <f t="shared" si="81"/>
        <v xml:space="preserve">N9217B  </v>
      </c>
      <c r="BC158">
        <v>1</v>
      </c>
      <c r="BE158">
        <v>0</v>
      </c>
      <c r="BF158">
        <v>0</v>
      </c>
      <c r="BG158">
        <v>0</v>
      </c>
      <c r="BH158">
        <v>8700</v>
      </c>
      <c r="BI158">
        <v>1</v>
      </c>
      <c r="BJ158">
        <v>0</v>
      </c>
      <c r="BK158">
        <v>0</v>
      </c>
      <c r="BL158">
        <v>0</v>
      </c>
      <c r="BO158">
        <v>0</v>
      </c>
      <c r="BP158">
        <v>0</v>
      </c>
      <c r="BW158" t="str">
        <f t="shared" si="98"/>
        <v>14:49:29.585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4</v>
      </c>
      <c r="CP158" t="s">
        <v>119</v>
      </c>
      <c r="CQ158">
        <v>293</v>
      </c>
      <c r="CR158">
        <v>1</v>
      </c>
      <c r="CW158">
        <v>15264999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25">
      <c r="A159" t="str">
        <f t="shared" si="95"/>
        <v>06/05/2020 14:49:23.964</v>
      </c>
      <c r="C159" t="str">
        <f t="shared" si="56"/>
        <v>FFDFD3C0</v>
      </c>
      <c r="D159" t="s">
        <v>148</v>
      </c>
      <c r="E159">
        <v>8</v>
      </c>
      <c r="H159">
        <v>50</v>
      </c>
      <c r="I159" t="s">
        <v>149</v>
      </c>
      <c r="J159" t="s">
        <v>150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96"/>
        <v>14:49:29.578</v>
      </c>
      <c r="T159" t="str">
        <f t="shared" si="97"/>
        <v>14:49:29.478</v>
      </c>
      <c r="U159" t="str">
        <f t="shared" si="77"/>
        <v>ACC530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1</v>
      </c>
      <c r="AH159">
        <v>0</v>
      </c>
      <c r="AI159" t="s">
        <v>203</v>
      </c>
      <c r="AJ159">
        <v>34.242775000000002</v>
      </c>
      <c r="AK159" t="s">
        <v>204</v>
      </c>
      <c r="AL159">
        <v>-116.885068</v>
      </c>
      <c r="AM159">
        <v>100</v>
      </c>
      <c r="AN159">
        <v>8600</v>
      </c>
      <c r="AO159" t="s">
        <v>118</v>
      </c>
      <c r="AP159">
        <v>-62</v>
      </c>
      <c r="AQ159">
        <v>-47</v>
      </c>
      <c r="AR159">
        <v>192</v>
      </c>
      <c r="AZ159">
        <v>1200</v>
      </c>
      <c r="BA159">
        <v>1</v>
      </c>
      <c r="BB159" t="str">
        <f t="shared" si="81"/>
        <v xml:space="preserve">N9217B  </v>
      </c>
      <c r="BC159">
        <v>1</v>
      </c>
      <c r="BE159">
        <v>0</v>
      </c>
      <c r="BF159">
        <v>0</v>
      </c>
      <c r="BG159">
        <v>0</v>
      </c>
      <c r="BH159">
        <v>8700</v>
      </c>
      <c r="BI159">
        <v>1</v>
      </c>
      <c r="BJ159">
        <v>0</v>
      </c>
      <c r="BK159">
        <v>0</v>
      </c>
      <c r="BL159">
        <v>0</v>
      </c>
      <c r="BO159">
        <v>0</v>
      </c>
      <c r="BP159">
        <v>0</v>
      </c>
      <c r="BW159" t="str">
        <f t="shared" si="98"/>
        <v>14:49:29.585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4</v>
      </c>
      <c r="CP159" t="s">
        <v>119</v>
      </c>
      <c r="CQ159">
        <v>293</v>
      </c>
      <c r="CR159">
        <v>1</v>
      </c>
      <c r="CW159">
        <v>15264999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25">
      <c r="A160" t="str">
        <f t="shared" si="95"/>
        <v>06/05/2020 14:49:23.964</v>
      </c>
      <c r="C160" t="str">
        <f t="shared" si="56"/>
        <v>FFDFD3C0</v>
      </c>
      <c r="D160" t="s">
        <v>143</v>
      </c>
      <c r="E160">
        <v>10</v>
      </c>
      <c r="F160">
        <v>3010</v>
      </c>
      <c r="G160" t="s">
        <v>144</v>
      </c>
      <c r="J160" t="s">
        <v>145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96"/>
        <v>14:49:29.578</v>
      </c>
      <c r="T160" t="str">
        <f t="shared" si="97"/>
        <v>14:49:29.478</v>
      </c>
      <c r="U160" t="str">
        <f t="shared" si="77"/>
        <v>ACC530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1</v>
      </c>
      <c r="AH160">
        <v>0</v>
      </c>
      <c r="AI160" t="s">
        <v>203</v>
      </c>
      <c r="AJ160">
        <v>34.242775000000002</v>
      </c>
      <c r="AK160" t="s">
        <v>204</v>
      </c>
      <c r="AL160">
        <v>-116.885068</v>
      </c>
      <c r="AM160">
        <v>100</v>
      </c>
      <c r="AN160">
        <v>8600</v>
      </c>
      <c r="AO160" t="s">
        <v>118</v>
      </c>
      <c r="AP160">
        <v>-62</v>
      </c>
      <c r="AQ160">
        <v>-47</v>
      </c>
      <c r="AR160">
        <v>192</v>
      </c>
      <c r="AZ160">
        <v>1200</v>
      </c>
      <c r="BA160">
        <v>1</v>
      </c>
      <c r="BB160" t="str">
        <f t="shared" si="81"/>
        <v xml:space="preserve">N9217B  </v>
      </c>
      <c r="BC160">
        <v>1</v>
      </c>
      <c r="BE160">
        <v>0</v>
      </c>
      <c r="BF160">
        <v>0</v>
      </c>
      <c r="BG160">
        <v>0</v>
      </c>
      <c r="BH160">
        <v>8700</v>
      </c>
      <c r="BI160">
        <v>1</v>
      </c>
      <c r="BJ160">
        <v>0</v>
      </c>
      <c r="BK160">
        <v>0</v>
      </c>
      <c r="BL160">
        <v>0</v>
      </c>
      <c r="BO160">
        <v>0</v>
      </c>
      <c r="BP160">
        <v>0</v>
      </c>
      <c r="BW160" t="str">
        <f t="shared" si="98"/>
        <v>14:49:29.585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4</v>
      </c>
      <c r="CP160" t="s">
        <v>119</v>
      </c>
      <c r="CQ160">
        <v>293</v>
      </c>
      <c r="CR160">
        <v>1</v>
      </c>
      <c r="CW160">
        <v>15264999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25">
      <c r="A161" t="str">
        <f t="shared" ref="A161:A166" si="99">"06/05/2020 14:49:24.806"</f>
        <v>06/05/2020 14:49:24.806</v>
      </c>
      <c r="C161" t="str">
        <f t="shared" si="56"/>
        <v>FFDFD3C0</v>
      </c>
      <c r="D161" t="s">
        <v>141</v>
      </c>
      <c r="E161">
        <v>20</v>
      </c>
      <c r="F161">
        <v>1020</v>
      </c>
      <c r="G161" t="s">
        <v>114</v>
      </c>
      <c r="J161" t="s">
        <v>142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ref="S161:S166" si="100">"14:49:30.422"</f>
        <v>14:49:30.422</v>
      </c>
      <c r="T161" t="str">
        <f t="shared" ref="T161:T166" si="101">"14:49:30.122"</f>
        <v>14:49:30.122</v>
      </c>
      <c r="U161" t="str">
        <f t="shared" si="77"/>
        <v>ACC530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1</v>
      </c>
      <c r="AH161">
        <v>0</v>
      </c>
      <c r="AI161" t="s">
        <v>205</v>
      </c>
      <c r="AJ161">
        <v>34.242604</v>
      </c>
      <c r="AK161" t="s">
        <v>206</v>
      </c>
      <c r="AL161">
        <v>-116.88539</v>
      </c>
      <c r="AM161">
        <v>100</v>
      </c>
      <c r="AN161">
        <v>8600</v>
      </c>
      <c r="AO161" t="s">
        <v>118</v>
      </c>
      <c r="AP161">
        <v>-62</v>
      </c>
      <c r="AQ161">
        <v>-47</v>
      </c>
      <c r="AR161">
        <v>128</v>
      </c>
      <c r="AZ161">
        <v>1200</v>
      </c>
      <c r="BA161">
        <v>1</v>
      </c>
      <c r="BB161" t="str">
        <f t="shared" si="81"/>
        <v xml:space="preserve">N9217B  </v>
      </c>
      <c r="BC161">
        <v>1</v>
      </c>
      <c r="BE161">
        <v>0</v>
      </c>
      <c r="BF161">
        <v>0</v>
      </c>
      <c r="BG161">
        <v>0</v>
      </c>
      <c r="BH161">
        <v>8700</v>
      </c>
      <c r="BI161">
        <v>1</v>
      </c>
      <c r="BJ161">
        <v>0</v>
      </c>
      <c r="BK161">
        <v>0</v>
      </c>
      <c r="BL161">
        <v>0</v>
      </c>
      <c r="BO161">
        <v>0</v>
      </c>
      <c r="BP161">
        <v>0</v>
      </c>
      <c r="BW161" t="str">
        <f t="shared" ref="BW161:BW166" si="102">"14:49:30.425"</f>
        <v>14:49:30.425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5</v>
      </c>
      <c r="CP161" t="s">
        <v>119</v>
      </c>
      <c r="CQ161">
        <v>293</v>
      </c>
      <c r="CR161">
        <v>1</v>
      </c>
      <c r="CW161">
        <v>15265104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25">
      <c r="A162" t="str">
        <f t="shared" si="99"/>
        <v>06/05/2020 14:49:24.806</v>
      </c>
      <c r="C162" t="str">
        <f t="shared" si="56"/>
        <v>FFDFD3C0</v>
      </c>
      <c r="D162" t="s">
        <v>148</v>
      </c>
      <c r="E162">
        <v>8</v>
      </c>
      <c r="H162">
        <v>50</v>
      </c>
      <c r="I162" t="s">
        <v>149</v>
      </c>
      <c r="J162" t="s">
        <v>150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100"/>
        <v>14:49:30.422</v>
      </c>
      <c r="T162" t="str">
        <f t="shared" si="101"/>
        <v>14:49:30.122</v>
      </c>
      <c r="U162" t="str">
        <f t="shared" si="77"/>
        <v>ACC530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1</v>
      </c>
      <c r="AH162">
        <v>0</v>
      </c>
      <c r="AI162" t="s">
        <v>205</v>
      </c>
      <c r="AJ162">
        <v>34.242604</v>
      </c>
      <c r="AK162" t="s">
        <v>206</v>
      </c>
      <c r="AL162">
        <v>-116.88539</v>
      </c>
      <c r="AM162">
        <v>100</v>
      </c>
      <c r="AN162">
        <v>8600</v>
      </c>
      <c r="AO162" t="s">
        <v>118</v>
      </c>
      <c r="AP162">
        <v>-62</v>
      </c>
      <c r="AQ162">
        <v>-47</v>
      </c>
      <c r="AR162">
        <v>128</v>
      </c>
      <c r="AZ162">
        <v>1200</v>
      </c>
      <c r="BA162">
        <v>1</v>
      </c>
      <c r="BB162" t="str">
        <f t="shared" si="81"/>
        <v xml:space="preserve">N9217B  </v>
      </c>
      <c r="BC162">
        <v>1</v>
      </c>
      <c r="BE162">
        <v>0</v>
      </c>
      <c r="BF162">
        <v>0</v>
      </c>
      <c r="BG162">
        <v>0</v>
      </c>
      <c r="BH162">
        <v>8700</v>
      </c>
      <c r="BI162">
        <v>1</v>
      </c>
      <c r="BJ162">
        <v>0</v>
      </c>
      <c r="BK162">
        <v>0</v>
      </c>
      <c r="BL162">
        <v>0</v>
      </c>
      <c r="BO162">
        <v>0</v>
      </c>
      <c r="BP162">
        <v>0</v>
      </c>
      <c r="BW162" t="str">
        <f t="shared" si="102"/>
        <v>14:49:30.425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5</v>
      </c>
      <c r="CP162" t="s">
        <v>119</v>
      </c>
      <c r="CQ162">
        <v>293</v>
      </c>
      <c r="CR162">
        <v>1</v>
      </c>
      <c r="CW162">
        <v>15265104</v>
      </c>
      <c r="CY162">
        <v>0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25">
      <c r="A163" t="str">
        <f t="shared" si="99"/>
        <v>06/05/2020 14:49:24.806</v>
      </c>
      <c r="C163" t="str">
        <f t="shared" ref="C163:C226" si="103">"FFDFD3C0"</f>
        <v>FFDFD3C0</v>
      </c>
      <c r="D163" t="s">
        <v>143</v>
      </c>
      <c r="E163">
        <v>10</v>
      </c>
      <c r="F163">
        <v>3010</v>
      </c>
      <c r="G163" t="s">
        <v>144</v>
      </c>
      <c r="J163" t="s">
        <v>145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100"/>
        <v>14:49:30.422</v>
      </c>
      <c r="T163" t="str">
        <f t="shared" si="101"/>
        <v>14:49:30.122</v>
      </c>
      <c r="U163" t="str">
        <f t="shared" si="77"/>
        <v>ACC530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1</v>
      </c>
      <c r="AH163">
        <v>0</v>
      </c>
      <c r="AI163" t="s">
        <v>205</v>
      </c>
      <c r="AJ163">
        <v>34.242604</v>
      </c>
      <c r="AK163" t="s">
        <v>206</v>
      </c>
      <c r="AL163">
        <v>-116.88539</v>
      </c>
      <c r="AM163">
        <v>100</v>
      </c>
      <c r="AN163">
        <v>8600</v>
      </c>
      <c r="AO163" t="s">
        <v>118</v>
      </c>
      <c r="AP163">
        <v>-62</v>
      </c>
      <c r="AQ163">
        <v>-47</v>
      </c>
      <c r="AR163">
        <v>128</v>
      </c>
      <c r="AZ163">
        <v>1200</v>
      </c>
      <c r="BA163">
        <v>1</v>
      </c>
      <c r="BB163" t="str">
        <f t="shared" ref="BB163:BB178" si="104">"N9217B  "</f>
        <v xml:space="preserve">N9217B  </v>
      </c>
      <c r="BC163">
        <v>1</v>
      </c>
      <c r="BE163">
        <v>0</v>
      </c>
      <c r="BF163">
        <v>0</v>
      </c>
      <c r="BG163">
        <v>0</v>
      </c>
      <c r="BH163">
        <v>8700</v>
      </c>
      <c r="BI163">
        <v>1</v>
      </c>
      <c r="BJ163">
        <v>0</v>
      </c>
      <c r="BK163">
        <v>0</v>
      </c>
      <c r="BL163">
        <v>0</v>
      </c>
      <c r="BO163">
        <v>0</v>
      </c>
      <c r="BP163">
        <v>0</v>
      </c>
      <c r="BW163" t="str">
        <f t="shared" si="102"/>
        <v>14:49:30.425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293</v>
      </c>
      <c r="CR163">
        <v>1</v>
      </c>
      <c r="CW163">
        <v>15265104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25">
      <c r="A164" t="str">
        <f t="shared" si="99"/>
        <v>06/05/2020 14:49:24.806</v>
      </c>
      <c r="C164" t="str">
        <f t="shared" si="103"/>
        <v>FFDFD3C0</v>
      </c>
      <c r="D164" t="s">
        <v>113</v>
      </c>
      <c r="E164">
        <v>3</v>
      </c>
      <c r="H164">
        <v>166</v>
      </c>
      <c r="I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100"/>
        <v>14:49:30.422</v>
      </c>
      <c r="T164" t="str">
        <f t="shared" si="101"/>
        <v>14:49:30.122</v>
      </c>
      <c r="U164" t="str">
        <f t="shared" si="77"/>
        <v>ACC530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1</v>
      </c>
      <c r="AH164">
        <v>0</v>
      </c>
      <c r="AI164" t="s">
        <v>205</v>
      </c>
      <c r="AJ164">
        <v>34.242604</v>
      </c>
      <c r="AK164" t="s">
        <v>206</v>
      </c>
      <c r="AL164">
        <v>-116.88539</v>
      </c>
      <c r="AM164">
        <v>100</v>
      </c>
      <c r="AN164">
        <v>8600</v>
      </c>
      <c r="AO164" t="s">
        <v>118</v>
      </c>
      <c r="AP164">
        <v>-62</v>
      </c>
      <c r="AQ164">
        <v>-47</v>
      </c>
      <c r="AR164">
        <v>128</v>
      </c>
      <c r="AZ164">
        <v>1200</v>
      </c>
      <c r="BA164">
        <v>1</v>
      </c>
      <c r="BB164" t="str">
        <f t="shared" si="104"/>
        <v xml:space="preserve">N9217B  </v>
      </c>
      <c r="BC164">
        <v>1</v>
      </c>
      <c r="BE164">
        <v>0</v>
      </c>
      <c r="BF164">
        <v>0</v>
      </c>
      <c r="BG164">
        <v>0</v>
      </c>
      <c r="BH164">
        <v>8700</v>
      </c>
      <c r="BI164">
        <v>1</v>
      </c>
      <c r="BJ164">
        <v>0</v>
      </c>
      <c r="BK164">
        <v>0</v>
      </c>
      <c r="BL164">
        <v>0</v>
      </c>
      <c r="BO164">
        <v>0</v>
      </c>
      <c r="BP164">
        <v>0</v>
      </c>
      <c r="BW164" t="str">
        <f t="shared" si="102"/>
        <v>14:49:30.425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293</v>
      </c>
      <c r="CR164">
        <v>1</v>
      </c>
      <c r="CW164">
        <v>15265104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25">
      <c r="A165" t="str">
        <f t="shared" si="99"/>
        <v>06/05/2020 14:49:24.806</v>
      </c>
      <c r="C165" t="str">
        <f t="shared" si="103"/>
        <v>FFDFD3C0</v>
      </c>
      <c r="D165" t="s">
        <v>134</v>
      </c>
      <c r="E165">
        <v>7</v>
      </c>
      <c r="F165">
        <v>2007</v>
      </c>
      <c r="G165" t="s">
        <v>135</v>
      </c>
      <c r="J165" t="s">
        <v>136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00"/>
        <v>14:49:30.422</v>
      </c>
      <c r="T165" t="str">
        <f t="shared" si="101"/>
        <v>14:49:30.122</v>
      </c>
      <c r="U165" t="str">
        <f t="shared" si="77"/>
        <v>ACC530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1</v>
      </c>
      <c r="AH165">
        <v>0</v>
      </c>
      <c r="AI165" t="s">
        <v>205</v>
      </c>
      <c r="AJ165">
        <v>34.242604</v>
      </c>
      <c r="AK165" t="s">
        <v>206</v>
      </c>
      <c r="AL165">
        <v>-116.88539</v>
      </c>
      <c r="AM165">
        <v>100</v>
      </c>
      <c r="AN165">
        <v>8600</v>
      </c>
      <c r="AO165" t="s">
        <v>118</v>
      </c>
      <c r="AP165">
        <v>-62</v>
      </c>
      <c r="AQ165">
        <v>-47</v>
      </c>
      <c r="AR165">
        <v>128</v>
      </c>
      <c r="AZ165">
        <v>1200</v>
      </c>
      <c r="BA165">
        <v>1</v>
      </c>
      <c r="BB165" t="str">
        <f t="shared" si="104"/>
        <v xml:space="preserve">N9217B  </v>
      </c>
      <c r="BC165">
        <v>1</v>
      </c>
      <c r="BE165">
        <v>0</v>
      </c>
      <c r="BF165">
        <v>0</v>
      </c>
      <c r="BG165">
        <v>0</v>
      </c>
      <c r="BH165">
        <v>8700</v>
      </c>
      <c r="BI165">
        <v>1</v>
      </c>
      <c r="BJ165">
        <v>0</v>
      </c>
      <c r="BK165">
        <v>0</v>
      </c>
      <c r="BL165">
        <v>0</v>
      </c>
      <c r="BO165">
        <v>0</v>
      </c>
      <c r="BP165">
        <v>0</v>
      </c>
      <c r="BW165" t="str">
        <f t="shared" si="102"/>
        <v>14:49:30.425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293</v>
      </c>
      <c r="CR165">
        <v>1</v>
      </c>
      <c r="CW165">
        <v>15265104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25">
      <c r="A166" t="str">
        <f t="shared" si="99"/>
        <v>06/05/2020 14:49:24.806</v>
      </c>
      <c r="C166" t="str">
        <f t="shared" si="103"/>
        <v>FFDFD3C0</v>
      </c>
      <c r="D166" t="s">
        <v>151</v>
      </c>
      <c r="E166">
        <v>9</v>
      </c>
      <c r="H166">
        <v>226</v>
      </c>
      <c r="I166" t="s">
        <v>152</v>
      </c>
      <c r="J166" t="s">
        <v>150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100"/>
        <v>14:49:30.422</v>
      </c>
      <c r="T166" t="str">
        <f t="shared" si="101"/>
        <v>14:49:30.122</v>
      </c>
      <c r="U166" t="str">
        <f t="shared" si="77"/>
        <v>ACC530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1</v>
      </c>
      <c r="AH166">
        <v>0</v>
      </c>
      <c r="AI166" t="s">
        <v>205</v>
      </c>
      <c r="AJ166">
        <v>34.242604</v>
      </c>
      <c r="AK166" t="s">
        <v>206</v>
      </c>
      <c r="AL166">
        <v>-116.88539</v>
      </c>
      <c r="AM166">
        <v>100</v>
      </c>
      <c r="AN166">
        <v>8600</v>
      </c>
      <c r="AO166" t="s">
        <v>118</v>
      </c>
      <c r="AP166">
        <v>-62</v>
      </c>
      <c r="AQ166">
        <v>-47</v>
      </c>
      <c r="AR166">
        <v>128</v>
      </c>
      <c r="AZ166">
        <v>1200</v>
      </c>
      <c r="BA166">
        <v>1</v>
      </c>
      <c r="BB166" t="str">
        <f t="shared" si="104"/>
        <v xml:space="preserve">N9217B  </v>
      </c>
      <c r="BC166">
        <v>1</v>
      </c>
      <c r="BE166">
        <v>0</v>
      </c>
      <c r="BF166">
        <v>0</v>
      </c>
      <c r="BG166">
        <v>0</v>
      </c>
      <c r="BH166">
        <v>8700</v>
      </c>
      <c r="BI166">
        <v>1</v>
      </c>
      <c r="BJ166">
        <v>0</v>
      </c>
      <c r="BK166">
        <v>0</v>
      </c>
      <c r="BL166">
        <v>0</v>
      </c>
      <c r="BO166">
        <v>0</v>
      </c>
      <c r="BP166">
        <v>0</v>
      </c>
      <c r="BW166" t="str">
        <f t="shared" si="102"/>
        <v>14:49:30.425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5</v>
      </c>
      <c r="CP166" t="s">
        <v>119</v>
      </c>
      <c r="CQ166">
        <v>293</v>
      </c>
      <c r="CR166">
        <v>1</v>
      </c>
      <c r="CW166">
        <v>15265104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25">
      <c r="A167" t="str">
        <f t="shared" ref="A167:A172" si="105">"06/05/2020 14:49:25.847"</f>
        <v>06/05/2020 14:49:25.847</v>
      </c>
      <c r="C167" t="str">
        <f t="shared" si="103"/>
        <v>FFDFD3C0</v>
      </c>
      <c r="D167" t="s">
        <v>134</v>
      </c>
      <c r="E167">
        <v>7</v>
      </c>
      <c r="F167">
        <v>2007</v>
      </c>
      <c r="G167" t="s">
        <v>135</v>
      </c>
      <c r="J167" t="s">
        <v>136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ref="S167:S172" si="106">"14:49:31.469"</f>
        <v>14:49:31.469</v>
      </c>
      <c r="T167" t="str">
        <f t="shared" ref="T167:T172" si="107">"14:49:31.169"</f>
        <v>14:49:31.169</v>
      </c>
      <c r="U167" t="str">
        <f t="shared" si="77"/>
        <v>ACC530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1</v>
      </c>
      <c r="AH167">
        <v>0</v>
      </c>
      <c r="AI167" t="s">
        <v>207</v>
      </c>
      <c r="AJ167">
        <v>34.242389000000003</v>
      </c>
      <c r="AK167" t="s">
        <v>208</v>
      </c>
      <c r="AL167">
        <v>-116.885712</v>
      </c>
      <c r="AM167">
        <v>100</v>
      </c>
      <c r="AN167">
        <v>8600</v>
      </c>
      <c r="AO167" t="s">
        <v>118</v>
      </c>
      <c r="AP167">
        <v>-64</v>
      </c>
      <c r="AQ167">
        <v>-46</v>
      </c>
      <c r="AR167">
        <v>64</v>
      </c>
      <c r="AZ167">
        <v>1200</v>
      </c>
      <c r="BA167">
        <v>1</v>
      </c>
      <c r="BB167" t="str">
        <f t="shared" si="104"/>
        <v xml:space="preserve">N9217B  </v>
      </c>
      <c r="BC167">
        <v>1</v>
      </c>
      <c r="BE167">
        <v>0</v>
      </c>
      <c r="BF167">
        <v>0</v>
      </c>
      <c r="BG167">
        <v>0</v>
      </c>
      <c r="BH167">
        <v>8700</v>
      </c>
      <c r="BI167">
        <v>1</v>
      </c>
      <c r="BJ167">
        <v>0</v>
      </c>
      <c r="BK167">
        <v>0</v>
      </c>
      <c r="BL167">
        <v>0</v>
      </c>
      <c r="BO167">
        <v>0</v>
      </c>
      <c r="BP167">
        <v>0</v>
      </c>
      <c r="BW167" t="str">
        <f t="shared" ref="BW167:BW172" si="108">"14:49:31.475"</f>
        <v>14:49:31.475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5</v>
      </c>
      <c r="CP167" t="s">
        <v>119</v>
      </c>
      <c r="CQ167">
        <v>293</v>
      </c>
      <c r="CR167">
        <v>1</v>
      </c>
      <c r="CW167">
        <v>15265215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25">
      <c r="A168" t="str">
        <f t="shared" si="105"/>
        <v>06/05/2020 14:49:25.847</v>
      </c>
      <c r="C168" t="str">
        <f t="shared" si="103"/>
        <v>FFDFD3C0</v>
      </c>
      <c r="D168" t="s">
        <v>151</v>
      </c>
      <c r="E168">
        <v>9</v>
      </c>
      <c r="H168">
        <v>226</v>
      </c>
      <c r="I168" t="s">
        <v>152</v>
      </c>
      <c r="J168" t="s">
        <v>150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106"/>
        <v>14:49:31.469</v>
      </c>
      <c r="T168" t="str">
        <f t="shared" si="107"/>
        <v>14:49:31.169</v>
      </c>
      <c r="U168" t="str">
        <f t="shared" si="77"/>
        <v>ACC530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1</v>
      </c>
      <c r="AH168">
        <v>0</v>
      </c>
      <c r="AI168" t="s">
        <v>207</v>
      </c>
      <c r="AJ168">
        <v>34.242389000000003</v>
      </c>
      <c r="AK168" t="s">
        <v>208</v>
      </c>
      <c r="AL168">
        <v>-116.885712</v>
      </c>
      <c r="AM168">
        <v>100</v>
      </c>
      <c r="AN168">
        <v>8600</v>
      </c>
      <c r="AO168" t="s">
        <v>118</v>
      </c>
      <c r="AP168">
        <v>-64</v>
      </c>
      <c r="AQ168">
        <v>-46</v>
      </c>
      <c r="AR168">
        <v>64</v>
      </c>
      <c r="AZ168">
        <v>1200</v>
      </c>
      <c r="BA168">
        <v>1</v>
      </c>
      <c r="BB168" t="str">
        <f t="shared" si="104"/>
        <v xml:space="preserve">N9217B  </v>
      </c>
      <c r="BC168">
        <v>1</v>
      </c>
      <c r="BE168">
        <v>0</v>
      </c>
      <c r="BF168">
        <v>0</v>
      </c>
      <c r="BG168">
        <v>0</v>
      </c>
      <c r="BH168">
        <v>8700</v>
      </c>
      <c r="BI168">
        <v>1</v>
      </c>
      <c r="BJ168">
        <v>0</v>
      </c>
      <c r="BK168">
        <v>0</v>
      </c>
      <c r="BL168">
        <v>0</v>
      </c>
      <c r="BO168">
        <v>0</v>
      </c>
      <c r="BP168">
        <v>0</v>
      </c>
      <c r="BW168" t="str">
        <f t="shared" si="108"/>
        <v>14:49:31.475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5</v>
      </c>
      <c r="CP168" t="s">
        <v>119</v>
      </c>
      <c r="CQ168">
        <v>293</v>
      </c>
      <c r="CR168">
        <v>1</v>
      </c>
      <c r="CW168">
        <v>15265215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25">
      <c r="A169" t="str">
        <f t="shared" si="105"/>
        <v>06/05/2020 14:49:25.847</v>
      </c>
      <c r="C169" t="str">
        <f t="shared" si="103"/>
        <v>FFDFD3C0</v>
      </c>
      <c r="D169" t="s">
        <v>143</v>
      </c>
      <c r="E169">
        <v>10</v>
      </c>
      <c r="F169">
        <v>3010</v>
      </c>
      <c r="G169" t="s">
        <v>144</v>
      </c>
      <c r="J169" t="s">
        <v>145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106"/>
        <v>14:49:31.469</v>
      </c>
      <c r="T169" t="str">
        <f t="shared" si="107"/>
        <v>14:49:31.169</v>
      </c>
      <c r="U169" t="str">
        <f t="shared" si="77"/>
        <v>ACC530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1</v>
      </c>
      <c r="AH169">
        <v>0</v>
      </c>
      <c r="AI169" t="s">
        <v>207</v>
      </c>
      <c r="AJ169">
        <v>34.242389000000003</v>
      </c>
      <c r="AK169" t="s">
        <v>208</v>
      </c>
      <c r="AL169">
        <v>-116.885712</v>
      </c>
      <c r="AM169">
        <v>100</v>
      </c>
      <c r="AN169">
        <v>8600</v>
      </c>
      <c r="AO169" t="s">
        <v>118</v>
      </c>
      <c r="AP169">
        <v>-64</v>
      </c>
      <c r="AQ169">
        <v>-46</v>
      </c>
      <c r="AR169">
        <v>64</v>
      </c>
      <c r="AZ169">
        <v>1200</v>
      </c>
      <c r="BA169">
        <v>1</v>
      </c>
      <c r="BB169" t="str">
        <f t="shared" si="104"/>
        <v xml:space="preserve">N9217B  </v>
      </c>
      <c r="BC169">
        <v>1</v>
      </c>
      <c r="BE169">
        <v>0</v>
      </c>
      <c r="BF169">
        <v>0</v>
      </c>
      <c r="BG169">
        <v>0</v>
      </c>
      <c r="BH169">
        <v>8700</v>
      </c>
      <c r="BI169">
        <v>1</v>
      </c>
      <c r="BJ169">
        <v>0</v>
      </c>
      <c r="BK169">
        <v>0</v>
      </c>
      <c r="BL169">
        <v>0</v>
      </c>
      <c r="BO169">
        <v>0</v>
      </c>
      <c r="BP169">
        <v>0</v>
      </c>
      <c r="BW169" t="str">
        <f t="shared" si="108"/>
        <v>14:49:31.475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293</v>
      </c>
      <c r="CR169">
        <v>1</v>
      </c>
      <c r="CW169">
        <v>15265215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25">
      <c r="A170" t="str">
        <f t="shared" si="105"/>
        <v>06/05/2020 14:49:25.847</v>
      </c>
      <c r="C170" t="str">
        <f t="shared" si="103"/>
        <v>FFDFD3C0</v>
      </c>
      <c r="D170" t="s">
        <v>141</v>
      </c>
      <c r="E170">
        <v>20</v>
      </c>
      <c r="F170">
        <v>1020</v>
      </c>
      <c r="G170" t="s">
        <v>114</v>
      </c>
      <c r="J170" t="s">
        <v>142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106"/>
        <v>14:49:31.469</v>
      </c>
      <c r="T170" t="str">
        <f t="shared" si="107"/>
        <v>14:49:31.169</v>
      </c>
      <c r="U170" t="str">
        <f t="shared" si="77"/>
        <v>ACC530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1</v>
      </c>
      <c r="AH170">
        <v>0</v>
      </c>
      <c r="AI170" t="s">
        <v>207</v>
      </c>
      <c r="AJ170">
        <v>34.242389000000003</v>
      </c>
      <c r="AK170" t="s">
        <v>208</v>
      </c>
      <c r="AL170">
        <v>-116.885712</v>
      </c>
      <c r="AM170">
        <v>100</v>
      </c>
      <c r="AN170">
        <v>8600</v>
      </c>
      <c r="AO170" t="s">
        <v>118</v>
      </c>
      <c r="AP170">
        <v>-64</v>
      </c>
      <c r="AQ170">
        <v>-46</v>
      </c>
      <c r="AR170">
        <v>64</v>
      </c>
      <c r="AZ170">
        <v>1200</v>
      </c>
      <c r="BA170">
        <v>1</v>
      </c>
      <c r="BB170" t="str">
        <f t="shared" si="104"/>
        <v xml:space="preserve">N9217B  </v>
      </c>
      <c r="BC170">
        <v>1</v>
      </c>
      <c r="BE170">
        <v>0</v>
      </c>
      <c r="BF170">
        <v>0</v>
      </c>
      <c r="BG170">
        <v>0</v>
      </c>
      <c r="BH170">
        <v>8700</v>
      </c>
      <c r="BI170">
        <v>1</v>
      </c>
      <c r="BJ170">
        <v>0</v>
      </c>
      <c r="BK170">
        <v>0</v>
      </c>
      <c r="BL170">
        <v>0</v>
      </c>
      <c r="BO170">
        <v>0</v>
      </c>
      <c r="BP170">
        <v>0</v>
      </c>
      <c r="BW170" t="str">
        <f t="shared" si="108"/>
        <v>14:49:31.475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293</v>
      </c>
      <c r="CR170">
        <v>1</v>
      </c>
      <c r="CW170">
        <v>15265215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25">
      <c r="A171" t="str">
        <f t="shared" si="105"/>
        <v>06/05/2020 14:49:25.847</v>
      </c>
      <c r="C171" t="str">
        <f t="shared" si="103"/>
        <v>FFDFD3C0</v>
      </c>
      <c r="D171" t="s">
        <v>148</v>
      </c>
      <c r="E171">
        <v>8</v>
      </c>
      <c r="H171">
        <v>50</v>
      </c>
      <c r="I171" t="s">
        <v>149</v>
      </c>
      <c r="J171" t="s">
        <v>150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106"/>
        <v>14:49:31.469</v>
      </c>
      <c r="T171" t="str">
        <f t="shared" si="107"/>
        <v>14:49:31.169</v>
      </c>
      <c r="U171" t="str">
        <f t="shared" si="77"/>
        <v>ACC530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1</v>
      </c>
      <c r="AH171">
        <v>0</v>
      </c>
      <c r="AI171" t="s">
        <v>207</v>
      </c>
      <c r="AJ171">
        <v>34.242389000000003</v>
      </c>
      <c r="AK171" t="s">
        <v>208</v>
      </c>
      <c r="AL171">
        <v>-116.885712</v>
      </c>
      <c r="AM171">
        <v>100</v>
      </c>
      <c r="AN171">
        <v>8600</v>
      </c>
      <c r="AO171" t="s">
        <v>118</v>
      </c>
      <c r="AP171">
        <v>-64</v>
      </c>
      <c r="AQ171">
        <v>-46</v>
      </c>
      <c r="AR171">
        <v>64</v>
      </c>
      <c r="AZ171">
        <v>1200</v>
      </c>
      <c r="BA171">
        <v>1</v>
      </c>
      <c r="BB171" t="str">
        <f t="shared" si="104"/>
        <v xml:space="preserve">N9217B  </v>
      </c>
      <c r="BC171">
        <v>1</v>
      </c>
      <c r="BE171">
        <v>0</v>
      </c>
      <c r="BF171">
        <v>0</v>
      </c>
      <c r="BG171">
        <v>0</v>
      </c>
      <c r="BH171">
        <v>8700</v>
      </c>
      <c r="BI171">
        <v>1</v>
      </c>
      <c r="BJ171">
        <v>0</v>
      </c>
      <c r="BK171">
        <v>0</v>
      </c>
      <c r="BL171">
        <v>0</v>
      </c>
      <c r="BO171">
        <v>0</v>
      </c>
      <c r="BP171">
        <v>0</v>
      </c>
      <c r="BW171" t="str">
        <f t="shared" si="108"/>
        <v>14:49:31.475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293</v>
      </c>
      <c r="CR171">
        <v>1</v>
      </c>
      <c r="CW171">
        <v>15265215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25">
      <c r="A172" t="str">
        <f t="shared" si="105"/>
        <v>06/05/2020 14:49:25.847</v>
      </c>
      <c r="C172" t="str">
        <f t="shared" si="103"/>
        <v>FFDFD3C0</v>
      </c>
      <c r="D172" t="s">
        <v>113</v>
      </c>
      <c r="E172">
        <v>3</v>
      </c>
      <c r="H172">
        <v>166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106"/>
        <v>14:49:31.469</v>
      </c>
      <c r="T172" t="str">
        <f t="shared" si="107"/>
        <v>14:49:31.169</v>
      </c>
      <c r="U172" t="str">
        <f t="shared" si="77"/>
        <v>ACC530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1</v>
      </c>
      <c r="AH172">
        <v>0</v>
      </c>
      <c r="AI172" t="s">
        <v>207</v>
      </c>
      <c r="AJ172">
        <v>34.242389000000003</v>
      </c>
      <c r="AK172" t="s">
        <v>208</v>
      </c>
      <c r="AL172">
        <v>-116.885712</v>
      </c>
      <c r="AM172">
        <v>100</v>
      </c>
      <c r="AN172">
        <v>8600</v>
      </c>
      <c r="AO172" t="s">
        <v>118</v>
      </c>
      <c r="AP172">
        <v>-64</v>
      </c>
      <c r="AQ172">
        <v>-46</v>
      </c>
      <c r="AR172">
        <v>64</v>
      </c>
      <c r="AZ172">
        <v>1200</v>
      </c>
      <c r="BA172">
        <v>1</v>
      </c>
      <c r="BB172" t="str">
        <f t="shared" si="104"/>
        <v xml:space="preserve">N9217B  </v>
      </c>
      <c r="BC172">
        <v>1</v>
      </c>
      <c r="BE172">
        <v>0</v>
      </c>
      <c r="BF172">
        <v>0</v>
      </c>
      <c r="BG172">
        <v>0</v>
      </c>
      <c r="BH172">
        <v>8700</v>
      </c>
      <c r="BI172">
        <v>1</v>
      </c>
      <c r="BJ172">
        <v>0</v>
      </c>
      <c r="BK172">
        <v>0</v>
      </c>
      <c r="BL172">
        <v>0</v>
      </c>
      <c r="BO172">
        <v>0</v>
      </c>
      <c r="BP172">
        <v>0</v>
      </c>
      <c r="BW172" t="str">
        <f t="shared" si="108"/>
        <v>14:49:31.475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293</v>
      </c>
      <c r="CR172">
        <v>1</v>
      </c>
      <c r="CW172">
        <v>15265215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25">
      <c r="A173" t="str">
        <f t="shared" ref="A173:A178" si="109">"06/05/2020 14:49:26.996"</f>
        <v>06/05/2020 14:49:26.996</v>
      </c>
      <c r="C173" t="str">
        <f t="shared" si="103"/>
        <v>FFDFD3C0</v>
      </c>
      <c r="D173" t="s">
        <v>113</v>
      </c>
      <c r="E173">
        <v>3</v>
      </c>
      <c r="H173">
        <v>166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ref="S173:T178" si="110">"14:49:32.656"</f>
        <v>14:49:32.656</v>
      </c>
      <c r="T173" t="str">
        <f t="shared" si="110"/>
        <v>14:49:32.656</v>
      </c>
      <c r="U173" t="str">
        <f t="shared" si="77"/>
        <v>ACC530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1</v>
      </c>
      <c r="AH173">
        <v>0</v>
      </c>
      <c r="AI173" t="s">
        <v>209</v>
      </c>
      <c r="AJ173">
        <v>34.242109999999997</v>
      </c>
      <c r="AK173" t="s">
        <v>210</v>
      </c>
      <c r="AL173">
        <v>-116.886184</v>
      </c>
      <c r="AM173">
        <v>100</v>
      </c>
      <c r="AN173">
        <v>8600</v>
      </c>
      <c r="AO173" t="s">
        <v>118</v>
      </c>
      <c r="AP173">
        <v>-65</v>
      </c>
      <c r="AQ173">
        <v>-46</v>
      </c>
      <c r="AR173">
        <v>128</v>
      </c>
      <c r="AZ173">
        <v>1200</v>
      </c>
      <c r="BA173">
        <v>1</v>
      </c>
      <c r="BB173" t="str">
        <f t="shared" si="104"/>
        <v xml:space="preserve">N9217B  </v>
      </c>
      <c r="BC173">
        <v>1</v>
      </c>
      <c r="BE173">
        <v>0</v>
      </c>
      <c r="BF173">
        <v>0</v>
      </c>
      <c r="BG173">
        <v>0</v>
      </c>
      <c r="BH173">
        <v>8700</v>
      </c>
      <c r="BI173">
        <v>1</v>
      </c>
      <c r="BJ173">
        <v>0</v>
      </c>
      <c r="BK173">
        <v>0</v>
      </c>
      <c r="BL173">
        <v>0</v>
      </c>
      <c r="BO173">
        <v>0</v>
      </c>
      <c r="BP173">
        <v>0</v>
      </c>
      <c r="BW173" t="str">
        <f t="shared" ref="BW173:BW178" si="111">"14:49:32.660"</f>
        <v>14:49:32.660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4</v>
      </c>
      <c r="CP173" t="s">
        <v>119</v>
      </c>
      <c r="CQ173">
        <v>293</v>
      </c>
      <c r="CR173">
        <v>2</v>
      </c>
      <c r="CW173">
        <v>15265350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25">
      <c r="A174" t="str">
        <f t="shared" si="109"/>
        <v>06/05/2020 14:49:26.996</v>
      </c>
      <c r="C174" t="str">
        <f t="shared" si="103"/>
        <v>FFDFD3C0</v>
      </c>
      <c r="D174" t="s">
        <v>134</v>
      </c>
      <c r="E174">
        <v>7</v>
      </c>
      <c r="F174">
        <v>2007</v>
      </c>
      <c r="G174" t="s">
        <v>135</v>
      </c>
      <c r="J174" t="s">
        <v>136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110"/>
        <v>14:49:32.656</v>
      </c>
      <c r="T174" t="str">
        <f t="shared" si="110"/>
        <v>14:49:32.656</v>
      </c>
      <c r="U174" t="str">
        <f t="shared" si="77"/>
        <v>ACC530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1</v>
      </c>
      <c r="AH174">
        <v>0</v>
      </c>
      <c r="AI174" t="s">
        <v>209</v>
      </c>
      <c r="AJ174">
        <v>34.242109999999997</v>
      </c>
      <c r="AK174" t="s">
        <v>210</v>
      </c>
      <c r="AL174">
        <v>-116.886184</v>
      </c>
      <c r="AM174">
        <v>100</v>
      </c>
      <c r="AN174">
        <v>8600</v>
      </c>
      <c r="AO174" t="s">
        <v>118</v>
      </c>
      <c r="AP174">
        <v>-65</v>
      </c>
      <c r="AQ174">
        <v>-46</v>
      </c>
      <c r="AR174">
        <v>128</v>
      </c>
      <c r="AZ174">
        <v>1200</v>
      </c>
      <c r="BA174">
        <v>1</v>
      </c>
      <c r="BB174" t="str">
        <f t="shared" si="104"/>
        <v xml:space="preserve">N9217B  </v>
      </c>
      <c r="BC174">
        <v>1</v>
      </c>
      <c r="BE174">
        <v>0</v>
      </c>
      <c r="BF174">
        <v>0</v>
      </c>
      <c r="BG174">
        <v>0</v>
      </c>
      <c r="BH174">
        <v>8700</v>
      </c>
      <c r="BI174">
        <v>1</v>
      </c>
      <c r="BJ174">
        <v>0</v>
      </c>
      <c r="BK174">
        <v>0</v>
      </c>
      <c r="BL174">
        <v>0</v>
      </c>
      <c r="BO174">
        <v>0</v>
      </c>
      <c r="BP174">
        <v>0</v>
      </c>
      <c r="BW174" t="str">
        <f t="shared" si="111"/>
        <v>14:49:32.660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4</v>
      </c>
      <c r="CP174" t="s">
        <v>119</v>
      </c>
      <c r="CQ174">
        <v>293</v>
      </c>
      <c r="CR174">
        <v>2</v>
      </c>
      <c r="CW174">
        <v>15265350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25">
      <c r="A175" t="str">
        <f t="shared" si="109"/>
        <v>06/05/2020 14:49:26.996</v>
      </c>
      <c r="C175" t="str">
        <f t="shared" si="103"/>
        <v>FFDFD3C0</v>
      </c>
      <c r="D175" t="s">
        <v>151</v>
      </c>
      <c r="E175">
        <v>9</v>
      </c>
      <c r="H175">
        <v>226</v>
      </c>
      <c r="I175" t="s">
        <v>152</v>
      </c>
      <c r="J175" t="s">
        <v>150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110"/>
        <v>14:49:32.656</v>
      </c>
      <c r="T175" t="str">
        <f t="shared" si="110"/>
        <v>14:49:32.656</v>
      </c>
      <c r="U175" t="str">
        <f t="shared" si="77"/>
        <v>ACC530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1</v>
      </c>
      <c r="AH175">
        <v>0</v>
      </c>
      <c r="AI175" t="s">
        <v>209</v>
      </c>
      <c r="AJ175">
        <v>34.242109999999997</v>
      </c>
      <c r="AK175" t="s">
        <v>210</v>
      </c>
      <c r="AL175">
        <v>-116.886184</v>
      </c>
      <c r="AM175">
        <v>100</v>
      </c>
      <c r="AN175">
        <v>8600</v>
      </c>
      <c r="AO175" t="s">
        <v>118</v>
      </c>
      <c r="AP175">
        <v>-65</v>
      </c>
      <c r="AQ175">
        <v>-46</v>
      </c>
      <c r="AR175">
        <v>128</v>
      </c>
      <c r="AZ175">
        <v>1200</v>
      </c>
      <c r="BA175">
        <v>1</v>
      </c>
      <c r="BB175" t="str">
        <f t="shared" si="104"/>
        <v xml:space="preserve">N9217B  </v>
      </c>
      <c r="BC175">
        <v>1</v>
      </c>
      <c r="BE175">
        <v>0</v>
      </c>
      <c r="BF175">
        <v>0</v>
      </c>
      <c r="BG175">
        <v>0</v>
      </c>
      <c r="BH175">
        <v>8700</v>
      </c>
      <c r="BI175">
        <v>1</v>
      </c>
      <c r="BJ175">
        <v>0</v>
      </c>
      <c r="BK175">
        <v>0</v>
      </c>
      <c r="BL175">
        <v>0</v>
      </c>
      <c r="BO175">
        <v>0</v>
      </c>
      <c r="BP175">
        <v>0</v>
      </c>
      <c r="BW175" t="str">
        <f t="shared" si="111"/>
        <v>14:49:32.660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4</v>
      </c>
      <c r="CP175" t="s">
        <v>119</v>
      </c>
      <c r="CQ175">
        <v>293</v>
      </c>
      <c r="CR175">
        <v>2</v>
      </c>
      <c r="CW175">
        <v>15265350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25">
      <c r="A176" t="str">
        <f t="shared" si="109"/>
        <v>06/05/2020 14:49:26.996</v>
      </c>
      <c r="C176" t="str">
        <f t="shared" si="103"/>
        <v>FFDFD3C0</v>
      </c>
      <c r="D176" t="s">
        <v>143</v>
      </c>
      <c r="E176">
        <v>10</v>
      </c>
      <c r="F176">
        <v>3010</v>
      </c>
      <c r="G176" t="s">
        <v>144</v>
      </c>
      <c r="J176" t="s">
        <v>145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110"/>
        <v>14:49:32.656</v>
      </c>
      <c r="T176" t="str">
        <f t="shared" si="110"/>
        <v>14:49:32.656</v>
      </c>
      <c r="U176" t="str">
        <f t="shared" si="77"/>
        <v>ACC530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1</v>
      </c>
      <c r="AH176">
        <v>0</v>
      </c>
      <c r="AI176" t="s">
        <v>209</v>
      </c>
      <c r="AJ176">
        <v>34.242109999999997</v>
      </c>
      <c r="AK176" t="s">
        <v>210</v>
      </c>
      <c r="AL176">
        <v>-116.886184</v>
      </c>
      <c r="AM176">
        <v>100</v>
      </c>
      <c r="AN176">
        <v>8600</v>
      </c>
      <c r="AO176" t="s">
        <v>118</v>
      </c>
      <c r="AP176">
        <v>-65</v>
      </c>
      <c r="AQ176">
        <v>-46</v>
      </c>
      <c r="AR176">
        <v>128</v>
      </c>
      <c r="AZ176">
        <v>1200</v>
      </c>
      <c r="BA176">
        <v>1</v>
      </c>
      <c r="BB176" t="str">
        <f t="shared" si="104"/>
        <v xml:space="preserve">N9217B  </v>
      </c>
      <c r="BC176">
        <v>1</v>
      </c>
      <c r="BE176">
        <v>0</v>
      </c>
      <c r="BF176">
        <v>0</v>
      </c>
      <c r="BG176">
        <v>0</v>
      </c>
      <c r="BH176">
        <v>8700</v>
      </c>
      <c r="BI176">
        <v>1</v>
      </c>
      <c r="BJ176">
        <v>0</v>
      </c>
      <c r="BK176">
        <v>0</v>
      </c>
      <c r="BL176">
        <v>0</v>
      </c>
      <c r="BO176">
        <v>0</v>
      </c>
      <c r="BP176">
        <v>0</v>
      </c>
      <c r="BW176" t="str">
        <f t="shared" si="111"/>
        <v>14:49:32.660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4</v>
      </c>
      <c r="CP176" t="s">
        <v>119</v>
      </c>
      <c r="CQ176">
        <v>293</v>
      </c>
      <c r="CR176">
        <v>2</v>
      </c>
      <c r="CW176">
        <v>15265350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25">
      <c r="A177" t="str">
        <f t="shared" si="109"/>
        <v>06/05/2020 14:49:26.996</v>
      </c>
      <c r="C177" t="str">
        <f t="shared" si="103"/>
        <v>FFDFD3C0</v>
      </c>
      <c r="D177" t="s">
        <v>141</v>
      </c>
      <c r="E177">
        <v>20</v>
      </c>
      <c r="F177">
        <v>1020</v>
      </c>
      <c r="G177" t="s">
        <v>114</v>
      </c>
      <c r="J177" t="s">
        <v>142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110"/>
        <v>14:49:32.656</v>
      </c>
      <c r="T177" t="str">
        <f t="shared" si="110"/>
        <v>14:49:32.656</v>
      </c>
      <c r="U177" t="str">
        <f t="shared" si="77"/>
        <v>ACC530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1</v>
      </c>
      <c r="AH177">
        <v>0</v>
      </c>
      <c r="AI177" t="s">
        <v>209</v>
      </c>
      <c r="AJ177">
        <v>34.242109999999997</v>
      </c>
      <c r="AK177" t="s">
        <v>210</v>
      </c>
      <c r="AL177">
        <v>-116.886184</v>
      </c>
      <c r="AM177">
        <v>100</v>
      </c>
      <c r="AN177">
        <v>8600</v>
      </c>
      <c r="AO177" t="s">
        <v>118</v>
      </c>
      <c r="AP177">
        <v>-65</v>
      </c>
      <c r="AQ177">
        <v>-46</v>
      </c>
      <c r="AR177">
        <v>128</v>
      </c>
      <c r="AZ177">
        <v>1200</v>
      </c>
      <c r="BA177">
        <v>1</v>
      </c>
      <c r="BB177" t="str">
        <f t="shared" si="104"/>
        <v xml:space="preserve">N9217B  </v>
      </c>
      <c r="BC177">
        <v>1</v>
      </c>
      <c r="BE177">
        <v>0</v>
      </c>
      <c r="BF177">
        <v>0</v>
      </c>
      <c r="BG177">
        <v>0</v>
      </c>
      <c r="BH177">
        <v>8700</v>
      </c>
      <c r="BI177">
        <v>1</v>
      </c>
      <c r="BJ177">
        <v>0</v>
      </c>
      <c r="BK177">
        <v>0</v>
      </c>
      <c r="BL177">
        <v>0</v>
      </c>
      <c r="BO177">
        <v>0</v>
      </c>
      <c r="BP177">
        <v>0</v>
      </c>
      <c r="BW177" t="str">
        <f t="shared" si="111"/>
        <v>14:49:32.660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4</v>
      </c>
      <c r="CP177" t="s">
        <v>119</v>
      </c>
      <c r="CQ177">
        <v>293</v>
      </c>
      <c r="CR177">
        <v>2</v>
      </c>
      <c r="CW177">
        <v>15265350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25">
      <c r="A178" t="str">
        <f t="shared" si="109"/>
        <v>06/05/2020 14:49:26.996</v>
      </c>
      <c r="C178" t="str">
        <f t="shared" si="103"/>
        <v>FFDFD3C0</v>
      </c>
      <c r="D178" t="s">
        <v>148</v>
      </c>
      <c r="E178">
        <v>8</v>
      </c>
      <c r="H178">
        <v>50</v>
      </c>
      <c r="I178" t="s">
        <v>149</v>
      </c>
      <c r="J178" t="s">
        <v>150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10"/>
        <v>14:49:32.656</v>
      </c>
      <c r="T178" t="str">
        <f t="shared" si="110"/>
        <v>14:49:32.656</v>
      </c>
      <c r="U178" t="str">
        <f t="shared" si="77"/>
        <v>ACC530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1</v>
      </c>
      <c r="AH178">
        <v>0</v>
      </c>
      <c r="AI178" t="s">
        <v>209</v>
      </c>
      <c r="AJ178">
        <v>34.242109999999997</v>
      </c>
      <c r="AK178" t="s">
        <v>210</v>
      </c>
      <c r="AL178">
        <v>-116.886184</v>
      </c>
      <c r="AM178">
        <v>100</v>
      </c>
      <c r="AN178">
        <v>8600</v>
      </c>
      <c r="AO178" t="s">
        <v>118</v>
      </c>
      <c r="AP178">
        <v>-65</v>
      </c>
      <c r="AQ178">
        <v>-46</v>
      </c>
      <c r="AR178">
        <v>128</v>
      </c>
      <c r="AZ178">
        <v>1200</v>
      </c>
      <c r="BA178">
        <v>1</v>
      </c>
      <c r="BB178" t="str">
        <f t="shared" si="104"/>
        <v xml:space="preserve">N9217B  </v>
      </c>
      <c r="BC178">
        <v>1</v>
      </c>
      <c r="BE178">
        <v>0</v>
      </c>
      <c r="BF178">
        <v>0</v>
      </c>
      <c r="BG178">
        <v>0</v>
      </c>
      <c r="BH178">
        <v>8700</v>
      </c>
      <c r="BI178">
        <v>1</v>
      </c>
      <c r="BJ178">
        <v>0</v>
      </c>
      <c r="BK178">
        <v>0</v>
      </c>
      <c r="BL178">
        <v>0</v>
      </c>
      <c r="BO178">
        <v>0</v>
      </c>
      <c r="BP178">
        <v>0</v>
      </c>
      <c r="BW178" t="str">
        <f t="shared" si="111"/>
        <v>14:49:32.660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4</v>
      </c>
      <c r="CP178" t="s">
        <v>119</v>
      </c>
      <c r="CQ178">
        <v>293</v>
      </c>
      <c r="CR178">
        <v>2</v>
      </c>
      <c r="CW178">
        <v>15265350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25">
      <c r="A179" t="str">
        <f>"06/05/2020 14:49:28.184"</f>
        <v>06/05/2020 14:49:28.184</v>
      </c>
      <c r="C179" t="str">
        <f t="shared" si="103"/>
        <v>FFDFD3C0</v>
      </c>
      <c r="D179" t="s">
        <v>141</v>
      </c>
      <c r="E179">
        <v>20</v>
      </c>
      <c r="F179">
        <v>1020</v>
      </c>
      <c r="G179" t="s">
        <v>114</v>
      </c>
      <c r="J179" t="s">
        <v>142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"14:49:33.523"</f>
        <v>14:49:33.523</v>
      </c>
      <c r="T179" t="str">
        <f>"14:49:33.123"</f>
        <v>14:49:33.123</v>
      </c>
      <c r="U179" t="str">
        <f t="shared" si="77"/>
        <v>ACC530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1</v>
      </c>
      <c r="AH179">
        <v>0</v>
      </c>
      <c r="AI179" t="s">
        <v>211</v>
      </c>
      <c r="AJ179">
        <v>34.241917000000001</v>
      </c>
      <c r="AK179" t="s">
        <v>212</v>
      </c>
      <c r="AL179">
        <v>-116.886528</v>
      </c>
      <c r="AM179">
        <v>100</v>
      </c>
      <c r="AN179">
        <v>8600</v>
      </c>
      <c r="AO179" t="s">
        <v>118</v>
      </c>
      <c r="AP179">
        <v>-65</v>
      </c>
      <c r="AQ179">
        <v>-47</v>
      </c>
      <c r="AR179">
        <v>0</v>
      </c>
      <c r="AZ179">
        <v>1200</v>
      </c>
      <c r="BA179">
        <v>1</v>
      </c>
      <c r="BB179" t="str">
        <f>"N9217B _"</f>
        <v>N9217B _</v>
      </c>
      <c r="BC179">
        <v>1</v>
      </c>
      <c r="BE179">
        <v>0</v>
      </c>
      <c r="BF179">
        <v>0</v>
      </c>
      <c r="BG179">
        <v>0</v>
      </c>
      <c r="BH179">
        <v>8700</v>
      </c>
      <c r="BI179">
        <v>1</v>
      </c>
      <c r="BJ179">
        <v>0</v>
      </c>
      <c r="BK179">
        <v>0</v>
      </c>
      <c r="BL179">
        <v>0</v>
      </c>
      <c r="BO179">
        <v>0</v>
      </c>
      <c r="BP179">
        <v>0</v>
      </c>
      <c r="BW179" t="str">
        <f>"14:49:33.530"</f>
        <v>14:49:33.530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2</v>
      </c>
      <c r="CP179" t="s">
        <v>119</v>
      </c>
      <c r="CQ179">
        <v>296</v>
      </c>
      <c r="CR179">
        <v>0</v>
      </c>
      <c r="CW179">
        <v>14717746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1</v>
      </c>
    </row>
    <row r="180" spans="1:113" x14ac:dyDescent="0.25">
      <c r="A180" t="str">
        <f>"06/05/2020 14:49:28.184"</f>
        <v>06/05/2020 14:49:28.184</v>
      </c>
      <c r="C180" t="str">
        <f t="shared" si="103"/>
        <v>FFDFD3C0</v>
      </c>
      <c r="D180" t="s">
        <v>113</v>
      </c>
      <c r="E180">
        <v>3</v>
      </c>
      <c r="H180">
        <v>166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"14:49:33.523"</f>
        <v>14:49:33.523</v>
      </c>
      <c r="T180" t="str">
        <f>"14:49:33.123"</f>
        <v>14:49:33.123</v>
      </c>
      <c r="U180" t="str">
        <f t="shared" si="77"/>
        <v>ACC530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1</v>
      </c>
      <c r="AH180">
        <v>0</v>
      </c>
      <c r="AI180" t="s">
        <v>211</v>
      </c>
      <c r="AJ180">
        <v>34.241917000000001</v>
      </c>
      <c r="AK180" t="s">
        <v>212</v>
      </c>
      <c r="AL180">
        <v>-116.886528</v>
      </c>
      <c r="AM180">
        <v>100</v>
      </c>
      <c r="AN180">
        <v>8600</v>
      </c>
      <c r="AO180" t="s">
        <v>118</v>
      </c>
      <c r="AP180">
        <v>-65</v>
      </c>
      <c r="AQ180">
        <v>-47</v>
      </c>
      <c r="AR180">
        <v>0</v>
      </c>
      <c r="AZ180">
        <v>1200</v>
      </c>
      <c r="BA180">
        <v>1</v>
      </c>
      <c r="BB180" t="str">
        <f>"N9217B _"</f>
        <v>N9217B _</v>
      </c>
      <c r="BC180">
        <v>1</v>
      </c>
      <c r="BE180">
        <v>0</v>
      </c>
      <c r="BF180">
        <v>0</v>
      </c>
      <c r="BG180">
        <v>0</v>
      </c>
      <c r="BH180">
        <v>8700</v>
      </c>
      <c r="BI180">
        <v>1</v>
      </c>
      <c r="BJ180">
        <v>0</v>
      </c>
      <c r="BK180">
        <v>0</v>
      </c>
      <c r="BL180">
        <v>0</v>
      </c>
      <c r="BO180">
        <v>0</v>
      </c>
      <c r="BP180">
        <v>0</v>
      </c>
      <c r="BW180" t="str">
        <f>"14:49:33.530"</f>
        <v>14:49:33.530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2</v>
      </c>
      <c r="CP180" t="s">
        <v>119</v>
      </c>
      <c r="CQ180">
        <v>296</v>
      </c>
      <c r="CR180">
        <v>0</v>
      </c>
      <c r="CW180">
        <v>14717746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1</v>
      </c>
    </row>
    <row r="181" spans="1:113" x14ac:dyDescent="0.25">
      <c r="A181" t="str">
        <f>"06/05/2020 14:49:28.184"</f>
        <v>06/05/2020 14:49:28.184</v>
      </c>
      <c r="C181" t="str">
        <f t="shared" si="103"/>
        <v>FFDFD3C0</v>
      </c>
      <c r="D181" t="s">
        <v>134</v>
      </c>
      <c r="E181">
        <v>7</v>
      </c>
      <c r="F181">
        <v>2007</v>
      </c>
      <c r="G181" t="s">
        <v>135</v>
      </c>
      <c r="J181" t="s">
        <v>136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"14:49:33.523"</f>
        <v>14:49:33.523</v>
      </c>
      <c r="T181" t="str">
        <f>"14:49:33.123"</f>
        <v>14:49:33.123</v>
      </c>
      <c r="U181" t="str">
        <f t="shared" si="77"/>
        <v>ACC530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1</v>
      </c>
      <c r="AH181">
        <v>0</v>
      </c>
      <c r="AI181" t="s">
        <v>211</v>
      </c>
      <c r="AJ181">
        <v>34.241917000000001</v>
      </c>
      <c r="AK181" t="s">
        <v>212</v>
      </c>
      <c r="AL181">
        <v>-116.886528</v>
      </c>
      <c r="AM181">
        <v>100</v>
      </c>
      <c r="AN181">
        <v>8600</v>
      </c>
      <c r="AO181" t="s">
        <v>118</v>
      </c>
      <c r="AP181">
        <v>-65</v>
      </c>
      <c r="AQ181">
        <v>-47</v>
      </c>
      <c r="AR181">
        <v>0</v>
      </c>
      <c r="AZ181">
        <v>1200</v>
      </c>
      <c r="BA181">
        <v>1</v>
      </c>
      <c r="BB181" t="str">
        <f>"N9217B _"</f>
        <v>N9217B _</v>
      </c>
      <c r="BC181">
        <v>1</v>
      </c>
      <c r="BE181">
        <v>0</v>
      </c>
      <c r="BF181">
        <v>0</v>
      </c>
      <c r="BG181">
        <v>0</v>
      </c>
      <c r="BH181">
        <v>8700</v>
      </c>
      <c r="BI181">
        <v>1</v>
      </c>
      <c r="BJ181">
        <v>0</v>
      </c>
      <c r="BK181">
        <v>0</v>
      </c>
      <c r="BL181">
        <v>0</v>
      </c>
      <c r="BO181">
        <v>0</v>
      </c>
      <c r="BP181">
        <v>0</v>
      </c>
      <c r="BW181" t="str">
        <f>"14:49:33.530"</f>
        <v>14:49:33.530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2</v>
      </c>
      <c r="CP181" t="s">
        <v>119</v>
      </c>
      <c r="CQ181">
        <v>296</v>
      </c>
      <c r="CR181">
        <v>0</v>
      </c>
      <c r="CW181">
        <v>14717746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</v>
      </c>
    </row>
    <row r="182" spans="1:113" x14ac:dyDescent="0.25">
      <c r="A182" t="str">
        <f t="shared" ref="A182:A187" si="112">"06/05/2020 14:49:29.327"</f>
        <v>06/05/2020 14:49:29.327</v>
      </c>
      <c r="C182" t="str">
        <f t="shared" si="103"/>
        <v>FFDFD3C0</v>
      </c>
      <c r="D182" t="s">
        <v>134</v>
      </c>
      <c r="E182">
        <v>7</v>
      </c>
      <c r="F182">
        <v>2007</v>
      </c>
      <c r="G182" t="s">
        <v>135</v>
      </c>
      <c r="J182" t="s">
        <v>136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ref="S182:S187" si="113">"14:49:34.953"</f>
        <v>14:49:34.953</v>
      </c>
      <c r="T182" t="str">
        <f>"14:49:34.653"</f>
        <v>14:49:34.653</v>
      </c>
      <c r="U182" t="str">
        <f t="shared" si="77"/>
        <v>ACC530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1</v>
      </c>
      <c r="AH182">
        <v>0</v>
      </c>
      <c r="AI182" t="s">
        <v>213</v>
      </c>
      <c r="AJ182">
        <v>34.241638000000002</v>
      </c>
      <c r="AK182" t="s">
        <v>214</v>
      </c>
      <c r="AL182">
        <v>-116.887021</v>
      </c>
      <c r="AM182">
        <v>100</v>
      </c>
      <c r="AN182">
        <v>8600</v>
      </c>
      <c r="AO182" t="s">
        <v>118</v>
      </c>
      <c r="AP182">
        <v>-65</v>
      </c>
      <c r="AQ182">
        <v>-47</v>
      </c>
      <c r="AR182">
        <v>64</v>
      </c>
      <c r="AZ182">
        <v>1200</v>
      </c>
      <c r="BA182">
        <v>1</v>
      </c>
      <c r="BB182" t="str">
        <f t="shared" ref="BB182:BB193" si="114">"N9217B  "</f>
        <v xml:space="preserve">N9217B  </v>
      </c>
      <c r="BC182">
        <v>1</v>
      </c>
      <c r="BE182">
        <v>0</v>
      </c>
      <c r="BF182">
        <v>0</v>
      </c>
      <c r="BG182">
        <v>0</v>
      </c>
      <c r="BH182">
        <v>8700</v>
      </c>
      <c r="BI182">
        <v>1</v>
      </c>
      <c r="BJ182">
        <v>0</v>
      </c>
      <c r="BK182">
        <v>0</v>
      </c>
      <c r="BL182">
        <v>0</v>
      </c>
      <c r="BO182">
        <v>0</v>
      </c>
      <c r="BP182">
        <v>0</v>
      </c>
      <c r="BW182" t="str">
        <f t="shared" ref="BW182:BW187" si="115">"14:49:34.955"</f>
        <v>14:49:34.955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295</v>
      </c>
      <c r="CR182">
        <v>1</v>
      </c>
      <c r="CW182">
        <v>12418167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25">
      <c r="A183" t="str">
        <f t="shared" si="112"/>
        <v>06/05/2020 14:49:29.327</v>
      </c>
      <c r="C183" t="str">
        <f t="shared" si="103"/>
        <v>FFDFD3C0</v>
      </c>
      <c r="D183" t="s">
        <v>143</v>
      </c>
      <c r="E183">
        <v>10</v>
      </c>
      <c r="F183">
        <v>3010</v>
      </c>
      <c r="G183" t="s">
        <v>144</v>
      </c>
      <c r="J183" t="s">
        <v>145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113"/>
        <v>14:49:34.953</v>
      </c>
      <c r="T183" t="str">
        <f>"14:49:34.653"</f>
        <v>14:49:34.653</v>
      </c>
      <c r="U183" t="str">
        <f t="shared" si="77"/>
        <v>ACC530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1</v>
      </c>
      <c r="AH183">
        <v>0</v>
      </c>
      <c r="AI183" t="s">
        <v>213</v>
      </c>
      <c r="AJ183">
        <v>34.241638000000002</v>
      </c>
      <c r="AK183" t="s">
        <v>214</v>
      </c>
      <c r="AL183">
        <v>-116.887021</v>
      </c>
      <c r="AM183">
        <v>100</v>
      </c>
      <c r="AN183">
        <v>8600</v>
      </c>
      <c r="AO183" t="s">
        <v>118</v>
      </c>
      <c r="AP183">
        <v>-65</v>
      </c>
      <c r="AQ183">
        <v>-47</v>
      </c>
      <c r="AR183">
        <v>64</v>
      </c>
      <c r="AZ183">
        <v>1200</v>
      </c>
      <c r="BA183">
        <v>1</v>
      </c>
      <c r="BB183" t="str">
        <f t="shared" si="114"/>
        <v xml:space="preserve">N9217B  </v>
      </c>
      <c r="BC183">
        <v>1</v>
      </c>
      <c r="BE183">
        <v>0</v>
      </c>
      <c r="BF183">
        <v>0</v>
      </c>
      <c r="BG183">
        <v>0</v>
      </c>
      <c r="BH183">
        <v>8700</v>
      </c>
      <c r="BI183">
        <v>1</v>
      </c>
      <c r="BJ183">
        <v>0</v>
      </c>
      <c r="BK183">
        <v>0</v>
      </c>
      <c r="BL183">
        <v>0</v>
      </c>
      <c r="BO183">
        <v>0</v>
      </c>
      <c r="BP183">
        <v>0</v>
      </c>
      <c r="BW183" t="str">
        <f t="shared" si="115"/>
        <v>14:49:34.955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5</v>
      </c>
      <c r="CP183" t="s">
        <v>119</v>
      </c>
      <c r="CQ183">
        <v>295</v>
      </c>
      <c r="CR183">
        <v>1</v>
      </c>
      <c r="CW183">
        <v>12418167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25">
      <c r="A184" t="str">
        <f t="shared" si="112"/>
        <v>06/05/2020 14:49:29.327</v>
      </c>
      <c r="C184" t="str">
        <f t="shared" si="103"/>
        <v>FFDFD3C0</v>
      </c>
      <c r="D184" t="s">
        <v>151</v>
      </c>
      <c r="E184">
        <v>9</v>
      </c>
      <c r="H184">
        <v>226</v>
      </c>
      <c r="I184" t="s">
        <v>152</v>
      </c>
      <c r="J184" t="s">
        <v>150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13"/>
        <v>14:49:34.953</v>
      </c>
      <c r="T184" t="str">
        <f>"14:49:34.253"</f>
        <v>14:49:34.253</v>
      </c>
      <c r="U184" t="str">
        <f t="shared" si="77"/>
        <v>ACC530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1</v>
      </c>
      <c r="AH184">
        <v>0</v>
      </c>
      <c r="AI184" t="s">
        <v>213</v>
      </c>
      <c r="AJ184">
        <v>34.241638000000002</v>
      </c>
      <c r="AK184" t="s">
        <v>214</v>
      </c>
      <c r="AL184">
        <v>-116.887021</v>
      </c>
      <c r="AM184">
        <v>100</v>
      </c>
      <c r="AN184">
        <v>8600</v>
      </c>
      <c r="AO184" t="s">
        <v>118</v>
      </c>
      <c r="AP184">
        <v>-65</v>
      </c>
      <c r="AQ184">
        <v>-47</v>
      </c>
      <c r="AR184">
        <v>64</v>
      </c>
      <c r="AZ184">
        <v>1200</v>
      </c>
      <c r="BA184">
        <v>1</v>
      </c>
      <c r="BB184" t="str">
        <f t="shared" si="114"/>
        <v xml:space="preserve">N9217B  </v>
      </c>
      <c r="BC184">
        <v>1</v>
      </c>
      <c r="BE184">
        <v>0</v>
      </c>
      <c r="BF184">
        <v>0</v>
      </c>
      <c r="BG184">
        <v>0</v>
      </c>
      <c r="BH184">
        <v>8700</v>
      </c>
      <c r="BI184">
        <v>1</v>
      </c>
      <c r="BJ184">
        <v>0</v>
      </c>
      <c r="BK184">
        <v>0</v>
      </c>
      <c r="BL184">
        <v>0</v>
      </c>
      <c r="BO184">
        <v>0</v>
      </c>
      <c r="BP184">
        <v>0</v>
      </c>
      <c r="BW184" t="str">
        <f t="shared" si="115"/>
        <v>14:49:34.955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3</v>
      </c>
      <c r="CP184" t="s">
        <v>119</v>
      </c>
      <c r="CQ184">
        <v>293</v>
      </c>
      <c r="CR184">
        <v>1</v>
      </c>
      <c r="CW184">
        <v>15265630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25">
      <c r="A185" t="str">
        <f t="shared" si="112"/>
        <v>06/05/2020 14:49:29.327</v>
      </c>
      <c r="C185" t="str">
        <f t="shared" si="103"/>
        <v>FFDFD3C0</v>
      </c>
      <c r="D185" t="s">
        <v>141</v>
      </c>
      <c r="E185">
        <v>20</v>
      </c>
      <c r="F185">
        <v>1020</v>
      </c>
      <c r="G185" t="s">
        <v>114</v>
      </c>
      <c r="J185" t="s">
        <v>142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13"/>
        <v>14:49:34.953</v>
      </c>
      <c r="T185" t="str">
        <f>"14:49:34.653"</f>
        <v>14:49:34.653</v>
      </c>
      <c r="U185" t="str">
        <f t="shared" si="77"/>
        <v>ACC530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1</v>
      </c>
      <c r="AH185">
        <v>0</v>
      </c>
      <c r="AI185" t="s">
        <v>213</v>
      </c>
      <c r="AJ185">
        <v>34.241638000000002</v>
      </c>
      <c r="AK185" t="s">
        <v>214</v>
      </c>
      <c r="AL185">
        <v>-116.887021</v>
      </c>
      <c r="AM185">
        <v>100</v>
      </c>
      <c r="AN185">
        <v>8600</v>
      </c>
      <c r="AO185" t="s">
        <v>118</v>
      </c>
      <c r="AP185">
        <v>-65</v>
      </c>
      <c r="AQ185">
        <v>-47</v>
      </c>
      <c r="AR185">
        <v>64</v>
      </c>
      <c r="AZ185">
        <v>1200</v>
      </c>
      <c r="BA185">
        <v>1</v>
      </c>
      <c r="BB185" t="str">
        <f t="shared" si="114"/>
        <v xml:space="preserve">N9217B  </v>
      </c>
      <c r="BC185">
        <v>1</v>
      </c>
      <c r="BE185">
        <v>0</v>
      </c>
      <c r="BF185">
        <v>0</v>
      </c>
      <c r="BG185">
        <v>0</v>
      </c>
      <c r="BH185">
        <v>8700</v>
      </c>
      <c r="BI185">
        <v>1</v>
      </c>
      <c r="BJ185">
        <v>0</v>
      </c>
      <c r="BK185">
        <v>0</v>
      </c>
      <c r="BL185">
        <v>0</v>
      </c>
      <c r="BO185">
        <v>0</v>
      </c>
      <c r="BP185">
        <v>0</v>
      </c>
      <c r="BW185" t="str">
        <f t="shared" si="115"/>
        <v>14:49:34.955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5</v>
      </c>
      <c r="CP185" t="s">
        <v>119</v>
      </c>
      <c r="CQ185">
        <v>295</v>
      </c>
      <c r="CR185">
        <v>1</v>
      </c>
      <c r="CW185">
        <v>12418167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25">
      <c r="A186" t="str">
        <f t="shared" si="112"/>
        <v>06/05/2020 14:49:29.327</v>
      </c>
      <c r="C186" t="str">
        <f t="shared" si="103"/>
        <v>FFDFD3C0</v>
      </c>
      <c r="D186" t="s">
        <v>148</v>
      </c>
      <c r="E186">
        <v>8</v>
      </c>
      <c r="H186">
        <v>50</v>
      </c>
      <c r="I186" t="s">
        <v>149</v>
      </c>
      <c r="J186" t="s">
        <v>150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13"/>
        <v>14:49:34.953</v>
      </c>
      <c r="T186" t="str">
        <f>"14:49:34.653"</f>
        <v>14:49:34.653</v>
      </c>
      <c r="U186" t="str">
        <f t="shared" si="77"/>
        <v>ACC530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1</v>
      </c>
      <c r="AH186">
        <v>0</v>
      </c>
      <c r="AI186" t="s">
        <v>213</v>
      </c>
      <c r="AJ186">
        <v>34.241638000000002</v>
      </c>
      <c r="AK186" t="s">
        <v>214</v>
      </c>
      <c r="AL186">
        <v>-116.887021</v>
      </c>
      <c r="AM186">
        <v>100</v>
      </c>
      <c r="AN186">
        <v>8600</v>
      </c>
      <c r="AO186" t="s">
        <v>118</v>
      </c>
      <c r="AP186">
        <v>-65</v>
      </c>
      <c r="AQ186">
        <v>-47</v>
      </c>
      <c r="AR186">
        <v>64</v>
      </c>
      <c r="AZ186">
        <v>1200</v>
      </c>
      <c r="BA186">
        <v>1</v>
      </c>
      <c r="BB186" t="str">
        <f t="shared" si="114"/>
        <v xml:space="preserve">N9217B  </v>
      </c>
      <c r="BC186">
        <v>1</v>
      </c>
      <c r="BE186">
        <v>0</v>
      </c>
      <c r="BF186">
        <v>0</v>
      </c>
      <c r="BG186">
        <v>0</v>
      </c>
      <c r="BH186">
        <v>8700</v>
      </c>
      <c r="BI186">
        <v>1</v>
      </c>
      <c r="BJ186">
        <v>0</v>
      </c>
      <c r="BK186">
        <v>0</v>
      </c>
      <c r="BL186">
        <v>0</v>
      </c>
      <c r="BO186">
        <v>0</v>
      </c>
      <c r="BP186">
        <v>0</v>
      </c>
      <c r="BW186" t="str">
        <f t="shared" si="115"/>
        <v>14:49:34.955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5</v>
      </c>
      <c r="CP186" t="s">
        <v>119</v>
      </c>
      <c r="CQ186">
        <v>295</v>
      </c>
      <c r="CR186">
        <v>1</v>
      </c>
      <c r="CW186">
        <v>12418167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25">
      <c r="A187" t="str">
        <f t="shared" si="112"/>
        <v>06/05/2020 14:49:29.327</v>
      </c>
      <c r="C187" t="str">
        <f t="shared" si="103"/>
        <v>FFDFD3C0</v>
      </c>
      <c r="D187" t="s">
        <v>113</v>
      </c>
      <c r="E187">
        <v>3</v>
      </c>
      <c r="H187">
        <v>166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13"/>
        <v>14:49:34.953</v>
      </c>
      <c r="T187" t="str">
        <f>"14:49:34.653"</f>
        <v>14:49:34.653</v>
      </c>
      <c r="U187" t="str">
        <f t="shared" si="77"/>
        <v>ACC530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1</v>
      </c>
      <c r="AH187">
        <v>0</v>
      </c>
      <c r="AI187" t="s">
        <v>213</v>
      </c>
      <c r="AJ187">
        <v>34.241638000000002</v>
      </c>
      <c r="AK187" t="s">
        <v>214</v>
      </c>
      <c r="AL187">
        <v>-116.887021</v>
      </c>
      <c r="AM187">
        <v>100</v>
      </c>
      <c r="AN187">
        <v>8600</v>
      </c>
      <c r="AO187" t="s">
        <v>118</v>
      </c>
      <c r="AP187">
        <v>-65</v>
      </c>
      <c r="AQ187">
        <v>-47</v>
      </c>
      <c r="AR187">
        <v>64</v>
      </c>
      <c r="AZ187">
        <v>1200</v>
      </c>
      <c r="BA187">
        <v>1</v>
      </c>
      <c r="BB187" t="str">
        <f t="shared" si="114"/>
        <v xml:space="preserve">N9217B  </v>
      </c>
      <c r="BC187">
        <v>1</v>
      </c>
      <c r="BE187">
        <v>0</v>
      </c>
      <c r="BF187">
        <v>0</v>
      </c>
      <c r="BG187">
        <v>0</v>
      </c>
      <c r="BH187">
        <v>8700</v>
      </c>
      <c r="BI187">
        <v>1</v>
      </c>
      <c r="BJ187">
        <v>0</v>
      </c>
      <c r="BK187">
        <v>0</v>
      </c>
      <c r="BL187">
        <v>0</v>
      </c>
      <c r="BO187">
        <v>0</v>
      </c>
      <c r="BP187">
        <v>0</v>
      </c>
      <c r="BW187" t="str">
        <f t="shared" si="115"/>
        <v>14:49:34.955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5</v>
      </c>
      <c r="CP187" t="s">
        <v>119</v>
      </c>
      <c r="CQ187">
        <v>295</v>
      </c>
      <c r="CR187">
        <v>1</v>
      </c>
      <c r="CW187">
        <v>12418167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25">
      <c r="A188" t="str">
        <f t="shared" ref="A188:A193" si="116">"06/05/2020 14:49:30.354"</f>
        <v>06/05/2020 14:49:30.354</v>
      </c>
      <c r="C188" t="str">
        <f t="shared" si="103"/>
        <v>FFDFD3C0</v>
      </c>
      <c r="D188" t="s">
        <v>141</v>
      </c>
      <c r="E188">
        <v>20</v>
      </c>
      <c r="F188">
        <v>1020</v>
      </c>
      <c r="G188" t="s">
        <v>114</v>
      </c>
      <c r="J188" t="s">
        <v>142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ref="S188:T193" si="117">"14:49:36.000"</f>
        <v>14:49:36.000</v>
      </c>
      <c r="T188" t="str">
        <f t="shared" si="117"/>
        <v>14:49:36.000</v>
      </c>
      <c r="U188" t="str">
        <f t="shared" si="77"/>
        <v>ACC530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1</v>
      </c>
      <c r="AH188">
        <v>0</v>
      </c>
      <c r="AI188" t="s">
        <v>215</v>
      </c>
      <c r="AJ188">
        <v>34.241402000000001</v>
      </c>
      <c r="AK188" t="s">
        <v>216</v>
      </c>
      <c r="AL188">
        <v>-116.887407</v>
      </c>
      <c r="AM188">
        <v>100</v>
      </c>
      <c r="AN188">
        <v>8600</v>
      </c>
      <c r="AO188" t="s">
        <v>118</v>
      </c>
      <c r="AP188">
        <v>-65</v>
      </c>
      <c r="AQ188">
        <v>-46</v>
      </c>
      <c r="AR188">
        <v>64</v>
      </c>
      <c r="AZ188">
        <v>1200</v>
      </c>
      <c r="BA188">
        <v>1</v>
      </c>
      <c r="BB188" t="str">
        <f t="shared" si="114"/>
        <v xml:space="preserve">N9217B  </v>
      </c>
      <c r="BC188">
        <v>1</v>
      </c>
      <c r="BE188">
        <v>0</v>
      </c>
      <c r="BF188">
        <v>0</v>
      </c>
      <c r="BG188">
        <v>0</v>
      </c>
      <c r="BH188">
        <v>8700</v>
      </c>
      <c r="BI188">
        <v>1</v>
      </c>
      <c r="BJ188">
        <v>0</v>
      </c>
      <c r="BK188">
        <v>0</v>
      </c>
      <c r="BL188">
        <v>0</v>
      </c>
      <c r="BO188">
        <v>0</v>
      </c>
      <c r="BP188">
        <v>0</v>
      </c>
      <c r="BW188" t="str">
        <f t="shared" ref="BW188:BW193" si="118">"14:49:36.005"</f>
        <v>14:49:36.005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5</v>
      </c>
      <c r="CP188" t="s">
        <v>119</v>
      </c>
      <c r="CQ188">
        <v>295</v>
      </c>
      <c r="CR188">
        <v>1</v>
      </c>
      <c r="CW188">
        <v>12418265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25">
      <c r="A189" t="str">
        <f t="shared" si="116"/>
        <v>06/05/2020 14:49:30.354</v>
      </c>
      <c r="C189" t="str">
        <f t="shared" si="103"/>
        <v>FFDFD3C0</v>
      </c>
      <c r="D189" t="s">
        <v>151</v>
      </c>
      <c r="E189">
        <v>9</v>
      </c>
      <c r="H189">
        <v>226</v>
      </c>
      <c r="I189" t="s">
        <v>152</v>
      </c>
      <c r="J189" t="s">
        <v>150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17"/>
        <v>14:49:36.000</v>
      </c>
      <c r="T189" t="str">
        <f t="shared" si="117"/>
        <v>14:49:36.000</v>
      </c>
      <c r="U189" t="str">
        <f t="shared" si="77"/>
        <v>ACC530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1</v>
      </c>
      <c r="AH189">
        <v>0</v>
      </c>
      <c r="AI189" t="s">
        <v>215</v>
      </c>
      <c r="AJ189">
        <v>34.241402000000001</v>
      </c>
      <c r="AK189" t="s">
        <v>216</v>
      </c>
      <c r="AL189">
        <v>-116.887407</v>
      </c>
      <c r="AM189">
        <v>100</v>
      </c>
      <c r="AN189">
        <v>8600</v>
      </c>
      <c r="AO189" t="s">
        <v>118</v>
      </c>
      <c r="AP189">
        <v>-65</v>
      </c>
      <c r="AQ189">
        <v>-46</v>
      </c>
      <c r="AR189">
        <v>64</v>
      </c>
      <c r="AZ189">
        <v>1200</v>
      </c>
      <c r="BA189">
        <v>1</v>
      </c>
      <c r="BB189" t="str">
        <f t="shared" si="114"/>
        <v xml:space="preserve">N9217B  </v>
      </c>
      <c r="BC189">
        <v>1</v>
      </c>
      <c r="BE189">
        <v>0</v>
      </c>
      <c r="BF189">
        <v>0</v>
      </c>
      <c r="BG189">
        <v>0</v>
      </c>
      <c r="BH189">
        <v>8700</v>
      </c>
      <c r="BI189">
        <v>1</v>
      </c>
      <c r="BJ189">
        <v>0</v>
      </c>
      <c r="BK189">
        <v>0</v>
      </c>
      <c r="BL189">
        <v>0</v>
      </c>
      <c r="BO189">
        <v>0</v>
      </c>
      <c r="BP189">
        <v>0</v>
      </c>
      <c r="BW189" t="str">
        <f t="shared" si="118"/>
        <v>14:49:36.005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2</v>
      </c>
      <c r="CP189" t="s">
        <v>119</v>
      </c>
      <c r="CQ189">
        <v>293</v>
      </c>
      <c r="CR189">
        <v>2</v>
      </c>
      <c r="CW189">
        <v>15265755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25">
      <c r="A190" t="str">
        <f t="shared" si="116"/>
        <v>06/05/2020 14:49:30.354</v>
      </c>
      <c r="C190" t="str">
        <f t="shared" si="103"/>
        <v>FFDFD3C0</v>
      </c>
      <c r="D190" t="s">
        <v>148</v>
      </c>
      <c r="E190">
        <v>8</v>
      </c>
      <c r="H190">
        <v>50</v>
      </c>
      <c r="I190" t="s">
        <v>149</v>
      </c>
      <c r="J190" t="s">
        <v>150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117"/>
        <v>14:49:36.000</v>
      </c>
      <c r="T190" t="str">
        <f t="shared" si="117"/>
        <v>14:49:36.000</v>
      </c>
      <c r="U190" t="str">
        <f t="shared" si="77"/>
        <v>ACC530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1</v>
      </c>
      <c r="AH190">
        <v>0</v>
      </c>
      <c r="AI190" t="s">
        <v>215</v>
      </c>
      <c r="AJ190">
        <v>34.241402000000001</v>
      </c>
      <c r="AK190" t="s">
        <v>216</v>
      </c>
      <c r="AL190">
        <v>-116.887407</v>
      </c>
      <c r="AM190">
        <v>100</v>
      </c>
      <c r="AN190">
        <v>8600</v>
      </c>
      <c r="AO190" t="s">
        <v>118</v>
      </c>
      <c r="AP190">
        <v>-65</v>
      </c>
      <c r="AQ190">
        <v>-46</v>
      </c>
      <c r="AR190">
        <v>64</v>
      </c>
      <c r="AZ190">
        <v>1200</v>
      </c>
      <c r="BA190">
        <v>1</v>
      </c>
      <c r="BB190" t="str">
        <f t="shared" si="114"/>
        <v xml:space="preserve">N9217B  </v>
      </c>
      <c r="BC190">
        <v>1</v>
      </c>
      <c r="BE190">
        <v>0</v>
      </c>
      <c r="BF190">
        <v>0</v>
      </c>
      <c r="BG190">
        <v>0</v>
      </c>
      <c r="BH190">
        <v>8700</v>
      </c>
      <c r="BI190">
        <v>1</v>
      </c>
      <c r="BJ190">
        <v>0</v>
      </c>
      <c r="BK190">
        <v>0</v>
      </c>
      <c r="BL190">
        <v>0</v>
      </c>
      <c r="BO190">
        <v>0</v>
      </c>
      <c r="BP190">
        <v>0</v>
      </c>
      <c r="BW190" t="str">
        <f t="shared" si="118"/>
        <v>14:49:36.005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5</v>
      </c>
      <c r="CP190" t="s">
        <v>119</v>
      </c>
      <c r="CQ190">
        <v>295</v>
      </c>
      <c r="CR190">
        <v>1</v>
      </c>
      <c r="CW190">
        <v>12418265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25">
      <c r="A191" t="str">
        <f t="shared" si="116"/>
        <v>06/05/2020 14:49:30.354</v>
      </c>
      <c r="C191" t="str">
        <f t="shared" si="103"/>
        <v>FFDFD3C0</v>
      </c>
      <c r="D191" t="s">
        <v>113</v>
      </c>
      <c r="E191">
        <v>3</v>
      </c>
      <c r="H191">
        <v>166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17"/>
        <v>14:49:36.000</v>
      </c>
      <c r="T191" t="str">
        <f t="shared" si="117"/>
        <v>14:49:36.000</v>
      </c>
      <c r="U191" t="str">
        <f t="shared" si="77"/>
        <v>ACC530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1</v>
      </c>
      <c r="AH191">
        <v>0</v>
      </c>
      <c r="AI191" t="s">
        <v>215</v>
      </c>
      <c r="AJ191">
        <v>34.241402000000001</v>
      </c>
      <c r="AK191" t="s">
        <v>216</v>
      </c>
      <c r="AL191">
        <v>-116.887407</v>
      </c>
      <c r="AM191">
        <v>100</v>
      </c>
      <c r="AN191">
        <v>8600</v>
      </c>
      <c r="AO191" t="s">
        <v>118</v>
      </c>
      <c r="AP191">
        <v>-65</v>
      </c>
      <c r="AQ191">
        <v>-46</v>
      </c>
      <c r="AR191">
        <v>64</v>
      </c>
      <c r="AZ191">
        <v>1200</v>
      </c>
      <c r="BA191">
        <v>1</v>
      </c>
      <c r="BB191" t="str">
        <f t="shared" si="114"/>
        <v xml:space="preserve">N9217B  </v>
      </c>
      <c r="BC191">
        <v>1</v>
      </c>
      <c r="BE191">
        <v>0</v>
      </c>
      <c r="BF191">
        <v>0</v>
      </c>
      <c r="BG191">
        <v>0</v>
      </c>
      <c r="BH191">
        <v>8700</v>
      </c>
      <c r="BI191">
        <v>1</v>
      </c>
      <c r="BJ191">
        <v>0</v>
      </c>
      <c r="BK191">
        <v>0</v>
      </c>
      <c r="BL191">
        <v>0</v>
      </c>
      <c r="BO191">
        <v>0</v>
      </c>
      <c r="BP191">
        <v>0</v>
      </c>
      <c r="BW191" t="str">
        <f t="shared" si="118"/>
        <v>14:49:36.005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5</v>
      </c>
      <c r="CP191" t="s">
        <v>119</v>
      </c>
      <c r="CQ191">
        <v>295</v>
      </c>
      <c r="CR191">
        <v>1</v>
      </c>
      <c r="CW191">
        <v>12418265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25">
      <c r="A192" t="str">
        <f t="shared" si="116"/>
        <v>06/05/2020 14:49:30.354</v>
      </c>
      <c r="C192" t="str">
        <f t="shared" si="103"/>
        <v>FFDFD3C0</v>
      </c>
      <c r="D192" t="s">
        <v>143</v>
      </c>
      <c r="E192">
        <v>10</v>
      </c>
      <c r="F192">
        <v>3010</v>
      </c>
      <c r="G192" t="s">
        <v>144</v>
      </c>
      <c r="J192" t="s">
        <v>145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17"/>
        <v>14:49:36.000</v>
      </c>
      <c r="T192" t="str">
        <f t="shared" si="117"/>
        <v>14:49:36.000</v>
      </c>
      <c r="U192" t="str">
        <f t="shared" si="77"/>
        <v>ACC530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1</v>
      </c>
      <c r="AH192">
        <v>0</v>
      </c>
      <c r="AI192" t="s">
        <v>215</v>
      </c>
      <c r="AJ192">
        <v>34.241402000000001</v>
      </c>
      <c r="AK192" t="s">
        <v>216</v>
      </c>
      <c r="AL192">
        <v>-116.887407</v>
      </c>
      <c r="AM192">
        <v>100</v>
      </c>
      <c r="AN192">
        <v>8600</v>
      </c>
      <c r="AO192" t="s">
        <v>118</v>
      </c>
      <c r="AP192">
        <v>-65</v>
      </c>
      <c r="AQ192">
        <v>-46</v>
      </c>
      <c r="AR192">
        <v>64</v>
      </c>
      <c r="AZ192">
        <v>1200</v>
      </c>
      <c r="BA192">
        <v>1</v>
      </c>
      <c r="BB192" t="str">
        <f t="shared" si="114"/>
        <v xml:space="preserve">N9217B  </v>
      </c>
      <c r="BC192">
        <v>1</v>
      </c>
      <c r="BE192">
        <v>0</v>
      </c>
      <c r="BF192">
        <v>0</v>
      </c>
      <c r="BG192">
        <v>0</v>
      </c>
      <c r="BH192">
        <v>8700</v>
      </c>
      <c r="BI192">
        <v>1</v>
      </c>
      <c r="BJ192">
        <v>0</v>
      </c>
      <c r="BK192">
        <v>0</v>
      </c>
      <c r="BL192">
        <v>0</v>
      </c>
      <c r="BO192">
        <v>0</v>
      </c>
      <c r="BP192">
        <v>0</v>
      </c>
      <c r="BW192" t="str">
        <f t="shared" si="118"/>
        <v>14:49:36.005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5</v>
      </c>
      <c r="CP192" t="s">
        <v>119</v>
      </c>
      <c r="CQ192">
        <v>295</v>
      </c>
      <c r="CR192">
        <v>1</v>
      </c>
      <c r="CW192">
        <v>12418265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25">
      <c r="A193" t="str">
        <f t="shared" si="116"/>
        <v>06/05/2020 14:49:30.354</v>
      </c>
      <c r="C193" t="str">
        <f t="shared" si="103"/>
        <v>FFDFD3C0</v>
      </c>
      <c r="D193" t="s">
        <v>134</v>
      </c>
      <c r="E193">
        <v>7</v>
      </c>
      <c r="F193">
        <v>2007</v>
      </c>
      <c r="G193" t="s">
        <v>135</v>
      </c>
      <c r="J193" t="s">
        <v>136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17"/>
        <v>14:49:36.000</v>
      </c>
      <c r="T193" t="str">
        <f t="shared" si="117"/>
        <v>14:49:36.000</v>
      </c>
      <c r="U193" t="str">
        <f t="shared" si="77"/>
        <v>ACC530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1</v>
      </c>
      <c r="AH193">
        <v>0</v>
      </c>
      <c r="AI193" t="s">
        <v>215</v>
      </c>
      <c r="AJ193">
        <v>34.241402000000001</v>
      </c>
      <c r="AK193" t="s">
        <v>216</v>
      </c>
      <c r="AL193">
        <v>-116.887407</v>
      </c>
      <c r="AM193">
        <v>100</v>
      </c>
      <c r="AN193">
        <v>8600</v>
      </c>
      <c r="AO193" t="s">
        <v>118</v>
      </c>
      <c r="AP193">
        <v>-65</v>
      </c>
      <c r="AQ193">
        <v>-46</v>
      </c>
      <c r="AR193">
        <v>64</v>
      </c>
      <c r="AZ193">
        <v>1200</v>
      </c>
      <c r="BA193">
        <v>1</v>
      </c>
      <c r="BB193" t="str">
        <f t="shared" si="114"/>
        <v xml:space="preserve">N9217B  </v>
      </c>
      <c r="BC193">
        <v>1</v>
      </c>
      <c r="BE193">
        <v>0</v>
      </c>
      <c r="BF193">
        <v>0</v>
      </c>
      <c r="BG193">
        <v>0</v>
      </c>
      <c r="BH193">
        <v>8700</v>
      </c>
      <c r="BI193">
        <v>1</v>
      </c>
      <c r="BJ193">
        <v>0</v>
      </c>
      <c r="BK193">
        <v>0</v>
      </c>
      <c r="BL193">
        <v>0</v>
      </c>
      <c r="BO193">
        <v>0</v>
      </c>
      <c r="BP193">
        <v>0</v>
      </c>
      <c r="BW193" t="str">
        <f t="shared" si="118"/>
        <v>14:49:36.005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5</v>
      </c>
      <c r="CP193" t="s">
        <v>119</v>
      </c>
      <c r="CQ193">
        <v>295</v>
      </c>
      <c r="CR193">
        <v>1</v>
      </c>
      <c r="CW193">
        <v>12418265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25">
      <c r="A194" t="str">
        <f>"06/05/2020 14:49:31.844"</f>
        <v>06/05/2020 14:49:31.844</v>
      </c>
      <c r="C194" t="str">
        <f t="shared" si="103"/>
        <v>FFDFD3C0</v>
      </c>
      <c r="D194" t="s">
        <v>113</v>
      </c>
      <c r="E194">
        <v>3</v>
      </c>
      <c r="H194">
        <v>166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"14:49:37.188"</f>
        <v>14:49:37.188</v>
      </c>
      <c r="T194" t="str">
        <f>"14:49:33.188"</f>
        <v>14:49:33.188</v>
      </c>
      <c r="U194" t="str">
        <f t="shared" ref="U194:U257" si="119">"ACC530"</f>
        <v>ACC530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1</v>
      </c>
      <c r="AH194">
        <v>0</v>
      </c>
      <c r="AI194" t="s">
        <v>217</v>
      </c>
      <c r="AJ194">
        <v>34.241145000000003</v>
      </c>
      <c r="AK194" t="s">
        <v>218</v>
      </c>
      <c r="AL194">
        <v>-116.887815</v>
      </c>
      <c r="AM194">
        <v>100</v>
      </c>
      <c r="AN194">
        <v>8600</v>
      </c>
      <c r="AO194" t="s">
        <v>118</v>
      </c>
      <c r="AP194">
        <v>-65</v>
      </c>
      <c r="AQ194">
        <v>-47</v>
      </c>
      <c r="AR194">
        <v>0</v>
      </c>
      <c r="AZ194">
        <v>1200</v>
      </c>
      <c r="BA194">
        <v>1</v>
      </c>
      <c r="BB194" t="str">
        <f>"N9217B _"</f>
        <v>N9217B _</v>
      </c>
      <c r="BC194">
        <v>1</v>
      </c>
      <c r="BE194">
        <v>0</v>
      </c>
      <c r="BF194">
        <v>0</v>
      </c>
      <c r="BG194">
        <v>0</v>
      </c>
      <c r="BH194">
        <v>8700</v>
      </c>
      <c r="BI194">
        <v>1</v>
      </c>
      <c r="BJ194">
        <v>0</v>
      </c>
      <c r="BK194">
        <v>0</v>
      </c>
      <c r="BL194">
        <v>0</v>
      </c>
      <c r="BO194">
        <v>0</v>
      </c>
      <c r="BP194">
        <v>0</v>
      </c>
      <c r="BW194" t="str">
        <f>"14:49:37.190"</f>
        <v>14:49:37.190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1</v>
      </c>
      <c r="CP194" t="s">
        <v>119</v>
      </c>
      <c r="CQ194">
        <v>296</v>
      </c>
      <c r="CR194">
        <v>0</v>
      </c>
      <c r="CW194">
        <v>14717915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1</v>
      </c>
    </row>
    <row r="195" spans="1:113" x14ac:dyDescent="0.25">
      <c r="A195" t="str">
        <f>"06/05/2020 14:49:31.844"</f>
        <v>06/05/2020 14:49:31.844</v>
      </c>
      <c r="C195" t="str">
        <f t="shared" si="103"/>
        <v>FFDFD3C0</v>
      </c>
      <c r="D195" t="s">
        <v>134</v>
      </c>
      <c r="E195">
        <v>7</v>
      </c>
      <c r="F195">
        <v>2007</v>
      </c>
      <c r="G195" t="s">
        <v>135</v>
      </c>
      <c r="J195" t="s">
        <v>136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"14:49:37.188"</f>
        <v>14:49:37.188</v>
      </c>
      <c r="T195" t="str">
        <f>"14:49:33.188"</f>
        <v>14:49:33.188</v>
      </c>
      <c r="U195" t="str">
        <f t="shared" si="119"/>
        <v>ACC530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1</v>
      </c>
      <c r="AH195">
        <v>0</v>
      </c>
      <c r="AI195" t="s">
        <v>217</v>
      </c>
      <c r="AJ195">
        <v>34.241145000000003</v>
      </c>
      <c r="AK195" t="s">
        <v>218</v>
      </c>
      <c r="AL195">
        <v>-116.887815</v>
      </c>
      <c r="AM195">
        <v>100</v>
      </c>
      <c r="AN195">
        <v>8600</v>
      </c>
      <c r="AO195" t="s">
        <v>118</v>
      </c>
      <c r="AP195">
        <v>-65</v>
      </c>
      <c r="AQ195">
        <v>-47</v>
      </c>
      <c r="AR195">
        <v>0</v>
      </c>
      <c r="AZ195">
        <v>1200</v>
      </c>
      <c r="BA195">
        <v>1</v>
      </c>
      <c r="BB195" t="str">
        <f>"N9217B _"</f>
        <v>N9217B _</v>
      </c>
      <c r="BC195">
        <v>1</v>
      </c>
      <c r="BE195">
        <v>0</v>
      </c>
      <c r="BF195">
        <v>0</v>
      </c>
      <c r="BG195">
        <v>0</v>
      </c>
      <c r="BH195">
        <v>8700</v>
      </c>
      <c r="BI195">
        <v>1</v>
      </c>
      <c r="BJ195">
        <v>0</v>
      </c>
      <c r="BK195">
        <v>0</v>
      </c>
      <c r="BL195">
        <v>0</v>
      </c>
      <c r="BO195">
        <v>0</v>
      </c>
      <c r="BP195">
        <v>0</v>
      </c>
      <c r="BW195" t="str">
        <f>"14:49:37.190"</f>
        <v>14:49:37.190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1</v>
      </c>
      <c r="CP195" t="s">
        <v>119</v>
      </c>
      <c r="CQ195">
        <v>296</v>
      </c>
      <c r="CR195">
        <v>0</v>
      </c>
      <c r="CW195">
        <v>14717915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1</v>
      </c>
    </row>
    <row r="196" spans="1:113" x14ac:dyDescent="0.25">
      <c r="A196" t="str">
        <f>"06/05/2020 14:49:31.844"</f>
        <v>06/05/2020 14:49:31.844</v>
      </c>
      <c r="C196" t="str">
        <f t="shared" si="103"/>
        <v>FFDFD3C0</v>
      </c>
      <c r="D196" t="s">
        <v>141</v>
      </c>
      <c r="E196">
        <v>20</v>
      </c>
      <c r="F196">
        <v>1020</v>
      </c>
      <c r="G196" t="s">
        <v>114</v>
      </c>
      <c r="J196" t="s">
        <v>142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"14:49:37.188"</f>
        <v>14:49:37.188</v>
      </c>
      <c r="T196" t="str">
        <f>"14:49:33.188"</f>
        <v>14:49:33.188</v>
      </c>
      <c r="U196" t="str">
        <f t="shared" si="119"/>
        <v>ACC530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1</v>
      </c>
      <c r="AH196">
        <v>0</v>
      </c>
      <c r="AI196" t="s">
        <v>217</v>
      </c>
      <c r="AJ196">
        <v>34.241145000000003</v>
      </c>
      <c r="AK196" t="s">
        <v>218</v>
      </c>
      <c r="AL196">
        <v>-116.887815</v>
      </c>
      <c r="AM196">
        <v>100</v>
      </c>
      <c r="AN196">
        <v>8600</v>
      </c>
      <c r="AO196" t="s">
        <v>118</v>
      </c>
      <c r="AP196">
        <v>-65</v>
      </c>
      <c r="AQ196">
        <v>-47</v>
      </c>
      <c r="AR196">
        <v>0</v>
      </c>
      <c r="AZ196">
        <v>1200</v>
      </c>
      <c r="BA196">
        <v>1</v>
      </c>
      <c r="BB196" t="str">
        <f>"N9217B _"</f>
        <v>N9217B _</v>
      </c>
      <c r="BC196">
        <v>1</v>
      </c>
      <c r="BE196">
        <v>0</v>
      </c>
      <c r="BF196">
        <v>0</v>
      </c>
      <c r="BG196">
        <v>0</v>
      </c>
      <c r="BH196">
        <v>8700</v>
      </c>
      <c r="BI196">
        <v>1</v>
      </c>
      <c r="BJ196">
        <v>0</v>
      </c>
      <c r="BK196">
        <v>0</v>
      </c>
      <c r="BL196">
        <v>0</v>
      </c>
      <c r="BO196">
        <v>0</v>
      </c>
      <c r="BP196">
        <v>0</v>
      </c>
      <c r="BW196" t="str">
        <f>"14:49:37.190"</f>
        <v>14:49:37.190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1</v>
      </c>
      <c r="CP196" t="s">
        <v>119</v>
      </c>
      <c r="CQ196">
        <v>296</v>
      </c>
      <c r="CR196">
        <v>0</v>
      </c>
      <c r="CW196">
        <v>14717915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1</v>
      </c>
    </row>
    <row r="197" spans="1:113" x14ac:dyDescent="0.25">
      <c r="A197" t="str">
        <f>"06/05/2020 14:49:32.874"</f>
        <v>06/05/2020 14:49:32.874</v>
      </c>
      <c r="C197" t="str">
        <f t="shared" si="103"/>
        <v>FFDFD3C0</v>
      </c>
      <c r="D197" t="s">
        <v>141</v>
      </c>
      <c r="E197">
        <v>20</v>
      </c>
      <c r="F197">
        <v>1020</v>
      </c>
      <c r="G197" t="s">
        <v>114</v>
      </c>
      <c r="J197" t="s">
        <v>142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"14:49:38.203"</f>
        <v>14:49:38.203</v>
      </c>
      <c r="T197" t="str">
        <f>"14:49:37.503"</f>
        <v>14:49:37.503</v>
      </c>
      <c r="U197" t="str">
        <f t="shared" si="119"/>
        <v>ACC530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1</v>
      </c>
      <c r="AH197">
        <v>0</v>
      </c>
      <c r="AI197" t="s">
        <v>219</v>
      </c>
      <c r="AJ197">
        <v>34.240929999999999</v>
      </c>
      <c r="AK197" t="s">
        <v>220</v>
      </c>
      <c r="AL197">
        <v>-116.888244</v>
      </c>
      <c r="AM197">
        <v>100</v>
      </c>
      <c r="AN197">
        <v>8600</v>
      </c>
      <c r="AO197" t="s">
        <v>118</v>
      </c>
      <c r="AP197">
        <v>-66</v>
      </c>
      <c r="AQ197">
        <v>-46</v>
      </c>
      <c r="AR197">
        <v>384</v>
      </c>
      <c r="AZ197">
        <v>1200</v>
      </c>
      <c r="BA197">
        <v>1</v>
      </c>
      <c r="BB197" t="str">
        <f t="shared" ref="BB197:BB260" si="120">"N9217B  "</f>
        <v xml:space="preserve">N9217B  </v>
      </c>
      <c r="BC197">
        <v>1</v>
      </c>
      <c r="BE197">
        <v>0</v>
      </c>
      <c r="BF197">
        <v>0</v>
      </c>
      <c r="BG197">
        <v>0</v>
      </c>
      <c r="BH197">
        <v>8700</v>
      </c>
      <c r="BI197">
        <v>1</v>
      </c>
      <c r="BJ197">
        <v>0</v>
      </c>
      <c r="BK197">
        <v>0</v>
      </c>
      <c r="BL197">
        <v>0</v>
      </c>
      <c r="BO197">
        <v>0</v>
      </c>
      <c r="BP197">
        <v>0</v>
      </c>
      <c r="BW197" t="str">
        <f>"14:49:38.209"</f>
        <v>14:49:38.209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2</v>
      </c>
      <c r="CP197" t="s">
        <v>119</v>
      </c>
      <c r="CQ197">
        <v>285</v>
      </c>
      <c r="CR197">
        <v>0</v>
      </c>
      <c r="CW197">
        <v>8837323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25">
      <c r="A198" t="str">
        <f>"06/05/2020 14:49:32.874"</f>
        <v>06/05/2020 14:49:32.874</v>
      </c>
      <c r="C198" t="str">
        <f t="shared" si="103"/>
        <v>FFDFD3C0</v>
      </c>
      <c r="D198" t="s">
        <v>151</v>
      </c>
      <c r="E198">
        <v>9</v>
      </c>
      <c r="H198">
        <v>226</v>
      </c>
      <c r="I198" t="s">
        <v>152</v>
      </c>
      <c r="J198" t="s">
        <v>150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"14:49:38.203"</f>
        <v>14:49:38.203</v>
      </c>
      <c r="T198" t="str">
        <f>"14:49:37.503"</f>
        <v>14:49:37.503</v>
      </c>
      <c r="U198" t="str">
        <f t="shared" si="119"/>
        <v>ACC530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1</v>
      </c>
      <c r="AH198">
        <v>0</v>
      </c>
      <c r="AI198" t="s">
        <v>219</v>
      </c>
      <c r="AJ198">
        <v>34.240929999999999</v>
      </c>
      <c r="AK198" t="s">
        <v>220</v>
      </c>
      <c r="AL198">
        <v>-116.888244</v>
      </c>
      <c r="AM198">
        <v>100</v>
      </c>
      <c r="AN198">
        <v>8600</v>
      </c>
      <c r="AO198" t="s">
        <v>118</v>
      </c>
      <c r="AP198">
        <v>-66</v>
      </c>
      <c r="AQ198">
        <v>-46</v>
      </c>
      <c r="AR198">
        <v>384</v>
      </c>
      <c r="AZ198">
        <v>1200</v>
      </c>
      <c r="BA198">
        <v>1</v>
      </c>
      <c r="BB198" t="str">
        <f t="shared" si="120"/>
        <v xml:space="preserve">N9217B  </v>
      </c>
      <c r="BC198">
        <v>1</v>
      </c>
      <c r="BE198">
        <v>0</v>
      </c>
      <c r="BF198">
        <v>0</v>
      </c>
      <c r="BG198">
        <v>0</v>
      </c>
      <c r="BH198">
        <v>8700</v>
      </c>
      <c r="BI198">
        <v>1</v>
      </c>
      <c r="BJ198">
        <v>0</v>
      </c>
      <c r="BK198">
        <v>0</v>
      </c>
      <c r="BL198">
        <v>0</v>
      </c>
      <c r="BO198">
        <v>0</v>
      </c>
      <c r="BP198">
        <v>0</v>
      </c>
      <c r="BW198" t="str">
        <f>"14:49:38.209"</f>
        <v>14:49:38.209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2</v>
      </c>
      <c r="CP198" t="s">
        <v>119</v>
      </c>
      <c r="CQ198">
        <v>285</v>
      </c>
      <c r="CR198">
        <v>0</v>
      </c>
      <c r="CW198">
        <v>8837323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25">
      <c r="A199" t="str">
        <f>"06/05/2020 14:49:32.874"</f>
        <v>06/05/2020 14:49:32.874</v>
      </c>
      <c r="C199" t="str">
        <f t="shared" si="103"/>
        <v>FFDFD3C0</v>
      </c>
      <c r="D199" t="s">
        <v>148</v>
      </c>
      <c r="E199">
        <v>8</v>
      </c>
      <c r="H199">
        <v>50</v>
      </c>
      <c r="I199" t="s">
        <v>149</v>
      </c>
      <c r="J199" t="s">
        <v>150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"14:49:38.203"</f>
        <v>14:49:38.203</v>
      </c>
      <c r="T199" t="str">
        <f>"14:49:37.503"</f>
        <v>14:49:37.503</v>
      </c>
      <c r="U199" t="str">
        <f t="shared" si="119"/>
        <v>ACC530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1</v>
      </c>
      <c r="AH199">
        <v>0</v>
      </c>
      <c r="AI199" t="s">
        <v>219</v>
      </c>
      <c r="AJ199">
        <v>34.240929999999999</v>
      </c>
      <c r="AK199" t="s">
        <v>220</v>
      </c>
      <c r="AL199">
        <v>-116.888244</v>
      </c>
      <c r="AM199">
        <v>100</v>
      </c>
      <c r="AN199">
        <v>8600</v>
      </c>
      <c r="AO199" t="s">
        <v>118</v>
      </c>
      <c r="AP199">
        <v>-66</v>
      </c>
      <c r="AQ199">
        <v>-46</v>
      </c>
      <c r="AR199">
        <v>384</v>
      </c>
      <c r="AZ199">
        <v>1200</v>
      </c>
      <c r="BA199">
        <v>1</v>
      </c>
      <c r="BB199" t="str">
        <f t="shared" si="120"/>
        <v xml:space="preserve">N9217B  </v>
      </c>
      <c r="BC199">
        <v>1</v>
      </c>
      <c r="BE199">
        <v>0</v>
      </c>
      <c r="BF199">
        <v>0</v>
      </c>
      <c r="BG199">
        <v>0</v>
      </c>
      <c r="BH199">
        <v>8700</v>
      </c>
      <c r="BI199">
        <v>1</v>
      </c>
      <c r="BJ199">
        <v>0</v>
      </c>
      <c r="BK199">
        <v>0</v>
      </c>
      <c r="BL199">
        <v>0</v>
      </c>
      <c r="BO199">
        <v>0</v>
      </c>
      <c r="BP199">
        <v>0</v>
      </c>
      <c r="BW199" t="str">
        <f>"14:49:38.209"</f>
        <v>14:49:38.209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2</v>
      </c>
      <c r="CP199" t="s">
        <v>119</v>
      </c>
      <c r="CQ199">
        <v>285</v>
      </c>
      <c r="CR199">
        <v>0</v>
      </c>
      <c r="CW199">
        <v>8837323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25">
      <c r="A200" t="str">
        <f>"06/05/2020 14:49:32.874"</f>
        <v>06/05/2020 14:49:32.874</v>
      </c>
      <c r="C200" t="str">
        <f t="shared" si="103"/>
        <v>FFDFD3C0</v>
      </c>
      <c r="D200" t="s">
        <v>134</v>
      </c>
      <c r="E200">
        <v>7</v>
      </c>
      <c r="F200">
        <v>2007</v>
      </c>
      <c r="G200" t="s">
        <v>135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"14:49:38.203"</f>
        <v>14:49:38.203</v>
      </c>
      <c r="T200" t="str">
        <f>"14:49:37.503"</f>
        <v>14:49:37.503</v>
      </c>
      <c r="U200" t="str">
        <f t="shared" si="119"/>
        <v>ACC530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1</v>
      </c>
      <c r="AH200">
        <v>0</v>
      </c>
      <c r="AI200" t="s">
        <v>219</v>
      </c>
      <c r="AJ200">
        <v>34.240929999999999</v>
      </c>
      <c r="AK200" t="s">
        <v>220</v>
      </c>
      <c r="AL200">
        <v>-116.888244</v>
      </c>
      <c r="AM200">
        <v>100</v>
      </c>
      <c r="AN200">
        <v>8600</v>
      </c>
      <c r="AO200" t="s">
        <v>118</v>
      </c>
      <c r="AP200">
        <v>-66</v>
      </c>
      <c r="AQ200">
        <v>-46</v>
      </c>
      <c r="AR200">
        <v>384</v>
      </c>
      <c r="AZ200">
        <v>1200</v>
      </c>
      <c r="BA200">
        <v>1</v>
      </c>
      <c r="BB200" t="str">
        <f t="shared" si="120"/>
        <v xml:space="preserve">N9217B  </v>
      </c>
      <c r="BC200">
        <v>1</v>
      </c>
      <c r="BE200">
        <v>0</v>
      </c>
      <c r="BF200">
        <v>0</v>
      </c>
      <c r="BG200">
        <v>0</v>
      </c>
      <c r="BH200">
        <v>8700</v>
      </c>
      <c r="BI200">
        <v>1</v>
      </c>
      <c r="BJ200">
        <v>0</v>
      </c>
      <c r="BK200">
        <v>0</v>
      </c>
      <c r="BL200">
        <v>0</v>
      </c>
      <c r="BO200">
        <v>0</v>
      </c>
      <c r="BP200">
        <v>0</v>
      </c>
      <c r="BW200" t="str">
        <f>"14:49:38.209"</f>
        <v>14:49:38.209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2</v>
      </c>
      <c r="CP200" t="s">
        <v>119</v>
      </c>
      <c r="CQ200">
        <v>285</v>
      </c>
      <c r="CR200">
        <v>0</v>
      </c>
      <c r="CW200">
        <v>8837323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25">
      <c r="A201" t="str">
        <f>"06/05/2020 14:49:32.874"</f>
        <v>06/05/2020 14:49:32.874</v>
      </c>
      <c r="C201" t="str">
        <f t="shared" si="103"/>
        <v>FFDFD3C0</v>
      </c>
      <c r="D201" t="s">
        <v>113</v>
      </c>
      <c r="E201">
        <v>3</v>
      </c>
      <c r="H201">
        <v>166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"14:49:38.203"</f>
        <v>14:49:38.203</v>
      </c>
      <c r="T201" t="str">
        <f>"14:49:37.503"</f>
        <v>14:49:37.503</v>
      </c>
      <c r="U201" t="str">
        <f t="shared" si="119"/>
        <v>ACC530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1</v>
      </c>
      <c r="AH201">
        <v>0</v>
      </c>
      <c r="AI201" t="s">
        <v>219</v>
      </c>
      <c r="AJ201">
        <v>34.240929999999999</v>
      </c>
      <c r="AK201" t="s">
        <v>220</v>
      </c>
      <c r="AL201">
        <v>-116.888244</v>
      </c>
      <c r="AM201">
        <v>100</v>
      </c>
      <c r="AN201">
        <v>8600</v>
      </c>
      <c r="AO201" t="s">
        <v>118</v>
      </c>
      <c r="AP201">
        <v>-66</v>
      </c>
      <c r="AQ201">
        <v>-46</v>
      </c>
      <c r="AR201">
        <v>384</v>
      </c>
      <c r="AZ201">
        <v>1200</v>
      </c>
      <c r="BA201">
        <v>1</v>
      </c>
      <c r="BB201" t="str">
        <f t="shared" si="120"/>
        <v xml:space="preserve">N9217B  </v>
      </c>
      <c r="BC201">
        <v>1</v>
      </c>
      <c r="BE201">
        <v>0</v>
      </c>
      <c r="BF201">
        <v>0</v>
      </c>
      <c r="BG201">
        <v>0</v>
      </c>
      <c r="BH201">
        <v>8700</v>
      </c>
      <c r="BI201">
        <v>1</v>
      </c>
      <c r="BJ201">
        <v>0</v>
      </c>
      <c r="BK201">
        <v>0</v>
      </c>
      <c r="BL201">
        <v>0</v>
      </c>
      <c r="BO201">
        <v>0</v>
      </c>
      <c r="BP201">
        <v>0</v>
      </c>
      <c r="BW201" t="str">
        <f>"14:49:38.209"</f>
        <v>14:49:38.209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2</v>
      </c>
      <c r="CP201" t="s">
        <v>119</v>
      </c>
      <c r="CQ201">
        <v>285</v>
      </c>
      <c r="CR201">
        <v>0</v>
      </c>
      <c r="CW201">
        <v>8837323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25">
      <c r="A202" t="str">
        <f t="shared" ref="A202:A207" si="121">"06/05/2020 14:49:34.509"</f>
        <v>06/05/2020 14:49:34.509</v>
      </c>
      <c r="C202" t="str">
        <f t="shared" si="103"/>
        <v>FFDFD3C0</v>
      </c>
      <c r="D202" t="s">
        <v>143</v>
      </c>
      <c r="E202">
        <v>10</v>
      </c>
      <c r="F202">
        <v>3010</v>
      </c>
      <c r="G202" t="s">
        <v>144</v>
      </c>
      <c r="J202" t="s">
        <v>145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"14:49:40.156"</f>
        <v>14:49:40.156</v>
      </c>
      <c r="T202" t="str">
        <f>"14:49:40.156"</f>
        <v>14:49:40.156</v>
      </c>
      <c r="U202" t="str">
        <f t="shared" si="119"/>
        <v>ACC530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1</v>
      </c>
      <c r="AH202">
        <v>0</v>
      </c>
      <c r="AI202" t="s">
        <v>221</v>
      </c>
      <c r="AJ202">
        <v>34.240521999999999</v>
      </c>
      <c r="AK202" t="s">
        <v>222</v>
      </c>
      <c r="AL202">
        <v>-116.888974</v>
      </c>
      <c r="AM202">
        <v>100</v>
      </c>
      <c r="AN202">
        <v>8600</v>
      </c>
      <c r="AO202" t="s">
        <v>118</v>
      </c>
      <c r="AP202">
        <v>-69</v>
      </c>
      <c r="AQ202">
        <v>-46</v>
      </c>
      <c r="AR202">
        <v>576</v>
      </c>
      <c r="AZ202">
        <v>1200</v>
      </c>
      <c r="BA202">
        <v>1</v>
      </c>
      <c r="BB202" t="str">
        <f t="shared" si="120"/>
        <v xml:space="preserve">N9217B  </v>
      </c>
      <c r="BC202">
        <v>1</v>
      </c>
      <c r="BE202">
        <v>0</v>
      </c>
      <c r="BF202">
        <v>0</v>
      </c>
      <c r="BG202">
        <v>0</v>
      </c>
      <c r="BH202">
        <v>8725</v>
      </c>
      <c r="BI202">
        <v>1</v>
      </c>
      <c r="BJ202">
        <v>0</v>
      </c>
      <c r="BK202">
        <v>0</v>
      </c>
      <c r="BL202">
        <v>0</v>
      </c>
      <c r="BO202">
        <v>0</v>
      </c>
      <c r="BP202">
        <v>0</v>
      </c>
      <c r="BW202" t="str">
        <f t="shared" ref="BW202:BW207" si="122">"14:49:40.159"</f>
        <v>14:49:40.159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5</v>
      </c>
      <c r="CP202" t="s">
        <v>119</v>
      </c>
      <c r="CQ202">
        <v>295</v>
      </c>
      <c r="CR202">
        <v>2</v>
      </c>
      <c r="CW202">
        <v>12418668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25">
      <c r="A203" t="str">
        <f t="shared" si="121"/>
        <v>06/05/2020 14:49:34.509</v>
      </c>
      <c r="C203" t="str">
        <f t="shared" si="103"/>
        <v>FFDFD3C0</v>
      </c>
      <c r="D203" t="s">
        <v>151</v>
      </c>
      <c r="E203">
        <v>9</v>
      </c>
      <c r="H203">
        <v>226</v>
      </c>
      <c r="I203" t="s">
        <v>152</v>
      </c>
      <c r="J203" t="s">
        <v>150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"14:49:40.156"</f>
        <v>14:49:40.156</v>
      </c>
      <c r="T203" t="str">
        <f>"14:49:39.656"</f>
        <v>14:49:39.656</v>
      </c>
      <c r="U203" t="str">
        <f t="shared" si="119"/>
        <v>ACC530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1</v>
      </c>
      <c r="AH203">
        <v>0</v>
      </c>
      <c r="AI203" t="s">
        <v>221</v>
      </c>
      <c r="AJ203">
        <v>34.240521999999999</v>
      </c>
      <c r="AK203" t="s">
        <v>222</v>
      </c>
      <c r="AL203">
        <v>-116.888974</v>
      </c>
      <c r="AM203">
        <v>100</v>
      </c>
      <c r="AN203">
        <v>8600</v>
      </c>
      <c r="AO203" t="s">
        <v>118</v>
      </c>
      <c r="AP203">
        <v>-69</v>
      </c>
      <c r="AQ203">
        <v>-45</v>
      </c>
      <c r="AR203">
        <v>448</v>
      </c>
      <c r="AZ203">
        <v>1200</v>
      </c>
      <c r="BA203">
        <v>1</v>
      </c>
      <c r="BB203" t="str">
        <f t="shared" si="120"/>
        <v xml:space="preserve">N9217B  </v>
      </c>
      <c r="BC203">
        <v>1</v>
      </c>
      <c r="BE203">
        <v>0</v>
      </c>
      <c r="BF203">
        <v>0</v>
      </c>
      <c r="BG203">
        <v>0</v>
      </c>
      <c r="BH203">
        <v>8725</v>
      </c>
      <c r="BI203">
        <v>1</v>
      </c>
      <c r="BJ203">
        <v>0</v>
      </c>
      <c r="BK203">
        <v>0</v>
      </c>
      <c r="BL203">
        <v>0</v>
      </c>
      <c r="BO203">
        <v>0</v>
      </c>
      <c r="BP203">
        <v>0</v>
      </c>
      <c r="BW203" t="str">
        <f t="shared" si="122"/>
        <v>14:49:40.159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2</v>
      </c>
      <c r="CP203" t="s">
        <v>119</v>
      </c>
      <c r="CQ203">
        <v>285</v>
      </c>
      <c r="CR203">
        <v>0</v>
      </c>
      <c r="CW203">
        <v>8837500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25">
      <c r="A204" t="str">
        <f t="shared" si="121"/>
        <v>06/05/2020 14:49:34.509</v>
      </c>
      <c r="C204" t="str">
        <f t="shared" si="103"/>
        <v>FFDFD3C0</v>
      </c>
      <c r="D204" t="s">
        <v>148</v>
      </c>
      <c r="E204">
        <v>8</v>
      </c>
      <c r="H204">
        <v>50</v>
      </c>
      <c r="I204" t="s">
        <v>149</v>
      </c>
      <c r="J204" t="s">
        <v>150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"14:49:40.156"</f>
        <v>14:49:40.156</v>
      </c>
      <c r="T204" t="str">
        <f>"14:49:40.156"</f>
        <v>14:49:40.156</v>
      </c>
      <c r="U204" t="str">
        <f t="shared" si="119"/>
        <v>ACC530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1</v>
      </c>
      <c r="AH204">
        <v>0</v>
      </c>
      <c r="AI204" t="s">
        <v>221</v>
      </c>
      <c r="AJ204">
        <v>34.240521999999999</v>
      </c>
      <c r="AK204" t="s">
        <v>222</v>
      </c>
      <c r="AL204">
        <v>-116.888974</v>
      </c>
      <c r="AM204">
        <v>100</v>
      </c>
      <c r="AN204">
        <v>8600</v>
      </c>
      <c r="AO204" t="s">
        <v>118</v>
      </c>
      <c r="AP204">
        <v>-69</v>
      </c>
      <c r="AQ204">
        <v>-46</v>
      </c>
      <c r="AR204">
        <v>576</v>
      </c>
      <c r="AZ204">
        <v>1200</v>
      </c>
      <c r="BA204">
        <v>1</v>
      </c>
      <c r="BB204" t="str">
        <f t="shared" si="120"/>
        <v xml:space="preserve">N9217B  </v>
      </c>
      <c r="BC204">
        <v>1</v>
      </c>
      <c r="BE204">
        <v>0</v>
      </c>
      <c r="BF204">
        <v>0</v>
      </c>
      <c r="BG204">
        <v>0</v>
      </c>
      <c r="BH204">
        <v>8725</v>
      </c>
      <c r="BI204">
        <v>1</v>
      </c>
      <c r="BJ204">
        <v>0</v>
      </c>
      <c r="BK204">
        <v>0</v>
      </c>
      <c r="BL204">
        <v>0</v>
      </c>
      <c r="BO204">
        <v>0</v>
      </c>
      <c r="BP204">
        <v>0</v>
      </c>
      <c r="BW204" t="str">
        <f t="shared" si="122"/>
        <v>14:49:40.159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5</v>
      </c>
      <c r="CP204" t="s">
        <v>119</v>
      </c>
      <c r="CQ204">
        <v>295</v>
      </c>
      <c r="CR204">
        <v>2</v>
      </c>
      <c r="CW204">
        <v>12418668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25">
      <c r="A205" t="str">
        <f t="shared" si="121"/>
        <v>06/05/2020 14:49:34.509</v>
      </c>
      <c r="C205" t="str">
        <f t="shared" si="103"/>
        <v>FFDFD3C0</v>
      </c>
      <c r="D205" t="s">
        <v>134</v>
      </c>
      <c r="E205">
        <v>7</v>
      </c>
      <c r="F205">
        <v>2007</v>
      </c>
      <c r="G205" t="s">
        <v>135</v>
      </c>
      <c r="J205" t="s">
        <v>136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"14:49:40.156"</f>
        <v>14:49:40.156</v>
      </c>
      <c r="T205" t="str">
        <f>"14:49:40.156"</f>
        <v>14:49:40.156</v>
      </c>
      <c r="U205" t="str">
        <f t="shared" si="119"/>
        <v>ACC530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1</v>
      </c>
      <c r="AH205">
        <v>0</v>
      </c>
      <c r="AI205" t="s">
        <v>221</v>
      </c>
      <c r="AJ205">
        <v>34.240521999999999</v>
      </c>
      <c r="AK205" t="s">
        <v>222</v>
      </c>
      <c r="AL205">
        <v>-116.888974</v>
      </c>
      <c r="AM205">
        <v>100</v>
      </c>
      <c r="AN205">
        <v>8600</v>
      </c>
      <c r="AO205" t="s">
        <v>118</v>
      </c>
      <c r="AP205">
        <v>-69</v>
      </c>
      <c r="AQ205">
        <v>-46</v>
      </c>
      <c r="AR205">
        <v>576</v>
      </c>
      <c r="AZ205">
        <v>1200</v>
      </c>
      <c r="BA205">
        <v>1</v>
      </c>
      <c r="BB205" t="str">
        <f t="shared" si="120"/>
        <v xml:space="preserve">N9217B  </v>
      </c>
      <c r="BC205">
        <v>1</v>
      </c>
      <c r="BE205">
        <v>0</v>
      </c>
      <c r="BF205">
        <v>0</v>
      </c>
      <c r="BG205">
        <v>0</v>
      </c>
      <c r="BH205">
        <v>8725</v>
      </c>
      <c r="BI205">
        <v>1</v>
      </c>
      <c r="BJ205">
        <v>0</v>
      </c>
      <c r="BK205">
        <v>0</v>
      </c>
      <c r="BL205">
        <v>0</v>
      </c>
      <c r="BO205">
        <v>0</v>
      </c>
      <c r="BP205">
        <v>0</v>
      </c>
      <c r="BW205" t="str">
        <f t="shared" si="122"/>
        <v>14:49:40.159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5</v>
      </c>
      <c r="CP205" t="s">
        <v>119</v>
      </c>
      <c r="CQ205">
        <v>295</v>
      </c>
      <c r="CR205">
        <v>2</v>
      </c>
      <c r="CW205">
        <v>12418668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25">
      <c r="A206" t="str">
        <f t="shared" si="121"/>
        <v>06/05/2020 14:49:34.509</v>
      </c>
      <c r="C206" t="str">
        <f t="shared" si="103"/>
        <v>FFDFD3C0</v>
      </c>
      <c r="D206" t="s">
        <v>113</v>
      </c>
      <c r="E206">
        <v>3</v>
      </c>
      <c r="H206">
        <v>166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"14:49:40.156"</f>
        <v>14:49:40.156</v>
      </c>
      <c r="T206" t="str">
        <f>"14:49:40.156"</f>
        <v>14:49:40.156</v>
      </c>
      <c r="U206" t="str">
        <f t="shared" si="119"/>
        <v>ACC530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1</v>
      </c>
      <c r="AH206">
        <v>0</v>
      </c>
      <c r="AI206" t="s">
        <v>221</v>
      </c>
      <c r="AJ206">
        <v>34.240521999999999</v>
      </c>
      <c r="AK206" t="s">
        <v>222</v>
      </c>
      <c r="AL206">
        <v>-116.888974</v>
      </c>
      <c r="AM206">
        <v>100</v>
      </c>
      <c r="AN206">
        <v>8600</v>
      </c>
      <c r="AO206" t="s">
        <v>118</v>
      </c>
      <c r="AP206">
        <v>-69</v>
      </c>
      <c r="AQ206">
        <v>-46</v>
      </c>
      <c r="AR206">
        <v>576</v>
      </c>
      <c r="AZ206">
        <v>1200</v>
      </c>
      <c r="BA206">
        <v>1</v>
      </c>
      <c r="BB206" t="str">
        <f t="shared" si="120"/>
        <v xml:space="preserve">N9217B  </v>
      </c>
      <c r="BC206">
        <v>1</v>
      </c>
      <c r="BE206">
        <v>0</v>
      </c>
      <c r="BF206">
        <v>0</v>
      </c>
      <c r="BG206">
        <v>0</v>
      </c>
      <c r="BH206">
        <v>8725</v>
      </c>
      <c r="BI206">
        <v>1</v>
      </c>
      <c r="BJ206">
        <v>0</v>
      </c>
      <c r="BK206">
        <v>0</v>
      </c>
      <c r="BL206">
        <v>0</v>
      </c>
      <c r="BO206">
        <v>0</v>
      </c>
      <c r="BP206">
        <v>0</v>
      </c>
      <c r="BW206" t="str">
        <f t="shared" si="122"/>
        <v>14:49:40.159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5</v>
      </c>
      <c r="CP206" t="s">
        <v>119</v>
      </c>
      <c r="CQ206">
        <v>295</v>
      </c>
      <c r="CR206">
        <v>2</v>
      </c>
      <c r="CW206">
        <v>12418668</v>
      </c>
      <c r="CY206">
        <v>0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25">
      <c r="A207" t="str">
        <f t="shared" si="121"/>
        <v>06/05/2020 14:49:34.509</v>
      </c>
      <c r="C207" t="str">
        <f t="shared" si="103"/>
        <v>FFDFD3C0</v>
      </c>
      <c r="D207" t="s">
        <v>141</v>
      </c>
      <c r="E207">
        <v>20</v>
      </c>
      <c r="F207">
        <v>1020</v>
      </c>
      <c r="G207" t="s">
        <v>114</v>
      </c>
      <c r="J207" t="s">
        <v>142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"14:49:40.156"</f>
        <v>14:49:40.156</v>
      </c>
      <c r="T207" t="str">
        <f>"14:49:40.156"</f>
        <v>14:49:40.156</v>
      </c>
      <c r="U207" t="str">
        <f t="shared" si="119"/>
        <v>ACC530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1</v>
      </c>
      <c r="AH207">
        <v>0</v>
      </c>
      <c r="AI207" t="s">
        <v>221</v>
      </c>
      <c r="AJ207">
        <v>34.240521999999999</v>
      </c>
      <c r="AK207" t="s">
        <v>222</v>
      </c>
      <c r="AL207">
        <v>-116.888974</v>
      </c>
      <c r="AM207">
        <v>100</v>
      </c>
      <c r="AN207">
        <v>8600</v>
      </c>
      <c r="AO207" t="s">
        <v>118</v>
      </c>
      <c r="AP207">
        <v>-69</v>
      </c>
      <c r="AQ207">
        <v>-46</v>
      </c>
      <c r="AR207">
        <v>576</v>
      </c>
      <c r="AZ207">
        <v>1200</v>
      </c>
      <c r="BA207">
        <v>1</v>
      </c>
      <c r="BB207" t="str">
        <f t="shared" si="120"/>
        <v xml:space="preserve">N9217B  </v>
      </c>
      <c r="BC207">
        <v>1</v>
      </c>
      <c r="BE207">
        <v>0</v>
      </c>
      <c r="BF207">
        <v>0</v>
      </c>
      <c r="BG207">
        <v>0</v>
      </c>
      <c r="BH207">
        <v>8725</v>
      </c>
      <c r="BI207">
        <v>1</v>
      </c>
      <c r="BJ207">
        <v>0</v>
      </c>
      <c r="BK207">
        <v>0</v>
      </c>
      <c r="BL207">
        <v>0</v>
      </c>
      <c r="BO207">
        <v>0</v>
      </c>
      <c r="BP207">
        <v>0</v>
      </c>
      <c r="BW207" t="str">
        <f t="shared" si="122"/>
        <v>14:49:40.159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5</v>
      </c>
      <c r="CP207" t="s">
        <v>119</v>
      </c>
      <c r="CQ207">
        <v>295</v>
      </c>
      <c r="CR207">
        <v>2</v>
      </c>
      <c r="CW207">
        <v>12418668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25">
      <c r="A208" t="str">
        <f t="shared" ref="A208:A213" si="123">"06/05/2020 14:49:35.527"</f>
        <v>06/05/2020 14:49:35.527</v>
      </c>
      <c r="C208" t="str">
        <f t="shared" si="103"/>
        <v>FFDFD3C0</v>
      </c>
      <c r="D208" t="s">
        <v>148</v>
      </c>
      <c r="E208">
        <v>8</v>
      </c>
      <c r="H208">
        <v>50</v>
      </c>
      <c r="I208" t="s">
        <v>149</v>
      </c>
      <c r="J208" t="s">
        <v>150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ref="S208:S213" si="124">"14:49:41.172"</f>
        <v>14:49:41.172</v>
      </c>
      <c r="T208" t="str">
        <f t="shared" ref="T208:T213" si="125">"14:49:40.972"</f>
        <v>14:49:40.972</v>
      </c>
      <c r="U208" t="str">
        <f t="shared" si="119"/>
        <v>ACC530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1</v>
      </c>
      <c r="AH208">
        <v>0</v>
      </c>
      <c r="AI208" t="s">
        <v>223</v>
      </c>
      <c r="AJ208">
        <v>34.240307999999999</v>
      </c>
      <c r="AK208" t="s">
        <v>224</v>
      </c>
      <c r="AL208">
        <v>-116.88931700000001</v>
      </c>
      <c r="AM208">
        <v>100</v>
      </c>
      <c r="AN208">
        <v>8700</v>
      </c>
      <c r="AO208" t="s">
        <v>118</v>
      </c>
      <c r="AP208">
        <v>-70</v>
      </c>
      <c r="AQ208">
        <v>-46</v>
      </c>
      <c r="AR208">
        <v>512</v>
      </c>
      <c r="AZ208">
        <v>1200</v>
      </c>
      <c r="BA208">
        <v>1</v>
      </c>
      <c r="BB208" t="str">
        <f t="shared" si="120"/>
        <v xml:space="preserve">N9217B  </v>
      </c>
      <c r="BC208">
        <v>1</v>
      </c>
      <c r="BE208">
        <v>0</v>
      </c>
      <c r="BF208">
        <v>0</v>
      </c>
      <c r="BG208">
        <v>0</v>
      </c>
      <c r="BH208">
        <v>8725</v>
      </c>
      <c r="BI208">
        <v>1</v>
      </c>
      <c r="BJ208">
        <v>0</v>
      </c>
      <c r="BK208">
        <v>0</v>
      </c>
      <c r="BL208">
        <v>0</v>
      </c>
      <c r="BO208">
        <v>0</v>
      </c>
      <c r="BP208">
        <v>0</v>
      </c>
      <c r="BW208" t="str">
        <f t="shared" ref="BW208:BW213" si="126">"14:49:41.179"</f>
        <v>14:49:41.179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5</v>
      </c>
      <c r="CP208" t="s">
        <v>119</v>
      </c>
      <c r="CQ208">
        <v>295</v>
      </c>
      <c r="CR208">
        <v>1</v>
      </c>
      <c r="CW208">
        <v>12418777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25">
      <c r="A209" t="str">
        <f t="shared" si="123"/>
        <v>06/05/2020 14:49:35.527</v>
      </c>
      <c r="C209" t="str">
        <f t="shared" si="103"/>
        <v>FFDFD3C0</v>
      </c>
      <c r="D209" t="s">
        <v>113</v>
      </c>
      <c r="E209">
        <v>3</v>
      </c>
      <c r="H209">
        <v>166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24"/>
        <v>14:49:41.172</v>
      </c>
      <c r="T209" t="str">
        <f t="shared" si="125"/>
        <v>14:49:40.972</v>
      </c>
      <c r="U209" t="str">
        <f t="shared" si="119"/>
        <v>ACC530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1</v>
      </c>
      <c r="AH209">
        <v>0</v>
      </c>
      <c r="AI209" t="s">
        <v>223</v>
      </c>
      <c r="AJ209">
        <v>34.240307999999999</v>
      </c>
      <c r="AK209" t="s">
        <v>224</v>
      </c>
      <c r="AL209">
        <v>-116.88931700000001</v>
      </c>
      <c r="AM209">
        <v>100</v>
      </c>
      <c r="AN209">
        <v>8700</v>
      </c>
      <c r="AO209" t="s">
        <v>118</v>
      </c>
      <c r="AP209">
        <v>-70</v>
      </c>
      <c r="AQ209">
        <v>-46</v>
      </c>
      <c r="AR209">
        <v>512</v>
      </c>
      <c r="AZ209">
        <v>1200</v>
      </c>
      <c r="BA209">
        <v>1</v>
      </c>
      <c r="BB209" t="str">
        <f t="shared" si="120"/>
        <v xml:space="preserve">N9217B  </v>
      </c>
      <c r="BC209">
        <v>1</v>
      </c>
      <c r="BE209">
        <v>0</v>
      </c>
      <c r="BF209">
        <v>0</v>
      </c>
      <c r="BG209">
        <v>0</v>
      </c>
      <c r="BH209">
        <v>8725</v>
      </c>
      <c r="BI209">
        <v>1</v>
      </c>
      <c r="BJ209">
        <v>0</v>
      </c>
      <c r="BK209">
        <v>0</v>
      </c>
      <c r="BL209">
        <v>0</v>
      </c>
      <c r="BO209">
        <v>0</v>
      </c>
      <c r="BP209">
        <v>0</v>
      </c>
      <c r="BW209" t="str">
        <f t="shared" si="126"/>
        <v>14:49:41.179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5</v>
      </c>
      <c r="CP209" t="s">
        <v>119</v>
      </c>
      <c r="CQ209">
        <v>295</v>
      </c>
      <c r="CR209">
        <v>1</v>
      </c>
      <c r="CW209">
        <v>12418777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25">
      <c r="A210" t="str">
        <f t="shared" si="123"/>
        <v>06/05/2020 14:49:35.527</v>
      </c>
      <c r="C210" t="str">
        <f t="shared" si="103"/>
        <v>FFDFD3C0</v>
      </c>
      <c r="D210" t="s">
        <v>141</v>
      </c>
      <c r="E210">
        <v>20</v>
      </c>
      <c r="F210">
        <v>1020</v>
      </c>
      <c r="G210" t="s">
        <v>114</v>
      </c>
      <c r="J210" t="s">
        <v>142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24"/>
        <v>14:49:41.172</v>
      </c>
      <c r="T210" t="str">
        <f t="shared" si="125"/>
        <v>14:49:40.972</v>
      </c>
      <c r="U210" t="str">
        <f t="shared" si="119"/>
        <v>ACC530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1</v>
      </c>
      <c r="AH210">
        <v>0</v>
      </c>
      <c r="AI210" t="s">
        <v>223</v>
      </c>
      <c r="AJ210">
        <v>34.240307999999999</v>
      </c>
      <c r="AK210" t="s">
        <v>224</v>
      </c>
      <c r="AL210">
        <v>-116.88931700000001</v>
      </c>
      <c r="AM210">
        <v>100</v>
      </c>
      <c r="AN210">
        <v>8700</v>
      </c>
      <c r="AO210" t="s">
        <v>118</v>
      </c>
      <c r="AP210">
        <v>-70</v>
      </c>
      <c r="AQ210">
        <v>-46</v>
      </c>
      <c r="AR210">
        <v>512</v>
      </c>
      <c r="AZ210">
        <v>1200</v>
      </c>
      <c r="BA210">
        <v>1</v>
      </c>
      <c r="BB210" t="str">
        <f t="shared" si="120"/>
        <v xml:space="preserve">N9217B  </v>
      </c>
      <c r="BC210">
        <v>1</v>
      </c>
      <c r="BE210">
        <v>0</v>
      </c>
      <c r="BF210">
        <v>0</v>
      </c>
      <c r="BG210">
        <v>0</v>
      </c>
      <c r="BH210">
        <v>8725</v>
      </c>
      <c r="BI210">
        <v>1</v>
      </c>
      <c r="BJ210">
        <v>0</v>
      </c>
      <c r="BK210">
        <v>0</v>
      </c>
      <c r="BL210">
        <v>0</v>
      </c>
      <c r="BO210">
        <v>0</v>
      </c>
      <c r="BP210">
        <v>0</v>
      </c>
      <c r="BW210" t="str">
        <f t="shared" si="126"/>
        <v>14:49:41.179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5</v>
      </c>
      <c r="CP210" t="s">
        <v>119</v>
      </c>
      <c r="CQ210">
        <v>295</v>
      </c>
      <c r="CR210">
        <v>1</v>
      </c>
      <c r="CW210">
        <v>12418777</v>
      </c>
      <c r="CY210">
        <v>0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25">
      <c r="A211" t="str">
        <f t="shared" si="123"/>
        <v>06/05/2020 14:49:35.527</v>
      </c>
      <c r="C211" t="str">
        <f t="shared" si="103"/>
        <v>FFDFD3C0</v>
      </c>
      <c r="D211" t="s">
        <v>151</v>
      </c>
      <c r="E211">
        <v>9</v>
      </c>
      <c r="H211">
        <v>226</v>
      </c>
      <c r="I211" t="s">
        <v>152</v>
      </c>
      <c r="J211" t="s">
        <v>150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24"/>
        <v>14:49:41.172</v>
      </c>
      <c r="T211" t="str">
        <f t="shared" si="125"/>
        <v>14:49:40.972</v>
      </c>
      <c r="U211" t="str">
        <f t="shared" si="119"/>
        <v>ACC530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1</v>
      </c>
      <c r="AH211">
        <v>0</v>
      </c>
      <c r="AI211" t="s">
        <v>223</v>
      </c>
      <c r="AJ211">
        <v>34.240307999999999</v>
      </c>
      <c r="AK211" t="s">
        <v>224</v>
      </c>
      <c r="AL211">
        <v>-116.88931700000001</v>
      </c>
      <c r="AM211">
        <v>100</v>
      </c>
      <c r="AN211">
        <v>8700</v>
      </c>
      <c r="AO211" t="s">
        <v>118</v>
      </c>
      <c r="AP211">
        <v>-70</v>
      </c>
      <c r="AQ211">
        <v>-46</v>
      </c>
      <c r="AR211">
        <v>512</v>
      </c>
      <c r="AZ211">
        <v>1200</v>
      </c>
      <c r="BA211">
        <v>1</v>
      </c>
      <c r="BB211" t="str">
        <f t="shared" si="120"/>
        <v xml:space="preserve">N9217B  </v>
      </c>
      <c r="BC211">
        <v>1</v>
      </c>
      <c r="BE211">
        <v>0</v>
      </c>
      <c r="BF211">
        <v>0</v>
      </c>
      <c r="BG211">
        <v>0</v>
      </c>
      <c r="BH211">
        <v>8725</v>
      </c>
      <c r="BI211">
        <v>1</v>
      </c>
      <c r="BJ211">
        <v>0</v>
      </c>
      <c r="BK211">
        <v>0</v>
      </c>
      <c r="BL211">
        <v>0</v>
      </c>
      <c r="BO211">
        <v>0</v>
      </c>
      <c r="BP211">
        <v>0</v>
      </c>
      <c r="BW211" t="str">
        <f t="shared" si="126"/>
        <v>14:49:41.179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2</v>
      </c>
      <c r="CP211" t="s">
        <v>119</v>
      </c>
      <c r="CQ211">
        <v>285</v>
      </c>
      <c r="CR211">
        <v>3</v>
      </c>
      <c r="CW211">
        <v>8837591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25">
      <c r="A212" t="str">
        <f t="shared" si="123"/>
        <v>06/05/2020 14:49:35.527</v>
      </c>
      <c r="C212" t="str">
        <f t="shared" si="103"/>
        <v>FFDFD3C0</v>
      </c>
      <c r="D212" t="s">
        <v>143</v>
      </c>
      <c r="E212">
        <v>10</v>
      </c>
      <c r="F212">
        <v>3010</v>
      </c>
      <c r="G212" t="s">
        <v>144</v>
      </c>
      <c r="J212" t="s">
        <v>145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24"/>
        <v>14:49:41.172</v>
      </c>
      <c r="T212" t="str">
        <f t="shared" si="125"/>
        <v>14:49:40.972</v>
      </c>
      <c r="U212" t="str">
        <f t="shared" si="119"/>
        <v>ACC530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1</v>
      </c>
      <c r="AH212">
        <v>0</v>
      </c>
      <c r="AI212" t="s">
        <v>223</v>
      </c>
      <c r="AJ212">
        <v>34.240307999999999</v>
      </c>
      <c r="AK212" t="s">
        <v>224</v>
      </c>
      <c r="AL212">
        <v>-116.88931700000001</v>
      </c>
      <c r="AM212">
        <v>100</v>
      </c>
      <c r="AN212">
        <v>8700</v>
      </c>
      <c r="AO212" t="s">
        <v>118</v>
      </c>
      <c r="AP212">
        <v>-70</v>
      </c>
      <c r="AQ212">
        <v>-46</v>
      </c>
      <c r="AR212">
        <v>512</v>
      </c>
      <c r="AZ212">
        <v>1200</v>
      </c>
      <c r="BA212">
        <v>1</v>
      </c>
      <c r="BB212" t="str">
        <f t="shared" si="120"/>
        <v xml:space="preserve">N9217B  </v>
      </c>
      <c r="BC212">
        <v>1</v>
      </c>
      <c r="BE212">
        <v>0</v>
      </c>
      <c r="BF212">
        <v>0</v>
      </c>
      <c r="BG212">
        <v>0</v>
      </c>
      <c r="BH212">
        <v>8725</v>
      </c>
      <c r="BI212">
        <v>1</v>
      </c>
      <c r="BJ212">
        <v>0</v>
      </c>
      <c r="BK212">
        <v>0</v>
      </c>
      <c r="BL212">
        <v>0</v>
      </c>
      <c r="BO212">
        <v>0</v>
      </c>
      <c r="BP212">
        <v>0</v>
      </c>
      <c r="BW212" t="str">
        <f t="shared" si="126"/>
        <v>14:49:41.179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5</v>
      </c>
      <c r="CP212" t="s">
        <v>119</v>
      </c>
      <c r="CQ212">
        <v>295</v>
      </c>
      <c r="CR212">
        <v>1</v>
      </c>
      <c r="CW212">
        <v>12418777</v>
      </c>
      <c r="CY212">
        <v>0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25">
      <c r="A213" t="str">
        <f t="shared" si="123"/>
        <v>06/05/2020 14:49:35.527</v>
      </c>
      <c r="C213" t="str">
        <f t="shared" si="103"/>
        <v>FFDFD3C0</v>
      </c>
      <c r="D213" t="s">
        <v>134</v>
      </c>
      <c r="E213">
        <v>7</v>
      </c>
      <c r="F213">
        <v>2007</v>
      </c>
      <c r="G213" t="s">
        <v>135</v>
      </c>
      <c r="J213" t="s">
        <v>136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24"/>
        <v>14:49:41.172</v>
      </c>
      <c r="T213" t="str">
        <f t="shared" si="125"/>
        <v>14:49:40.972</v>
      </c>
      <c r="U213" t="str">
        <f t="shared" si="119"/>
        <v>ACC530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1</v>
      </c>
      <c r="AH213">
        <v>0</v>
      </c>
      <c r="AI213" t="s">
        <v>223</v>
      </c>
      <c r="AJ213">
        <v>34.240307999999999</v>
      </c>
      <c r="AK213" t="s">
        <v>224</v>
      </c>
      <c r="AL213">
        <v>-116.88931700000001</v>
      </c>
      <c r="AM213">
        <v>100</v>
      </c>
      <c r="AN213">
        <v>8700</v>
      </c>
      <c r="AO213" t="s">
        <v>118</v>
      </c>
      <c r="AP213">
        <v>-70</v>
      </c>
      <c r="AQ213">
        <v>-46</v>
      </c>
      <c r="AR213">
        <v>512</v>
      </c>
      <c r="AZ213">
        <v>1200</v>
      </c>
      <c r="BA213">
        <v>1</v>
      </c>
      <c r="BB213" t="str">
        <f t="shared" si="120"/>
        <v xml:space="preserve">N9217B  </v>
      </c>
      <c r="BC213">
        <v>1</v>
      </c>
      <c r="BE213">
        <v>0</v>
      </c>
      <c r="BF213">
        <v>0</v>
      </c>
      <c r="BG213">
        <v>0</v>
      </c>
      <c r="BH213">
        <v>8725</v>
      </c>
      <c r="BI213">
        <v>1</v>
      </c>
      <c r="BJ213">
        <v>0</v>
      </c>
      <c r="BK213">
        <v>0</v>
      </c>
      <c r="BL213">
        <v>0</v>
      </c>
      <c r="BO213">
        <v>0</v>
      </c>
      <c r="BP213">
        <v>0</v>
      </c>
      <c r="BW213" t="str">
        <f t="shared" si="126"/>
        <v>14:49:41.179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5</v>
      </c>
      <c r="CP213" t="s">
        <v>119</v>
      </c>
      <c r="CQ213">
        <v>295</v>
      </c>
      <c r="CR213">
        <v>1</v>
      </c>
      <c r="CW213">
        <v>12418777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25">
      <c r="A214" t="str">
        <f t="shared" ref="A214:A219" si="127">"06/05/2020 14:49:36.620"</f>
        <v>06/05/2020 14:49:36.620</v>
      </c>
      <c r="C214" t="str">
        <f t="shared" si="103"/>
        <v>FFDFD3C0</v>
      </c>
      <c r="D214" t="s">
        <v>143</v>
      </c>
      <c r="E214">
        <v>10</v>
      </c>
      <c r="F214">
        <v>3010</v>
      </c>
      <c r="G214" t="s">
        <v>144</v>
      </c>
      <c r="J214" t="s">
        <v>145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ref="S214:S219" si="128">"14:49:42.227"</f>
        <v>14:49:42.227</v>
      </c>
      <c r="T214" t="str">
        <f>"14:49:42.027"</f>
        <v>14:49:42.027</v>
      </c>
      <c r="U214" t="str">
        <f t="shared" si="119"/>
        <v>ACC530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1</v>
      </c>
      <c r="AH214">
        <v>0</v>
      </c>
      <c r="AI214" t="s">
        <v>225</v>
      </c>
      <c r="AJ214">
        <v>34.240093000000002</v>
      </c>
      <c r="AK214" t="s">
        <v>226</v>
      </c>
      <c r="AL214">
        <v>-116.889725</v>
      </c>
      <c r="AM214">
        <v>100</v>
      </c>
      <c r="AN214">
        <v>8700</v>
      </c>
      <c r="AO214" t="s">
        <v>118</v>
      </c>
      <c r="AP214">
        <v>-70</v>
      </c>
      <c r="AQ214">
        <v>-46</v>
      </c>
      <c r="AR214">
        <v>576</v>
      </c>
      <c r="AZ214">
        <v>1200</v>
      </c>
      <c r="BA214">
        <v>1</v>
      </c>
      <c r="BB214" t="str">
        <f t="shared" si="120"/>
        <v xml:space="preserve">N9217B  </v>
      </c>
      <c r="BC214">
        <v>1</v>
      </c>
      <c r="BE214">
        <v>0</v>
      </c>
      <c r="BF214">
        <v>0</v>
      </c>
      <c r="BG214">
        <v>0</v>
      </c>
      <c r="BH214">
        <v>8850</v>
      </c>
      <c r="BI214">
        <v>1</v>
      </c>
      <c r="BJ214">
        <v>0</v>
      </c>
      <c r="BK214">
        <v>0</v>
      </c>
      <c r="BL214">
        <v>0</v>
      </c>
      <c r="BO214">
        <v>0</v>
      </c>
      <c r="BP214">
        <v>0</v>
      </c>
      <c r="BW214" t="str">
        <f t="shared" ref="BW214:BW219" si="129">"14:49:42.229"</f>
        <v>14:49:42.229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5</v>
      </c>
      <c r="CP214" t="s">
        <v>119</v>
      </c>
      <c r="CQ214">
        <v>295</v>
      </c>
      <c r="CR214">
        <v>1</v>
      </c>
      <c r="CW214">
        <v>12418880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25">
      <c r="A215" t="str">
        <f t="shared" si="127"/>
        <v>06/05/2020 14:49:36.620</v>
      </c>
      <c r="C215" t="str">
        <f t="shared" si="103"/>
        <v>FFDFD3C0</v>
      </c>
      <c r="D215" t="s">
        <v>151</v>
      </c>
      <c r="E215">
        <v>9</v>
      </c>
      <c r="H215">
        <v>226</v>
      </c>
      <c r="I215" t="s">
        <v>152</v>
      </c>
      <c r="J215" t="s">
        <v>150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28"/>
        <v>14:49:42.227</v>
      </c>
      <c r="T215" t="str">
        <f>"14:49:41.527"</f>
        <v>14:49:41.527</v>
      </c>
      <c r="U215" t="str">
        <f t="shared" si="119"/>
        <v>ACC530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1</v>
      </c>
      <c r="AH215">
        <v>0</v>
      </c>
      <c r="AI215" t="s">
        <v>225</v>
      </c>
      <c r="AJ215">
        <v>34.240093000000002</v>
      </c>
      <c r="AK215" t="s">
        <v>226</v>
      </c>
      <c r="AL215">
        <v>-116.889725</v>
      </c>
      <c r="AM215">
        <v>100</v>
      </c>
      <c r="AN215">
        <v>8700</v>
      </c>
      <c r="AO215" t="s">
        <v>118</v>
      </c>
      <c r="AP215">
        <v>-70</v>
      </c>
      <c r="AQ215">
        <v>-46</v>
      </c>
      <c r="AR215">
        <v>576</v>
      </c>
      <c r="AZ215">
        <v>1200</v>
      </c>
      <c r="BA215">
        <v>1</v>
      </c>
      <c r="BB215" t="str">
        <f t="shared" si="120"/>
        <v xml:space="preserve">N9217B  </v>
      </c>
      <c r="BC215">
        <v>1</v>
      </c>
      <c r="BE215">
        <v>0</v>
      </c>
      <c r="BF215">
        <v>0</v>
      </c>
      <c r="BG215">
        <v>0</v>
      </c>
      <c r="BH215">
        <v>8725</v>
      </c>
      <c r="BI215">
        <v>1</v>
      </c>
      <c r="BJ215">
        <v>0</v>
      </c>
      <c r="BK215">
        <v>0</v>
      </c>
      <c r="BL215">
        <v>0</v>
      </c>
      <c r="BO215">
        <v>0</v>
      </c>
      <c r="BP215">
        <v>0</v>
      </c>
      <c r="BW215" t="str">
        <f t="shared" si="129"/>
        <v>14:49:42.229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2</v>
      </c>
      <c r="CP215" t="s">
        <v>119</v>
      </c>
      <c r="CQ215">
        <v>285</v>
      </c>
      <c r="CR215">
        <v>0</v>
      </c>
      <c r="CW215">
        <v>8837678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25">
      <c r="A216" t="str">
        <f t="shared" si="127"/>
        <v>06/05/2020 14:49:36.620</v>
      </c>
      <c r="C216" t="str">
        <f t="shared" si="103"/>
        <v>FFDFD3C0</v>
      </c>
      <c r="D216" t="s">
        <v>134</v>
      </c>
      <c r="E216">
        <v>7</v>
      </c>
      <c r="F216">
        <v>2007</v>
      </c>
      <c r="G216" t="s">
        <v>135</v>
      </c>
      <c r="J216" t="s">
        <v>136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28"/>
        <v>14:49:42.227</v>
      </c>
      <c r="T216" t="str">
        <f>"14:49:42.027"</f>
        <v>14:49:42.027</v>
      </c>
      <c r="U216" t="str">
        <f t="shared" si="119"/>
        <v>ACC530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1</v>
      </c>
      <c r="AH216">
        <v>0</v>
      </c>
      <c r="AI216" t="s">
        <v>225</v>
      </c>
      <c r="AJ216">
        <v>34.240093000000002</v>
      </c>
      <c r="AK216" t="s">
        <v>226</v>
      </c>
      <c r="AL216">
        <v>-116.889725</v>
      </c>
      <c r="AM216">
        <v>100</v>
      </c>
      <c r="AN216">
        <v>8700</v>
      </c>
      <c r="AO216" t="s">
        <v>118</v>
      </c>
      <c r="AP216">
        <v>-70</v>
      </c>
      <c r="AQ216">
        <v>-46</v>
      </c>
      <c r="AR216">
        <v>576</v>
      </c>
      <c r="AZ216">
        <v>1200</v>
      </c>
      <c r="BA216">
        <v>1</v>
      </c>
      <c r="BB216" t="str">
        <f t="shared" si="120"/>
        <v xml:space="preserve">N9217B  </v>
      </c>
      <c r="BC216">
        <v>1</v>
      </c>
      <c r="BE216">
        <v>0</v>
      </c>
      <c r="BF216">
        <v>0</v>
      </c>
      <c r="BG216">
        <v>0</v>
      </c>
      <c r="BH216">
        <v>8850</v>
      </c>
      <c r="BI216">
        <v>1</v>
      </c>
      <c r="BJ216">
        <v>0</v>
      </c>
      <c r="BK216">
        <v>0</v>
      </c>
      <c r="BL216">
        <v>0</v>
      </c>
      <c r="BO216">
        <v>0</v>
      </c>
      <c r="BP216">
        <v>0</v>
      </c>
      <c r="BW216" t="str">
        <f t="shared" si="129"/>
        <v>14:49:42.229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5</v>
      </c>
      <c r="CP216" t="s">
        <v>119</v>
      </c>
      <c r="CQ216">
        <v>295</v>
      </c>
      <c r="CR216">
        <v>1</v>
      </c>
      <c r="CW216">
        <v>12418880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25">
      <c r="A217" t="str">
        <f t="shared" si="127"/>
        <v>06/05/2020 14:49:36.620</v>
      </c>
      <c r="C217" t="str">
        <f t="shared" si="103"/>
        <v>FFDFD3C0</v>
      </c>
      <c r="D217" t="s">
        <v>148</v>
      </c>
      <c r="E217">
        <v>8</v>
      </c>
      <c r="H217">
        <v>50</v>
      </c>
      <c r="I217" t="s">
        <v>149</v>
      </c>
      <c r="J217" t="s">
        <v>150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28"/>
        <v>14:49:42.227</v>
      </c>
      <c r="T217" t="str">
        <f>"14:49:42.027"</f>
        <v>14:49:42.027</v>
      </c>
      <c r="U217" t="str">
        <f t="shared" si="119"/>
        <v>ACC530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1</v>
      </c>
      <c r="AH217">
        <v>0</v>
      </c>
      <c r="AI217" t="s">
        <v>225</v>
      </c>
      <c r="AJ217">
        <v>34.240093000000002</v>
      </c>
      <c r="AK217" t="s">
        <v>226</v>
      </c>
      <c r="AL217">
        <v>-116.889725</v>
      </c>
      <c r="AM217">
        <v>100</v>
      </c>
      <c r="AN217">
        <v>8700</v>
      </c>
      <c r="AO217" t="s">
        <v>118</v>
      </c>
      <c r="AP217">
        <v>-70</v>
      </c>
      <c r="AQ217">
        <v>-46</v>
      </c>
      <c r="AR217">
        <v>576</v>
      </c>
      <c r="AZ217">
        <v>1200</v>
      </c>
      <c r="BA217">
        <v>1</v>
      </c>
      <c r="BB217" t="str">
        <f t="shared" si="120"/>
        <v xml:space="preserve">N9217B  </v>
      </c>
      <c r="BC217">
        <v>1</v>
      </c>
      <c r="BE217">
        <v>0</v>
      </c>
      <c r="BF217">
        <v>0</v>
      </c>
      <c r="BG217">
        <v>0</v>
      </c>
      <c r="BH217">
        <v>8850</v>
      </c>
      <c r="BI217">
        <v>1</v>
      </c>
      <c r="BJ217">
        <v>0</v>
      </c>
      <c r="BK217">
        <v>0</v>
      </c>
      <c r="BL217">
        <v>0</v>
      </c>
      <c r="BO217">
        <v>0</v>
      </c>
      <c r="BP217">
        <v>0</v>
      </c>
      <c r="BW217" t="str">
        <f t="shared" si="129"/>
        <v>14:49:42.229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5</v>
      </c>
      <c r="CP217" t="s">
        <v>119</v>
      </c>
      <c r="CQ217">
        <v>295</v>
      </c>
      <c r="CR217">
        <v>1</v>
      </c>
      <c r="CW217">
        <v>12418880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25">
      <c r="A218" t="str">
        <f t="shared" si="127"/>
        <v>06/05/2020 14:49:36.620</v>
      </c>
      <c r="C218" t="str">
        <f t="shared" si="103"/>
        <v>FFDFD3C0</v>
      </c>
      <c r="D218" t="s">
        <v>113</v>
      </c>
      <c r="E218">
        <v>3</v>
      </c>
      <c r="H218">
        <v>166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28"/>
        <v>14:49:42.227</v>
      </c>
      <c r="T218" t="str">
        <f>"14:49:42.027"</f>
        <v>14:49:42.027</v>
      </c>
      <c r="U218" t="str">
        <f t="shared" si="119"/>
        <v>ACC530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1</v>
      </c>
      <c r="AH218">
        <v>0</v>
      </c>
      <c r="AI218" t="s">
        <v>225</v>
      </c>
      <c r="AJ218">
        <v>34.240093000000002</v>
      </c>
      <c r="AK218" t="s">
        <v>226</v>
      </c>
      <c r="AL218">
        <v>-116.889725</v>
      </c>
      <c r="AM218">
        <v>100</v>
      </c>
      <c r="AN218">
        <v>8700</v>
      </c>
      <c r="AO218" t="s">
        <v>118</v>
      </c>
      <c r="AP218">
        <v>-70</v>
      </c>
      <c r="AQ218">
        <v>-46</v>
      </c>
      <c r="AR218">
        <v>576</v>
      </c>
      <c r="AZ218">
        <v>1200</v>
      </c>
      <c r="BA218">
        <v>1</v>
      </c>
      <c r="BB218" t="str">
        <f t="shared" si="120"/>
        <v xml:space="preserve">N9217B  </v>
      </c>
      <c r="BC218">
        <v>1</v>
      </c>
      <c r="BE218">
        <v>0</v>
      </c>
      <c r="BF218">
        <v>0</v>
      </c>
      <c r="BG218">
        <v>0</v>
      </c>
      <c r="BH218">
        <v>8850</v>
      </c>
      <c r="BI218">
        <v>1</v>
      </c>
      <c r="BJ218">
        <v>0</v>
      </c>
      <c r="BK218">
        <v>0</v>
      </c>
      <c r="BL218">
        <v>0</v>
      </c>
      <c r="BO218">
        <v>0</v>
      </c>
      <c r="BP218">
        <v>0</v>
      </c>
      <c r="BW218" t="str">
        <f t="shared" si="129"/>
        <v>14:49:42.229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5</v>
      </c>
      <c r="CP218" t="s">
        <v>119</v>
      </c>
      <c r="CQ218">
        <v>295</v>
      </c>
      <c r="CR218">
        <v>1</v>
      </c>
      <c r="CW218">
        <v>12418880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25">
      <c r="A219" t="str">
        <f t="shared" si="127"/>
        <v>06/05/2020 14:49:36.620</v>
      </c>
      <c r="C219" t="str">
        <f t="shared" si="103"/>
        <v>FFDFD3C0</v>
      </c>
      <c r="D219" t="s">
        <v>141</v>
      </c>
      <c r="E219">
        <v>20</v>
      </c>
      <c r="F219">
        <v>1020</v>
      </c>
      <c r="G219" t="s">
        <v>114</v>
      </c>
      <c r="J219" t="s">
        <v>142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28"/>
        <v>14:49:42.227</v>
      </c>
      <c r="T219" t="str">
        <f>"14:49:42.027"</f>
        <v>14:49:42.027</v>
      </c>
      <c r="U219" t="str">
        <f t="shared" si="119"/>
        <v>ACC530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1</v>
      </c>
      <c r="AH219">
        <v>0</v>
      </c>
      <c r="AI219" t="s">
        <v>225</v>
      </c>
      <c r="AJ219">
        <v>34.240093000000002</v>
      </c>
      <c r="AK219" t="s">
        <v>226</v>
      </c>
      <c r="AL219">
        <v>-116.889725</v>
      </c>
      <c r="AM219">
        <v>100</v>
      </c>
      <c r="AN219">
        <v>8700</v>
      </c>
      <c r="AO219" t="s">
        <v>118</v>
      </c>
      <c r="AP219">
        <v>-70</v>
      </c>
      <c r="AQ219">
        <v>-46</v>
      </c>
      <c r="AR219">
        <v>576</v>
      </c>
      <c r="AZ219">
        <v>1200</v>
      </c>
      <c r="BA219">
        <v>1</v>
      </c>
      <c r="BB219" t="str">
        <f t="shared" si="120"/>
        <v xml:space="preserve">N9217B  </v>
      </c>
      <c r="BC219">
        <v>1</v>
      </c>
      <c r="BE219">
        <v>0</v>
      </c>
      <c r="BF219">
        <v>0</v>
      </c>
      <c r="BG219">
        <v>0</v>
      </c>
      <c r="BH219">
        <v>8850</v>
      </c>
      <c r="BI219">
        <v>1</v>
      </c>
      <c r="BJ219">
        <v>0</v>
      </c>
      <c r="BK219">
        <v>0</v>
      </c>
      <c r="BL219">
        <v>0</v>
      </c>
      <c r="BO219">
        <v>0</v>
      </c>
      <c r="BP219">
        <v>0</v>
      </c>
      <c r="BW219" t="str">
        <f t="shared" si="129"/>
        <v>14:49:42.229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5</v>
      </c>
      <c r="CP219" t="s">
        <v>119</v>
      </c>
      <c r="CQ219">
        <v>295</v>
      </c>
      <c r="CR219">
        <v>1</v>
      </c>
      <c r="CW219">
        <v>12418880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25">
      <c r="A220" t="str">
        <f t="shared" ref="A220:A225" si="130">"06/05/2020 14:49:37.675"</f>
        <v>06/05/2020 14:49:37.675</v>
      </c>
      <c r="C220" t="str">
        <f t="shared" si="103"/>
        <v>FFDFD3C0</v>
      </c>
      <c r="D220" t="s">
        <v>143</v>
      </c>
      <c r="E220">
        <v>10</v>
      </c>
      <c r="F220">
        <v>3010</v>
      </c>
      <c r="G220" t="s">
        <v>144</v>
      </c>
      <c r="J220" t="s">
        <v>145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ref="S220:S225" si="131">"14:49:43.320"</f>
        <v>14:49:43.320</v>
      </c>
      <c r="T220" t="str">
        <f t="shared" ref="T220:T225" si="132">"14:49:43.020"</f>
        <v>14:49:43.020</v>
      </c>
      <c r="U220" t="str">
        <f t="shared" si="119"/>
        <v>ACC530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1</v>
      </c>
      <c r="AH220">
        <v>0</v>
      </c>
      <c r="AI220" t="s">
        <v>227</v>
      </c>
      <c r="AJ220">
        <v>34.239857000000001</v>
      </c>
      <c r="AK220" t="s">
        <v>228</v>
      </c>
      <c r="AL220">
        <v>-116.890218</v>
      </c>
      <c r="AM220">
        <v>100</v>
      </c>
      <c r="AN220">
        <v>8700</v>
      </c>
      <c r="AO220" t="s">
        <v>118</v>
      </c>
      <c r="AP220">
        <v>-70</v>
      </c>
      <c r="AQ220">
        <v>-47</v>
      </c>
      <c r="AR220">
        <v>448</v>
      </c>
      <c r="AZ220">
        <v>1200</v>
      </c>
      <c r="BA220">
        <v>1</v>
      </c>
      <c r="BB220" t="str">
        <f t="shared" si="120"/>
        <v xml:space="preserve">N9217B  </v>
      </c>
      <c r="BC220">
        <v>1</v>
      </c>
      <c r="BE220">
        <v>0</v>
      </c>
      <c r="BF220">
        <v>0</v>
      </c>
      <c r="BG220">
        <v>0</v>
      </c>
      <c r="BH220">
        <v>8750</v>
      </c>
      <c r="BI220">
        <v>1</v>
      </c>
      <c r="BJ220">
        <v>0</v>
      </c>
      <c r="BK220">
        <v>0</v>
      </c>
      <c r="BL220">
        <v>0</v>
      </c>
      <c r="BO220">
        <v>0</v>
      </c>
      <c r="BP220">
        <v>0</v>
      </c>
      <c r="BW220" t="str">
        <f t="shared" ref="BW220:BW225" si="133">"14:49:43.324"</f>
        <v>14:49:43.324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5</v>
      </c>
      <c r="CP220" t="s">
        <v>119</v>
      </c>
      <c r="CQ220">
        <v>295</v>
      </c>
      <c r="CR220">
        <v>1</v>
      </c>
      <c r="CW220">
        <v>12418991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25">
      <c r="A221" t="str">
        <f t="shared" si="130"/>
        <v>06/05/2020 14:49:37.675</v>
      </c>
      <c r="C221" t="str">
        <f t="shared" si="103"/>
        <v>FFDFD3C0</v>
      </c>
      <c r="D221" t="s">
        <v>151</v>
      </c>
      <c r="E221">
        <v>9</v>
      </c>
      <c r="H221">
        <v>226</v>
      </c>
      <c r="I221" t="s">
        <v>152</v>
      </c>
      <c r="J221" t="s">
        <v>150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31"/>
        <v>14:49:43.320</v>
      </c>
      <c r="T221" t="str">
        <f t="shared" si="132"/>
        <v>14:49:43.020</v>
      </c>
      <c r="U221" t="str">
        <f t="shared" si="119"/>
        <v>ACC530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1</v>
      </c>
      <c r="AH221">
        <v>0</v>
      </c>
      <c r="AI221" t="s">
        <v>227</v>
      </c>
      <c r="AJ221">
        <v>34.239857000000001</v>
      </c>
      <c r="AK221" t="s">
        <v>228</v>
      </c>
      <c r="AL221">
        <v>-116.890218</v>
      </c>
      <c r="AM221">
        <v>100</v>
      </c>
      <c r="AN221">
        <v>8700</v>
      </c>
      <c r="AO221" t="s">
        <v>118</v>
      </c>
      <c r="AP221">
        <v>-70</v>
      </c>
      <c r="AQ221">
        <v>-47</v>
      </c>
      <c r="AR221">
        <v>448</v>
      </c>
      <c r="AZ221">
        <v>1200</v>
      </c>
      <c r="BA221">
        <v>1</v>
      </c>
      <c r="BB221" t="str">
        <f t="shared" si="120"/>
        <v xml:space="preserve">N9217B  </v>
      </c>
      <c r="BC221">
        <v>1</v>
      </c>
      <c r="BE221">
        <v>0</v>
      </c>
      <c r="BF221">
        <v>0</v>
      </c>
      <c r="BG221">
        <v>0</v>
      </c>
      <c r="BH221">
        <v>8750</v>
      </c>
      <c r="BI221">
        <v>1</v>
      </c>
      <c r="BJ221">
        <v>0</v>
      </c>
      <c r="BK221">
        <v>0</v>
      </c>
      <c r="BL221">
        <v>0</v>
      </c>
      <c r="BO221">
        <v>0</v>
      </c>
      <c r="BP221">
        <v>0</v>
      </c>
      <c r="BW221" t="str">
        <f t="shared" si="133"/>
        <v>14:49:43.324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2</v>
      </c>
      <c r="CP221" t="s">
        <v>119</v>
      </c>
      <c r="CQ221">
        <v>285</v>
      </c>
      <c r="CR221">
        <v>3</v>
      </c>
      <c r="CW221">
        <v>8837771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25">
      <c r="A222" t="str">
        <f t="shared" si="130"/>
        <v>06/05/2020 14:49:37.675</v>
      </c>
      <c r="C222" t="str">
        <f t="shared" si="103"/>
        <v>FFDFD3C0</v>
      </c>
      <c r="D222" t="s">
        <v>134</v>
      </c>
      <c r="E222">
        <v>7</v>
      </c>
      <c r="F222">
        <v>2007</v>
      </c>
      <c r="G222" t="s">
        <v>135</v>
      </c>
      <c r="J222" t="s">
        <v>136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31"/>
        <v>14:49:43.320</v>
      </c>
      <c r="T222" t="str">
        <f t="shared" si="132"/>
        <v>14:49:43.020</v>
      </c>
      <c r="U222" t="str">
        <f t="shared" si="119"/>
        <v>ACC530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1</v>
      </c>
      <c r="AH222">
        <v>0</v>
      </c>
      <c r="AI222" t="s">
        <v>227</v>
      </c>
      <c r="AJ222">
        <v>34.239857000000001</v>
      </c>
      <c r="AK222" t="s">
        <v>228</v>
      </c>
      <c r="AL222">
        <v>-116.890218</v>
      </c>
      <c r="AM222">
        <v>100</v>
      </c>
      <c r="AN222">
        <v>8700</v>
      </c>
      <c r="AO222" t="s">
        <v>118</v>
      </c>
      <c r="AP222">
        <v>-70</v>
      </c>
      <c r="AQ222">
        <v>-47</v>
      </c>
      <c r="AR222">
        <v>448</v>
      </c>
      <c r="AZ222">
        <v>1200</v>
      </c>
      <c r="BA222">
        <v>1</v>
      </c>
      <c r="BB222" t="str">
        <f t="shared" si="120"/>
        <v xml:space="preserve">N9217B  </v>
      </c>
      <c r="BC222">
        <v>1</v>
      </c>
      <c r="BE222">
        <v>0</v>
      </c>
      <c r="BF222">
        <v>0</v>
      </c>
      <c r="BG222">
        <v>0</v>
      </c>
      <c r="BH222">
        <v>8750</v>
      </c>
      <c r="BI222">
        <v>1</v>
      </c>
      <c r="BJ222">
        <v>0</v>
      </c>
      <c r="BK222">
        <v>0</v>
      </c>
      <c r="BL222">
        <v>0</v>
      </c>
      <c r="BO222">
        <v>0</v>
      </c>
      <c r="BP222">
        <v>0</v>
      </c>
      <c r="BW222" t="str">
        <f t="shared" si="133"/>
        <v>14:49:43.324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5</v>
      </c>
      <c r="CP222" t="s">
        <v>119</v>
      </c>
      <c r="CQ222">
        <v>295</v>
      </c>
      <c r="CR222">
        <v>1</v>
      </c>
      <c r="CW222">
        <v>12418991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25">
      <c r="A223" t="str">
        <f t="shared" si="130"/>
        <v>06/05/2020 14:49:37.675</v>
      </c>
      <c r="C223" t="str">
        <f t="shared" si="103"/>
        <v>FFDFD3C0</v>
      </c>
      <c r="D223" t="s">
        <v>148</v>
      </c>
      <c r="E223">
        <v>8</v>
      </c>
      <c r="H223">
        <v>50</v>
      </c>
      <c r="I223" t="s">
        <v>149</v>
      </c>
      <c r="J223" t="s">
        <v>150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31"/>
        <v>14:49:43.320</v>
      </c>
      <c r="T223" t="str">
        <f t="shared" si="132"/>
        <v>14:49:43.020</v>
      </c>
      <c r="U223" t="str">
        <f t="shared" si="119"/>
        <v>ACC530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1</v>
      </c>
      <c r="AH223">
        <v>0</v>
      </c>
      <c r="AI223" t="s">
        <v>227</v>
      </c>
      <c r="AJ223">
        <v>34.239857000000001</v>
      </c>
      <c r="AK223" t="s">
        <v>228</v>
      </c>
      <c r="AL223">
        <v>-116.890218</v>
      </c>
      <c r="AM223">
        <v>100</v>
      </c>
      <c r="AN223">
        <v>8700</v>
      </c>
      <c r="AO223" t="s">
        <v>118</v>
      </c>
      <c r="AP223">
        <v>-70</v>
      </c>
      <c r="AQ223">
        <v>-47</v>
      </c>
      <c r="AR223">
        <v>448</v>
      </c>
      <c r="AZ223">
        <v>1200</v>
      </c>
      <c r="BA223">
        <v>1</v>
      </c>
      <c r="BB223" t="str">
        <f t="shared" si="120"/>
        <v xml:space="preserve">N9217B  </v>
      </c>
      <c r="BC223">
        <v>1</v>
      </c>
      <c r="BE223">
        <v>0</v>
      </c>
      <c r="BF223">
        <v>0</v>
      </c>
      <c r="BG223">
        <v>0</v>
      </c>
      <c r="BH223">
        <v>8750</v>
      </c>
      <c r="BI223">
        <v>1</v>
      </c>
      <c r="BJ223">
        <v>0</v>
      </c>
      <c r="BK223">
        <v>0</v>
      </c>
      <c r="BL223">
        <v>0</v>
      </c>
      <c r="BO223">
        <v>0</v>
      </c>
      <c r="BP223">
        <v>0</v>
      </c>
      <c r="BW223" t="str">
        <f t="shared" si="133"/>
        <v>14:49:43.324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5</v>
      </c>
      <c r="CP223" t="s">
        <v>119</v>
      </c>
      <c r="CQ223">
        <v>295</v>
      </c>
      <c r="CR223">
        <v>1</v>
      </c>
      <c r="CW223">
        <v>12418991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25">
      <c r="A224" t="str">
        <f t="shared" si="130"/>
        <v>06/05/2020 14:49:37.675</v>
      </c>
      <c r="C224" t="str">
        <f t="shared" si="103"/>
        <v>FFDFD3C0</v>
      </c>
      <c r="D224" t="s">
        <v>113</v>
      </c>
      <c r="E224">
        <v>3</v>
      </c>
      <c r="H224">
        <v>166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31"/>
        <v>14:49:43.320</v>
      </c>
      <c r="T224" t="str">
        <f t="shared" si="132"/>
        <v>14:49:43.020</v>
      </c>
      <c r="U224" t="str">
        <f t="shared" si="119"/>
        <v>ACC530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1</v>
      </c>
      <c r="AH224">
        <v>0</v>
      </c>
      <c r="AI224" t="s">
        <v>227</v>
      </c>
      <c r="AJ224">
        <v>34.239857000000001</v>
      </c>
      <c r="AK224" t="s">
        <v>228</v>
      </c>
      <c r="AL224">
        <v>-116.890218</v>
      </c>
      <c r="AM224">
        <v>100</v>
      </c>
      <c r="AN224">
        <v>8700</v>
      </c>
      <c r="AO224" t="s">
        <v>118</v>
      </c>
      <c r="AP224">
        <v>-70</v>
      </c>
      <c r="AQ224">
        <v>-47</v>
      </c>
      <c r="AR224">
        <v>448</v>
      </c>
      <c r="AZ224">
        <v>1200</v>
      </c>
      <c r="BA224">
        <v>1</v>
      </c>
      <c r="BB224" t="str">
        <f t="shared" si="120"/>
        <v xml:space="preserve">N9217B  </v>
      </c>
      <c r="BC224">
        <v>1</v>
      </c>
      <c r="BE224">
        <v>0</v>
      </c>
      <c r="BF224">
        <v>0</v>
      </c>
      <c r="BG224">
        <v>0</v>
      </c>
      <c r="BH224">
        <v>8750</v>
      </c>
      <c r="BI224">
        <v>1</v>
      </c>
      <c r="BJ224">
        <v>0</v>
      </c>
      <c r="BK224">
        <v>0</v>
      </c>
      <c r="BL224">
        <v>0</v>
      </c>
      <c r="BO224">
        <v>0</v>
      </c>
      <c r="BP224">
        <v>0</v>
      </c>
      <c r="BW224" t="str">
        <f t="shared" si="133"/>
        <v>14:49:43.324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5</v>
      </c>
      <c r="CP224" t="s">
        <v>119</v>
      </c>
      <c r="CQ224">
        <v>295</v>
      </c>
      <c r="CR224">
        <v>1</v>
      </c>
      <c r="CW224">
        <v>12418991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25">
      <c r="A225" t="str">
        <f t="shared" si="130"/>
        <v>06/05/2020 14:49:37.675</v>
      </c>
      <c r="C225" t="str">
        <f t="shared" si="103"/>
        <v>FFDFD3C0</v>
      </c>
      <c r="D225" t="s">
        <v>141</v>
      </c>
      <c r="E225">
        <v>20</v>
      </c>
      <c r="F225">
        <v>1020</v>
      </c>
      <c r="G225" t="s">
        <v>114</v>
      </c>
      <c r="J225" t="s">
        <v>142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31"/>
        <v>14:49:43.320</v>
      </c>
      <c r="T225" t="str">
        <f t="shared" si="132"/>
        <v>14:49:43.020</v>
      </c>
      <c r="U225" t="str">
        <f t="shared" si="119"/>
        <v>ACC530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1</v>
      </c>
      <c r="AH225">
        <v>0</v>
      </c>
      <c r="AI225" t="s">
        <v>227</v>
      </c>
      <c r="AJ225">
        <v>34.239857000000001</v>
      </c>
      <c r="AK225" t="s">
        <v>228</v>
      </c>
      <c r="AL225">
        <v>-116.890218</v>
      </c>
      <c r="AM225">
        <v>100</v>
      </c>
      <c r="AN225">
        <v>8700</v>
      </c>
      <c r="AO225" t="s">
        <v>118</v>
      </c>
      <c r="AP225">
        <v>-70</v>
      </c>
      <c r="AQ225">
        <v>-47</v>
      </c>
      <c r="AR225">
        <v>448</v>
      </c>
      <c r="AZ225">
        <v>1200</v>
      </c>
      <c r="BA225">
        <v>1</v>
      </c>
      <c r="BB225" t="str">
        <f t="shared" si="120"/>
        <v xml:space="preserve">N9217B  </v>
      </c>
      <c r="BC225">
        <v>1</v>
      </c>
      <c r="BE225">
        <v>0</v>
      </c>
      <c r="BF225">
        <v>0</v>
      </c>
      <c r="BG225">
        <v>0</v>
      </c>
      <c r="BH225">
        <v>8750</v>
      </c>
      <c r="BI225">
        <v>1</v>
      </c>
      <c r="BJ225">
        <v>0</v>
      </c>
      <c r="BK225">
        <v>0</v>
      </c>
      <c r="BL225">
        <v>0</v>
      </c>
      <c r="BO225">
        <v>0</v>
      </c>
      <c r="BP225">
        <v>0</v>
      </c>
      <c r="BW225" t="str">
        <f t="shared" si="133"/>
        <v>14:49:43.324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5</v>
      </c>
      <c r="CP225" t="s">
        <v>119</v>
      </c>
      <c r="CQ225">
        <v>295</v>
      </c>
      <c r="CR225">
        <v>1</v>
      </c>
      <c r="CW225">
        <v>12418991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25">
      <c r="A226" t="str">
        <f t="shared" ref="A226:A231" si="134">"06/05/2020 14:49:38.601"</f>
        <v>06/05/2020 14:49:38.601</v>
      </c>
      <c r="C226" t="str">
        <f t="shared" si="103"/>
        <v>FFDFD3C0</v>
      </c>
      <c r="D226" t="s">
        <v>134</v>
      </c>
      <c r="E226">
        <v>7</v>
      </c>
      <c r="F226">
        <v>2007</v>
      </c>
      <c r="G226" t="s">
        <v>135</v>
      </c>
      <c r="J226" t="s">
        <v>136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ref="S226:T231" si="135">"14:49:44.250"</f>
        <v>14:49:44.250</v>
      </c>
      <c r="T226" t="str">
        <f t="shared" si="135"/>
        <v>14:49:44.250</v>
      </c>
      <c r="U226" t="str">
        <f t="shared" si="119"/>
        <v>ACC530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1</v>
      </c>
      <c r="AH226">
        <v>0</v>
      </c>
      <c r="AI226" t="s">
        <v>229</v>
      </c>
      <c r="AJ226">
        <v>34.239643000000001</v>
      </c>
      <c r="AK226" t="s">
        <v>230</v>
      </c>
      <c r="AL226">
        <v>-116.89058300000001</v>
      </c>
      <c r="AM226">
        <v>100</v>
      </c>
      <c r="AN226">
        <v>8700</v>
      </c>
      <c r="AO226" t="s">
        <v>118</v>
      </c>
      <c r="AP226">
        <v>-70</v>
      </c>
      <c r="AQ226">
        <v>-48</v>
      </c>
      <c r="AR226">
        <v>576</v>
      </c>
      <c r="AZ226">
        <v>1200</v>
      </c>
      <c r="BA226">
        <v>1</v>
      </c>
      <c r="BB226" t="str">
        <f t="shared" si="120"/>
        <v xml:space="preserve">N9217B  </v>
      </c>
      <c r="BC226">
        <v>1</v>
      </c>
      <c r="BE226">
        <v>0</v>
      </c>
      <c r="BF226">
        <v>0</v>
      </c>
      <c r="BG226">
        <v>0</v>
      </c>
      <c r="BH226">
        <v>8775</v>
      </c>
      <c r="BI226">
        <v>1</v>
      </c>
      <c r="BJ226">
        <v>0</v>
      </c>
      <c r="BK226">
        <v>0</v>
      </c>
      <c r="BL226">
        <v>0</v>
      </c>
      <c r="BO226">
        <v>0</v>
      </c>
      <c r="BP226">
        <v>0</v>
      </c>
      <c r="BW226" t="str">
        <f t="shared" ref="BW226:BW231" si="136">"14:49:44.254"</f>
        <v>14:49:44.254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5</v>
      </c>
      <c r="CP226" t="s">
        <v>119</v>
      </c>
      <c r="CQ226">
        <v>295</v>
      </c>
      <c r="CR226">
        <v>1</v>
      </c>
      <c r="CW226">
        <v>12419085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25">
      <c r="A227" t="str">
        <f t="shared" si="134"/>
        <v>06/05/2020 14:49:38.601</v>
      </c>
      <c r="C227" t="str">
        <f t="shared" ref="C227:C290" si="137">"FFDFD3C0"</f>
        <v>FFDFD3C0</v>
      </c>
      <c r="D227" t="s">
        <v>151</v>
      </c>
      <c r="E227">
        <v>9</v>
      </c>
      <c r="H227">
        <v>226</v>
      </c>
      <c r="I227" t="s">
        <v>152</v>
      </c>
      <c r="J227" t="s">
        <v>150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35"/>
        <v>14:49:44.250</v>
      </c>
      <c r="T227" t="str">
        <f t="shared" si="135"/>
        <v>14:49:44.250</v>
      </c>
      <c r="U227" t="str">
        <f t="shared" si="119"/>
        <v>ACC530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1</v>
      </c>
      <c r="AH227">
        <v>0</v>
      </c>
      <c r="AI227" t="s">
        <v>229</v>
      </c>
      <c r="AJ227">
        <v>34.239643000000001</v>
      </c>
      <c r="AK227" t="s">
        <v>230</v>
      </c>
      <c r="AL227">
        <v>-116.89058300000001</v>
      </c>
      <c r="AM227">
        <v>100</v>
      </c>
      <c r="AN227">
        <v>8700</v>
      </c>
      <c r="AO227" t="s">
        <v>118</v>
      </c>
      <c r="AP227">
        <v>-70</v>
      </c>
      <c r="AQ227">
        <v>-48</v>
      </c>
      <c r="AR227">
        <v>576</v>
      </c>
      <c r="AZ227">
        <v>1200</v>
      </c>
      <c r="BA227">
        <v>1</v>
      </c>
      <c r="BB227" t="str">
        <f t="shared" si="120"/>
        <v xml:space="preserve">N9217B  </v>
      </c>
      <c r="BC227">
        <v>1</v>
      </c>
      <c r="BE227">
        <v>0</v>
      </c>
      <c r="BF227">
        <v>0</v>
      </c>
      <c r="BG227">
        <v>0</v>
      </c>
      <c r="BH227">
        <v>8775</v>
      </c>
      <c r="BI227">
        <v>1</v>
      </c>
      <c r="BJ227">
        <v>0</v>
      </c>
      <c r="BK227">
        <v>0</v>
      </c>
      <c r="BL227">
        <v>0</v>
      </c>
      <c r="BO227">
        <v>0</v>
      </c>
      <c r="BP227">
        <v>0</v>
      </c>
      <c r="BW227" t="str">
        <f t="shared" si="136"/>
        <v>14:49:44.254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2</v>
      </c>
      <c r="CP227" t="s">
        <v>119</v>
      </c>
      <c r="CQ227">
        <v>285</v>
      </c>
      <c r="CR227">
        <v>0</v>
      </c>
      <c r="CW227">
        <v>8837858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25">
      <c r="A228" t="str">
        <f t="shared" si="134"/>
        <v>06/05/2020 14:49:38.601</v>
      </c>
      <c r="C228" t="str">
        <f t="shared" si="137"/>
        <v>FFDFD3C0</v>
      </c>
      <c r="D228" t="s">
        <v>148</v>
      </c>
      <c r="E228">
        <v>8</v>
      </c>
      <c r="H228">
        <v>50</v>
      </c>
      <c r="I228" t="s">
        <v>149</v>
      </c>
      <c r="J228" t="s">
        <v>150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35"/>
        <v>14:49:44.250</v>
      </c>
      <c r="T228" t="str">
        <f t="shared" si="135"/>
        <v>14:49:44.250</v>
      </c>
      <c r="U228" t="str">
        <f t="shared" si="119"/>
        <v>ACC530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1</v>
      </c>
      <c r="AH228">
        <v>0</v>
      </c>
      <c r="AI228" t="s">
        <v>229</v>
      </c>
      <c r="AJ228">
        <v>34.239643000000001</v>
      </c>
      <c r="AK228" t="s">
        <v>230</v>
      </c>
      <c r="AL228">
        <v>-116.89058300000001</v>
      </c>
      <c r="AM228">
        <v>100</v>
      </c>
      <c r="AN228">
        <v>8700</v>
      </c>
      <c r="AO228" t="s">
        <v>118</v>
      </c>
      <c r="AP228">
        <v>-70</v>
      </c>
      <c r="AQ228">
        <v>-48</v>
      </c>
      <c r="AR228">
        <v>576</v>
      </c>
      <c r="AZ228">
        <v>1200</v>
      </c>
      <c r="BA228">
        <v>1</v>
      </c>
      <c r="BB228" t="str">
        <f t="shared" si="120"/>
        <v xml:space="preserve">N9217B  </v>
      </c>
      <c r="BC228">
        <v>1</v>
      </c>
      <c r="BE228">
        <v>0</v>
      </c>
      <c r="BF228">
        <v>0</v>
      </c>
      <c r="BG228">
        <v>0</v>
      </c>
      <c r="BH228">
        <v>8775</v>
      </c>
      <c r="BI228">
        <v>1</v>
      </c>
      <c r="BJ228">
        <v>0</v>
      </c>
      <c r="BK228">
        <v>0</v>
      </c>
      <c r="BL228">
        <v>0</v>
      </c>
      <c r="BO228">
        <v>0</v>
      </c>
      <c r="BP228">
        <v>0</v>
      </c>
      <c r="BW228" t="str">
        <f t="shared" si="136"/>
        <v>14:49:44.254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5</v>
      </c>
      <c r="CP228" t="s">
        <v>119</v>
      </c>
      <c r="CQ228">
        <v>295</v>
      </c>
      <c r="CR228">
        <v>1</v>
      </c>
      <c r="CW228">
        <v>12419085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25">
      <c r="A229" t="str">
        <f t="shared" si="134"/>
        <v>06/05/2020 14:49:38.601</v>
      </c>
      <c r="C229" t="str">
        <f t="shared" si="137"/>
        <v>FFDFD3C0</v>
      </c>
      <c r="D229" t="s">
        <v>113</v>
      </c>
      <c r="E229">
        <v>3</v>
      </c>
      <c r="H229">
        <v>166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35"/>
        <v>14:49:44.250</v>
      </c>
      <c r="T229" t="str">
        <f t="shared" si="135"/>
        <v>14:49:44.250</v>
      </c>
      <c r="U229" t="str">
        <f t="shared" si="119"/>
        <v>ACC530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1</v>
      </c>
      <c r="AH229">
        <v>0</v>
      </c>
      <c r="AI229" t="s">
        <v>229</v>
      </c>
      <c r="AJ229">
        <v>34.239643000000001</v>
      </c>
      <c r="AK229" t="s">
        <v>230</v>
      </c>
      <c r="AL229">
        <v>-116.89058300000001</v>
      </c>
      <c r="AM229">
        <v>100</v>
      </c>
      <c r="AN229">
        <v>8700</v>
      </c>
      <c r="AO229" t="s">
        <v>118</v>
      </c>
      <c r="AP229">
        <v>-70</v>
      </c>
      <c r="AQ229">
        <v>-48</v>
      </c>
      <c r="AR229">
        <v>576</v>
      </c>
      <c r="AZ229">
        <v>1200</v>
      </c>
      <c r="BA229">
        <v>1</v>
      </c>
      <c r="BB229" t="str">
        <f t="shared" si="120"/>
        <v xml:space="preserve">N9217B  </v>
      </c>
      <c r="BC229">
        <v>1</v>
      </c>
      <c r="BE229">
        <v>0</v>
      </c>
      <c r="BF229">
        <v>0</v>
      </c>
      <c r="BG229">
        <v>0</v>
      </c>
      <c r="BH229">
        <v>8775</v>
      </c>
      <c r="BI229">
        <v>1</v>
      </c>
      <c r="BJ229">
        <v>0</v>
      </c>
      <c r="BK229">
        <v>0</v>
      </c>
      <c r="BL229">
        <v>0</v>
      </c>
      <c r="BO229">
        <v>0</v>
      </c>
      <c r="BP229">
        <v>0</v>
      </c>
      <c r="BW229" t="str">
        <f t="shared" si="136"/>
        <v>14:49:44.254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5</v>
      </c>
      <c r="CP229" t="s">
        <v>119</v>
      </c>
      <c r="CQ229">
        <v>295</v>
      </c>
      <c r="CR229">
        <v>1</v>
      </c>
      <c r="CW229">
        <v>12419085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25">
      <c r="A230" t="str">
        <f t="shared" si="134"/>
        <v>06/05/2020 14:49:38.601</v>
      </c>
      <c r="C230" t="str">
        <f t="shared" si="137"/>
        <v>FFDFD3C0</v>
      </c>
      <c r="D230" t="s">
        <v>141</v>
      </c>
      <c r="E230">
        <v>20</v>
      </c>
      <c r="F230">
        <v>1020</v>
      </c>
      <c r="G230" t="s">
        <v>114</v>
      </c>
      <c r="J230" t="s">
        <v>142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35"/>
        <v>14:49:44.250</v>
      </c>
      <c r="T230" t="str">
        <f t="shared" si="135"/>
        <v>14:49:44.250</v>
      </c>
      <c r="U230" t="str">
        <f t="shared" si="119"/>
        <v>ACC530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1</v>
      </c>
      <c r="AH230">
        <v>0</v>
      </c>
      <c r="AI230" t="s">
        <v>229</v>
      </c>
      <c r="AJ230">
        <v>34.239643000000001</v>
      </c>
      <c r="AK230" t="s">
        <v>230</v>
      </c>
      <c r="AL230">
        <v>-116.89058300000001</v>
      </c>
      <c r="AM230">
        <v>100</v>
      </c>
      <c r="AN230">
        <v>8700</v>
      </c>
      <c r="AO230" t="s">
        <v>118</v>
      </c>
      <c r="AP230">
        <v>-70</v>
      </c>
      <c r="AQ230">
        <v>-48</v>
      </c>
      <c r="AR230">
        <v>576</v>
      </c>
      <c r="AZ230">
        <v>1200</v>
      </c>
      <c r="BA230">
        <v>1</v>
      </c>
      <c r="BB230" t="str">
        <f t="shared" si="120"/>
        <v xml:space="preserve">N9217B  </v>
      </c>
      <c r="BC230">
        <v>1</v>
      </c>
      <c r="BE230">
        <v>0</v>
      </c>
      <c r="BF230">
        <v>0</v>
      </c>
      <c r="BG230">
        <v>0</v>
      </c>
      <c r="BH230">
        <v>8775</v>
      </c>
      <c r="BI230">
        <v>1</v>
      </c>
      <c r="BJ230">
        <v>0</v>
      </c>
      <c r="BK230">
        <v>0</v>
      </c>
      <c r="BL230">
        <v>0</v>
      </c>
      <c r="BO230">
        <v>0</v>
      </c>
      <c r="BP230">
        <v>0</v>
      </c>
      <c r="BW230" t="str">
        <f t="shared" si="136"/>
        <v>14:49:44.254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5</v>
      </c>
      <c r="CP230" t="s">
        <v>119</v>
      </c>
      <c r="CQ230">
        <v>295</v>
      </c>
      <c r="CR230">
        <v>1</v>
      </c>
      <c r="CW230">
        <v>12419085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25">
      <c r="A231" t="str">
        <f t="shared" si="134"/>
        <v>06/05/2020 14:49:38.601</v>
      </c>
      <c r="C231" t="str">
        <f t="shared" si="137"/>
        <v>FFDFD3C0</v>
      </c>
      <c r="D231" t="s">
        <v>143</v>
      </c>
      <c r="E231">
        <v>10</v>
      </c>
      <c r="F231">
        <v>3010</v>
      </c>
      <c r="G231" t="s">
        <v>144</v>
      </c>
      <c r="J231" t="s">
        <v>145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35"/>
        <v>14:49:44.250</v>
      </c>
      <c r="T231" t="str">
        <f t="shared" si="135"/>
        <v>14:49:44.250</v>
      </c>
      <c r="U231" t="str">
        <f t="shared" si="119"/>
        <v>ACC530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1</v>
      </c>
      <c r="AH231">
        <v>0</v>
      </c>
      <c r="AI231" t="s">
        <v>229</v>
      </c>
      <c r="AJ231">
        <v>34.239643000000001</v>
      </c>
      <c r="AK231" t="s">
        <v>230</v>
      </c>
      <c r="AL231">
        <v>-116.89058300000001</v>
      </c>
      <c r="AM231">
        <v>100</v>
      </c>
      <c r="AN231">
        <v>8700</v>
      </c>
      <c r="AO231" t="s">
        <v>118</v>
      </c>
      <c r="AP231">
        <v>-70</v>
      </c>
      <c r="AQ231">
        <v>-48</v>
      </c>
      <c r="AR231">
        <v>576</v>
      </c>
      <c r="AZ231">
        <v>1200</v>
      </c>
      <c r="BA231">
        <v>1</v>
      </c>
      <c r="BB231" t="str">
        <f t="shared" si="120"/>
        <v xml:space="preserve">N9217B  </v>
      </c>
      <c r="BC231">
        <v>1</v>
      </c>
      <c r="BE231">
        <v>0</v>
      </c>
      <c r="BF231">
        <v>0</v>
      </c>
      <c r="BG231">
        <v>0</v>
      </c>
      <c r="BH231">
        <v>8775</v>
      </c>
      <c r="BI231">
        <v>1</v>
      </c>
      <c r="BJ231">
        <v>0</v>
      </c>
      <c r="BK231">
        <v>0</v>
      </c>
      <c r="BL231">
        <v>0</v>
      </c>
      <c r="BO231">
        <v>0</v>
      </c>
      <c r="BP231">
        <v>0</v>
      </c>
      <c r="BW231" t="str">
        <f t="shared" si="136"/>
        <v>14:49:44.254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5</v>
      </c>
      <c r="CP231" t="s">
        <v>119</v>
      </c>
      <c r="CQ231">
        <v>295</v>
      </c>
      <c r="CR231">
        <v>1</v>
      </c>
      <c r="CW231">
        <v>12419085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25">
      <c r="A232" t="str">
        <f t="shared" ref="A232:A237" si="138">"06/05/2020 14:49:39.659"</f>
        <v>06/05/2020 14:49:39.659</v>
      </c>
      <c r="C232" t="str">
        <f t="shared" si="137"/>
        <v>FFDFD3C0</v>
      </c>
      <c r="D232" t="s">
        <v>134</v>
      </c>
      <c r="E232">
        <v>7</v>
      </c>
      <c r="F232">
        <v>2007</v>
      </c>
      <c r="G232" t="s">
        <v>135</v>
      </c>
      <c r="J232" t="s">
        <v>136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ref="S232:T237" si="139">"14:49:45.297"</f>
        <v>14:49:45.297</v>
      </c>
      <c r="T232" t="str">
        <f t="shared" si="139"/>
        <v>14:49:45.297</v>
      </c>
      <c r="U232" t="str">
        <f t="shared" si="119"/>
        <v>ACC530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1</v>
      </c>
      <c r="AH232">
        <v>0</v>
      </c>
      <c r="AI232" t="s">
        <v>231</v>
      </c>
      <c r="AJ232">
        <v>34.239384999999999</v>
      </c>
      <c r="AK232" t="s">
        <v>232</v>
      </c>
      <c r="AL232">
        <v>-116.89094799999999</v>
      </c>
      <c r="AM232">
        <v>100</v>
      </c>
      <c r="AN232">
        <v>8700</v>
      </c>
      <c r="AO232" t="s">
        <v>118</v>
      </c>
      <c r="AP232">
        <v>-70</v>
      </c>
      <c r="AQ232">
        <v>-48</v>
      </c>
      <c r="AR232">
        <v>512</v>
      </c>
      <c r="AZ232">
        <v>1200</v>
      </c>
      <c r="BA232">
        <v>1</v>
      </c>
      <c r="BB232" t="str">
        <f t="shared" si="120"/>
        <v xml:space="preserve">N9217B  </v>
      </c>
      <c r="BC232">
        <v>1</v>
      </c>
      <c r="BE232">
        <v>0</v>
      </c>
      <c r="BF232">
        <v>0</v>
      </c>
      <c r="BG232">
        <v>0</v>
      </c>
      <c r="BH232">
        <v>8775</v>
      </c>
      <c r="BI232">
        <v>1</v>
      </c>
      <c r="BJ232">
        <v>0</v>
      </c>
      <c r="BK232">
        <v>0</v>
      </c>
      <c r="BL232">
        <v>0</v>
      </c>
      <c r="BO232">
        <v>0</v>
      </c>
      <c r="BP232">
        <v>0</v>
      </c>
      <c r="BW232" t="str">
        <f t="shared" ref="BW232:BW237" si="140">"14:49:45.304"</f>
        <v>14:49:45.304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5</v>
      </c>
      <c r="CP232" t="s">
        <v>119</v>
      </c>
      <c r="CQ232">
        <v>295</v>
      </c>
      <c r="CR232">
        <v>1</v>
      </c>
      <c r="CW232">
        <v>12419193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25">
      <c r="A233" t="str">
        <f t="shared" si="138"/>
        <v>06/05/2020 14:49:39.659</v>
      </c>
      <c r="C233" t="str">
        <f t="shared" si="137"/>
        <v>FFDFD3C0</v>
      </c>
      <c r="D233" t="s">
        <v>151</v>
      </c>
      <c r="E233">
        <v>9</v>
      </c>
      <c r="H233">
        <v>226</v>
      </c>
      <c r="I233" t="s">
        <v>152</v>
      </c>
      <c r="J233" t="s">
        <v>150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39"/>
        <v>14:49:45.297</v>
      </c>
      <c r="T233" t="str">
        <f t="shared" si="139"/>
        <v>14:49:45.297</v>
      </c>
      <c r="U233" t="str">
        <f t="shared" si="119"/>
        <v>ACC530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1</v>
      </c>
      <c r="AH233">
        <v>0</v>
      </c>
      <c r="AI233" t="s">
        <v>231</v>
      </c>
      <c r="AJ233">
        <v>34.239384999999999</v>
      </c>
      <c r="AK233" t="s">
        <v>232</v>
      </c>
      <c r="AL233">
        <v>-116.89094799999999</v>
      </c>
      <c r="AM233">
        <v>100</v>
      </c>
      <c r="AN233">
        <v>8700</v>
      </c>
      <c r="AO233" t="s">
        <v>118</v>
      </c>
      <c r="AP233">
        <v>-70</v>
      </c>
      <c r="AQ233">
        <v>-48</v>
      </c>
      <c r="AR233">
        <v>512</v>
      </c>
      <c r="AZ233">
        <v>1200</v>
      </c>
      <c r="BA233">
        <v>1</v>
      </c>
      <c r="BB233" t="str">
        <f t="shared" si="120"/>
        <v xml:space="preserve">N9217B  </v>
      </c>
      <c r="BC233">
        <v>1</v>
      </c>
      <c r="BE233">
        <v>0</v>
      </c>
      <c r="BF233">
        <v>0</v>
      </c>
      <c r="BG233">
        <v>0</v>
      </c>
      <c r="BH233">
        <v>8775</v>
      </c>
      <c r="BI233">
        <v>1</v>
      </c>
      <c r="BJ233">
        <v>0</v>
      </c>
      <c r="BK233">
        <v>0</v>
      </c>
      <c r="BL233">
        <v>0</v>
      </c>
      <c r="BO233">
        <v>0</v>
      </c>
      <c r="BP233">
        <v>0</v>
      </c>
      <c r="BW233" t="str">
        <f t="shared" si="140"/>
        <v>14:49:45.304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2</v>
      </c>
      <c r="CP233" t="s">
        <v>119</v>
      </c>
      <c r="CQ233">
        <v>285</v>
      </c>
      <c r="CR233">
        <v>3</v>
      </c>
      <c r="CW233">
        <v>8837955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25">
      <c r="A234" t="str">
        <f t="shared" si="138"/>
        <v>06/05/2020 14:49:39.659</v>
      </c>
      <c r="C234" t="str">
        <f t="shared" si="137"/>
        <v>FFDFD3C0</v>
      </c>
      <c r="D234" t="s">
        <v>141</v>
      </c>
      <c r="E234">
        <v>20</v>
      </c>
      <c r="F234">
        <v>1020</v>
      </c>
      <c r="G234" t="s">
        <v>114</v>
      </c>
      <c r="J234" t="s">
        <v>142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39"/>
        <v>14:49:45.297</v>
      </c>
      <c r="T234" t="str">
        <f t="shared" si="139"/>
        <v>14:49:45.297</v>
      </c>
      <c r="U234" t="str">
        <f t="shared" si="119"/>
        <v>ACC530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1</v>
      </c>
      <c r="AH234">
        <v>0</v>
      </c>
      <c r="AI234" t="s">
        <v>231</v>
      </c>
      <c r="AJ234">
        <v>34.239384999999999</v>
      </c>
      <c r="AK234" t="s">
        <v>232</v>
      </c>
      <c r="AL234">
        <v>-116.89094799999999</v>
      </c>
      <c r="AM234">
        <v>100</v>
      </c>
      <c r="AN234">
        <v>8700</v>
      </c>
      <c r="AO234" t="s">
        <v>118</v>
      </c>
      <c r="AP234">
        <v>-70</v>
      </c>
      <c r="AQ234">
        <v>-48</v>
      </c>
      <c r="AR234">
        <v>512</v>
      </c>
      <c r="AZ234">
        <v>1200</v>
      </c>
      <c r="BA234">
        <v>1</v>
      </c>
      <c r="BB234" t="str">
        <f t="shared" si="120"/>
        <v xml:space="preserve">N9217B  </v>
      </c>
      <c r="BC234">
        <v>1</v>
      </c>
      <c r="BE234">
        <v>0</v>
      </c>
      <c r="BF234">
        <v>0</v>
      </c>
      <c r="BG234">
        <v>0</v>
      </c>
      <c r="BH234">
        <v>8775</v>
      </c>
      <c r="BI234">
        <v>1</v>
      </c>
      <c r="BJ234">
        <v>0</v>
      </c>
      <c r="BK234">
        <v>0</v>
      </c>
      <c r="BL234">
        <v>0</v>
      </c>
      <c r="BO234">
        <v>0</v>
      </c>
      <c r="BP234">
        <v>0</v>
      </c>
      <c r="BW234" t="str">
        <f t="shared" si="140"/>
        <v>14:49:45.304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5</v>
      </c>
      <c r="CP234" t="s">
        <v>119</v>
      </c>
      <c r="CQ234">
        <v>295</v>
      </c>
      <c r="CR234">
        <v>1</v>
      </c>
      <c r="CW234">
        <v>12419193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25">
      <c r="A235" t="str">
        <f t="shared" si="138"/>
        <v>06/05/2020 14:49:39.659</v>
      </c>
      <c r="C235" t="str">
        <f t="shared" si="137"/>
        <v>FFDFD3C0</v>
      </c>
      <c r="D235" t="s">
        <v>148</v>
      </c>
      <c r="E235">
        <v>8</v>
      </c>
      <c r="H235">
        <v>50</v>
      </c>
      <c r="I235" t="s">
        <v>149</v>
      </c>
      <c r="J235" t="s">
        <v>150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39"/>
        <v>14:49:45.297</v>
      </c>
      <c r="T235" t="str">
        <f t="shared" si="139"/>
        <v>14:49:45.297</v>
      </c>
      <c r="U235" t="str">
        <f t="shared" si="119"/>
        <v>ACC530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1</v>
      </c>
      <c r="AH235">
        <v>0</v>
      </c>
      <c r="AI235" t="s">
        <v>231</v>
      </c>
      <c r="AJ235">
        <v>34.239384999999999</v>
      </c>
      <c r="AK235" t="s">
        <v>232</v>
      </c>
      <c r="AL235">
        <v>-116.89094799999999</v>
      </c>
      <c r="AM235">
        <v>100</v>
      </c>
      <c r="AN235">
        <v>8700</v>
      </c>
      <c r="AO235" t="s">
        <v>118</v>
      </c>
      <c r="AP235">
        <v>-70</v>
      </c>
      <c r="AQ235">
        <v>-48</v>
      </c>
      <c r="AR235">
        <v>512</v>
      </c>
      <c r="AZ235">
        <v>1200</v>
      </c>
      <c r="BA235">
        <v>1</v>
      </c>
      <c r="BB235" t="str">
        <f t="shared" si="120"/>
        <v xml:space="preserve">N9217B  </v>
      </c>
      <c r="BC235">
        <v>1</v>
      </c>
      <c r="BE235">
        <v>0</v>
      </c>
      <c r="BF235">
        <v>0</v>
      </c>
      <c r="BG235">
        <v>0</v>
      </c>
      <c r="BH235">
        <v>8775</v>
      </c>
      <c r="BI235">
        <v>1</v>
      </c>
      <c r="BJ235">
        <v>0</v>
      </c>
      <c r="BK235">
        <v>0</v>
      </c>
      <c r="BL235">
        <v>0</v>
      </c>
      <c r="BO235">
        <v>0</v>
      </c>
      <c r="BP235">
        <v>0</v>
      </c>
      <c r="BW235" t="str">
        <f t="shared" si="140"/>
        <v>14:49:45.304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5</v>
      </c>
      <c r="CP235" t="s">
        <v>119</v>
      </c>
      <c r="CQ235">
        <v>295</v>
      </c>
      <c r="CR235">
        <v>1</v>
      </c>
      <c r="CW235">
        <v>12419193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25">
      <c r="A236" t="str">
        <f t="shared" si="138"/>
        <v>06/05/2020 14:49:39.659</v>
      </c>
      <c r="C236" t="str">
        <f t="shared" si="137"/>
        <v>FFDFD3C0</v>
      </c>
      <c r="D236" t="s">
        <v>113</v>
      </c>
      <c r="E236">
        <v>3</v>
      </c>
      <c r="H236">
        <v>166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139"/>
        <v>14:49:45.297</v>
      </c>
      <c r="T236" t="str">
        <f t="shared" si="139"/>
        <v>14:49:45.297</v>
      </c>
      <c r="U236" t="str">
        <f t="shared" si="119"/>
        <v>ACC530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1</v>
      </c>
      <c r="AH236">
        <v>0</v>
      </c>
      <c r="AI236" t="s">
        <v>231</v>
      </c>
      <c r="AJ236">
        <v>34.239384999999999</v>
      </c>
      <c r="AK236" t="s">
        <v>232</v>
      </c>
      <c r="AL236">
        <v>-116.89094799999999</v>
      </c>
      <c r="AM236">
        <v>100</v>
      </c>
      <c r="AN236">
        <v>8700</v>
      </c>
      <c r="AO236" t="s">
        <v>118</v>
      </c>
      <c r="AP236">
        <v>-70</v>
      </c>
      <c r="AQ236">
        <v>-48</v>
      </c>
      <c r="AR236">
        <v>512</v>
      </c>
      <c r="AZ236">
        <v>1200</v>
      </c>
      <c r="BA236">
        <v>1</v>
      </c>
      <c r="BB236" t="str">
        <f t="shared" si="120"/>
        <v xml:space="preserve">N9217B  </v>
      </c>
      <c r="BC236">
        <v>1</v>
      </c>
      <c r="BE236">
        <v>0</v>
      </c>
      <c r="BF236">
        <v>0</v>
      </c>
      <c r="BG236">
        <v>0</v>
      </c>
      <c r="BH236">
        <v>8775</v>
      </c>
      <c r="BI236">
        <v>1</v>
      </c>
      <c r="BJ236">
        <v>0</v>
      </c>
      <c r="BK236">
        <v>0</v>
      </c>
      <c r="BL236">
        <v>0</v>
      </c>
      <c r="BO236">
        <v>0</v>
      </c>
      <c r="BP236">
        <v>0</v>
      </c>
      <c r="BW236" t="str">
        <f t="shared" si="140"/>
        <v>14:49:45.304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5</v>
      </c>
      <c r="CP236" t="s">
        <v>119</v>
      </c>
      <c r="CQ236">
        <v>295</v>
      </c>
      <c r="CR236">
        <v>1</v>
      </c>
      <c r="CW236">
        <v>12419193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25">
      <c r="A237" t="str">
        <f t="shared" si="138"/>
        <v>06/05/2020 14:49:39.659</v>
      </c>
      <c r="C237" t="str">
        <f t="shared" si="137"/>
        <v>FFDFD3C0</v>
      </c>
      <c r="D237" t="s">
        <v>143</v>
      </c>
      <c r="E237">
        <v>10</v>
      </c>
      <c r="F237">
        <v>3010</v>
      </c>
      <c r="G237" t="s">
        <v>144</v>
      </c>
      <c r="J237" t="s">
        <v>145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39"/>
        <v>14:49:45.297</v>
      </c>
      <c r="T237" t="str">
        <f t="shared" si="139"/>
        <v>14:49:45.297</v>
      </c>
      <c r="U237" t="str">
        <f t="shared" si="119"/>
        <v>ACC530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1</v>
      </c>
      <c r="AH237">
        <v>0</v>
      </c>
      <c r="AI237" t="s">
        <v>231</v>
      </c>
      <c r="AJ237">
        <v>34.239384999999999</v>
      </c>
      <c r="AK237" t="s">
        <v>232</v>
      </c>
      <c r="AL237">
        <v>-116.89094799999999</v>
      </c>
      <c r="AM237">
        <v>100</v>
      </c>
      <c r="AN237">
        <v>8700</v>
      </c>
      <c r="AO237" t="s">
        <v>118</v>
      </c>
      <c r="AP237">
        <v>-70</v>
      </c>
      <c r="AQ237">
        <v>-48</v>
      </c>
      <c r="AR237">
        <v>512</v>
      </c>
      <c r="AZ237">
        <v>1200</v>
      </c>
      <c r="BA237">
        <v>1</v>
      </c>
      <c r="BB237" t="str">
        <f t="shared" si="120"/>
        <v xml:space="preserve">N9217B  </v>
      </c>
      <c r="BC237">
        <v>1</v>
      </c>
      <c r="BE237">
        <v>0</v>
      </c>
      <c r="BF237">
        <v>0</v>
      </c>
      <c r="BG237">
        <v>0</v>
      </c>
      <c r="BH237">
        <v>8775</v>
      </c>
      <c r="BI237">
        <v>1</v>
      </c>
      <c r="BJ237">
        <v>0</v>
      </c>
      <c r="BK237">
        <v>0</v>
      </c>
      <c r="BL237">
        <v>0</v>
      </c>
      <c r="BO237">
        <v>0</v>
      </c>
      <c r="BP237">
        <v>0</v>
      </c>
      <c r="BW237" t="str">
        <f t="shared" si="140"/>
        <v>14:49:45.304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5</v>
      </c>
      <c r="CP237" t="s">
        <v>119</v>
      </c>
      <c r="CQ237">
        <v>295</v>
      </c>
      <c r="CR237">
        <v>1</v>
      </c>
      <c r="CW237">
        <v>12419193</v>
      </c>
      <c r="CY237">
        <v>0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25">
      <c r="A238" t="str">
        <f t="shared" ref="A238:A243" si="141">"06/05/2020 14:49:40.582"</f>
        <v>06/05/2020 14:49:40.582</v>
      </c>
      <c r="C238" t="str">
        <f t="shared" si="137"/>
        <v>FFDFD3C0</v>
      </c>
      <c r="D238" t="s">
        <v>141</v>
      </c>
      <c r="E238">
        <v>20</v>
      </c>
      <c r="F238">
        <v>1020</v>
      </c>
      <c r="G238" t="s">
        <v>114</v>
      </c>
      <c r="J238" t="s">
        <v>142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ref="S238:S243" si="142">"14:49:46.242"</f>
        <v>14:49:46.242</v>
      </c>
      <c r="T238" t="str">
        <f t="shared" ref="T238:T243" si="143">"14:49:45.842"</f>
        <v>14:49:45.842</v>
      </c>
      <c r="U238" t="str">
        <f t="shared" si="119"/>
        <v>ACC530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1</v>
      </c>
      <c r="AH238">
        <v>0</v>
      </c>
      <c r="AI238" t="s">
        <v>233</v>
      </c>
      <c r="AJ238">
        <v>34.239170999999999</v>
      </c>
      <c r="AK238" t="s">
        <v>234</v>
      </c>
      <c r="AL238">
        <v>-116.891334</v>
      </c>
      <c r="AM238">
        <v>100</v>
      </c>
      <c r="AN238">
        <v>8700</v>
      </c>
      <c r="AO238" t="s">
        <v>118</v>
      </c>
      <c r="AP238">
        <v>-70</v>
      </c>
      <c r="AQ238">
        <v>-48</v>
      </c>
      <c r="AR238">
        <v>512</v>
      </c>
      <c r="AZ238">
        <v>1200</v>
      </c>
      <c r="BA238">
        <v>1</v>
      </c>
      <c r="BB238" t="str">
        <f t="shared" si="120"/>
        <v xml:space="preserve">N9217B  </v>
      </c>
      <c r="BC238">
        <v>1</v>
      </c>
      <c r="BE238">
        <v>0</v>
      </c>
      <c r="BF238">
        <v>0</v>
      </c>
      <c r="BG238">
        <v>0</v>
      </c>
      <c r="BH238">
        <v>8775</v>
      </c>
      <c r="BI238">
        <v>1</v>
      </c>
      <c r="BJ238">
        <v>0</v>
      </c>
      <c r="BK238">
        <v>0</v>
      </c>
      <c r="BL238">
        <v>0</v>
      </c>
      <c r="BO238">
        <v>0</v>
      </c>
      <c r="BP238">
        <v>0</v>
      </c>
      <c r="BW238" t="str">
        <f t="shared" ref="BW238:BW243" si="144">"14:49:46.249"</f>
        <v>14:49:46.249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5</v>
      </c>
      <c r="CP238" t="s">
        <v>119</v>
      </c>
      <c r="CQ238">
        <v>295</v>
      </c>
      <c r="CR238">
        <v>1</v>
      </c>
      <c r="CW238">
        <v>12419278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25">
      <c r="A239" t="str">
        <f t="shared" si="141"/>
        <v>06/05/2020 14:49:40.582</v>
      </c>
      <c r="C239" t="str">
        <f t="shared" si="137"/>
        <v>FFDFD3C0</v>
      </c>
      <c r="D239" t="s">
        <v>148</v>
      </c>
      <c r="E239">
        <v>8</v>
      </c>
      <c r="H239">
        <v>50</v>
      </c>
      <c r="I239" t="s">
        <v>149</v>
      </c>
      <c r="J239" t="s">
        <v>150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42"/>
        <v>14:49:46.242</v>
      </c>
      <c r="T239" t="str">
        <f t="shared" si="143"/>
        <v>14:49:45.842</v>
      </c>
      <c r="U239" t="str">
        <f t="shared" si="119"/>
        <v>ACC530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1</v>
      </c>
      <c r="AH239">
        <v>0</v>
      </c>
      <c r="AI239" t="s">
        <v>233</v>
      </c>
      <c r="AJ239">
        <v>34.239170999999999</v>
      </c>
      <c r="AK239" t="s">
        <v>234</v>
      </c>
      <c r="AL239">
        <v>-116.891334</v>
      </c>
      <c r="AM239">
        <v>100</v>
      </c>
      <c r="AN239">
        <v>8700</v>
      </c>
      <c r="AO239" t="s">
        <v>118</v>
      </c>
      <c r="AP239">
        <v>-70</v>
      </c>
      <c r="AQ239">
        <v>-48</v>
      </c>
      <c r="AR239">
        <v>512</v>
      </c>
      <c r="AZ239">
        <v>1200</v>
      </c>
      <c r="BA239">
        <v>1</v>
      </c>
      <c r="BB239" t="str">
        <f t="shared" si="120"/>
        <v xml:space="preserve">N9217B  </v>
      </c>
      <c r="BC239">
        <v>1</v>
      </c>
      <c r="BE239">
        <v>0</v>
      </c>
      <c r="BF239">
        <v>0</v>
      </c>
      <c r="BG239">
        <v>0</v>
      </c>
      <c r="BH239">
        <v>8775</v>
      </c>
      <c r="BI239">
        <v>1</v>
      </c>
      <c r="BJ239">
        <v>0</v>
      </c>
      <c r="BK239">
        <v>0</v>
      </c>
      <c r="BL239">
        <v>0</v>
      </c>
      <c r="BO239">
        <v>0</v>
      </c>
      <c r="BP239">
        <v>0</v>
      </c>
      <c r="BW239" t="str">
        <f t="shared" si="144"/>
        <v>14:49:46.249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5</v>
      </c>
      <c r="CP239" t="s">
        <v>119</v>
      </c>
      <c r="CQ239">
        <v>295</v>
      </c>
      <c r="CR239">
        <v>1</v>
      </c>
      <c r="CW239">
        <v>12419278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25">
      <c r="A240" t="str">
        <f t="shared" si="141"/>
        <v>06/05/2020 14:49:40.582</v>
      </c>
      <c r="C240" t="str">
        <f t="shared" si="137"/>
        <v>FFDFD3C0</v>
      </c>
      <c r="D240" t="s">
        <v>113</v>
      </c>
      <c r="E240">
        <v>3</v>
      </c>
      <c r="H240">
        <v>166</v>
      </c>
      <c r="I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42"/>
        <v>14:49:46.242</v>
      </c>
      <c r="T240" t="str">
        <f t="shared" si="143"/>
        <v>14:49:45.842</v>
      </c>
      <c r="U240" t="str">
        <f t="shared" si="119"/>
        <v>ACC530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1</v>
      </c>
      <c r="AH240">
        <v>0</v>
      </c>
      <c r="AI240" t="s">
        <v>233</v>
      </c>
      <c r="AJ240">
        <v>34.239170999999999</v>
      </c>
      <c r="AK240" t="s">
        <v>234</v>
      </c>
      <c r="AL240">
        <v>-116.891334</v>
      </c>
      <c r="AM240">
        <v>100</v>
      </c>
      <c r="AN240">
        <v>8700</v>
      </c>
      <c r="AO240" t="s">
        <v>118</v>
      </c>
      <c r="AP240">
        <v>-70</v>
      </c>
      <c r="AQ240">
        <v>-48</v>
      </c>
      <c r="AR240">
        <v>512</v>
      </c>
      <c r="AZ240">
        <v>1200</v>
      </c>
      <c r="BA240">
        <v>1</v>
      </c>
      <c r="BB240" t="str">
        <f t="shared" si="120"/>
        <v xml:space="preserve">N9217B  </v>
      </c>
      <c r="BC240">
        <v>1</v>
      </c>
      <c r="BE240">
        <v>0</v>
      </c>
      <c r="BF240">
        <v>0</v>
      </c>
      <c r="BG240">
        <v>0</v>
      </c>
      <c r="BH240">
        <v>8775</v>
      </c>
      <c r="BI240">
        <v>1</v>
      </c>
      <c r="BJ240">
        <v>0</v>
      </c>
      <c r="BK240">
        <v>0</v>
      </c>
      <c r="BL240">
        <v>0</v>
      </c>
      <c r="BO240">
        <v>0</v>
      </c>
      <c r="BP240">
        <v>0</v>
      </c>
      <c r="BW240" t="str">
        <f t="shared" si="144"/>
        <v>14:49:46.249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5</v>
      </c>
      <c r="CP240" t="s">
        <v>119</v>
      </c>
      <c r="CQ240">
        <v>295</v>
      </c>
      <c r="CR240">
        <v>1</v>
      </c>
      <c r="CW240">
        <v>12419278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25">
      <c r="A241" t="str">
        <f t="shared" si="141"/>
        <v>06/05/2020 14:49:40.582</v>
      </c>
      <c r="C241" t="str">
        <f t="shared" si="137"/>
        <v>FFDFD3C0</v>
      </c>
      <c r="D241" t="s">
        <v>143</v>
      </c>
      <c r="E241">
        <v>10</v>
      </c>
      <c r="F241">
        <v>3010</v>
      </c>
      <c r="G241" t="s">
        <v>144</v>
      </c>
      <c r="J241" t="s">
        <v>145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42"/>
        <v>14:49:46.242</v>
      </c>
      <c r="T241" t="str">
        <f t="shared" si="143"/>
        <v>14:49:45.842</v>
      </c>
      <c r="U241" t="str">
        <f t="shared" si="119"/>
        <v>ACC530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1</v>
      </c>
      <c r="AH241">
        <v>0</v>
      </c>
      <c r="AI241" t="s">
        <v>233</v>
      </c>
      <c r="AJ241">
        <v>34.239170999999999</v>
      </c>
      <c r="AK241" t="s">
        <v>234</v>
      </c>
      <c r="AL241">
        <v>-116.891334</v>
      </c>
      <c r="AM241">
        <v>100</v>
      </c>
      <c r="AN241">
        <v>8700</v>
      </c>
      <c r="AO241" t="s">
        <v>118</v>
      </c>
      <c r="AP241">
        <v>-70</v>
      </c>
      <c r="AQ241">
        <v>-48</v>
      </c>
      <c r="AR241">
        <v>512</v>
      </c>
      <c r="AZ241">
        <v>1200</v>
      </c>
      <c r="BA241">
        <v>1</v>
      </c>
      <c r="BB241" t="str">
        <f t="shared" si="120"/>
        <v xml:space="preserve">N9217B  </v>
      </c>
      <c r="BC241">
        <v>1</v>
      </c>
      <c r="BE241">
        <v>0</v>
      </c>
      <c r="BF241">
        <v>0</v>
      </c>
      <c r="BG241">
        <v>0</v>
      </c>
      <c r="BH241">
        <v>8775</v>
      </c>
      <c r="BI241">
        <v>1</v>
      </c>
      <c r="BJ241">
        <v>0</v>
      </c>
      <c r="BK241">
        <v>0</v>
      </c>
      <c r="BL241">
        <v>0</v>
      </c>
      <c r="BO241">
        <v>0</v>
      </c>
      <c r="BP241">
        <v>0</v>
      </c>
      <c r="BW241" t="str">
        <f t="shared" si="144"/>
        <v>14:49:46.249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5</v>
      </c>
      <c r="CP241" t="s">
        <v>119</v>
      </c>
      <c r="CQ241">
        <v>295</v>
      </c>
      <c r="CR241">
        <v>1</v>
      </c>
      <c r="CW241">
        <v>12419278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25">
      <c r="A242" t="str">
        <f t="shared" si="141"/>
        <v>06/05/2020 14:49:40.582</v>
      </c>
      <c r="C242" t="str">
        <f t="shared" si="137"/>
        <v>FFDFD3C0</v>
      </c>
      <c r="D242" t="s">
        <v>134</v>
      </c>
      <c r="E242">
        <v>7</v>
      </c>
      <c r="F242">
        <v>2007</v>
      </c>
      <c r="G242" t="s">
        <v>135</v>
      </c>
      <c r="J242" t="s">
        <v>136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42"/>
        <v>14:49:46.242</v>
      </c>
      <c r="T242" t="str">
        <f t="shared" si="143"/>
        <v>14:49:45.842</v>
      </c>
      <c r="U242" t="str">
        <f t="shared" si="119"/>
        <v>ACC530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1</v>
      </c>
      <c r="AH242">
        <v>0</v>
      </c>
      <c r="AI242" t="s">
        <v>233</v>
      </c>
      <c r="AJ242">
        <v>34.239170999999999</v>
      </c>
      <c r="AK242" t="s">
        <v>234</v>
      </c>
      <c r="AL242">
        <v>-116.891334</v>
      </c>
      <c r="AM242">
        <v>100</v>
      </c>
      <c r="AN242">
        <v>8700</v>
      </c>
      <c r="AO242" t="s">
        <v>118</v>
      </c>
      <c r="AP242">
        <v>-70</v>
      </c>
      <c r="AQ242">
        <v>-48</v>
      </c>
      <c r="AR242">
        <v>512</v>
      </c>
      <c r="AZ242">
        <v>1200</v>
      </c>
      <c r="BA242">
        <v>1</v>
      </c>
      <c r="BB242" t="str">
        <f t="shared" si="120"/>
        <v xml:space="preserve">N9217B  </v>
      </c>
      <c r="BC242">
        <v>1</v>
      </c>
      <c r="BE242">
        <v>0</v>
      </c>
      <c r="BF242">
        <v>0</v>
      </c>
      <c r="BG242">
        <v>0</v>
      </c>
      <c r="BH242">
        <v>8775</v>
      </c>
      <c r="BI242">
        <v>1</v>
      </c>
      <c r="BJ242">
        <v>0</v>
      </c>
      <c r="BK242">
        <v>0</v>
      </c>
      <c r="BL242">
        <v>0</v>
      </c>
      <c r="BO242">
        <v>0</v>
      </c>
      <c r="BP242">
        <v>0</v>
      </c>
      <c r="BW242" t="str">
        <f t="shared" si="144"/>
        <v>14:49:46.249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5</v>
      </c>
      <c r="CP242" t="s">
        <v>119</v>
      </c>
      <c r="CQ242">
        <v>295</v>
      </c>
      <c r="CR242">
        <v>1</v>
      </c>
      <c r="CW242">
        <v>12419278</v>
      </c>
      <c r="CY242">
        <v>0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25">
      <c r="A243" t="str">
        <f t="shared" si="141"/>
        <v>06/05/2020 14:49:40.582</v>
      </c>
      <c r="C243" t="str">
        <f t="shared" si="137"/>
        <v>FFDFD3C0</v>
      </c>
      <c r="D243" t="s">
        <v>151</v>
      </c>
      <c r="E243">
        <v>9</v>
      </c>
      <c r="H243">
        <v>226</v>
      </c>
      <c r="I243" t="s">
        <v>152</v>
      </c>
      <c r="J243" t="s">
        <v>150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142"/>
        <v>14:49:46.242</v>
      </c>
      <c r="T243" t="str">
        <f t="shared" si="143"/>
        <v>14:49:45.842</v>
      </c>
      <c r="U243" t="str">
        <f t="shared" si="119"/>
        <v>ACC530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1</v>
      </c>
      <c r="AH243">
        <v>0</v>
      </c>
      <c r="AI243" t="s">
        <v>233</v>
      </c>
      <c r="AJ243">
        <v>34.239170999999999</v>
      </c>
      <c r="AK243" t="s">
        <v>234</v>
      </c>
      <c r="AL243">
        <v>-116.891334</v>
      </c>
      <c r="AM243">
        <v>100</v>
      </c>
      <c r="AN243">
        <v>8700</v>
      </c>
      <c r="AO243" t="s">
        <v>118</v>
      </c>
      <c r="AP243">
        <v>-70</v>
      </c>
      <c r="AQ243">
        <v>-48</v>
      </c>
      <c r="AR243">
        <v>512</v>
      </c>
      <c r="AZ243">
        <v>1200</v>
      </c>
      <c r="BA243">
        <v>1</v>
      </c>
      <c r="BB243" t="str">
        <f t="shared" si="120"/>
        <v xml:space="preserve">N9217B  </v>
      </c>
      <c r="BC243">
        <v>1</v>
      </c>
      <c r="BE243">
        <v>0</v>
      </c>
      <c r="BF243">
        <v>0</v>
      </c>
      <c r="BG243">
        <v>0</v>
      </c>
      <c r="BH243">
        <v>8775</v>
      </c>
      <c r="BI243">
        <v>1</v>
      </c>
      <c r="BJ243">
        <v>0</v>
      </c>
      <c r="BK243">
        <v>0</v>
      </c>
      <c r="BL243">
        <v>0</v>
      </c>
      <c r="BO243">
        <v>0</v>
      </c>
      <c r="BP243">
        <v>0</v>
      </c>
      <c r="BW243" t="str">
        <f t="shared" si="144"/>
        <v>14:49:46.249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4</v>
      </c>
      <c r="CP243" t="s">
        <v>119</v>
      </c>
      <c r="CQ243">
        <v>285</v>
      </c>
      <c r="CR243">
        <v>0</v>
      </c>
      <c r="CW243">
        <v>8838040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25">
      <c r="A244" t="str">
        <f t="shared" ref="A244:A249" si="145">"06/05/2020 14:49:41.526"</f>
        <v>06/05/2020 14:49:41.526</v>
      </c>
      <c r="C244" t="str">
        <f t="shared" si="137"/>
        <v>FFDFD3C0</v>
      </c>
      <c r="D244" t="s">
        <v>134</v>
      </c>
      <c r="E244">
        <v>7</v>
      </c>
      <c r="F244">
        <v>2007</v>
      </c>
      <c r="G244" t="s">
        <v>135</v>
      </c>
      <c r="J244" t="s">
        <v>136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ref="S244:T249" si="146">"14:49:47.188"</f>
        <v>14:49:47.188</v>
      </c>
      <c r="T244" t="str">
        <f t="shared" si="146"/>
        <v>14:49:47.188</v>
      </c>
      <c r="U244" t="str">
        <f t="shared" si="119"/>
        <v>ACC530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1</v>
      </c>
      <c r="AH244">
        <v>0</v>
      </c>
      <c r="AI244" t="s">
        <v>235</v>
      </c>
      <c r="AJ244">
        <v>34.238976999999998</v>
      </c>
      <c r="AK244" t="s">
        <v>236</v>
      </c>
      <c r="AL244">
        <v>-116.89172000000001</v>
      </c>
      <c r="AM244">
        <v>100</v>
      </c>
      <c r="AN244">
        <v>8700</v>
      </c>
      <c r="AO244" t="s">
        <v>118</v>
      </c>
      <c r="AP244">
        <v>-69</v>
      </c>
      <c r="AQ244">
        <v>-49</v>
      </c>
      <c r="AR244">
        <v>512</v>
      </c>
      <c r="AZ244">
        <v>1200</v>
      </c>
      <c r="BA244">
        <v>1</v>
      </c>
      <c r="BB244" t="str">
        <f t="shared" si="120"/>
        <v xml:space="preserve">N9217B  </v>
      </c>
      <c r="BC244">
        <v>1</v>
      </c>
      <c r="BE244">
        <v>0</v>
      </c>
      <c r="BF244">
        <v>0</v>
      </c>
      <c r="BG244">
        <v>0</v>
      </c>
      <c r="BH244">
        <v>8800</v>
      </c>
      <c r="BI244">
        <v>1</v>
      </c>
      <c r="BJ244">
        <v>0</v>
      </c>
      <c r="BK244">
        <v>0</v>
      </c>
      <c r="BL244">
        <v>0</v>
      </c>
      <c r="BO244">
        <v>0</v>
      </c>
      <c r="BP244">
        <v>0</v>
      </c>
      <c r="BW244" t="str">
        <f t="shared" ref="BW244:BW249" si="147">"14:49:47.193"</f>
        <v>14:49:47.193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5</v>
      </c>
      <c r="CP244" t="s">
        <v>119</v>
      </c>
      <c r="CQ244">
        <v>285</v>
      </c>
      <c r="CR244">
        <v>0</v>
      </c>
      <c r="CW244">
        <v>8838126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25">
      <c r="A245" t="str">
        <f t="shared" si="145"/>
        <v>06/05/2020 14:49:41.526</v>
      </c>
      <c r="C245" t="str">
        <f t="shared" si="137"/>
        <v>FFDFD3C0</v>
      </c>
      <c r="D245" t="s">
        <v>151</v>
      </c>
      <c r="E245">
        <v>9</v>
      </c>
      <c r="H245">
        <v>226</v>
      </c>
      <c r="I245" t="s">
        <v>152</v>
      </c>
      <c r="J245" t="s">
        <v>150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46"/>
        <v>14:49:47.188</v>
      </c>
      <c r="T245" t="str">
        <f t="shared" si="146"/>
        <v>14:49:47.188</v>
      </c>
      <c r="U245" t="str">
        <f t="shared" si="119"/>
        <v>ACC530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1</v>
      </c>
      <c r="AH245">
        <v>0</v>
      </c>
      <c r="AI245" t="s">
        <v>235</v>
      </c>
      <c r="AJ245">
        <v>34.238976999999998</v>
      </c>
      <c r="AK245" t="s">
        <v>236</v>
      </c>
      <c r="AL245">
        <v>-116.89172000000001</v>
      </c>
      <c r="AM245">
        <v>100</v>
      </c>
      <c r="AN245">
        <v>8700</v>
      </c>
      <c r="AO245" t="s">
        <v>118</v>
      </c>
      <c r="AP245">
        <v>-69</v>
      </c>
      <c r="AQ245">
        <v>-49</v>
      </c>
      <c r="AR245">
        <v>512</v>
      </c>
      <c r="AZ245">
        <v>1200</v>
      </c>
      <c r="BA245">
        <v>1</v>
      </c>
      <c r="BB245" t="str">
        <f t="shared" si="120"/>
        <v xml:space="preserve">N9217B  </v>
      </c>
      <c r="BC245">
        <v>1</v>
      </c>
      <c r="BE245">
        <v>0</v>
      </c>
      <c r="BF245">
        <v>0</v>
      </c>
      <c r="BG245">
        <v>0</v>
      </c>
      <c r="BH245">
        <v>8800</v>
      </c>
      <c r="BI245">
        <v>1</v>
      </c>
      <c r="BJ245">
        <v>0</v>
      </c>
      <c r="BK245">
        <v>0</v>
      </c>
      <c r="BL245">
        <v>0</v>
      </c>
      <c r="BO245">
        <v>0</v>
      </c>
      <c r="BP245">
        <v>0</v>
      </c>
      <c r="BW245" t="str">
        <f t="shared" si="147"/>
        <v>14:49:47.193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5</v>
      </c>
      <c r="CP245" t="s">
        <v>119</v>
      </c>
      <c r="CQ245">
        <v>285</v>
      </c>
      <c r="CR245">
        <v>0</v>
      </c>
      <c r="CW245">
        <v>8838126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25">
      <c r="A246" t="str">
        <f t="shared" si="145"/>
        <v>06/05/2020 14:49:41.526</v>
      </c>
      <c r="C246" t="str">
        <f t="shared" si="137"/>
        <v>FFDFD3C0</v>
      </c>
      <c r="D246" t="s">
        <v>141</v>
      </c>
      <c r="E246">
        <v>20</v>
      </c>
      <c r="F246">
        <v>1020</v>
      </c>
      <c r="G246" t="s">
        <v>114</v>
      </c>
      <c r="J246" t="s">
        <v>142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46"/>
        <v>14:49:47.188</v>
      </c>
      <c r="T246" t="str">
        <f t="shared" si="146"/>
        <v>14:49:47.188</v>
      </c>
      <c r="U246" t="str">
        <f t="shared" si="119"/>
        <v>ACC530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1</v>
      </c>
      <c r="AH246">
        <v>0</v>
      </c>
      <c r="AI246" t="s">
        <v>235</v>
      </c>
      <c r="AJ246">
        <v>34.238976999999998</v>
      </c>
      <c r="AK246" t="s">
        <v>236</v>
      </c>
      <c r="AL246">
        <v>-116.89172000000001</v>
      </c>
      <c r="AM246">
        <v>100</v>
      </c>
      <c r="AN246">
        <v>8700</v>
      </c>
      <c r="AO246" t="s">
        <v>118</v>
      </c>
      <c r="AP246">
        <v>-69</v>
      </c>
      <c r="AQ246">
        <v>-49</v>
      </c>
      <c r="AR246">
        <v>512</v>
      </c>
      <c r="AZ246">
        <v>1200</v>
      </c>
      <c r="BA246">
        <v>1</v>
      </c>
      <c r="BB246" t="str">
        <f t="shared" si="120"/>
        <v xml:space="preserve">N9217B  </v>
      </c>
      <c r="BC246">
        <v>1</v>
      </c>
      <c r="BE246">
        <v>0</v>
      </c>
      <c r="BF246">
        <v>0</v>
      </c>
      <c r="BG246">
        <v>0</v>
      </c>
      <c r="BH246">
        <v>8800</v>
      </c>
      <c r="BI246">
        <v>1</v>
      </c>
      <c r="BJ246">
        <v>0</v>
      </c>
      <c r="BK246">
        <v>0</v>
      </c>
      <c r="BL246">
        <v>0</v>
      </c>
      <c r="BO246">
        <v>0</v>
      </c>
      <c r="BP246">
        <v>0</v>
      </c>
      <c r="BW246" t="str">
        <f t="shared" si="147"/>
        <v>14:49:47.193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5</v>
      </c>
      <c r="CP246" t="s">
        <v>119</v>
      </c>
      <c r="CQ246">
        <v>285</v>
      </c>
      <c r="CR246">
        <v>0</v>
      </c>
      <c r="CW246">
        <v>8838126</v>
      </c>
      <c r="CY246">
        <v>0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25">
      <c r="A247" t="str">
        <f t="shared" si="145"/>
        <v>06/05/2020 14:49:41.526</v>
      </c>
      <c r="C247" t="str">
        <f t="shared" si="137"/>
        <v>FFDFD3C0</v>
      </c>
      <c r="D247" t="s">
        <v>143</v>
      </c>
      <c r="E247">
        <v>10</v>
      </c>
      <c r="F247">
        <v>3010</v>
      </c>
      <c r="G247" t="s">
        <v>144</v>
      </c>
      <c r="J247" t="s">
        <v>145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46"/>
        <v>14:49:47.188</v>
      </c>
      <c r="T247" t="str">
        <f t="shared" si="146"/>
        <v>14:49:47.188</v>
      </c>
      <c r="U247" t="str">
        <f t="shared" si="119"/>
        <v>ACC530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1</v>
      </c>
      <c r="AH247">
        <v>0</v>
      </c>
      <c r="AI247" t="s">
        <v>235</v>
      </c>
      <c r="AJ247">
        <v>34.238976999999998</v>
      </c>
      <c r="AK247" t="s">
        <v>236</v>
      </c>
      <c r="AL247">
        <v>-116.89172000000001</v>
      </c>
      <c r="AM247">
        <v>100</v>
      </c>
      <c r="AN247">
        <v>8700</v>
      </c>
      <c r="AO247" t="s">
        <v>118</v>
      </c>
      <c r="AP247">
        <v>-69</v>
      </c>
      <c r="AQ247">
        <v>-49</v>
      </c>
      <c r="AR247">
        <v>512</v>
      </c>
      <c r="AZ247">
        <v>1200</v>
      </c>
      <c r="BA247">
        <v>1</v>
      </c>
      <c r="BB247" t="str">
        <f t="shared" si="120"/>
        <v xml:space="preserve">N9217B  </v>
      </c>
      <c r="BC247">
        <v>1</v>
      </c>
      <c r="BE247">
        <v>0</v>
      </c>
      <c r="BF247">
        <v>0</v>
      </c>
      <c r="BG247">
        <v>0</v>
      </c>
      <c r="BH247">
        <v>8800</v>
      </c>
      <c r="BI247">
        <v>1</v>
      </c>
      <c r="BJ247">
        <v>0</v>
      </c>
      <c r="BK247">
        <v>0</v>
      </c>
      <c r="BL247">
        <v>0</v>
      </c>
      <c r="BO247">
        <v>0</v>
      </c>
      <c r="BP247">
        <v>0</v>
      </c>
      <c r="BW247" t="str">
        <f t="shared" si="147"/>
        <v>14:49:47.193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2</v>
      </c>
      <c r="CP247" t="s">
        <v>119</v>
      </c>
      <c r="CQ247">
        <v>293</v>
      </c>
      <c r="CR247">
        <v>1</v>
      </c>
      <c r="CW247">
        <v>15267052</v>
      </c>
      <c r="CY247">
        <v>0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25">
      <c r="A248" t="str">
        <f t="shared" si="145"/>
        <v>06/05/2020 14:49:41.526</v>
      </c>
      <c r="C248" t="str">
        <f t="shared" si="137"/>
        <v>FFDFD3C0</v>
      </c>
      <c r="D248" t="s">
        <v>113</v>
      </c>
      <c r="E248">
        <v>3</v>
      </c>
      <c r="H248">
        <v>166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46"/>
        <v>14:49:47.188</v>
      </c>
      <c r="T248" t="str">
        <f t="shared" si="146"/>
        <v>14:49:47.188</v>
      </c>
      <c r="U248" t="str">
        <f t="shared" si="119"/>
        <v>ACC530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1</v>
      </c>
      <c r="AH248">
        <v>0</v>
      </c>
      <c r="AI248" t="s">
        <v>235</v>
      </c>
      <c r="AJ248">
        <v>34.238976999999998</v>
      </c>
      <c r="AK248" t="s">
        <v>236</v>
      </c>
      <c r="AL248">
        <v>-116.89172000000001</v>
      </c>
      <c r="AM248">
        <v>100</v>
      </c>
      <c r="AN248">
        <v>8700</v>
      </c>
      <c r="AO248" t="s">
        <v>118</v>
      </c>
      <c r="AP248">
        <v>-69</v>
      </c>
      <c r="AQ248">
        <v>-49</v>
      </c>
      <c r="AR248">
        <v>512</v>
      </c>
      <c r="AZ248">
        <v>1200</v>
      </c>
      <c r="BA248">
        <v>1</v>
      </c>
      <c r="BB248" t="str">
        <f t="shared" si="120"/>
        <v xml:space="preserve">N9217B  </v>
      </c>
      <c r="BC248">
        <v>1</v>
      </c>
      <c r="BE248">
        <v>0</v>
      </c>
      <c r="BF248">
        <v>0</v>
      </c>
      <c r="BG248">
        <v>0</v>
      </c>
      <c r="BH248">
        <v>8800</v>
      </c>
      <c r="BI248">
        <v>1</v>
      </c>
      <c r="BJ248">
        <v>0</v>
      </c>
      <c r="BK248">
        <v>0</v>
      </c>
      <c r="BL248">
        <v>0</v>
      </c>
      <c r="BO248">
        <v>0</v>
      </c>
      <c r="BP248">
        <v>0</v>
      </c>
      <c r="BW248" t="str">
        <f t="shared" si="147"/>
        <v>14:49:47.193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5</v>
      </c>
      <c r="CP248" t="s">
        <v>119</v>
      </c>
      <c r="CQ248">
        <v>285</v>
      </c>
      <c r="CR248">
        <v>0</v>
      </c>
      <c r="CW248">
        <v>8838126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25">
      <c r="A249" t="str">
        <f t="shared" si="145"/>
        <v>06/05/2020 14:49:41.526</v>
      </c>
      <c r="C249" t="str">
        <f t="shared" si="137"/>
        <v>FFDFD3C0</v>
      </c>
      <c r="D249" t="s">
        <v>148</v>
      </c>
      <c r="E249">
        <v>8</v>
      </c>
      <c r="H249">
        <v>50</v>
      </c>
      <c r="I249" t="s">
        <v>149</v>
      </c>
      <c r="J249" t="s">
        <v>150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46"/>
        <v>14:49:47.188</v>
      </c>
      <c r="T249" t="str">
        <f t="shared" si="146"/>
        <v>14:49:47.188</v>
      </c>
      <c r="U249" t="str">
        <f t="shared" si="119"/>
        <v>ACC530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1</v>
      </c>
      <c r="AH249">
        <v>0</v>
      </c>
      <c r="AI249" t="s">
        <v>235</v>
      </c>
      <c r="AJ249">
        <v>34.238976999999998</v>
      </c>
      <c r="AK249" t="s">
        <v>236</v>
      </c>
      <c r="AL249">
        <v>-116.89172000000001</v>
      </c>
      <c r="AM249">
        <v>100</v>
      </c>
      <c r="AN249">
        <v>8700</v>
      </c>
      <c r="AO249" t="s">
        <v>118</v>
      </c>
      <c r="AP249">
        <v>-69</v>
      </c>
      <c r="AQ249">
        <v>-49</v>
      </c>
      <c r="AR249">
        <v>512</v>
      </c>
      <c r="AZ249">
        <v>1200</v>
      </c>
      <c r="BA249">
        <v>1</v>
      </c>
      <c r="BB249" t="str">
        <f t="shared" si="120"/>
        <v xml:space="preserve">N9217B  </v>
      </c>
      <c r="BC249">
        <v>1</v>
      </c>
      <c r="BE249">
        <v>0</v>
      </c>
      <c r="BF249">
        <v>0</v>
      </c>
      <c r="BG249">
        <v>0</v>
      </c>
      <c r="BH249">
        <v>8800</v>
      </c>
      <c r="BI249">
        <v>1</v>
      </c>
      <c r="BJ249">
        <v>0</v>
      </c>
      <c r="BK249">
        <v>0</v>
      </c>
      <c r="BL249">
        <v>0</v>
      </c>
      <c r="BO249">
        <v>0</v>
      </c>
      <c r="BP249">
        <v>0</v>
      </c>
      <c r="BW249" t="str">
        <f t="shared" si="147"/>
        <v>14:49:47.193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5</v>
      </c>
      <c r="CP249" t="s">
        <v>119</v>
      </c>
      <c r="CQ249">
        <v>285</v>
      </c>
      <c r="CR249">
        <v>0</v>
      </c>
      <c r="CW249">
        <v>8838126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25">
      <c r="A250" t="str">
        <f>"06/05/2020 14:49:42.607"</f>
        <v>06/05/2020 14:49:42.607</v>
      </c>
      <c r="C250" t="str">
        <f t="shared" si="137"/>
        <v>FFDFD3C0</v>
      </c>
      <c r="D250" t="s">
        <v>113</v>
      </c>
      <c r="E250">
        <v>3</v>
      </c>
      <c r="H250">
        <v>166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"14:49:48.258"</f>
        <v>14:49:48.258</v>
      </c>
      <c r="T250" t="str">
        <f>"14:49:48.158"</f>
        <v>14:49:48.158</v>
      </c>
      <c r="U250" t="str">
        <f t="shared" si="119"/>
        <v>ACC530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1</v>
      </c>
      <c r="AH250">
        <v>0</v>
      </c>
      <c r="AI250" t="s">
        <v>237</v>
      </c>
      <c r="AJ250">
        <v>34.238740999999997</v>
      </c>
      <c r="AK250" t="s">
        <v>238</v>
      </c>
      <c r="AL250">
        <v>-116.892128</v>
      </c>
      <c r="AM250">
        <v>100</v>
      </c>
      <c r="AN250">
        <v>8700</v>
      </c>
      <c r="AO250" t="s">
        <v>118</v>
      </c>
      <c r="AP250">
        <v>-70</v>
      </c>
      <c r="AQ250">
        <v>-49</v>
      </c>
      <c r="AR250">
        <v>448</v>
      </c>
      <c r="AZ250">
        <v>1200</v>
      </c>
      <c r="BA250">
        <v>1</v>
      </c>
      <c r="BB250" t="str">
        <f t="shared" si="120"/>
        <v xml:space="preserve">N9217B  </v>
      </c>
      <c r="BC250">
        <v>1</v>
      </c>
      <c r="BE250">
        <v>0</v>
      </c>
      <c r="BF250">
        <v>0</v>
      </c>
      <c r="BG250">
        <v>0</v>
      </c>
      <c r="BH250">
        <v>8800</v>
      </c>
      <c r="BI250">
        <v>1</v>
      </c>
      <c r="BJ250">
        <v>0</v>
      </c>
      <c r="BK250">
        <v>0</v>
      </c>
      <c r="BL250">
        <v>0</v>
      </c>
      <c r="BO250">
        <v>0</v>
      </c>
      <c r="BP250">
        <v>0</v>
      </c>
      <c r="BW250" t="str">
        <f>"14:49:48.258"</f>
        <v>14:49:48.258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5</v>
      </c>
      <c r="CP250" t="s">
        <v>119</v>
      </c>
      <c r="CQ250">
        <v>285</v>
      </c>
      <c r="CR250">
        <v>0</v>
      </c>
      <c r="CW250">
        <v>8838221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25">
      <c r="A251" t="str">
        <f>"06/05/2020 14:49:42.607"</f>
        <v>06/05/2020 14:49:42.607</v>
      </c>
      <c r="C251" t="str">
        <f t="shared" si="137"/>
        <v>FFDFD3C0</v>
      </c>
      <c r="D251" t="s">
        <v>148</v>
      </c>
      <c r="E251">
        <v>8</v>
      </c>
      <c r="H251">
        <v>50</v>
      </c>
      <c r="I251" t="s">
        <v>149</v>
      </c>
      <c r="J251" t="s">
        <v>150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"14:49:48.258"</f>
        <v>14:49:48.258</v>
      </c>
      <c r="T251" t="str">
        <f>"14:49:48.158"</f>
        <v>14:49:48.158</v>
      </c>
      <c r="U251" t="str">
        <f t="shared" si="119"/>
        <v>ACC530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1</v>
      </c>
      <c r="AH251">
        <v>0</v>
      </c>
      <c r="AI251" t="s">
        <v>237</v>
      </c>
      <c r="AJ251">
        <v>34.238740999999997</v>
      </c>
      <c r="AK251" t="s">
        <v>238</v>
      </c>
      <c r="AL251">
        <v>-116.892128</v>
      </c>
      <c r="AM251">
        <v>100</v>
      </c>
      <c r="AN251">
        <v>8700</v>
      </c>
      <c r="AO251" t="s">
        <v>118</v>
      </c>
      <c r="AP251">
        <v>-70</v>
      </c>
      <c r="AQ251">
        <v>-49</v>
      </c>
      <c r="AR251">
        <v>448</v>
      </c>
      <c r="AZ251">
        <v>1200</v>
      </c>
      <c r="BA251">
        <v>1</v>
      </c>
      <c r="BB251" t="str">
        <f t="shared" si="120"/>
        <v xml:space="preserve">N9217B  </v>
      </c>
      <c r="BC251">
        <v>1</v>
      </c>
      <c r="BE251">
        <v>0</v>
      </c>
      <c r="BF251">
        <v>0</v>
      </c>
      <c r="BG251">
        <v>0</v>
      </c>
      <c r="BH251">
        <v>8800</v>
      </c>
      <c r="BI251">
        <v>1</v>
      </c>
      <c r="BJ251">
        <v>0</v>
      </c>
      <c r="BK251">
        <v>0</v>
      </c>
      <c r="BL251">
        <v>0</v>
      </c>
      <c r="BO251">
        <v>0</v>
      </c>
      <c r="BP251">
        <v>0</v>
      </c>
      <c r="BW251" t="str">
        <f>"14:49:48.258"</f>
        <v>14:49:48.258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5</v>
      </c>
      <c r="CP251" t="s">
        <v>119</v>
      </c>
      <c r="CQ251">
        <v>285</v>
      </c>
      <c r="CR251">
        <v>0</v>
      </c>
      <c r="CW251">
        <v>8838221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25">
      <c r="A252" t="str">
        <f>"06/05/2020 14:49:42.607"</f>
        <v>06/05/2020 14:49:42.607</v>
      </c>
      <c r="C252" t="str">
        <f t="shared" si="137"/>
        <v>FFDFD3C0</v>
      </c>
      <c r="D252" t="s">
        <v>134</v>
      </c>
      <c r="E252">
        <v>7</v>
      </c>
      <c r="F252">
        <v>2007</v>
      </c>
      <c r="G252" t="s">
        <v>135</v>
      </c>
      <c r="J252" t="s">
        <v>136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"14:49:48.258"</f>
        <v>14:49:48.258</v>
      </c>
      <c r="T252" t="str">
        <f>"14:49:48.158"</f>
        <v>14:49:48.158</v>
      </c>
      <c r="U252" t="str">
        <f t="shared" si="119"/>
        <v>ACC530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1</v>
      </c>
      <c r="AH252">
        <v>0</v>
      </c>
      <c r="AI252" t="s">
        <v>237</v>
      </c>
      <c r="AJ252">
        <v>34.238740999999997</v>
      </c>
      <c r="AK252" t="s">
        <v>238</v>
      </c>
      <c r="AL252">
        <v>-116.892128</v>
      </c>
      <c r="AM252">
        <v>100</v>
      </c>
      <c r="AN252">
        <v>8700</v>
      </c>
      <c r="AO252" t="s">
        <v>118</v>
      </c>
      <c r="AP252">
        <v>-70</v>
      </c>
      <c r="AQ252">
        <v>-49</v>
      </c>
      <c r="AR252">
        <v>448</v>
      </c>
      <c r="AZ252">
        <v>1200</v>
      </c>
      <c r="BA252">
        <v>1</v>
      </c>
      <c r="BB252" t="str">
        <f t="shared" si="120"/>
        <v xml:space="preserve">N9217B  </v>
      </c>
      <c r="BC252">
        <v>1</v>
      </c>
      <c r="BE252">
        <v>0</v>
      </c>
      <c r="BF252">
        <v>0</v>
      </c>
      <c r="BG252">
        <v>0</v>
      </c>
      <c r="BH252">
        <v>8800</v>
      </c>
      <c r="BI252">
        <v>1</v>
      </c>
      <c r="BJ252">
        <v>0</v>
      </c>
      <c r="BK252">
        <v>0</v>
      </c>
      <c r="BL252">
        <v>0</v>
      </c>
      <c r="BO252">
        <v>0</v>
      </c>
      <c r="BP252">
        <v>0</v>
      </c>
      <c r="BW252" t="str">
        <f>"14:49:48.258"</f>
        <v>14:49:48.258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5</v>
      </c>
      <c r="CP252" t="s">
        <v>119</v>
      </c>
      <c r="CQ252">
        <v>285</v>
      </c>
      <c r="CR252">
        <v>0</v>
      </c>
      <c r="CW252">
        <v>8838221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25">
      <c r="A253" t="str">
        <f>"06/05/2020 14:49:42.607"</f>
        <v>06/05/2020 14:49:42.607</v>
      </c>
      <c r="C253" t="str">
        <f t="shared" si="137"/>
        <v>FFDFD3C0</v>
      </c>
      <c r="D253" t="s">
        <v>151</v>
      </c>
      <c r="E253">
        <v>9</v>
      </c>
      <c r="H253">
        <v>226</v>
      </c>
      <c r="I253" t="s">
        <v>152</v>
      </c>
      <c r="J253" t="s">
        <v>150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"14:49:48.258"</f>
        <v>14:49:48.258</v>
      </c>
      <c r="T253" t="str">
        <f>"14:49:48.158"</f>
        <v>14:49:48.158</v>
      </c>
      <c r="U253" t="str">
        <f t="shared" si="119"/>
        <v>ACC530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1</v>
      </c>
      <c r="AH253">
        <v>0</v>
      </c>
      <c r="AI253" t="s">
        <v>237</v>
      </c>
      <c r="AJ253">
        <v>34.238740999999997</v>
      </c>
      <c r="AK253" t="s">
        <v>238</v>
      </c>
      <c r="AL253">
        <v>-116.892128</v>
      </c>
      <c r="AM253">
        <v>100</v>
      </c>
      <c r="AN253">
        <v>8700</v>
      </c>
      <c r="AO253" t="s">
        <v>118</v>
      </c>
      <c r="AP253">
        <v>-70</v>
      </c>
      <c r="AQ253">
        <v>-49</v>
      </c>
      <c r="AR253">
        <v>448</v>
      </c>
      <c r="AZ253">
        <v>1200</v>
      </c>
      <c r="BA253">
        <v>1</v>
      </c>
      <c r="BB253" t="str">
        <f t="shared" si="120"/>
        <v xml:space="preserve">N9217B  </v>
      </c>
      <c r="BC253">
        <v>1</v>
      </c>
      <c r="BE253">
        <v>0</v>
      </c>
      <c r="BF253">
        <v>0</v>
      </c>
      <c r="BG253">
        <v>0</v>
      </c>
      <c r="BH253">
        <v>8800</v>
      </c>
      <c r="BI253">
        <v>1</v>
      </c>
      <c r="BJ253">
        <v>0</v>
      </c>
      <c r="BK253">
        <v>0</v>
      </c>
      <c r="BL253">
        <v>0</v>
      </c>
      <c r="BO253">
        <v>0</v>
      </c>
      <c r="BP253">
        <v>0</v>
      </c>
      <c r="BW253" t="str">
        <f>"14:49:48.258"</f>
        <v>14:49:48.258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5</v>
      </c>
      <c r="CP253" t="s">
        <v>119</v>
      </c>
      <c r="CQ253">
        <v>285</v>
      </c>
      <c r="CR253">
        <v>0</v>
      </c>
      <c r="CW253">
        <v>8838221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25">
      <c r="A254" t="str">
        <f>"06/05/2020 14:49:42.607"</f>
        <v>06/05/2020 14:49:42.607</v>
      </c>
      <c r="C254" t="str">
        <f t="shared" si="137"/>
        <v>FFDFD3C0</v>
      </c>
      <c r="D254" t="s">
        <v>141</v>
      </c>
      <c r="E254">
        <v>20</v>
      </c>
      <c r="F254">
        <v>1020</v>
      </c>
      <c r="G254" t="s">
        <v>114</v>
      </c>
      <c r="J254" t="s">
        <v>142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"14:49:48.258"</f>
        <v>14:49:48.258</v>
      </c>
      <c r="T254" t="str">
        <f>"14:49:48.158"</f>
        <v>14:49:48.158</v>
      </c>
      <c r="U254" t="str">
        <f t="shared" si="119"/>
        <v>ACC530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1</v>
      </c>
      <c r="AH254">
        <v>0</v>
      </c>
      <c r="AI254" t="s">
        <v>237</v>
      </c>
      <c r="AJ254">
        <v>34.238740999999997</v>
      </c>
      <c r="AK254" t="s">
        <v>238</v>
      </c>
      <c r="AL254">
        <v>-116.892128</v>
      </c>
      <c r="AM254">
        <v>100</v>
      </c>
      <c r="AN254">
        <v>8700</v>
      </c>
      <c r="AO254" t="s">
        <v>118</v>
      </c>
      <c r="AP254">
        <v>-70</v>
      </c>
      <c r="AQ254">
        <v>-49</v>
      </c>
      <c r="AR254">
        <v>448</v>
      </c>
      <c r="AZ254">
        <v>1200</v>
      </c>
      <c r="BA254">
        <v>1</v>
      </c>
      <c r="BB254" t="str">
        <f t="shared" si="120"/>
        <v xml:space="preserve">N9217B  </v>
      </c>
      <c r="BC254">
        <v>1</v>
      </c>
      <c r="BE254">
        <v>0</v>
      </c>
      <c r="BF254">
        <v>0</v>
      </c>
      <c r="BG254">
        <v>0</v>
      </c>
      <c r="BH254">
        <v>8800</v>
      </c>
      <c r="BI254">
        <v>1</v>
      </c>
      <c r="BJ254">
        <v>0</v>
      </c>
      <c r="BK254">
        <v>0</v>
      </c>
      <c r="BL254">
        <v>0</v>
      </c>
      <c r="BO254">
        <v>0</v>
      </c>
      <c r="BP254">
        <v>0</v>
      </c>
      <c r="BW254" t="str">
        <f>"14:49:48.258"</f>
        <v>14:49:48.258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5</v>
      </c>
      <c r="CP254" t="s">
        <v>119</v>
      </c>
      <c r="CQ254">
        <v>285</v>
      </c>
      <c r="CR254">
        <v>0</v>
      </c>
      <c r="CW254">
        <v>8838221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25">
      <c r="A255" t="str">
        <f t="shared" ref="A255:A260" si="148">"06/05/2020 14:49:43.661"</f>
        <v>06/05/2020 14:49:43.661</v>
      </c>
      <c r="C255" t="str">
        <f t="shared" si="137"/>
        <v>FFDFD3C0</v>
      </c>
      <c r="D255" t="s">
        <v>141</v>
      </c>
      <c r="E255">
        <v>20</v>
      </c>
      <c r="F255">
        <v>1020</v>
      </c>
      <c r="G255" t="s">
        <v>114</v>
      </c>
      <c r="J255" t="s">
        <v>142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ref="S255:S260" si="149">"14:49:49.289"</f>
        <v>14:49:49.289</v>
      </c>
      <c r="T255" t="str">
        <f t="shared" ref="T255:T260" si="150">"14:49:49.089"</f>
        <v>14:49:49.089</v>
      </c>
      <c r="U255" t="str">
        <f t="shared" si="119"/>
        <v>ACC530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1</v>
      </c>
      <c r="AH255">
        <v>0</v>
      </c>
      <c r="AI255" t="s">
        <v>239</v>
      </c>
      <c r="AJ255">
        <v>34.238526999999998</v>
      </c>
      <c r="AK255" t="s">
        <v>240</v>
      </c>
      <c r="AL255">
        <v>-116.89251400000001</v>
      </c>
      <c r="AM255">
        <v>100</v>
      </c>
      <c r="AN255">
        <v>8700</v>
      </c>
      <c r="AO255" t="s">
        <v>118</v>
      </c>
      <c r="AP255">
        <v>-70</v>
      </c>
      <c r="AQ255">
        <v>-48</v>
      </c>
      <c r="AR255">
        <v>448</v>
      </c>
      <c r="AZ255">
        <v>1200</v>
      </c>
      <c r="BA255">
        <v>1</v>
      </c>
      <c r="BB255" t="str">
        <f t="shared" si="120"/>
        <v xml:space="preserve">N9217B  </v>
      </c>
      <c r="BC255">
        <v>1</v>
      </c>
      <c r="BE255">
        <v>0</v>
      </c>
      <c r="BF255">
        <v>0</v>
      </c>
      <c r="BG255">
        <v>0</v>
      </c>
      <c r="BH255">
        <v>8800</v>
      </c>
      <c r="BI255">
        <v>1</v>
      </c>
      <c r="BJ255">
        <v>0</v>
      </c>
      <c r="BK255">
        <v>0</v>
      </c>
      <c r="BL255">
        <v>0</v>
      </c>
      <c r="BO255">
        <v>0</v>
      </c>
      <c r="BP255">
        <v>0</v>
      </c>
      <c r="BW255" t="str">
        <f t="shared" ref="BW255:BW260" si="151">"14:49:49.293"</f>
        <v>14:49:49.293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5</v>
      </c>
      <c r="CP255" t="s">
        <v>119</v>
      </c>
      <c r="CQ255">
        <v>285</v>
      </c>
      <c r="CR255">
        <v>0</v>
      </c>
      <c r="CW255">
        <v>8838316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25">
      <c r="A256" t="str">
        <f t="shared" si="148"/>
        <v>06/05/2020 14:49:43.661</v>
      </c>
      <c r="C256" t="str">
        <f t="shared" si="137"/>
        <v>FFDFD3C0</v>
      </c>
      <c r="D256" t="s">
        <v>143</v>
      </c>
      <c r="E256">
        <v>10</v>
      </c>
      <c r="F256">
        <v>3010</v>
      </c>
      <c r="G256" t="s">
        <v>144</v>
      </c>
      <c r="J256" t="s">
        <v>145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49"/>
        <v>14:49:49.289</v>
      </c>
      <c r="T256" t="str">
        <f t="shared" si="150"/>
        <v>14:49:49.089</v>
      </c>
      <c r="U256" t="str">
        <f t="shared" si="119"/>
        <v>ACC530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1</v>
      </c>
      <c r="AH256">
        <v>0</v>
      </c>
      <c r="AI256" t="s">
        <v>239</v>
      </c>
      <c r="AJ256">
        <v>34.238526999999998</v>
      </c>
      <c r="AK256" t="s">
        <v>240</v>
      </c>
      <c r="AL256">
        <v>-116.89251400000001</v>
      </c>
      <c r="AM256">
        <v>100</v>
      </c>
      <c r="AN256">
        <v>8700</v>
      </c>
      <c r="AO256" t="s">
        <v>118</v>
      </c>
      <c r="AP256">
        <v>-70</v>
      </c>
      <c r="AQ256">
        <v>-48</v>
      </c>
      <c r="AR256">
        <v>448</v>
      </c>
      <c r="AZ256">
        <v>1200</v>
      </c>
      <c r="BA256">
        <v>1</v>
      </c>
      <c r="BB256" t="str">
        <f t="shared" si="120"/>
        <v xml:space="preserve">N9217B  </v>
      </c>
      <c r="BC256">
        <v>1</v>
      </c>
      <c r="BE256">
        <v>0</v>
      </c>
      <c r="BF256">
        <v>0</v>
      </c>
      <c r="BG256">
        <v>0</v>
      </c>
      <c r="BH256">
        <v>8800</v>
      </c>
      <c r="BI256">
        <v>1</v>
      </c>
      <c r="BJ256">
        <v>0</v>
      </c>
      <c r="BK256">
        <v>0</v>
      </c>
      <c r="BL256">
        <v>0</v>
      </c>
      <c r="BO256">
        <v>0</v>
      </c>
      <c r="BP256">
        <v>0</v>
      </c>
      <c r="BW256" t="str">
        <f t="shared" si="151"/>
        <v>14:49:49.293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2</v>
      </c>
      <c r="CP256" t="s">
        <v>119</v>
      </c>
      <c r="CQ256">
        <v>293</v>
      </c>
      <c r="CR256">
        <v>1</v>
      </c>
      <c r="CW256">
        <v>15267309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25">
      <c r="A257" t="str">
        <f t="shared" si="148"/>
        <v>06/05/2020 14:49:43.661</v>
      </c>
      <c r="C257" t="str">
        <f t="shared" si="137"/>
        <v>FFDFD3C0</v>
      </c>
      <c r="D257" t="s">
        <v>151</v>
      </c>
      <c r="E257">
        <v>9</v>
      </c>
      <c r="H257">
        <v>226</v>
      </c>
      <c r="I257" t="s">
        <v>152</v>
      </c>
      <c r="J257" t="s">
        <v>150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49"/>
        <v>14:49:49.289</v>
      </c>
      <c r="T257" t="str">
        <f t="shared" si="150"/>
        <v>14:49:49.089</v>
      </c>
      <c r="U257" t="str">
        <f t="shared" si="119"/>
        <v>ACC530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1</v>
      </c>
      <c r="AH257">
        <v>0</v>
      </c>
      <c r="AI257" t="s">
        <v>239</v>
      </c>
      <c r="AJ257">
        <v>34.238526999999998</v>
      </c>
      <c r="AK257" t="s">
        <v>240</v>
      </c>
      <c r="AL257">
        <v>-116.89251400000001</v>
      </c>
      <c r="AM257">
        <v>100</v>
      </c>
      <c r="AN257">
        <v>8700</v>
      </c>
      <c r="AO257" t="s">
        <v>118</v>
      </c>
      <c r="AP257">
        <v>-70</v>
      </c>
      <c r="AQ257">
        <v>-48</v>
      </c>
      <c r="AR257">
        <v>448</v>
      </c>
      <c r="AZ257">
        <v>1200</v>
      </c>
      <c r="BA257">
        <v>1</v>
      </c>
      <c r="BB257" t="str">
        <f t="shared" si="120"/>
        <v xml:space="preserve">N9217B  </v>
      </c>
      <c r="BC257">
        <v>1</v>
      </c>
      <c r="BE257">
        <v>0</v>
      </c>
      <c r="BF257">
        <v>0</v>
      </c>
      <c r="BG257">
        <v>0</v>
      </c>
      <c r="BH257">
        <v>8800</v>
      </c>
      <c r="BI257">
        <v>1</v>
      </c>
      <c r="BJ257">
        <v>0</v>
      </c>
      <c r="BK257">
        <v>0</v>
      </c>
      <c r="BL257">
        <v>0</v>
      </c>
      <c r="BO257">
        <v>0</v>
      </c>
      <c r="BP257">
        <v>0</v>
      </c>
      <c r="BW257" t="str">
        <f t="shared" si="151"/>
        <v>14:49:49.293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5</v>
      </c>
      <c r="CP257" t="s">
        <v>119</v>
      </c>
      <c r="CQ257">
        <v>285</v>
      </c>
      <c r="CR257">
        <v>0</v>
      </c>
      <c r="CW257">
        <v>8838316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25">
      <c r="A258" t="str">
        <f t="shared" si="148"/>
        <v>06/05/2020 14:49:43.661</v>
      </c>
      <c r="C258" t="str">
        <f t="shared" si="137"/>
        <v>FFDFD3C0</v>
      </c>
      <c r="D258" t="s">
        <v>113</v>
      </c>
      <c r="E258">
        <v>3</v>
      </c>
      <c r="H258">
        <v>166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49"/>
        <v>14:49:49.289</v>
      </c>
      <c r="T258" t="str">
        <f t="shared" si="150"/>
        <v>14:49:49.089</v>
      </c>
      <c r="U258" t="str">
        <f t="shared" ref="U258:U321" si="152">"ACC530"</f>
        <v>ACC530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1</v>
      </c>
      <c r="AH258">
        <v>0</v>
      </c>
      <c r="AI258" t="s">
        <v>239</v>
      </c>
      <c r="AJ258">
        <v>34.238526999999998</v>
      </c>
      <c r="AK258" t="s">
        <v>240</v>
      </c>
      <c r="AL258">
        <v>-116.89251400000001</v>
      </c>
      <c r="AM258">
        <v>100</v>
      </c>
      <c r="AN258">
        <v>8700</v>
      </c>
      <c r="AO258" t="s">
        <v>118</v>
      </c>
      <c r="AP258">
        <v>-70</v>
      </c>
      <c r="AQ258">
        <v>-48</v>
      </c>
      <c r="AR258">
        <v>448</v>
      </c>
      <c r="AZ258">
        <v>1200</v>
      </c>
      <c r="BA258">
        <v>1</v>
      </c>
      <c r="BB258" t="str">
        <f t="shared" si="120"/>
        <v xml:space="preserve">N9217B  </v>
      </c>
      <c r="BC258">
        <v>1</v>
      </c>
      <c r="BE258">
        <v>0</v>
      </c>
      <c r="BF258">
        <v>0</v>
      </c>
      <c r="BG258">
        <v>0</v>
      </c>
      <c r="BH258">
        <v>8800</v>
      </c>
      <c r="BI258">
        <v>1</v>
      </c>
      <c r="BJ258">
        <v>0</v>
      </c>
      <c r="BK258">
        <v>0</v>
      </c>
      <c r="BL258">
        <v>0</v>
      </c>
      <c r="BO258">
        <v>0</v>
      </c>
      <c r="BP258">
        <v>0</v>
      </c>
      <c r="BW258" t="str">
        <f t="shared" si="151"/>
        <v>14:49:49.293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5</v>
      </c>
      <c r="CP258" t="s">
        <v>119</v>
      </c>
      <c r="CQ258">
        <v>285</v>
      </c>
      <c r="CR258">
        <v>0</v>
      </c>
      <c r="CW258">
        <v>8838316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25">
      <c r="A259" t="str">
        <f t="shared" si="148"/>
        <v>06/05/2020 14:49:43.661</v>
      </c>
      <c r="C259" t="str">
        <f t="shared" si="137"/>
        <v>FFDFD3C0</v>
      </c>
      <c r="D259" t="s">
        <v>148</v>
      </c>
      <c r="E259">
        <v>8</v>
      </c>
      <c r="H259">
        <v>50</v>
      </c>
      <c r="I259" t="s">
        <v>149</v>
      </c>
      <c r="J259" t="s">
        <v>150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49"/>
        <v>14:49:49.289</v>
      </c>
      <c r="T259" t="str">
        <f t="shared" si="150"/>
        <v>14:49:49.089</v>
      </c>
      <c r="U259" t="str">
        <f t="shared" si="152"/>
        <v>ACC530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1</v>
      </c>
      <c r="AH259">
        <v>0</v>
      </c>
      <c r="AI259" t="s">
        <v>239</v>
      </c>
      <c r="AJ259">
        <v>34.238526999999998</v>
      </c>
      <c r="AK259" t="s">
        <v>240</v>
      </c>
      <c r="AL259">
        <v>-116.89251400000001</v>
      </c>
      <c r="AM259">
        <v>100</v>
      </c>
      <c r="AN259">
        <v>8700</v>
      </c>
      <c r="AO259" t="s">
        <v>118</v>
      </c>
      <c r="AP259">
        <v>-70</v>
      </c>
      <c r="AQ259">
        <v>-48</v>
      </c>
      <c r="AR259">
        <v>448</v>
      </c>
      <c r="AZ259">
        <v>1200</v>
      </c>
      <c r="BA259">
        <v>1</v>
      </c>
      <c r="BB259" t="str">
        <f t="shared" si="120"/>
        <v xml:space="preserve">N9217B  </v>
      </c>
      <c r="BC259">
        <v>1</v>
      </c>
      <c r="BE259">
        <v>0</v>
      </c>
      <c r="BF259">
        <v>0</v>
      </c>
      <c r="BG259">
        <v>0</v>
      </c>
      <c r="BH259">
        <v>8800</v>
      </c>
      <c r="BI259">
        <v>1</v>
      </c>
      <c r="BJ259">
        <v>0</v>
      </c>
      <c r="BK259">
        <v>0</v>
      </c>
      <c r="BL259">
        <v>0</v>
      </c>
      <c r="BO259">
        <v>0</v>
      </c>
      <c r="BP259">
        <v>0</v>
      </c>
      <c r="BW259" t="str">
        <f t="shared" si="151"/>
        <v>14:49:49.293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285</v>
      </c>
      <c r="CR259">
        <v>0</v>
      </c>
      <c r="CW259">
        <v>8838316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25">
      <c r="A260" t="str">
        <f t="shared" si="148"/>
        <v>06/05/2020 14:49:43.661</v>
      </c>
      <c r="C260" t="str">
        <f t="shared" si="137"/>
        <v>FFDFD3C0</v>
      </c>
      <c r="D260" t="s">
        <v>134</v>
      </c>
      <c r="E260">
        <v>7</v>
      </c>
      <c r="F260">
        <v>2007</v>
      </c>
      <c r="G260" t="s">
        <v>135</v>
      </c>
      <c r="J260" t="s">
        <v>136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49"/>
        <v>14:49:49.289</v>
      </c>
      <c r="T260" t="str">
        <f t="shared" si="150"/>
        <v>14:49:49.089</v>
      </c>
      <c r="U260" t="str">
        <f t="shared" si="152"/>
        <v>ACC530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1</v>
      </c>
      <c r="AH260">
        <v>0</v>
      </c>
      <c r="AI260" t="s">
        <v>239</v>
      </c>
      <c r="AJ260">
        <v>34.238526999999998</v>
      </c>
      <c r="AK260" t="s">
        <v>240</v>
      </c>
      <c r="AL260">
        <v>-116.89251400000001</v>
      </c>
      <c r="AM260">
        <v>100</v>
      </c>
      <c r="AN260">
        <v>8700</v>
      </c>
      <c r="AO260" t="s">
        <v>118</v>
      </c>
      <c r="AP260">
        <v>-70</v>
      </c>
      <c r="AQ260">
        <v>-48</v>
      </c>
      <c r="AR260">
        <v>448</v>
      </c>
      <c r="AZ260">
        <v>1200</v>
      </c>
      <c r="BA260">
        <v>1</v>
      </c>
      <c r="BB260" t="str">
        <f t="shared" si="120"/>
        <v xml:space="preserve">N9217B  </v>
      </c>
      <c r="BC260">
        <v>1</v>
      </c>
      <c r="BE260">
        <v>0</v>
      </c>
      <c r="BF260">
        <v>0</v>
      </c>
      <c r="BG260">
        <v>0</v>
      </c>
      <c r="BH260">
        <v>8800</v>
      </c>
      <c r="BI260">
        <v>1</v>
      </c>
      <c r="BJ260">
        <v>0</v>
      </c>
      <c r="BK260">
        <v>0</v>
      </c>
      <c r="BL260">
        <v>0</v>
      </c>
      <c r="BO260">
        <v>0</v>
      </c>
      <c r="BP260">
        <v>0</v>
      </c>
      <c r="BW260" t="str">
        <f t="shared" si="151"/>
        <v>14:49:49.293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5</v>
      </c>
      <c r="CP260" t="s">
        <v>119</v>
      </c>
      <c r="CQ260">
        <v>285</v>
      </c>
      <c r="CR260">
        <v>0</v>
      </c>
      <c r="CW260">
        <v>8838316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25">
      <c r="A261" t="str">
        <f t="shared" ref="A261:A266" si="153">"06/05/2020 14:49:44.502"</f>
        <v>06/05/2020 14:49:44.502</v>
      </c>
      <c r="C261" t="str">
        <f t="shared" si="137"/>
        <v>FFDFD3C0</v>
      </c>
      <c r="D261" t="s">
        <v>134</v>
      </c>
      <c r="E261">
        <v>7</v>
      </c>
      <c r="F261">
        <v>2007</v>
      </c>
      <c r="G261" t="s">
        <v>135</v>
      </c>
      <c r="J261" t="s">
        <v>136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ref="S261:T263" si="154">"14:49:50.148"</f>
        <v>14:49:50.148</v>
      </c>
      <c r="T261" t="str">
        <f t="shared" si="154"/>
        <v>14:49:50.148</v>
      </c>
      <c r="U261" t="str">
        <f t="shared" si="152"/>
        <v>ACC530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1</v>
      </c>
      <c r="AH261">
        <v>0</v>
      </c>
      <c r="AI261" t="s">
        <v>241</v>
      </c>
      <c r="AJ261">
        <v>34.238290999999997</v>
      </c>
      <c r="AK261" t="s">
        <v>242</v>
      </c>
      <c r="AL261">
        <v>-116.89287899999999</v>
      </c>
      <c r="AM261">
        <v>100</v>
      </c>
      <c r="AN261">
        <v>8700</v>
      </c>
      <c r="AO261" t="s">
        <v>118</v>
      </c>
      <c r="AP261">
        <v>-70</v>
      </c>
      <c r="AQ261">
        <v>-49</v>
      </c>
      <c r="AR261">
        <v>448</v>
      </c>
      <c r="AZ261">
        <v>1200</v>
      </c>
      <c r="BA261">
        <v>1</v>
      </c>
      <c r="BB261" t="str">
        <f t="shared" ref="BB261:BB324" si="155">"N9217B  "</f>
        <v xml:space="preserve">N9217B  </v>
      </c>
      <c r="BC261">
        <v>1</v>
      </c>
      <c r="BE261">
        <v>0</v>
      </c>
      <c r="BF261">
        <v>0</v>
      </c>
      <c r="BG261">
        <v>0</v>
      </c>
      <c r="BH261">
        <v>8800</v>
      </c>
      <c r="BI261">
        <v>1</v>
      </c>
      <c r="BJ261">
        <v>0</v>
      </c>
      <c r="BK261">
        <v>0</v>
      </c>
      <c r="BL261">
        <v>0</v>
      </c>
      <c r="BO261">
        <v>0</v>
      </c>
      <c r="BP261">
        <v>0</v>
      </c>
      <c r="BW261" t="str">
        <f t="shared" ref="BW261:BW266" si="156">"14:49:50.148"</f>
        <v>14:49:50.148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5</v>
      </c>
      <c r="CP261" t="s">
        <v>119</v>
      </c>
      <c r="CQ261">
        <v>295</v>
      </c>
      <c r="CR261">
        <v>1</v>
      </c>
      <c r="CW261">
        <v>12419665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25">
      <c r="A262" t="str">
        <f t="shared" si="153"/>
        <v>06/05/2020 14:49:44.502</v>
      </c>
      <c r="C262" t="str">
        <f t="shared" si="137"/>
        <v>FFDFD3C0</v>
      </c>
      <c r="D262" t="s">
        <v>143</v>
      </c>
      <c r="E262">
        <v>10</v>
      </c>
      <c r="F262">
        <v>3010</v>
      </c>
      <c r="G262" t="s">
        <v>144</v>
      </c>
      <c r="J262" t="s">
        <v>145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54"/>
        <v>14:49:50.148</v>
      </c>
      <c r="T262" t="str">
        <f t="shared" si="154"/>
        <v>14:49:50.148</v>
      </c>
      <c r="U262" t="str">
        <f t="shared" si="152"/>
        <v>ACC530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1</v>
      </c>
      <c r="AH262">
        <v>0</v>
      </c>
      <c r="AI262" t="s">
        <v>241</v>
      </c>
      <c r="AJ262">
        <v>34.238290999999997</v>
      </c>
      <c r="AK262" t="s">
        <v>242</v>
      </c>
      <c r="AL262">
        <v>-116.89287899999999</v>
      </c>
      <c r="AM262">
        <v>100</v>
      </c>
      <c r="AN262">
        <v>8700</v>
      </c>
      <c r="AO262" t="s">
        <v>118</v>
      </c>
      <c r="AP262">
        <v>-70</v>
      </c>
      <c r="AQ262">
        <v>-49</v>
      </c>
      <c r="AR262">
        <v>448</v>
      </c>
      <c r="AZ262">
        <v>1200</v>
      </c>
      <c r="BA262">
        <v>1</v>
      </c>
      <c r="BB262" t="str">
        <f t="shared" si="155"/>
        <v xml:space="preserve">N9217B  </v>
      </c>
      <c r="BC262">
        <v>1</v>
      </c>
      <c r="BE262">
        <v>0</v>
      </c>
      <c r="BF262">
        <v>0</v>
      </c>
      <c r="BG262">
        <v>0</v>
      </c>
      <c r="BH262">
        <v>8800</v>
      </c>
      <c r="BI262">
        <v>1</v>
      </c>
      <c r="BJ262">
        <v>0</v>
      </c>
      <c r="BK262">
        <v>0</v>
      </c>
      <c r="BL262">
        <v>0</v>
      </c>
      <c r="BO262">
        <v>0</v>
      </c>
      <c r="BP262">
        <v>0</v>
      </c>
      <c r="BW262" t="str">
        <f t="shared" si="156"/>
        <v>14:49:50.148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5</v>
      </c>
      <c r="CP262" t="s">
        <v>119</v>
      </c>
      <c r="CQ262">
        <v>295</v>
      </c>
      <c r="CR262">
        <v>1</v>
      </c>
      <c r="CW262">
        <v>12419665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25">
      <c r="A263" t="str">
        <f t="shared" si="153"/>
        <v>06/05/2020 14:49:44.502</v>
      </c>
      <c r="C263" t="str">
        <f t="shared" si="137"/>
        <v>FFDFD3C0</v>
      </c>
      <c r="D263" t="s">
        <v>141</v>
      </c>
      <c r="E263">
        <v>20</v>
      </c>
      <c r="F263">
        <v>1020</v>
      </c>
      <c r="G263" t="s">
        <v>114</v>
      </c>
      <c r="J263" t="s">
        <v>142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54"/>
        <v>14:49:50.148</v>
      </c>
      <c r="T263" t="str">
        <f t="shared" si="154"/>
        <v>14:49:50.148</v>
      </c>
      <c r="U263" t="str">
        <f t="shared" si="152"/>
        <v>ACC530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1</v>
      </c>
      <c r="AH263">
        <v>0</v>
      </c>
      <c r="AI263" t="s">
        <v>241</v>
      </c>
      <c r="AJ263">
        <v>34.238290999999997</v>
      </c>
      <c r="AK263" t="s">
        <v>242</v>
      </c>
      <c r="AL263">
        <v>-116.89287899999999</v>
      </c>
      <c r="AM263">
        <v>100</v>
      </c>
      <c r="AN263">
        <v>8700</v>
      </c>
      <c r="AO263" t="s">
        <v>118</v>
      </c>
      <c r="AP263">
        <v>-70</v>
      </c>
      <c r="AQ263">
        <v>-49</v>
      </c>
      <c r="AR263">
        <v>448</v>
      </c>
      <c r="AZ263">
        <v>1200</v>
      </c>
      <c r="BA263">
        <v>1</v>
      </c>
      <c r="BB263" t="str">
        <f t="shared" si="155"/>
        <v xml:space="preserve">N9217B  </v>
      </c>
      <c r="BC263">
        <v>1</v>
      </c>
      <c r="BE263">
        <v>0</v>
      </c>
      <c r="BF263">
        <v>0</v>
      </c>
      <c r="BG263">
        <v>0</v>
      </c>
      <c r="BH263">
        <v>8800</v>
      </c>
      <c r="BI263">
        <v>1</v>
      </c>
      <c r="BJ263">
        <v>0</v>
      </c>
      <c r="BK263">
        <v>0</v>
      </c>
      <c r="BL263">
        <v>0</v>
      </c>
      <c r="BO263">
        <v>0</v>
      </c>
      <c r="BP263">
        <v>0</v>
      </c>
      <c r="BW263" t="str">
        <f t="shared" si="156"/>
        <v>14:49:50.148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5</v>
      </c>
      <c r="CP263" t="s">
        <v>119</v>
      </c>
      <c r="CQ263">
        <v>295</v>
      </c>
      <c r="CR263">
        <v>1</v>
      </c>
      <c r="CW263">
        <v>12419665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25">
      <c r="A264" t="str">
        <f t="shared" si="153"/>
        <v>06/05/2020 14:49:44.502</v>
      </c>
      <c r="C264" t="str">
        <f t="shared" si="137"/>
        <v>FFDFD3C0</v>
      </c>
      <c r="D264" t="s">
        <v>151</v>
      </c>
      <c r="E264">
        <v>9</v>
      </c>
      <c r="H264">
        <v>226</v>
      </c>
      <c r="I264" t="s">
        <v>152</v>
      </c>
      <c r="J264" t="s">
        <v>150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"14:49:50.141"</f>
        <v>14:49:50.141</v>
      </c>
      <c r="T264" t="str">
        <f>"14:49:50.141"</f>
        <v>14:49:50.141</v>
      </c>
      <c r="U264" t="str">
        <f t="shared" si="152"/>
        <v>ACC530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1</v>
      </c>
      <c r="AH264">
        <v>0</v>
      </c>
      <c r="AI264" t="s">
        <v>241</v>
      </c>
      <c r="AJ264">
        <v>34.238290999999997</v>
      </c>
      <c r="AK264" t="s">
        <v>242</v>
      </c>
      <c r="AL264">
        <v>-116.89287899999999</v>
      </c>
      <c r="AM264">
        <v>100</v>
      </c>
      <c r="AN264">
        <v>8700</v>
      </c>
      <c r="AO264" t="s">
        <v>118</v>
      </c>
      <c r="AP264">
        <v>-70</v>
      </c>
      <c r="AQ264">
        <v>-49</v>
      </c>
      <c r="AR264">
        <v>448</v>
      </c>
      <c r="AZ264">
        <v>1200</v>
      </c>
      <c r="BA264">
        <v>1</v>
      </c>
      <c r="BB264" t="str">
        <f t="shared" si="155"/>
        <v xml:space="preserve">N9217B  </v>
      </c>
      <c r="BC264">
        <v>1</v>
      </c>
      <c r="BE264">
        <v>0</v>
      </c>
      <c r="BF264">
        <v>0</v>
      </c>
      <c r="BG264">
        <v>0</v>
      </c>
      <c r="BH264">
        <v>8800</v>
      </c>
      <c r="BI264">
        <v>1</v>
      </c>
      <c r="BJ264">
        <v>0</v>
      </c>
      <c r="BK264">
        <v>0</v>
      </c>
      <c r="BL264">
        <v>0</v>
      </c>
      <c r="BO264">
        <v>0</v>
      </c>
      <c r="BP264">
        <v>0</v>
      </c>
      <c r="BW264" t="str">
        <f t="shared" si="156"/>
        <v>14:49:50.148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2</v>
      </c>
      <c r="CP264" t="s">
        <v>119</v>
      </c>
      <c r="CQ264">
        <v>293</v>
      </c>
      <c r="CR264">
        <v>2</v>
      </c>
      <c r="CW264">
        <v>15267413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25">
      <c r="A265" t="str">
        <f t="shared" si="153"/>
        <v>06/05/2020 14:49:44.502</v>
      </c>
      <c r="C265" t="str">
        <f t="shared" si="137"/>
        <v>FFDFD3C0</v>
      </c>
      <c r="D265" t="s">
        <v>113</v>
      </c>
      <c r="E265">
        <v>3</v>
      </c>
      <c r="H265">
        <v>166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"14:49:50.148"</f>
        <v>14:49:50.148</v>
      </c>
      <c r="T265" t="str">
        <f>"14:49:50.148"</f>
        <v>14:49:50.148</v>
      </c>
      <c r="U265" t="str">
        <f t="shared" si="152"/>
        <v>ACC530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1</v>
      </c>
      <c r="AH265">
        <v>0</v>
      </c>
      <c r="AI265" t="s">
        <v>241</v>
      </c>
      <c r="AJ265">
        <v>34.238290999999997</v>
      </c>
      <c r="AK265" t="s">
        <v>242</v>
      </c>
      <c r="AL265">
        <v>-116.89287899999999</v>
      </c>
      <c r="AM265">
        <v>100</v>
      </c>
      <c r="AN265">
        <v>8700</v>
      </c>
      <c r="AO265" t="s">
        <v>118</v>
      </c>
      <c r="AP265">
        <v>-70</v>
      </c>
      <c r="AQ265">
        <v>-49</v>
      </c>
      <c r="AR265">
        <v>448</v>
      </c>
      <c r="AZ265">
        <v>1200</v>
      </c>
      <c r="BA265">
        <v>1</v>
      </c>
      <c r="BB265" t="str">
        <f t="shared" si="155"/>
        <v xml:space="preserve">N9217B  </v>
      </c>
      <c r="BC265">
        <v>1</v>
      </c>
      <c r="BE265">
        <v>0</v>
      </c>
      <c r="BF265">
        <v>0</v>
      </c>
      <c r="BG265">
        <v>0</v>
      </c>
      <c r="BH265">
        <v>8800</v>
      </c>
      <c r="BI265">
        <v>1</v>
      </c>
      <c r="BJ265">
        <v>0</v>
      </c>
      <c r="BK265">
        <v>0</v>
      </c>
      <c r="BL265">
        <v>0</v>
      </c>
      <c r="BO265">
        <v>0</v>
      </c>
      <c r="BP265">
        <v>0</v>
      </c>
      <c r="BW265" t="str">
        <f t="shared" si="156"/>
        <v>14:49:50.148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5</v>
      </c>
      <c r="CP265" t="s">
        <v>119</v>
      </c>
      <c r="CQ265">
        <v>295</v>
      </c>
      <c r="CR265">
        <v>1</v>
      </c>
      <c r="CW265">
        <v>12419665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25">
      <c r="A266" t="str">
        <f t="shared" si="153"/>
        <v>06/05/2020 14:49:44.502</v>
      </c>
      <c r="C266" t="str">
        <f t="shared" si="137"/>
        <v>FFDFD3C0</v>
      </c>
      <c r="D266" t="s">
        <v>148</v>
      </c>
      <c r="E266">
        <v>8</v>
      </c>
      <c r="H266">
        <v>50</v>
      </c>
      <c r="I266" t="s">
        <v>149</v>
      </c>
      <c r="J266" t="s">
        <v>150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"14:49:50.148"</f>
        <v>14:49:50.148</v>
      </c>
      <c r="T266" t="str">
        <f>"14:49:50.148"</f>
        <v>14:49:50.148</v>
      </c>
      <c r="U266" t="str">
        <f t="shared" si="152"/>
        <v>ACC530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1</v>
      </c>
      <c r="AH266">
        <v>0</v>
      </c>
      <c r="AI266" t="s">
        <v>241</v>
      </c>
      <c r="AJ266">
        <v>34.238290999999997</v>
      </c>
      <c r="AK266" t="s">
        <v>242</v>
      </c>
      <c r="AL266">
        <v>-116.89287899999999</v>
      </c>
      <c r="AM266">
        <v>100</v>
      </c>
      <c r="AN266">
        <v>8700</v>
      </c>
      <c r="AO266" t="s">
        <v>118</v>
      </c>
      <c r="AP266">
        <v>-70</v>
      </c>
      <c r="AQ266">
        <v>-49</v>
      </c>
      <c r="AR266">
        <v>448</v>
      </c>
      <c r="AZ266">
        <v>1200</v>
      </c>
      <c r="BA266">
        <v>1</v>
      </c>
      <c r="BB266" t="str">
        <f t="shared" si="155"/>
        <v xml:space="preserve">N9217B  </v>
      </c>
      <c r="BC266">
        <v>1</v>
      </c>
      <c r="BE266">
        <v>0</v>
      </c>
      <c r="BF266">
        <v>0</v>
      </c>
      <c r="BG266">
        <v>0</v>
      </c>
      <c r="BH266">
        <v>8800</v>
      </c>
      <c r="BI266">
        <v>1</v>
      </c>
      <c r="BJ266">
        <v>0</v>
      </c>
      <c r="BK266">
        <v>0</v>
      </c>
      <c r="BL266">
        <v>0</v>
      </c>
      <c r="BO266">
        <v>0</v>
      </c>
      <c r="BP266">
        <v>0</v>
      </c>
      <c r="BW266" t="str">
        <f t="shared" si="156"/>
        <v>14:49:50.148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5</v>
      </c>
      <c r="CP266" t="s">
        <v>119</v>
      </c>
      <c r="CQ266">
        <v>295</v>
      </c>
      <c r="CR266">
        <v>1</v>
      </c>
      <c r="CW266">
        <v>12419665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25">
      <c r="A267" t="str">
        <f t="shared" ref="A267:A272" si="157">"06/05/2020 14:49:45.411"</f>
        <v>06/05/2020 14:49:45.411</v>
      </c>
      <c r="C267" t="str">
        <f t="shared" si="137"/>
        <v>FFDFD3C0</v>
      </c>
      <c r="D267" t="s">
        <v>134</v>
      </c>
      <c r="E267">
        <v>7</v>
      </c>
      <c r="F267">
        <v>2007</v>
      </c>
      <c r="G267" t="s">
        <v>135</v>
      </c>
      <c r="J267" t="s">
        <v>136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"14:49:51.070"</f>
        <v>14:49:51.070</v>
      </c>
      <c r="T267" t="str">
        <f>"14:49:50.770"</f>
        <v>14:49:50.770</v>
      </c>
      <c r="U267" t="str">
        <f t="shared" si="152"/>
        <v>ACC530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1</v>
      </c>
      <c r="AH267">
        <v>0</v>
      </c>
      <c r="AI267" t="s">
        <v>243</v>
      </c>
      <c r="AJ267">
        <v>34.238098000000001</v>
      </c>
      <c r="AK267" t="s">
        <v>244</v>
      </c>
      <c r="AL267">
        <v>-116.89322199999999</v>
      </c>
      <c r="AM267">
        <v>100</v>
      </c>
      <c r="AN267">
        <v>8700</v>
      </c>
      <c r="AO267" t="s">
        <v>118</v>
      </c>
      <c r="AP267">
        <v>-70</v>
      </c>
      <c r="AQ267">
        <v>-49</v>
      </c>
      <c r="AR267">
        <v>448</v>
      </c>
      <c r="AZ267">
        <v>1200</v>
      </c>
      <c r="BA267">
        <v>1</v>
      </c>
      <c r="BB267" t="str">
        <f t="shared" si="155"/>
        <v xml:space="preserve">N9217B  </v>
      </c>
      <c r="BC267">
        <v>1</v>
      </c>
      <c r="BE267">
        <v>0</v>
      </c>
      <c r="BF267">
        <v>0</v>
      </c>
      <c r="BG267">
        <v>0</v>
      </c>
      <c r="BH267">
        <v>8825</v>
      </c>
      <c r="BI267">
        <v>1</v>
      </c>
      <c r="BJ267">
        <v>0</v>
      </c>
      <c r="BK267">
        <v>0</v>
      </c>
      <c r="BL267">
        <v>0</v>
      </c>
      <c r="BO267">
        <v>0</v>
      </c>
      <c r="BP267">
        <v>0</v>
      </c>
      <c r="BW267" t="str">
        <f t="shared" ref="BW267:BW272" si="158">"14:49:51.078"</f>
        <v>14:49:51.078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285</v>
      </c>
      <c r="CR267">
        <v>0</v>
      </c>
      <c r="CW267">
        <v>8838478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25">
      <c r="A268" t="str">
        <f t="shared" si="157"/>
        <v>06/05/2020 14:49:45.411</v>
      </c>
      <c r="C268" t="str">
        <f t="shared" si="137"/>
        <v>FFDFD3C0</v>
      </c>
      <c r="D268" t="s">
        <v>143</v>
      </c>
      <c r="E268">
        <v>10</v>
      </c>
      <c r="F268">
        <v>3010</v>
      </c>
      <c r="G268" t="s">
        <v>144</v>
      </c>
      <c r="J268" t="s">
        <v>145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"14:49:51.078"</f>
        <v>14:49:51.078</v>
      </c>
      <c r="T268" t="str">
        <f>"14:49:50.678"</f>
        <v>14:49:50.678</v>
      </c>
      <c r="U268" t="str">
        <f t="shared" si="152"/>
        <v>ACC530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1</v>
      </c>
      <c r="AH268">
        <v>0</v>
      </c>
      <c r="AI268" t="s">
        <v>243</v>
      </c>
      <c r="AJ268">
        <v>34.238098000000001</v>
      </c>
      <c r="AK268" t="s">
        <v>244</v>
      </c>
      <c r="AL268">
        <v>-116.89322199999999</v>
      </c>
      <c r="AM268">
        <v>100</v>
      </c>
      <c r="AN268">
        <v>8700</v>
      </c>
      <c r="AO268" t="s">
        <v>118</v>
      </c>
      <c r="AP268">
        <v>-70</v>
      </c>
      <c r="AQ268">
        <v>-49</v>
      </c>
      <c r="AR268">
        <v>448</v>
      </c>
      <c r="AZ268">
        <v>1200</v>
      </c>
      <c r="BA268">
        <v>1</v>
      </c>
      <c r="BB268" t="str">
        <f t="shared" si="155"/>
        <v xml:space="preserve">N9217B  </v>
      </c>
      <c r="BC268">
        <v>1</v>
      </c>
      <c r="BE268">
        <v>0</v>
      </c>
      <c r="BF268">
        <v>0</v>
      </c>
      <c r="BG268">
        <v>0</v>
      </c>
      <c r="BH268">
        <v>8825</v>
      </c>
      <c r="BI268">
        <v>1</v>
      </c>
      <c r="BJ268">
        <v>0</v>
      </c>
      <c r="BK268">
        <v>0</v>
      </c>
      <c r="BL268">
        <v>0</v>
      </c>
      <c r="BO268">
        <v>0</v>
      </c>
      <c r="BP268">
        <v>0</v>
      </c>
      <c r="BW268" t="str">
        <f t="shared" si="158"/>
        <v>14:49:51.078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5</v>
      </c>
      <c r="CP268" t="s">
        <v>119</v>
      </c>
      <c r="CQ268">
        <v>295</v>
      </c>
      <c r="CR268">
        <v>1</v>
      </c>
      <c r="CW268">
        <v>12419760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25">
      <c r="A269" t="str">
        <f t="shared" si="157"/>
        <v>06/05/2020 14:49:45.411</v>
      </c>
      <c r="C269" t="str">
        <f t="shared" si="137"/>
        <v>FFDFD3C0</v>
      </c>
      <c r="D269" t="s">
        <v>141</v>
      </c>
      <c r="E269">
        <v>20</v>
      </c>
      <c r="F269">
        <v>1020</v>
      </c>
      <c r="G269" t="s">
        <v>114</v>
      </c>
      <c r="J269" t="s">
        <v>142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"14:49:51.070"</f>
        <v>14:49:51.070</v>
      </c>
      <c r="T269" t="str">
        <f>"14:49:50.770"</f>
        <v>14:49:50.770</v>
      </c>
      <c r="U269" t="str">
        <f t="shared" si="152"/>
        <v>ACC530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1</v>
      </c>
      <c r="AH269">
        <v>0</v>
      </c>
      <c r="AI269" t="s">
        <v>243</v>
      </c>
      <c r="AJ269">
        <v>34.238098000000001</v>
      </c>
      <c r="AK269" t="s">
        <v>244</v>
      </c>
      <c r="AL269">
        <v>-116.89322199999999</v>
      </c>
      <c r="AM269">
        <v>100</v>
      </c>
      <c r="AN269">
        <v>8700</v>
      </c>
      <c r="AO269" t="s">
        <v>118</v>
      </c>
      <c r="AP269">
        <v>-70</v>
      </c>
      <c r="AQ269">
        <v>-49</v>
      </c>
      <c r="AR269">
        <v>448</v>
      </c>
      <c r="AZ269">
        <v>1200</v>
      </c>
      <c r="BA269">
        <v>1</v>
      </c>
      <c r="BB269" t="str">
        <f t="shared" si="155"/>
        <v xml:space="preserve">N9217B  </v>
      </c>
      <c r="BC269">
        <v>1</v>
      </c>
      <c r="BE269">
        <v>0</v>
      </c>
      <c r="BF269">
        <v>0</v>
      </c>
      <c r="BG269">
        <v>0</v>
      </c>
      <c r="BH269">
        <v>8825</v>
      </c>
      <c r="BI269">
        <v>1</v>
      </c>
      <c r="BJ269">
        <v>0</v>
      </c>
      <c r="BK269">
        <v>0</v>
      </c>
      <c r="BL269">
        <v>0</v>
      </c>
      <c r="BO269">
        <v>0</v>
      </c>
      <c r="BP269">
        <v>0</v>
      </c>
      <c r="BW269" t="str">
        <f t="shared" si="158"/>
        <v>14:49:51.078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285</v>
      </c>
      <c r="CR269">
        <v>0</v>
      </c>
      <c r="CW269">
        <v>8838478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25">
      <c r="A270" t="str">
        <f t="shared" si="157"/>
        <v>06/05/2020 14:49:45.411</v>
      </c>
      <c r="C270" t="str">
        <f t="shared" si="137"/>
        <v>FFDFD3C0</v>
      </c>
      <c r="D270" t="s">
        <v>151</v>
      </c>
      <c r="E270">
        <v>9</v>
      </c>
      <c r="H270">
        <v>226</v>
      </c>
      <c r="I270" t="s">
        <v>152</v>
      </c>
      <c r="J270" t="s">
        <v>150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"14:49:51.070"</f>
        <v>14:49:51.070</v>
      </c>
      <c r="T270" t="str">
        <f>"14:49:50.770"</f>
        <v>14:49:50.770</v>
      </c>
      <c r="U270" t="str">
        <f t="shared" si="152"/>
        <v>ACC530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1</v>
      </c>
      <c r="AH270">
        <v>0</v>
      </c>
      <c r="AI270" t="s">
        <v>243</v>
      </c>
      <c r="AJ270">
        <v>34.238098000000001</v>
      </c>
      <c r="AK270" t="s">
        <v>244</v>
      </c>
      <c r="AL270">
        <v>-116.89322199999999</v>
      </c>
      <c r="AM270">
        <v>100</v>
      </c>
      <c r="AN270">
        <v>8700</v>
      </c>
      <c r="AO270" t="s">
        <v>118</v>
      </c>
      <c r="AP270">
        <v>-70</v>
      </c>
      <c r="AQ270">
        <v>-49</v>
      </c>
      <c r="AR270">
        <v>448</v>
      </c>
      <c r="AZ270">
        <v>1200</v>
      </c>
      <c r="BA270">
        <v>1</v>
      </c>
      <c r="BB270" t="str">
        <f t="shared" si="155"/>
        <v xml:space="preserve">N9217B  </v>
      </c>
      <c r="BC270">
        <v>1</v>
      </c>
      <c r="BE270">
        <v>0</v>
      </c>
      <c r="BF270">
        <v>0</v>
      </c>
      <c r="BG270">
        <v>0</v>
      </c>
      <c r="BH270">
        <v>8825</v>
      </c>
      <c r="BI270">
        <v>1</v>
      </c>
      <c r="BJ270">
        <v>0</v>
      </c>
      <c r="BK270">
        <v>0</v>
      </c>
      <c r="BL270">
        <v>0</v>
      </c>
      <c r="BO270">
        <v>0</v>
      </c>
      <c r="BP270">
        <v>0</v>
      </c>
      <c r="BW270" t="str">
        <f t="shared" si="158"/>
        <v>14:49:51.078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285</v>
      </c>
      <c r="CR270">
        <v>0</v>
      </c>
      <c r="CW270">
        <v>8838478</v>
      </c>
      <c r="CY270">
        <v>0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25">
      <c r="A271" t="str">
        <f t="shared" si="157"/>
        <v>06/05/2020 14:49:45.411</v>
      </c>
      <c r="C271" t="str">
        <f t="shared" si="137"/>
        <v>FFDFD3C0</v>
      </c>
      <c r="D271" t="s">
        <v>113</v>
      </c>
      <c r="E271">
        <v>3</v>
      </c>
      <c r="H271">
        <v>166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"14:49:51.070"</f>
        <v>14:49:51.070</v>
      </c>
      <c r="T271" t="str">
        <f>"14:49:50.770"</f>
        <v>14:49:50.770</v>
      </c>
      <c r="U271" t="str">
        <f t="shared" si="152"/>
        <v>ACC530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1</v>
      </c>
      <c r="AH271">
        <v>0</v>
      </c>
      <c r="AI271" t="s">
        <v>243</v>
      </c>
      <c r="AJ271">
        <v>34.238098000000001</v>
      </c>
      <c r="AK271" t="s">
        <v>244</v>
      </c>
      <c r="AL271">
        <v>-116.89322199999999</v>
      </c>
      <c r="AM271">
        <v>100</v>
      </c>
      <c r="AN271">
        <v>8700</v>
      </c>
      <c r="AO271" t="s">
        <v>118</v>
      </c>
      <c r="AP271">
        <v>-70</v>
      </c>
      <c r="AQ271">
        <v>-49</v>
      </c>
      <c r="AR271">
        <v>448</v>
      </c>
      <c r="AZ271">
        <v>1200</v>
      </c>
      <c r="BA271">
        <v>1</v>
      </c>
      <c r="BB271" t="str">
        <f t="shared" si="155"/>
        <v xml:space="preserve">N9217B  </v>
      </c>
      <c r="BC271">
        <v>1</v>
      </c>
      <c r="BE271">
        <v>0</v>
      </c>
      <c r="BF271">
        <v>0</v>
      </c>
      <c r="BG271">
        <v>0</v>
      </c>
      <c r="BH271">
        <v>8825</v>
      </c>
      <c r="BI271">
        <v>1</v>
      </c>
      <c r="BJ271">
        <v>0</v>
      </c>
      <c r="BK271">
        <v>0</v>
      </c>
      <c r="BL271">
        <v>0</v>
      </c>
      <c r="BO271">
        <v>0</v>
      </c>
      <c r="BP271">
        <v>0</v>
      </c>
      <c r="BW271" t="str">
        <f t="shared" si="158"/>
        <v>14:49:51.078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285</v>
      </c>
      <c r="CR271">
        <v>0</v>
      </c>
      <c r="CW271">
        <v>8838478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25">
      <c r="A272" t="str">
        <f t="shared" si="157"/>
        <v>06/05/2020 14:49:45.411</v>
      </c>
      <c r="C272" t="str">
        <f t="shared" si="137"/>
        <v>FFDFD3C0</v>
      </c>
      <c r="D272" t="s">
        <v>148</v>
      </c>
      <c r="E272">
        <v>8</v>
      </c>
      <c r="H272">
        <v>50</v>
      </c>
      <c r="I272" t="s">
        <v>149</v>
      </c>
      <c r="J272" t="s">
        <v>150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"14:49:51.070"</f>
        <v>14:49:51.070</v>
      </c>
      <c r="T272" t="str">
        <f>"14:49:50.770"</f>
        <v>14:49:50.770</v>
      </c>
      <c r="U272" t="str">
        <f t="shared" si="152"/>
        <v>ACC530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1</v>
      </c>
      <c r="AH272">
        <v>0</v>
      </c>
      <c r="AI272" t="s">
        <v>243</v>
      </c>
      <c r="AJ272">
        <v>34.238098000000001</v>
      </c>
      <c r="AK272" t="s">
        <v>244</v>
      </c>
      <c r="AL272">
        <v>-116.89322199999999</v>
      </c>
      <c r="AM272">
        <v>100</v>
      </c>
      <c r="AN272">
        <v>8700</v>
      </c>
      <c r="AO272" t="s">
        <v>118</v>
      </c>
      <c r="AP272">
        <v>-70</v>
      </c>
      <c r="AQ272">
        <v>-49</v>
      </c>
      <c r="AR272">
        <v>448</v>
      </c>
      <c r="AZ272">
        <v>1200</v>
      </c>
      <c r="BA272">
        <v>1</v>
      </c>
      <c r="BB272" t="str">
        <f t="shared" si="155"/>
        <v xml:space="preserve">N9217B  </v>
      </c>
      <c r="BC272">
        <v>1</v>
      </c>
      <c r="BE272">
        <v>0</v>
      </c>
      <c r="BF272">
        <v>0</v>
      </c>
      <c r="BG272">
        <v>0</v>
      </c>
      <c r="BH272">
        <v>8825</v>
      </c>
      <c r="BI272">
        <v>1</v>
      </c>
      <c r="BJ272">
        <v>0</v>
      </c>
      <c r="BK272">
        <v>0</v>
      </c>
      <c r="BL272">
        <v>0</v>
      </c>
      <c r="BO272">
        <v>0</v>
      </c>
      <c r="BP272">
        <v>0</v>
      </c>
      <c r="BW272" t="str">
        <f t="shared" si="158"/>
        <v>14:49:51.078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285</v>
      </c>
      <c r="CR272">
        <v>0</v>
      </c>
      <c r="CW272">
        <v>8838478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25">
      <c r="A273" t="str">
        <f t="shared" ref="A273:A278" si="159">"06/05/2020 14:49:46.380"</f>
        <v>06/05/2020 14:49:46.380</v>
      </c>
      <c r="C273" t="str">
        <f t="shared" si="137"/>
        <v>FFDFD3C0</v>
      </c>
      <c r="D273" t="s">
        <v>141</v>
      </c>
      <c r="E273">
        <v>20</v>
      </c>
      <c r="F273">
        <v>1020</v>
      </c>
      <c r="G273" t="s">
        <v>114</v>
      </c>
      <c r="J273" t="s">
        <v>142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ref="S273:S278" si="160">"14:49:52.008"</f>
        <v>14:49:52.008</v>
      </c>
      <c r="T273" t="str">
        <f t="shared" ref="T273:T278" si="161">"14:49:51.608"</f>
        <v>14:49:51.608</v>
      </c>
      <c r="U273" t="str">
        <f t="shared" si="152"/>
        <v>ACC530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1</v>
      </c>
      <c r="AH273">
        <v>0</v>
      </c>
      <c r="AI273" t="s">
        <v>245</v>
      </c>
      <c r="AJ273">
        <v>34.237882999999997</v>
      </c>
      <c r="AK273" t="s">
        <v>246</v>
      </c>
      <c r="AL273">
        <v>-116.893587</v>
      </c>
      <c r="AM273">
        <v>100</v>
      </c>
      <c r="AN273">
        <v>8700</v>
      </c>
      <c r="AO273" t="s">
        <v>118</v>
      </c>
      <c r="AP273">
        <v>-70</v>
      </c>
      <c r="AQ273">
        <v>-49</v>
      </c>
      <c r="AR273">
        <v>512</v>
      </c>
      <c r="AZ273">
        <v>1200</v>
      </c>
      <c r="BA273">
        <v>1</v>
      </c>
      <c r="BB273" t="str">
        <f t="shared" si="155"/>
        <v xml:space="preserve">N9217B  </v>
      </c>
      <c r="BC273">
        <v>1</v>
      </c>
      <c r="BE273">
        <v>0</v>
      </c>
      <c r="BF273">
        <v>0</v>
      </c>
      <c r="BG273">
        <v>0</v>
      </c>
      <c r="BH273">
        <v>8825</v>
      </c>
      <c r="BI273">
        <v>1</v>
      </c>
      <c r="BJ273">
        <v>0</v>
      </c>
      <c r="BK273">
        <v>0</v>
      </c>
      <c r="BL273">
        <v>0</v>
      </c>
      <c r="BO273">
        <v>0</v>
      </c>
      <c r="BP273">
        <v>0</v>
      </c>
      <c r="BW273" t="str">
        <f t="shared" ref="BW273:BW278" si="162">"14:49:52.008"</f>
        <v>14:49:52.008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285</v>
      </c>
      <c r="CR273">
        <v>0</v>
      </c>
      <c r="CW273">
        <v>8838553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25">
      <c r="A274" t="str">
        <f t="shared" si="159"/>
        <v>06/05/2020 14:49:46.380</v>
      </c>
      <c r="C274" t="str">
        <f t="shared" si="137"/>
        <v>FFDFD3C0</v>
      </c>
      <c r="D274" t="s">
        <v>151</v>
      </c>
      <c r="E274">
        <v>9</v>
      </c>
      <c r="H274">
        <v>226</v>
      </c>
      <c r="I274" t="s">
        <v>152</v>
      </c>
      <c r="J274" t="s">
        <v>150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60"/>
        <v>14:49:52.008</v>
      </c>
      <c r="T274" t="str">
        <f t="shared" si="161"/>
        <v>14:49:51.608</v>
      </c>
      <c r="U274" t="str">
        <f t="shared" si="152"/>
        <v>ACC530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1</v>
      </c>
      <c r="AH274">
        <v>0</v>
      </c>
      <c r="AI274" t="s">
        <v>245</v>
      </c>
      <c r="AJ274">
        <v>34.237882999999997</v>
      </c>
      <c r="AK274" t="s">
        <v>246</v>
      </c>
      <c r="AL274">
        <v>-116.893587</v>
      </c>
      <c r="AM274">
        <v>100</v>
      </c>
      <c r="AN274">
        <v>8700</v>
      </c>
      <c r="AO274" t="s">
        <v>118</v>
      </c>
      <c r="AP274">
        <v>-70</v>
      </c>
      <c r="AQ274">
        <v>-49</v>
      </c>
      <c r="AR274">
        <v>512</v>
      </c>
      <c r="AZ274">
        <v>1200</v>
      </c>
      <c r="BA274">
        <v>1</v>
      </c>
      <c r="BB274" t="str">
        <f t="shared" si="155"/>
        <v xml:space="preserve">N9217B  </v>
      </c>
      <c r="BC274">
        <v>1</v>
      </c>
      <c r="BE274">
        <v>0</v>
      </c>
      <c r="BF274">
        <v>0</v>
      </c>
      <c r="BG274">
        <v>0</v>
      </c>
      <c r="BH274">
        <v>8825</v>
      </c>
      <c r="BI274">
        <v>1</v>
      </c>
      <c r="BJ274">
        <v>0</v>
      </c>
      <c r="BK274">
        <v>0</v>
      </c>
      <c r="BL274">
        <v>0</v>
      </c>
      <c r="BO274">
        <v>0</v>
      </c>
      <c r="BP274">
        <v>0</v>
      </c>
      <c r="BW274" t="str">
        <f t="shared" si="162"/>
        <v>14:49:52.008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285</v>
      </c>
      <c r="CR274">
        <v>0</v>
      </c>
      <c r="CW274">
        <v>8838553</v>
      </c>
      <c r="CY274">
        <v>0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25">
      <c r="A275" t="str">
        <f t="shared" si="159"/>
        <v>06/05/2020 14:49:46.380</v>
      </c>
      <c r="C275" t="str">
        <f t="shared" si="137"/>
        <v>FFDFD3C0</v>
      </c>
      <c r="D275" t="s">
        <v>113</v>
      </c>
      <c r="E275">
        <v>3</v>
      </c>
      <c r="H275">
        <v>166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60"/>
        <v>14:49:52.008</v>
      </c>
      <c r="T275" t="str">
        <f t="shared" si="161"/>
        <v>14:49:51.608</v>
      </c>
      <c r="U275" t="str">
        <f t="shared" si="152"/>
        <v>ACC530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1</v>
      </c>
      <c r="AH275">
        <v>0</v>
      </c>
      <c r="AI275" t="s">
        <v>245</v>
      </c>
      <c r="AJ275">
        <v>34.237882999999997</v>
      </c>
      <c r="AK275" t="s">
        <v>246</v>
      </c>
      <c r="AL275">
        <v>-116.893587</v>
      </c>
      <c r="AM275">
        <v>100</v>
      </c>
      <c r="AN275">
        <v>8700</v>
      </c>
      <c r="AO275" t="s">
        <v>118</v>
      </c>
      <c r="AP275">
        <v>-70</v>
      </c>
      <c r="AQ275">
        <v>-49</v>
      </c>
      <c r="AR275">
        <v>512</v>
      </c>
      <c r="AZ275">
        <v>1200</v>
      </c>
      <c r="BA275">
        <v>1</v>
      </c>
      <c r="BB275" t="str">
        <f t="shared" si="155"/>
        <v xml:space="preserve">N9217B  </v>
      </c>
      <c r="BC275">
        <v>1</v>
      </c>
      <c r="BE275">
        <v>0</v>
      </c>
      <c r="BF275">
        <v>0</v>
      </c>
      <c r="BG275">
        <v>0</v>
      </c>
      <c r="BH275">
        <v>8825</v>
      </c>
      <c r="BI275">
        <v>1</v>
      </c>
      <c r="BJ275">
        <v>0</v>
      </c>
      <c r="BK275">
        <v>0</v>
      </c>
      <c r="BL275">
        <v>0</v>
      </c>
      <c r="BO275">
        <v>0</v>
      </c>
      <c r="BP275">
        <v>0</v>
      </c>
      <c r="BW275" t="str">
        <f t="shared" si="162"/>
        <v>14:49:52.008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285</v>
      </c>
      <c r="CR275">
        <v>0</v>
      </c>
      <c r="CW275">
        <v>8838553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25">
      <c r="A276" t="str">
        <f t="shared" si="159"/>
        <v>06/05/2020 14:49:46.380</v>
      </c>
      <c r="C276" t="str">
        <f t="shared" si="137"/>
        <v>FFDFD3C0</v>
      </c>
      <c r="D276" t="s">
        <v>148</v>
      </c>
      <c r="E276">
        <v>8</v>
      </c>
      <c r="H276">
        <v>50</v>
      </c>
      <c r="I276" t="s">
        <v>149</v>
      </c>
      <c r="J276" t="s">
        <v>150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60"/>
        <v>14:49:52.008</v>
      </c>
      <c r="T276" t="str">
        <f t="shared" si="161"/>
        <v>14:49:51.608</v>
      </c>
      <c r="U276" t="str">
        <f t="shared" si="152"/>
        <v>ACC530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1</v>
      </c>
      <c r="AH276">
        <v>0</v>
      </c>
      <c r="AI276" t="s">
        <v>245</v>
      </c>
      <c r="AJ276">
        <v>34.237882999999997</v>
      </c>
      <c r="AK276" t="s">
        <v>246</v>
      </c>
      <c r="AL276">
        <v>-116.893587</v>
      </c>
      <c r="AM276">
        <v>100</v>
      </c>
      <c r="AN276">
        <v>8700</v>
      </c>
      <c r="AO276" t="s">
        <v>118</v>
      </c>
      <c r="AP276">
        <v>-70</v>
      </c>
      <c r="AQ276">
        <v>-49</v>
      </c>
      <c r="AR276">
        <v>512</v>
      </c>
      <c r="AZ276">
        <v>1200</v>
      </c>
      <c r="BA276">
        <v>1</v>
      </c>
      <c r="BB276" t="str">
        <f t="shared" si="155"/>
        <v xml:space="preserve">N9217B  </v>
      </c>
      <c r="BC276">
        <v>1</v>
      </c>
      <c r="BE276">
        <v>0</v>
      </c>
      <c r="BF276">
        <v>0</v>
      </c>
      <c r="BG276">
        <v>0</v>
      </c>
      <c r="BH276">
        <v>8825</v>
      </c>
      <c r="BI276">
        <v>1</v>
      </c>
      <c r="BJ276">
        <v>0</v>
      </c>
      <c r="BK276">
        <v>0</v>
      </c>
      <c r="BL276">
        <v>0</v>
      </c>
      <c r="BO276">
        <v>0</v>
      </c>
      <c r="BP276">
        <v>0</v>
      </c>
      <c r="BW276" t="str">
        <f t="shared" si="162"/>
        <v>14:49:52.008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285</v>
      </c>
      <c r="CR276">
        <v>0</v>
      </c>
      <c r="CW276">
        <v>8838553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25">
      <c r="A277" t="str">
        <f t="shared" si="159"/>
        <v>06/05/2020 14:49:46.380</v>
      </c>
      <c r="C277" t="str">
        <f t="shared" si="137"/>
        <v>FFDFD3C0</v>
      </c>
      <c r="D277" t="s">
        <v>143</v>
      </c>
      <c r="E277">
        <v>10</v>
      </c>
      <c r="F277">
        <v>3010</v>
      </c>
      <c r="G277" t="s">
        <v>144</v>
      </c>
      <c r="J277" t="s">
        <v>145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60"/>
        <v>14:49:52.008</v>
      </c>
      <c r="T277" t="str">
        <f t="shared" si="161"/>
        <v>14:49:51.608</v>
      </c>
      <c r="U277" t="str">
        <f t="shared" si="152"/>
        <v>ACC530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1</v>
      </c>
      <c r="AH277">
        <v>0</v>
      </c>
      <c r="AI277" t="s">
        <v>245</v>
      </c>
      <c r="AJ277">
        <v>34.237882999999997</v>
      </c>
      <c r="AK277" t="s">
        <v>246</v>
      </c>
      <c r="AL277">
        <v>-116.893587</v>
      </c>
      <c r="AM277">
        <v>100</v>
      </c>
      <c r="AN277">
        <v>8700</v>
      </c>
      <c r="AO277" t="s">
        <v>118</v>
      </c>
      <c r="AP277">
        <v>-70</v>
      </c>
      <c r="AQ277">
        <v>-49</v>
      </c>
      <c r="AR277">
        <v>512</v>
      </c>
      <c r="AZ277">
        <v>1200</v>
      </c>
      <c r="BA277">
        <v>1</v>
      </c>
      <c r="BB277" t="str">
        <f t="shared" si="155"/>
        <v xml:space="preserve">N9217B  </v>
      </c>
      <c r="BC277">
        <v>1</v>
      </c>
      <c r="BE277">
        <v>0</v>
      </c>
      <c r="BF277">
        <v>0</v>
      </c>
      <c r="BG277">
        <v>0</v>
      </c>
      <c r="BH277">
        <v>8825</v>
      </c>
      <c r="BI277">
        <v>1</v>
      </c>
      <c r="BJ277">
        <v>0</v>
      </c>
      <c r="BK277">
        <v>0</v>
      </c>
      <c r="BL277">
        <v>0</v>
      </c>
      <c r="BO277">
        <v>0</v>
      </c>
      <c r="BP277">
        <v>0</v>
      </c>
      <c r="BW277" t="str">
        <f t="shared" si="162"/>
        <v>14:49:52.008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5</v>
      </c>
      <c r="CP277" t="s">
        <v>119</v>
      </c>
      <c r="CQ277">
        <v>295</v>
      </c>
      <c r="CR277">
        <v>1</v>
      </c>
      <c r="CW277">
        <v>12419852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25">
      <c r="A278" t="str">
        <f t="shared" si="159"/>
        <v>06/05/2020 14:49:46.380</v>
      </c>
      <c r="C278" t="str">
        <f t="shared" si="137"/>
        <v>FFDFD3C0</v>
      </c>
      <c r="D278" t="s">
        <v>134</v>
      </c>
      <c r="E278">
        <v>7</v>
      </c>
      <c r="F278">
        <v>2007</v>
      </c>
      <c r="G278" t="s">
        <v>135</v>
      </c>
      <c r="J278" t="s">
        <v>136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60"/>
        <v>14:49:52.008</v>
      </c>
      <c r="T278" t="str">
        <f t="shared" si="161"/>
        <v>14:49:51.608</v>
      </c>
      <c r="U278" t="str">
        <f t="shared" si="152"/>
        <v>ACC530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1</v>
      </c>
      <c r="AH278">
        <v>0</v>
      </c>
      <c r="AI278" t="s">
        <v>245</v>
      </c>
      <c r="AJ278">
        <v>34.237882999999997</v>
      </c>
      <c r="AK278" t="s">
        <v>246</v>
      </c>
      <c r="AL278">
        <v>-116.893587</v>
      </c>
      <c r="AM278">
        <v>100</v>
      </c>
      <c r="AN278">
        <v>8700</v>
      </c>
      <c r="AO278" t="s">
        <v>118</v>
      </c>
      <c r="AP278">
        <v>-70</v>
      </c>
      <c r="AQ278">
        <v>-49</v>
      </c>
      <c r="AR278">
        <v>512</v>
      </c>
      <c r="AZ278">
        <v>1200</v>
      </c>
      <c r="BA278">
        <v>1</v>
      </c>
      <c r="BB278" t="str">
        <f t="shared" si="155"/>
        <v xml:space="preserve">N9217B  </v>
      </c>
      <c r="BC278">
        <v>1</v>
      </c>
      <c r="BE278">
        <v>0</v>
      </c>
      <c r="BF278">
        <v>0</v>
      </c>
      <c r="BG278">
        <v>0</v>
      </c>
      <c r="BH278">
        <v>8825</v>
      </c>
      <c r="BI278">
        <v>1</v>
      </c>
      <c r="BJ278">
        <v>0</v>
      </c>
      <c r="BK278">
        <v>0</v>
      </c>
      <c r="BL278">
        <v>0</v>
      </c>
      <c r="BO278">
        <v>0</v>
      </c>
      <c r="BP278">
        <v>0</v>
      </c>
      <c r="BW278" t="str">
        <f t="shared" si="162"/>
        <v>14:49:52.008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285</v>
      </c>
      <c r="CR278">
        <v>0</v>
      </c>
      <c r="CW278">
        <v>8838553</v>
      </c>
      <c r="CY278">
        <v>0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25">
      <c r="A279" t="str">
        <f t="shared" ref="A279:A284" si="163">"06/05/2020 14:49:47.479"</f>
        <v>06/05/2020 14:49:47.479</v>
      </c>
      <c r="C279" t="str">
        <f t="shared" si="137"/>
        <v>FFDFD3C0</v>
      </c>
      <c r="D279" t="s">
        <v>134</v>
      </c>
      <c r="E279">
        <v>7</v>
      </c>
      <c r="F279">
        <v>2007</v>
      </c>
      <c r="G279" t="s">
        <v>135</v>
      </c>
      <c r="J279" t="s">
        <v>136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ref="S279:T284" si="164">"14:49:53.102"</f>
        <v>14:49:53.102</v>
      </c>
      <c r="T279" t="str">
        <f t="shared" si="164"/>
        <v>14:49:53.102</v>
      </c>
      <c r="U279" t="str">
        <f t="shared" si="152"/>
        <v>ACC530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1</v>
      </c>
      <c r="AH279">
        <v>0</v>
      </c>
      <c r="AI279" t="s">
        <v>247</v>
      </c>
      <c r="AJ279">
        <v>34.237625999999999</v>
      </c>
      <c r="AK279" t="s">
        <v>248</v>
      </c>
      <c r="AL279">
        <v>-116.893952</v>
      </c>
      <c r="AM279">
        <v>100</v>
      </c>
      <c r="AN279">
        <v>8700</v>
      </c>
      <c r="AO279" t="s">
        <v>118</v>
      </c>
      <c r="AP279">
        <v>-69</v>
      </c>
      <c r="AQ279">
        <v>-50</v>
      </c>
      <c r="AR279">
        <v>576</v>
      </c>
      <c r="AZ279">
        <v>1200</v>
      </c>
      <c r="BA279">
        <v>1</v>
      </c>
      <c r="BB279" t="str">
        <f t="shared" si="155"/>
        <v xml:space="preserve">N9217B  </v>
      </c>
      <c r="BC279">
        <v>1</v>
      </c>
      <c r="BE279">
        <v>0</v>
      </c>
      <c r="BF279">
        <v>0</v>
      </c>
      <c r="BG279">
        <v>0</v>
      </c>
      <c r="BH279">
        <v>8850</v>
      </c>
      <c r="BI279">
        <v>1</v>
      </c>
      <c r="BJ279">
        <v>0</v>
      </c>
      <c r="BK279">
        <v>0</v>
      </c>
      <c r="BL279">
        <v>0</v>
      </c>
      <c r="BO279">
        <v>0</v>
      </c>
      <c r="BP279">
        <v>0</v>
      </c>
      <c r="BW279" t="str">
        <f t="shared" ref="BW279:BW284" si="165">"14:49:53.103"</f>
        <v>14:49:53.103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285</v>
      </c>
      <c r="CR279">
        <v>0</v>
      </c>
      <c r="CW279">
        <v>8838649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25">
      <c r="A280" t="str">
        <f t="shared" si="163"/>
        <v>06/05/2020 14:49:47.479</v>
      </c>
      <c r="C280" t="str">
        <f t="shared" si="137"/>
        <v>FFDFD3C0</v>
      </c>
      <c r="D280" t="s">
        <v>141</v>
      </c>
      <c r="E280">
        <v>20</v>
      </c>
      <c r="F280">
        <v>1020</v>
      </c>
      <c r="G280" t="s">
        <v>114</v>
      </c>
      <c r="J280" t="s">
        <v>142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64"/>
        <v>14:49:53.102</v>
      </c>
      <c r="T280" t="str">
        <f t="shared" si="164"/>
        <v>14:49:53.102</v>
      </c>
      <c r="U280" t="str">
        <f t="shared" si="152"/>
        <v>ACC530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1</v>
      </c>
      <c r="AH280">
        <v>0</v>
      </c>
      <c r="AI280" t="s">
        <v>247</v>
      </c>
      <c r="AJ280">
        <v>34.237625999999999</v>
      </c>
      <c r="AK280" t="s">
        <v>248</v>
      </c>
      <c r="AL280">
        <v>-116.893952</v>
      </c>
      <c r="AM280">
        <v>100</v>
      </c>
      <c r="AN280">
        <v>8700</v>
      </c>
      <c r="AO280" t="s">
        <v>118</v>
      </c>
      <c r="AP280">
        <v>-69</v>
      </c>
      <c r="AQ280">
        <v>-50</v>
      </c>
      <c r="AR280">
        <v>576</v>
      </c>
      <c r="AZ280">
        <v>1200</v>
      </c>
      <c r="BA280">
        <v>1</v>
      </c>
      <c r="BB280" t="str">
        <f t="shared" si="155"/>
        <v xml:space="preserve">N9217B  </v>
      </c>
      <c r="BC280">
        <v>1</v>
      </c>
      <c r="BE280">
        <v>0</v>
      </c>
      <c r="BF280">
        <v>0</v>
      </c>
      <c r="BG280">
        <v>0</v>
      </c>
      <c r="BH280">
        <v>8850</v>
      </c>
      <c r="BI280">
        <v>1</v>
      </c>
      <c r="BJ280">
        <v>0</v>
      </c>
      <c r="BK280">
        <v>0</v>
      </c>
      <c r="BL280">
        <v>0</v>
      </c>
      <c r="BO280">
        <v>0</v>
      </c>
      <c r="BP280">
        <v>0</v>
      </c>
      <c r="BW280" t="str">
        <f t="shared" si="165"/>
        <v>14:49:53.103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285</v>
      </c>
      <c r="CR280">
        <v>0</v>
      </c>
      <c r="CW280">
        <v>8838649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25">
      <c r="A281" t="str">
        <f t="shared" si="163"/>
        <v>06/05/2020 14:49:47.479</v>
      </c>
      <c r="C281" t="str">
        <f t="shared" si="137"/>
        <v>FFDFD3C0</v>
      </c>
      <c r="D281" t="s">
        <v>113</v>
      </c>
      <c r="E281">
        <v>3</v>
      </c>
      <c r="H281">
        <v>166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64"/>
        <v>14:49:53.102</v>
      </c>
      <c r="T281" t="str">
        <f t="shared" si="164"/>
        <v>14:49:53.102</v>
      </c>
      <c r="U281" t="str">
        <f t="shared" si="152"/>
        <v>ACC530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1</v>
      </c>
      <c r="AH281">
        <v>0</v>
      </c>
      <c r="AI281" t="s">
        <v>247</v>
      </c>
      <c r="AJ281">
        <v>34.237625999999999</v>
      </c>
      <c r="AK281" t="s">
        <v>248</v>
      </c>
      <c r="AL281">
        <v>-116.893952</v>
      </c>
      <c r="AM281">
        <v>100</v>
      </c>
      <c r="AN281">
        <v>8700</v>
      </c>
      <c r="AO281" t="s">
        <v>118</v>
      </c>
      <c r="AP281">
        <v>-69</v>
      </c>
      <c r="AQ281">
        <v>-50</v>
      </c>
      <c r="AR281">
        <v>576</v>
      </c>
      <c r="AZ281">
        <v>1200</v>
      </c>
      <c r="BA281">
        <v>1</v>
      </c>
      <c r="BB281" t="str">
        <f t="shared" si="155"/>
        <v xml:space="preserve">N9217B  </v>
      </c>
      <c r="BC281">
        <v>1</v>
      </c>
      <c r="BE281">
        <v>0</v>
      </c>
      <c r="BF281">
        <v>0</v>
      </c>
      <c r="BG281">
        <v>0</v>
      </c>
      <c r="BH281">
        <v>8850</v>
      </c>
      <c r="BI281">
        <v>1</v>
      </c>
      <c r="BJ281">
        <v>0</v>
      </c>
      <c r="BK281">
        <v>0</v>
      </c>
      <c r="BL281">
        <v>0</v>
      </c>
      <c r="BO281">
        <v>0</v>
      </c>
      <c r="BP281">
        <v>0</v>
      </c>
      <c r="BW281" t="str">
        <f t="shared" si="165"/>
        <v>14:49:53.103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285</v>
      </c>
      <c r="CR281">
        <v>0</v>
      </c>
      <c r="CW281">
        <v>8838649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25">
      <c r="A282" t="str">
        <f t="shared" si="163"/>
        <v>06/05/2020 14:49:47.479</v>
      </c>
      <c r="C282" t="str">
        <f t="shared" si="137"/>
        <v>FFDFD3C0</v>
      </c>
      <c r="D282" t="s">
        <v>151</v>
      </c>
      <c r="E282">
        <v>9</v>
      </c>
      <c r="H282">
        <v>226</v>
      </c>
      <c r="I282" t="s">
        <v>152</v>
      </c>
      <c r="J282" t="s">
        <v>150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64"/>
        <v>14:49:53.102</v>
      </c>
      <c r="T282" t="str">
        <f t="shared" si="164"/>
        <v>14:49:53.102</v>
      </c>
      <c r="U282" t="str">
        <f t="shared" si="152"/>
        <v>ACC530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1</v>
      </c>
      <c r="AH282">
        <v>0</v>
      </c>
      <c r="AI282" t="s">
        <v>247</v>
      </c>
      <c r="AJ282">
        <v>34.237625999999999</v>
      </c>
      <c r="AK282" t="s">
        <v>248</v>
      </c>
      <c r="AL282">
        <v>-116.893952</v>
      </c>
      <c r="AM282">
        <v>100</v>
      </c>
      <c r="AN282">
        <v>8700</v>
      </c>
      <c r="AO282" t="s">
        <v>118</v>
      </c>
      <c r="AP282">
        <v>-69</v>
      </c>
      <c r="AQ282">
        <v>-50</v>
      </c>
      <c r="AR282">
        <v>576</v>
      </c>
      <c r="AZ282">
        <v>1200</v>
      </c>
      <c r="BA282">
        <v>1</v>
      </c>
      <c r="BB282" t="str">
        <f t="shared" si="155"/>
        <v xml:space="preserve">N9217B  </v>
      </c>
      <c r="BC282">
        <v>1</v>
      </c>
      <c r="BE282">
        <v>0</v>
      </c>
      <c r="BF282">
        <v>0</v>
      </c>
      <c r="BG282">
        <v>0</v>
      </c>
      <c r="BH282">
        <v>8850</v>
      </c>
      <c r="BI282">
        <v>1</v>
      </c>
      <c r="BJ282">
        <v>0</v>
      </c>
      <c r="BK282">
        <v>0</v>
      </c>
      <c r="BL282">
        <v>0</v>
      </c>
      <c r="BO282">
        <v>0</v>
      </c>
      <c r="BP282">
        <v>0</v>
      </c>
      <c r="BW282" t="str">
        <f t="shared" si="165"/>
        <v>14:49:53.103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285</v>
      </c>
      <c r="CR282">
        <v>0</v>
      </c>
      <c r="CW282">
        <v>8838649</v>
      </c>
      <c r="CY282">
        <v>0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25">
      <c r="A283" t="str">
        <f t="shared" si="163"/>
        <v>06/05/2020 14:49:47.479</v>
      </c>
      <c r="C283" t="str">
        <f t="shared" si="137"/>
        <v>FFDFD3C0</v>
      </c>
      <c r="D283" t="s">
        <v>148</v>
      </c>
      <c r="E283">
        <v>8</v>
      </c>
      <c r="H283">
        <v>50</v>
      </c>
      <c r="I283" t="s">
        <v>149</v>
      </c>
      <c r="J283" t="s">
        <v>150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64"/>
        <v>14:49:53.102</v>
      </c>
      <c r="T283" t="str">
        <f t="shared" si="164"/>
        <v>14:49:53.102</v>
      </c>
      <c r="U283" t="str">
        <f t="shared" si="152"/>
        <v>ACC530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1</v>
      </c>
      <c r="AH283">
        <v>0</v>
      </c>
      <c r="AI283" t="s">
        <v>247</v>
      </c>
      <c r="AJ283">
        <v>34.237625999999999</v>
      </c>
      <c r="AK283" t="s">
        <v>248</v>
      </c>
      <c r="AL283">
        <v>-116.893952</v>
      </c>
      <c r="AM283">
        <v>100</v>
      </c>
      <c r="AN283">
        <v>8700</v>
      </c>
      <c r="AO283" t="s">
        <v>118</v>
      </c>
      <c r="AP283">
        <v>-69</v>
      </c>
      <c r="AQ283">
        <v>-50</v>
      </c>
      <c r="AR283">
        <v>576</v>
      </c>
      <c r="AZ283">
        <v>1200</v>
      </c>
      <c r="BA283">
        <v>1</v>
      </c>
      <c r="BB283" t="str">
        <f t="shared" si="155"/>
        <v xml:space="preserve">N9217B  </v>
      </c>
      <c r="BC283">
        <v>1</v>
      </c>
      <c r="BE283">
        <v>0</v>
      </c>
      <c r="BF283">
        <v>0</v>
      </c>
      <c r="BG283">
        <v>0</v>
      </c>
      <c r="BH283">
        <v>8850</v>
      </c>
      <c r="BI283">
        <v>1</v>
      </c>
      <c r="BJ283">
        <v>0</v>
      </c>
      <c r="BK283">
        <v>0</v>
      </c>
      <c r="BL283">
        <v>0</v>
      </c>
      <c r="BO283">
        <v>0</v>
      </c>
      <c r="BP283">
        <v>0</v>
      </c>
      <c r="BW283" t="str">
        <f t="shared" si="165"/>
        <v>14:49:53.103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285</v>
      </c>
      <c r="CR283">
        <v>0</v>
      </c>
      <c r="CW283">
        <v>8838649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25">
      <c r="A284" t="str">
        <f t="shared" si="163"/>
        <v>06/05/2020 14:49:47.479</v>
      </c>
      <c r="C284" t="str">
        <f t="shared" si="137"/>
        <v>FFDFD3C0</v>
      </c>
      <c r="D284" t="s">
        <v>143</v>
      </c>
      <c r="E284">
        <v>10</v>
      </c>
      <c r="F284">
        <v>3010</v>
      </c>
      <c r="G284" t="s">
        <v>144</v>
      </c>
      <c r="J284" t="s">
        <v>145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64"/>
        <v>14:49:53.102</v>
      </c>
      <c r="T284" t="str">
        <f t="shared" si="164"/>
        <v>14:49:53.102</v>
      </c>
      <c r="U284" t="str">
        <f t="shared" si="152"/>
        <v>ACC530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1</v>
      </c>
      <c r="AH284">
        <v>0</v>
      </c>
      <c r="AI284" t="s">
        <v>247</v>
      </c>
      <c r="AJ284">
        <v>34.237625999999999</v>
      </c>
      <c r="AK284" t="s">
        <v>248</v>
      </c>
      <c r="AL284">
        <v>-116.893952</v>
      </c>
      <c r="AM284">
        <v>100</v>
      </c>
      <c r="AN284">
        <v>8700</v>
      </c>
      <c r="AO284" t="s">
        <v>118</v>
      </c>
      <c r="AP284">
        <v>-69</v>
      </c>
      <c r="AQ284">
        <v>-50</v>
      </c>
      <c r="AR284">
        <v>576</v>
      </c>
      <c r="AZ284">
        <v>1200</v>
      </c>
      <c r="BA284">
        <v>1</v>
      </c>
      <c r="BB284" t="str">
        <f t="shared" si="155"/>
        <v xml:space="preserve">N9217B  </v>
      </c>
      <c r="BC284">
        <v>1</v>
      </c>
      <c r="BE284">
        <v>0</v>
      </c>
      <c r="BF284">
        <v>0</v>
      </c>
      <c r="BG284">
        <v>0</v>
      </c>
      <c r="BH284">
        <v>8850</v>
      </c>
      <c r="BI284">
        <v>1</v>
      </c>
      <c r="BJ284">
        <v>0</v>
      </c>
      <c r="BK284">
        <v>0</v>
      </c>
      <c r="BL284">
        <v>0</v>
      </c>
      <c r="BO284">
        <v>0</v>
      </c>
      <c r="BP284">
        <v>0</v>
      </c>
      <c r="BW284" t="str">
        <f t="shared" si="165"/>
        <v>14:49:53.103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5</v>
      </c>
      <c r="CP284" t="s">
        <v>119</v>
      </c>
      <c r="CQ284">
        <v>295</v>
      </c>
      <c r="CR284">
        <v>1</v>
      </c>
      <c r="CW284">
        <v>12419965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25">
      <c r="A285" t="str">
        <f t="shared" ref="A285:A290" si="166">"06/05/2020 14:49:48.564"</f>
        <v>06/05/2020 14:49:48.564</v>
      </c>
      <c r="C285" t="str">
        <f t="shared" si="137"/>
        <v>FFDFD3C0</v>
      </c>
      <c r="D285" t="s">
        <v>113</v>
      </c>
      <c r="E285">
        <v>3</v>
      </c>
      <c r="H285">
        <v>166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ref="S285:T290" si="167">"14:49:54.227"</f>
        <v>14:49:54.227</v>
      </c>
      <c r="T285" t="str">
        <f t="shared" si="167"/>
        <v>14:49:54.227</v>
      </c>
      <c r="U285" t="str">
        <f t="shared" si="152"/>
        <v>ACC530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1</v>
      </c>
      <c r="AH285">
        <v>0</v>
      </c>
      <c r="AI285" t="s">
        <v>249</v>
      </c>
      <c r="AJ285">
        <v>34.237347</v>
      </c>
      <c r="AK285" t="s">
        <v>250</v>
      </c>
      <c r="AL285">
        <v>-116.894424</v>
      </c>
      <c r="AM285">
        <v>100</v>
      </c>
      <c r="AN285">
        <v>8700</v>
      </c>
      <c r="AO285" t="s">
        <v>118</v>
      </c>
      <c r="AP285">
        <v>-70</v>
      </c>
      <c r="AQ285">
        <v>-50</v>
      </c>
      <c r="AR285">
        <v>640</v>
      </c>
      <c r="AZ285">
        <v>1200</v>
      </c>
      <c r="BA285">
        <v>1</v>
      </c>
      <c r="BB285" t="str">
        <f t="shared" si="155"/>
        <v xml:space="preserve">N9217B  </v>
      </c>
      <c r="BC285">
        <v>1</v>
      </c>
      <c r="BE285">
        <v>0</v>
      </c>
      <c r="BF285">
        <v>0</v>
      </c>
      <c r="BG285">
        <v>0</v>
      </c>
      <c r="BH285">
        <v>8850</v>
      </c>
      <c r="BI285">
        <v>1</v>
      </c>
      <c r="BJ285">
        <v>0</v>
      </c>
      <c r="BK285">
        <v>0</v>
      </c>
      <c r="BL285">
        <v>0</v>
      </c>
      <c r="BO285">
        <v>0</v>
      </c>
      <c r="BP285">
        <v>0</v>
      </c>
      <c r="BW285" t="str">
        <f t="shared" ref="BW285:BW290" si="168">"14:49:54.228"</f>
        <v>14:49:54.228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285</v>
      </c>
      <c r="CR285">
        <v>0</v>
      </c>
      <c r="CW285">
        <v>8838755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25">
      <c r="A286" t="str">
        <f t="shared" si="166"/>
        <v>06/05/2020 14:49:48.564</v>
      </c>
      <c r="C286" t="str">
        <f t="shared" si="137"/>
        <v>FFDFD3C0</v>
      </c>
      <c r="D286" t="s">
        <v>151</v>
      </c>
      <c r="E286">
        <v>9</v>
      </c>
      <c r="H286">
        <v>226</v>
      </c>
      <c r="I286" t="s">
        <v>152</v>
      </c>
      <c r="J286" t="s">
        <v>150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67"/>
        <v>14:49:54.227</v>
      </c>
      <c r="T286" t="str">
        <f t="shared" si="167"/>
        <v>14:49:54.227</v>
      </c>
      <c r="U286" t="str">
        <f t="shared" si="152"/>
        <v>ACC530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1</v>
      </c>
      <c r="AH286">
        <v>0</v>
      </c>
      <c r="AI286" t="s">
        <v>249</v>
      </c>
      <c r="AJ286">
        <v>34.237347</v>
      </c>
      <c r="AK286" t="s">
        <v>250</v>
      </c>
      <c r="AL286">
        <v>-116.894424</v>
      </c>
      <c r="AM286">
        <v>100</v>
      </c>
      <c r="AN286">
        <v>8700</v>
      </c>
      <c r="AO286" t="s">
        <v>118</v>
      </c>
      <c r="AP286">
        <v>-70</v>
      </c>
      <c r="AQ286">
        <v>-50</v>
      </c>
      <c r="AR286">
        <v>640</v>
      </c>
      <c r="AZ286">
        <v>1200</v>
      </c>
      <c r="BA286">
        <v>1</v>
      </c>
      <c r="BB286" t="str">
        <f t="shared" si="155"/>
        <v xml:space="preserve">N9217B  </v>
      </c>
      <c r="BC286">
        <v>1</v>
      </c>
      <c r="BE286">
        <v>0</v>
      </c>
      <c r="BF286">
        <v>0</v>
      </c>
      <c r="BG286">
        <v>0</v>
      </c>
      <c r="BH286">
        <v>8850</v>
      </c>
      <c r="BI286">
        <v>1</v>
      </c>
      <c r="BJ286">
        <v>0</v>
      </c>
      <c r="BK286">
        <v>0</v>
      </c>
      <c r="BL286">
        <v>0</v>
      </c>
      <c r="BO286">
        <v>0</v>
      </c>
      <c r="BP286">
        <v>0</v>
      </c>
      <c r="BW286" t="str">
        <f t="shared" si="168"/>
        <v>14:49:54.228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285</v>
      </c>
      <c r="CR286">
        <v>0</v>
      </c>
      <c r="CW286">
        <v>8838755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25">
      <c r="A287" t="str">
        <f t="shared" si="166"/>
        <v>06/05/2020 14:49:48.564</v>
      </c>
      <c r="C287" t="str">
        <f t="shared" si="137"/>
        <v>FFDFD3C0</v>
      </c>
      <c r="D287" t="s">
        <v>148</v>
      </c>
      <c r="E287">
        <v>8</v>
      </c>
      <c r="H287">
        <v>50</v>
      </c>
      <c r="I287" t="s">
        <v>149</v>
      </c>
      <c r="J287" t="s">
        <v>150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67"/>
        <v>14:49:54.227</v>
      </c>
      <c r="T287" t="str">
        <f t="shared" si="167"/>
        <v>14:49:54.227</v>
      </c>
      <c r="U287" t="str">
        <f t="shared" si="152"/>
        <v>ACC530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1</v>
      </c>
      <c r="AH287">
        <v>0</v>
      </c>
      <c r="AI287" t="s">
        <v>249</v>
      </c>
      <c r="AJ287">
        <v>34.237347</v>
      </c>
      <c r="AK287" t="s">
        <v>250</v>
      </c>
      <c r="AL287">
        <v>-116.894424</v>
      </c>
      <c r="AM287">
        <v>100</v>
      </c>
      <c r="AN287">
        <v>8700</v>
      </c>
      <c r="AO287" t="s">
        <v>118</v>
      </c>
      <c r="AP287">
        <v>-70</v>
      </c>
      <c r="AQ287">
        <v>-50</v>
      </c>
      <c r="AR287">
        <v>640</v>
      </c>
      <c r="AZ287">
        <v>1200</v>
      </c>
      <c r="BA287">
        <v>1</v>
      </c>
      <c r="BB287" t="str">
        <f t="shared" si="155"/>
        <v xml:space="preserve">N9217B  </v>
      </c>
      <c r="BC287">
        <v>1</v>
      </c>
      <c r="BE287">
        <v>0</v>
      </c>
      <c r="BF287">
        <v>0</v>
      </c>
      <c r="BG287">
        <v>0</v>
      </c>
      <c r="BH287">
        <v>8850</v>
      </c>
      <c r="BI287">
        <v>1</v>
      </c>
      <c r="BJ287">
        <v>0</v>
      </c>
      <c r="BK287">
        <v>0</v>
      </c>
      <c r="BL287">
        <v>0</v>
      </c>
      <c r="BO287">
        <v>0</v>
      </c>
      <c r="BP287">
        <v>0</v>
      </c>
      <c r="BW287" t="str">
        <f t="shared" si="168"/>
        <v>14:49:54.228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285</v>
      </c>
      <c r="CR287">
        <v>0</v>
      </c>
      <c r="CW287">
        <v>8838755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25">
      <c r="A288" t="str">
        <f t="shared" si="166"/>
        <v>06/05/2020 14:49:48.564</v>
      </c>
      <c r="C288" t="str">
        <f t="shared" si="137"/>
        <v>FFDFD3C0</v>
      </c>
      <c r="D288" t="s">
        <v>143</v>
      </c>
      <c r="E288">
        <v>10</v>
      </c>
      <c r="F288">
        <v>3010</v>
      </c>
      <c r="G288" t="s">
        <v>144</v>
      </c>
      <c r="J288" t="s">
        <v>145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67"/>
        <v>14:49:54.227</v>
      </c>
      <c r="T288" t="str">
        <f t="shared" si="167"/>
        <v>14:49:54.227</v>
      </c>
      <c r="U288" t="str">
        <f t="shared" si="152"/>
        <v>ACC530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1</v>
      </c>
      <c r="AH288">
        <v>0</v>
      </c>
      <c r="AI288" t="s">
        <v>249</v>
      </c>
      <c r="AJ288">
        <v>34.237347</v>
      </c>
      <c r="AK288" t="s">
        <v>250</v>
      </c>
      <c r="AL288">
        <v>-116.894424</v>
      </c>
      <c r="AM288">
        <v>100</v>
      </c>
      <c r="AN288">
        <v>8700</v>
      </c>
      <c r="AO288" t="s">
        <v>118</v>
      </c>
      <c r="AP288">
        <v>-70</v>
      </c>
      <c r="AQ288">
        <v>-50</v>
      </c>
      <c r="AR288">
        <v>640</v>
      </c>
      <c r="AZ288">
        <v>1200</v>
      </c>
      <c r="BA288">
        <v>1</v>
      </c>
      <c r="BB288" t="str">
        <f t="shared" si="155"/>
        <v xml:space="preserve">N9217B  </v>
      </c>
      <c r="BC288">
        <v>1</v>
      </c>
      <c r="BE288">
        <v>0</v>
      </c>
      <c r="BF288">
        <v>0</v>
      </c>
      <c r="BG288">
        <v>0</v>
      </c>
      <c r="BH288">
        <v>8850</v>
      </c>
      <c r="BI288">
        <v>1</v>
      </c>
      <c r="BJ288">
        <v>0</v>
      </c>
      <c r="BK288">
        <v>0</v>
      </c>
      <c r="BL288">
        <v>0</v>
      </c>
      <c r="BO288">
        <v>0</v>
      </c>
      <c r="BP288">
        <v>0</v>
      </c>
      <c r="BW288" t="str">
        <f t="shared" si="168"/>
        <v>14:49:54.228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5</v>
      </c>
      <c r="CP288" t="s">
        <v>119</v>
      </c>
      <c r="CQ288">
        <v>295</v>
      </c>
      <c r="CR288">
        <v>1</v>
      </c>
      <c r="CW288">
        <v>12420076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25">
      <c r="A289" t="str">
        <f t="shared" si="166"/>
        <v>06/05/2020 14:49:48.564</v>
      </c>
      <c r="C289" t="str">
        <f t="shared" si="137"/>
        <v>FFDFD3C0</v>
      </c>
      <c r="D289" t="s">
        <v>134</v>
      </c>
      <c r="E289">
        <v>7</v>
      </c>
      <c r="F289">
        <v>2007</v>
      </c>
      <c r="G289" t="s">
        <v>135</v>
      </c>
      <c r="J289" t="s">
        <v>136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67"/>
        <v>14:49:54.227</v>
      </c>
      <c r="T289" t="str">
        <f t="shared" si="167"/>
        <v>14:49:54.227</v>
      </c>
      <c r="U289" t="str">
        <f t="shared" si="152"/>
        <v>ACC530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1</v>
      </c>
      <c r="AH289">
        <v>0</v>
      </c>
      <c r="AI289" t="s">
        <v>249</v>
      </c>
      <c r="AJ289">
        <v>34.237347</v>
      </c>
      <c r="AK289" t="s">
        <v>250</v>
      </c>
      <c r="AL289">
        <v>-116.894424</v>
      </c>
      <c r="AM289">
        <v>100</v>
      </c>
      <c r="AN289">
        <v>8700</v>
      </c>
      <c r="AO289" t="s">
        <v>118</v>
      </c>
      <c r="AP289">
        <v>-70</v>
      </c>
      <c r="AQ289">
        <v>-50</v>
      </c>
      <c r="AR289">
        <v>640</v>
      </c>
      <c r="AZ289">
        <v>1200</v>
      </c>
      <c r="BA289">
        <v>1</v>
      </c>
      <c r="BB289" t="str">
        <f t="shared" si="155"/>
        <v xml:space="preserve">N9217B  </v>
      </c>
      <c r="BC289">
        <v>1</v>
      </c>
      <c r="BE289">
        <v>0</v>
      </c>
      <c r="BF289">
        <v>0</v>
      </c>
      <c r="BG289">
        <v>0</v>
      </c>
      <c r="BH289">
        <v>8850</v>
      </c>
      <c r="BI289">
        <v>1</v>
      </c>
      <c r="BJ289">
        <v>0</v>
      </c>
      <c r="BK289">
        <v>0</v>
      </c>
      <c r="BL289">
        <v>0</v>
      </c>
      <c r="BO289">
        <v>0</v>
      </c>
      <c r="BP289">
        <v>0</v>
      </c>
      <c r="BW289" t="str">
        <f t="shared" si="168"/>
        <v>14:49:54.228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119</v>
      </c>
      <c r="CQ289">
        <v>285</v>
      </c>
      <c r="CR289">
        <v>0</v>
      </c>
      <c r="CW289">
        <v>8838755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25">
      <c r="A290" t="str">
        <f t="shared" si="166"/>
        <v>06/05/2020 14:49:48.564</v>
      </c>
      <c r="C290" t="str">
        <f t="shared" si="137"/>
        <v>FFDFD3C0</v>
      </c>
      <c r="D290" t="s">
        <v>141</v>
      </c>
      <c r="E290">
        <v>20</v>
      </c>
      <c r="F290">
        <v>1020</v>
      </c>
      <c r="G290" t="s">
        <v>114</v>
      </c>
      <c r="J290" t="s">
        <v>142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67"/>
        <v>14:49:54.227</v>
      </c>
      <c r="T290" t="str">
        <f t="shared" si="167"/>
        <v>14:49:54.227</v>
      </c>
      <c r="U290" t="str">
        <f t="shared" si="152"/>
        <v>ACC530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1</v>
      </c>
      <c r="AH290">
        <v>0</v>
      </c>
      <c r="AI290" t="s">
        <v>249</v>
      </c>
      <c r="AJ290">
        <v>34.237347</v>
      </c>
      <c r="AK290" t="s">
        <v>250</v>
      </c>
      <c r="AL290">
        <v>-116.894424</v>
      </c>
      <c r="AM290">
        <v>100</v>
      </c>
      <c r="AN290">
        <v>8700</v>
      </c>
      <c r="AO290" t="s">
        <v>118</v>
      </c>
      <c r="AP290">
        <v>-70</v>
      </c>
      <c r="AQ290">
        <v>-50</v>
      </c>
      <c r="AR290">
        <v>640</v>
      </c>
      <c r="AZ290">
        <v>1200</v>
      </c>
      <c r="BA290">
        <v>1</v>
      </c>
      <c r="BB290" t="str">
        <f t="shared" si="155"/>
        <v xml:space="preserve">N9217B  </v>
      </c>
      <c r="BC290">
        <v>1</v>
      </c>
      <c r="BE290">
        <v>0</v>
      </c>
      <c r="BF290">
        <v>0</v>
      </c>
      <c r="BG290">
        <v>0</v>
      </c>
      <c r="BH290">
        <v>8850</v>
      </c>
      <c r="BI290">
        <v>1</v>
      </c>
      <c r="BJ290">
        <v>0</v>
      </c>
      <c r="BK290">
        <v>0</v>
      </c>
      <c r="BL290">
        <v>0</v>
      </c>
      <c r="BO290">
        <v>0</v>
      </c>
      <c r="BP290">
        <v>0</v>
      </c>
      <c r="BW290" t="str">
        <f t="shared" si="168"/>
        <v>14:49:54.228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119</v>
      </c>
      <c r="CQ290">
        <v>285</v>
      </c>
      <c r="CR290">
        <v>0</v>
      </c>
      <c r="CW290">
        <v>8838755</v>
      </c>
      <c r="CY290">
        <v>0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25">
      <c r="A291" t="str">
        <f t="shared" ref="A291:A296" si="169">"06/05/2020 14:49:49.725"</f>
        <v>06/05/2020 14:49:49.725</v>
      </c>
      <c r="C291" t="str">
        <f t="shared" ref="C291:C354" si="170">"FFDFD3C0"</f>
        <v>FFDFD3C0</v>
      </c>
      <c r="D291" t="s">
        <v>113</v>
      </c>
      <c r="E291">
        <v>3</v>
      </c>
      <c r="H291">
        <v>166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ref="S291:S296" si="171">"14:49:55.352"</f>
        <v>14:49:55.352</v>
      </c>
      <c r="T291" t="str">
        <f t="shared" ref="T291:T296" si="172">"14:49:54.852"</f>
        <v>14:49:54.852</v>
      </c>
      <c r="U291" t="str">
        <f t="shared" si="152"/>
        <v>ACC530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1</v>
      </c>
      <c r="AH291">
        <v>0</v>
      </c>
      <c r="AI291" t="s">
        <v>251</v>
      </c>
      <c r="AJ291">
        <v>34.237110999999999</v>
      </c>
      <c r="AK291" t="s">
        <v>252</v>
      </c>
      <c r="AL291">
        <v>-116.894875</v>
      </c>
      <c r="AM291">
        <v>100</v>
      </c>
      <c r="AN291">
        <v>8800</v>
      </c>
      <c r="AO291" t="s">
        <v>118</v>
      </c>
      <c r="AP291">
        <v>-70</v>
      </c>
      <c r="AQ291">
        <v>-50</v>
      </c>
      <c r="AR291">
        <v>640</v>
      </c>
      <c r="AZ291">
        <v>1200</v>
      </c>
      <c r="BA291">
        <v>1</v>
      </c>
      <c r="BB291" t="str">
        <f t="shared" si="155"/>
        <v xml:space="preserve">N9217B  </v>
      </c>
      <c r="BC291">
        <v>1</v>
      </c>
      <c r="BE291">
        <v>0</v>
      </c>
      <c r="BF291">
        <v>0</v>
      </c>
      <c r="BG291">
        <v>0</v>
      </c>
      <c r="BH291">
        <v>8950</v>
      </c>
      <c r="BI291">
        <v>1</v>
      </c>
      <c r="BJ291">
        <v>0</v>
      </c>
      <c r="BK291">
        <v>0</v>
      </c>
      <c r="BL291">
        <v>0</v>
      </c>
      <c r="BO291">
        <v>0</v>
      </c>
      <c r="BP291">
        <v>0</v>
      </c>
      <c r="BW291" t="str">
        <f t="shared" ref="BW291:BW296" si="173">"14:49:55.353"</f>
        <v>14:49:55.353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119</v>
      </c>
      <c r="CQ291">
        <v>285</v>
      </c>
      <c r="CR291">
        <v>0</v>
      </c>
      <c r="CW291">
        <v>8838866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25">
      <c r="A292" t="str">
        <f t="shared" si="169"/>
        <v>06/05/2020 14:49:49.725</v>
      </c>
      <c r="C292" t="str">
        <f t="shared" si="170"/>
        <v>FFDFD3C0</v>
      </c>
      <c r="D292" t="s">
        <v>151</v>
      </c>
      <c r="E292">
        <v>9</v>
      </c>
      <c r="H292">
        <v>226</v>
      </c>
      <c r="I292" t="s">
        <v>152</v>
      </c>
      <c r="J292" t="s">
        <v>150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171"/>
        <v>14:49:55.352</v>
      </c>
      <c r="T292" t="str">
        <f t="shared" si="172"/>
        <v>14:49:54.852</v>
      </c>
      <c r="U292" t="str">
        <f t="shared" si="152"/>
        <v>ACC530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1</v>
      </c>
      <c r="AH292">
        <v>0</v>
      </c>
      <c r="AI292" t="s">
        <v>251</v>
      </c>
      <c r="AJ292">
        <v>34.237110999999999</v>
      </c>
      <c r="AK292" t="s">
        <v>252</v>
      </c>
      <c r="AL292">
        <v>-116.894875</v>
      </c>
      <c r="AM292">
        <v>100</v>
      </c>
      <c r="AN292">
        <v>8800</v>
      </c>
      <c r="AO292" t="s">
        <v>118</v>
      </c>
      <c r="AP292">
        <v>-70</v>
      </c>
      <c r="AQ292">
        <v>-50</v>
      </c>
      <c r="AR292">
        <v>640</v>
      </c>
      <c r="AZ292">
        <v>1200</v>
      </c>
      <c r="BA292">
        <v>1</v>
      </c>
      <c r="BB292" t="str">
        <f t="shared" si="155"/>
        <v xml:space="preserve">N9217B  </v>
      </c>
      <c r="BC292">
        <v>1</v>
      </c>
      <c r="BE292">
        <v>0</v>
      </c>
      <c r="BF292">
        <v>0</v>
      </c>
      <c r="BG292">
        <v>0</v>
      </c>
      <c r="BH292">
        <v>8950</v>
      </c>
      <c r="BI292">
        <v>1</v>
      </c>
      <c r="BJ292">
        <v>0</v>
      </c>
      <c r="BK292">
        <v>0</v>
      </c>
      <c r="BL292">
        <v>0</v>
      </c>
      <c r="BO292">
        <v>0</v>
      </c>
      <c r="BP292">
        <v>0</v>
      </c>
      <c r="BW292" t="str">
        <f t="shared" si="173"/>
        <v>14:49:55.353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6</v>
      </c>
      <c r="CP292" t="s">
        <v>119</v>
      </c>
      <c r="CQ292">
        <v>285</v>
      </c>
      <c r="CR292">
        <v>0</v>
      </c>
      <c r="CW292">
        <v>8838866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25">
      <c r="A293" t="str">
        <f t="shared" si="169"/>
        <v>06/05/2020 14:49:49.725</v>
      </c>
      <c r="C293" t="str">
        <f t="shared" si="170"/>
        <v>FFDFD3C0</v>
      </c>
      <c r="D293" t="s">
        <v>143</v>
      </c>
      <c r="E293">
        <v>10</v>
      </c>
      <c r="F293">
        <v>3010</v>
      </c>
      <c r="G293" t="s">
        <v>144</v>
      </c>
      <c r="J293" t="s">
        <v>145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71"/>
        <v>14:49:55.352</v>
      </c>
      <c r="T293" t="str">
        <f t="shared" si="172"/>
        <v>14:49:54.852</v>
      </c>
      <c r="U293" t="str">
        <f t="shared" si="152"/>
        <v>ACC530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1</v>
      </c>
      <c r="AH293">
        <v>0</v>
      </c>
      <c r="AI293" t="s">
        <v>251</v>
      </c>
      <c r="AJ293">
        <v>34.237110999999999</v>
      </c>
      <c r="AK293" t="s">
        <v>252</v>
      </c>
      <c r="AL293">
        <v>-116.894875</v>
      </c>
      <c r="AM293">
        <v>100</v>
      </c>
      <c r="AN293">
        <v>8800</v>
      </c>
      <c r="AO293" t="s">
        <v>118</v>
      </c>
      <c r="AP293">
        <v>-70</v>
      </c>
      <c r="AQ293">
        <v>-50</v>
      </c>
      <c r="AR293">
        <v>640</v>
      </c>
      <c r="AZ293">
        <v>1200</v>
      </c>
      <c r="BA293">
        <v>1</v>
      </c>
      <c r="BB293" t="str">
        <f t="shared" si="155"/>
        <v xml:space="preserve">N9217B  </v>
      </c>
      <c r="BC293">
        <v>1</v>
      </c>
      <c r="BE293">
        <v>0</v>
      </c>
      <c r="BF293">
        <v>0</v>
      </c>
      <c r="BG293">
        <v>0</v>
      </c>
      <c r="BH293">
        <v>8950</v>
      </c>
      <c r="BI293">
        <v>1</v>
      </c>
      <c r="BJ293">
        <v>0</v>
      </c>
      <c r="BK293">
        <v>0</v>
      </c>
      <c r="BL293">
        <v>0</v>
      </c>
      <c r="BO293">
        <v>0</v>
      </c>
      <c r="BP293">
        <v>0</v>
      </c>
      <c r="BW293" t="str">
        <f t="shared" si="173"/>
        <v>14:49:55.353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4</v>
      </c>
      <c r="CP293" t="s">
        <v>119</v>
      </c>
      <c r="CQ293">
        <v>295</v>
      </c>
      <c r="CR293">
        <v>2</v>
      </c>
      <c r="CW293">
        <v>12420194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25">
      <c r="A294" t="str">
        <f t="shared" si="169"/>
        <v>06/05/2020 14:49:49.725</v>
      </c>
      <c r="C294" t="str">
        <f t="shared" si="170"/>
        <v>FFDFD3C0</v>
      </c>
      <c r="D294" t="s">
        <v>148</v>
      </c>
      <c r="E294">
        <v>8</v>
      </c>
      <c r="H294">
        <v>50</v>
      </c>
      <c r="I294" t="s">
        <v>149</v>
      </c>
      <c r="J294" t="s">
        <v>150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71"/>
        <v>14:49:55.352</v>
      </c>
      <c r="T294" t="str">
        <f t="shared" si="172"/>
        <v>14:49:54.852</v>
      </c>
      <c r="U294" t="str">
        <f t="shared" si="152"/>
        <v>ACC530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1</v>
      </c>
      <c r="AH294">
        <v>0</v>
      </c>
      <c r="AI294" t="s">
        <v>251</v>
      </c>
      <c r="AJ294">
        <v>34.237110999999999</v>
      </c>
      <c r="AK294" t="s">
        <v>252</v>
      </c>
      <c r="AL294">
        <v>-116.894875</v>
      </c>
      <c r="AM294">
        <v>100</v>
      </c>
      <c r="AN294">
        <v>8800</v>
      </c>
      <c r="AO294" t="s">
        <v>118</v>
      </c>
      <c r="AP294">
        <v>-70</v>
      </c>
      <c r="AQ294">
        <v>-50</v>
      </c>
      <c r="AR294">
        <v>640</v>
      </c>
      <c r="AZ294">
        <v>1200</v>
      </c>
      <c r="BA294">
        <v>1</v>
      </c>
      <c r="BB294" t="str">
        <f t="shared" si="155"/>
        <v xml:space="preserve">N9217B  </v>
      </c>
      <c r="BC294">
        <v>1</v>
      </c>
      <c r="BE294">
        <v>0</v>
      </c>
      <c r="BF294">
        <v>0</v>
      </c>
      <c r="BG294">
        <v>0</v>
      </c>
      <c r="BH294">
        <v>8950</v>
      </c>
      <c r="BI294">
        <v>1</v>
      </c>
      <c r="BJ294">
        <v>0</v>
      </c>
      <c r="BK294">
        <v>0</v>
      </c>
      <c r="BL294">
        <v>0</v>
      </c>
      <c r="BO294">
        <v>0</v>
      </c>
      <c r="BP294">
        <v>0</v>
      </c>
      <c r="BW294" t="str">
        <f t="shared" si="173"/>
        <v>14:49:55.353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119</v>
      </c>
      <c r="CQ294">
        <v>285</v>
      </c>
      <c r="CR294">
        <v>0</v>
      </c>
      <c r="CW294">
        <v>8838866</v>
      </c>
      <c r="CY294">
        <v>0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25">
      <c r="A295" t="str">
        <f t="shared" si="169"/>
        <v>06/05/2020 14:49:49.725</v>
      </c>
      <c r="C295" t="str">
        <f t="shared" si="170"/>
        <v>FFDFD3C0</v>
      </c>
      <c r="D295" t="s">
        <v>134</v>
      </c>
      <c r="E295">
        <v>7</v>
      </c>
      <c r="F295">
        <v>2007</v>
      </c>
      <c r="G295" t="s">
        <v>135</v>
      </c>
      <c r="J295" t="s">
        <v>136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71"/>
        <v>14:49:55.352</v>
      </c>
      <c r="T295" t="str">
        <f t="shared" si="172"/>
        <v>14:49:54.852</v>
      </c>
      <c r="U295" t="str">
        <f t="shared" si="152"/>
        <v>ACC530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1</v>
      </c>
      <c r="AH295">
        <v>0</v>
      </c>
      <c r="AI295" t="s">
        <v>251</v>
      </c>
      <c r="AJ295">
        <v>34.237110999999999</v>
      </c>
      <c r="AK295" t="s">
        <v>252</v>
      </c>
      <c r="AL295">
        <v>-116.894875</v>
      </c>
      <c r="AM295">
        <v>100</v>
      </c>
      <c r="AN295">
        <v>8800</v>
      </c>
      <c r="AO295" t="s">
        <v>118</v>
      </c>
      <c r="AP295">
        <v>-70</v>
      </c>
      <c r="AQ295">
        <v>-50</v>
      </c>
      <c r="AR295">
        <v>640</v>
      </c>
      <c r="AZ295">
        <v>1200</v>
      </c>
      <c r="BA295">
        <v>1</v>
      </c>
      <c r="BB295" t="str">
        <f t="shared" si="155"/>
        <v xml:space="preserve">N9217B  </v>
      </c>
      <c r="BC295">
        <v>1</v>
      </c>
      <c r="BE295">
        <v>0</v>
      </c>
      <c r="BF295">
        <v>0</v>
      </c>
      <c r="BG295">
        <v>0</v>
      </c>
      <c r="BH295">
        <v>8950</v>
      </c>
      <c r="BI295">
        <v>1</v>
      </c>
      <c r="BJ295">
        <v>0</v>
      </c>
      <c r="BK295">
        <v>0</v>
      </c>
      <c r="BL295">
        <v>0</v>
      </c>
      <c r="BO295">
        <v>0</v>
      </c>
      <c r="BP295">
        <v>0</v>
      </c>
      <c r="BW295" t="str">
        <f t="shared" si="173"/>
        <v>14:49:55.353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285</v>
      </c>
      <c r="CR295">
        <v>0</v>
      </c>
      <c r="CW295">
        <v>8838866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25">
      <c r="A296" t="str">
        <f t="shared" si="169"/>
        <v>06/05/2020 14:49:49.725</v>
      </c>
      <c r="C296" t="str">
        <f t="shared" si="170"/>
        <v>FFDFD3C0</v>
      </c>
      <c r="D296" t="s">
        <v>141</v>
      </c>
      <c r="E296">
        <v>20</v>
      </c>
      <c r="F296">
        <v>1020</v>
      </c>
      <c r="G296" t="s">
        <v>114</v>
      </c>
      <c r="J296" t="s">
        <v>142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71"/>
        <v>14:49:55.352</v>
      </c>
      <c r="T296" t="str">
        <f t="shared" si="172"/>
        <v>14:49:54.852</v>
      </c>
      <c r="U296" t="str">
        <f t="shared" si="152"/>
        <v>ACC530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1</v>
      </c>
      <c r="AH296">
        <v>0</v>
      </c>
      <c r="AI296" t="s">
        <v>251</v>
      </c>
      <c r="AJ296">
        <v>34.237110999999999</v>
      </c>
      <c r="AK296" t="s">
        <v>252</v>
      </c>
      <c r="AL296">
        <v>-116.894875</v>
      </c>
      <c r="AM296">
        <v>100</v>
      </c>
      <c r="AN296">
        <v>8800</v>
      </c>
      <c r="AO296" t="s">
        <v>118</v>
      </c>
      <c r="AP296">
        <v>-70</v>
      </c>
      <c r="AQ296">
        <v>-50</v>
      </c>
      <c r="AR296">
        <v>640</v>
      </c>
      <c r="AZ296">
        <v>1200</v>
      </c>
      <c r="BA296">
        <v>1</v>
      </c>
      <c r="BB296" t="str">
        <f t="shared" si="155"/>
        <v xml:space="preserve">N9217B  </v>
      </c>
      <c r="BC296">
        <v>1</v>
      </c>
      <c r="BE296">
        <v>0</v>
      </c>
      <c r="BF296">
        <v>0</v>
      </c>
      <c r="BG296">
        <v>0</v>
      </c>
      <c r="BH296">
        <v>8950</v>
      </c>
      <c r="BI296">
        <v>1</v>
      </c>
      <c r="BJ296">
        <v>0</v>
      </c>
      <c r="BK296">
        <v>0</v>
      </c>
      <c r="BL296">
        <v>0</v>
      </c>
      <c r="BO296">
        <v>0</v>
      </c>
      <c r="BP296">
        <v>0</v>
      </c>
      <c r="BW296" t="str">
        <f t="shared" si="173"/>
        <v>14:49:55.353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119</v>
      </c>
      <c r="CQ296">
        <v>285</v>
      </c>
      <c r="CR296">
        <v>0</v>
      </c>
      <c r="CW296">
        <v>8838866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25">
      <c r="A297" t="str">
        <f t="shared" ref="A297:A302" si="174">"06/05/2020 14:49:50.550"</f>
        <v>06/05/2020 14:49:50.550</v>
      </c>
      <c r="C297" t="str">
        <f t="shared" si="170"/>
        <v>FFDFD3C0</v>
      </c>
      <c r="D297" t="s">
        <v>148</v>
      </c>
      <c r="E297">
        <v>8</v>
      </c>
      <c r="H297">
        <v>50</v>
      </c>
      <c r="I297" t="s">
        <v>149</v>
      </c>
      <c r="J297" t="s">
        <v>150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S302" si="175">"14:49:56.188"</f>
        <v>14:49:56.188</v>
      </c>
      <c r="T297" t="str">
        <f t="shared" ref="T297:T302" si="176">"14:49:55.888"</f>
        <v>14:49:55.888</v>
      </c>
      <c r="U297" t="str">
        <f t="shared" si="152"/>
        <v>ACC530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1</v>
      </c>
      <c r="AH297">
        <v>0</v>
      </c>
      <c r="AI297" t="s">
        <v>253</v>
      </c>
      <c r="AJ297">
        <v>34.236939</v>
      </c>
      <c r="AK297" t="s">
        <v>254</v>
      </c>
      <c r="AL297">
        <v>-116.895218</v>
      </c>
      <c r="AM297">
        <v>100</v>
      </c>
      <c r="AN297">
        <v>8800</v>
      </c>
      <c r="AO297" t="s">
        <v>118</v>
      </c>
      <c r="AP297">
        <v>-70</v>
      </c>
      <c r="AQ297">
        <v>-49</v>
      </c>
      <c r="AR297">
        <v>704</v>
      </c>
      <c r="AZ297">
        <v>1200</v>
      </c>
      <c r="BA297">
        <v>1</v>
      </c>
      <c r="BB297" t="str">
        <f t="shared" si="155"/>
        <v xml:space="preserve">N9217B  </v>
      </c>
      <c r="BC297">
        <v>1</v>
      </c>
      <c r="BE297">
        <v>0</v>
      </c>
      <c r="BF297">
        <v>0</v>
      </c>
      <c r="BG297">
        <v>0</v>
      </c>
      <c r="BH297">
        <v>8875</v>
      </c>
      <c r="BI297">
        <v>1</v>
      </c>
      <c r="BJ297">
        <v>0</v>
      </c>
      <c r="BK297">
        <v>0</v>
      </c>
      <c r="BL297">
        <v>0</v>
      </c>
      <c r="BO297">
        <v>0</v>
      </c>
      <c r="BP297">
        <v>0</v>
      </c>
      <c r="BW297" t="str">
        <f t="shared" ref="BW297:BW302" si="177">"14:49:56.193"</f>
        <v>14:49:56.193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285</v>
      </c>
      <c r="CR297">
        <v>0</v>
      </c>
      <c r="CW297">
        <v>8838935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25">
      <c r="A298" t="str">
        <f t="shared" si="174"/>
        <v>06/05/2020 14:49:50.550</v>
      </c>
      <c r="C298" t="str">
        <f t="shared" si="170"/>
        <v>FFDFD3C0</v>
      </c>
      <c r="D298" t="s">
        <v>134</v>
      </c>
      <c r="E298">
        <v>7</v>
      </c>
      <c r="F298">
        <v>2007</v>
      </c>
      <c r="G298" t="s">
        <v>135</v>
      </c>
      <c r="J298" t="s">
        <v>136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75"/>
        <v>14:49:56.188</v>
      </c>
      <c r="T298" t="str">
        <f t="shared" si="176"/>
        <v>14:49:55.888</v>
      </c>
      <c r="U298" t="str">
        <f t="shared" si="152"/>
        <v>ACC530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1</v>
      </c>
      <c r="AH298">
        <v>0</v>
      </c>
      <c r="AI298" t="s">
        <v>253</v>
      </c>
      <c r="AJ298">
        <v>34.236939</v>
      </c>
      <c r="AK298" t="s">
        <v>254</v>
      </c>
      <c r="AL298">
        <v>-116.895218</v>
      </c>
      <c r="AM298">
        <v>100</v>
      </c>
      <c r="AN298">
        <v>8800</v>
      </c>
      <c r="AO298" t="s">
        <v>118</v>
      </c>
      <c r="AP298">
        <v>-70</v>
      </c>
      <c r="AQ298">
        <v>-49</v>
      </c>
      <c r="AR298">
        <v>704</v>
      </c>
      <c r="AZ298">
        <v>1200</v>
      </c>
      <c r="BA298">
        <v>1</v>
      </c>
      <c r="BB298" t="str">
        <f t="shared" si="155"/>
        <v xml:space="preserve">N9217B  </v>
      </c>
      <c r="BC298">
        <v>1</v>
      </c>
      <c r="BE298">
        <v>0</v>
      </c>
      <c r="BF298">
        <v>0</v>
      </c>
      <c r="BG298">
        <v>0</v>
      </c>
      <c r="BH298">
        <v>8875</v>
      </c>
      <c r="BI298">
        <v>1</v>
      </c>
      <c r="BJ298">
        <v>0</v>
      </c>
      <c r="BK298">
        <v>0</v>
      </c>
      <c r="BL298">
        <v>0</v>
      </c>
      <c r="BO298">
        <v>0</v>
      </c>
      <c r="BP298">
        <v>0</v>
      </c>
      <c r="BW298" t="str">
        <f t="shared" si="177"/>
        <v>14:49:56.193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285</v>
      </c>
      <c r="CR298">
        <v>0</v>
      </c>
      <c r="CW298">
        <v>8838935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25">
      <c r="A299" t="str">
        <f t="shared" si="174"/>
        <v>06/05/2020 14:49:50.550</v>
      </c>
      <c r="C299" t="str">
        <f t="shared" si="170"/>
        <v>FFDFD3C0</v>
      </c>
      <c r="D299" t="s">
        <v>141</v>
      </c>
      <c r="E299">
        <v>20</v>
      </c>
      <c r="F299">
        <v>1020</v>
      </c>
      <c r="G299" t="s">
        <v>114</v>
      </c>
      <c r="J299" t="s">
        <v>142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75"/>
        <v>14:49:56.188</v>
      </c>
      <c r="T299" t="str">
        <f t="shared" si="176"/>
        <v>14:49:55.888</v>
      </c>
      <c r="U299" t="str">
        <f t="shared" si="152"/>
        <v>ACC530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1</v>
      </c>
      <c r="AH299">
        <v>0</v>
      </c>
      <c r="AI299" t="s">
        <v>253</v>
      </c>
      <c r="AJ299">
        <v>34.236939</v>
      </c>
      <c r="AK299" t="s">
        <v>254</v>
      </c>
      <c r="AL299">
        <v>-116.895218</v>
      </c>
      <c r="AM299">
        <v>100</v>
      </c>
      <c r="AN299">
        <v>8800</v>
      </c>
      <c r="AO299" t="s">
        <v>118</v>
      </c>
      <c r="AP299">
        <v>-70</v>
      </c>
      <c r="AQ299">
        <v>-49</v>
      </c>
      <c r="AR299">
        <v>704</v>
      </c>
      <c r="AZ299">
        <v>1200</v>
      </c>
      <c r="BA299">
        <v>1</v>
      </c>
      <c r="BB299" t="str">
        <f t="shared" si="155"/>
        <v xml:space="preserve">N9217B  </v>
      </c>
      <c r="BC299">
        <v>1</v>
      </c>
      <c r="BE299">
        <v>0</v>
      </c>
      <c r="BF299">
        <v>0</v>
      </c>
      <c r="BG299">
        <v>0</v>
      </c>
      <c r="BH299">
        <v>8875</v>
      </c>
      <c r="BI299">
        <v>1</v>
      </c>
      <c r="BJ299">
        <v>0</v>
      </c>
      <c r="BK299">
        <v>0</v>
      </c>
      <c r="BL299">
        <v>0</v>
      </c>
      <c r="BO299">
        <v>0</v>
      </c>
      <c r="BP299">
        <v>0</v>
      </c>
      <c r="BW299" t="str">
        <f t="shared" si="177"/>
        <v>14:49:56.193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285</v>
      </c>
      <c r="CR299">
        <v>0</v>
      </c>
      <c r="CW299">
        <v>8838935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25">
      <c r="A300" t="str">
        <f t="shared" si="174"/>
        <v>06/05/2020 14:49:50.550</v>
      </c>
      <c r="C300" t="str">
        <f t="shared" si="170"/>
        <v>FFDFD3C0</v>
      </c>
      <c r="D300" t="s">
        <v>113</v>
      </c>
      <c r="E300">
        <v>3</v>
      </c>
      <c r="H300">
        <v>166</v>
      </c>
      <c r="I300" t="s">
        <v>114</v>
      </c>
      <c r="J300" t="s">
        <v>115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75"/>
        <v>14:49:56.188</v>
      </c>
      <c r="T300" t="str">
        <f t="shared" si="176"/>
        <v>14:49:55.888</v>
      </c>
      <c r="U300" t="str">
        <f t="shared" si="152"/>
        <v>ACC530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1</v>
      </c>
      <c r="AH300">
        <v>0</v>
      </c>
      <c r="AI300" t="s">
        <v>253</v>
      </c>
      <c r="AJ300">
        <v>34.236939</v>
      </c>
      <c r="AK300" t="s">
        <v>254</v>
      </c>
      <c r="AL300">
        <v>-116.895218</v>
      </c>
      <c r="AM300">
        <v>100</v>
      </c>
      <c r="AN300">
        <v>8800</v>
      </c>
      <c r="AO300" t="s">
        <v>118</v>
      </c>
      <c r="AP300">
        <v>-70</v>
      </c>
      <c r="AQ300">
        <v>-49</v>
      </c>
      <c r="AR300">
        <v>704</v>
      </c>
      <c r="AZ300">
        <v>1200</v>
      </c>
      <c r="BA300">
        <v>1</v>
      </c>
      <c r="BB300" t="str">
        <f t="shared" si="155"/>
        <v xml:space="preserve">N9217B  </v>
      </c>
      <c r="BC300">
        <v>1</v>
      </c>
      <c r="BE300">
        <v>0</v>
      </c>
      <c r="BF300">
        <v>0</v>
      </c>
      <c r="BG300">
        <v>0</v>
      </c>
      <c r="BH300">
        <v>8875</v>
      </c>
      <c r="BI300">
        <v>1</v>
      </c>
      <c r="BJ300">
        <v>0</v>
      </c>
      <c r="BK300">
        <v>0</v>
      </c>
      <c r="BL300">
        <v>0</v>
      </c>
      <c r="BO300">
        <v>0</v>
      </c>
      <c r="BP300">
        <v>0</v>
      </c>
      <c r="BW300" t="str">
        <f t="shared" si="177"/>
        <v>14:49:56.193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285</v>
      </c>
      <c r="CR300">
        <v>0</v>
      </c>
      <c r="CW300">
        <v>8838935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25">
      <c r="A301" t="str">
        <f t="shared" si="174"/>
        <v>06/05/2020 14:49:50.550</v>
      </c>
      <c r="C301" t="str">
        <f t="shared" si="170"/>
        <v>FFDFD3C0</v>
      </c>
      <c r="D301" t="s">
        <v>143</v>
      </c>
      <c r="E301">
        <v>10</v>
      </c>
      <c r="F301">
        <v>3010</v>
      </c>
      <c r="G301" t="s">
        <v>144</v>
      </c>
      <c r="J301" t="s">
        <v>145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75"/>
        <v>14:49:56.188</v>
      </c>
      <c r="T301" t="str">
        <f t="shared" si="176"/>
        <v>14:49:55.888</v>
      </c>
      <c r="U301" t="str">
        <f t="shared" si="152"/>
        <v>ACC530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1</v>
      </c>
      <c r="AH301">
        <v>0</v>
      </c>
      <c r="AI301" t="s">
        <v>253</v>
      </c>
      <c r="AJ301">
        <v>34.236939</v>
      </c>
      <c r="AK301" t="s">
        <v>254</v>
      </c>
      <c r="AL301">
        <v>-116.895218</v>
      </c>
      <c r="AM301">
        <v>100</v>
      </c>
      <c r="AN301">
        <v>8800</v>
      </c>
      <c r="AO301" t="s">
        <v>118</v>
      </c>
      <c r="AP301">
        <v>-70</v>
      </c>
      <c r="AQ301">
        <v>-49</v>
      </c>
      <c r="AR301">
        <v>704</v>
      </c>
      <c r="AZ301">
        <v>1200</v>
      </c>
      <c r="BA301">
        <v>1</v>
      </c>
      <c r="BB301" t="str">
        <f t="shared" si="155"/>
        <v xml:space="preserve">N9217B  </v>
      </c>
      <c r="BC301">
        <v>1</v>
      </c>
      <c r="BE301">
        <v>0</v>
      </c>
      <c r="BF301">
        <v>0</v>
      </c>
      <c r="BG301">
        <v>0</v>
      </c>
      <c r="BH301">
        <v>8875</v>
      </c>
      <c r="BI301">
        <v>1</v>
      </c>
      <c r="BJ301">
        <v>0</v>
      </c>
      <c r="BK301">
        <v>0</v>
      </c>
      <c r="BL301">
        <v>0</v>
      </c>
      <c r="BO301">
        <v>0</v>
      </c>
      <c r="BP301">
        <v>0</v>
      </c>
      <c r="BW301" t="str">
        <f t="shared" si="177"/>
        <v>14:49:56.193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5</v>
      </c>
      <c r="CP301" t="s">
        <v>119</v>
      </c>
      <c r="CQ301">
        <v>295</v>
      </c>
      <c r="CR301">
        <v>1</v>
      </c>
      <c r="CW301">
        <v>12420275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25">
      <c r="A302" t="str">
        <f t="shared" si="174"/>
        <v>06/05/2020 14:49:50.550</v>
      </c>
      <c r="C302" t="str">
        <f t="shared" si="170"/>
        <v>FFDFD3C0</v>
      </c>
      <c r="D302" t="s">
        <v>151</v>
      </c>
      <c r="E302">
        <v>9</v>
      </c>
      <c r="H302">
        <v>226</v>
      </c>
      <c r="I302" t="s">
        <v>152</v>
      </c>
      <c r="J302" t="s">
        <v>150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75"/>
        <v>14:49:56.188</v>
      </c>
      <c r="T302" t="str">
        <f t="shared" si="176"/>
        <v>14:49:55.888</v>
      </c>
      <c r="U302" t="str">
        <f t="shared" si="152"/>
        <v>ACC530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1</v>
      </c>
      <c r="AH302">
        <v>0</v>
      </c>
      <c r="AI302" t="s">
        <v>253</v>
      </c>
      <c r="AJ302">
        <v>34.236939</v>
      </c>
      <c r="AK302" t="s">
        <v>254</v>
      </c>
      <c r="AL302">
        <v>-116.895218</v>
      </c>
      <c r="AM302">
        <v>100</v>
      </c>
      <c r="AN302">
        <v>8800</v>
      </c>
      <c r="AO302" t="s">
        <v>118</v>
      </c>
      <c r="AP302">
        <v>-70</v>
      </c>
      <c r="AQ302">
        <v>-49</v>
      </c>
      <c r="AR302">
        <v>704</v>
      </c>
      <c r="AZ302">
        <v>1200</v>
      </c>
      <c r="BA302">
        <v>1</v>
      </c>
      <c r="BB302" t="str">
        <f t="shared" si="155"/>
        <v xml:space="preserve">N9217B  </v>
      </c>
      <c r="BC302">
        <v>1</v>
      </c>
      <c r="BE302">
        <v>0</v>
      </c>
      <c r="BF302">
        <v>0</v>
      </c>
      <c r="BG302">
        <v>0</v>
      </c>
      <c r="BH302">
        <v>8875</v>
      </c>
      <c r="BI302">
        <v>1</v>
      </c>
      <c r="BJ302">
        <v>0</v>
      </c>
      <c r="BK302">
        <v>0</v>
      </c>
      <c r="BL302">
        <v>0</v>
      </c>
      <c r="BO302">
        <v>0</v>
      </c>
      <c r="BP302">
        <v>0</v>
      </c>
      <c r="BW302" t="str">
        <f t="shared" si="177"/>
        <v>14:49:56.193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285</v>
      </c>
      <c r="CR302">
        <v>0</v>
      </c>
      <c r="CW302">
        <v>8838935</v>
      </c>
      <c r="CY302">
        <v>0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25">
      <c r="A303" t="str">
        <f t="shared" ref="A303:A308" si="178">"06/05/2020 14:49:51.543"</f>
        <v>06/05/2020 14:49:51.543</v>
      </c>
      <c r="C303" t="str">
        <f t="shared" si="170"/>
        <v>FFDFD3C0</v>
      </c>
      <c r="D303" t="s">
        <v>113</v>
      </c>
      <c r="E303">
        <v>3</v>
      </c>
      <c r="H303">
        <v>166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S308" si="179">"14:49:57.164"</f>
        <v>14:49:57.164</v>
      </c>
      <c r="T303" t="str">
        <f t="shared" ref="T303:T308" si="180">"14:49:56.764"</f>
        <v>14:49:56.764</v>
      </c>
      <c r="U303" t="str">
        <f t="shared" si="152"/>
        <v>ACC530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1</v>
      </c>
      <c r="AH303">
        <v>0</v>
      </c>
      <c r="AI303" t="s">
        <v>255</v>
      </c>
      <c r="AJ303">
        <v>34.236702999999999</v>
      </c>
      <c r="AK303" t="s">
        <v>256</v>
      </c>
      <c r="AL303">
        <v>-116.89560400000001</v>
      </c>
      <c r="AM303">
        <v>100</v>
      </c>
      <c r="AN303">
        <v>8800</v>
      </c>
      <c r="AO303" t="s">
        <v>118</v>
      </c>
      <c r="AP303">
        <v>-70</v>
      </c>
      <c r="AQ303">
        <v>-49</v>
      </c>
      <c r="AR303">
        <v>768</v>
      </c>
      <c r="AZ303">
        <v>1200</v>
      </c>
      <c r="BA303">
        <v>1</v>
      </c>
      <c r="BB303" t="str">
        <f t="shared" si="155"/>
        <v xml:space="preserve">N9217B  </v>
      </c>
      <c r="BC303">
        <v>1</v>
      </c>
      <c r="BE303">
        <v>0</v>
      </c>
      <c r="BF303">
        <v>0</v>
      </c>
      <c r="BG303">
        <v>0</v>
      </c>
      <c r="BH303">
        <v>8875</v>
      </c>
      <c r="BI303">
        <v>1</v>
      </c>
      <c r="BJ303">
        <v>0</v>
      </c>
      <c r="BK303">
        <v>0</v>
      </c>
      <c r="BL303">
        <v>0</v>
      </c>
      <c r="BO303">
        <v>0</v>
      </c>
      <c r="BP303">
        <v>0</v>
      </c>
      <c r="BW303" t="str">
        <f>"14:49:57.167"</f>
        <v>14:49:57.167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285</v>
      </c>
      <c r="CR303">
        <v>0</v>
      </c>
      <c r="CW303">
        <v>8839027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25">
      <c r="A304" t="str">
        <f t="shared" si="178"/>
        <v>06/05/2020 14:49:51.543</v>
      </c>
      <c r="C304" t="str">
        <f t="shared" si="170"/>
        <v>FFDFD3C0</v>
      </c>
      <c r="D304" t="s">
        <v>143</v>
      </c>
      <c r="E304">
        <v>10</v>
      </c>
      <c r="F304">
        <v>3010</v>
      </c>
      <c r="G304" t="s">
        <v>144</v>
      </c>
      <c r="J304" t="s">
        <v>145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79"/>
        <v>14:49:57.164</v>
      </c>
      <c r="T304" t="str">
        <f t="shared" si="180"/>
        <v>14:49:56.764</v>
      </c>
      <c r="U304" t="str">
        <f t="shared" si="152"/>
        <v>ACC530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1</v>
      </c>
      <c r="AH304">
        <v>0</v>
      </c>
      <c r="AI304" t="s">
        <v>255</v>
      </c>
      <c r="AJ304">
        <v>34.236702999999999</v>
      </c>
      <c r="AK304" t="s">
        <v>256</v>
      </c>
      <c r="AL304">
        <v>-116.89560400000001</v>
      </c>
      <c r="AM304">
        <v>100</v>
      </c>
      <c r="AN304">
        <v>8800</v>
      </c>
      <c r="AO304" t="s">
        <v>118</v>
      </c>
      <c r="AP304">
        <v>-70</v>
      </c>
      <c r="AQ304">
        <v>-49</v>
      </c>
      <c r="AR304">
        <v>768</v>
      </c>
      <c r="AZ304">
        <v>1200</v>
      </c>
      <c r="BA304">
        <v>1</v>
      </c>
      <c r="BB304" t="str">
        <f t="shared" si="155"/>
        <v xml:space="preserve">N9217B  </v>
      </c>
      <c r="BC304">
        <v>1</v>
      </c>
      <c r="BE304">
        <v>0</v>
      </c>
      <c r="BF304">
        <v>0</v>
      </c>
      <c r="BG304">
        <v>0</v>
      </c>
      <c r="BH304">
        <v>8875</v>
      </c>
      <c r="BI304">
        <v>1</v>
      </c>
      <c r="BJ304">
        <v>0</v>
      </c>
      <c r="BK304">
        <v>0</v>
      </c>
      <c r="BL304">
        <v>0</v>
      </c>
      <c r="BO304">
        <v>0</v>
      </c>
      <c r="BP304">
        <v>0</v>
      </c>
      <c r="BW304" t="str">
        <f>"14:49:57.168"</f>
        <v>14:49:57.168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4</v>
      </c>
      <c r="CP304" t="s">
        <v>119</v>
      </c>
      <c r="CQ304">
        <v>295</v>
      </c>
      <c r="CR304">
        <v>2</v>
      </c>
      <c r="CW304">
        <v>12420368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25">
      <c r="A305" t="str">
        <f t="shared" si="178"/>
        <v>06/05/2020 14:49:51.543</v>
      </c>
      <c r="C305" t="str">
        <f t="shared" si="170"/>
        <v>FFDFD3C0</v>
      </c>
      <c r="D305" t="s">
        <v>151</v>
      </c>
      <c r="E305">
        <v>9</v>
      </c>
      <c r="H305">
        <v>226</v>
      </c>
      <c r="I305" t="s">
        <v>152</v>
      </c>
      <c r="J305" t="s">
        <v>150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79"/>
        <v>14:49:57.164</v>
      </c>
      <c r="T305" t="str">
        <f t="shared" si="180"/>
        <v>14:49:56.764</v>
      </c>
      <c r="U305" t="str">
        <f t="shared" si="152"/>
        <v>ACC530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1</v>
      </c>
      <c r="AH305">
        <v>0</v>
      </c>
      <c r="AI305" t="s">
        <v>255</v>
      </c>
      <c r="AJ305">
        <v>34.236702999999999</v>
      </c>
      <c r="AK305" t="s">
        <v>256</v>
      </c>
      <c r="AL305">
        <v>-116.89560400000001</v>
      </c>
      <c r="AM305">
        <v>100</v>
      </c>
      <c r="AN305">
        <v>8800</v>
      </c>
      <c r="AO305" t="s">
        <v>118</v>
      </c>
      <c r="AP305">
        <v>-70</v>
      </c>
      <c r="AQ305">
        <v>-49</v>
      </c>
      <c r="AR305">
        <v>768</v>
      </c>
      <c r="AZ305">
        <v>1200</v>
      </c>
      <c r="BA305">
        <v>1</v>
      </c>
      <c r="BB305" t="str">
        <f t="shared" si="155"/>
        <v xml:space="preserve">N9217B  </v>
      </c>
      <c r="BC305">
        <v>1</v>
      </c>
      <c r="BE305">
        <v>0</v>
      </c>
      <c r="BF305">
        <v>0</v>
      </c>
      <c r="BG305">
        <v>0</v>
      </c>
      <c r="BH305">
        <v>8875</v>
      </c>
      <c r="BI305">
        <v>1</v>
      </c>
      <c r="BJ305">
        <v>0</v>
      </c>
      <c r="BK305">
        <v>0</v>
      </c>
      <c r="BL305">
        <v>0</v>
      </c>
      <c r="BO305">
        <v>0</v>
      </c>
      <c r="BP305">
        <v>0</v>
      </c>
      <c r="BW305" t="str">
        <f>"14:49:57.167"</f>
        <v>14:49:57.167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285</v>
      </c>
      <c r="CR305">
        <v>0</v>
      </c>
      <c r="CW305">
        <v>8839027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25">
      <c r="A306" t="str">
        <f t="shared" si="178"/>
        <v>06/05/2020 14:49:51.543</v>
      </c>
      <c r="C306" t="str">
        <f t="shared" si="170"/>
        <v>FFDFD3C0</v>
      </c>
      <c r="D306" t="s">
        <v>134</v>
      </c>
      <c r="E306">
        <v>7</v>
      </c>
      <c r="F306">
        <v>2007</v>
      </c>
      <c r="G306" t="s">
        <v>135</v>
      </c>
      <c r="J306" t="s">
        <v>136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79"/>
        <v>14:49:57.164</v>
      </c>
      <c r="T306" t="str">
        <f t="shared" si="180"/>
        <v>14:49:56.764</v>
      </c>
      <c r="U306" t="str">
        <f t="shared" si="152"/>
        <v>ACC530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1</v>
      </c>
      <c r="AH306">
        <v>0</v>
      </c>
      <c r="AI306" t="s">
        <v>255</v>
      </c>
      <c r="AJ306">
        <v>34.236702999999999</v>
      </c>
      <c r="AK306" t="s">
        <v>256</v>
      </c>
      <c r="AL306">
        <v>-116.89560400000001</v>
      </c>
      <c r="AM306">
        <v>100</v>
      </c>
      <c r="AN306">
        <v>8800</v>
      </c>
      <c r="AO306" t="s">
        <v>118</v>
      </c>
      <c r="AP306">
        <v>-70</v>
      </c>
      <c r="AQ306">
        <v>-49</v>
      </c>
      <c r="AR306">
        <v>768</v>
      </c>
      <c r="AZ306">
        <v>1200</v>
      </c>
      <c r="BA306">
        <v>1</v>
      </c>
      <c r="BB306" t="str">
        <f t="shared" si="155"/>
        <v xml:space="preserve">N9217B  </v>
      </c>
      <c r="BC306">
        <v>1</v>
      </c>
      <c r="BE306">
        <v>0</v>
      </c>
      <c r="BF306">
        <v>0</v>
      </c>
      <c r="BG306">
        <v>0</v>
      </c>
      <c r="BH306">
        <v>8875</v>
      </c>
      <c r="BI306">
        <v>1</v>
      </c>
      <c r="BJ306">
        <v>0</v>
      </c>
      <c r="BK306">
        <v>0</v>
      </c>
      <c r="BL306">
        <v>0</v>
      </c>
      <c r="BO306">
        <v>0</v>
      </c>
      <c r="BP306">
        <v>0</v>
      </c>
      <c r="BW306" t="str">
        <f>"14:49:57.167"</f>
        <v>14:49:57.167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119</v>
      </c>
      <c r="CQ306">
        <v>285</v>
      </c>
      <c r="CR306">
        <v>0</v>
      </c>
      <c r="CW306">
        <v>8839027</v>
      </c>
      <c r="CY306">
        <v>0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25">
      <c r="A307" t="str">
        <f t="shared" si="178"/>
        <v>06/05/2020 14:49:51.543</v>
      </c>
      <c r="C307" t="str">
        <f t="shared" si="170"/>
        <v>FFDFD3C0</v>
      </c>
      <c r="D307" t="s">
        <v>148</v>
      </c>
      <c r="E307">
        <v>8</v>
      </c>
      <c r="H307">
        <v>50</v>
      </c>
      <c r="I307" t="s">
        <v>149</v>
      </c>
      <c r="J307" t="s">
        <v>150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79"/>
        <v>14:49:57.164</v>
      </c>
      <c r="T307" t="str">
        <f t="shared" si="180"/>
        <v>14:49:56.764</v>
      </c>
      <c r="U307" t="str">
        <f t="shared" si="152"/>
        <v>ACC530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1</v>
      </c>
      <c r="AH307">
        <v>0</v>
      </c>
      <c r="AI307" t="s">
        <v>255</v>
      </c>
      <c r="AJ307">
        <v>34.236702999999999</v>
      </c>
      <c r="AK307" t="s">
        <v>256</v>
      </c>
      <c r="AL307">
        <v>-116.89560400000001</v>
      </c>
      <c r="AM307">
        <v>100</v>
      </c>
      <c r="AN307">
        <v>8800</v>
      </c>
      <c r="AO307" t="s">
        <v>118</v>
      </c>
      <c r="AP307">
        <v>-70</v>
      </c>
      <c r="AQ307">
        <v>-49</v>
      </c>
      <c r="AR307">
        <v>768</v>
      </c>
      <c r="AZ307">
        <v>1200</v>
      </c>
      <c r="BA307">
        <v>1</v>
      </c>
      <c r="BB307" t="str">
        <f t="shared" si="155"/>
        <v xml:space="preserve">N9217B  </v>
      </c>
      <c r="BC307">
        <v>1</v>
      </c>
      <c r="BE307">
        <v>0</v>
      </c>
      <c r="BF307">
        <v>0</v>
      </c>
      <c r="BG307">
        <v>0</v>
      </c>
      <c r="BH307">
        <v>8875</v>
      </c>
      <c r="BI307">
        <v>1</v>
      </c>
      <c r="BJ307">
        <v>0</v>
      </c>
      <c r="BK307">
        <v>0</v>
      </c>
      <c r="BL307">
        <v>0</v>
      </c>
      <c r="BO307">
        <v>0</v>
      </c>
      <c r="BP307">
        <v>0</v>
      </c>
      <c r="BW307" t="str">
        <f>"14:49:57.167"</f>
        <v>14:49:57.167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285</v>
      </c>
      <c r="CR307">
        <v>0</v>
      </c>
      <c r="CW307">
        <v>8839027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25">
      <c r="A308" t="str">
        <f t="shared" si="178"/>
        <v>06/05/2020 14:49:51.543</v>
      </c>
      <c r="C308" t="str">
        <f t="shared" si="170"/>
        <v>FFDFD3C0</v>
      </c>
      <c r="D308" t="s">
        <v>141</v>
      </c>
      <c r="E308">
        <v>20</v>
      </c>
      <c r="F308">
        <v>1020</v>
      </c>
      <c r="G308" t="s">
        <v>114</v>
      </c>
      <c r="J308" t="s">
        <v>142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79"/>
        <v>14:49:57.164</v>
      </c>
      <c r="T308" t="str">
        <f t="shared" si="180"/>
        <v>14:49:56.764</v>
      </c>
      <c r="U308" t="str">
        <f t="shared" si="152"/>
        <v>ACC530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1</v>
      </c>
      <c r="AH308">
        <v>0</v>
      </c>
      <c r="AI308" t="s">
        <v>255</v>
      </c>
      <c r="AJ308">
        <v>34.236702999999999</v>
      </c>
      <c r="AK308" t="s">
        <v>256</v>
      </c>
      <c r="AL308">
        <v>-116.89560400000001</v>
      </c>
      <c r="AM308">
        <v>100</v>
      </c>
      <c r="AN308">
        <v>8800</v>
      </c>
      <c r="AO308" t="s">
        <v>118</v>
      </c>
      <c r="AP308">
        <v>-70</v>
      </c>
      <c r="AQ308">
        <v>-49</v>
      </c>
      <c r="AR308">
        <v>768</v>
      </c>
      <c r="AZ308">
        <v>1200</v>
      </c>
      <c r="BA308">
        <v>1</v>
      </c>
      <c r="BB308" t="str">
        <f t="shared" si="155"/>
        <v xml:space="preserve">N9217B  </v>
      </c>
      <c r="BC308">
        <v>1</v>
      </c>
      <c r="BE308">
        <v>0</v>
      </c>
      <c r="BF308">
        <v>0</v>
      </c>
      <c r="BG308">
        <v>0</v>
      </c>
      <c r="BH308">
        <v>8875</v>
      </c>
      <c r="BI308">
        <v>1</v>
      </c>
      <c r="BJ308">
        <v>0</v>
      </c>
      <c r="BK308">
        <v>0</v>
      </c>
      <c r="BL308">
        <v>0</v>
      </c>
      <c r="BO308">
        <v>0</v>
      </c>
      <c r="BP308">
        <v>0</v>
      </c>
      <c r="BW308" t="str">
        <f>"14:49:57.167"</f>
        <v>14:49:57.167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285</v>
      </c>
      <c r="CR308">
        <v>0</v>
      </c>
      <c r="CW308">
        <v>8839027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25">
      <c r="A309" t="str">
        <f t="shared" ref="A309:A314" si="181">"06/05/2020 14:49:52.513"</f>
        <v>06/05/2020 14:49:52.513</v>
      </c>
      <c r="C309" t="str">
        <f t="shared" si="170"/>
        <v>FFDFD3C0</v>
      </c>
      <c r="D309" t="s">
        <v>151</v>
      </c>
      <c r="E309">
        <v>9</v>
      </c>
      <c r="H309">
        <v>226</v>
      </c>
      <c r="I309" t="s">
        <v>152</v>
      </c>
      <c r="J309" t="s">
        <v>150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ref="S309:T312" si="182">"14:49:58.156"</f>
        <v>14:49:58.156</v>
      </c>
      <c r="T309" t="str">
        <f t="shared" si="182"/>
        <v>14:49:58.156</v>
      </c>
      <c r="U309" t="str">
        <f t="shared" si="152"/>
        <v>ACC530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1</v>
      </c>
      <c r="AH309">
        <v>0</v>
      </c>
      <c r="AI309" t="s">
        <v>257</v>
      </c>
      <c r="AJ309">
        <v>34.236466999999998</v>
      </c>
      <c r="AK309" t="s">
        <v>258</v>
      </c>
      <c r="AL309">
        <v>-116.89596899999999</v>
      </c>
      <c r="AM309">
        <v>100</v>
      </c>
      <c r="AN309">
        <v>8800</v>
      </c>
      <c r="AO309" t="s">
        <v>118</v>
      </c>
      <c r="AP309">
        <v>-70</v>
      </c>
      <c r="AQ309">
        <v>-48</v>
      </c>
      <c r="AR309">
        <v>640</v>
      </c>
      <c r="AZ309">
        <v>1200</v>
      </c>
      <c r="BA309">
        <v>1</v>
      </c>
      <c r="BB309" t="str">
        <f t="shared" si="155"/>
        <v xml:space="preserve">N9217B  </v>
      </c>
      <c r="BC309">
        <v>1</v>
      </c>
      <c r="BE309">
        <v>0</v>
      </c>
      <c r="BF309">
        <v>0</v>
      </c>
      <c r="BG309">
        <v>0</v>
      </c>
      <c r="BH309">
        <v>8900</v>
      </c>
      <c r="BI309">
        <v>1</v>
      </c>
      <c r="BJ309">
        <v>0</v>
      </c>
      <c r="BK309">
        <v>0</v>
      </c>
      <c r="BL309">
        <v>0</v>
      </c>
      <c r="BO309">
        <v>0</v>
      </c>
      <c r="BP309">
        <v>0</v>
      </c>
      <c r="BW309" t="str">
        <f t="shared" ref="BW309:BW314" si="183">"14:49:58.157"</f>
        <v>14:49:58.157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285</v>
      </c>
      <c r="CR309">
        <v>0</v>
      </c>
      <c r="CW309">
        <v>8839120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25">
      <c r="A310" t="str">
        <f t="shared" si="181"/>
        <v>06/05/2020 14:49:52.513</v>
      </c>
      <c r="C310" t="str">
        <f t="shared" si="170"/>
        <v>FFDFD3C0</v>
      </c>
      <c r="D310" t="s">
        <v>134</v>
      </c>
      <c r="E310">
        <v>7</v>
      </c>
      <c r="F310">
        <v>2007</v>
      </c>
      <c r="G310" t="s">
        <v>135</v>
      </c>
      <c r="J310" t="s">
        <v>136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82"/>
        <v>14:49:58.156</v>
      </c>
      <c r="T310" t="str">
        <f t="shared" si="182"/>
        <v>14:49:58.156</v>
      </c>
      <c r="U310" t="str">
        <f t="shared" si="152"/>
        <v>ACC530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1</v>
      </c>
      <c r="AH310">
        <v>0</v>
      </c>
      <c r="AI310" t="s">
        <v>257</v>
      </c>
      <c r="AJ310">
        <v>34.236466999999998</v>
      </c>
      <c r="AK310" t="s">
        <v>258</v>
      </c>
      <c r="AL310">
        <v>-116.89596899999999</v>
      </c>
      <c r="AM310">
        <v>100</v>
      </c>
      <c r="AN310">
        <v>8800</v>
      </c>
      <c r="AO310" t="s">
        <v>118</v>
      </c>
      <c r="AP310">
        <v>-70</v>
      </c>
      <c r="AQ310">
        <v>-48</v>
      </c>
      <c r="AR310">
        <v>640</v>
      </c>
      <c r="AZ310">
        <v>1200</v>
      </c>
      <c r="BA310">
        <v>1</v>
      </c>
      <c r="BB310" t="str">
        <f t="shared" si="155"/>
        <v xml:space="preserve">N9217B  </v>
      </c>
      <c r="BC310">
        <v>1</v>
      </c>
      <c r="BE310">
        <v>0</v>
      </c>
      <c r="BF310">
        <v>0</v>
      </c>
      <c r="BG310">
        <v>0</v>
      </c>
      <c r="BH310">
        <v>8900</v>
      </c>
      <c r="BI310">
        <v>1</v>
      </c>
      <c r="BJ310">
        <v>0</v>
      </c>
      <c r="BK310">
        <v>0</v>
      </c>
      <c r="BL310">
        <v>0</v>
      </c>
      <c r="BO310">
        <v>0</v>
      </c>
      <c r="BP310">
        <v>0</v>
      </c>
      <c r="BW310" t="str">
        <f t="shared" si="183"/>
        <v>14:49:58.157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6</v>
      </c>
      <c r="CP310" t="s">
        <v>119</v>
      </c>
      <c r="CQ310">
        <v>285</v>
      </c>
      <c r="CR310">
        <v>0</v>
      </c>
      <c r="CW310">
        <v>8839120</v>
      </c>
      <c r="CY310">
        <v>0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25">
      <c r="A311" t="str">
        <f t="shared" si="181"/>
        <v>06/05/2020 14:49:52.513</v>
      </c>
      <c r="C311" t="str">
        <f t="shared" si="170"/>
        <v>FFDFD3C0</v>
      </c>
      <c r="D311" t="s">
        <v>148</v>
      </c>
      <c r="E311">
        <v>8</v>
      </c>
      <c r="H311">
        <v>50</v>
      </c>
      <c r="I311" t="s">
        <v>149</v>
      </c>
      <c r="J311" t="s">
        <v>150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82"/>
        <v>14:49:58.156</v>
      </c>
      <c r="T311" t="str">
        <f t="shared" si="182"/>
        <v>14:49:58.156</v>
      </c>
      <c r="U311" t="str">
        <f t="shared" si="152"/>
        <v>ACC530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1</v>
      </c>
      <c r="AH311">
        <v>0</v>
      </c>
      <c r="AI311" t="s">
        <v>257</v>
      </c>
      <c r="AJ311">
        <v>34.236466999999998</v>
      </c>
      <c r="AK311" t="s">
        <v>258</v>
      </c>
      <c r="AL311">
        <v>-116.89596899999999</v>
      </c>
      <c r="AM311">
        <v>100</v>
      </c>
      <c r="AN311">
        <v>8800</v>
      </c>
      <c r="AO311" t="s">
        <v>118</v>
      </c>
      <c r="AP311">
        <v>-70</v>
      </c>
      <c r="AQ311">
        <v>-48</v>
      </c>
      <c r="AR311">
        <v>640</v>
      </c>
      <c r="AZ311">
        <v>1200</v>
      </c>
      <c r="BA311">
        <v>1</v>
      </c>
      <c r="BB311" t="str">
        <f t="shared" si="155"/>
        <v xml:space="preserve">N9217B  </v>
      </c>
      <c r="BC311">
        <v>1</v>
      </c>
      <c r="BE311">
        <v>0</v>
      </c>
      <c r="BF311">
        <v>0</v>
      </c>
      <c r="BG311">
        <v>0</v>
      </c>
      <c r="BH311">
        <v>8900</v>
      </c>
      <c r="BI311">
        <v>1</v>
      </c>
      <c r="BJ311">
        <v>0</v>
      </c>
      <c r="BK311">
        <v>0</v>
      </c>
      <c r="BL311">
        <v>0</v>
      </c>
      <c r="BO311">
        <v>0</v>
      </c>
      <c r="BP311">
        <v>0</v>
      </c>
      <c r="BW311" t="str">
        <f t="shared" si="183"/>
        <v>14:49:58.157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6</v>
      </c>
      <c r="CP311" t="s">
        <v>119</v>
      </c>
      <c r="CQ311">
        <v>285</v>
      </c>
      <c r="CR311">
        <v>0</v>
      </c>
      <c r="CW311">
        <v>8839120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25">
      <c r="A312" t="str">
        <f t="shared" si="181"/>
        <v>06/05/2020 14:49:52.513</v>
      </c>
      <c r="C312" t="str">
        <f t="shared" si="170"/>
        <v>FFDFD3C0</v>
      </c>
      <c r="D312" t="s">
        <v>141</v>
      </c>
      <c r="E312">
        <v>20</v>
      </c>
      <c r="F312">
        <v>1020</v>
      </c>
      <c r="G312" t="s">
        <v>114</v>
      </c>
      <c r="J312" t="s">
        <v>142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82"/>
        <v>14:49:58.156</v>
      </c>
      <c r="T312" t="str">
        <f t="shared" si="182"/>
        <v>14:49:58.156</v>
      </c>
      <c r="U312" t="str">
        <f t="shared" si="152"/>
        <v>ACC530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1</v>
      </c>
      <c r="AH312">
        <v>0</v>
      </c>
      <c r="AI312" t="s">
        <v>257</v>
      </c>
      <c r="AJ312">
        <v>34.236466999999998</v>
      </c>
      <c r="AK312" t="s">
        <v>258</v>
      </c>
      <c r="AL312">
        <v>-116.89596899999999</v>
      </c>
      <c r="AM312">
        <v>100</v>
      </c>
      <c r="AN312">
        <v>8800</v>
      </c>
      <c r="AO312" t="s">
        <v>118</v>
      </c>
      <c r="AP312">
        <v>-70</v>
      </c>
      <c r="AQ312">
        <v>-48</v>
      </c>
      <c r="AR312">
        <v>640</v>
      </c>
      <c r="AZ312">
        <v>1200</v>
      </c>
      <c r="BA312">
        <v>1</v>
      </c>
      <c r="BB312" t="str">
        <f t="shared" si="155"/>
        <v xml:space="preserve">N9217B  </v>
      </c>
      <c r="BC312">
        <v>1</v>
      </c>
      <c r="BE312">
        <v>0</v>
      </c>
      <c r="BF312">
        <v>0</v>
      </c>
      <c r="BG312">
        <v>0</v>
      </c>
      <c r="BH312">
        <v>8900</v>
      </c>
      <c r="BI312">
        <v>1</v>
      </c>
      <c r="BJ312">
        <v>0</v>
      </c>
      <c r="BK312">
        <v>0</v>
      </c>
      <c r="BL312">
        <v>0</v>
      </c>
      <c r="BO312">
        <v>0</v>
      </c>
      <c r="BP312">
        <v>0</v>
      </c>
      <c r="BW312" t="str">
        <f t="shared" si="183"/>
        <v>14:49:58.157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285</v>
      </c>
      <c r="CR312">
        <v>0</v>
      </c>
      <c r="CW312">
        <v>8839120</v>
      </c>
      <c r="CY312">
        <v>0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25">
      <c r="A313" t="str">
        <f t="shared" si="181"/>
        <v>06/05/2020 14:49:52.513</v>
      </c>
      <c r="C313" t="str">
        <f t="shared" si="170"/>
        <v>FFDFD3C0</v>
      </c>
      <c r="D313" t="s">
        <v>143</v>
      </c>
      <c r="E313">
        <v>10</v>
      </c>
      <c r="F313">
        <v>3010</v>
      </c>
      <c r="G313" t="s">
        <v>144</v>
      </c>
      <c r="J313" t="s">
        <v>145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"14:49:58.156"</f>
        <v>14:49:58.156</v>
      </c>
      <c r="T313" t="str">
        <f>"14:49:57.656"</f>
        <v>14:49:57.656</v>
      </c>
      <c r="U313" t="str">
        <f t="shared" si="152"/>
        <v>ACC530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1</v>
      </c>
      <c r="AH313">
        <v>0</v>
      </c>
      <c r="AI313" t="s">
        <v>257</v>
      </c>
      <c r="AJ313">
        <v>34.236466999999998</v>
      </c>
      <c r="AK313" t="s">
        <v>258</v>
      </c>
      <c r="AL313">
        <v>-116.89596899999999</v>
      </c>
      <c r="AM313">
        <v>100</v>
      </c>
      <c r="AN313">
        <v>8800</v>
      </c>
      <c r="AO313" t="s">
        <v>118</v>
      </c>
      <c r="AP313">
        <v>-70</v>
      </c>
      <c r="AQ313">
        <v>-48</v>
      </c>
      <c r="AR313">
        <v>640</v>
      </c>
      <c r="AZ313">
        <v>1200</v>
      </c>
      <c r="BA313">
        <v>1</v>
      </c>
      <c r="BB313" t="str">
        <f t="shared" si="155"/>
        <v xml:space="preserve">N9217B  </v>
      </c>
      <c r="BC313">
        <v>1</v>
      </c>
      <c r="BE313">
        <v>0</v>
      </c>
      <c r="BF313">
        <v>0</v>
      </c>
      <c r="BG313">
        <v>0</v>
      </c>
      <c r="BH313">
        <v>8875</v>
      </c>
      <c r="BI313">
        <v>1</v>
      </c>
      <c r="BJ313">
        <v>0</v>
      </c>
      <c r="BK313">
        <v>0</v>
      </c>
      <c r="BL313">
        <v>0</v>
      </c>
      <c r="BO313">
        <v>0</v>
      </c>
      <c r="BP313">
        <v>0</v>
      </c>
      <c r="BW313" t="str">
        <f t="shared" si="183"/>
        <v>14:49:58.157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2</v>
      </c>
      <c r="CP313" t="s">
        <v>119</v>
      </c>
      <c r="CQ313">
        <v>293</v>
      </c>
      <c r="CR313">
        <v>2</v>
      </c>
      <c r="CW313">
        <v>15268439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25">
      <c r="A314" t="str">
        <f t="shared" si="181"/>
        <v>06/05/2020 14:49:52.513</v>
      </c>
      <c r="C314" t="str">
        <f t="shared" si="170"/>
        <v>FFDFD3C0</v>
      </c>
      <c r="D314" t="s">
        <v>113</v>
      </c>
      <c r="E314">
        <v>3</v>
      </c>
      <c r="H314">
        <v>166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"14:49:58.156"</f>
        <v>14:49:58.156</v>
      </c>
      <c r="T314" t="str">
        <f>"14:49:58.156"</f>
        <v>14:49:58.156</v>
      </c>
      <c r="U314" t="str">
        <f t="shared" si="152"/>
        <v>ACC530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1</v>
      </c>
      <c r="AH314">
        <v>0</v>
      </c>
      <c r="AI314" t="s">
        <v>257</v>
      </c>
      <c r="AJ314">
        <v>34.236466999999998</v>
      </c>
      <c r="AK314" t="s">
        <v>258</v>
      </c>
      <c r="AL314">
        <v>-116.89596899999999</v>
      </c>
      <c r="AM314">
        <v>100</v>
      </c>
      <c r="AN314">
        <v>8800</v>
      </c>
      <c r="AO314" t="s">
        <v>118</v>
      </c>
      <c r="AP314">
        <v>-70</v>
      </c>
      <c r="AQ314">
        <v>-48</v>
      </c>
      <c r="AR314">
        <v>640</v>
      </c>
      <c r="AZ314">
        <v>1200</v>
      </c>
      <c r="BA314">
        <v>1</v>
      </c>
      <c r="BB314" t="str">
        <f t="shared" si="155"/>
        <v xml:space="preserve">N9217B  </v>
      </c>
      <c r="BC314">
        <v>1</v>
      </c>
      <c r="BE314">
        <v>0</v>
      </c>
      <c r="BF314">
        <v>0</v>
      </c>
      <c r="BG314">
        <v>0</v>
      </c>
      <c r="BH314">
        <v>8900</v>
      </c>
      <c r="BI314">
        <v>1</v>
      </c>
      <c r="BJ314">
        <v>0</v>
      </c>
      <c r="BK314">
        <v>0</v>
      </c>
      <c r="BL314">
        <v>0</v>
      </c>
      <c r="BO314">
        <v>0</v>
      </c>
      <c r="BP314">
        <v>0</v>
      </c>
      <c r="BW314" t="str">
        <f t="shared" si="183"/>
        <v>14:49:58.157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285</v>
      </c>
      <c r="CR314">
        <v>0</v>
      </c>
      <c r="CW314">
        <v>8839120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25">
      <c r="A315" t="str">
        <f t="shared" ref="A315:A320" si="184">"06/05/2020 14:49:53.435"</f>
        <v>06/05/2020 14:49:53.435</v>
      </c>
      <c r="C315" t="str">
        <f t="shared" si="170"/>
        <v>FFDFD3C0</v>
      </c>
      <c r="D315" t="s">
        <v>148</v>
      </c>
      <c r="E315">
        <v>8</v>
      </c>
      <c r="H315">
        <v>50</v>
      </c>
      <c r="I315" t="s">
        <v>149</v>
      </c>
      <c r="J315" t="s">
        <v>150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ref="S315:S320" si="185">"14:49:59.070"</f>
        <v>14:49:59.070</v>
      </c>
      <c r="T315" t="str">
        <f t="shared" ref="T315:T320" si="186">"14:49:58.670"</f>
        <v>14:49:58.670</v>
      </c>
      <c r="U315" t="str">
        <f t="shared" si="152"/>
        <v>ACC530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1</v>
      </c>
      <c r="AH315">
        <v>0</v>
      </c>
      <c r="AI315" t="s">
        <v>259</v>
      </c>
      <c r="AJ315">
        <v>34.236294999999998</v>
      </c>
      <c r="AK315" t="s">
        <v>260</v>
      </c>
      <c r="AL315">
        <v>-116.89631199999999</v>
      </c>
      <c r="AM315">
        <v>100</v>
      </c>
      <c r="AN315">
        <v>8800</v>
      </c>
      <c r="AO315" t="s">
        <v>118</v>
      </c>
      <c r="AP315">
        <v>-70</v>
      </c>
      <c r="AQ315">
        <v>-48</v>
      </c>
      <c r="AR315">
        <v>704</v>
      </c>
      <c r="AZ315">
        <v>1200</v>
      </c>
      <c r="BA315">
        <v>1</v>
      </c>
      <c r="BB315" t="str">
        <f t="shared" si="155"/>
        <v xml:space="preserve">N9217B  </v>
      </c>
      <c r="BC315">
        <v>1</v>
      </c>
      <c r="BE315">
        <v>0</v>
      </c>
      <c r="BF315">
        <v>0</v>
      </c>
      <c r="BG315">
        <v>0</v>
      </c>
      <c r="BH315">
        <v>8900</v>
      </c>
      <c r="BI315">
        <v>1</v>
      </c>
      <c r="BJ315">
        <v>0</v>
      </c>
      <c r="BK315">
        <v>0</v>
      </c>
      <c r="BL315">
        <v>0</v>
      </c>
      <c r="BO315">
        <v>0</v>
      </c>
      <c r="BP315">
        <v>0</v>
      </c>
      <c r="BW315" t="str">
        <f t="shared" ref="BW315:BW320" si="187">"14:49:59.072"</f>
        <v>14:49:59.072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6</v>
      </c>
      <c r="CP315" t="s">
        <v>119</v>
      </c>
      <c r="CQ315">
        <v>285</v>
      </c>
      <c r="CR315">
        <v>0</v>
      </c>
      <c r="CW315">
        <v>8839198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25">
      <c r="A316" t="str">
        <f t="shared" si="184"/>
        <v>06/05/2020 14:49:53.435</v>
      </c>
      <c r="C316" t="str">
        <f t="shared" si="170"/>
        <v>FFDFD3C0</v>
      </c>
      <c r="D316" t="s">
        <v>141</v>
      </c>
      <c r="E316">
        <v>20</v>
      </c>
      <c r="F316">
        <v>1020</v>
      </c>
      <c r="G316" t="s">
        <v>114</v>
      </c>
      <c r="J316" t="s">
        <v>142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85"/>
        <v>14:49:59.070</v>
      </c>
      <c r="T316" t="str">
        <f t="shared" si="186"/>
        <v>14:49:58.670</v>
      </c>
      <c r="U316" t="str">
        <f t="shared" si="152"/>
        <v>ACC530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1</v>
      </c>
      <c r="AH316">
        <v>0</v>
      </c>
      <c r="AI316" t="s">
        <v>259</v>
      </c>
      <c r="AJ316">
        <v>34.236294999999998</v>
      </c>
      <c r="AK316" t="s">
        <v>260</v>
      </c>
      <c r="AL316">
        <v>-116.89631199999999</v>
      </c>
      <c r="AM316">
        <v>100</v>
      </c>
      <c r="AN316">
        <v>8800</v>
      </c>
      <c r="AO316" t="s">
        <v>118</v>
      </c>
      <c r="AP316">
        <v>-70</v>
      </c>
      <c r="AQ316">
        <v>-48</v>
      </c>
      <c r="AR316">
        <v>704</v>
      </c>
      <c r="AZ316">
        <v>1200</v>
      </c>
      <c r="BA316">
        <v>1</v>
      </c>
      <c r="BB316" t="str">
        <f t="shared" si="155"/>
        <v xml:space="preserve">N9217B  </v>
      </c>
      <c r="BC316">
        <v>1</v>
      </c>
      <c r="BE316">
        <v>0</v>
      </c>
      <c r="BF316">
        <v>0</v>
      </c>
      <c r="BG316">
        <v>0</v>
      </c>
      <c r="BH316">
        <v>8900</v>
      </c>
      <c r="BI316">
        <v>1</v>
      </c>
      <c r="BJ316">
        <v>0</v>
      </c>
      <c r="BK316">
        <v>0</v>
      </c>
      <c r="BL316">
        <v>0</v>
      </c>
      <c r="BO316">
        <v>0</v>
      </c>
      <c r="BP316">
        <v>0</v>
      </c>
      <c r="BW316" t="str">
        <f t="shared" si="187"/>
        <v>14:49:59.072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6</v>
      </c>
      <c r="CP316" t="s">
        <v>119</v>
      </c>
      <c r="CQ316">
        <v>285</v>
      </c>
      <c r="CR316">
        <v>0</v>
      </c>
      <c r="CW316">
        <v>8839198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25">
      <c r="A317" t="str">
        <f t="shared" si="184"/>
        <v>06/05/2020 14:49:53.435</v>
      </c>
      <c r="C317" t="str">
        <f t="shared" si="170"/>
        <v>FFDFD3C0</v>
      </c>
      <c r="D317" t="s">
        <v>143</v>
      </c>
      <c r="E317">
        <v>10</v>
      </c>
      <c r="F317">
        <v>3010</v>
      </c>
      <c r="G317" t="s">
        <v>144</v>
      </c>
      <c r="J317" t="s">
        <v>145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85"/>
        <v>14:49:59.070</v>
      </c>
      <c r="T317" t="str">
        <f t="shared" si="186"/>
        <v>14:49:58.670</v>
      </c>
      <c r="U317" t="str">
        <f t="shared" si="152"/>
        <v>ACC530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1</v>
      </c>
      <c r="AH317">
        <v>0</v>
      </c>
      <c r="AI317" t="s">
        <v>259</v>
      </c>
      <c r="AJ317">
        <v>34.236294999999998</v>
      </c>
      <c r="AK317" t="s">
        <v>260</v>
      </c>
      <c r="AL317">
        <v>-116.89631199999999</v>
      </c>
      <c r="AM317">
        <v>100</v>
      </c>
      <c r="AN317">
        <v>8800</v>
      </c>
      <c r="AO317" t="s">
        <v>118</v>
      </c>
      <c r="AP317">
        <v>-70</v>
      </c>
      <c r="AQ317">
        <v>-48</v>
      </c>
      <c r="AR317">
        <v>704</v>
      </c>
      <c r="AZ317">
        <v>1200</v>
      </c>
      <c r="BA317">
        <v>1</v>
      </c>
      <c r="BB317" t="str">
        <f t="shared" si="155"/>
        <v xml:space="preserve">N9217B  </v>
      </c>
      <c r="BC317">
        <v>1</v>
      </c>
      <c r="BE317">
        <v>0</v>
      </c>
      <c r="BF317">
        <v>0</v>
      </c>
      <c r="BG317">
        <v>0</v>
      </c>
      <c r="BH317">
        <v>8900</v>
      </c>
      <c r="BI317">
        <v>1</v>
      </c>
      <c r="BJ317">
        <v>0</v>
      </c>
      <c r="BK317">
        <v>0</v>
      </c>
      <c r="BL317">
        <v>0</v>
      </c>
      <c r="BO317">
        <v>0</v>
      </c>
      <c r="BP317">
        <v>0</v>
      </c>
      <c r="BW317" t="str">
        <f t="shared" si="187"/>
        <v>14:49:59.072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2</v>
      </c>
      <c r="CP317" t="s">
        <v>119</v>
      </c>
      <c r="CQ317">
        <v>293</v>
      </c>
      <c r="CR317">
        <v>2</v>
      </c>
      <c r="CW317">
        <v>15268544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25">
      <c r="A318" t="str">
        <f t="shared" si="184"/>
        <v>06/05/2020 14:49:53.435</v>
      </c>
      <c r="C318" t="str">
        <f t="shared" si="170"/>
        <v>FFDFD3C0</v>
      </c>
      <c r="D318" t="s">
        <v>113</v>
      </c>
      <c r="E318">
        <v>3</v>
      </c>
      <c r="H318">
        <v>166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85"/>
        <v>14:49:59.070</v>
      </c>
      <c r="T318" t="str">
        <f t="shared" si="186"/>
        <v>14:49:58.670</v>
      </c>
      <c r="U318" t="str">
        <f t="shared" si="152"/>
        <v>ACC530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1</v>
      </c>
      <c r="AH318">
        <v>0</v>
      </c>
      <c r="AI318" t="s">
        <v>259</v>
      </c>
      <c r="AJ318">
        <v>34.236294999999998</v>
      </c>
      <c r="AK318" t="s">
        <v>260</v>
      </c>
      <c r="AL318">
        <v>-116.89631199999999</v>
      </c>
      <c r="AM318">
        <v>100</v>
      </c>
      <c r="AN318">
        <v>8800</v>
      </c>
      <c r="AO318" t="s">
        <v>118</v>
      </c>
      <c r="AP318">
        <v>-70</v>
      </c>
      <c r="AQ318">
        <v>-48</v>
      </c>
      <c r="AR318">
        <v>704</v>
      </c>
      <c r="AZ318">
        <v>1200</v>
      </c>
      <c r="BA318">
        <v>1</v>
      </c>
      <c r="BB318" t="str">
        <f t="shared" si="155"/>
        <v xml:space="preserve">N9217B  </v>
      </c>
      <c r="BC318">
        <v>1</v>
      </c>
      <c r="BE318">
        <v>0</v>
      </c>
      <c r="BF318">
        <v>0</v>
      </c>
      <c r="BG318">
        <v>0</v>
      </c>
      <c r="BH318">
        <v>8900</v>
      </c>
      <c r="BI318">
        <v>1</v>
      </c>
      <c r="BJ318">
        <v>0</v>
      </c>
      <c r="BK318">
        <v>0</v>
      </c>
      <c r="BL318">
        <v>0</v>
      </c>
      <c r="BO318">
        <v>0</v>
      </c>
      <c r="BP318">
        <v>0</v>
      </c>
      <c r="BW318" t="str">
        <f t="shared" si="187"/>
        <v>14:49:59.072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6</v>
      </c>
      <c r="CP318" t="s">
        <v>119</v>
      </c>
      <c r="CQ318">
        <v>285</v>
      </c>
      <c r="CR318">
        <v>0</v>
      </c>
      <c r="CW318">
        <v>8839198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25">
      <c r="A319" t="str">
        <f t="shared" si="184"/>
        <v>06/05/2020 14:49:53.435</v>
      </c>
      <c r="C319" t="str">
        <f t="shared" si="170"/>
        <v>FFDFD3C0</v>
      </c>
      <c r="D319" t="s">
        <v>151</v>
      </c>
      <c r="E319">
        <v>9</v>
      </c>
      <c r="H319">
        <v>226</v>
      </c>
      <c r="I319" t="s">
        <v>152</v>
      </c>
      <c r="J319" t="s">
        <v>150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85"/>
        <v>14:49:59.070</v>
      </c>
      <c r="T319" t="str">
        <f t="shared" si="186"/>
        <v>14:49:58.670</v>
      </c>
      <c r="U319" t="str">
        <f t="shared" si="152"/>
        <v>ACC530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1</v>
      </c>
      <c r="AH319">
        <v>0</v>
      </c>
      <c r="AI319" t="s">
        <v>259</v>
      </c>
      <c r="AJ319">
        <v>34.236294999999998</v>
      </c>
      <c r="AK319" t="s">
        <v>260</v>
      </c>
      <c r="AL319">
        <v>-116.89631199999999</v>
      </c>
      <c r="AM319">
        <v>100</v>
      </c>
      <c r="AN319">
        <v>8800</v>
      </c>
      <c r="AO319" t="s">
        <v>118</v>
      </c>
      <c r="AP319">
        <v>-70</v>
      </c>
      <c r="AQ319">
        <v>-48</v>
      </c>
      <c r="AR319">
        <v>704</v>
      </c>
      <c r="AZ319">
        <v>1200</v>
      </c>
      <c r="BA319">
        <v>1</v>
      </c>
      <c r="BB319" t="str">
        <f t="shared" si="155"/>
        <v xml:space="preserve">N9217B  </v>
      </c>
      <c r="BC319">
        <v>1</v>
      </c>
      <c r="BE319">
        <v>0</v>
      </c>
      <c r="BF319">
        <v>0</v>
      </c>
      <c r="BG319">
        <v>0</v>
      </c>
      <c r="BH319">
        <v>8900</v>
      </c>
      <c r="BI319">
        <v>1</v>
      </c>
      <c r="BJ319">
        <v>0</v>
      </c>
      <c r="BK319">
        <v>0</v>
      </c>
      <c r="BL319">
        <v>0</v>
      </c>
      <c r="BO319">
        <v>0</v>
      </c>
      <c r="BP319">
        <v>0</v>
      </c>
      <c r="BW319" t="str">
        <f t="shared" si="187"/>
        <v>14:49:59.072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285</v>
      </c>
      <c r="CR319">
        <v>0</v>
      </c>
      <c r="CW319">
        <v>8839198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25">
      <c r="A320" t="str">
        <f t="shared" si="184"/>
        <v>06/05/2020 14:49:53.435</v>
      </c>
      <c r="C320" t="str">
        <f t="shared" si="170"/>
        <v>FFDFD3C0</v>
      </c>
      <c r="D320" t="s">
        <v>134</v>
      </c>
      <c r="E320">
        <v>7</v>
      </c>
      <c r="F320">
        <v>2007</v>
      </c>
      <c r="G320" t="s">
        <v>135</v>
      </c>
      <c r="J320" t="s">
        <v>136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85"/>
        <v>14:49:59.070</v>
      </c>
      <c r="T320" t="str">
        <f t="shared" si="186"/>
        <v>14:49:58.670</v>
      </c>
      <c r="U320" t="str">
        <f t="shared" si="152"/>
        <v>ACC530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1</v>
      </c>
      <c r="AH320">
        <v>0</v>
      </c>
      <c r="AI320" t="s">
        <v>259</v>
      </c>
      <c r="AJ320">
        <v>34.236294999999998</v>
      </c>
      <c r="AK320" t="s">
        <v>260</v>
      </c>
      <c r="AL320">
        <v>-116.89631199999999</v>
      </c>
      <c r="AM320">
        <v>100</v>
      </c>
      <c r="AN320">
        <v>8800</v>
      </c>
      <c r="AO320" t="s">
        <v>118</v>
      </c>
      <c r="AP320">
        <v>-70</v>
      </c>
      <c r="AQ320">
        <v>-48</v>
      </c>
      <c r="AR320">
        <v>704</v>
      </c>
      <c r="AZ320">
        <v>1200</v>
      </c>
      <c r="BA320">
        <v>1</v>
      </c>
      <c r="BB320" t="str">
        <f t="shared" si="155"/>
        <v xml:space="preserve">N9217B  </v>
      </c>
      <c r="BC320">
        <v>1</v>
      </c>
      <c r="BE320">
        <v>0</v>
      </c>
      <c r="BF320">
        <v>0</v>
      </c>
      <c r="BG320">
        <v>0</v>
      </c>
      <c r="BH320">
        <v>8900</v>
      </c>
      <c r="BI320">
        <v>1</v>
      </c>
      <c r="BJ320">
        <v>0</v>
      </c>
      <c r="BK320">
        <v>0</v>
      </c>
      <c r="BL320">
        <v>0</v>
      </c>
      <c r="BO320">
        <v>0</v>
      </c>
      <c r="BP320">
        <v>0</v>
      </c>
      <c r="BW320" t="str">
        <f t="shared" si="187"/>
        <v>14:49:59.072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285</v>
      </c>
      <c r="CR320">
        <v>0</v>
      </c>
      <c r="CW320">
        <v>8839198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25">
      <c r="A321" t="str">
        <f t="shared" ref="A321:A326" si="188">"06/05/2020 14:49:54.522"</f>
        <v>06/05/2020 14:49:54.522</v>
      </c>
      <c r="C321" t="str">
        <f t="shared" si="170"/>
        <v>FFDFD3C0</v>
      </c>
      <c r="D321" t="s">
        <v>113</v>
      </c>
      <c r="E321">
        <v>3</v>
      </c>
      <c r="H321">
        <v>166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S326" si="189">"14:50:00.133"</f>
        <v>14:50:00.133</v>
      </c>
      <c r="T321" t="str">
        <f>"14:49:59.733"</f>
        <v>14:49:59.733</v>
      </c>
      <c r="U321" t="str">
        <f t="shared" si="152"/>
        <v>ACC530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1</v>
      </c>
      <c r="AH321">
        <v>0</v>
      </c>
      <c r="AI321" t="s">
        <v>261</v>
      </c>
      <c r="AJ321">
        <v>34.236058999999997</v>
      </c>
      <c r="AK321" t="s">
        <v>262</v>
      </c>
      <c r="AL321">
        <v>-116.89672</v>
      </c>
      <c r="AM321">
        <v>100</v>
      </c>
      <c r="AN321">
        <v>8800</v>
      </c>
      <c r="AO321" t="s">
        <v>118</v>
      </c>
      <c r="AP321">
        <v>-70</v>
      </c>
      <c r="AQ321">
        <v>-46</v>
      </c>
      <c r="AR321">
        <v>448</v>
      </c>
      <c r="AZ321">
        <v>1200</v>
      </c>
      <c r="BA321">
        <v>1</v>
      </c>
      <c r="BB321" t="str">
        <f t="shared" si="155"/>
        <v xml:space="preserve">N9217B  </v>
      </c>
      <c r="BC321">
        <v>1</v>
      </c>
      <c r="BE321">
        <v>0</v>
      </c>
      <c r="BF321">
        <v>0</v>
      </c>
      <c r="BG321">
        <v>0</v>
      </c>
      <c r="BH321">
        <v>8900</v>
      </c>
      <c r="BI321">
        <v>1</v>
      </c>
      <c r="BJ321">
        <v>0</v>
      </c>
      <c r="BK321">
        <v>0</v>
      </c>
      <c r="BL321">
        <v>0</v>
      </c>
      <c r="BO321">
        <v>0</v>
      </c>
      <c r="BP321">
        <v>0</v>
      </c>
      <c r="BW321" t="str">
        <f t="shared" ref="BW321:BW326" si="190">"14:50:00.137"</f>
        <v>14:50:00.137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6</v>
      </c>
      <c r="CP321" t="s">
        <v>119</v>
      </c>
      <c r="CQ321">
        <v>285</v>
      </c>
      <c r="CR321">
        <v>0</v>
      </c>
      <c r="CW321">
        <v>8839297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25">
      <c r="A322" t="str">
        <f t="shared" si="188"/>
        <v>06/05/2020 14:49:54.522</v>
      </c>
      <c r="C322" t="str">
        <f t="shared" si="170"/>
        <v>FFDFD3C0</v>
      </c>
      <c r="D322" t="s">
        <v>143</v>
      </c>
      <c r="E322">
        <v>10</v>
      </c>
      <c r="F322">
        <v>3010</v>
      </c>
      <c r="G322" t="s">
        <v>144</v>
      </c>
      <c r="J322" t="s">
        <v>145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89"/>
        <v>14:50:00.133</v>
      </c>
      <c r="T322" t="str">
        <f>"14:49:59.233"</f>
        <v>14:49:59.233</v>
      </c>
      <c r="U322" t="str">
        <f t="shared" ref="U322:U385" si="191">"ACC530"</f>
        <v>ACC530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1</v>
      </c>
      <c r="AH322">
        <v>0</v>
      </c>
      <c r="AI322" t="s">
        <v>261</v>
      </c>
      <c r="AJ322">
        <v>34.236058999999997</v>
      </c>
      <c r="AK322" t="s">
        <v>262</v>
      </c>
      <c r="AL322">
        <v>-116.89672</v>
      </c>
      <c r="AM322">
        <v>100</v>
      </c>
      <c r="AN322">
        <v>8800</v>
      </c>
      <c r="AO322" t="s">
        <v>118</v>
      </c>
      <c r="AP322">
        <v>-70</v>
      </c>
      <c r="AQ322">
        <v>-47</v>
      </c>
      <c r="AR322">
        <v>704</v>
      </c>
      <c r="AZ322">
        <v>1200</v>
      </c>
      <c r="BA322">
        <v>1</v>
      </c>
      <c r="BB322" t="str">
        <f t="shared" si="155"/>
        <v xml:space="preserve">N9217B  </v>
      </c>
      <c r="BC322">
        <v>1</v>
      </c>
      <c r="BE322">
        <v>0</v>
      </c>
      <c r="BF322">
        <v>0</v>
      </c>
      <c r="BG322">
        <v>0</v>
      </c>
      <c r="BH322">
        <v>8900</v>
      </c>
      <c r="BI322">
        <v>1</v>
      </c>
      <c r="BJ322">
        <v>0</v>
      </c>
      <c r="BK322">
        <v>0</v>
      </c>
      <c r="BL322">
        <v>0</v>
      </c>
      <c r="BO322">
        <v>0</v>
      </c>
      <c r="BP322">
        <v>0</v>
      </c>
      <c r="BW322" t="str">
        <f t="shared" si="190"/>
        <v>14:50:00.137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4</v>
      </c>
      <c r="CP322" t="s">
        <v>119</v>
      </c>
      <c r="CQ322">
        <v>293</v>
      </c>
      <c r="CR322">
        <v>1</v>
      </c>
      <c r="CW322">
        <v>15268667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25">
      <c r="A323" t="str">
        <f t="shared" si="188"/>
        <v>06/05/2020 14:49:54.522</v>
      </c>
      <c r="C323" t="str">
        <f t="shared" si="170"/>
        <v>FFDFD3C0</v>
      </c>
      <c r="D323" t="s">
        <v>134</v>
      </c>
      <c r="E323">
        <v>7</v>
      </c>
      <c r="F323">
        <v>2007</v>
      </c>
      <c r="G323" t="s">
        <v>135</v>
      </c>
      <c r="J323" t="s">
        <v>136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89"/>
        <v>14:50:00.133</v>
      </c>
      <c r="T323" t="str">
        <f>"14:49:59.733"</f>
        <v>14:49:59.733</v>
      </c>
      <c r="U323" t="str">
        <f t="shared" si="191"/>
        <v>ACC530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1</v>
      </c>
      <c r="AH323">
        <v>0</v>
      </c>
      <c r="AI323" t="s">
        <v>261</v>
      </c>
      <c r="AJ323">
        <v>34.236058999999997</v>
      </c>
      <c r="AK323" t="s">
        <v>262</v>
      </c>
      <c r="AL323">
        <v>-116.89672</v>
      </c>
      <c r="AM323">
        <v>100</v>
      </c>
      <c r="AN323">
        <v>8800</v>
      </c>
      <c r="AO323" t="s">
        <v>118</v>
      </c>
      <c r="AP323">
        <v>-70</v>
      </c>
      <c r="AQ323">
        <v>-46</v>
      </c>
      <c r="AR323">
        <v>448</v>
      </c>
      <c r="AZ323">
        <v>1200</v>
      </c>
      <c r="BA323">
        <v>1</v>
      </c>
      <c r="BB323" t="str">
        <f t="shared" si="155"/>
        <v xml:space="preserve">N9217B  </v>
      </c>
      <c r="BC323">
        <v>1</v>
      </c>
      <c r="BE323">
        <v>0</v>
      </c>
      <c r="BF323">
        <v>0</v>
      </c>
      <c r="BG323">
        <v>0</v>
      </c>
      <c r="BH323">
        <v>8900</v>
      </c>
      <c r="BI323">
        <v>1</v>
      </c>
      <c r="BJ323">
        <v>0</v>
      </c>
      <c r="BK323">
        <v>0</v>
      </c>
      <c r="BL323">
        <v>0</v>
      </c>
      <c r="BO323">
        <v>0</v>
      </c>
      <c r="BP323">
        <v>0</v>
      </c>
      <c r="BW323" t="str">
        <f t="shared" si="190"/>
        <v>14:50:00.137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6</v>
      </c>
      <c r="CP323" t="s">
        <v>119</v>
      </c>
      <c r="CQ323">
        <v>285</v>
      </c>
      <c r="CR323">
        <v>0</v>
      </c>
      <c r="CW323">
        <v>8839297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25">
      <c r="A324" t="str">
        <f t="shared" si="188"/>
        <v>06/05/2020 14:49:54.522</v>
      </c>
      <c r="C324" t="str">
        <f t="shared" si="170"/>
        <v>FFDFD3C0</v>
      </c>
      <c r="D324" t="s">
        <v>151</v>
      </c>
      <c r="E324">
        <v>9</v>
      </c>
      <c r="H324">
        <v>226</v>
      </c>
      <c r="I324" t="s">
        <v>152</v>
      </c>
      <c r="J324" t="s">
        <v>150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89"/>
        <v>14:50:00.133</v>
      </c>
      <c r="T324" t="str">
        <f>"14:49:59.733"</f>
        <v>14:49:59.733</v>
      </c>
      <c r="U324" t="str">
        <f t="shared" si="191"/>
        <v>ACC530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1</v>
      </c>
      <c r="AH324">
        <v>0</v>
      </c>
      <c r="AI324" t="s">
        <v>261</v>
      </c>
      <c r="AJ324">
        <v>34.236058999999997</v>
      </c>
      <c r="AK324" t="s">
        <v>262</v>
      </c>
      <c r="AL324">
        <v>-116.89672</v>
      </c>
      <c r="AM324">
        <v>100</v>
      </c>
      <c r="AN324">
        <v>8800</v>
      </c>
      <c r="AO324" t="s">
        <v>118</v>
      </c>
      <c r="AP324">
        <v>-70</v>
      </c>
      <c r="AQ324">
        <v>-46</v>
      </c>
      <c r="AR324">
        <v>448</v>
      </c>
      <c r="AZ324">
        <v>1200</v>
      </c>
      <c r="BA324">
        <v>1</v>
      </c>
      <c r="BB324" t="str">
        <f t="shared" si="155"/>
        <v xml:space="preserve">N9217B  </v>
      </c>
      <c r="BC324">
        <v>1</v>
      </c>
      <c r="BE324">
        <v>0</v>
      </c>
      <c r="BF324">
        <v>0</v>
      </c>
      <c r="BG324">
        <v>0</v>
      </c>
      <c r="BH324">
        <v>8900</v>
      </c>
      <c r="BI324">
        <v>1</v>
      </c>
      <c r="BJ324">
        <v>0</v>
      </c>
      <c r="BK324">
        <v>0</v>
      </c>
      <c r="BL324">
        <v>0</v>
      </c>
      <c r="BO324">
        <v>0</v>
      </c>
      <c r="BP324">
        <v>0</v>
      </c>
      <c r="BW324" t="str">
        <f t="shared" si="190"/>
        <v>14:50:00.137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6</v>
      </c>
      <c r="CP324" t="s">
        <v>119</v>
      </c>
      <c r="CQ324">
        <v>285</v>
      </c>
      <c r="CR324">
        <v>0</v>
      </c>
      <c r="CW324">
        <v>8839297</v>
      </c>
      <c r="CY324">
        <v>0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25">
      <c r="A325" t="str">
        <f t="shared" si="188"/>
        <v>06/05/2020 14:49:54.522</v>
      </c>
      <c r="C325" t="str">
        <f t="shared" si="170"/>
        <v>FFDFD3C0</v>
      </c>
      <c r="D325" t="s">
        <v>141</v>
      </c>
      <c r="E325">
        <v>20</v>
      </c>
      <c r="F325">
        <v>1020</v>
      </c>
      <c r="G325" t="s">
        <v>114</v>
      </c>
      <c r="J325" t="s">
        <v>142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89"/>
        <v>14:50:00.133</v>
      </c>
      <c r="T325" t="str">
        <f>"14:49:59.733"</f>
        <v>14:49:59.733</v>
      </c>
      <c r="U325" t="str">
        <f t="shared" si="191"/>
        <v>ACC530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1</v>
      </c>
      <c r="AH325">
        <v>0</v>
      </c>
      <c r="AI325" t="s">
        <v>261</v>
      </c>
      <c r="AJ325">
        <v>34.236058999999997</v>
      </c>
      <c r="AK325" t="s">
        <v>262</v>
      </c>
      <c r="AL325">
        <v>-116.89672</v>
      </c>
      <c r="AM325">
        <v>100</v>
      </c>
      <c r="AN325">
        <v>8800</v>
      </c>
      <c r="AO325" t="s">
        <v>118</v>
      </c>
      <c r="AP325">
        <v>-70</v>
      </c>
      <c r="AQ325">
        <v>-46</v>
      </c>
      <c r="AR325">
        <v>448</v>
      </c>
      <c r="AZ325">
        <v>1200</v>
      </c>
      <c r="BA325">
        <v>1</v>
      </c>
      <c r="BB325" t="str">
        <f t="shared" ref="BB325:BB388" si="192">"N9217B  "</f>
        <v xml:space="preserve">N9217B  </v>
      </c>
      <c r="BC325">
        <v>1</v>
      </c>
      <c r="BE325">
        <v>0</v>
      </c>
      <c r="BF325">
        <v>0</v>
      </c>
      <c r="BG325">
        <v>0</v>
      </c>
      <c r="BH325">
        <v>8900</v>
      </c>
      <c r="BI325">
        <v>1</v>
      </c>
      <c r="BJ325">
        <v>0</v>
      </c>
      <c r="BK325">
        <v>0</v>
      </c>
      <c r="BL325">
        <v>0</v>
      </c>
      <c r="BO325">
        <v>0</v>
      </c>
      <c r="BP325">
        <v>0</v>
      </c>
      <c r="BW325" t="str">
        <f t="shared" si="190"/>
        <v>14:50:00.137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6</v>
      </c>
      <c r="CP325" t="s">
        <v>119</v>
      </c>
      <c r="CQ325">
        <v>285</v>
      </c>
      <c r="CR325">
        <v>0</v>
      </c>
      <c r="CW325">
        <v>8839297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25">
      <c r="A326" t="str">
        <f t="shared" si="188"/>
        <v>06/05/2020 14:49:54.522</v>
      </c>
      <c r="C326" t="str">
        <f t="shared" si="170"/>
        <v>FFDFD3C0</v>
      </c>
      <c r="D326" t="s">
        <v>148</v>
      </c>
      <c r="E326">
        <v>8</v>
      </c>
      <c r="H326">
        <v>50</v>
      </c>
      <c r="I326" t="s">
        <v>149</v>
      </c>
      <c r="J326" t="s">
        <v>150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89"/>
        <v>14:50:00.133</v>
      </c>
      <c r="T326" t="str">
        <f>"14:49:59.733"</f>
        <v>14:49:59.733</v>
      </c>
      <c r="U326" t="str">
        <f t="shared" si="191"/>
        <v>ACC530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1</v>
      </c>
      <c r="AH326">
        <v>0</v>
      </c>
      <c r="AI326" t="s">
        <v>261</v>
      </c>
      <c r="AJ326">
        <v>34.236058999999997</v>
      </c>
      <c r="AK326" t="s">
        <v>262</v>
      </c>
      <c r="AL326">
        <v>-116.89672</v>
      </c>
      <c r="AM326">
        <v>100</v>
      </c>
      <c r="AN326">
        <v>8800</v>
      </c>
      <c r="AO326" t="s">
        <v>118</v>
      </c>
      <c r="AP326">
        <v>-70</v>
      </c>
      <c r="AQ326">
        <v>-46</v>
      </c>
      <c r="AR326">
        <v>448</v>
      </c>
      <c r="AZ326">
        <v>1200</v>
      </c>
      <c r="BA326">
        <v>1</v>
      </c>
      <c r="BB326" t="str">
        <f t="shared" si="192"/>
        <v xml:space="preserve">N9217B  </v>
      </c>
      <c r="BC326">
        <v>1</v>
      </c>
      <c r="BE326">
        <v>0</v>
      </c>
      <c r="BF326">
        <v>0</v>
      </c>
      <c r="BG326">
        <v>0</v>
      </c>
      <c r="BH326">
        <v>8900</v>
      </c>
      <c r="BI326">
        <v>1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 t="shared" si="190"/>
        <v>14:50:00.137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6</v>
      </c>
      <c r="CP326" t="s">
        <v>119</v>
      </c>
      <c r="CQ326">
        <v>285</v>
      </c>
      <c r="CR326">
        <v>0</v>
      </c>
      <c r="CW326">
        <v>8839297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25">
      <c r="A327" t="str">
        <f t="shared" ref="A327:A332" si="193">"06/05/2020 14:49:55.608"</f>
        <v>06/05/2020 14:49:55.608</v>
      </c>
      <c r="C327" t="str">
        <f t="shared" si="170"/>
        <v>FFDFD3C0</v>
      </c>
      <c r="D327" t="s">
        <v>141</v>
      </c>
      <c r="E327">
        <v>20</v>
      </c>
      <c r="F327">
        <v>1020</v>
      </c>
      <c r="G327" t="s">
        <v>114</v>
      </c>
      <c r="J327" t="s">
        <v>142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"14:50:01.258"</f>
        <v>14:50:01.258</v>
      </c>
      <c r="T327" t="str">
        <f>"14:50:01.258"</f>
        <v>14:50:01.258</v>
      </c>
      <c r="U327" t="str">
        <f t="shared" si="191"/>
        <v>ACC530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1</v>
      </c>
      <c r="AH327">
        <v>0</v>
      </c>
      <c r="AI327" t="s">
        <v>263</v>
      </c>
      <c r="AJ327">
        <v>34.235823000000003</v>
      </c>
      <c r="AK327" t="s">
        <v>264</v>
      </c>
      <c r="AL327">
        <v>-116.897171</v>
      </c>
      <c r="AM327">
        <v>100</v>
      </c>
      <c r="AN327">
        <v>8800</v>
      </c>
      <c r="AO327" t="s">
        <v>118</v>
      </c>
      <c r="AP327">
        <v>-70</v>
      </c>
      <c r="AQ327">
        <v>-44</v>
      </c>
      <c r="AR327">
        <v>640</v>
      </c>
      <c r="AZ327">
        <v>1200</v>
      </c>
      <c r="BA327">
        <v>1</v>
      </c>
      <c r="BB327" t="str">
        <f t="shared" si="192"/>
        <v xml:space="preserve">N9217B  </v>
      </c>
      <c r="BC327">
        <v>1</v>
      </c>
      <c r="BE327">
        <v>0</v>
      </c>
      <c r="BF327">
        <v>0</v>
      </c>
      <c r="BG327">
        <v>0</v>
      </c>
      <c r="BH327">
        <v>8925</v>
      </c>
      <c r="BI327">
        <v>1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 t="shared" ref="BW327:BW332" si="194">"14:50:01.262"</f>
        <v>14:50:01.262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285</v>
      </c>
      <c r="CR327">
        <v>0</v>
      </c>
      <c r="CW327">
        <v>8839400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25">
      <c r="A328" t="str">
        <f t="shared" si="193"/>
        <v>06/05/2020 14:49:55.608</v>
      </c>
      <c r="C328" t="str">
        <f t="shared" si="170"/>
        <v>FFDFD3C0</v>
      </c>
      <c r="D328" t="s">
        <v>148</v>
      </c>
      <c r="E328">
        <v>8</v>
      </c>
      <c r="H328">
        <v>50</v>
      </c>
      <c r="I328" t="s">
        <v>149</v>
      </c>
      <c r="J328" t="s">
        <v>150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"14:50:01.258"</f>
        <v>14:50:01.258</v>
      </c>
      <c r="T328" t="str">
        <f>"14:50:01.258"</f>
        <v>14:50:01.258</v>
      </c>
      <c r="U328" t="str">
        <f t="shared" si="191"/>
        <v>ACC530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1</v>
      </c>
      <c r="AH328">
        <v>0</v>
      </c>
      <c r="AI328" t="s">
        <v>263</v>
      </c>
      <c r="AJ328">
        <v>34.235823000000003</v>
      </c>
      <c r="AK328" t="s">
        <v>264</v>
      </c>
      <c r="AL328">
        <v>-116.897171</v>
      </c>
      <c r="AM328">
        <v>100</v>
      </c>
      <c r="AN328">
        <v>8800</v>
      </c>
      <c r="AO328" t="s">
        <v>118</v>
      </c>
      <c r="AP328">
        <v>-70</v>
      </c>
      <c r="AQ328">
        <v>-44</v>
      </c>
      <c r="AR328">
        <v>640</v>
      </c>
      <c r="AZ328">
        <v>1200</v>
      </c>
      <c r="BA328">
        <v>1</v>
      </c>
      <c r="BB328" t="str">
        <f t="shared" si="192"/>
        <v xml:space="preserve">N9217B  </v>
      </c>
      <c r="BC328">
        <v>1</v>
      </c>
      <c r="BE328">
        <v>0</v>
      </c>
      <c r="BF328">
        <v>0</v>
      </c>
      <c r="BG328">
        <v>0</v>
      </c>
      <c r="BH328">
        <v>8925</v>
      </c>
      <c r="BI328">
        <v>1</v>
      </c>
      <c r="BJ328">
        <v>0</v>
      </c>
      <c r="BK328">
        <v>0</v>
      </c>
      <c r="BL328">
        <v>0</v>
      </c>
      <c r="BO328">
        <v>0</v>
      </c>
      <c r="BP328">
        <v>0</v>
      </c>
      <c r="BW328" t="str">
        <f t="shared" si="194"/>
        <v>14:50:01.262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6</v>
      </c>
      <c r="CP328" t="s">
        <v>119</v>
      </c>
      <c r="CQ328">
        <v>285</v>
      </c>
      <c r="CR328">
        <v>0</v>
      </c>
      <c r="CW328">
        <v>8839400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25">
      <c r="A329" t="str">
        <f t="shared" si="193"/>
        <v>06/05/2020 14:49:55.608</v>
      </c>
      <c r="C329" t="str">
        <f t="shared" si="170"/>
        <v>FFDFD3C0</v>
      </c>
      <c r="D329" t="s">
        <v>143</v>
      </c>
      <c r="E329">
        <v>10</v>
      </c>
      <c r="F329">
        <v>3010</v>
      </c>
      <c r="G329" t="s">
        <v>144</v>
      </c>
      <c r="J329" t="s">
        <v>145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"14:50:01.258"</f>
        <v>14:50:01.258</v>
      </c>
      <c r="T329" t="str">
        <f>"14:50:00.358"</f>
        <v>14:50:00.358</v>
      </c>
      <c r="U329" t="str">
        <f t="shared" si="191"/>
        <v>ACC530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1</v>
      </c>
      <c r="AH329">
        <v>0</v>
      </c>
      <c r="AI329" t="s">
        <v>263</v>
      </c>
      <c r="AJ329">
        <v>34.235823000000003</v>
      </c>
      <c r="AK329" t="s">
        <v>264</v>
      </c>
      <c r="AL329">
        <v>-116.897171</v>
      </c>
      <c r="AM329">
        <v>100</v>
      </c>
      <c r="AN329">
        <v>8800</v>
      </c>
      <c r="AO329" t="s">
        <v>118</v>
      </c>
      <c r="AP329">
        <v>-70</v>
      </c>
      <c r="AQ329">
        <v>-45</v>
      </c>
      <c r="AR329">
        <v>512</v>
      </c>
      <c r="AZ329">
        <v>1200</v>
      </c>
      <c r="BA329">
        <v>1</v>
      </c>
      <c r="BB329" t="str">
        <f t="shared" si="192"/>
        <v xml:space="preserve">N9217B  </v>
      </c>
      <c r="BC329">
        <v>1</v>
      </c>
      <c r="BE329">
        <v>0</v>
      </c>
      <c r="BF329">
        <v>0</v>
      </c>
      <c r="BG329">
        <v>0</v>
      </c>
      <c r="BH329">
        <v>8900</v>
      </c>
      <c r="BI329">
        <v>1</v>
      </c>
      <c r="BJ329">
        <v>0</v>
      </c>
      <c r="BK329">
        <v>0</v>
      </c>
      <c r="BL329">
        <v>0</v>
      </c>
      <c r="BO329">
        <v>0</v>
      </c>
      <c r="BP329">
        <v>0</v>
      </c>
      <c r="BW329" t="str">
        <f t="shared" si="194"/>
        <v>14:50:01.262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2</v>
      </c>
      <c r="CP329" t="s">
        <v>119</v>
      </c>
      <c r="CQ329">
        <v>293</v>
      </c>
      <c r="CR329">
        <v>2</v>
      </c>
      <c r="CW329">
        <v>15268801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25">
      <c r="A330" t="str">
        <f t="shared" si="193"/>
        <v>06/05/2020 14:49:55.608</v>
      </c>
      <c r="C330" t="str">
        <f t="shared" si="170"/>
        <v>FFDFD3C0</v>
      </c>
      <c r="D330" t="s">
        <v>113</v>
      </c>
      <c r="E330">
        <v>3</v>
      </c>
      <c r="H330">
        <v>166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"14:50:01.258"</f>
        <v>14:50:01.258</v>
      </c>
      <c r="T330" t="str">
        <f>"14:50:01.258"</f>
        <v>14:50:01.258</v>
      </c>
      <c r="U330" t="str">
        <f t="shared" si="191"/>
        <v>ACC530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1</v>
      </c>
      <c r="AH330">
        <v>0</v>
      </c>
      <c r="AI330" t="s">
        <v>263</v>
      </c>
      <c r="AJ330">
        <v>34.235823000000003</v>
      </c>
      <c r="AK330" t="s">
        <v>264</v>
      </c>
      <c r="AL330">
        <v>-116.897171</v>
      </c>
      <c r="AM330">
        <v>100</v>
      </c>
      <c r="AN330">
        <v>8800</v>
      </c>
      <c r="AO330" t="s">
        <v>118</v>
      </c>
      <c r="AP330">
        <v>-70</v>
      </c>
      <c r="AQ330">
        <v>-44</v>
      </c>
      <c r="AR330">
        <v>640</v>
      </c>
      <c r="AZ330">
        <v>1200</v>
      </c>
      <c r="BA330">
        <v>1</v>
      </c>
      <c r="BB330" t="str">
        <f t="shared" si="192"/>
        <v xml:space="preserve">N9217B  </v>
      </c>
      <c r="BC330">
        <v>1</v>
      </c>
      <c r="BE330">
        <v>0</v>
      </c>
      <c r="BF330">
        <v>0</v>
      </c>
      <c r="BG330">
        <v>0</v>
      </c>
      <c r="BH330">
        <v>8925</v>
      </c>
      <c r="BI330">
        <v>1</v>
      </c>
      <c r="BJ330">
        <v>0</v>
      </c>
      <c r="BK330">
        <v>0</v>
      </c>
      <c r="BL330">
        <v>0</v>
      </c>
      <c r="BO330">
        <v>0</v>
      </c>
      <c r="BP330">
        <v>0</v>
      </c>
      <c r="BW330" t="str">
        <f t="shared" si="194"/>
        <v>14:50:01.262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6</v>
      </c>
      <c r="CP330" t="s">
        <v>119</v>
      </c>
      <c r="CQ330">
        <v>285</v>
      </c>
      <c r="CR330">
        <v>0</v>
      </c>
      <c r="CW330">
        <v>8839400</v>
      </c>
      <c r="CY330">
        <v>0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25">
      <c r="A331" t="str">
        <f t="shared" si="193"/>
        <v>06/05/2020 14:49:55.608</v>
      </c>
      <c r="C331" t="str">
        <f t="shared" si="170"/>
        <v>FFDFD3C0</v>
      </c>
      <c r="D331" t="s">
        <v>134</v>
      </c>
      <c r="E331">
        <v>7</v>
      </c>
      <c r="F331">
        <v>2007</v>
      </c>
      <c r="G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"14:50:01.258"</f>
        <v>14:50:01.258</v>
      </c>
      <c r="T331" t="str">
        <f>"14:50:01.258"</f>
        <v>14:50:01.258</v>
      </c>
      <c r="U331" t="str">
        <f t="shared" si="191"/>
        <v>ACC530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1</v>
      </c>
      <c r="AH331">
        <v>0</v>
      </c>
      <c r="AI331" t="s">
        <v>263</v>
      </c>
      <c r="AJ331">
        <v>34.235823000000003</v>
      </c>
      <c r="AK331" t="s">
        <v>264</v>
      </c>
      <c r="AL331">
        <v>-116.897171</v>
      </c>
      <c r="AM331">
        <v>100</v>
      </c>
      <c r="AN331">
        <v>8800</v>
      </c>
      <c r="AO331" t="s">
        <v>118</v>
      </c>
      <c r="AP331">
        <v>-70</v>
      </c>
      <c r="AQ331">
        <v>-44</v>
      </c>
      <c r="AR331">
        <v>640</v>
      </c>
      <c r="AZ331">
        <v>1200</v>
      </c>
      <c r="BA331">
        <v>1</v>
      </c>
      <c r="BB331" t="str">
        <f t="shared" si="192"/>
        <v xml:space="preserve">N9217B  </v>
      </c>
      <c r="BC331">
        <v>1</v>
      </c>
      <c r="BE331">
        <v>0</v>
      </c>
      <c r="BF331">
        <v>0</v>
      </c>
      <c r="BG331">
        <v>0</v>
      </c>
      <c r="BH331">
        <v>8925</v>
      </c>
      <c r="BI331">
        <v>1</v>
      </c>
      <c r="BJ331">
        <v>0</v>
      </c>
      <c r="BK331">
        <v>0</v>
      </c>
      <c r="BL331">
        <v>0</v>
      </c>
      <c r="BO331">
        <v>0</v>
      </c>
      <c r="BP331">
        <v>0</v>
      </c>
      <c r="BW331" t="str">
        <f t="shared" si="194"/>
        <v>14:50:01.262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6</v>
      </c>
      <c r="CP331" t="s">
        <v>119</v>
      </c>
      <c r="CQ331">
        <v>285</v>
      </c>
      <c r="CR331">
        <v>0</v>
      </c>
      <c r="CW331">
        <v>8839400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25">
      <c r="A332" t="str">
        <f t="shared" si="193"/>
        <v>06/05/2020 14:49:55.608</v>
      </c>
      <c r="C332" t="str">
        <f t="shared" si="170"/>
        <v>FFDFD3C0</v>
      </c>
      <c r="D332" t="s">
        <v>151</v>
      </c>
      <c r="E332">
        <v>9</v>
      </c>
      <c r="H332">
        <v>226</v>
      </c>
      <c r="I332" t="s">
        <v>152</v>
      </c>
      <c r="J332" t="s">
        <v>150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"14:50:01.258"</f>
        <v>14:50:01.258</v>
      </c>
      <c r="T332" t="str">
        <f>"14:50:01.258"</f>
        <v>14:50:01.258</v>
      </c>
      <c r="U332" t="str">
        <f t="shared" si="191"/>
        <v>ACC530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1</v>
      </c>
      <c r="AH332">
        <v>0</v>
      </c>
      <c r="AI332" t="s">
        <v>263</v>
      </c>
      <c r="AJ332">
        <v>34.235823000000003</v>
      </c>
      <c r="AK332" t="s">
        <v>264</v>
      </c>
      <c r="AL332">
        <v>-116.897171</v>
      </c>
      <c r="AM332">
        <v>100</v>
      </c>
      <c r="AN332">
        <v>8800</v>
      </c>
      <c r="AO332" t="s">
        <v>118</v>
      </c>
      <c r="AP332">
        <v>-70</v>
      </c>
      <c r="AQ332">
        <v>-44</v>
      </c>
      <c r="AR332">
        <v>640</v>
      </c>
      <c r="AZ332">
        <v>1200</v>
      </c>
      <c r="BA332">
        <v>1</v>
      </c>
      <c r="BB332" t="str">
        <f t="shared" si="192"/>
        <v xml:space="preserve">N9217B  </v>
      </c>
      <c r="BC332">
        <v>1</v>
      </c>
      <c r="BE332">
        <v>0</v>
      </c>
      <c r="BF332">
        <v>0</v>
      </c>
      <c r="BG332">
        <v>0</v>
      </c>
      <c r="BH332">
        <v>8925</v>
      </c>
      <c r="BI332">
        <v>1</v>
      </c>
      <c r="BJ332">
        <v>0</v>
      </c>
      <c r="BK332">
        <v>0</v>
      </c>
      <c r="BL332">
        <v>0</v>
      </c>
      <c r="BO332">
        <v>0</v>
      </c>
      <c r="BP332">
        <v>0</v>
      </c>
      <c r="BW332" t="str">
        <f t="shared" si="194"/>
        <v>14:50:01.262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6</v>
      </c>
      <c r="CP332" t="s">
        <v>119</v>
      </c>
      <c r="CQ332">
        <v>285</v>
      </c>
      <c r="CR332">
        <v>0</v>
      </c>
      <c r="CW332">
        <v>8839400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25">
      <c r="A333" t="str">
        <f t="shared" ref="A333:A338" si="195">"06/05/2020 14:49:56.545"</f>
        <v>06/05/2020 14:49:56.545</v>
      </c>
      <c r="C333" t="str">
        <f t="shared" si="170"/>
        <v>FFDFD3C0</v>
      </c>
      <c r="D333" t="s">
        <v>113</v>
      </c>
      <c r="E333">
        <v>3</v>
      </c>
      <c r="H333">
        <v>166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8" si="196">"14:50:02.172"</f>
        <v>14:50:02.172</v>
      </c>
      <c r="T333" t="str">
        <f t="shared" ref="T333:T338" si="197">"14:50:01.872"</f>
        <v>14:50:01.872</v>
      </c>
      <c r="U333" t="str">
        <f t="shared" si="191"/>
        <v>ACC530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1</v>
      </c>
      <c r="AH333">
        <v>0</v>
      </c>
      <c r="AI333" t="s">
        <v>265</v>
      </c>
      <c r="AJ333">
        <v>34.23563</v>
      </c>
      <c r="AK333" t="s">
        <v>266</v>
      </c>
      <c r="AL333">
        <v>-116.89755700000001</v>
      </c>
      <c r="AM333">
        <v>100</v>
      </c>
      <c r="AN333">
        <v>8800</v>
      </c>
      <c r="AO333" t="s">
        <v>118</v>
      </c>
      <c r="AP333">
        <v>-70</v>
      </c>
      <c r="AQ333">
        <v>-43</v>
      </c>
      <c r="AR333">
        <v>640</v>
      </c>
      <c r="AZ333">
        <v>1200</v>
      </c>
      <c r="BA333">
        <v>1</v>
      </c>
      <c r="BB333" t="str">
        <f t="shared" si="192"/>
        <v xml:space="preserve">N9217B  </v>
      </c>
      <c r="BC333">
        <v>1</v>
      </c>
      <c r="BE333">
        <v>0</v>
      </c>
      <c r="BF333">
        <v>0</v>
      </c>
      <c r="BG333">
        <v>0</v>
      </c>
      <c r="BH333">
        <v>8925</v>
      </c>
      <c r="BI333">
        <v>1</v>
      </c>
      <c r="BJ333">
        <v>0</v>
      </c>
      <c r="BK333">
        <v>0</v>
      </c>
      <c r="BL333">
        <v>0</v>
      </c>
      <c r="BO333">
        <v>0</v>
      </c>
      <c r="BP333">
        <v>0</v>
      </c>
      <c r="BW333" t="str">
        <f t="shared" ref="BW333:BW338" si="198">"14:50:02.177"</f>
        <v>14:50:02.177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6</v>
      </c>
      <c r="CP333" t="s">
        <v>119</v>
      </c>
      <c r="CQ333">
        <v>285</v>
      </c>
      <c r="CR333">
        <v>0</v>
      </c>
      <c r="CW333">
        <v>8839477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25">
      <c r="A334" t="str">
        <f t="shared" si="195"/>
        <v>06/05/2020 14:49:56.545</v>
      </c>
      <c r="C334" t="str">
        <f t="shared" si="170"/>
        <v>FFDFD3C0</v>
      </c>
      <c r="D334" t="s">
        <v>134</v>
      </c>
      <c r="E334">
        <v>7</v>
      </c>
      <c r="F334">
        <v>2007</v>
      </c>
      <c r="G334" t="s">
        <v>135</v>
      </c>
      <c r="J334" t="s">
        <v>136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96"/>
        <v>14:50:02.172</v>
      </c>
      <c r="T334" t="str">
        <f t="shared" si="197"/>
        <v>14:50:01.872</v>
      </c>
      <c r="U334" t="str">
        <f t="shared" si="191"/>
        <v>ACC530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1</v>
      </c>
      <c r="AH334">
        <v>0</v>
      </c>
      <c r="AI334" t="s">
        <v>265</v>
      </c>
      <c r="AJ334">
        <v>34.23563</v>
      </c>
      <c r="AK334" t="s">
        <v>266</v>
      </c>
      <c r="AL334">
        <v>-116.89755700000001</v>
      </c>
      <c r="AM334">
        <v>100</v>
      </c>
      <c r="AN334">
        <v>8800</v>
      </c>
      <c r="AO334" t="s">
        <v>118</v>
      </c>
      <c r="AP334">
        <v>-70</v>
      </c>
      <c r="AQ334">
        <v>-43</v>
      </c>
      <c r="AR334">
        <v>640</v>
      </c>
      <c r="AZ334">
        <v>1200</v>
      </c>
      <c r="BA334">
        <v>1</v>
      </c>
      <c r="BB334" t="str">
        <f t="shared" si="192"/>
        <v xml:space="preserve">N9217B  </v>
      </c>
      <c r="BC334">
        <v>1</v>
      </c>
      <c r="BE334">
        <v>0</v>
      </c>
      <c r="BF334">
        <v>0</v>
      </c>
      <c r="BG334">
        <v>0</v>
      </c>
      <c r="BH334">
        <v>8925</v>
      </c>
      <c r="BI334">
        <v>1</v>
      </c>
      <c r="BJ334">
        <v>0</v>
      </c>
      <c r="BK334">
        <v>0</v>
      </c>
      <c r="BL334">
        <v>0</v>
      </c>
      <c r="BO334">
        <v>0</v>
      </c>
      <c r="BP334">
        <v>0</v>
      </c>
      <c r="BW334" t="str">
        <f t="shared" si="198"/>
        <v>14:50:02.177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285</v>
      </c>
      <c r="CR334">
        <v>0</v>
      </c>
      <c r="CW334">
        <v>8839477</v>
      </c>
      <c r="CY334">
        <v>0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25">
      <c r="A335" t="str">
        <f t="shared" si="195"/>
        <v>06/05/2020 14:49:56.545</v>
      </c>
      <c r="C335" t="str">
        <f t="shared" si="170"/>
        <v>FFDFD3C0</v>
      </c>
      <c r="D335" t="s">
        <v>151</v>
      </c>
      <c r="E335">
        <v>9</v>
      </c>
      <c r="H335">
        <v>226</v>
      </c>
      <c r="I335" t="s">
        <v>152</v>
      </c>
      <c r="J335" t="s">
        <v>150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96"/>
        <v>14:50:02.172</v>
      </c>
      <c r="T335" t="str">
        <f t="shared" si="197"/>
        <v>14:50:01.872</v>
      </c>
      <c r="U335" t="str">
        <f t="shared" si="191"/>
        <v>ACC530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1</v>
      </c>
      <c r="AH335">
        <v>0</v>
      </c>
      <c r="AI335" t="s">
        <v>265</v>
      </c>
      <c r="AJ335">
        <v>34.23563</v>
      </c>
      <c r="AK335" t="s">
        <v>266</v>
      </c>
      <c r="AL335">
        <v>-116.89755700000001</v>
      </c>
      <c r="AM335">
        <v>100</v>
      </c>
      <c r="AN335">
        <v>8800</v>
      </c>
      <c r="AO335" t="s">
        <v>118</v>
      </c>
      <c r="AP335">
        <v>-70</v>
      </c>
      <c r="AQ335">
        <v>-43</v>
      </c>
      <c r="AR335">
        <v>640</v>
      </c>
      <c r="AZ335">
        <v>1200</v>
      </c>
      <c r="BA335">
        <v>1</v>
      </c>
      <c r="BB335" t="str">
        <f t="shared" si="192"/>
        <v xml:space="preserve">N9217B  </v>
      </c>
      <c r="BC335">
        <v>1</v>
      </c>
      <c r="BE335">
        <v>0</v>
      </c>
      <c r="BF335">
        <v>0</v>
      </c>
      <c r="BG335">
        <v>0</v>
      </c>
      <c r="BH335">
        <v>8925</v>
      </c>
      <c r="BI335">
        <v>1</v>
      </c>
      <c r="BJ335">
        <v>0</v>
      </c>
      <c r="BK335">
        <v>0</v>
      </c>
      <c r="BL335">
        <v>0</v>
      </c>
      <c r="BO335">
        <v>0</v>
      </c>
      <c r="BP335">
        <v>0</v>
      </c>
      <c r="BW335" t="str">
        <f t="shared" si="198"/>
        <v>14:50:02.177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285</v>
      </c>
      <c r="CR335">
        <v>0</v>
      </c>
      <c r="CW335">
        <v>8839477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25">
      <c r="A336" t="str">
        <f t="shared" si="195"/>
        <v>06/05/2020 14:49:56.545</v>
      </c>
      <c r="C336" t="str">
        <f t="shared" si="170"/>
        <v>FFDFD3C0</v>
      </c>
      <c r="D336" t="s">
        <v>141</v>
      </c>
      <c r="E336">
        <v>20</v>
      </c>
      <c r="F336">
        <v>1020</v>
      </c>
      <c r="G336" t="s">
        <v>114</v>
      </c>
      <c r="J336" t="s">
        <v>142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96"/>
        <v>14:50:02.172</v>
      </c>
      <c r="T336" t="str">
        <f t="shared" si="197"/>
        <v>14:50:01.872</v>
      </c>
      <c r="U336" t="str">
        <f t="shared" si="191"/>
        <v>ACC530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1</v>
      </c>
      <c r="AH336">
        <v>0</v>
      </c>
      <c r="AI336" t="s">
        <v>265</v>
      </c>
      <c r="AJ336">
        <v>34.23563</v>
      </c>
      <c r="AK336" t="s">
        <v>266</v>
      </c>
      <c r="AL336">
        <v>-116.89755700000001</v>
      </c>
      <c r="AM336">
        <v>100</v>
      </c>
      <c r="AN336">
        <v>8800</v>
      </c>
      <c r="AO336" t="s">
        <v>118</v>
      </c>
      <c r="AP336">
        <v>-70</v>
      </c>
      <c r="AQ336">
        <v>-43</v>
      </c>
      <c r="AR336">
        <v>640</v>
      </c>
      <c r="AZ336">
        <v>1200</v>
      </c>
      <c r="BA336">
        <v>1</v>
      </c>
      <c r="BB336" t="str">
        <f t="shared" si="192"/>
        <v xml:space="preserve">N9217B  </v>
      </c>
      <c r="BC336">
        <v>1</v>
      </c>
      <c r="BE336">
        <v>0</v>
      </c>
      <c r="BF336">
        <v>0</v>
      </c>
      <c r="BG336">
        <v>0</v>
      </c>
      <c r="BH336">
        <v>8925</v>
      </c>
      <c r="BI336">
        <v>1</v>
      </c>
      <c r="BJ336">
        <v>0</v>
      </c>
      <c r="BK336">
        <v>0</v>
      </c>
      <c r="BL336">
        <v>0</v>
      </c>
      <c r="BO336">
        <v>0</v>
      </c>
      <c r="BP336">
        <v>0</v>
      </c>
      <c r="BW336" t="str">
        <f t="shared" si="198"/>
        <v>14:50:02.177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285</v>
      </c>
      <c r="CR336">
        <v>0</v>
      </c>
      <c r="CW336">
        <v>8839477</v>
      </c>
      <c r="CY336">
        <v>0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25">
      <c r="A337" t="str">
        <f t="shared" si="195"/>
        <v>06/05/2020 14:49:56.545</v>
      </c>
      <c r="C337" t="str">
        <f t="shared" si="170"/>
        <v>FFDFD3C0</v>
      </c>
      <c r="D337" t="s">
        <v>148</v>
      </c>
      <c r="E337">
        <v>8</v>
      </c>
      <c r="H337">
        <v>50</v>
      </c>
      <c r="I337" t="s">
        <v>149</v>
      </c>
      <c r="J337" t="s">
        <v>150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96"/>
        <v>14:50:02.172</v>
      </c>
      <c r="T337" t="str">
        <f t="shared" si="197"/>
        <v>14:50:01.872</v>
      </c>
      <c r="U337" t="str">
        <f t="shared" si="191"/>
        <v>ACC530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1</v>
      </c>
      <c r="AH337">
        <v>0</v>
      </c>
      <c r="AI337" t="s">
        <v>265</v>
      </c>
      <c r="AJ337">
        <v>34.23563</v>
      </c>
      <c r="AK337" t="s">
        <v>266</v>
      </c>
      <c r="AL337">
        <v>-116.89755700000001</v>
      </c>
      <c r="AM337">
        <v>100</v>
      </c>
      <c r="AN337">
        <v>8800</v>
      </c>
      <c r="AO337" t="s">
        <v>118</v>
      </c>
      <c r="AP337">
        <v>-70</v>
      </c>
      <c r="AQ337">
        <v>-43</v>
      </c>
      <c r="AR337">
        <v>640</v>
      </c>
      <c r="AZ337">
        <v>1200</v>
      </c>
      <c r="BA337">
        <v>1</v>
      </c>
      <c r="BB337" t="str">
        <f t="shared" si="192"/>
        <v xml:space="preserve">N9217B  </v>
      </c>
      <c r="BC337">
        <v>1</v>
      </c>
      <c r="BE337">
        <v>0</v>
      </c>
      <c r="BF337">
        <v>0</v>
      </c>
      <c r="BG337">
        <v>0</v>
      </c>
      <c r="BH337">
        <v>8925</v>
      </c>
      <c r="BI337">
        <v>1</v>
      </c>
      <c r="BJ337">
        <v>0</v>
      </c>
      <c r="BK337">
        <v>0</v>
      </c>
      <c r="BL337">
        <v>0</v>
      </c>
      <c r="BO337">
        <v>0</v>
      </c>
      <c r="BP337">
        <v>0</v>
      </c>
      <c r="BW337" t="str">
        <f t="shared" si="198"/>
        <v>14:50:02.177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285</v>
      </c>
      <c r="CR337">
        <v>0</v>
      </c>
      <c r="CW337">
        <v>8839477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25">
      <c r="A338" t="str">
        <f t="shared" si="195"/>
        <v>06/05/2020 14:49:56.545</v>
      </c>
      <c r="C338" t="str">
        <f t="shared" si="170"/>
        <v>FFDFD3C0</v>
      </c>
      <c r="D338" t="s">
        <v>143</v>
      </c>
      <c r="E338">
        <v>10</v>
      </c>
      <c r="F338">
        <v>3010</v>
      </c>
      <c r="G338" t="s">
        <v>144</v>
      </c>
      <c r="J338" t="s">
        <v>145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96"/>
        <v>14:50:02.172</v>
      </c>
      <c r="T338" t="str">
        <f t="shared" si="197"/>
        <v>14:50:01.872</v>
      </c>
      <c r="U338" t="str">
        <f t="shared" si="191"/>
        <v>ACC530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1</v>
      </c>
      <c r="AH338">
        <v>0</v>
      </c>
      <c r="AI338" t="s">
        <v>265</v>
      </c>
      <c r="AJ338">
        <v>34.23563</v>
      </c>
      <c r="AK338" t="s">
        <v>266</v>
      </c>
      <c r="AL338">
        <v>-116.89755700000001</v>
      </c>
      <c r="AM338">
        <v>100</v>
      </c>
      <c r="AN338">
        <v>8800</v>
      </c>
      <c r="AO338" t="s">
        <v>118</v>
      </c>
      <c r="AP338">
        <v>-70</v>
      </c>
      <c r="AQ338">
        <v>-43</v>
      </c>
      <c r="AR338">
        <v>640</v>
      </c>
      <c r="AZ338">
        <v>1200</v>
      </c>
      <c r="BA338">
        <v>1</v>
      </c>
      <c r="BB338" t="str">
        <f t="shared" si="192"/>
        <v xml:space="preserve">N9217B  </v>
      </c>
      <c r="BC338">
        <v>1</v>
      </c>
      <c r="BE338">
        <v>0</v>
      </c>
      <c r="BF338">
        <v>0</v>
      </c>
      <c r="BG338">
        <v>0</v>
      </c>
      <c r="BH338">
        <v>8925</v>
      </c>
      <c r="BI338">
        <v>1</v>
      </c>
      <c r="BJ338">
        <v>0</v>
      </c>
      <c r="BK338">
        <v>0</v>
      </c>
      <c r="BL338">
        <v>0</v>
      </c>
      <c r="BO338">
        <v>0</v>
      </c>
      <c r="BP338">
        <v>0</v>
      </c>
      <c r="BW338" t="str">
        <f t="shared" si="198"/>
        <v>14:50:02.177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2</v>
      </c>
      <c r="CP338" t="s">
        <v>119</v>
      </c>
      <c r="CQ338">
        <v>293</v>
      </c>
      <c r="CR338">
        <v>2</v>
      </c>
      <c r="CW338">
        <v>15268912</v>
      </c>
      <c r="CY338">
        <v>0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25">
      <c r="A339" t="str">
        <f t="shared" ref="A339:A344" si="199">"06/05/2020 14:49:57.570"</f>
        <v>06/05/2020 14:49:57.570</v>
      </c>
      <c r="C339" t="str">
        <f t="shared" si="170"/>
        <v>FFDFD3C0</v>
      </c>
      <c r="D339" t="s">
        <v>151</v>
      </c>
      <c r="E339">
        <v>9</v>
      </c>
      <c r="H339">
        <v>226</v>
      </c>
      <c r="I339" t="s">
        <v>152</v>
      </c>
      <c r="J339" t="s">
        <v>150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4" si="200">"14:50:03.211"</f>
        <v>14:50:03.211</v>
      </c>
      <c r="T339" t="str">
        <f t="shared" ref="T339:T344" si="201">"14:50:02.911"</f>
        <v>14:50:02.911</v>
      </c>
      <c r="U339" t="str">
        <f t="shared" si="191"/>
        <v>ACC530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1</v>
      </c>
      <c r="AH339">
        <v>0</v>
      </c>
      <c r="AI339" t="s">
        <v>267</v>
      </c>
      <c r="AJ339">
        <v>34.235415000000003</v>
      </c>
      <c r="AK339" t="s">
        <v>268</v>
      </c>
      <c r="AL339">
        <v>-116.897943</v>
      </c>
      <c r="AM339">
        <v>100</v>
      </c>
      <c r="AN339">
        <v>8800</v>
      </c>
      <c r="AO339" t="s">
        <v>118</v>
      </c>
      <c r="AP339">
        <v>-70</v>
      </c>
      <c r="AQ339">
        <v>-43</v>
      </c>
      <c r="AR339">
        <v>512</v>
      </c>
      <c r="AZ339">
        <v>1200</v>
      </c>
      <c r="BA339">
        <v>1</v>
      </c>
      <c r="BB339" t="str">
        <f t="shared" si="192"/>
        <v xml:space="preserve">N9217B  </v>
      </c>
      <c r="BC339">
        <v>1</v>
      </c>
      <c r="BE339">
        <v>0</v>
      </c>
      <c r="BF339">
        <v>0</v>
      </c>
      <c r="BG339">
        <v>0</v>
      </c>
      <c r="BH339">
        <v>8925</v>
      </c>
      <c r="BI339">
        <v>1</v>
      </c>
      <c r="BJ339">
        <v>0</v>
      </c>
      <c r="BK339">
        <v>0</v>
      </c>
      <c r="BL339">
        <v>0</v>
      </c>
      <c r="BO339">
        <v>0</v>
      </c>
      <c r="BP339">
        <v>0</v>
      </c>
      <c r="BW339" t="str">
        <f t="shared" ref="BW339:BW344" si="202">"14:50:03.212"</f>
        <v>14:50:03.212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285</v>
      </c>
      <c r="CR339">
        <v>0</v>
      </c>
      <c r="CW339">
        <v>8839565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25">
      <c r="A340" t="str">
        <f t="shared" si="199"/>
        <v>06/05/2020 14:49:57.570</v>
      </c>
      <c r="C340" t="str">
        <f t="shared" si="170"/>
        <v>FFDFD3C0</v>
      </c>
      <c r="D340" t="s">
        <v>141</v>
      </c>
      <c r="E340">
        <v>20</v>
      </c>
      <c r="F340">
        <v>1020</v>
      </c>
      <c r="G340" t="s">
        <v>114</v>
      </c>
      <c r="J340" t="s">
        <v>142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200"/>
        <v>14:50:03.211</v>
      </c>
      <c r="T340" t="str">
        <f t="shared" si="201"/>
        <v>14:50:02.911</v>
      </c>
      <c r="U340" t="str">
        <f t="shared" si="191"/>
        <v>ACC530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1</v>
      </c>
      <c r="AH340">
        <v>0</v>
      </c>
      <c r="AI340" t="s">
        <v>267</v>
      </c>
      <c r="AJ340">
        <v>34.235415000000003</v>
      </c>
      <c r="AK340" t="s">
        <v>268</v>
      </c>
      <c r="AL340">
        <v>-116.897943</v>
      </c>
      <c r="AM340">
        <v>100</v>
      </c>
      <c r="AN340">
        <v>8800</v>
      </c>
      <c r="AO340" t="s">
        <v>118</v>
      </c>
      <c r="AP340">
        <v>-70</v>
      </c>
      <c r="AQ340">
        <v>-43</v>
      </c>
      <c r="AR340">
        <v>512</v>
      </c>
      <c r="AZ340">
        <v>1200</v>
      </c>
      <c r="BA340">
        <v>1</v>
      </c>
      <c r="BB340" t="str">
        <f t="shared" si="192"/>
        <v xml:space="preserve">N9217B  </v>
      </c>
      <c r="BC340">
        <v>1</v>
      </c>
      <c r="BE340">
        <v>0</v>
      </c>
      <c r="BF340">
        <v>0</v>
      </c>
      <c r="BG340">
        <v>0</v>
      </c>
      <c r="BH340">
        <v>8925</v>
      </c>
      <c r="BI340">
        <v>1</v>
      </c>
      <c r="BJ340">
        <v>0</v>
      </c>
      <c r="BK340">
        <v>0</v>
      </c>
      <c r="BL340">
        <v>0</v>
      </c>
      <c r="BO340">
        <v>0</v>
      </c>
      <c r="BP340">
        <v>0</v>
      </c>
      <c r="BW340" t="str">
        <f t="shared" si="202"/>
        <v>14:50:03.212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285</v>
      </c>
      <c r="CR340">
        <v>0</v>
      </c>
      <c r="CW340">
        <v>8839565</v>
      </c>
      <c r="CY340">
        <v>0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25">
      <c r="A341" t="str">
        <f t="shared" si="199"/>
        <v>06/05/2020 14:49:57.570</v>
      </c>
      <c r="C341" t="str">
        <f t="shared" si="170"/>
        <v>FFDFD3C0</v>
      </c>
      <c r="D341" t="s">
        <v>148</v>
      </c>
      <c r="E341">
        <v>8</v>
      </c>
      <c r="H341">
        <v>50</v>
      </c>
      <c r="I341" t="s">
        <v>149</v>
      </c>
      <c r="J341" t="s">
        <v>150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200"/>
        <v>14:50:03.211</v>
      </c>
      <c r="T341" t="str">
        <f t="shared" si="201"/>
        <v>14:50:02.911</v>
      </c>
      <c r="U341" t="str">
        <f t="shared" si="191"/>
        <v>ACC530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1</v>
      </c>
      <c r="AH341">
        <v>0</v>
      </c>
      <c r="AI341" t="s">
        <v>267</v>
      </c>
      <c r="AJ341">
        <v>34.235415000000003</v>
      </c>
      <c r="AK341" t="s">
        <v>268</v>
      </c>
      <c r="AL341">
        <v>-116.897943</v>
      </c>
      <c r="AM341">
        <v>100</v>
      </c>
      <c r="AN341">
        <v>8800</v>
      </c>
      <c r="AO341" t="s">
        <v>118</v>
      </c>
      <c r="AP341">
        <v>-70</v>
      </c>
      <c r="AQ341">
        <v>-43</v>
      </c>
      <c r="AR341">
        <v>512</v>
      </c>
      <c r="AZ341">
        <v>1200</v>
      </c>
      <c r="BA341">
        <v>1</v>
      </c>
      <c r="BB341" t="str">
        <f t="shared" si="192"/>
        <v xml:space="preserve">N9217B  </v>
      </c>
      <c r="BC341">
        <v>1</v>
      </c>
      <c r="BE341">
        <v>0</v>
      </c>
      <c r="BF341">
        <v>0</v>
      </c>
      <c r="BG341">
        <v>0</v>
      </c>
      <c r="BH341">
        <v>8925</v>
      </c>
      <c r="BI341">
        <v>1</v>
      </c>
      <c r="BJ341">
        <v>0</v>
      </c>
      <c r="BK341">
        <v>0</v>
      </c>
      <c r="BL341">
        <v>0</v>
      </c>
      <c r="BO341">
        <v>0</v>
      </c>
      <c r="BP341">
        <v>0</v>
      </c>
      <c r="BW341" t="str">
        <f t="shared" si="202"/>
        <v>14:50:03.212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119</v>
      </c>
      <c r="CQ341">
        <v>285</v>
      </c>
      <c r="CR341">
        <v>0</v>
      </c>
      <c r="CW341">
        <v>8839565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25">
      <c r="A342" t="str">
        <f t="shared" si="199"/>
        <v>06/05/2020 14:49:57.570</v>
      </c>
      <c r="C342" t="str">
        <f t="shared" si="170"/>
        <v>FFDFD3C0</v>
      </c>
      <c r="D342" t="s">
        <v>143</v>
      </c>
      <c r="E342">
        <v>10</v>
      </c>
      <c r="F342">
        <v>3010</v>
      </c>
      <c r="G342" t="s">
        <v>144</v>
      </c>
      <c r="J342" t="s">
        <v>145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200"/>
        <v>14:50:03.211</v>
      </c>
      <c r="T342" t="str">
        <f t="shared" si="201"/>
        <v>14:50:02.911</v>
      </c>
      <c r="U342" t="str">
        <f t="shared" si="191"/>
        <v>ACC530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1</v>
      </c>
      <c r="AH342">
        <v>0</v>
      </c>
      <c r="AI342" t="s">
        <v>267</v>
      </c>
      <c r="AJ342">
        <v>34.235415000000003</v>
      </c>
      <c r="AK342" t="s">
        <v>268</v>
      </c>
      <c r="AL342">
        <v>-116.897943</v>
      </c>
      <c r="AM342">
        <v>100</v>
      </c>
      <c r="AN342">
        <v>8800</v>
      </c>
      <c r="AO342" t="s">
        <v>118</v>
      </c>
      <c r="AP342">
        <v>-70</v>
      </c>
      <c r="AQ342">
        <v>-43</v>
      </c>
      <c r="AR342">
        <v>512</v>
      </c>
      <c r="AZ342">
        <v>1200</v>
      </c>
      <c r="BA342">
        <v>1</v>
      </c>
      <c r="BB342" t="str">
        <f t="shared" si="192"/>
        <v xml:space="preserve">N9217B  </v>
      </c>
      <c r="BC342">
        <v>1</v>
      </c>
      <c r="BE342">
        <v>0</v>
      </c>
      <c r="BF342">
        <v>0</v>
      </c>
      <c r="BG342">
        <v>0</v>
      </c>
      <c r="BH342">
        <v>8925</v>
      </c>
      <c r="BI342">
        <v>1</v>
      </c>
      <c r="BJ342">
        <v>0</v>
      </c>
      <c r="BK342">
        <v>0</v>
      </c>
      <c r="BL342">
        <v>0</v>
      </c>
      <c r="BO342">
        <v>0</v>
      </c>
      <c r="BP342">
        <v>0</v>
      </c>
      <c r="BW342" t="str">
        <f t="shared" si="202"/>
        <v>14:50:03.212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4</v>
      </c>
      <c r="CP342" t="s">
        <v>119</v>
      </c>
      <c r="CQ342">
        <v>293</v>
      </c>
      <c r="CR342">
        <v>1</v>
      </c>
      <c r="CW342">
        <v>15269037</v>
      </c>
      <c r="CY342">
        <v>0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25">
      <c r="A343" t="str">
        <f t="shared" si="199"/>
        <v>06/05/2020 14:49:57.570</v>
      </c>
      <c r="C343" t="str">
        <f t="shared" si="170"/>
        <v>FFDFD3C0</v>
      </c>
      <c r="D343" t="s">
        <v>113</v>
      </c>
      <c r="E343">
        <v>3</v>
      </c>
      <c r="H343">
        <v>166</v>
      </c>
      <c r="I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200"/>
        <v>14:50:03.211</v>
      </c>
      <c r="T343" t="str">
        <f t="shared" si="201"/>
        <v>14:50:02.911</v>
      </c>
      <c r="U343" t="str">
        <f t="shared" si="191"/>
        <v>ACC530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1</v>
      </c>
      <c r="AH343">
        <v>0</v>
      </c>
      <c r="AI343" t="s">
        <v>267</v>
      </c>
      <c r="AJ343">
        <v>34.235415000000003</v>
      </c>
      <c r="AK343" t="s">
        <v>268</v>
      </c>
      <c r="AL343">
        <v>-116.897943</v>
      </c>
      <c r="AM343">
        <v>100</v>
      </c>
      <c r="AN343">
        <v>8800</v>
      </c>
      <c r="AO343" t="s">
        <v>118</v>
      </c>
      <c r="AP343">
        <v>-70</v>
      </c>
      <c r="AQ343">
        <v>-43</v>
      </c>
      <c r="AR343">
        <v>512</v>
      </c>
      <c r="AZ343">
        <v>1200</v>
      </c>
      <c r="BA343">
        <v>1</v>
      </c>
      <c r="BB343" t="str">
        <f t="shared" si="192"/>
        <v xml:space="preserve">N9217B  </v>
      </c>
      <c r="BC343">
        <v>1</v>
      </c>
      <c r="BE343">
        <v>0</v>
      </c>
      <c r="BF343">
        <v>0</v>
      </c>
      <c r="BG343">
        <v>0</v>
      </c>
      <c r="BH343">
        <v>8925</v>
      </c>
      <c r="BI343">
        <v>1</v>
      </c>
      <c r="BJ343">
        <v>0</v>
      </c>
      <c r="BK343">
        <v>0</v>
      </c>
      <c r="BL343">
        <v>0</v>
      </c>
      <c r="BO343">
        <v>0</v>
      </c>
      <c r="BP343">
        <v>0</v>
      </c>
      <c r="BW343" t="str">
        <f t="shared" si="202"/>
        <v>14:50:03.212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285</v>
      </c>
      <c r="CR343">
        <v>0</v>
      </c>
      <c r="CW343">
        <v>8839565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25">
      <c r="A344" t="str">
        <f t="shared" si="199"/>
        <v>06/05/2020 14:49:57.570</v>
      </c>
      <c r="C344" t="str">
        <f t="shared" si="170"/>
        <v>FFDFD3C0</v>
      </c>
      <c r="D344" t="s">
        <v>134</v>
      </c>
      <c r="E344">
        <v>7</v>
      </c>
      <c r="F344">
        <v>2007</v>
      </c>
      <c r="G344" t="s">
        <v>135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200"/>
        <v>14:50:03.211</v>
      </c>
      <c r="T344" t="str">
        <f t="shared" si="201"/>
        <v>14:50:02.911</v>
      </c>
      <c r="U344" t="str">
        <f t="shared" si="191"/>
        <v>ACC530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1</v>
      </c>
      <c r="AH344">
        <v>0</v>
      </c>
      <c r="AI344" t="s">
        <v>267</v>
      </c>
      <c r="AJ344">
        <v>34.235415000000003</v>
      </c>
      <c r="AK344" t="s">
        <v>268</v>
      </c>
      <c r="AL344">
        <v>-116.897943</v>
      </c>
      <c r="AM344">
        <v>100</v>
      </c>
      <c r="AN344">
        <v>8800</v>
      </c>
      <c r="AO344" t="s">
        <v>118</v>
      </c>
      <c r="AP344">
        <v>-70</v>
      </c>
      <c r="AQ344">
        <v>-43</v>
      </c>
      <c r="AR344">
        <v>512</v>
      </c>
      <c r="AZ344">
        <v>1200</v>
      </c>
      <c r="BA344">
        <v>1</v>
      </c>
      <c r="BB344" t="str">
        <f t="shared" si="192"/>
        <v xml:space="preserve">N9217B  </v>
      </c>
      <c r="BC344">
        <v>1</v>
      </c>
      <c r="BE344">
        <v>0</v>
      </c>
      <c r="BF344">
        <v>0</v>
      </c>
      <c r="BG344">
        <v>0</v>
      </c>
      <c r="BH344">
        <v>8925</v>
      </c>
      <c r="BI344">
        <v>1</v>
      </c>
      <c r="BJ344">
        <v>0</v>
      </c>
      <c r="BK344">
        <v>0</v>
      </c>
      <c r="BL344">
        <v>0</v>
      </c>
      <c r="BO344">
        <v>0</v>
      </c>
      <c r="BP344">
        <v>0</v>
      </c>
      <c r="BW344" t="str">
        <f t="shared" si="202"/>
        <v>14:50:03.212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285</v>
      </c>
      <c r="CR344">
        <v>0</v>
      </c>
      <c r="CW344">
        <v>8839565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25">
      <c r="A345" t="str">
        <f t="shared" ref="A345:A350" si="203">"06/05/2020 14:49:58.446"</f>
        <v>06/05/2020 14:49:58.446</v>
      </c>
      <c r="C345" t="str">
        <f t="shared" si="170"/>
        <v>FFDFD3C0</v>
      </c>
      <c r="D345" t="s">
        <v>148</v>
      </c>
      <c r="E345">
        <v>8</v>
      </c>
      <c r="H345">
        <v>50</v>
      </c>
      <c r="I345" t="s">
        <v>149</v>
      </c>
      <c r="J345" t="s">
        <v>150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0" si="204">"14:50:04.078"</f>
        <v>14:50:04.078</v>
      </c>
      <c r="T345" t="str">
        <f>"14:50:03.878"</f>
        <v>14:50:03.878</v>
      </c>
      <c r="U345" t="str">
        <f t="shared" si="191"/>
        <v>ACC530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1</v>
      </c>
      <c r="AH345">
        <v>0</v>
      </c>
      <c r="AI345" t="s">
        <v>269</v>
      </c>
      <c r="AJ345">
        <v>34.235264999999998</v>
      </c>
      <c r="AK345" t="s">
        <v>270</v>
      </c>
      <c r="AL345">
        <v>-116.898286</v>
      </c>
      <c r="AM345">
        <v>100</v>
      </c>
      <c r="AN345">
        <v>8800</v>
      </c>
      <c r="AO345" t="s">
        <v>118</v>
      </c>
      <c r="AP345">
        <v>-70</v>
      </c>
      <c r="AQ345">
        <v>-42</v>
      </c>
      <c r="AR345">
        <v>448</v>
      </c>
      <c r="AZ345">
        <v>1200</v>
      </c>
      <c r="BA345">
        <v>1</v>
      </c>
      <c r="BB345" t="str">
        <f t="shared" si="192"/>
        <v xml:space="preserve">N9217B  </v>
      </c>
      <c r="BC345">
        <v>1</v>
      </c>
      <c r="BE345">
        <v>0</v>
      </c>
      <c r="BF345">
        <v>0</v>
      </c>
      <c r="BG345">
        <v>0</v>
      </c>
      <c r="BH345">
        <v>8950</v>
      </c>
      <c r="BI345">
        <v>1</v>
      </c>
      <c r="BJ345">
        <v>0</v>
      </c>
      <c r="BK345">
        <v>0</v>
      </c>
      <c r="BL345">
        <v>0</v>
      </c>
      <c r="BO345">
        <v>0</v>
      </c>
      <c r="BP345">
        <v>0</v>
      </c>
      <c r="BW345" t="str">
        <f t="shared" ref="BW345:BW350" si="205">"14:50:04.082"</f>
        <v>14:50:04.082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6</v>
      </c>
      <c r="CP345" t="s">
        <v>119</v>
      </c>
      <c r="CQ345">
        <v>285</v>
      </c>
      <c r="CR345">
        <v>0</v>
      </c>
      <c r="CW345">
        <v>8839647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25">
      <c r="A346" t="str">
        <f t="shared" si="203"/>
        <v>06/05/2020 14:49:58.446</v>
      </c>
      <c r="C346" t="str">
        <f t="shared" si="170"/>
        <v>FFDFD3C0</v>
      </c>
      <c r="D346" t="s">
        <v>143</v>
      </c>
      <c r="E346">
        <v>10</v>
      </c>
      <c r="F346">
        <v>3010</v>
      </c>
      <c r="G346" t="s">
        <v>144</v>
      </c>
      <c r="J346" t="s">
        <v>145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204"/>
        <v>14:50:04.078</v>
      </c>
      <c r="T346" t="str">
        <f>"14:50:03.378"</f>
        <v>14:50:03.378</v>
      </c>
      <c r="U346" t="str">
        <f t="shared" si="191"/>
        <v>ACC530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1</v>
      </c>
      <c r="AH346">
        <v>0</v>
      </c>
      <c r="AI346" t="s">
        <v>269</v>
      </c>
      <c r="AJ346">
        <v>34.235264999999998</v>
      </c>
      <c r="AK346" t="s">
        <v>270</v>
      </c>
      <c r="AL346">
        <v>-116.898286</v>
      </c>
      <c r="AM346">
        <v>100</v>
      </c>
      <c r="AN346">
        <v>8800</v>
      </c>
      <c r="AO346" t="s">
        <v>118</v>
      </c>
      <c r="AP346">
        <v>-70</v>
      </c>
      <c r="AQ346">
        <v>-42</v>
      </c>
      <c r="AR346">
        <v>512</v>
      </c>
      <c r="AZ346">
        <v>1200</v>
      </c>
      <c r="BA346">
        <v>1</v>
      </c>
      <c r="BB346" t="str">
        <f t="shared" si="192"/>
        <v xml:space="preserve">N9217B  </v>
      </c>
      <c r="BC346">
        <v>1</v>
      </c>
      <c r="BE346">
        <v>0</v>
      </c>
      <c r="BF346">
        <v>0</v>
      </c>
      <c r="BG346">
        <v>0</v>
      </c>
      <c r="BH346">
        <v>8925</v>
      </c>
      <c r="BI346">
        <v>1</v>
      </c>
      <c r="BJ346">
        <v>0</v>
      </c>
      <c r="BK346">
        <v>0</v>
      </c>
      <c r="BL346">
        <v>0</v>
      </c>
      <c r="BO346">
        <v>0</v>
      </c>
      <c r="BP346">
        <v>0</v>
      </c>
      <c r="BW346" t="str">
        <f t="shared" si="205"/>
        <v>14:50:04.082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5</v>
      </c>
      <c r="CP346" t="s">
        <v>119</v>
      </c>
      <c r="CQ346">
        <v>293</v>
      </c>
      <c r="CR346">
        <v>1</v>
      </c>
      <c r="CW346">
        <v>15269138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25">
      <c r="A347" t="str">
        <f t="shared" si="203"/>
        <v>06/05/2020 14:49:58.446</v>
      </c>
      <c r="C347" t="str">
        <f t="shared" si="170"/>
        <v>FFDFD3C0</v>
      </c>
      <c r="D347" t="s">
        <v>113</v>
      </c>
      <c r="E347">
        <v>3</v>
      </c>
      <c r="H347">
        <v>166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204"/>
        <v>14:50:04.078</v>
      </c>
      <c r="T347" t="str">
        <f>"14:50:03.878"</f>
        <v>14:50:03.878</v>
      </c>
      <c r="U347" t="str">
        <f t="shared" si="191"/>
        <v>ACC530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1</v>
      </c>
      <c r="AH347">
        <v>0</v>
      </c>
      <c r="AI347" t="s">
        <v>269</v>
      </c>
      <c r="AJ347">
        <v>34.235264999999998</v>
      </c>
      <c r="AK347" t="s">
        <v>270</v>
      </c>
      <c r="AL347">
        <v>-116.898286</v>
      </c>
      <c r="AM347">
        <v>100</v>
      </c>
      <c r="AN347">
        <v>8800</v>
      </c>
      <c r="AO347" t="s">
        <v>118</v>
      </c>
      <c r="AP347">
        <v>-70</v>
      </c>
      <c r="AQ347">
        <v>-42</v>
      </c>
      <c r="AR347">
        <v>448</v>
      </c>
      <c r="AZ347">
        <v>1200</v>
      </c>
      <c r="BA347">
        <v>1</v>
      </c>
      <c r="BB347" t="str">
        <f t="shared" si="192"/>
        <v xml:space="preserve">N9217B  </v>
      </c>
      <c r="BC347">
        <v>1</v>
      </c>
      <c r="BE347">
        <v>0</v>
      </c>
      <c r="BF347">
        <v>0</v>
      </c>
      <c r="BG347">
        <v>0</v>
      </c>
      <c r="BH347">
        <v>8950</v>
      </c>
      <c r="BI347">
        <v>1</v>
      </c>
      <c r="BJ347">
        <v>0</v>
      </c>
      <c r="BK347">
        <v>0</v>
      </c>
      <c r="BL347">
        <v>0</v>
      </c>
      <c r="BO347">
        <v>0</v>
      </c>
      <c r="BP347">
        <v>0</v>
      </c>
      <c r="BW347" t="str">
        <f t="shared" si="205"/>
        <v>14:50:04.082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6</v>
      </c>
      <c r="CP347" t="s">
        <v>119</v>
      </c>
      <c r="CQ347">
        <v>285</v>
      </c>
      <c r="CR347">
        <v>0</v>
      </c>
      <c r="CW347">
        <v>8839647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25">
      <c r="A348" t="str">
        <f t="shared" si="203"/>
        <v>06/05/2020 14:49:58.446</v>
      </c>
      <c r="C348" t="str">
        <f t="shared" si="170"/>
        <v>FFDFD3C0</v>
      </c>
      <c r="D348" t="s">
        <v>134</v>
      </c>
      <c r="E348">
        <v>7</v>
      </c>
      <c r="F348">
        <v>2007</v>
      </c>
      <c r="G348" t="s">
        <v>135</v>
      </c>
      <c r="J348" t="s">
        <v>136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204"/>
        <v>14:50:04.078</v>
      </c>
      <c r="T348" t="str">
        <f>"14:50:03.878"</f>
        <v>14:50:03.878</v>
      </c>
      <c r="U348" t="str">
        <f t="shared" si="191"/>
        <v>ACC530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1</v>
      </c>
      <c r="AH348">
        <v>0</v>
      </c>
      <c r="AI348" t="s">
        <v>269</v>
      </c>
      <c r="AJ348">
        <v>34.235264999999998</v>
      </c>
      <c r="AK348" t="s">
        <v>270</v>
      </c>
      <c r="AL348">
        <v>-116.898286</v>
      </c>
      <c r="AM348">
        <v>100</v>
      </c>
      <c r="AN348">
        <v>8800</v>
      </c>
      <c r="AO348" t="s">
        <v>118</v>
      </c>
      <c r="AP348">
        <v>-70</v>
      </c>
      <c r="AQ348">
        <v>-42</v>
      </c>
      <c r="AR348">
        <v>448</v>
      </c>
      <c r="AZ348">
        <v>1200</v>
      </c>
      <c r="BA348">
        <v>1</v>
      </c>
      <c r="BB348" t="str">
        <f t="shared" si="192"/>
        <v xml:space="preserve">N9217B  </v>
      </c>
      <c r="BC348">
        <v>1</v>
      </c>
      <c r="BE348">
        <v>0</v>
      </c>
      <c r="BF348">
        <v>0</v>
      </c>
      <c r="BG348">
        <v>0</v>
      </c>
      <c r="BH348">
        <v>8950</v>
      </c>
      <c r="BI348">
        <v>1</v>
      </c>
      <c r="BJ348">
        <v>0</v>
      </c>
      <c r="BK348">
        <v>0</v>
      </c>
      <c r="BL348">
        <v>0</v>
      </c>
      <c r="BO348">
        <v>0</v>
      </c>
      <c r="BP348">
        <v>0</v>
      </c>
      <c r="BW348" t="str">
        <f t="shared" si="205"/>
        <v>14:50:04.082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6</v>
      </c>
      <c r="CP348" t="s">
        <v>119</v>
      </c>
      <c r="CQ348">
        <v>285</v>
      </c>
      <c r="CR348">
        <v>0</v>
      </c>
      <c r="CW348">
        <v>8839647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25">
      <c r="A349" t="str">
        <f t="shared" si="203"/>
        <v>06/05/2020 14:49:58.446</v>
      </c>
      <c r="C349" t="str">
        <f t="shared" si="170"/>
        <v>FFDFD3C0</v>
      </c>
      <c r="D349" t="s">
        <v>151</v>
      </c>
      <c r="E349">
        <v>9</v>
      </c>
      <c r="H349">
        <v>226</v>
      </c>
      <c r="I349" t="s">
        <v>152</v>
      </c>
      <c r="J349" t="s">
        <v>150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204"/>
        <v>14:50:04.078</v>
      </c>
      <c r="T349" t="str">
        <f>"14:50:03.878"</f>
        <v>14:50:03.878</v>
      </c>
      <c r="U349" t="str">
        <f t="shared" si="191"/>
        <v>ACC530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1</v>
      </c>
      <c r="AH349">
        <v>0</v>
      </c>
      <c r="AI349" t="s">
        <v>269</v>
      </c>
      <c r="AJ349">
        <v>34.235264999999998</v>
      </c>
      <c r="AK349" t="s">
        <v>270</v>
      </c>
      <c r="AL349">
        <v>-116.898286</v>
      </c>
      <c r="AM349">
        <v>100</v>
      </c>
      <c r="AN349">
        <v>8800</v>
      </c>
      <c r="AO349" t="s">
        <v>118</v>
      </c>
      <c r="AP349">
        <v>-70</v>
      </c>
      <c r="AQ349">
        <v>-42</v>
      </c>
      <c r="AR349">
        <v>448</v>
      </c>
      <c r="AZ349">
        <v>1200</v>
      </c>
      <c r="BA349">
        <v>1</v>
      </c>
      <c r="BB349" t="str">
        <f t="shared" si="192"/>
        <v xml:space="preserve">N9217B  </v>
      </c>
      <c r="BC349">
        <v>1</v>
      </c>
      <c r="BE349">
        <v>0</v>
      </c>
      <c r="BF349">
        <v>0</v>
      </c>
      <c r="BG349">
        <v>0</v>
      </c>
      <c r="BH349">
        <v>8950</v>
      </c>
      <c r="BI349">
        <v>1</v>
      </c>
      <c r="BJ349">
        <v>0</v>
      </c>
      <c r="BK349">
        <v>0</v>
      </c>
      <c r="BL349">
        <v>0</v>
      </c>
      <c r="BO349">
        <v>0</v>
      </c>
      <c r="BP349">
        <v>0</v>
      </c>
      <c r="BW349" t="str">
        <f t="shared" si="205"/>
        <v>14:50:04.082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285</v>
      </c>
      <c r="CR349">
        <v>0</v>
      </c>
      <c r="CW349">
        <v>8839647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25">
      <c r="A350" t="str">
        <f t="shared" si="203"/>
        <v>06/05/2020 14:49:58.446</v>
      </c>
      <c r="C350" t="str">
        <f t="shared" si="170"/>
        <v>FFDFD3C0</v>
      </c>
      <c r="D350" t="s">
        <v>141</v>
      </c>
      <c r="E350">
        <v>20</v>
      </c>
      <c r="F350">
        <v>1020</v>
      </c>
      <c r="G350" t="s">
        <v>114</v>
      </c>
      <c r="J350" t="s">
        <v>142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204"/>
        <v>14:50:04.078</v>
      </c>
      <c r="T350" t="str">
        <f>"14:50:03.878"</f>
        <v>14:50:03.878</v>
      </c>
      <c r="U350" t="str">
        <f t="shared" si="191"/>
        <v>ACC530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1</v>
      </c>
      <c r="AH350">
        <v>0</v>
      </c>
      <c r="AI350" t="s">
        <v>269</v>
      </c>
      <c r="AJ350">
        <v>34.235264999999998</v>
      </c>
      <c r="AK350" t="s">
        <v>270</v>
      </c>
      <c r="AL350">
        <v>-116.898286</v>
      </c>
      <c r="AM350">
        <v>100</v>
      </c>
      <c r="AN350">
        <v>8800</v>
      </c>
      <c r="AO350" t="s">
        <v>118</v>
      </c>
      <c r="AP350">
        <v>-70</v>
      </c>
      <c r="AQ350">
        <v>-42</v>
      </c>
      <c r="AR350">
        <v>448</v>
      </c>
      <c r="AZ350">
        <v>1200</v>
      </c>
      <c r="BA350">
        <v>1</v>
      </c>
      <c r="BB350" t="str">
        <f t="shared" si="192"/>
        <v xml:space="preserve">N9217B  </v>
      </c>
      <c r="BC350">
        <v>1</v>
      </c>
      <c r="BE350">
        <v>0</v>
      </c>
      <c r="BF350">
        <v>0</v>
      </c>
      <c r="BG350">
        <v>0</v>
      </c>
      <c r="BH350">
        <v>8950</v>
      </c>
      <c r="BI350">
        <v>1</v>
      </c>
      <c r="BJ350">
        <v>0</v>
      </c>
      <c r="BK350">
        <v>0</v>
      </c>
      <c r="BL350">
        <v>0</v>
      </c>
      <c r="BO350">
        <v>0</v>
      </c>
      <c r="BP350">
        <v>0</v>
      </c>
      <c r="BW350" t="str">
        <f t="shared" si="205"/>
        <v>14:50:04.082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285</v>
      </c>
      <c r="CR350">
        <v>0</v>
      </c>
      <c r="CW350">
        <v>8839647</v>
      </c>
      <c r="CY350">
        <v>0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25">
      <c r="A351" t="str">
        <f t="shared" ref="A351:A356" si="206">"06/05/2020 14:49:59.391"</f>
        <v>06/05/2020 14:49:59.391</v>
      </c>
      <c r="C351" t="str">
        <f t="shared" si="170"/>
        <v>FFDFD3C0</v>
      </c>
      <c r="D351" t="s">
        <v>151</v>
      </c>
      <c r="E351">
        <v>9</v>
      </c>
      <c r="H351">
        <v>226</v>
      </c>
      <c r="I351" t="s">
        <v>152</v>
      </c>
      <c r="J351" t="s">
        <v>150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ref="S351:S356" si="207">"14:50:05.039"</f>
        <v>14:50:05.039</v>
      </c>
      <c r="T351" t="str">
        <f t="shared" ref="T351:T356" si="208">"14:50:04.739"</f>
        <v>14:50:04.739</v>
      </c>
      <c r="U351" t="str">
        <f t="shared" si="191"/>
        <v>ACC530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1</v>
      </c>
      <c r="AH351">
        <v>0</v>
      </c>
      <c r="AI351" t="s">
        <v>271</v>
      </c>
      <c r="AJ351">
        <v>34.235072000000002</v>
      </c>
      <c r="AK351" t="s">
        <v>272</v>
      </c>
      <c r="AL351">
        <v>-116.898715</v>
      </c>
      <c r="AM351">
        <v>100</v>
      </c>
      <c r="AN351">
        <v>8800</v>
      </c>
      <c r="AO351" t="s">
        <v>118</v>
      </c>
      <c r="AP351">
        <v>-71</v>
      </c>
      <c r="AQ351">
        <v>-42</v>
      </c>
      <c r="AR351">
        <v>384</v>
      </c>
      <c r="AZ351">
        <v>1200</v>
      </c>
      <c r="BA351">
        <v>1</v>
      </c>
      <c r="BB351" t="str">
        <f t="shared" si="192"/>
        <v xml:space="preserve">N9217B  </v>
      </c>
      <c r="BC351">
        <v>1</v>
      </c>
      <c r="BE351">
        <v>0</v>
      </c>
      <c r="BF351">
        <v>0</v>
      </c>
      <c r="BG351">
        <v>0</v>
      </c>
      <c r="BH351">
        <v>8950</v>
      </c>
      <c r="BI351">
        <v>1</v>
      </c>
      <c r="BJ351">
        <v>0</v>
      </c>
      <c r="BK351">
        <v>0</v>
      </c>
      <c r="BL351">
        <v>0</v>
      </c>
      <c r="BO351">
        <v>0</v>
      </c>
      <c r="BP351">
        <v>0</v>
      </c>
      <c r="BW351" t="str">
        <f t="shared" ref="BW351:BW356" si="209">"14:50:05.042"</f>
        <v>14:50:05.042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285</v>
      </c>
      <c r="CR351">
        <v>0</v>
      </c>
      <c r="CW351">
        <v>8839741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25">
      <c r="A352" t="str">
        <f t="shared" si="206"/>
        <v>06/05/2020 14:49:59.391</v>
      </c>
      <c r="C352" t="str">
        <f t="shared" si="170"/>
        <v>FFDFD3C0</v>
      </c>
      <c r="D352" t="s">
        <v>143</v>
      </c>
      <c r="E352">
        <v>10</v>
      </c>
      <c r="F352">
        <v>3010</v>
      </c>
      <c r="G352" t="s">
        <v>144</v>
      </c>
      <c r="J352" t="s">
        <v>145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207"/>
        <v>14:50:05.039</v>
      </c>
      <c r="T352" t="str">
        <f t="shared" si="208"/>
        <v>14:50:04.739</v>
      </c>
      <c r="U352" t="str">
        <f t="shared" si="191"/>
        <v>ACC530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1</v>
      </c>
      <c r="AH352">
        <v>0</v>
      </c>
      <c r="AI352" t="s">
        <v>271</v>
      </c>
      <c r="AJ352">
        <v>34.235072000000002</v>
      </c>
      <c r="AK352" t="s">
        <v>272</v>
      </c>
      <c r="AL352">
        <v>-116.898715</v>
      </c>
      <c r="AM352">
        <v>100</v>
      </c>
      <c r="AN352">
        <v>8800</v>
      </c>
      <c r="AO352" t="s">
        <v>118</v>
      </c>
      <c r="AP352">
        <v>-71</v>
      </c>
      <c r="AQ352">
        <v>-42</v>
      </c>
      <c r="AR352">
        <v>384</v>
      </c>
      <c r="AZ352">
        <v>1200</v>
      </c>
      <c r="BA352">
        <v>1</v>
      </c>
      <c r="BB352" t="str">
        <f t="shared" si="192"/>
        <v xml:space="preserve">N9217B  </v>
      </c>
      <c r="BC352">
        <v>1</v>
      </c>
      <c r="BE352">
        <v>0</v>
      </c>
      <c r="BF352">
        <v>0</v>
      </c>
      <c r="BG352">
        <v>0</v>
      </c>
      <c r="BH352">
        <v>8950</v>
      </c>
      <c r="BI352">
        <v>1</v>
      </c>
      <c r="BJ352">
        <v>0</v>
      </c>
      <c r="BK352">
        <v>0</v>
      </c>
      <c r="BL352">
        <v>0</v>
      </c>
      <c r="BO352">
        <v>0</v>
      </c>
      <c r="BP352">
        <v>0</v>
      </c>
      <c r="BW352" t="str">
        <f t="shared" si="209"/>
        <v>14:50:05.042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4</v>
      </c>
      <c r="CP352" t="s">
        <v>119</v>
      </c>
      <c r="CQ352">
        <v>293</v>
      </c>
      <c r="CR352">
        <v>1</v>
      </c>
      <c r="CW352">
        <v>15269257</v>
      </c>
      <c r="CY352">
        <v>0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25">
      <c r="A353" t="str">
        <f t="shared" si="206"/>
        <v>06/05/2020 14:49:59.391</v>
      </c>
      <c r="C353" t="str">
        <f t="shared" si="170"/>
        <v>FFDFD3C0</v>
      </c>
      <c r="D353" t="s">
        <v>148</v>
      </c>
      <c r="E353">
        <v>8</v>
      </c>
      <c r="H353">
        <v>50</v>
      </c>
      <c r="I353" t="s">
        <v>149</v>
      </c>
      <c r="J353" t="s">
        <v>150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207"/>
        <v>14:50:05.039</v>
      </c>
      <c r="T353" t="str">
        <f t="shared" si="208"/>
        <v>14:50:04.739</v>
      </c>
      <c r="U353" t="str">
        <f t="shared" si="191"/>
        <v>ACC530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1</v>
      </c>
      <c r="AH353">
        <v>0</v>
      </c>
      <c r="AI353" t="s">
        <v>271</v>
      </c>
      <c r="AJ353">
        <v>34.235072000000002</v>
      </c>
      <c r="AK353" t="s">
        <v>272</v>
      </c>
      <c r="AL353">
        <v>-116.898715</v>
      </c>
      <c r="AM353">
        <v>100</v>
      </c>
      <c r="AN353">
        <v>8800</v>
      </c>
      <c r="AO353" t="s">
        <v>118</v>
      </c>
      <c r="AP353">
        <v>-71</v>
      </c>
      <c r="AQ353">
        <v>-42</v>
      </c>
      <c r="AR353">
        <v>384</v>
      </c>
      <c r="AZ353">
        <v>1200</v>
      </c>
      <c r="BA353">
        <v>1</v>
      </c>
      <c r="BB353" t="str">
        <f t="shared" si="192"/>
        <v xml:space="preserve">N9217B  </v>
      </c>
      <c r="BC353">
        <v>1</v>
      </c>
      <c r="BE353">
        <v>0</v>
      </c>
      <c r="BF353">
        <v>0</v>
      </c>
      <c r="BG353">
        <v>0</v>
      </c>
      <c r="BH353">
        <v>8950</v>
      </c>
      <c r="BI353">
        <v>1</v>
      </c>
      <c r="BJ353">
        <v>0</v>
      </c>
      <c r="BK353">
        <v>0</v>
      </c>
      <c r="BL353">
        <v>0</v>
      </c>
      <c r="BO353">
        <v>0</v>
      </c>
      <c r="BP353">
        <v>0</v>
      </c>
      <c r="BW353" t="str">
        <f t="shared" si="209"/>
        <v>14:50:05.042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119</v>
      </c>
      <c r="CQ353">
        <v>285</v>
      </c>
      <c r="CR353">
        <v>0</v>
      </c>
      <c r="CW353">
        <v>8839741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25">
      <c r="A354" t="str">
        <f t="shared" si="206"/>
        <v>06/05/2020 14:49:59.391</v>
      </c>
      <c r="C354" t="str">
        <f t="shared" si="170"/>
        <v>FFDFD3C0</v>
      </c>
      <c r="D354" t="s">
        <v>134</v>
      </c>
      <c r="E354">
        <v>7</v>
      </c>
      <c r="F354">
        <v>2007</v>
      </c>
      <c r="G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207"/>
        <v>14:50:05.039</v>
      </c>
      <c r="T354" t="str">
        <f t="shared" si="208"/>
        <v>14:50:04.739</v>
      </c>
      <c r="U354" t="str">
        <f t="shared" si="191"/>
        <v>ACC530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1</v>
      </c>
      <c r="AH354">
        <v>0</v>
      </c>
      <c r="AI354" t="s">
        <v>271</v>
      </c>
      <c r="AJ354">
        <v>34.235072000000002</v>
      </c>
      <c r="AK354" t="s">
        <v>272</v>
      </c>
      <c r="AL354">
        <v>-116.898715</v>
      </c>
      <c r="AM354">
        <v>100</v>
      </c>
      <c r="AN354">
        <v>8800</v>
      </c>
      <c r="AO354" t="s">
        <v>118</v>
      </c>
      <c r="AP354">
        <v>-71</v>
      </c>
      <c r="AQ354">
        <v>-42</v>
      </c>
      <c r="AR354">
        <v>384</v>
      </c>
      <c r="AZ354">
        <v>1200</v>
      </c>
      <c r="BA354">
        <v>1</v>
      </c>
      <c r="BB354" t="str">
        <f t="shared" si="192"/>
        <v xml:space="preserve">N9217B  </v>
      </c>
      <c r="BC354">
        <v>1</v>
      </c>
      <c r="BE354">
        <v>0</v>
      </c>
      <c r="BF354">
        <v>0</v>
      </c>
      <c r="BG354">
        <v>0</v>
      </c>
      <c r="BH354">
        <v>8950</v>
      </c>
      <c r="BI354">
        <v>1</v>
      </c>
      <c r="BJ354">
        <v>0</v>
      </c>
      <c r="BK354">
        <v>0</v>
      </c>
      <c r="BL354">
        <v>0</v>
      </c>
      <c r="BO354">
        <v>0</v>
      </c>
      <c r="BP354">
        <v>0</v>
      </c>
      <c r="BW354" t="str">
        <f t="shared" si="209"/>
        <v>14:50:05.042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6</v>
      </c>
      <c r="CP354" t="s">
        <v>119</v>
      </c>
      <c r="CQ354">
        <v>285</v>
      </c>
      <c r="CR354">
        <v>0</v>
      </c>
      <c r="CW354">
        <v>8839741</v>
      </c>
      <c r="CY354">
        <v>0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25">
      <c r="A355" t="str">
        <f t="shared" si="206"/>
        <v>06/05/2020 14:49:59.391</v>
      </c>
      <c r="C355" t="str">
        <f t="shared" ref="C355:C418" si="210">"FFDFD3C0"</f>
        <v>FFDFD3C0</v>
      </c>
      <c r="D355" t="s">
        <v>113</v>
      </c>
      <c r="E355">
        <v>3</v>
      </c>
      <c r="H355">
        <v>166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207"/>
        <v>14:50:05.039</v>
      </c>
      <c r="T355" t="str">
        <f t="shared" si="208"/>
        <v>14:50:04.739</v>
      </c>
      <c r="U355" t="str">
        <f t="shared" si="191"/>
        <v>ACC530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1</v>
      </c>
      <c r="AH355">
        <v>0</v>
      </c>
      <c r="AI355" t="s">
        <v>271</v>
      </c>
      <c r="AJ355">
        <v>34.235072000000002</v>
      </c>
      <c r="AK355" t="s">
        <v>272</v>
      </c>
      <c r="AL355">
        <v>-116.898715</v>
      </c>
      <c r="AM355">
        <v>100</v>
      </c>
      <c r="AN355">
        <v>8800</v>
      </c>
      <c r="AO355" t="s">
        <v>118</v>
      </c>
      <c r="AP355">
        <v>-71</v>
      </c>
      <c r="AQ355">
        <v>-42</v>
      </c>
      <c r="AR355">
        <v>384</v>
      </c>
      <c r="AZ355">
        <v>1200</v>
      </c>
      <c r="BA355">
        <v>1</v>
      </c>
      <c r="BB355" t="str">
        <f t="shared" si="192"/>
        <v xml:space="preserve">N9217B  </v>
      </c>
      <c r="BC355">
        <v>1</v>
      </c>
      <c r="BE355">
        <v>0</v>
      </c>
      <c r="BF355">
        <v>0</v>
      </c>
      <c r="BG355">
        <v>0</v>
      </c>
      <c r="BH355">
        <v>8950</v>
      </c>
      <c r="BI355">
        <v>1</v>
      </c>
      <c r="BJ355">
        <v>0</v>
      </c>
      <c r="BK355">
        <v>0</v>
      </c>
      <c r="BL355">
        <v>0</v>
      </c>
      <c r="BO355">
        <v>0</v>
      </c>
      <c r="BP355">
        <v>0</v>
      </c>
      <c r="BW355" t="str">
        <f t="shared" si="209"/>
        <v>14:50:05.042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6</v>
      </c>
      <c r="CP355" t="s">
        <v>119</v>
      </c>
      <c r="CQ355">
        <v>285</v>
      </c>
      <c r="CR355">
        <v>0</v>
      </c>
      <c r="CW355">
        <v>8839741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25">
      <c r="A356" t="str">
        <f t="shared" si="206"/>
        <v>06/05/2020 14:49:59.391</v>
      </c>
      <c r="C356" t="str">
        <f t="shared" si="210"/>
        <v>FFDFD3C0</v>
      </c>
      <c r="D356" t="s">
        <v>141</v>
      </c>
      <c r="E356">
        <v>20</v>
      </c>
      <c r="F356">
        <v>1020</v>
      </c>
      <c r="G356" t="s">
        <v>114</v>
      </c>
      <c r="J356" t="s">
        <v>142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207"/>
        <v>14:50:05.039</v>
      </c>
      <c r="T356" t="str">
        <f t="shared" si="208"/>
        <v>14:50:04.739</v>
      </c>
      <c r="U356" t="str">
        <f t="shared" si="191"/>
        <v>ACC530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1</v>
      </c>
      <c r="AH356">
        <v>0</v>
      </c>
      <c r="AI356" t="s">
        <v>271</v>
      </c>
      <c r="AJ356">
        <v>34.235072000000002</v>
      </c>
      <c r="AK356" t="s">
        <v>272</v>
      </c>
      <c r="AL356">
        <v>-116.898715</v>
      </c>
      <c r="AM356">
        <v>100</v>
      </c>
      <c r="AN356">
        <v>8800</v>
      </c>
      <c r="AO356" t="s">
        <v>118</v>
      </c>
      <c r="AP356">
        <v>-71</v>
      </c>
      <c r="AQ356">
        <v>-42</v>
      </c>
      <c r="AR356">
        <v>384</v>
      </c>
      <c r="AZ356">
        <v>1200</v>
      </c>
      <c r="BA356">
        <v>1</v>
      </c>
      <c r="BB356" t="str">
        <f t="shared" si="192"/>
        <v xml:space="preserve">N9217B  </v>
      </c>
      <c r="BC356">
        <v>1</v>
      </c>
      <c r="BE356">
        <v>0</v>
      </c>
      <c r="BF356">
        <v>0</v>
      </c>
      <c r="BG356">
        <v>0</v>
      </c>
      <c r="BH356">
        <v>8950</v>
      </c>
      <c r="BI356">
        <v>1</v>
      </c>
      <c r="BJ356">
        <v>0</v>
      </c>
      <c r="BK356">
        <v>0</v>
      </c>
      <c r="BL356">
        <v>0</v>
      </c>
      <c r="BO356">
        <v>0</v>
      </c>
      <c r="BP356">
        <v>0</v>
      </c>
      <c r="BW356" t="str">
        <f t="shared" si="209"/>
        <v>14:50:05.042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6</v>
      </c>
      <c r="CP356" t="s">
        <v>119</v>
      </c>
      <c r="CQ356">
        <v>285</v>
      </c>
      <c r="CR356">
        <v>0</v>
      </c>
      <c r="CW356">
        <v>8839741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25">
      <c r="A357" t="str">
        <f t="shared" ref="A357:A362" si="211">"06/05/2020 14:50:00.385"</f>
        <v>06/05/2020 14:50:00.385</v>
      </c>
      <c r="C357" t="str">
        <f t="shared" si="210"/>
        <v>FFDFD3C0</v>
      </c>
      <c r="D357" t="s">
        <v>134</v>
      </c>
      <c r="E357">
        <v>7</v>
      </c>
      <c r="F357">
        <v>2007</v>
      </c>
      <c r="G357" t="s">
        <v>135</v>
      </c>
      <c r="J357" t="s">
        <v>136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ref="S357:S362" si="212">"14:50:06.000"</f>
        <v>14:50:06.000</v>
      </c>
      <c r="T357" t="str">
        <f t="shared" ref="T357:T362" si="213">"14:50:05.800"</f>
        <v>14:50:05.800</v>
      </c>
      <c r="U357" t="str">
        <f t="shared" si="191"/>
        <v>ACC530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1</v>
      </c>
      <c r="AH357">
        <v>0</v>
      </c>
      <c r="AI357" t="s">
        <v>273</v>
      </c>
      <c r="AJ357">
        <v>34.234900000000003</v>
      </c>
      <c r="AK357" t="s">
        <v>274</v>
      </c>
      <c r="AL357">
        <v>-116.899016</v>
      </c>
      <c r="AM357">
        <v>100</v>
      </c>
      <c r="AN357">
        <v>8800</v>
      </c>
      <c r="AO357" t="s">
        <v>118</v>
      </c>
      <c r="AP357">
        <v>-72</v>
      </c>
      <c r="AQ357">
        <v>-41</v>
      </c>
      <c r="AR357">
        <v>320</v>
      </c>
      <c r="AZ357">
        <v>1200</v>
      </c>
      <c r="BA357">
        <v>1</v>
      </c>
      <c r="BB357" t="str">
        <f t="shared" si="192"/>
        <v xml:space="preserve">N9217B  </v>
      </c>
      <c r="BC357">
        <v>1</v>
      </c>
      <c r="BE357">
        <v>0</v>
      </c>
      <c r="BF357">
        <v>0</v>
      </c>
      <c r="BG357">
        <v>0</v>
      </c>
      <c r="BH357">
        <v>8950</v>
      </c>
      <c r="BI357">
        <v>1</v>
      </c>
      <c r="BJ357">
        <v>0</v>
      </c>
      <c r="BK357">
        <v>0</v>
      </c>
      <c r="BL357">
        <v>0</v>
      </c>
      <c r="BO357">
        <v>0</v>
      </c>
      <c r="BP357">
        <v>0</v>
      </c>
      <c r="BW357" t="str">
        <f t="shared" ref="BW357:BW362" si="214">"14:50:06.002"</f>
        <v>14:50:06.002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6</v>
      </c>
      <c r="CP357" t="s">
        <v>119</v>
      </c>
      <c r="CQ357">
        <v>285</v>
      </c>
      <c r="CR357">
        <v>0</v>
      </c>
      <c r="CW357">
        <v>8839814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25">
      <c r="A358" t="str">
        <f t="shared" si="211"/>
        <v>06/05/2020 14:50:00.385</v>
      </c>
      <c r="C358" t="str">
        <f t="shared" si="210"/>
        <v>FFDFD3C0</v>
      </c>
      <c r="D358" t="s">
        <v>113</v>
      </c>
      <c r="E358">
        <v>3</v>
      </c>
      <c r="H358">
        <v>166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212"/>
        <v>14:50:06.000</v>
      </c>
      <c r="T358" t="str">
        <f t="shared" si="213"/>
        <v>14:50:05.800</v>
      </c>
      <c r="U358" t="str">
        <f t="shared" si="191"/>
        <v>ACC530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1</v>
      </c>
      <c r="AH358">
        <v>0</v>
      </c>
      <c r="AI358" t="s">
        <v>273</v>
      </c>
      <c r="AJ358">
        <v>34.234900000000003</v>
      </c>
      <c r="AK358" t="s">
        <v>274</v>
      </c>
      <c r="AL358">
        <v>-116.899016</v>
      </c>
      <c r="AM358">
        <v>100</v>
      </c>
      <c r="AN358">
        <v>8800</v>
      </c>
      <c r="AO358" t="s">
        <v>118</v>
      </c>
      <c r="AP358">
        <v>-72</v>
      </c>
      <c r="AQ358">
        <v>-41</v>
      </c>
      <c r="AR358">
        <v>320</v>
      </c>
      <c r="AZ358">
        <v>1200</v>
      </c>
      <c r="BA358">
        <v>1</v>
      </c>
      <c r="BB358" t="str">
        <f t="shared" si="192"/>
        <v xml:space="preserve">N9217B  </v>
      </c>
      <c r="BC358">
        <v>1</v>
      </c>
      <c r="BE358">
        <v>0</v>
      </c>
      <c r="BF358">
        <v>0</v>
      </c>
      <c r="BG358">
        <v>0</v>
      </c>
      <c r="BH358">
        <v>8950</v>
      </c>
      <c r="BI358">
        <v>1</v>
      </c>
      <c r="BJ358">
        <v>0</v>
      </c>
      <c r="BK358">
        <v>0</v>
      </c>
      <c r="BL358">
        <v>0</v>
      </c>
      <c r="BO358">
        <v>0</v>
      </c>
      <c r="BP358">
        <v>0</v>
      </c>
      <c r="BW358" t="str">
        <f t="shared" si="214"/>
        <v>14:50:06.002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6</v>
      </c>
      <c r="CP358" t="s">
        <v>119</v>
      </c>
      <c r="CQ358">
        <v>285</v>
      </c>
      <c r="CR358">
        <v>0</v>
      </c>
      <c r="CW358">
        <v>8839814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25">
      <c r="A359" t="str">
        <f t="shared" si="211"/>
        <v>06/05/2020 14:50:00.385</v>
      </c>
      <c r="C359" t="str">
        <f t="shared" si="210"/>
        <v>FFDFD3C0</v>
      </c>
      <c r="D359" t="s">
        <v>141</v>
      </c>
      <c r="E359">
        <v>20</v>
      </c>
      <c r="F359">
        <v>1020</v>
      </c>
      <c r="G359" t="s">
        <v>114</v>
      </c>
      <c r="J359" t="s">
        <v>142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212"/>
        <v>14:50:06.000</v>
      </c>
      <c r="T359" t="str">
        <f t="shared" si="213"/>
        <v>14:50:05.800</v>
      </c>
      <c r="U359" t="str">
        <f t="shared" si="191"/>
        <v>ACC530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1</v>
      </c>
      <c r="AH359">
        <v>0</v>
      </c>
      <c r="AI359" t="s">
        <v>273</v>
      </c>
      <c r="AJ359">
        <v>34.234900000000003</v>
      </c>
      <c r="AK359" t="s">
        <v>274</v>
      </c>
      <c r="AL359">
        <v>-116.899016</v>
      </c>
      <c r="AM359">
        <v>100</v>
      </c>
      <c r="AN359">
        <v>8800</v>
      </c>
      <c r="AO359" t="s">
        <v>118</v>
      </c>
      <c r="AP359">
        <v>-72</v>
      </c>
      <c r="AQ359">
        <v>-41</v>
      </c>
      <c r="AR359">
        <v>320</v>
      </c>
      <c r="AZ359">
        <v>1200</v>
      </c>
      <c r="BA359">
        <v>1</v>
      </c>
      <c r="BB359" t="str">
        <f t="shared" si="192"/>
        <v xml:space="preserve">N9217B  </v>
      </c>
      <c r="BC359">
        <v>1</v>
      </c>
      <c r="BE359">
        <v>0</v>
      </c>
      <c r="BF359">
        <v>0</v>
      </c>
      <c r="BG359">
        <v>0</v>
      </c>
      <c r="BH359">
        <v>8950</v>
      </c>
      <c r="BI359">
        <v>1</v>
      </c>
      <c r="BJ359">
        <v>0</v>
      </c>
      <c r="BK359">
        <v>0</v>
      </c>
      <c r="BL359">
        <v>0</v>
      </c>
      <c r="BO359">
        <v>0</v>
      </c>
      <c r="BP359">
        <v>0</v>
      </c>
      <c r="BW359" t="str">
        <f t="shared" si="214"/>
        <v>14:50:06.002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6</v>
      </c>
      <c r="CP359" t="s">
        <v>119</v>
      </c>
      <c r="CQ359">
        <v>285</v>
      </c>
      <c r="CR359">
        <v>0</v>
      </c>
      <c r="CW359">
        <v>8839814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25">
      <c r="A360" t="str">
        <f t="shared" si="211"/>
        <v>06/05/2020 14:50:00.385</v>
      </c>
      <c r="C360" t="str">
        <f t="shared" si="210"/>
        <v>FFDFD3C0</v>
      </c>
      <c r="D360" t="s">
        <v>143</v>
      </c>
      <c r="E360">
        <v>10</v>
      </c>
      <c r="F360">
        <v>3010</v>
      </c>
      <c r="G360" t="s">
        <v>144</v>
      </c>
      <c r="J360" t="s">
        <v>145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212"/>
        <v>14:50:06.000</v>
      </c>
      <c r="T360" t="str">
        <f t="shared" si="213"/>
        <v>14:50:05.800</v>
      </c>
      <c r="U360" t="str">
        <f t="shared" si="191"/>
        <v>ACC530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1</v>
      </c>
      <c r="AH360">
        <v>0</v>
      </c>
      <c r="AI360" t="s">
        <v>273</v>
      </c>
      <c r="AJ360">
        <v>34.234900000000003</v>
      </c>
      <c r="AK360" t="s">
        <v>274</v>
      </c>
      <c r="AL360">
        <v>-116.899016</v>
      </c>
      <c r="AM360">
        <v>100</v>
      </c>
      <c r="AN360">
        <v>8800</v>
      </c>
      <c r="AO360" t="s">
        <v>118</v>
      </c>
      <c r="AP360">
        <v>-72</v>
      </c>
      <c r="AQ360">
        <v>-41</v>
      </c>
      <c r="AR360">
        <v>320</v>
      </c>
      <c r="AZ360">
        <v>1200</v>
      </c>
      <c r="BA360">
        <v>1</v>
      </c>
      <c r="BB360" t="str">
        <f t="shared" si="192"/>
        <v xml:space="preserve">N9217B  </v>
      </c>
      <c r="BC360">
        <v>1</v>
      </c>
      <c r="BE360">
        <v>0</v>
      </c>
      <c r="BF360">
        <v>0</v>
      </c>
      <c r="BG360">
        <v>0</v>
      </c>
      <c r="BH360">
        <v>8950</v>
      </c>
      <c r="BI360">
        <v>1</v>
      </c>
      <c r="BJ360">
        <v>0</v>
      </c>
      <c r="BK360">
        <v>0</v>
      </c>
      <c r="BL360">
        <v>0</v>
      </c>
      <c r="BO360">
        <v>0</v>
      </c>
      <c r="BP360">
        <v>0</v>
      </c>
      <c r="BW360" t="str">
        <f t="shared" si="214"/>
        <v>14:50:06.002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5</v>
      </c>
      <c r="CP360" t="s">
        <v>119</v>
      </c>
      <c r="CQ360">
        <v>293</v>
      </c>
      <c r="CR360">
        <v>1</v>
      </c>
      <c r="CW360">
        <v>15269375</v>
      </c>
      <c r="CY360">
        <v>0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25">
      <c r="A361" t="str">
        <f t="shared" si="211"/>
        <v>06/05/2020 14:50:00.385</v>
      </c>
      <c r="C361" t="str">
        <f t="shared" si="210"/>
        <v>FFDFD3C0</v>
      </c>
      <c r="D361" t="s">
        <v>151</v>
      </c>
      <c r="E361">
        <v>9</v>
      </c>
      <c r="H361">
        <v>226</v>
      </c>
      <c r="I361" t="s">
        <v>152</v>
      </c>
      <c r="J361" t="s">
        <v>150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12"/>
        <v>14:50:06.000</v>
      </c>
      <c r="T361" t="str">
        <f t="shared" si="213"/>
        <v>14:50:05.800</v>
      </c>
      <c r="U361" t="str">
        <f t="shared" si="191"/>
        <v>ACC530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1</v>
      </c>
      <c r="AH361">
        <v>0</v>
      </c>
      <c r="AI361" t="s">
        <v>273</v>
      </c>
      <c r="AJ361">
        <v>34.234900000000003</v>
      </c>
      <c r="AK361" t="s">
        <v>274</v>
      </c>
      <c r="AL361">
        <v>-116.899016</v>
      </c>
      <c r="AM361">
        <v>100</v>
      </c>
      <c r="AN361">
        <v>8800</v>
      </c>
      <c r="AO361" t="s">
        <v>118</v>
      </c>
      <c r="AP361">
        <v>-72</v>
      </c>
      <c r="AQ361">
        <v>-41</v>
      </c>
      <c r="AR361">
        <v>320</v>
      </c>
      <c r="AZ361">
        <v>1200</v>
      </c>
      <c r="BA361">
        <v>1</v>
      </c>
      <c r="BB361" t="str">
        <f t="shared" si="192"/>
        <v xml:space="preserve">N9217B  </v>
      </c>
      <c r="BC361">
        <v>1</v>
      </c>
      <c r="BE361">
        <v>0</v>
      </c>
      <c r="BF361">
        <v>0</v>
      </c>
      <c r="BG361">
        <v>0</v>
      </c>
      <c r="BH361">
        <v>8950</v>
      </c>
      <c r="BI361">
        <v>1</v>
      </c>
      <c r="BJ361">
        <v>0</v>
      </c>
      <c r="BK361">
        <v>0</v>
      </c>
      <c r="BL361">
        <v>0</v>
      </c>
      <c r="BO361">
        <v>0</v>
      </c>
      <c r="BP361">
        <v>0</v>
      </c>
      <c r="BW361" t="str">
        <f t="shared" si="214"/>
        <v>14:50:06.002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6</v>
      </c>
      <c r="CP361" t="s">
        <v>119</v>
      </c>
      <c r="CQ361">
        <v>285</v>
      </c>
      <c r="CR361">
        <v>0</v>
      </c>
      <c r="CW361">
        <v>8839814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25">
      <c r="A362" t="str">
        <f t="shared" si="211"/>
        <v>06/05/2020 14:50:00.385</v>
      </c>
      <c r="C362" t="str">
        <f t="shared" si="210"/>
        <v>FFDFD3C0</v>
      </c>
      <c r="D362" t="s">
        <v>148</v>
      </c>
      <c r="E362">
        <v>8</v>
      </c>
      <c r="H362">
        <v>50</v>
      </c>
      <c r="I362" t="s">
        <v>149</v>
      </c>
      <c r="J362" t="s">
        <v>150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212"/>
        <v>14:50:06.000</v>
      </c>
      <c r="T362" t="str">
        <f t="shared" si="213"/>
        <v>14:50:05.800</v>
      </c>
      <c r="U362" t="str">
        <f t="shared" si="191"/>
        <v>ACC530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1</v>
      </c>
      <c r="AH362">
        <v>0</v>
      </c>
      <c r="AI362" t="s">
        <v>273</v>
      </c>
      <c r="AJ362">
        <v>34.234900000000003</v>
      </c>
      <c r="AK362" t="s">
        <v>274</v>
      </c>
      <c r="AL362">
        <v>-116.899016</v>
      </c>
      <c r="AM362">
        <v>100</v>
      </c>
      <c r="AN362">
        <v>8800</v>
      </c>
      <c r="AO362" t="s">
        <v>118</v>
      </c>
      <c r="AP362">
        <v>-72</v>
      </c>
      <c r="AQ362">
        <v>-41</v>
      </c>
      <c r="AR362">
        <v>320</v>
      </c>
      <c r="AZ362">
        <v>1200</v>
      </c>
      <c r="BA362">
        <v>1</v>
      </c>
      <c r="BB362" t="str">
        <f t="shared" si="192"/>
        <v xml:space="preserve">N9217B  </v>
      </c>
      <c r="BC362">
        <v>1</v>
      </c>
      <c r="BE362">
        <v>0</v>
      </c>
      <c r="BF362">
        <v>0</v>
      </c>
      <c r="BG362">
        <v>0</v>
      </c>
      <c r="BH362">
        <v>8950</v>
      </c>
      <c r="BI362">
        <v>1</v>
      </c>
      <c r="BJ362">
        <v>0</v>
      </c>
      <c r="BK362">
        <v>0</v>
      </c>
      <c r="BL362">
        <v>0</v>
      </c>
      <c r="BO362">
        <v>0</v>
      </c>
      <c r="BP362">
        <v>0</v>
      </c>
      <c r="BW362" t="str">
        <f t="shared" si="214"/>
        <v>14:50:06.002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119</v>
      </c>
      <c r="CQ362">
        <v>285</v>
      </c>
      <c r="CR362">
        <v>0</v>
      </c>
      <c r="CW362">
        <v>8839814</v>
      </c>
      <c r="CY362">
        <v>0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25">
      <c r="A363" t="str">
        <f t="shared" ref="A363:A368" si="215">"06/05/2020 14:50:01.530"</f>
        <v>06/05/2020 14:50:01.530</v>
      </c>
      <c r="C363" t="str">
        <f t="shared" si="210"/>
        <v>FFDFD3C0</v>
      </c>
      <c r="D363" t="s">
        <v>148</v>
      </c>
      <c r="E363">
        <v>8</v>
      </c>
      <c r="H363">
        <v>50</v>
      </c>
      <c r="I363" t="s">
        <v>149</v>
      </c>
      <c r="J363" t="s">
        <v>150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ref="S363:S368" si="216">"14:50:07.164"</f>
        <v>14:50:07.164</v>
      </c>
      <c r="T363" t="str">
        <f t="shared" ref="T363:T368" si="217">"14:50:06.864"</f>
        <v>14:50:06.864</v>
      </c>
      <c r="U363" t="str">
        <f t="shared" si="191"/>
        <v>ACC530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1</v>
      </c>
      <c r="AH363">
        <v>0</v>
      </c>
      <c r="AI363" t="s">
        <v>275</v>
      </c>
      <c r="AJ363">
        <v>34.234686000000004</v>
      </c>
      <c r="AK363" t="s">
        <v>276</v>
      </c>
      <c r="AL363">
        <v>-116.89950899999999</v>
      </c>
      <c r="AM363">
        <v>100</v>
      </c>
      <c r="AN363">
        <v>8900</v>
      </c>
      <c r="AO363" t="s">
        <v>118</v>
      </c>
      <c r="AP363">
        <v>-72</v>
      </c>
      <c r="AQ363">
        <v>-41</v>
      </c>
      <c r="AR363">
        <v>256</v>
      </c>
      <c r="AZ363">
        <v>1200</v>
      </c>
      <c r="BA363">
        <v>1</v>
      </c>
      <c r="BB363" t="str">
        <f t="shared" si="192"/>
        <v xml:space="preserve">N9217B  </v>
      </c>
      <c r="BC363">
        <v>1</v>
      </c>
      <c r="BE363">
        <v>0</v>
      </c>
      <c r="BF363">
        <v>0</v>
      </c>
      <c r="BG363">
        <v>0</v>
      </c>
      <c r="BH363">
        <v>9075</v>
      </c>
      <c r="BI363">
        <v>1</v>
      </c>
      <c r="BJ363">
        <v>0</v>
      </c>
      <c r="BK363">
        <v>0</v>
      </c>
      <c r="BL363">
        <v>0</v>
      </c>
      <c r="BO363">
        <v>0</v>
      </c>
      <c r="BP363">
        <v>0</v>
      </c>
      <c r="BW363" t="str">
        <f t="shared" ref="BW363:BW368" si="218">"14:50:07.171"</f>
        <v>14:50:07.171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119</v>
      </c>
      <c r="CQ363">
        <v>285</v>
      </c>
      <c r="CR363">
        <v>0</v>
      </c>
      <c r="CW363">
        <v>8839919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25">
      <c r="A364" t="str">
        <f t="shared" si="215"/>
        <v>06/05/2020 14:50:01.530</v>
      </c>
      <c r="C364" t="str">
        <f t="shared" si="210"/>
        <v>FFDFD3C0</v>
      </c>
      <c r="D364" t="s">
        <v>134</v>
      </c>
      <c r="E364">
        <v>7</v>
      </c>
      <c r="F364">
        <v>2007</v>
      </c>
      <c r="G364" t="s">
        <v>135</v>
      </c>
      <c r="J364" t="s">
        <v>136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16"/>
        <v>14:50:07.164</v>
      </c>
      <c r="T364" t="str">
        <f t="shared" si="217"/>
        <v>14:50:06.864</v>
      </c>
      <c r="U364" t="str">
        <f t="shared" si="191"/>
        <v>ACC530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1</v>
      </c>
      <c r="AH364">
        <v>0</v>
      </c>
      <c r="AI364" t="s">
        <v>275</v>
      </c>
      <c r="AJ364">
        <v>34.234686000000004</v>
      </c>
      <c r="AK364" t="s">
        <v>276</v>
      </c>
      <c r="AL364">
        <v>-116.89950899999999</v>
      </c>
      <c r="AM364">
        <v>100</v>
      </c>
      <c r="AN364">
        <v>8900</v>
      </c>
      <c r="AO364" t="s">
        <v>118</v>
      </c>
      <c r="AP364">
        <v>-72</v>
      </c>
      <c r="AQ364">
        <v>-41</v>
      </c>
      <c r="AR364">
        <v>256</v>
      </c>
      <c r="AZ364">
        <v>1200</v>
      </c>
      <c r="BA364">
        <v>1</v>
      </c>
      <c r="BB364" t="str">
        <f t="shared" si="192"/>
        <v xml:space="preserve">N9217B  </v>
      </c>
      <c r="BC364">
        <v>1</v>
      </c>
      <c r="BE364">
        <v>0</v>
      </c>
      <c r="BF364">
        <v>0</v>
      </c>
      <c r="BG364">
        <v>0</v>
      </c>
      <c r="BH364">
        <v>9075</v>
      </c>
      <c r="BI364">
        <v>1</v>
      </c>
      <c r="BJ364">
        <v>0</v>
      </c>
      <c r="BK364">
        <v>0</v>
      </c>
      <c r="BL364">
        <v>0</v>
      </c>
      <c r="BO364">
        <v>0</v>
      </c>
      <c r="BP364">
        <v>0</v>
      </c>
      <c r="BW364" t="str">
        <f t="shared" si="218"/>
        <v>14:50:07.171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285</v>
      </c>
      <c r="CR364">
        <v>0</v>
      </c>
      <c r="CW364">
        <v>8839919</v>
      </c>
      <c r="CY364">
        <v>0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25">
      <c r="A365" t="str">
        <f t="shared" si="215"/>
        <v>06/05/2020 14:50:01.530</v>
      </c>
      <c r="C365" t="str">
        <f t="shared" si="210"/>
        <v>FFDFD3C0</v>
      </c>
      <c r="D365" t="s">
        <v>113</v>
      </c>
      <c r="E365">
        <v>3</v>
      </c>
      <c r="H365">
        <v>166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216"/>
        <v>14:50:07.164</v>
      </c>
      <c r="T365" t="str">
        <f t="shared" si="217"/>
        <v>14:50:06.864</v>
      </c>
      <c r="U365" t="str">
        <f t="shared" si="191"/>
        <v>ACC530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1</v>
      </c>
      <c r="AH365">
        <v>0</v>
      </c>
      <c r="AI365" t="s">
        <v>275</v>
      </c>
      <c r="AJ365">
        <v>34.234686000000004</v>
      </c>
      <c r="AK365" t="s">
        <v>276</v>
      </c>
      <c r="AL365">
        <v>-116.89950899999999</v>
      </c>
      <c r="AM365">
        <v>100</v>
      </c>
      <c r="AN365">
        <v>8900</v>
      </c>
      <c r="AO365" t="s">
        <v>118</v>
      </c>
      <c r="AP365">
        <v>-72</v>
      </c>
      <c r="AQ365">
        <v>-41</v>
      </c>
      <c r="AR365">
        <v>256</v>
      </c>
      <c r="AZ365">
        <v>1200</v>
      </c>
      <c r="BA365">
        <v>1</v>
      </c>
      <c r="BB365" t="str">
        <f t="shared" si="192"/>
        <v xml:space="preserve">N9217B  </v>
      </c>
      <c r="BC365">
        <v>1</v>
      </c>
      <c r="BE365">
        <v>0</v>
      </c>
      <c r="BF365">
        <v>0</v>
      </c>
      <c r="BG365">
        <v>0</v>
      </c>
      <c r="BH365">
        <v>9075</v>
      </c>
      <c r="BI365">
        <v>1</v>
      </c>
      <c r="BJ365">
        <v>0</v>
      </c>
      <c r="BK365">
        <v>0</v>
      </c>
      <c r="BL365">
        <v>0</v>
      </c>
      <c r="BO365">
        <v>0</v>
      </c>
      <c r="BP365">
        <v>0</v>
      </c>
      <c r="BW365" t="str">
        <f t="shared" si="218"/>
        <v>14:50:07.171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285</v>
      </c>
      <c r="CR365">
        <v>0</v>
      </c>
      <c r="CW365">
        <v>8839919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25">
      <c r="A366" t="str">
        <f t="shared" si="215"/>
        <v>06/05/2020 14:50:01.530</v>
      </c>
      <c r="C366" t="str">
        <f t="shared" si="210"/>
        <v>FFDFD3C0</v>
      </c>
      <c r="D366" t="s">
        <v>141</v>
      </c>
      <c r="E366">
        <v>20</v>
      </c>
      <c r="F366">
        <v>1020</v>
      </c>
      <c r="G366" t="s">
        <v>114</v>
      </c>
      <c r="J366" t="s">
        <v>142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16"/>
        <v>14:50:07.164</v>
      </c>
      <c r="T366" t="str">
        <f t="shared" si="217"/>
        <v>14:50:06.864</v>
      </c>
      <c r="U366" t="str">
        <f t="shared" si="191"/>
        <v>ACC530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1</v>
      </c>
      <c r="AH366">
        <v>0</v>
      </c>
      <c r="AI366" t="s">
        <v>275</v>
      </c>
      <c r="AJ366">
        <v>34.234686000000004</v>
      </c>
      <c r="AK366" t="s">
        <v>276</v>
      </c>
      <c r="AL366">
        <v>-116.89950899999999</v>
      </c>
      <c r="AM366">
        <v>100</v>
      </c>
      <c r="AN366">
        <v>8900</v>
      </c>
      <c r="AO366" t="s">
        <v>118</v>
      </c>
      <c r="AP366">
        <v>-72</v>
      </c>
      <c r="AQ366">
        <v>-41</v>
      </c>
      <c r="AR366">
        <v>256</v>
      </c>
      <c r="AZ366">
        <v>1200</v>
      </c>
      <c r="BA366">
        <v>1</v>
      </c>
      <c r="BB366" t="str">
        <f t="shared" si="192"/>
        <v xml:space="preserve">N9217B  </v>
      </c>
      <c r="BC366">
        <v>1</v>
      </c>
      <c r="BE366">
        <v>0</v>
      </c>
      <c r="BF366">
        <v>0</v>
      </c>
      <c r="BG366">
        <v>0</v>
      </c>
      <c r="BH366">
        <v>9075</v>
      </c>
      <c r="BI366">
        <v>1</v>
      </c>
      <c r="BJ366">
        <v>0</v>
      </c>
      <c r="BK366">
        <v>0</v>
      </c>
      <c r="BL366">
        <v>0</v>
      </c>
      <c r="BO366">
        <v>0</v>
      </c>
      <c r="BP366">
        <v>0</v>
      </c>
      <c r="BW366" t="str">
        <f t="shared" si="218"/>
        <v>14:50:07.171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285</v>
      </c>
      <c r="CR366">
        <v>0</v>
      </c>
      <c r="CW366">
        <v>8839919</v>
      </c>
      <c r="CY366">
        <v>0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25">
      <c r="A367" t="str">
        <f t="shared" si="215"/>
        <v>06/05/2020 14:50:01.530</v>
      </c>
      <c r="C367" t="str">
        <f t="shared" si="210"/>
        <v>FFDFD3C0</v>
      </c>
      <c r="D367" t="s">
        <v>143</v>
      </c>
      <c r="E367">
        <v>10</v>
      </c>
      <c r="F367">
        <v>3010</v>
      </c>
      <c r="G367" t="s">
        <v>144</v>
      </c>
      <c r="J367" t="s">
        <v>145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16"/>
        <v>14:50:07.164</v>
      </c>
      <c r="T367" t="str">
        <f t="shared" si="217"/>
        <v>14:50:06.864</v>
      </c>
      <c r="U367" t="str">
        <f t="shared" si="191"/>
        <v>ACC530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1</v>
      </c>
      <c r="AH367">
        <v>0</v>
      </c>
      <c r="AI367" t="s">
        <v>275</v>
      </c>
      <c r="AJ367">
        <v>34.234686000000004</v>
      </c>
      <c r="AK367" t="s">
        <v>276</v>
      </c>
      <c r="AL367">
        <v>-116.89950899999999</v>
      </c>
      <c r="AM367">
        <v>100</v>
      </c>
      <c r="AN367">
        <v>8900</v>
      </c>
      <c r="AO367" t="s">
        <v>118</v>
      </c>
      <c r="AP367">
        <v>-72</v>
      </c>
      <c r="AQ367">
        <v>-41</v>
      </c>
      <c r="AR367">
        <v>256</v>
      </c>
      <c r="AZ367">
        <v>1200</v>
      </c>
      <c r="BA367">
        <v>1</v>
      </c>
      <c r="BB367" t="str">
        <f t="shared" si="192"/>
        <v xml:space="preserve">N9217B  </v>
      </c>
      <c r="BC367">
        <v>1</v>
      </c>
      <c r="BE367">
        <v>0</v>
      </c>
      <c r="BF367">
        <v>0</v>
      </c>
      <c r="BG367">
        <v>0</v>
      </c>
      <c r="BH367">
        <v>9075</v>
      </c>
      <c r="BI367">
        <v>1</v>
      </c>
      <c r="BJ367">
        <v>0</v>
      </c>
      <c r="BK367">
        <v>0</v>
      </c>
      <c r="BL367">
        <v>0</v>
      </c>
      <c r="BO367">
        <v>0</v>
      </c>
      <c r="BP367">
        <v>0</v>
      </c>
      <c r="BW367" t="str">
        <f t="shared" si="218"/>
        <v>14:50:07.171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5</v>
      </c>
      <c r="CP367" t="s">
        <v>119</v>
      </c>
      <c r="CQ367">
        <v>293</v>
      </c>
      <c r="CR367">
        <v>1</v>
      </c>
      <c r="CW367">
        <v>15269519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25">
      <c r="A368" t="str">
        <f t="shared" si="215"/>
        <v>06/05/2020 14:50:01.530</v>
      </c>
      <c r="C368" t="str">
        <f t="shared" si="210"/>
        <v>FFDFD3C0</v>
      </c>
      <c r="D368" t="s">
        <v>151</v>
      </c>
      <c r="E368">
        <v>9</v>
      </c>
      <c r="H368">
        <v>226</v>
      </c>
      <c r="I368" t="s">
        <v>152</v>
      </c>
      <c r="J368" t="s">
        <v>150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216"/>
        <v>14:50:07.164</v>
      </c>
      <c r="T368" t="str">
        <f t="shared" si="217"/>
        <v>14:50:06.864</v>
      </c>
      <c r="U368" t="str">
        <f t="shared" si="191"/>
        <v>ACC530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1</v>
      </c>
      <c r="AH368">
        <v>0</v>
      </c>
      <c r="AI368" t="s">
        <v>275</v>
      </c>
      <c r="AJ368">
        <v>34.234686000000004</v>
      </c>
      <c r="AK368" t="s">
        <v>276</v>
      </c>
      <c r="AL368">
        <v>-116.89950899999999</v>
      </c>
      <c r="AM368">
        <v>100</v>
      </c>
      <c r="AN368">
        <v>8900</v>
      </c>
      <c r="AO368" t="s">
        <v>118</v>
      </c>
      <c r="AP368">
        <v>-72</v>
      </c>
      <c r="AQ368">
        <v>-41</v>
      </c>
      <c r="AR368">
        <v>256</v>
      </c>
      <c r="AZ368">
        <v>1200</v>
      </c>
      <c r="BA368">
        <v>1</v>
      </c>
      <c r="BB368" t="str">
        <f t="shared" si="192"/>
        <v xml:space="preserve">N9217B  </v>
      </c>
      <c r="BC368">
        <v>1</v>
      </c>
      <c r="BE368">
        <v>0</v>
      </c>
      <c r="BF368">
        <v>0</v>
      </c>
      <c r="BG368">
        <v>0</v>
      </c>
      <c r="BH368">
        <v>9075</v>
      </c>
      <c r="BI368">
        <v>1</v>
      </c>
      <c r="BJ368">
        <v>0</v>
      </c>
      <c r="BK368">
        <v>0</v>
      </c>
      <c r="BL368">
        <v>0</v>
      </c>
      <c r="BO368">
        <v>0</v>
      </c>
      <c r="BP368">
        <v>0</v>
      </c>
      <c r="BW368" t="str">
        <f t="shared" si="218"/>
        <v>14:50:07.171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6</v>
      </c>
      <c r="CP368" t="s">
        <v>119</v>
      </c>
      <c r="CQ368">
        <v>285</v>
      </c>
      <c r="CR368">
        <v>0</v>
      </c>
      <c r="CW368">
        <v>8839919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25">
      <c r="A369" t="str">
        <f t="shared" ref="A369:A374" si="219">"06/05/2020 14:50:02.680"</f>
        <v>06/05/2020 14:50:02.680</v>
      </c>
      <c r="C369" t="str">
        <f t="shared" si="210"/>
        <v>FFDFD3C0</v>
      </c>
      <c r="D369" t="s">
        <v>151</v>
      </c>
      <c r="E369">
        <v>9</v>
      </c>
      <c r="H369">
        <v>226</v>
      </c>
      <c r="I369" t="s">
        <v>152</v>
      </c>
      <c r="J369" t="s">
        <v>150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ref="S369:T374" si="220">"14:50:08.289"</f>
        <v>14:50:08.289</v>
      </c>
      <c r="T369" t="str">
        <f t="shared" si="220"/>
        <v>14:50:08.289</v>
      </c>
      <c r="U369" t="str">
        <f t="shared" si="191"/>
        <v>ACC530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1</v>
      </c>
      <c r="AH369">
        <v>0</v>
      </c>
      <c r="AI369" t="s">
        <v>277</v>
      </c>
      <c r="AJ369">
        <v>34.234470999999999</v>
      </c>
      <c r="AK369" t="s">
        <v>278</v>
      </c>
      <c r="AL369">
        <v>-116.89995999999999</v>
      </c>
      <c r="AM369">
        <v>100</v>
      </c>
      <c r="AN369">
        <v>8900</v>
      </c>
      <c r="AO369" t="s">
        <v>118</v>
      </c>
      <c r="AP369">
        <v>-73</v>
      </c>
      <c r="AQ369">
        <v>-41</v>
      </c>
      <c r="AR369">
        <v>128</v>
      </c>
      <c r="AZ369">
        <v>1200</v>
      </c>
      <c r="BA369">
        <v>1</v>
      </c>
      <c r="BB369" t="str">
        <f t="shared" si="192"/>
        <v xml:space="preserve">N9217B  </v>
      </c>
      <c r="BC369">
        <v>1</v>
      </c>
      <c r="BE369">
        <v>0</v>
      </c>
      <c r="BF369">
        <v>0</v>
      </c>
      <c r="BG369">
        <v>0</v>
      </c>
      <c r="BH369">
        <v>8975</v>
      </c>
      <c r="BI369">
        <v>1</v>
      </c>
      <c r="BJ369">
        <v>0</v>
      </c>
      <c r="BK369">
        <v>0</v>
      </c>
      <c r="BL369">
        <v>0</v>
      </c>
      <c r="BO369">
        <v>0</v>
      </c>
      <c r="BP369">
        <v>0</v>
      </c>
      <c r="BW369" t="str">
        <f t="shared" ref="BW369:BW374" si="221">"14:50:08.296"</f>
        <v>14:50:08.296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6</v>
      </c>
      <c r="CP369" t="s">
        <v>119</v>
      </c>
      <c r="CQ369">
        <v>285</v>
      </c>
      <c r="CR369">
        <v>0</v>
      </c>
      <c r="CW369">
        <v>8840018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25">
      <c r="A370" t="str">
        <f t="shared" si="219"/>
        <v>06/05/2020 14:50:02.680</v>
      </c>
      <c r="C370" t="str">
        <f t="shared" si="210"/>
        <v>FFDFD3C0</v>
      </c>
      <c r="D370" t="s">
        <v>148</v>
      </c>
      <c r="E370">
        <v>8</v>
      </c>
      <c r="H370">
        <v>50</v>
      </c>
      <c r="I370" t="s">
        <v>149</v>
      </c>
      <c r="J370" t="s">
        <v>150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220"/>
        <v>14:50:08.289</v>
      </c>
      <c r="T370" t="str">
        <f t="shared" si="220"/>
        <v>14:50:08.289</v>
      </c>
      <c r="U370" t="str">
        <f t="shared" si="191"/>
        <v>ACC530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1</v>
      </c>
      <c r="AH370">
        <v>0</v>
      </c>
      <c r="AI370" t="s">
        <v>277</v>
      </c>
      <c r="AJ370">
        <v>34.234470999999999</v>
      </c>
      <c r="AK370" t="s">
        <v>278</v>
      </c>
      <c r="AL370">
        <v>-116.89995999999999</v>
      </c>
      <c r="AM370">
        <v>100</v>
      </c>
      <c r="AN370">
        <v>8900</v>
      </c>
      <c r="AO370" t="s">
        <v>118</v>
      </c>
      <c r="AP370">
        <v>-73</v>
      </c>
      <c r="AQ370">
        <v>-41</v>
      </c>
      <c r="AR370">
        <v>128</v>
      </c>
      <c r="AZ370">
        <v>1200</v>
      </c>
      <c r="BA370">
        <v>1</v>
      </c>
      <c r="BB370" t="str">
        <f t="shared" si="192"/>
        <v xml:space="preserve">N9217B  </v>
      </c>
      <c r="BC370">
        <v>1</v>
      </c>
      <c r="BE370">
        <v>0</v>
      </c>
      <c r="BF370">
        <v>0</v>
      </c>
      <c r="BG370">
        <v>0</v>
      </c>
      <c r="BH370">
        <v>8975</v>
      </c>
      <c r="BI370">
        <v>1</v>
      </c>
      <c r="BJ370">
        <v>0</v>
      </c>
      <c r="BK370">
        <v>0</v>
      </c>
      <c r="BL370">
        <v>0</v>
      </c>
      <c r="BO370">
        <v>0</v>
      </c>
      <c r="BP370">
        <v>0</v>
      </c>
      <c r="BW370" t="str">
        <f t="shared" si="221"/>
        <v>14:50:08.296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6</v>
      </c>
      <c r="CP370" t="s">
        <v>119</v>
      </c>
      <c r="CQ370">
        <v>285</v>
      </c>
      <c r="CR370">
        <v>0</v>
      </c>
      <c r="CW370">
        <v>8840018</v>
      </c>
      <c r="CY370">
        <v>0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25">
      <c r="A371" t="str">
        <f t="shared" si="219"/>
        <v>06/05/2020 14:50:02.680</v>
      </c>
      <c r="C371" t="str">
        <f t="shared" si="210"/>
        <v>FFDFD3C0</v>
      </c>
      <c r="D371" t="s">
        <v>134</v>
      </c>
      <c r="E371">
        <v>7</v>
      </c>
      <c r="F371">
        <v>2007</v>
      </c>
      <c r="G371" t="s">
        <v>135</v>
      </c>
      <c r="J371" t="s">
        <v>136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20"/>
        <v>14:50:08.289</v>
      </c>
      <c r="T371" t="str">
        <f t="shared" si="220"/>
        <v>14:50:08.289</v>
      </c>
      <c r="U371" t="str">
        <f t="shared" si="191"/>
        <v>ACC530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1</v>
      </c>
      <c r="AH371">
        <v>0</v>
      </c>
      <c r="AI371" t="s">
        <v>277</v>
      </c>
      <c r="AJ371">
        <v>34.234470999999999</v>
      </c>
      <c r="AK371" t="s">
        <v>278</v>
      </c>
      <c r="AL371">
        <v>-116.89995999999999</v>
      </c>
      <c r="AM371">
        <v>100</v>
      </c>
      <c r="AN371">
        <v>8900</v>
      </c>
      <c r="AO371" t="s">
        <v>118</v>
      </c>
      <c r="AP371">
        <v>-73</v>
      </c>
      <c r="AQ371">
        <v>-41</v>
      </c>
      <c r="AR371">
        <v>128</v>
      </c>
      <c r="AZ371">
        <v>1200</v>
      </c>
      <c r="BA371">
        <v>1</v>
      </c>
      <c r="BB371" t="str">
        <f t="shared" si="192"/>
        <v xml:space="preserve">N9217B  </v>
      </c>
      <c r="BC371">
        <v>1</v>
      </c>
      <c r="BE371">
        <v>0</v>
      </c>
      <c r="BF371">
        <v>0</v>
      </c>
      <c r="BG371">
        <v>0</v>
      </c>
      <c r="BH371">
        <v>8975</v>
      </c>
      <c r="BI371">
        <v>1</v>
      </c>
      <c r="BJ371">
        <v>0</v>
      </c>
      <c r="BK371">
        <v>0</v>
      </c>
      <c r="BL371">
        <v>0</v>
      </c>
      <c r="BO371">
        <v>0</v>
      </c>
      <c r="BP371">
        <v>0</v>
      </c>
      <c r="BW371" t="str">
        <f t="shared" si="221"/>
        <v>14:50:08.296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285</v>
      </c>
      <c r="CR371">
        <v>0</v>
      </c>
      <c r="CW371">
        <v>8840018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25">
      <c r="A372" t="str">
        <f t="shared" si="219"/>
        <v>06/05/2020 14:50:02.680</v>
      </c>
      <c r="C372" t="str">
        <f t="shared" si="210"/>
        <v>FFDFD3C0</v>
      </c>
      <c r="D372" t="s">
        <v>113</v>
      </c>
      <c r="E372">
        <v>3</v>
      </c>
      <c r="H372">
        <v>166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20"/>
        <v>14:50:08.289</v>
      </c>
      <c r="T372" t="str">
        <f t="shared" si="220"/>
        <v>14:50:08.289</v>
      </c>
      <c r="U372" t="str">
        <f t="shared" si="191"/>
        <v>ACC530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1</v>
      </c>
      <c r="AH372">
        <v>0</v>
      </c>
      <c r="AI372" t="s">
        <v>277</v>
      </c>
      <c r="AJ372">
        <v>34.234470999999999</v>
      </c>
      <c r="AK372" t="s">
        <v>278</v>
      </c>
      <c r="AL372">
        <v>-116.89995999999999</v>
      </c>
      <c r="AM372">
        <v>100</v>
      </c>
      <c r="AN372">
        <v>8900</v>
      </c>
      <c r="AO372" t="s">
        <v>118</v>
      </c>
      <c r="AP372">
        <v>-73</v>
      </c>
      <c r="AQ372">
        <v>-41</v>
      </c>
      <c r="AR372">
        <v>128</v>
      </c>
      <c r="AZ372">
        <v>1200</v>
      </c>
      <c r="BA372">
        <v>1</v>
      </c>
      <c r="BB372" t="str">
        <f t="shared" si="192"/>
        <v xml:space="preserve">N9217B  </v>
      </c>
      <c r="BC372">
        <v>1</v>
      </c>
      <c r="BE372">
        <v>0</v>
      </c>
      <c r="BF372">
        <v>0</v>
      </c>
      <c r="BG372">
        <v>0</v>
      </c>
      <c r="BH372">
        <v>8975</v>
      </c>
      <c r="BI372">
        <v>1</v>
      </c>
      <c r="BJ372">
        <v>0</v>
      </c>
      <c r="BK372">
        <v>0</v>
      </c>
      <c r="BL372">
        <v>0</v>
      </c>
      <c r="BO372">
        <v>0</v>
      </c>
      <c r="BP372">
        <v>0</v>
      </c>
      <c r="BW372" t="str">
        <f t="shared" si="221"/>
        <v>14:50:08.296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285</v>
      </c>
      <c r="CR372">
        <v>0</v>
      </c>
      <c r="CW372">
        <v>8840018</v>
      </c>
      <c r="CY372">
        <v>0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25">
      <c r="A373" t="str">
        <f t="shared" si="219"/>
        <v>06/05/2020 14:50:02.680</v>
      </c>
      <c r="C373" t="str">
        <f t="shared" si="210"/>
        <v>FFDFD3C0</v>
      </c>
      <c r="D373" t="s">
        <v>143</v>
      </c>
      <c r="E373">
        <v>10</v>
      </c>
      <c r="F373">
        <v>3010</v>
      </c>
      <c r="G373" t="s">
        <v>144</v>
      </c>
      <c r="J373" t="s">
        <v>145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220"/>
        <v>14:50:08.289</v>
      </c>
      <c r="T373" t="str">
        <f t="shared" si="220"/>
        <v>14:50:08.289</v>
      </c>
      <c r="U373" t="str">
        <f t="shared" si="191"/>
        <v>ACC530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1</v>
      </c>
      <c r="AH373">
        <v>0</v>
      </c>
      <c r="AI373" t="s">
        <v>277</v>
      </c>
      <c r="AJ373">
        <v>34.234470999999999</v>
      </c>
      <c r="AK373" t="s">
        <v>278</v>
      </c>
      <c r="AL373">
        <v>-116.89995999999999</v>
      </c>
      <c r="AM373">
        <v>100</v>
      </c>
      <c r="AN373">
        <v>8900</v>
      </c>
      <c r="AO373" t="s">
        <v>118</v>
      </c>
      <c r="AP373">
        <v>-73</v>
      </c>
      <c r="AQ373">
        <v>-41</v>
      </c>
      <c r="AR373">
        <v>128</v>
      </c>
      <c r="AZ373">
        <v>1200</v>
      </c>
      <c r="BA373">
        <v>1</v>
      </c>
      <c r="BB373" t="str">
        <f t="shared" si="192"/>
        <v xml:space="preserve">N9217B  </v>
      </c>
      <c r="BC373">
        <v>1</v>
      </c>
      <c r="BE373">
        <v>0</v>
      </c>
      <c r="BF373">
        <v>0</v>
      </c>
      <c r="BG373">
        <v>0</v>
      </c>
      <c r="BH373">
        <v>8975</v>
      </c>
      <c r="BI373">
        <v>1</v>
      </c>
      <c r="BJ373">
        <v>0</v>
      </c>
      <c r="BK373">
        <v>0</v>
      </c>
      <c r="BL373">
        <v>0</v>
      </c>
      <c r="BO373">
        <v>0</v>
      </c>
      <c r="BP373">
        <v>0</v>
      </c>
      <c r="BW373" t="str">
        <f t="shared" si="221"/>
        <v>14:50:08.296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5</v>
      </c>
      <c r="CP373" t="s">
        <v>119</v>
      </c>
      <c r="CQ373">
        <v>293</v>
      </c>
      <c r="CR373">
        <v>1</v>
      </c>
      <c r="CW373">
        <v>15269659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25">
      <c r="A374" t="str">
        <f t="shared" si="219"/>
        <v>06/05/2020 14:50:02.680</v>
      </c>
      <c r="C374" t="str">
        <f t="shared" si="210"/>
        <v>FFDFD3C0</v>
      </c>
      <c r="D374" t="s">
        <v>141</v>
      </c>
      <c r="E374">
        <v>20</v>
      </c>
      <c r="F374">
        <v>1020</v>
      </c>
      <c r="G374" t="s">
        <v>114</v>
      </c>
      <c r="J374" t="s">
        <v>142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220"/>
        <v>14:50:08.289</v>
      </c>
      <c r="T374" t="str">
        <f t="shared" si="220"/>
        <v>14:50:08.289</v>
      </c>
      <c r="U374" t="str">
        <f t="shared" si="191"/>
        <v>ACC530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1</v>
      </c>
      <c r="AH374">
        <v>0</v>
      </c>
      <c r="AI374" t="s">
        <v>277</v>
      </c>
      <c r="AJ374">
        <v>34.234470999999999</v>
      </c>
      <c r="AK374" t="s">
        <v>278</v>
      </c>
      <c r="AL374">
        <v>-116.89995999999999</v>
      </c>
      <c r="AM374">
        <v>100</v>
      </c>
      <c r="AN374">
        <v>8900</v>
      </c>
      <c r="AO374" t="s">
        <v>118</v>
      </c>
      <c r="AP374">
        <v>-73</v>
      </c>
      <c r="AQ374">
        <v>-41</v>
      </c>
      <c r="AR374">
        <v>128</v>
      </c>
      <c r="AZ374">
        <v>1200</v>
      </c>
      <c r="BA374">
        <v>1</v>
      </c>
      <c r="BB374" t="str">
        <f t="shared" si="192"/>
        <v xml:space="preserve">N9217B  </v>
      </c>
      <c r="BC374">
        <v>1</v>
      </c>
      <c r="BE374">
        <v>0</v>
      </c>
      <c r="BF374">
        <v>0</v>
      </c>
      <c r="BG374">
        <v>0</v>
      </c>
      <c r="BH374">
        <v>8975</v>
      </c>
      <c r="BI374">
        <v>1</v>
      </c>
      <c r="BJ374">
        <v>0</v>
      </c>
      <c r="BK374">
        <v>0</v>
      </c>
      <c r="BL374">
        <v>0</v>
      </c>
      <c r="BO374">
        <v>0</v>
      </c>
      <c r="BP374">
        <v>0</v>
      </c>
      <c r="BW374" t="str">
        <f t="shared" si="221"/>
        <v>14:50:08.296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285</v>
      </c>
      <c r="CR374">
        <v>0</v>
      </c>
      <c r="CW374">
        <v>8840018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25">
      <c r="A375" t="str">
        <f t="shared" ref="A375:A380" si="222">"06/05/2020 14:50:03.715"</f>
        <v>06/05/2020 14:50:03.715</v>
      </c>
      <c r="C375" t="str">
        <f t="shared" si="210"/>
        <v>FFDFD3C0</v>
      </c>
      <c r="D375" t="s">
        <v>134</v>
      </c>
      <c r="E375">
        <v>7</v>
      </c>
      <c r="F375">
        <v>2007</v>
      </c>
      <c r="G375" t="s">
        <v>135</v>
      </c>
      <c r="J375" t="s">
        <v>136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ref="S375:T380" si="223">"14:50:09.375"</f>
        <v>14:50:09.375</v>
      </c>
      <c r="T375" t="str">
        <f t="shared" si="223"/>
        <v>14:50:09.375</v>
      </c>
      <c r="U375" t="str">
        <f t="shared" si="191"/>
        <v>ACC530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1</v>
      </c>
      <c r="AH375">
        <v>0</v>
      </c>
      <c r="AI375" t="s">
        <v>279</v>
      </c>
      <c r="AJ375">
        <v>34.234234999999998</v>
      </c>
      <c r="AK375" t="s">
        <v>280</v>
      </c>
      <c r="AL375">
        <v>-116.900432</v>
      </c>
      <c r="AM375">
        <v>100</v>
      </c>
      <c r="AN375">
        <v>8900</v>
      </c>
      <c r="AO375" t="s">
        <v>118</v>
      </c>
      <c r="AP375">
        <v>-74</v>
      </c>
      <c r="AQ375">
        <v>-41</v>
      </c>
      <c r="AR375">
        <v>192</v>
      </c>
      <c r="AZ375">
        <v>1200</v>
      </c>
      <c r="BA375">
        <v>1</v>
      </c>
      <c r="BB375" t="str">
        <f t="shared" si="192"/>
        <v xml:space="preserve">N9217B  </v>
      </c>
      <c r="BC375">
        <v>1</v>
      </c>
      <c r="BE375">
        <v>0</v>
      </c>
      <c r="BF375">
        <v>0</v>
      </c>
      <c r="BG375">
        <v>0</v>
      </c>
      <c r="BH375">
        <v>9075</v>
      </c>
      <c r="BI375">
        <v>1</v>
      </c>
      <c r="BJ375">
        <v>0</v>
      </c>
      <c r="BK375">
        <v>0</v>
      </c>
      <c r="BL375">
        <v>0</v>
      </c>
      <c r="BO375">
        <v>0</v>
      </c>
      <c r="BP375">
        <v>0</v>
      </c>
      <c r="BW375" t="str">
        <f t="shared" ref="BW375:BW380" si="224">"14:50:09.376"</f>
        <v>14:50:09.376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285</v>
      </c>
      <c r="CR375">
        <v>0</v>
      </c>
      <c r="CW375">
        <v>8840120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25">
      <c r="A376" t="str">
        <f t="shared" si="222"/>
        <v>06/05/2020 14:50:03.715</v>
      </c>
      <c r="C376" t="str">
        <f t="shared" si="210"/>
        <v>FFDFD3C0</v>
      </c>
      <c r="D376" t="s">
        <v>143</v>
      </c>
      <c r="E376">
        <v>10</v>
      </c>
      <c r="F376">
        <v>3010</v>
      </c>
      <c r="G376" t="s">
        <v>144</v>
      </c>
      <c r="J376" t="s">
        <v>145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223"/>
        <v>14:50:09.375</v>
      </c>
      <c r="T376" t="str">
        <f t="shared" si="223"/>
        <v>14:50:09.375</v>
      </c>
      <c r="U376" t="str">
        <f t="shared" si="191"/>
        <v>ACC530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1</v>
      </c>
      <c r="AH376">
        <v>0</v>
      </c>
      <c r="AI376" t="s">
        <v>279</v>
      </c>
      <c r="AJ376">
        <v>34.234234999999998</v>
      </c>
      <c r="AK376" t="s">
        <v>280</v>
      </c>
      <c r="AL376">
        <v>-116.900432</v>
      </c>
      <c r="AM376">
        <v>100</v>
      </c>
      <c r="AN376">
        <v>8900</v>
      </c>
      <c r="AO376" t="s">
        <v>118</v>
      </c>
      <c r="AP376">
        <v>-74</v>
      </c>
      <c r="AQ376">
        <v>-41</v>
      </c>
      <c r="AR376">
        <v>192</v>
      </c>
      <c r="AZ376">
        <v>1200</v>
      </c>
      <c r="BA376">
        <v>1</v>
      </c>
      <c r="BB376" t="str">
        <f t="shared" si="192"/>
        <v xml:space="preserve">N9217B  </v>
      </c>
      <c r="BC376">
        <v>1</v>
      </c>
      <c r="BE376">
        <v>0</v>
      </c>
      <c r="BF376">
        <v>0</v>
      </c>
      <c r="BG376">
        <v>0</v>
      </c>
      <c r="BH376">
        <v>9075</v>
      </c>
      <c r="BI376">
        <v>1</v>
      </c>
      <c r="BJ376">
        <v>0</v>
      </c>
      <c r="BK376">
        <v>0</v>
      </c>
      <c r="BL376">
        <v>0</v>
      </c>
      <c r="BO376">
        <v>0</v>
      </c>
      <c r="BP376">
        <v>0</v>
      </c>
      <c r="BW376" t="str">
        <f t="shared" si="224"/>
        <v>14:50:09.376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5</v>
      </c>
      <c r="CP376" t="s">
        <v>119</v>
      </c>
      <c r="CQ376">
        <v>293</v>
      </c>
      <c r="CR376">
        <v>1</v>
      </c>
      <c r="CW376">
        <v>15269791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25">
      <c r="A377" t="str">
        <f t="shared" si="222"/>
        <v>06/05/2020 14:50:03.715</v>
      </c>
      <c r="C377" t="str">
        <f t="shared" si="210"/>
        <v>FFDFD3C0</v>
      </c>
      <c r="D377" t="s">
        <v>113</v>
      </c>
      <c r="E377">
        <v>3</v>
      </c>
      <c r="H377">
        <v>166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23"/>
        <v>14:50:09.375</v>
      </c>
      <c r="T377" t="str">
        <f t="shared" si="223"/>
        <v>14:50:09.375</v>
      </c>
      <c r="U377" t="str">
        <f t="shared" si="191"/>
        <v>ACC530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1</v>
      </c>
      <c r="AH377">
        <v>0</v>
      </c>
      <c r="AI377" t="s">
        <v>279</v>
      </c>
      <c r="AJ377">
        <v>34.234234999999998</v>
      </c>
      <c r="AK377" t="s">
        <v>280</v>
      </c>
      <c r="AL377">
        <v>-116.900432</v>
      </c>
      <c r="AM377">
        <v>100</v>
      </c>
      <c r="AN377">
        <v>8900</v>
      </c>
      <c r="AO377" t="s">
        <v>118</v>
      </c>
      <c r="AP377">
        <v>-74</v>
      </c>
      <c r="AQ377">
        <v>-41</v>
      </c>
      <c r="AR377">
        <v>192</v>
      </c>
      <c r="AZ377">
        <v>1200</v>
      </c>
      <c r="BA377">
        <v>1</v>
      </c>
      <c r="BB377" t="str">
        <f t="shared" si="192"/>
        <v xml:space="preserve">N9217B  </v>
      </c>
      <c r="BC377">
        <v>1</v>
      </c>
      <c r="BE377">
        <v>0</v>
      </c>
      <c r="BF377">
        <v>0</v>
      </c>
      <c r="BG377">
        <v>0</v>
      </c>
      <c r="BH377">
        <v>9075</v>
      </c>
      <c r="BI377">
        <v>1</v>
      </c>
      <c r="BJ377">
        <v>0</v>
      </c>
      <c r="BK377">
        <v>0</v>
      </c>
      <c r="BL377">
        <v>0</v>
      </c>
      <c r="BO377">
        <v>0</v>
      </c>
      <c r="BP377">
        <v>0</v>
      </c>
      <c r="BW377" t="str">
        <f t="shared" si="224"/>
        <v>14:50:09.376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285</v>
      </c>
      <c r="CR377">
        <v>0</v>
      </c>
      <c r="CW377">
        <v>8840120</v>
      </c>
      <c r="CY377">
        <v>0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25">
      <c r="A378" t="str">
        <f t="shared" si="222"/>
        <v>06/05/2020 14:50:03.715</v>
      </c>
      <c r="C378" t="str">
        <f t="shared" si="210"/>
        <v>FFDFD3C0</v>
      </c>
      <c r="D378" t="s">
        <v>141</v>
      </c>
      <c r="E378">
        <v>20</v>
      </c>
      <c r="F378">
        <v>1020</v>
      </c>
      <c r="G378" t="s">
        <v>114</v>
      </c>
      <c r="J378" t="s">
        <v>142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23"/>
        <v>14:50:09.375</v>
      </c>
      <c r="T378" t="str">
        <f t="shared" si="223"/>
        <v>14:50:09.375</v>
      </c>
      <c r="U378" t="str">
        <f t="shared" si="191"/>
        <v>ACC530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1</v>
      </c>
      <c r="AH378">
        <v>0</v>
      </c>
      <c r="AI378" t="s">
        <v>279</v>
      </c>
      <c r="AJ378">
        <v>34.234234999999998</v>
      </c>
      <c r="AK378" t="s">
        <v>280</v>
      </c>
      <c r="AL378">
        <v>-116.900432</v>
      </c>
      <c r="AM378">
        <v>100</v>
      </c>
      <c r="AN378">
        <v>8900</v>
      </c>
      <c r="AO378" t="s">
        <v>118</v>
      </c>
      <c r="AP378">
        <v>-74</v>
      </c>
      <c r="AQ378">
        <v>-41</v>
      </c>
      <c r="AR378">
        <v>192</v>
      </c>
      <c r="AZ378">
        <v>1200</v>
      </c>
      <c r="BA378">
        <v>1</v>
      </c>
      <c r="BB378" t="str">
        <f t="shared" si="192"/>
        <v xml:space="preserve">N9217B  </v>
      </c>
      <c r="BC378">
        <v>1</v>
      </c>
      <c r="BE378">
        <v>0</v>
      </c>
      <c r="BF378">
        <v>0</v>
      </c>
      <c r="BG378">
        <v>0</v>
      </c>
      <c r="BH378">
        <v>9075</v>
      </c>
      <c r="BI378">
        <v>1</v>
      </c>
      <c r="BJ378">
        <v>0</v>
      </c>
      <c r="BK378">
        <v>0</v>
      </c>
      <c r="BL378">
        <v>0</v>
      </c>
      <c r="BO378">
        <v>0</v>
      </c>
      <c r="BP378">
        <v>0</v>
      </c>
      <c r="BW378" t="str">
        <f t="shared" si="224"/>
        <v>14:50:09.376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285</v>
      </c>
      <c r="CR378">
        <v>0</v>
      </c>
      <c r="CW378">
        <v>8840120</v>
      </c>
      <c r="CY378">
        <v>0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25">
      <c r="A379" t="str">
        <f t="shared" si="222"/>
        <v>06/05/2020 14:50:03.715</v>
      </c>
      <c r="C379" t="str">
        <f t="shared" si="210"/>
        <v>FFDFD3C0</v>
      </c>
      <c r="D379" t="s">
        <v>151</v>
      </c>
      <c r="E379">
        <v>9</v>
      </c>
      <c r="H379">
        <v>226</v>
      </c>
      <c r="I379" t="s">
        <v>152</v>
      </c>
      <c r="J379" t="s">
        <v>150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23"/>
        <v>14:50:09.375</v>
      </c>
      <c r="T379" t="str">
        <f t="shared" si="223"/>
        <v>14:50:09.375</v>
      </c>
      <c r="U379" t="str">
        <f t="shared" si="191"/>
        <v>ACC530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1</v>
      </c>
      <c r="AH379">
        <v>0</v>
      </c>
      <c r="AI379" t="s">
        <v>279</v>
      </c>
      <c r="AJ379">
        <v>34.234234999999998</v>
      </c>
      <c r="AK379" t="s">
        <v>280</v>
      </c>
      <c r="AL379">
        <v>-116.900432</v>
      </c>
      <c r="AM379">
        <v>100</v>
      </c>
      <c r="AN379">
        <v>8900</v>
      </c>
      <c r="AO379" t="s">
        <v>118</v>
      </c>
      <c r="AP379">
        <v>-74</v>
      </c>
      <c r="AQ379">
        <v>-41</v>
      </c>
      <c r="AR379">
        <v>192</v>
      </c>
      <c r="AZ379">
        <v>1200</v>
      </c>
      <c r="BA379">
        <v>1</v>
      </c>
      <c r="BB379" t="str">
        <f t="shared" si="192"/>
        <v xml:space="preserve">N9217B  </v>
      </c>
      <c r="BC379">
        <v>1</v>
      </c>
      <c r="BE379">
        <v>0</v>
      </c>
      <c r="BF379">
        <v>0</v>
      </c>
      <c r="BG379">
        <v>0</v>
      </c>
      <c r="BH379">
        <v>9075</v>
      </c>
      <c r="BI379">
        <v>1</v>
      </c>
      <c r="BJ379">
        <v>0</v>
      </c>
      <c r="BK379">
        <v>0</v>
      </c>
      <c r="BL379">
        <v>0</v>
      </c>
      <c r="BO379">
        <v>0</v>
      </c>
      <c r="BP379">
        <v>0</v>
      </c>
      <c r="BW379" t="str">
        <f t="shared" si="224"/>
        <v>14:50:09.376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285</v>
      </c>
      <c r="CR379">
        <v>0</v>
      </c>
      <c r="CW379">
        <v>8840120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25">
      <c r="A380" t="str">
        <f t="shared" si="222"/>
        <v>06/05/2020 14:50:03.715</v>
      </c>
      <c r="C380" t="str">
        <f t="shared" si="210"/>
        <v>FFDFD3C0</v>
      </c>
      <c r="D380" t="s">
        <v>148</v>
      </c>
      <c r="E380">
        <v>8</v>
      </c>
      <c r="H380">
        <v>50</v>
      </c>
      <c r="I380" t="s">
        <v>149</v>
      </c>
      <c r="J380" t="s">
        <v>150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223"/>
        <v>14:50:09.375</v>
      </c>
      <c r="T380" t="str">
        <f t="shared" si="223"/>
        <v>14:50:09.375</v>
      </c>
      <c r="U380" t="str">
        <f t="shared" si="191"/>
        <v>ACC530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1</v>
      </c>
      <c r="AH380">
        <v>0</v>
      </c>
      <c r="AI380" t="s">
        <v>279</v>
      </c>
      <c r="AJ380">
        <v>34.234234999999998</v>
      </c>
      <c r="AK380" t="s">
        <v>280</v>
      </c>
      <c r="AL380">
        <v>-116.900432</v>
      </c>
      <c r="AM380">
        <v>100</v>
      </c>
      <c r="AN380">
        <v>8900</v>
      </c>
      <c r="AO380" t="s">
        <v>118</v>
      </c>
      <c r="AP380">
        <v>-74</v>
      </c>
      <c r="AQ380">
        <v>-41</v>
      </c>
      <c r="AR380">
        <v>192</v>
      </c>
      <c r="AZ380">
        <v>1200</v>
      </c>
      <c r="BA380">
        <v>1</v>
      </c>
      <c r="BB380" t="str">
        <f t="shared" si="192"/>
        <v xml:space="preserve">N9217B  </v>
      </c>
      <c r="BC380">
        <v>1</v>
      </c>
      <c r="BE380">
        <v>0</v>
      </c>
      <c r="BF380">
        <v>0</v>
      </c>
      <c r="BG380">
        <v>0</v>
      </c>
      <c r="BH380">
        <v>9075</v>
      </c>
      <c r="BI380">
        <v>1</v>
      </c>
      <c r="BJ380">
        <v>0</v>
      </c>
      <c r="BK380">
        <v>0</v>
      </c>
      <c r="BL380">
        <v>0</v>
      </c>
      <c r="BO380">
        <v>0</v>
      </c>
      <c r="BP380">
        <v>0</v>
      </c>
      <c r="BW380" t="str">
        <f t="shared" si="224"/>
        <v>14:50:09.376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6</v>
      </c>
      <c r="CP380" t="s">
        <v>119</v>
      </c>
      <c r="CQ380">
        <v>285</v>
      </c>
      <c r="CR380">
        <v>0</v>
      </c>
      <c r="CW380">
        <v>8840120</v>
      </c>
      <c r="CY380">
        <v>0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25">
      <c r="A381" t="str">
        <f t="shared" ref="A381:A386" si="225">"06/05/2020 14:50:04.667"</f>
        <v>06/05/2020 14:50:04.667</v>
      </c>
      <c r="C381" t="str">
        <f t="shared" si="210"/>
        <v>FFDFD3C0</v>
      </c>
      <c r="D381" t="s">
        <v>148</v>
      </c>
      <c r="E381">
        <v>8</v>
      </c>
      <c r="H381">
        <v>50</v>
      </c>
      <c r="I381" t="s">
        <v>149</v>
      </c>
      <c r="J381" t="s">
        <v>150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ref="S381:T386" si="226">"14:50:10.305"</f>
        <v>14:50:10.305</v>
      </c>
      <c r="T381" t="str">
        <f t="shared" si="226"/>
        <v>14:50:10.305</v>
      </c>
      <c r="U381" t="str">
        <f t="shared" si="191"/>
        <v>ACC530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1</v>
      </c>
      <c r="AH381">
        <v>0</v>
      </c>
      <c r="AI381" t="s">
        <v>281</v>
      </c>
      <c r="AJ381">
        <v>34.234107000000002</v>
      </c>
      <c r="AK381" t="s">
        <v>282</v>
      </c>
      <c r="AL381">
        <v>-116.900818</v>
      </c>
      <c r="AM381">
        <v>100</v>
      </c>
      <c r="AN381">
        <v>8900</v>
      </c>
      <c r="AO381" t="s">
        <v>118</v>
      </c>
      <c r="AP381">
        <v>-74</v>
      </c>
      <c r="AQ381">
        <v>-41</v>
      </c>
      <c r="AR381">
        <v>192</v>
      </c>
      <c r="AZ381">
        <v>1200</v>
      </c>
      <c r="BA381">
        <v>1</v>
      </c>
      <c r="BB381" t="str">
        <f t="shared" si="192"/>
        <v xml:space="preserve">N9217B  </v>
      </c>
      <c r="BC381">
        <v>1</v>
      </c>
      <c r="BE381">
        <v>0</v>
      </c>
      <c r="BF381">
        <v>0</v>
      </c>
      <c r="BG381">
        <v>0</v>
      </c>
      <c r="BH381">
        <v>8975</v>
      </c>
      <c r="BI381">
        <v>1</v>
      </c>
      <c r="BJ381">
        <v>0</v>
      </c>
      <c r="BK381">
        <v>0</v>
      </c>
      <c r="BL381">
        <v>0</v>
      </c>
      <c r="BO381">
        <v>0</v>
      </c>
      <c r="BP381">
        <v>0</v>
      </c>
      <c r="BW381" t="str">
        <f t="shared" ref="BW381:BW386" si="227">"14:50:10.306"</f>
        <v>14:50:10.306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285</v>
      </c>
      <c r="CR381">
        <v>0</v>
      </c>
      <c r="CW381">
        <v>8840206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25">
      <c r="A382" t="str">
        <f t="shared" si="225"/>
        <v>06/05/2020 14:50:04.667</v>
      </c>
      <c r="C382" t="str">
        <f t="shared" si="210"/>
        <v>FFDFD3C0</v>
      </c>
      <c r="D382" t="s">
        <v>143</v>
      </c>
      <c r="E382">
        <v>10</v>
      </c>
      <c r="F382">
        <v>3010</v>
      </c>
      <c r="G382" t="s">
        <v>144</v>
      </c>
      <c r="J382" t="s">
        <v>145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226"/>
        <v>14:50:10.305</v>
      </c>
      <c r="T382" t="str">
        <f t="shared" si="226"/>
        <v>14:50:10.305</v>
      </c>
      <c r="U382" t="str">
        <f t="shared" si="191"/>
        <v>ACC530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1</v>
      </c>
      <c r="AH382">
        <v>0</v>
      </c>
      <c r="AI382" t="s">
        <v>281</v>
      </c>
      <c r="AJ382">
        <v>34.234107000000002</v>
      </c>
      <c r="AK382" t="s">
        <v>282</v>
      </c>
      <c r="AL382">
        <v>-116.900818</v>
      </c>
      <c r="AM382">
        <v>100</v>
      </c>
      <c r="AN382">
        <v>8900</v>
      </c>
      <c r="AO382" t="s">
        <v>118</v>
      </c>
      <c r="AP382">
        <v>-74</v>
      </c>
      <c r="AQ382">
        <v>-41</v>
      </c>
      <c r="AR382">
        <v>192</v>
      </c>
      <c r="AZ382">
        <v>1200</v>
      </c>
      <c r="BA382">
        <v>1</v>
      </c>
      <c r="BB382" t="str">
        <f t="shared" si="192"/>
        <v xml:space="preserve">N9217B  </v>
      </c>
      <c r="BC382">
        <v>1</v>
      </c>
      <c r="BE382">
        <v>0</v>
      </c>
      <c r="BF382">
        <v>0</v>
      </c>
      <c r="BG382">
        <v>0</v>
      </c>
      <c r="BH382">
        <v>8975</v>
      </c>
      <c r="BI382">
        <v>1</v>
      </c>
      <c r="BJ382">
        <v>0</v>
      </c>
      <c r="BK382">
        <v>0</v>
      </c>
      <c r="BL382">
        <v>0</v>
      </c>
      <c r="BO382">
        <v>0</v>
      </c>
      <c r="BP382">
        <v>0</v>
      </c>
      <c r="BW382" t="str">
        <f t="shared" si="227"/>
        <v>14:50:10.306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5</v>
      </c>
      <c r="CP382" t="s">
        <v>119</v>
      </c>
      <c r="CQ382">
        <v>293</v>
      </c>
      <c r="CR382">
        <v>1</v>
      </c>
      <c r="CW382">
        <v>15269899</v>
      </c>
      <c r="CY382">
        <v>0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25">
      <c r="A383" t="str">
        <f t="shared" si="225"/>
        <v>06/05/2020 14:50:04.667</v>
      </c>
      <c r="C383" t="str">
        <f t="shared" si="210"/>
        <v>FFDFD3C0</v>
      </c>
      <c r="D383" t="s">
        <v>134</v>
      </c>
      <c r="E383">
        <v>7</v>
      </c>
      <c r="F383">
        <v>2007</v>
      </c>
      <c r="G383" t="s">
        <v>135</v>
      </c>
      <c r="J383" t="s">
        <v>136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226"/>
        <v>14:50:10.305</v>
      </c>
      <c r="T383" t="str">
        <f t="shared" si="226"/>
        <v>14:50:10.305</v>
      </c>
      <c r="U383" t="str">
        <f t="shared" si="191"/>
        <v>ACC530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1</v>
      </c>
      <c r="AH383">
        <v>0</v>
      </c>
      <c r="AI383" t="s">
        <v>281</v>
      </c>
      <c r="AJ383">
        <v>34.234107000000002</v>
      </c>
      <c r="AK383" t="s">
        <v>282</v>
      </c>
      <c r="AL383">
        <v>-116.900818</v>
      </c>
      <c r="AM383">
        <v>100</v>
      </c>
      <c r="AN383">
        <v>8900</v>
      </c>
      <c r="AO383" t="s">
        <v>118</v>
      </c>
      <c r="AP383">
        <v>-74</v>
      </c>
      <c r="AQ383">
        <v>-41</v>
      </c>
      <c r="AR383">
        <v>192</v>
      </c>
      <c r="AZ383">
        <v>1200</v>
      </c>
      <c r="BA383">
        <v>1</v>
      </c>
      <c r="BB383" t="str">
        <f t="shared" si="192"/>
        <v xml:space="preserve">N9217B  </v>
      </c>
      <c r="BC383">
        <v>1</v>
      </c>
      <c r="BE383">
        <v>0</v>
      </c>
      <c r="BF383">
        <v>0</v>
      </c>
      <c r="BG383">
        <v>0</v>
      </c>
      <c r="BH383">
        <v>8975</v>
      </c>
      <c r="BI383">
        <v>1</v>
      </c>
      <c r="BJ383">
        <v>0</v>
      </c>
      <c r="BK383">
        <v>0</v>
      </c>
      <c r="BL383">
        <v>0</v>
      </c>
      <c r="BO383">
        <v>0</v>
      </c>
      <c r="BP383">
        <v>0</v>
      </c>
      <c r="BW383" t="str">
        <f t="shared" si="227"/>
        <v>14:50:10.306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285</v>
      </c>
      <c r="CR383">
        <v>0</v>
      </c>
      <c r="CW383">
        <v>8840206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25">
      <c r="A384" t="str">
        <f t="shared" si="225"/>
        <v>06/05/2020 14:50:04.667</v>
      </c>
      <c r="C384" t="str">
        <f t="shared" si="210"/>
        <v>FFDFD3C0</v>
      </c>
      <c r="D384" t="s">
        <v>113</v>
      </c>
      <c r="E384">
        <v>3</v>
      </c>
      <c r="H384">
        <v>166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26"/>
        <v>14:50:10.305</v>
      </c>
      <c r="T384" t="str">
        <f t="shared" si="226"/>
        <v>14:50:10.305</v>
      </c>
      <c r="U384" t="str">
        <f t="shared" si="191"/>
        <v>ACC530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1</v>
      </c>
      <c r="AH384">
        <v>0</v>
      </c>
      <c r="AI384" t="s">
        <v>281</v>
      </c>
      <c r="AJ384">
        <v>34.234107000000002</v>
      </c>
      <c r="AK384" t="s">
        <v>282</v>
      </c>
      <c r="AL384">
        <v>-116.900818</v>
      </c>
      <c r="AM384">
        <v>100</v>
      </c>
      <c r="AN384">
        <v>8900</v>
      </c>
      <c r="AO384" t="s">
        <v>118</v>
      </c>
      <c r="AP384">
        <v>-74</v>
      </c>
      <c r="AQ384">
        <v>-41</v>
      </c>
      <c r="AR384">
        <v>192</v>
      </c>
      <c r="AZ384">
        <v>1200</v>
      </c>
      <c r="BA384">
        <v>1</v>
      </c>
      <c r="BB384" t="str">
        <f t="shared" si="192"/>
        <v xml:space="preserve">N9217B  </v>
      </c>
      <c r="BC384">
        <v>1</v>
      </c>
      <c r="BE384">
        <v>0</v>
      </c>
      <c r="BF384">
        <v>0</v>
      </c>
      <c r="BG384">
        <v>0</v>
      </c>
      <c r="BH384">
        <v>8975</v>
      </c>
      <c r="BI384">
        <v>1</v>
      </c>
      <c r="BJ384">
        <v>0</v>
      </c>
      <c r="BK384">
        <v>0</v>
      </c>
      <c r="BL384">
        <v>0</v>
      </c>
      <c r="BO384">
        <v>0</v>
      </c>
      <c r="BP384">
        <v>0</v>
      </c>
      <c r="BW384" t="str">
        <f t="shared" si="227"/>
        <v>14:50:10.306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285</v>
      </c>
      <c r="CR384">
        <v>0</v>
      </c>
      <c r="CW384">
        <v>8840206</v>
      </c>
      <c r="CY384">
        <v>0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25">
      <c r="A385" t="str">
        <f t="shared" si="225"/>
        <v>06/05/2020 14:50:04.667</v>
      </c>
      <c r="C385" t="str">
        <f t="shared" si="210"/>
        <v>FFDFD3C0</v>
      </c>
      <c r="D385" t="s">
        <v>141</v>
      </c>
      <c r="E385">
        <v>20</v>
      </c>
      <c r="F385">
        <v>1020</v>
      </c>
      <c r="G385" t="s">
        <v>114</v>
      </c>
      <c r="J385" t="s">
        <v>142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26"/>
        <v>14:50:10.305</v>
      </c>
      <c r="T385" t="str">
        <f t="shared" si="226"/>
        <v>14:50:10.305</v>
      </c>
      <c r="U385" t="str">
        <f t="shared" si="191"/>
        <v>ACC530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1</v>
      </c>
      <c r="AH385">
        <v>0</v>
      </c>
      <c r="AI385" t="s">
        <v>281</v>
      </c>
      <c r="AJ385">
        <v>34.234107000000002</v>
      </c>
      <c r="AK385" t="s">
        <v>282</v>
      </c>
      <c r="AL385">
        <v>-116.900818</v>
      </c>
      <c r="AM385">
        <v>100</v>
      </c>
      <c r="AN385">
        <v>8900</v>
      </c>
      <c r="AO385" t="s">
        <v>118</v>
      </c>
      <c r="AP385">
        <v>-74</v>
      </c>
      <c r="AQ385">
        <v>-41</v>
      </c>
      <c r="AR385">
        <v>192</v>
      </c>
      <c r="AZ385">
        <v>1200</v>
      </c>
      <c r="BA385">
        <v>1</v>
      </c>
      <c r="BB385" t="str">
        <f t="shared" si="192"/>
        <v xml:space="preserve">N9217B  </v>
      </c>
      <c r="BC385">
        <v>1</v>
      </c>
      <c r="BE385">
        <v>0</v>
      </c>
      <c r="BF385">
        <v>0</v>
      </c>
      <c r="BG385">
        <v>0</v>
      </c>
      <c r="BH385">
        <v>8975</v>
      </c>
      <c r="BI385">
        <v>1</v>
      </c>
      <c r="BJ385">
        <v>0</v>
      </c>
      <c r="BK385">
        <v>0</v>
      </c>
      <c r="BL385">
        <v>0</v>
      </c>
      <c r="BO385">
        <v>0</v>
      </c>
      <c r="BP385">
        <v>0</v>
      </c>
      <c r="BW385" t="str">
        <f t="shared" si="227"/>
        <v>14:50:10.306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285</v>
      </c>
      <c r="CR385">
        <v>0</v>
      </c>
      <c r="CW385">
        <v>8840206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25">
      <c r="A386" t="str">
        <f t="shared" si="225"/>
        <v>06/05/2020 14:50:04.667</v>
      </c>
      <c r="C386" t="str">
        <f t="shared" si="210"/>
        <v>FFDFD3C0</v>
      </c>
      <c r="D386" t="s">
        <v>151</v>
      </c>
      <c r="E386">
        <v>9</v>
      </c>
      <c r="H386">
        <v>226</v>
      </c>
      <c r="I386" t="s">
        <v>152</v>
      </c>
      <c r="J386" t="s">
        <v>150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226"/>
        <v>14:50:10.305</v>
      </c>
      <c r="T386" t="str">
        <f t="shared" si="226"/>
        <v>14:50:10.305</v>
      </c>
      <c r="U386" t="str">
        <f t="shared" ref="U386:U449" si="228">"ACC530"</f>
        <v>ACC530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1</v>
      </c>
      <c r="AH386">
        <v>0</v>
      </c>
      <c r="AI386" t="s">
        <v>281</v>
      </c>
      <c r="AJ386">
        <v>34.234107000000002</v>
      </c>
      <c r="AK386" t="s">
        <v>282</v>
      </c>
      <c r="AL386">
        <v>-116.900818</v>
      </c>
      <c r="AM386">
        <v>100</v>
      </c>
      <c r="AN386">
        <v>8900</v>
      </c>
      <c r="AO386" t="s">
        <v>118</v>
      </c>
      <c r="AP386">
        <v>-74</v>
      </c>
      <c r="AQ386">
        <v>-41</v>
      </c>
      <c r="AR386">
        <v>192</v>
      </c>
      <c r="AZ386">
        <v>1200</v>
      </c>
      <c r="BA386">
        <v>1</v>
      </c>
      <c r="BB386" t="str">
        <f t="shared" si="192"/>
        <v xml:space="preserve">N9217B  </v>
      </c>
      <c r="BC386">
        <v>1</v>
      </c>
      <c r="BE386">
        <v>0</v>
      </c>
      <c r="BF386">
        <v>0</v>
      </c>
      <c r="BG386">
        <v>0</v>
      </c>
      <c r="BH386">
        <v>8975</v>
      </c>
      <c r="BI386">
        <v>1</v>
      </c>
      <c r="BJ386">
        <v>0</v>
      </c>
      <c r="BK386">
        <v>0</v>
      </c>
      <c r="BL386">
        <v>0</v>
      </c>
      <c r="BO386">
        <v>0</v>
      </c>
      <c r="BP386">
        <v>0</v>
      </c>
      <c r="BW386" t="str">
        <f t="shared" si="227"/>
        <v>14:50:10.306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285</v>
      </c>
      <c r="CR386">
        <v>0</v>
      </c>
      <c r="CW386">
        <v>8840206</v>
      </c>
      <c r="CY386">
        <v>0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25">
      <c r="A387" t="str">
        <f t="shared" ref="A387:A392" si="229">"06/05/2020 14:50:05.662"</f>
        <v>06/05/2020 14:50:05.662</v>
      </c>
      <c r="C387" t="str">
        <f t="shared" si="210"/>
        <v>FFDFD3C0</v>
      </c>
      <c r="D387" t="s">
        <v>151</v>
      </c>
      <c r="E387">
        <v>9</v>
      </c>
      <c r="H387">
        <v>226</v>
      </c>
      <c r="I387" t="s">
        <v>152</v>
      </c>
      <c r="J387" t="s">
        <v>150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ref="S387:S392" si="230">"14:50:11.289"</f>
        <v>14:50:11.289</v>
      </c>
      <c r="T387" t="str">
        <f t="shared" ref="T387:T392" si="231">"14:50:10.889"</f>
        <v>14:50:10.889</v>
      </c>
      <c r="U387" t="str">
        <f t="shared" si="228"/>
        <v>ACC530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1</v>
      </c>
      <c r="AH387">
        <v>0</v>
      </c>
      <c r="AI387" t="s">
        <v>283</v>
      </c>
      <c r="AJ387">
        <v>34.233891999999997</v>
      </c>
      <c r="AK387" t="s">
        <v>284</v>
      </c>
      <c r="AL387">
        <v>-116.901205</v>
      </c>
      <c r="AM387">
        <v>100</v>
      </c>
      <c r="AN387">
        <v>8900</v>
      </c>
      <c r="AO387" t="s">
        <v>118</v>
      </c>
      <c r="AP387">
        <v>-75</v>
      </c>
      <c r="AQ387">
        <v>-41</v>
      </c>
      <c r="AR387">
        <v>192</v>
      </c>
      <c r="AZ387">
        <v>1200</v>
      </c>
      <c r="BA387">
        <v>1</v>
      </c>
      <c r="BB387" t="str">
        <f t="shared" si="192"/>
        <v xml:space="preserve">N9217B  </v>
      </c>
      <c r="BC387">
        <v>1</v>
      </c>
      <c r="BE387">
        <v>0</v>
      </c>
      <c r="BF387">
        <v>0</v>
      </c>
      <c r="BG387">
        <v>0</v>
      </c>
      <c r="BH387">
        <v>9075</v>
      </c>
      <c r="BI387">
        <v>1</v>
      </c>
      <c r="BJ387">
        <v>0</v>
      </c>
      <c r="BK387">
        <v>0</v>
      </c>
      <c r="BL387">
        <v>0</v>
      </c>
      <c r="BO387">
        <v>0</v>
      </c>
      <c r="BP387">
        <v>0</v>
      </c>
      <c r="BW387" t="str">
        <f t="shared" ref="BW387:BW392" si="232">"14:50:11.296"</f>
        <v>14:50:11.296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285</v>
      </c>
      <c r="CR387">
        <v>0</v>
      </c>
      <c r="CW387">
        <v>8840295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25">
      <c r="A388" t="str">
        <f t="shared" si="229"/>
        <v>06/05/2020 14:50:05.662</v>
      </c>
      <c r="C388" t="str">
        <f t="shared" si="210"/>
        <v>FFDFD3C0</v>
      </c>
      <c r="D388" t="s">
        <v>143</v>
      </c>
      <c r="E388">
        <v>10</v>
      </c>
      <c r="F388">
        <v>3010</v>
      </c>
      <c r="G388" t="s">
        <v>144</v>
      </c>
      <c r="J388" t="s">
        <v>145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230"/>
        <v>14:50:11.289</v>
      </c>
      <c r="T388" t="str">
        <f t="shared" si="231"/>
        <v>14:50:10.889</v>
      </c>
      <c r="U388" t="str">
        <f t="shared" si="228"/>
        <v>ACC530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1</v>
      </c>
      <c r="AH388">
        <v>0</v>
      </c>
      <c r="AI388" t="s">
        <v>283</v>
      </c>
      <c r="AJ388">
        <v>34.233891999999997</v>
      </c>
      <c r="AK388" t="s">
        <v>284</v>
      </c>
      <c r="AL388">
        <v>-116.901205</v>
      </c>
      <c r="AM388">
        <v>100</v>
      </c>
      <c r="AN388">
        <v>8900</v>
      </c>
      <c r="AO388" t="s">
        <v>118</v>
      </c>
      <c r="AP388">
        <v>-75</v>
      </c>
      <c r="AQ388">
        <v>-41</v>
      </c>
      <c r="AR388">
        <v>192</v>
      </c>
      <c r="AZ388">
        <v>1200</v>
      </c>
      <c r="BA388">
        <v>1</v>
      </c>
      <c r="BB388" t="str">
        <f t="shared" si="192"/>
        <v xml:space="preserve">N9217B  </v>
      </c>
      <c r="BC388">
        <v>1</v>
      </c>
      <c r="BE388">
        <v>0</v>
      </c>
      <c r="BF388">
        <v>0</v>
      </c>
      <c r="BG388">
        <v>0</v>
      </c>
      <c r="BH388">
        <v>9075</v>
      </c>
      <c r="BI388">
        <v>1</v>
      </c>
      <c r="BJ388">
        <v>0</v>
      </c>
      <c r="BK388">
        <v>0</v>
      </c>
      <c r="BL388">
        <v>0</v>
      </c>
      <c r="BO388">
        <v>0</v>
      </c>
      <c r="BP388">
        <v>0</v>
      </c>
      <c r="BW388" t="str">
        <f t="shared" si="232"/>
        <v>14:50:11.296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5</v>
      </c>
      <c r="CP388" t="s">
        <v>119</v>
      </c>
      <c r="CQ388">
        <v>293</v>
      </c>
      <c r="CR388">
        <v>1</v>
      </c>
      <c r="CW388">
        <v>15270017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25">
      <c r="A389" t="str">
        <f t="shared" si="229"/>
        <v>06/05/2020 14:50:05.662</v>
      </c>
      <c r="C389" t="str">
        <f t="shared" si="210"/>
        <v>FFDFD3C0</v>
      </c>
      <c r="D389" t="s">
        <v>148</v>
      </c>
      <c r="E389">
        <v>8</v>
      </c>
      <c r="H389">
        <v>50</v>
      </c>
      <c r="I389" t="s">
        <v>149</v>
      </c>
      <c r="J389" t="s">
        <v>150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30"/>
        <v>14:50:11.289</v>
      </c>
      <c r="T389" t="str">
        <f t="shared" si="231"/>
        <v>14:50:10.889</v>
      </c>
      <c r="U389" t="str">
        <f t="shared" si="228"/>
        <v>ACC530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1</v>
      </c>
      <c r="AH389">
        <v>0</v>
      </c>
      <c r="AI389" t="s">
        <v>283</v>
      </c>
      <c r="AJ389">
        <v>34.233891999999997</v>
      </c>
      <c r="AK389" t="s">
        <v>284</v>
      </c>
      <c r="AL389">
        <v>-116.901205</v>
      </c>
      <c r="AM389">
        <v>100</v>
      </c>
      <c r="AN389">
        <v>8900</v>
      </c>
      <c r="AO389" t="s">
        <v>118</v>
      </c>
      <c r="AP389">
        <v>-75</v>
      </c>
      <c r="AQ389">
        <v>-41</v>
      </c>
      <c r="AR389">
        <v>192</v>
      </c>
      <c r="AZ389">
        <v>1200</v>
      </c>
      <c r="BA389">
        <v>1</v>
      </c>
      <c r="BB389" t="str">
        <f t="shared" ref="BB389:BB452" si="233">"N9217B  "</f>
        <v xml:space="preserve">N9217B  </v>
      </c>
      <c r="BC389">
        <v>1</v>
      </c>
      <c r="BE389">
        <v>0</v>
      </c>
      <c r="BF389">
        <v>0</v>
      </c>
      <c r="BG389">
        <v>0</v>
      </c>
      <c r="BH389">
        <v>9075</v>
      </c>
      <c r="BI389">
        <v>1</v>
      </c>
      <c r="BJ389">
        <v>0</v>
      </c>
      <c r="BK389">
        <v>0</v>
      </c>
      <c r="BL389">
        <v>0</v>
      </c>
      <c r="BO389">
        <v>0</v>
      </c>
      <c r="BP389">
        <v>0</v>
      </c>
      <c r="BW389" t="str">
        <f t="shared" si="232"/>
        <v>14:50:11.296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285</v>
      </c>
      <c r="CR389">
        <v>0</v>
      </c>
      <c r="CW389">
        <v>8840295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25">
      <c r="A390" t="str">
        <f t="shared" si="229"/>
        <v>06/05/2020 14:50:05.662</v>
      </c>
      <c r="C390" t="str">
        <f t="shared" si="210"/>
        <v>FFDFD3C0</v>
      </c>
      <c r="D390" t="s">
        <v>134</v>
      </c>
      <c r="E390">
        <v>7</v>
      </c>
      <c r="F390">
        <v>2007</v>
      </c>
      <c r="G390" t="s">
        <v>135</v>
      </c>
      <c r="J390" t="s">
        <v>136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30"/>
        <v>14:50:11.289</v>
      </c>
      <c r="T390" t="str">
        <f t="shared" si="231"/>
        <v>14:50:10.889</v>
      </c>
      <c r="U390" t="str">
        <f t="shared" si="228"/>
        <v>ACC530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1</v>
      </c>
      <c r="AH390">
        <v>0</v>
      </c>
      <c r="AI390" t="s">
        <v>283</v>
      </c>
      <c r="AJ390">
        <v>34.233891999999997</v>
      </c>
      <c r="AK390" t="s">
        <v>284</v>
      </c>
      <c r="AL390">
        <v>-116.901205</v>
      </c>
      <c r="AM390">
        <v>100</v>
      </c>
      <c r="AN390">
        <v>8900</v>
      </c>
      <c r="AO390" t="s">
        <v>118</v>
      </c>
      <c r="AP390">
        <v>-75</v>
      </c>
      <c r="AQ390">
        <v>-41</v>
      </c>
      <c r="AR390">
        <v>192</v>
      </c>
      <c r="AZ390">
        <v>1200</v>
      </c>
      <c r="BA390">
        <v>1</v>
      </c>
      <c r="BB390" t="str">
        <f t="shared" si="233"/>
        <v xml:space="preserve">N9217B  </v>
      </c>
      <c r="BC390">
        <v>1</v>
      </c>
      <c r="BE390">
        <v>0</v>
      </c>
      <c r="BF390">
        <v>0</v>
      </c>
      <c r="BG390">
        <v>0</v>
      </c>
      <c r="BH390">
        <v>9075</v>
      </c>
      <c r="BI390">
        <v>1</v>
      </c>
      <c r="BJ390">
        <v>0</v>
      </c>
      <c r="BK390">
        <v>0</v>
      </c>
      <c r="BL390">
        <v>0</v>
      </c>
      <c r="BO390">
        <v>0</v>
      </c>
      <c r="BP390">
        <v>0</v>
      </c>
      <c r="BW390" t="str">
        <f t="shared" si="232"/>
        <v>14:50:11.296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285</v>
      </c>
      <c r="CR390">
        <v>0</v>
      </c>
      <c r="CW390">
        <v>8840295</v>
      </c>
      <c r="CY390">
        <v>0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25">
      <c r="A391" t="str">
        <f t="shared" si="229"/>
        <v>06/05/2020 14:50:05.662</v>
      </c>
      <c r="C391" t="str">
        <f t="shared" si="210"/>
        <v>FFDFD3C0</v>
      </c>
      <c r="D391" t="s">
        <v>113</v>
      </c>
      <c r="E391">
        <v>3</v>
      </c>
      <c r="H391">
        <v>166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30"/>
        <v>14:50:11.289</v>
      </c>
      <c r="T391" t="str">
        <f t="shared" si="231"/>
        <v>14:50:10.889</v>
      </c>
      <c r="U391" t="str">
        <f t="shared" si="228"/>
        <v>ACC530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1</v>
      </c>
      <c r="AH391">
        <v>0</v>
      </c>
      <c r="AI391" t="s">
        <v>283</v>
      </c>
      <c r="AJ391">
        <v>34.233891999999997</v>
      </c>
      <c r="AK391" t="s">
        <v>284</v>
      </c>
      <c r="AL391">
        <v>-116.901205</v>
      </c>
      <c r="AM391">
        <v>100</v>
      </c>
      <c r="AN391">
        <v>8900</v>
      </c>
      <c r="AO391" t="s">
        <v>118</v>
      </c>
      <c r="AP391">
        <v>-75</v>
      </c>
      <c r="AQ391">
        <v>-41</v>
      </c>
      <c r="AR391">
        <v>192</v>
      </c>
      <c r="AZ391">
        <v>1200</v>
      </c>
      <c r="BA391">
        <v>1</v>
      </c>
      <c r="BB391" t="str">
        <f t="shared" si="233"/>
        <v xml:space="preserve">N9217B  </v>
      </c>
      <c r="BC391">
        <v>1</v>
      </c>
      <c r="BE391">
        <v>0</v>
      </c>
      <c r="BF391">
        <v>0</v>
      </c>
      <c r="BG391">
        <v>0</v>
      </c>
      <c r="BH391">
        <v>9075</v>
      </c>
      <c r="BI391">
        <v>1</v>
      </c>
      <c r="BJ391">
        <v>0</v>
      </c>
      <c r="BK391">
        <v>0</v>
      </c>
      <c r="BL391">
        <v>0</v>
      </c>
      <c r="BO391">
        <v>0</v>
      </c>
      <c r="BP391">
        <v>0</v>
      </c>
      <c r="BW391" t="str">
        <f t="shared" si="232"/>
        <v>14:50:11.296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285</v>
      </c>
      <c r="CR391">
        <v>0</v>
      </c>
      <c r="CW391">
        <v>8840295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25">
      <c r="A392" t="str">
        <f t="shared" si="229"/>
        <v>06/05/2020 14:50:05.662</v>
      </c>
      <c r="C392" t="str">
        <f t="shared" si="210"/>
        <v>FFDFD3C0</v>
      </c>
      <c r="D392" t="s">
        <v>141</v>
      </c>
      <c r="E392">
        <v>20</v>
      </c>
      <c r="F392">
        <v>1020</v>
      </c>
      <c r="G392" t="s">
        <v>114</v>
      </c>
      <c r="J392" t="s">
        <v>142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230"/>
        <v>14:50:11.289</v>
      </c>
      <c r="T392" t="str">
        <f t="shared" si="231"/>
        <v>14:50:10.889</v>
      </c>
      <c r="U392" t="str">
        <f t="shared" si="228"/>
        <v>ACC530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1</v>
      </c>
      <c r="AH392">
        <v>0</v>
      </c>
      <c r="AI392" t="s">
        <v>283</v>
      </c>
      <c r="AJ392">
        <v>34.233891999999997</v>
      </c>
      <c r="AK392" t="s">
        <v>284</v>
      </c>
      <c r="AL392">
        <v>-116.901205</v>
      </c>
      <c r="AM392">
        <v>100</v>
      </c>
      <c r="AN392">
        <v>8900</v>
      </c>
      <c r="AO392" t="s">
        <v>118</v>
      </c>
      <c r="AP392">
        <v>-75</v>
      </c>
      <c r="AQ392">
        <v>-41</v>
      </c>
      <c r="AR392">
        <v>192</v>
      </c>
      <c r="AZ392">
        <v>1200</v>
      </c>
      <c r="BA392">
        <v>1</v>
      </c>
      <c r="BB392" t="str">
        <f t="shared" si="233"/>
        <v xml:space="preserve">N9217B  </v>
      </c>
      <c r="BC392">
        <v>1</v>
      </c>
      <c r="BE392">
        <v>0</v>
      </c>
      <c r="BF392">
        <v>0</v>
      </c>
      <c r="BG392">
        <v>0</v>
      </c>
      <c r="BH392">
        <v>9075</v>
      </c>
      <c r="BI392">
        <v>1</v>
      </c>
      <c r="BJ392">
        <v>0</v>
      </c>
      <c r="BK392">
        <v>0</v>
      </c>
      <c r="BL392">
        <v>0</v>
      </c>
      <c r="BO392">
        <v>0</v>
      </c>
      <c r="BP392">
        <v>0</v>
      </c>
      <c r="BW392" t="str">
        <f t="shared" si="232"/>
        <v>14:50:11.296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285</v>
      </c>
      <c r="CR392">
        <v>0</v>
      </c>
      <c r="CW392">
        <v>8840295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25">
      <c r="A393" t="str">
        <f>"06/05/2020 14:50:06.691"</f>
        <v>06/05/2020 14:50:06.691</v>
      </c>
      <c r="C393" t="str">
        <f t="shared" si="210"/>
        <v>FFDFD3C0</v>
      </c>
      <c r="D393" t="s">
        <v>148</v>
      </c>
      <c r="E393">
        <v>8</v>
      </c>
      <c r="H393">
        <v>50</v>
      </c>
      <c r="I393" t="s">
        <v>149</v>
      </c>
      <c r="J393" t="s">
        <v>150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"14:50:12.297"</f>
        <v>14:50:12.297</v>
      </c>
      <c r="T393" t="str">
        <f>"14:50:11.897"</f>
        <v>14:50:11.897</v>
      </c>
      <c r="U393" t="str">
        <f t="shared" si="228"/>
        <v>ACC530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1</v>
      </c>
      <c r="AH393">
        <v>0</v>
      </c>
      <c r="AI393" t="s">
        <v>285</v>
      </c>
      <c r="AJ393">
        <v>34.233719999999998</v>
      </c>
      <c r="AK393" t="s">
        <v>286</v>
      </c>
      <c r="AL393">
        <v>-116.901634</v>
      </c>
      <c r="AM393">
        <v>100</v>
      </c>
      <c r="AN393">
        <v>8900</v>
      </c>
      <c r="AO393" t="s">
        <v>118</v>
      </c>
      <c r="AP393">
        <v>-75</v>
      </c>
      <c r="AQ393">
        <v>-40</v>
      </c>
      <c r="AR393">
        <v>192</v>
      </c>
      <c r="AZ393">
        <v>1200</v>
      </c>
      <c r="BA393">
        <v>1</v>
      </c>
      <c r="BB393" t="str">
        <f t="shared" si="233"/>
        <v xml:space="preserve">N9217B  </v>
      </c>
      <c r="BC393">
        <v>1</v>
      </c>
      <c r="BE393">
        <v>0</v>
      </c>
      <c r="BF393">
        <v>0</v>
      </c>
      <c r="BG393">
        <v>0</v>
      </c>
      <c r="BH393">
        <v>8975</v>
      </c>
      <c r="BI393">
        <v>1</v>
      </c>
      <c r="BJ393">
        <v>0</v>
      </c>
      <c r="BK393">
        <v>0</v>
      </c>
      <c r="BL393">
        <v>0</v>
      </c>
      <c r="BO393">
        <v>0</v>
      </c>
      <c r="BP393">
        <v>0</v>
      </c>
      <c r="BW393" t="str">
        <f>"14:50:12.301"</f>
        <v>14:50:12.301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285</v>
      </c>
      <c r="CR393">
        <v>0</v>
      </c>
      <c r="CW393">
        <v>8840382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25">
      <c r="A394" t="str">
        <f>"06/05/2020 14:50:06.691"</f>
        <v>06/05/2020 14:50:06.691</v>
      </c>
      <c r="C394" t="str">
        <f t="shared" si="210"/>
        <v>FFDFD3C0</v>
      </c>
      <c r="D394" t="s">
        <v>134</v>
      </c>
      <c r="E394">
        <v>7</v>
      </c>
      <c r="F394">
        <v>2007</v>
      </c>
      <c r="G394" t="s">
        <v>135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"14:50:12.297"</f>
        <v>14:50:12.297</v>
      </c>
      <c r="T394" t="str">
        <f>"14:50:11.897"</f>
        <v>14:50:11.897</v>
      </c>
      <c r="U394" t="str">
        <f t="shared" si="228"/>
        <v>ACC530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1</v>
      </c>
      <c r="AH394">
        <v>0</v>
      </c>
      <c r="AI394" t="s">
        <v>285</v>
      </c>
      <c r="AJ394">
        <v>34.233719999999998</v>
      </c>
      <c r="AK394" t="s">
        <v>286</v>
      </c>
      <c r="AL394">
        <v>-116.901634</v>
      </c>
      <c r="AM394">
        <v>100</v>
      </c>
      <c r="AN394">
        <v>8900</v>
      </c>
      <c r="AO394" t="s">
        <v>118</v>
      </c>
      <c r="AP394">
        <v>-75</v>
      </c>
      <c r="AQ394">
        <v>-40</v>
      </c>
      <c r="AR394">
        <v>192</v>
      </c>
      <c r="AZ394">
        <v>1200</v>
      </c>
      <c r="BA394">
        <v>1</v>
      </c>
      <c r="BB394" t="str">
        <f t="shared" si="233"/>
        <v xml:space="preserve">N9217B  </v>
      </c>
      <c r="BC394">
        <v>1</v>
      </c>
      <c r="BE394">
        <v>0</v>
      </c>
      <c r="BF394">
        <v>0</v>
      </c>
      <c r="BG394">
        <v>0</v>
      </c>
      <c r="BH394">
        <v>8975</v>
      </c>
      <c r="BI394">
        <v>1</v>
      </c>
      <c r="BJ394">
        <v>0</v>
      </c>
      <c r="BK394">
        <v>0</v>
      </c>
      <c r="BL394">
        <v>0</v>
      </c>
      <c r="BO394">
        <v>0</v>
      </c>
      <c r="BP394">
        <v>0</v>
      </c>
      <c r="BW394" t="str">
        <f>"14:50:12.301"</f>
        <v>14:50:12.301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285</v>
      </c>
      <c r="CR394">
        <v>0</v>
      </c>
      <c r="CW394">
        <v>8840382</v>
      </c>
      <c r="CY394">
        <v>0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25">
      <c r="A395" t="str">
        <f>"06/05/2020 14:50:06.691"</f>
        <v>06/05/2020 14:50:06.691</v>
      </c>
      <c r="C395" t="str">
        <f t="shared" si="210"/>
        <v>FFDFD3C0</v>
      </c>
      <c r="D395" t="s">
        <v>141</v>
      </c>
      <c r="E395">
        <v>20</v>
      </c>
      <c r="F395">
        <v>1020</v>
      </c>
      <c r="G395" t="s">
        <v>114</v>
      </c>
      <c r="J395" t="s">
        <v>142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"14:50:12.297"</f>
        <v>14:50:12.297</v>
      </c>
      <c r="T395" t="str">
        <f>"14:50:11.897"</f>
        <v>14:50:11.897</v>
      </c>
      <c r="U395" t="str">
        <f t="shared" si="228"/>
        <v>ACC530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1</v>
      </c>
      <c r="AH395">
        <v>0</v>
      </c>
      <c r="AI395" t="s">
        <v>285</v>
      </c>
      <c r="AJ395">
        <v>34.233719999999998</v>
      </c>
      <c r="AK395" t="s">
        <v>286</v>
      </c>
      <c r="AL395">
        <v>-116.901634</v>
      </c>
      <c r="AM395">
        <v>100</v>
      </c>
      <c r="AN395">
        <v>8900</v>
      </c>
      <c r="AO395" t="s">
        <v>118</v>
      </c>
      <c r="AP395">
        <v>-75</v>
      </c>
      <c r="AQ395">
        <v>-40</v>
      </c>
      <c r="AR395">
        <v>192</v>
      </c>
      <c r="AZ395">
        <v>1200</v>
      </c>
      <c r="BA395">
        <v>1</v>
      </c>
      <c r="BB395" t="str">
        <f t="shared" si="233"/>
        <v xml:space="preserve">N9217B  </v>
      </c>
      <c r="BC395">
        <v>1</v>
      </c>
      <c r="BE395">
        <v>0</v>
      </c>
      <c r="BF395">
        <v>0</v>
      </c>
      <c r="BG395">
        <v>0</v>
      </c>
      <c r="BH395">
        <v>8975</v>
      </c>
      <c r="BI395">
        <v>1</v>
      </c>
      <c r="BJ395">
        <v>0</v>
      </c>
      <c r="BK395">
        <v>0</v>
      </c>
      <c r="BL395">
        <v>0</v>
      </c>
      <c r="BO395">
        <v>0</v>
      </c>
      <c r="BP395">
        <v>0</v>
      </c>
      <c r="BW395" t="str">
        <f>"14:50:12.301"</f>
        <v>14:50:12.301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285</v>
      </c>
      <c r="CR395">
        <v>0</v>
      </c>
      <c r="CW395">
        <v>8840382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25">
      <c r="A396" t="str">
        <f>"06/05/2020 14:50:06.691"</f>
        <v>06/05/2020 14:50:06.691</v>
      </c>
      <c r="C396" t="str">
        <f t="shared" si="210"/>
        <v>FFDFD3C0</v>
      </c>
      <c r="D396" t="s">
        <v>113</v>
      </c>
      <c r="E396">
        <v>3</v>
      </c>
      <c r="H396">
        <v>166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"14:50:12.297"</f>
        <v>14:50:12.297</v>
      </c>
      <c r="T396" t="str">
        <f>"14:50:11.897"</f>
        <v>14:50:11.897</v>
      </c>
      <c r="U396" t="str">
        <f t="shared" si="228"/>
        <v>ACC530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1</v>
      </c>
      <c r="AH396">
        <v>0</v>
      </c>
      <c r="AI396" t="s">
        <v>285</v>
      </c>
      <c r="AJ396">
        <v>34.233719999999998</v>
      </c>
      <c r="AK396" t="s">
        <v>286</v>
      </c>
      <c r="AL396">
        <v>-116.901634</v>
      </c>
      <c r="AM396">
        <v>100</v>
      </c>
      <c r="AN396">
        <v>8900</v>
      </c>
      <c r="AO396" t="s">
        <v>118</v>
      </c>
      <c r="AP396">
        <v>-75</v>
      </c>
      <c r="AQ396">
        <v>-40</v>
      </c>
      <c r="AR396">
        <v>192</v>
      </c>
      <c r="AZ396">
        <v>1200</v>
      </c>
      <c r="BA396">
        <v>1</v>
      </c>
      <c r="BB396" t="str">
        <f t="shared" si="233"/>
        <v xml:space="preserve">N9217B  </v>
      </c>
      <c r="BC396">
        <v>1</v>
      </c>
      <c r="BE396">
        <v>0</v>
      </c>
      <c r="BF396">
        <v>0</v>
      </c>
      <c r="BG396">
        <v>0</v>
      </c>
      <c r="BH396">
        <v>8975</v>
      </c>
      <c r="BI396">
        <v>1</v>
      </c>
      <c r="BJ396">
        <v>0</v>
      </c>
      <c r="BK396">
        <v>0</v>
      </c>
      <c r="BL396">
        <v>0</v>
      </c>
      <c r="BO396">
        <v>0</v>
      </c>
      <c r="BP396">
        <v>0</v>
      </c>
      <c r="BW396" t="str">
        <f>"14:50:12.301"</f>
        <v>14:50:12.301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285</v>
      </c>
      <c r="CR396">
        <v>0</v>
      </c>
      <c r="CW396">
        <v>8840382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25">
      <c r="A397" t="str">
        <f>"06/05/2020 14:50:06.691"</f>
        <v>06/05/2020 14:50:06.691</v>
      </c>
      <c r="C397" t="str">
        <f t="shared" si="210"/>
        <v>FFDFD3C0</v>
      </c>
      <c r="D397" t="s">
        <v>151</v>
      </c>
      <c r="E397">
        <v>9</v>
      </c>
      <c r="H397">
        <v>226</v>
      </c>
      <c r="I397" t="s">
        <v>152</v>
      </c>
      <c r="J397" t="s">
        <v>150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"14:50:12.297"</f>
        <v>14:50:12.297</v>
      </c>
      <c r="T397" t="str">
        <f>"14:50:11.897"</f>
        <v>14:50:11.897</v>
      </c>
      <c r="U397" t="str">
        <f t="shared" si="228"/>
        <v>ACC530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1</v>
      </c>
      <c r="AH397">
        <v>0</v>
      </c>
      <c r="AI397" t="s">
        <v>285</v>
      </c>
      <c r="AJ397">
        <v>34.233719999999998</v>
      </c>
      <c r="AK397" t="s">
        <v>286</v>
      </c>
      <c r="AL397">
        <v>-116.901634</v>
      </c>
      <c r="AM397">
        <v>100</v>
      </c>
      <c r="AN397">
        <v>8900</v>
      </c>
      <c r="AO397" t="s">
        <v>118</v>
      </c>
      <c r="AP397">
        <v>-75</v>
      </c>
      <c r="AQ397">
        <v>-40</v>
      </c>
      <c r="AR397">
        <v>192</v>
      </c>
      <c r="AZ397">
        <v>1200</v>
      </c>
      <c r="BA397">
        <v>1</v>
      </c>
      <c r="BB397" t="str">
        <f t="shared" si="233"/>
        <v xml:space="preserve">N9217B  </v>
      </c>
      <c r="BC397">
        <v>1</v>
      </c>
      <c r="BE397">
        <v>0</v>
      </c>
      <c r="BF397">
        <v>0</v>
      </c>
      <c r="BG397">
        <v>0</v>
      </c>
      <c r="BH397">
        <v>8975</v>
      </c>
      <c r="BI397">
        <v>1</v>
      </c>
      <c r="BJ397">
        <v>0</v>
      </c>
      <c r="BK397">
        <v>0</v>
      </c>
      <c r="BL397">
        <v>0</v>
      </c>
      <c r="BO397">
        <v>0</v>
      </c>
      <c r="BP397">
        <v>0</v>
      </c>
      <c r="BW397" t="str">
        <f>"14:50:12.301"</f>
        <v>14:50:12.301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285</v>
      </c>
      <c r="CR397">
        <v>0</v>
      </c>
      <c r="CW397">
        <v>8840382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25">
      <c r="A398" t="str">
        <f t="shared" ref="A398:A403" si="234">"06/05/2020 14:50:07.550"</f>
        <v>06/05/2020 14:50:07.550</v>
      </c>
      <c r="C398" t="str">
        <f t="shared" si="210"/>
        <v>FFDFD3C0</v>
      </c>
      <c r="D398" t="s">
        <v>148</v>
      </c>
      <c r="E398">
        <v>8</v>
      </c>
      <c r="H398">
        <v>50</v>
      </c>
      <c r="I398" t="s">
        <v>149</v>
      </c>
      <c r="J398" t="s">
        <v>150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ref="S398:S403" si="235">"14:50:13.180"</f>
        <v>14:50:13.180</v>
      </c>
      <c r="T398" t="str">
        <f t="shared" ref="T398:T403" si="236">"14:50:12.780"</f>
        <v>14:50:12.780</v>
      </c>
      <c r="U398" t="str">
        <f t="shared" si="228"/>
        <v>ACC530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1</v>
      </c>
      <c r="AH398">
        <v>0</v>
      </c>
      <c r="AI398" t="s">
        <v>287</v>
      </c>
      <c r="AJ398">
        <v>34.233527000000002</v>
      </c>
      <c r="AK398" t="s">
        <v>288</v>
      </c>
      <c r="AL398">
        <v>-116.901977</v>
      </c>
      <c r="AM398">
        <v>100</v>
      </c>
      <c r="AN398">
        <v>8900</v>
      </c>
      <c r="AO398" t="s">
        <v>118</v>
      </c>
      <c r="AP398">
        <v>-76</v>
      </c>
      <c r="AQ398">
        <v>-40</v>
      </c>
      <c r="AR398">
        <v>256</v>
      </c>
      <c r="AZ398">
        <v>1200</v>
      </c>
      <c r="BA398">
        <v>1</v>
      </c>
      <c r="BB398" t="str">
        <f t="shared" si="233"/>
        <v xml:space="preserve">N9217B  </v>
      </c>
      <c r="BC398">
        <v>1</v>
      </c>
      <c r="BE398">
        <v>0</v>
      </c>
      <c r="BF398">
        <v>0</v>
      </c>
      <c r="BG398">
        <v>0</v>
      </c>
      <c r="BH398">
        <v>8975</v>
      </c>
      <c r="BI398">
        <v>1</v>
      </c>
      <c r="BJ398">
        <v>0</v>
      </c>
      <c r="BK398">
        <v>0</v>
      </c>
      <c r="BL398">
        <v>0</v>
      </c>
      <c r="BO398">
        <v>0</v>
      </c>
      <c r="BP398">
        <v>0</v>
      </c>
      <c r="BW398" t="str">
        <f t="shared" ref="BW398:BW403" si="237">"14:50:13.186"</f>
        <v>14:50:13.186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6</v>
      </c>
      <c r="CP398" t="s">
        <v>119</v>
      </c>
      <c r="CQ398">
        <v>285</v>
      </c>
      <c r="CR398">
        <v>0</v>
      </c>
      <c r="CW398">
        <v>8840459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25">
      <c r="A399" t="str">
        <f t="shared" si="234"/>
        <v>06/05/2020 14:50:07.550</v>
      </c>
      <c r="C399" t="str">
        <f t="shared" si="210"/>
        <v>FFDFD3C0</v>
      </c>
      <c r="D399" t="s">
        <v>134</v>
      </c>
      <c r="E399">
        <v>7</v>
      </c>
      <c r="F399">
        <v>2007</v>
      </c>
      <c r="G399" t="s">
        <v>135</v>
      </c>
      <c r="J399" t="s">
        <v>136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35"/>
        <v>14:50:13.180</v>
      </c>
      <c r="T399" t="str">
        <f t="shared" si="236"/>
        <v>14:50:12.780</v>
      </c>
      <c r="U399" t="str">
        <f t="shared" si="228"/>
        <v>ACC530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1</v>
      </c>
      <c r="AH399">
        <v>0</v>
      </c>
      <c r="AI399" t="s">
        <v>287</v>
      </c>
      <c r="AJ399">
        <v>34.233527000000002</v>
      </c>
      <c r="AK399" t="s">
        <v>288</v>
      </c>
      <c r="AL399">
        <v>-116.901977</v>
      </c>
      <c r="AM399">
        <v>100</v>
      </c>
      <c r="AN399">
        <v>8900</v>
      </c>
      <c r="AO399" t="s">
        <v>118</v>
      </c>
      <c r="AP399">
        <v>-76</v>
      </c>
      <c r="AQ399">
        <v>-40</v>
      </c>
      <c r="AR399">
        <v>256</v>
      </c>
      <c r="AZ399">
        <v>1200</v>
      </c>
      <c r="BA399">
        <v>1</v>
      </c>
      <c r="BB399" t="str">
        <f t="shared" si="233"/>
        <v xml:space="preserve">N9217B  </v>
      </c>
      <c r="BC399">
        <v>1</v>
      </c>
      <c r="BE399">
        <v>0</v>
      </c>
      <c r="BF399">
        <v>0</v>
      </c>
      <c r="BG399">
        <v>0</v>
      </c>
      <c r="BH399">
        <v>8975</v>
      </c>
      <c r="BI399">
        <v>1</v>
      </c>
      <c r="BJ399">
        <v>0</v>
      </c>
      <c r="BK399">
        <v>0</v>
      </c>
      <c r="BL399">
        <v>0</v>
      </c>
      <c r="BO399">
        <v>0</v>
      </c>
      <c r="BP399">
        <v>0</v>
      </c>
      <c r="BW399" t="str">
        <f t="shared" si="237"/>
        <v>14:50:13.186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285</v>
      </c>
      <c r="CR399">
        <v>0</v>
      </c>
      <c r="CW399">
        <v>8840459</v>
      </c>
      <c r="CY399">
        <v>0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25">
      <c r="A400" t="str">
        <f t="shared" si="234"/>
        <v>06/05/2020 14:50:07.550</v>
      </c>
      <c r="C400" t="str">
        <f t="shared" si="210"/>
        <v>FFDFD3C0</v>
      </c>
      <c r="D400" t="s">
        <v>141</v>
      </c>
      <c r="E400">
        <v>20</v>
      </c>
      <c r="F400">
        <v>1020</v>
      </c>
      <c r="G400" t="s">
        <v>114</v>
      </c>
      <c r="J400" t="s">
        <v>142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35"/>
        <v>14:50:13.180</v>
      </c>
      <c r="T400" t="str">
        <f t="shared" si="236"/>
        <v>14:50:12.780</v>
      </c>
      <c r="U400" t="str">
        <f t="shared" si="228"/>
        <v>ACC530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1</v>
      </c>
      <c r="AH400">
        <v>0</v>
      </c>
      <c r="AI400" t="s">
        <v>287</v>
      </c>
      <c r="AJ400">
        <v>34.233527000000002</v>
      </c>
      <c r="AK400" t="s">
        <v>288</v>
      </c>
      <c r="AL400">
        <v>-116.901977</v>
      </c>
      <c r="AM400">
        <v>100</v>
      </c>
      <c r="AN400">
        <v>8900</v>
      </c>
      <c r="AO400" t="s">
        <v>118</v>
      </c>
      <c r="AP400">
        <v>-76</v>
      </c>
      <c r="AQ400">
        <v>-40</v>
      </c>
      <c r="AR400">
        <v>256</v>
      </c>
      <c r="AZ400">
        <v>1200</v>
      </c>
      <c r="BA400">
        <v>1</v>
      </c>
      <c r="BB400" t="str">
        <f t="shared" si="233"/>
        <v xml:space="preserve">N9217B  </v>
      </c>
      <c r="BC400">
        <v>1</v>
      </c>
      <c r="BE400">
        <v>0</v>
      </c>
      <c r="BF400">
        <v>0</v>
      </c>
      <c r="BG400">
        <v>0</v>
      </c>
      <c r="BH400">
        <v>8975</v>
      </c>
      <c r="BI400">
        <v>1</v>
      </c>
      <c r="BJ400">
        <v>0</v>
      </c>
      <c r="BK400">
        <v>0</v>
      </c>
      <c r="BL400">
        <v>0</v>
      </c>
      <c r="BO400">
        <v>0</v>
      </c>
      <c r="BP400">
        <v>0</v>
      </c>
      <c r="BW400" t="str">
        <f t="shared" si="237"/>
        <v>14:50:13.186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285</v>
      </c>
      <c r="CR400">
        <v>0</v>
      </c>
      <c r="CW400">
        <v>8840459</v>
      </c>
      <c r="CY400">
        <v>0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25">
      <c r="A401" t="str">
        <f t="shared" si="234"/>
        <v>06/05/2020 14:50:07.550</v>
      </c>
      <c r="C401" t="str">
        <f t="shared" si="210"/>
        <v>FFDFD3C0</v>
      </c>
      <c r="D401" t="s">
        <v>113</v>
      </c>
      <c r="E401">
        <v>3</v>
      </c>
      <c r="H401">
        <v>166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35"/>
        <v>14:50:13.180</v>
      </c>
      <c r="T401" t="str">
        <f t="shared" si="236"/>
        <v>14:50:12.780</v>
      </c>
      <c r="U401" t="str">
        <f t="shared" si="228"/>
        <v>ACC530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1</v>
      </c>
      <c r="AH401">
        <v>0</v>
      </c>
      <c r="AI401" t="s">
        <v>287</v>
      </c>
      <c r="AJ401">
        <v>34.233527000000002</v>
      </c>
      <c r="AK401" t="s">
        <v>288</v>
      </c>
      <c r="AL401">
        <v>-116.901977</v>
      </c>
      <c r="AM401">
        <v>100</v>
      </c>
      <c r="AN401">
        <v>8900</v>
      </c>
      <c r="AO401" t="s">
        <v>118</v>
      </c>
      <c r="AP401">
        <v>-76</v>
      </c>
      <c r="AQ401">
        <v>-40</v>
      </c>
      <c r="AR401">
        <v>256</v>
      </c>
      <c r="AZ401">
        <v>1200</v>
      </c>
      <c r="BA401">
        <v>1</v>
      </c>
      <c r="BB401" t="str">
        <f t="shared" si="233"/>
        <v xml:space="preserve">N9217B  </v>
      </c>
      <c r="BC401">
        <v>1</v>
      </c>
      <c r="BE401">
        <v>0</v>
      </c>
      <c r="BF401">
        <v>0</v>
      </c>
      <c r="BG401">
        <v>0</v>
      </c>
      <c r="BH401">
        <v>8975</v>
      </c>
      <c r="BI401">
        <v>1</v>
      </c>
      <c r="BJ401">
        <v>0</v>
      </c>
      <c r="BK401">
        <v>0</v>
      </c>
      <c r="BL401">
        <v>0</v>
      </c>
      <c r="BO401">
        <v>0</v>
      </c>
      <c r="BP401">
        <v>0</v>
      </c>
      <c r="BW401" t="str">
        <f t="shared" si="237"/>
        <v>14:50:13.186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285</v>
      </c>
      <c r="CR401">
        <v>0</v>
      </c>
      <c r="CW401">
        <v>8840459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25">
      <c r="A402" t="str">
        <f t="shared" si="234"/>
        <v>06/05/2020 14:50:07.550</v>
      </c>
      <c r="C402" t="str">
        <f t="shared" si="210"/>
        <v>FFDFD3C0</v>
      </c>
      <c r="D402" t="s">
        <v>151</v>
      </c>
      <c r="E402">
        <v>9</v>
      </c>
      <c r="H402">
        <v>226</v>
      </c>
      <c r="I402" t="s">
        <v>152</v>
      </c>
      <c r="J402" t="s">
        <v>150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35"/>
        <v>14:50:13.180</v>
      </c>
      <c r="T402" t="str">
        <f t="shared" si="236"/>
        <v>14:50:12.780</v>
      </c>
      <c r="U402" t="str">
        <f t="shared" si="228"/>
        <v>ACC530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1</v>
      </c>
      <c r="AH402">
        <v>0</v>
      </c>
      <c r="AI402" t="s">
        <v>287</v>
      </c>
      <c r="AJ402">
        <v>34.233527000000002</v>
      </c>
      <c r="AK402" t="s">
        <v>288</v>
      </c>
      <c r="AL402">
        <v>-116.901977</v>
      </c>
      <c r="AM402">
        <v>100</v>
      </c>
      <c r="AN402">
        <v>8900</v>
      </c>
      <c r="AO402" t="s">
        <v>118</v>
      </c>
      <c r="AP402">
        <v>-76</v>
      </c>
      <c r="AQ402">
        <v>-40</v>
      </c>
      <c r="AR402">
        <v>256</v>
      </c>
      <c r="AZ402">
        <v>1200</v>
      </c>
      <c r="BA402">
        <v>1</v>
      </c>
      <c r="BB402" t="str">
        <f t="shared" si="233"/>
        <v xml:space="preserve">N9217B  </v>
      </c>
      <c r="BC402">
        <v>1</v>
      </c>
      <c r="BE402">
        <v>0</v>
      </c>
      <c r="BF402">
        <v>0</v>
      </c>
      <c r="BG402">
        <v>0</v>
      </c>
      <c r="BH402">
        <v>8975</v>
      </c>
      <c r="BI402">
        <v>1</v>
      </c>
      <c r="BJ402">
        <v>0</v>
      </c>
      <c r="BK402">
        <v>0</v>
      </c>
      <c r="BL402">
        <v>0</v>
      </c>
      <c r="BO402">
        <v>0</v>
      </c>
      <c r="BP402">
        <v>0</v>
      </c>
      <c r="BW402" t="str">
        <f t="shared" si="237"/>
        <v>14:50:13.186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285</v>
      </c>
      <c r="CR402">
        <v>0</v>
      </c>
      <c r="CW402">
        <v>8840459</v>
      </c>
      <c r="CY402">
        <v>0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25">
      <c r="A403" t="str">
        <f t="shared" si="234"/>
        <v>06/05/2020 14:50:07.550</v>
      </c>
      <c r="C403" t="str">
        <f t="shared" si="210"/>
        <v>FFDFD3C0</v>
      </c>
      <c r="D403" t="s">
        <v>143</v>
      </c>
      <c r="E403">
        <v>10</v>
      </c>
      <c r="F403">
        <v>3010</v>
      </c>
      <c r="G403" t="s">
        <v>144</v>
      </c>
      <c r="J403" t="s">
        <v>145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35"/>
        <v>14:50:13.180</v>
      </c>
      <c r="T403" t="str">
        <f t="shared" si="236"/>
        <v>14:50:12.780</v>
      </c>
      <c r="U403" t="str">
        <f t="shared" si="228"/>
        <v>ACC530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1</v>
      </c>
      <c r="AH403">
        <v>0</v>
      </c>
      <c r="AI403" t="s">
        <v>287</v>
      </c>
      <c r="AJ403">
        <v>34.233527000000002</v>
      </c>
      <c r="AK403" t="s">
        <v>288</v>
      </c>
      <c r="AL403">
        <v>-116.901977</v>
      </c>
      <c r="AM403">
        <v>100</v>
      </c>
      <c r="AN403">
        <v>8900</v>
      </c>
      <c r="AO403" t="s">
        <v>118</v>
      </c>
      <c r="AP403">
        <v>-76</v>
      </c>
      <c r="AQ403">
        <v>-40</v>
      </c>
      <c r="AR403">
        <v>256</v>
      </c>
      <c r="AZ403">
        <v>1200</v>
      </c>
      <c r="BA403">
        <v>1</v>
      </c>
      <c r="BB403" t="str">
        <f t="shared" si="233"/>
        <v xml:space="preserve">N9217B  </v>
      </c>
      <c r="BC403">
        <v>1</v>
      </c>
      <c r="BE403">
        <v>0</v>
      </c>
      <c r="BF403">
        <v>0</v>
      </c>
      <c r="BG403">
        <v>0</v>
      </c>
      <c r="BH403">
        <v>8975</v>
      </c>
      <c r="BI403">
        <v>1</v>
      </c>
      <c r="BJ403">
        <v>0</v>
      </c>
      <c r="BK403">
        <v>0</v>
      </c>
      <c r="BL403">
        <v>0</v>
      </c>
      <c r="BO403">
        <v>0</v>
      </c>
      <c r="BP403">
        <v>0</v>
      </c>
      <c r="BW403" t="str">
        <f t="shared" si="237"/>
        <v>14:50:13.186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293</v>
      </c>
      <c r="CR403">
        <v>1</v>
      </c>
      <c r="CW403">
        <v>15270249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25">
      <c r="A404" t="str">
        <f t="shared" ref="A404:A409" si="238">"06/05/2020 14:50:08.646"</f>
        <v>06/05/2020 14:50:08.646</v>
      </c>
      <c r="C404" t="str">
        <f t="shared" si="210"/>
        <v>FFDFD3C0</v>
      </c>
      <c r="D404" t="s">
        <v>151</v>
      </c>
      <c r="E404">
        <v>9</v>
      </c>
      <c r="H404">
        <v>226</v>
      </c>
      <c r="I404" t="s">
        <v>152</v>
      </c>
      <c r="J404" t="s">
        <v>150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09" si="239">"14:50:14.289"</f>
        <v>14:50:14.289</v>
      </c>
      <c r="T404" t="str">
        <f t="shared" ref="T404:T409" si="240">"14:50:13.789"</f>
        <v>14:50:13.789</v>
      </c>
      <c r="U404" t="str">
        <f t="shared" si="228"/>
        <v>ACC530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1</v>
      </c>
      <c r="AH404">
        <v>0</v>
      </c>
      <c r="AI404" t="s">
        <v>289</v>
      </c>
      <c r="AJ404">
        <v>34.233356000000001</v>
      </c>
      <c r="AK404" t="s">
        <v>290</v>
      </c>
      <c r="AL404">
        <v>-116.902492</v>
      </c>
      <c r="AM404">
        <v>100</v>
      </c>
      <c r="AN404">
        <v>8900</v>
      </c>
      <c r="AO404" t="s">
        <v>118</v>
      </c>
      <c r="AP404">
        <v>-76</v>
      </c>
      <c r="AQ404">
        <v>-40</v>
      </c>
      <c r="AR404">
        <v>256</v>
      </c>
      <c r="AZ404">
        <v>1200</v>
      </c>
      <c r="BA404">
        <v>1</v>
      </c>
      <c r="BB404" t="str">
        <f t="shared" si="233"/>
        <v xml:space="preserve">N9217B  </v>
      </c>
      <c r="BC404">
        <v>1</v>
      </c>
      <c r="BE404">
        <v>0</v>
      </c>
      <c r="BF404">
        <v>0</v>
      </c>
      <c r="BG404">
        <v>0</v>
      </c>
      <c r="BH404">
        <v>8975</v>
      </c>
      <c r="BI404">
        <v>1</v>
      </c>
      <c r="BJ404">
        <v>0</v>
      </c>
      <c r="BK404">
        <v>0</v>
      </c>
      <c r="BL404">
        <v>0</v>
      </c>
      <c r="BO404">
        <v>0</v>
      </c>
      <c r="BP404">
        <v>0</v>
      </c>
      <c r="BW404" t="str">
        <f t="shared" ref="BW404:BW409" si="241">"14:50:14.296"</f>
        <v>14:50:14.296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285</v>
      </c>
      <c r="CR404">
        <v>0</v>
      </c>
      <c r="CW404">
        <v>8840548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25">
      <c r="A405" t="str">
        <f t="shared" si="238"/>
        <v>06/05/2020 14:50:08.646</v>
      </c>
      <c r="C405" t="str">
        <f t="shared" si="210"/>
        <v>FFDFD3C0</v>
      </c>
      <c r="D405" t="s">
        <v>143</v>
      </c>
      <c r="E405">
        <v>10</v>
      </c>
      <c r="F405">
        <v>3010</v>
      </c>
      <c r="G405" t="s">
        <v>144</v>
      </c>
      <c r="J405" t="s">
        <v>145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39"/>
        <v>14:50:14.289</v>
      </c>
      <c r="T405" t="str">
        <f t="shared" si="240"/>
        <v>14:50:13.789</v>
      </c>
      <c r="U405" t="str">
        <f t="shared" si="228"/>
        <v>ACC530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1</v>
      </c>
      <c r="AH405">
        <v>0</v>
      </c>
      <c r="AI405" t="s">
        <v>289</v>
      </c>
      <c r="AJ405">
        <v>34.233356000000001</v>
      </c>
      <c r="AK405" t="s">
        <v>290</v>
      </c>
      <c r="AL405">
        <v>-116.902492</v>
      </c>
      <c r="AM405">
        <v>100</v>
      </c>
      <c r="AN405">
        <v>8900</v>
      </c>
      <c r="AO405" t="s">
        <v>118</v>
      </c>
      <c r="AP405">
        <v>-76</v>
      </c>
      <c r="AQ405">
        <v>-40</v>
      </c>
      <c r="AR405">
        <v>256</v>
      </c>
      <c r="AZ405">
        <v>1200</v>
      </c>
      <c r="BA405">
        <v>1</v>
      </c>
      <c r="BB405" t="str">
        <f t="shared" si="233"/>
        <v xml:space="preserve">N9217B  </v>
      </c>
      <c r="BC405">
        <v>1</v>
      </c>
      <c r="BE405">
        <v>0</v>
      </c>
      <c r="BF405">
        <v>0</v>
      </c>
      <c r="BG405">
        <v>0</v>
      </c>
      <c r="BH405">
        <v>8975</v>
      </c>
      <c r="BI405">
        <v>1</v>
      </c>
      <c r="BJ405">
        <v>0</v>
      </c>
      <c r="BK405">
        <v>0</v>
      </c>
      <c r="BL405">
        <v>0</v>
      </c>
      <c r="BO405">
        <v>0</v>
      </c>
      <c r="BP405">
        <v>0</v>
      </c>
      <c r="BW405" t="str">
        <f t="shared" si="241"/>
        <v>14:50:14.296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119</v>
      </c>
      <c r="CQ405">
        <v>293</v>
      </c>
      <c r="CR405">
        <v>1</v>
      </c>
      <c r="CW405">
        <v>15270376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25">
      <c r="A406" t="str">
        <f t="shared" si="238"/>
        <v>06/05/2020 14:50:08.646</v>
      </c>
      <c r="C406" t="str">
        <f t="shared" si="210"/>
        <v>FFDFD3C0</v>
      </c>
      <c r="D406" t="s">
        <v>148</v>
      </c>
      <c r="E406">
        <v>8</v>
      </c>
      <c r="H406">
        <v>50</v>
      </c>
      <c r="I406" t="s">
        <v>149</v>
      </c>
      <c r="J406" t="s">
        <v>150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239"/>
        <v>14:50:14.289</v>
      </c>
      <c r="T406" t="str">
        <f t="shared" si="240"/>
        <v>14:50:13.789</v>
      </c>
      <c r="U406" t="str">
        <f t="shared" si="228"/>
        <v>ACC530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1</v>
      </c>
      <c r="AH406">
        <v>0</v>
      </c>
      <c r="AI406" t="s">
        <v>289</v>
      </c>
      <c r="AJ406">
        <v>34.233356000000001</v>
      </c>
      <c r="AK406" t="s">
        <v>290</v>
      </c>
      <c r="AL406">
        <v>-116.902492</v>
      </c>
      <c r="AM406">
        <v>100</v>
      </c>
      <c r="AN406">
        <v>8900</v>
      </c>
      <c r="AO406" t="s">
        <v>118</v>
      </c>
      <c r="AP406">
        <v>-76</v>
      </c>
      <c r="AQ406">
        <v>-40</v>
      </c>
      <c r="AR406">
        <v>256</v>
      </c>
      <c r="AZ406">
        <v>1200</v>
      </c>
      <c r="BA406">
        <v>1</v>
      </c>
      <c r="BB406" t="str">
        <f t="shared" si="233"/>
        <v xml:space="preserve">N9217B  </v>
      </c>
      <c r="BC406">
        <v>1</v>
      </c>
      <c r="BE406">
        <v>0</v>
      </c>
      <c r="BF406">
        <v>0</v>
      </c>
      <c r="BG406">
        <v>0</v>
      </c>
      <c r="BH406">
        <v>8975</v>
      </c>
      <c r="BI406">
        <v>1</v>
      </c>
      <c r="BJ406">
        <v>0</v>
      </c>
      <c r="BK406">
        <v>0</v>
      </c>
      <c r="BL406">
        <v>0</v>
      </c>
      <c r="BO406">
        <v>0</v>
      </c>
      <c r="BP406">
        <v>0</v>
      </c>
      <c r="BW406" t="str">
        <f t="shared" si="241"/>
        <v>14:50:14.296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6</v>
      </c>
      <c r="CP406" t="s">
        <v>119</v>
      </c>
      <c r="CQ406">
        <v>285</v>
      </c>
      <c r="CR406">
        <v>0</v>
      </c>
      <c r="CW406">
        <v>8840548</v>
      </c>
      <c r="CY406">
        <v>0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25">
      <c r="A407" t="str">
        <f t="shared" si="238"/>
        <v>06/05/2020 14:50:08.646</v>
      </c>
      <c r="C407" t="str">
        <f t="shared" si="210"/>
        <v>FFDFD3C0</v>
      </c>
      <c r="D407" t="s">
        <v>134</v>
      </c>
      <c r="E407">
        <v>7</v>
      </c>
      <c r="F407">
        <v>2007</v>
      </c>
      <c r="G407" t="s">
        <v>135</v>
      </c>
      <c r="J407" t="s">
        <v>136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39"/>
        <v>14:50:14.289</v>
      </c>
      <c r="T407" t="str">
        <f t="shared" si="240"/>
        <v>14:50:13.789</v>
      </c>
      <c r="U407" t="str">
        <f t="shared" si="228"/>
        <v>ACC530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1</v>
      </c>
      <c r="AH407">
        <v>0</v>
      </c>
      <c r="AI407" t="s">
        <v>289</v>
      </c>
      <c r="AJ407">
        <v>34.233356000000001</v>
      </c>
      <c r="AK407" t="s">
        <v>290</v>
      </c>
      <c r="AL407">
        <v>-116.902492</v>
      </c>
      <c r="AM407">
        <v>100</v>
      </c>
      <c r="AN407">
        <v>8900</v>
      </c>
      <c r="AO407" t="s">
        <v>118</v>
      </c>
      <c r="AP407">
        <v>-76</v>
      </c>
      <c r="AQ407">
        <v>-40</v>
      </c>
      <c r="AR407">
        <v>256</v>
      </c>
      <c r="AZ407">
        <v>1200</v>
      </c>
      <c r="BA407">
        <v>1</v>
      </c>
      <c r="BB407" t="str">
        <f t="shared" si="233"/>
        <v xml:space="preserve">N9217B  </v>
      </c>
      <c r="BC407">
        <v>1</v>
      </c>
      <c r="BE407">
        <v>0</v>
      </c>
      <c r="BF407">
        <v>0</v>
      </c>
      <c r="BG407">
        <v>0</v>
      </c>
      <c r="BH407">
        <v>8975</v>
      </c>
      <c r="BI407">
        <v>1</v>
      </c>
      <c r="BJ407">
        <v>0</v>
      </c>
      <c r="BK407">
        <v>0</v>
      </c>
      <c r="BL407">
        <v>0</v>
      </c>
      <c r="BO407">
        <v>0</v>
      </c>
      <c r="BP407">
        <v>0</v>
      </c>
      <c r="BW407" t="str">
        <f t="shared" si="241"/>
        <v>14:50:14.296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6</v>
      </c>
      <c r="CP407" t="s">
        <v>119</v>
      </c>
      <c r="CQ407">
        <v>285</v>
      </c>
      <c r="CR407">
        <v>0</v>
      </c>
      <c r="CW407">
        <v>8840548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25">
      <c r="A408" t="str">
        <f t="shared" si="238"/>
        <v>06/05/2020 14:50:08.646</v>
      </c>
      <c r="C408" t="str">
        <f t="shared" si="210"/>
        <v>FFDFD3C0</v>
      </c>
      <c r="D408" t="s">
        <v>141</v>
      </c>
      <c r="E408">
        <v>20</v>
      </c>
      <c r="F408">
        <v>1020</v>
      </c>
      <c r="G408" t="s">
        <v>114</v>
      </c>
      <c r="J408" t="s">
        <v>142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39"/>
        <v>14:50:14.289</v>
      </c>
      <c r="T408" t="str">
        <f t="shared" si="240"/>
        <v>14:50:13.789</v>
      </c>
      <c r="U408" t="str">
        <f t="shared" si="228"/>
        <v>ACC530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1</v>
      </c>
      <c r="AH408">
        <v>0</v>
      </c>
      <c r="AI408" t="s">
        <v>289</v>
      </c>
      <c r="AJ408">
        <v>34.233356000000001</v>
      </c>
      <c r="AK408" t="s">
        <v>290</v>
      </c>
      <c r="AL408">
        <v>-116.902492</v>
      </c>
      <c r="AM408">
        <v>100</v>
      </c>
      <c r="AN408">
        <v>8900</v>
      </c>
      <c r="AO408" t="s">
        <v>118</v>
      </c>
      <c r="AP408">
        <v>-76</v>
      </c>
      <c r="AQ408">
        <v>-40</v>
      </c>
      <c r="AR408">
        <v>256</v>
      </c>
      <c r="AZ408">
        <v>1200</v>
      </c>
      <c r="BA408">
        <v>1</v>
      </c>
      <c r="BB408" t="str">
        <f t="shared" si="233"/>
        <v xml:space="preserve">N9217B  </v>
      </c>
      <c r="BC408">
        <v>1</v>
      </c>
      <c r="BE408">
        <v>0</v>
      </c>
      <c r="BF408">
        <v>0</v>
      </c>
      <c r="BG408">
        <v>0</v>
      </c>
      <c r="BH408">
        <v>8975</v>
      </c>
      <c r="BI408">
        <v>1</v>
      </c>
      <c r="BJ408">
        <v>0</v>
      </c>
      <c r="BK408">
        <v>0</v>
      </c>
      <c r="BL408">
        <v>0</v>
      </c>
      <c r="BO408">
        <v>0</v>
      </c>
      <c r="BP408">
        <v>0</v>
      </c>
      <c r="BW408" t="str">
        <f t="shared" si="241"/>
        <v>14:50:14.296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6</v>
      </c>
      <c r="CP408" t="s">
        <v>119</v>
      </c>
      <c r="CQ408">
        <v>285</v>
      </c>
      <c r="CR408">
        <v>0</v>
      </c>
      <c r="CW408">
        <v>8840548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25">
      <c r="A409" t="str">
        <f t="shared" si="238"/>
        <v>06/05/2020 14:50:08.646</v>
      </c>
      <c r="C409" t="str">
        <f t="shared" si="210"/>
        <v>FFDFD3C0</v>
      </c>
      <c r="D409" t="s">
        <v>113</v>
      </c>
      <c r="E409">
        <v>3</v>
      </c>
      <c r="H409">
        <v>166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239"/>
        <v>14:50:14.289</v>
      </c>
      <c r="T409" t="str">
        <f t="shared" si="240"/>
        <v>14:50:13.789</v>
      </c>
      <c r="U409" t="str">
        <f t="shared" si="228"/>
        <v>ACC530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1</v>
      </c>
      <c r="AH409">
        <v>0</v>
      </c>
      <c r="AI409" t="s">
        <v>289</v>
      </c>
      <c r="AJ409">
        <v>34.233356000000001</v>
      </c>
      <c r="AK409" t="s">
        <v>290</v>
      </c>
      <c r="AL409">
        <v>-116.902492</v>
      </c>
      <c r="AM409">
        <v>100</v>
      </c>
      <c r="AN409">
        <v>8900</v>
      </c>
      <c r="AO409" t="s">
        <v>118</v>
      </c>
      <c r="AP409">
        <v>-76</v>
      </c>
      <c r="AQ409">
        <v>-40</v>
      </c>
      <c r="AR409">
        <v>256</v>
      </c>
      <c r="AZ409">
        <v>1200</v>
      </c>
      <c r="BA409">
        <v>1</v>
      </c>
      <c r="BB409" t="str">
        <f t="shared" si="233"/>
        <v xml:space="preserve">N9217B  </v>
      </c>
      <c r="BC409">
        <v>1</v>
      </c>
      <c r="BE409">
        <v>0</v>
      </c>
      <c r="BF409">
        <v>0</v>
      </c>
      <c r="BG409">
        <v>0</v>
      </c>
      <c r="BH409">
        <v>8975</v>
      </c>
      <c r="BI409">
        <v>1</v>
      </c>
      <c r="BJ409">
        <v>0</v>
      </c>
      <c r="BK409">
        <v>0</v>
      </c>
      <c r="BL409">
        <v>0</v>
      </c>
      <c r="BO409">
        <v>0</v>
      </c>
      <c r="BP409">
        <v>0</v>
      </c>
      <c r="BW409" t="str">
        <f t="shared" si="241"/>
        <v>14:50:14.296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6</v>
      </c>
      <c r="CP409" t="s">
        <v>119</v>
      </c>
      <c r="CQ409">
        <v>285</v>
      </c>
      <c r="CR409">
        <v>0</v>
      </c>
      <c r="CW409">
        <v>8840548</v>
      </c>
      <c r="CY409">
        <v>0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25">
      <c r="A410" t="str">
        <f t="shared" ref="A410:A415" si="242">"06/05/2020 14:50:09.687"</f>
        <v>06/05/2020 14:50:09.687</v>
      </c>
      <c r="C410" t="str">
        <f t="shared" si="210"/>
        <v>FFDFD3C0</v>
      </c>
      <c r="D410" t="s">
        <v>113</v>
      </c>
      <c r="E410">
        <v>3</v>
      </c>
      <c r="H410">
        <v>166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ref="S410:T415" si="243">"14:50:15.328"</f>
        <v>14:50:15.328</v>
      </c>
      <c r="T410" t="str">
        <f t="shared" si="243"/>
        <v>14:50:15.328</v>
      </c>
      <c r="U410" t="str">
        <f t="shared" si="228"/>
        <v>ACC530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1</v>
      </c>
      <c r="AH410">
        <v>0</v>
      </c>
      <c r="AI410" t="s">
        <v>291</v>
      </c>
      <c r="AJ410">
        <v>34.233162</v>
      </c>
      <c r="AK410" t="s">
        <v>292</v>
      </c>
      <c r="AL410">
        <v>-116.90294299999999</v>
      </c>
      <c r="AM410">
        <v>100</v>
      </c>
      <c r="AN410">
        <v>8900</v>
      </c>
      <c r="AO410" t="s">
        <v>118</v>
      </c>
      <c r="AP410">
        <v>-76</v>
      </c>
      <c r="AQ410">
        <v>-40</v>
      </c>
      <c r="AR410">
        <v>256</v>
      </c>
      <c r="AZ410">
        <v>1200</v>
      </c>
      <c r="BA410">
        <v>1</v>
      </c>
      <c r="BB410" t="str">
        <f t="shared" si="233"/>
        <v xml:space="preserve">N9217B  </v>
      </c>
      <c r="BC410">
        <v>1</v>
      </c>
      <c r="BE410">
        <v>0</v>
      </c>
      <c r="BF410">
        <v>0</v>
      </c>
      <c r="BG410">
        <v>0</v>
      </c>
      <c r="BH410">
        <v>9000</v>
      </c>
      <c r="BI410">
        <v>1</v>
      </c>
      <c r="BJ410">
        <v>0</v>
      </c>
      <c r="BK410">
        <v>0</v>
      </c>
      <c r="BL410">
        <v>0</v>
      </c>
      <c r="BO410">
        <v>0</v>
      </c>
      <c r="BP410">
        <v>0</v>
      </c>
      <c r="BW410" t="str">
        <f t="shared" ref="BW410:BW415" si="244">"14:50:15.331"</f>
        <v>14:50:15.331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6</v>
      </c>
      <c r="CP410" t="s">
        <v>119</v>
      </c>
      <c r="CQ410">
        <v>285</v>
      </c>
      <c r="CR410">
        <v>0</v>
      </c>
      <c r="CW410">
        <v>8840643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25">
      <c r="A411" t="str">
        <f t="shared" si="242"/>
        <v>06/05/2020 14:50:09.687</v>
      </c>
      <c r="C411" t="str">
        <f t="shared" si="210"/>
        <v>FFDFD3C0</v>
      </c>
      <c r="D411" t="s">
        <v>143</v>
      </c>
      <c r="E411">
        <v>10</v>
      </c>
      <c r="F411">
        <v>3010</v>
      </c>
      <c r="G411" t="s">
        <v>144</v>
      </c>
      <c r="J411" t="s">
        <v>145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43"/>
        <v>14:50:15.328</v>
      </c>
      <c r="T411" t="str">
        <f t="shared" si="243"/>
        <v>14:50:15.328</v>
      </c>
      <c r="U411" t="str">
        <f t="shared" si="228"/>
        <v>ACC530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1</v>
      </c>
      <c r="AH411">
        <v>0</v>
      </c>
      <c r="AI411" t="s">
        <v>291</v>
      </c>
      <c r="AJ411">
        <v>34.233162</v>
      </c>
      <c r="AK411" t="s">
        <v>292</v>
      </c>
      <c r="AL411">
        <v>-116.90294299999999</v>
      </c>
      <c r="AM411">
        <v>100</v>
      </c>
      <c r="AN411">
        <v>8900</v>
      </c>
      <c r="AO411" t="s">
        <v>118</v>
      </c>
      <c r="AP411">
        <v>-76</v>
      </c>
      <c r="AQ411">
        <v>-40</v>
      </c>
      <c r="AR411">
        <v>256</v>
      </c>
      <c r="AZ411">
        <v>1200</v>
      </c>
      <c r="BA411">
        <v>1</v>
      </c>
      <c r="BB411" t="str">
        <f t="shared" si="233"/>
        <v xml:space="preserve">N9217B  </v>
      </c>
      <c r="BC411">
        <v>1</v>
      </c>
      <c r="BE411">
        <v>0</v>
      </c>
      <c r="BF411">
        <v>0</v>
      </c>
      <c r="BG411">
        <v>0</v>
      </c>
      <c r="BH411">
        <v>9000</v>
      </c>
      <c r="BI411">
        <v>1</v>
      </c>
      <c r="BJ411">
        <v>0</v>
      </c>
      <c r="BK411">
        <v>0</v>
      </c>
      <c r="BL411">
        <v>0</v>
      </c>
      <c r="BO411">
        <v>0</v>
      </c>
      <c r="BP411">
        <v>0</v>
      </c>
      <c r="BW411" t="str">
        <f t="shared" si="244"/>
        <v>14:50:15.331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293</v>
      </c>
      <c r="CR411">
        <v>1</v>
      </c>
      <c r="CW411">
        <v>15270496</v>
      </c>
      <c r="CY411">
        <v>0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25">
      <c r="A412" t="str">
        <f t="shared" si="242"/>
        <v>06/05/2020 14:50:09.687</v>
      </c>
      <c r="C412" t="str">
        <f t="shared" si="210"/>
        <v>FFDFD3C0</v>
      </c>
      <c r="D412" t="s">
        <v>151</v>
      </c>
      <c r="E412">
        <v>9</v>
      </c>
      <c r="H412">
        <v>226</v>
      </c>
      <c r="I412" t="s">
        <v>152</v>
      </c>
      <c r="J412" t="s">
        <v>150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43"/>
        <v>14:50:15.328</v>
      </c>
      <c r="T412" t="str">
        <f t="shared" si="243"/>
        <v>14:50:15.328</v>
      </c>
      <c r="U412" t="str">
        <f t="shared" si="228"/>
        <v>ACC530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1</v>
      </c>
      <c r="AH412">
        <v>0</v>
      </c>
      <c r="AI412" t="s">
        <v>291</v>
      </c>
      <c r="AJ412">
        <v>34.233162</v>
      </c>
      <c r="AK412" t="s">
        <v>292</v>
      </c>
      <c r="AL412">
        <v>-116.90294299999999</v>
      </c>
      <c r="AM412">
        <v>100</v>
      </c>
      <c r="AN412">
        <v>8900</v>
      </c>
      <c r="AO412" t="s">
        <v>118</v>
      </c>
      <c r="AP412">
        <v>-76</v>
      </c>
      <c r="AQ412">
        <v>-40</v>
      </c>
      <c r="AR412">
        <v>256</v>
      </c>
      <c r="AZ412">
        <v>1200</v>
      </c>
      <c r="BA412">
        <v>1</v>
      </c>
      <c r="BB412" t="str">
        <f t="shared" si="233"/>
        <v xml:space="preserve">N9217B  </v>
      </c>
      <c r="BC412">
        <v>1</v>
      </c>
      <c r="BE412">
        <v>0</v>
      </c>
      <c r="BF412">
        <v>0</v>
      </c>
      <c r="BG412">
        <v>0</v>
      </c>
      <c r="BH412">
        <v>9000</v>
      </c>
      <c r="BI412">
        <v>1</v>
      </c>
      <c r="BJ412">
        <v>0</v>
      </c>
      <c r="BK412">
        <v>0</v>
      </c>
      <c r="BL412">
        <v>0</v>
      </c>
      <c r="BO412">
        <v>0</v>
      </c>
      <c r="BP412">
        <v>0</v>
      </c>
      <c r="BW412" t="str">
        <f t="shared" si="244"/>
        <v>14:50:15.331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6</v>
      </c>
      <c r="CP412" t="s">
        <v>119</v>
      </c>
      <c r="CQ412">
        <v>285</v>
      </c>
      <c r="CR412">
        <v>0</v>
      </c>
      <c r="CW412">
        <v>8840643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25">
      <c r="A413" t="str">
        <f t="shared" si="242"/>
        <v>06/05/2020 14:50:09.687</v>
      </c>
      <c r="C413" t="str">
        <f t="shared" si="210"/>
        <v>FFDFD3C0</v>
      </c>
      <c r="D413" t="s">
        <v>134</v>
      </c>
      <c r="E413">
        <v>7</v>
      </c>
      <c r="F413">
        <v>2007</v>
      </c>
      <c r="G413" t="s">
        <v>135</v>
      </c>
      <c r="J413" t="s">
        <v>136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43"/>
        <v>14:50:15.328</v>
      </c>
      <c r="T413" t="str">
        <f t="shared" si="243"/>
        <v>14:50:15.328</v>
      </c>
      <c r="U413" t="str">
        <f t="shared" si="228"/>
        <v>ACC530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1</v>
      </c>
      <c r="AH413">
        <v>0</v>
      </c>
      <c r="AI413" t="s">
        <v>291</v>
      </c>
      <c r="AJ413">
        <v>34.233162</v>
      </c>
      <c r="AK413" t="s">
        <v>292</v>
      </c>
      <c r="AL413">
        <v>-116.90294299999999</v>
      </c>
      <c r="AM413">
        <v>100</v>
      </c>
      <c r="AN413">
        <v>8900</v>
      </c>
      <c r="AO413" t="s">
        <v>118</v>
      </c>
      <c r="AP413">
        <v>-76</v>
      </c>
      <c r="AQ413">
        <v>-40</v>
      </c>
      <c r="AR413">
        <v>256</v>
      </c>
      <c r="AZ413">
        <v>1200</v>
      </c>
      <c r="BA413">
        <v>1</v>
      </c>
      <c r="BB413" t="str">
        <f t="shared" si="233"/>
        <v xml:space="preserve">N9217B  </v>
      </c>
      <c r="BC413">
        <v>1</v>
      </c>
      <c r="BE413">
        <v>0</v>
      </c>
      <c r="BF413">
        <v>0</v>
      </c>
      <c r="BG413">
        <v>0</v>
      </c>
      <c r="BH413">
        <v>9000</v>
      </c>
      <c r="BI413">
        <v>1</v>
      </c>
      <c r="BJ413">
        <v>0</v>
      </c>
      <c r="BK413">
        <v>0</v>
      </c>
      <c r="BL413">
        <v>0</v>
      </c>
      <c r="BO413">
        <v>0</v>
      </c>
      <c r="BP413">
        <v>0</v>
      </c>
      <c r="BW413" t="str">
        <f t="shared" si="244"/>
        <v>14:50:15.331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6</v>
      </c>
      <c r="CP413" t="s">
        <v>119</v>
      </c>
      <c r="CQ413">
        <v>285</v>
      </c>
      <c r="CR413">
        <v>0</v>
      </c>
      <c r="CW413">
        <v>8840643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25">
      <c r="A414" t="str">
        <f t="shared" si="242"/>
        <v>06/05/2020 14:50:09.687</v>
      </c>
      <c r="C414" t="str">
        <f t="shared" si="210"/>
        <v>FFDFD3C0</v>
      </c>
      <c r="D414" t="s">
        <v>148</v>
      </c>
      <c r="E414">
        <v>8</v>
      </c>
      <c r="H414">
        <v>50</v>
      </c>
      <c r="I414" t="s">
        <v>149</v>
      </c>
      <c r="J414" t="s">
        <v>150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43"/>
        <v>14:50:15.328</v>
      </c>
      <c r="T414" t="str">
        <f t="shared" si="243"/>
        <v>14:50:15.328</v>
      </c>
      <c r="U414" t="str">
        <f t="shared" si="228"/>
        <v>ACC530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1</v>
      </c>
      <c r="AH414">
        <v>0</v>
      </c>
      <c r="AI414" t="s">
        <v>291</v>
      </c>
      <c r="AJ414">
        <v>34.233162</v>
      </c>
      <c r="AK414" t="s">
        <v>292</v>
      </c>
      <c r="AL414">
        <v>-116.90294299999999</v>
      </c>
      <c r="AM414">
        <v>100</v>
      </c>
      <c r="AN414">
        <v>8900</v>
      </c>
      <c r="AO414" t="s">
        <v>118</v>
      </c>
      <c r="AP414">
        <v>-76</v>
      </c>
      <c r="AQ414">
        <v>-40</v>
      </c>
      <c r="AR414">
        <v>256</v>
      </c>
      <c r="AZ414">
        <v>1200</v>
      </c>
      <c r="BA414">
        <v>1</v>
      </c>
      <c r="BB414" t="str">
        <f t="shared" si="233"/>
        <v xml:space="preserve">N9217B  </v>
      </c>
      <c r="BC414">
        <v>1</v>
      </c>
      <c r="BE414">
        <v>0</v>
      </c>
      <c r="BF414">
        <v>0</v>
      </c>
      <c r="BG414">
        <v>0</v>
      </c>
      <c r="BH414">
        <v>9000</v>
      </c>
      <c r="BI414">
        <v>1</v>
      </c>
      <c r="BJ414">
        <v>0</v>
      </c>
      <c r="BK414">
        <v>0</v>
      </c>
      <c r="BL414">
        <v>0</v>
      </c>
      <c r="BO414">
        <v>0</v>
      </c>
      <c r="BP414">
        <v>0</v>
      </c>
      <c r="BW414" t="str">
        <f t="shared" si="244"/>
        <v>14:50:15.331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6</v>
      </c>
      <c r="CP414" t="s">
        <v>119</v>
      </c>
      <c r="CQ414">
        <v>285</v>
      </c>
      <c r="CR414">
        <v>0</v>
      </c>
      <c r="CW414">
        <v>8840643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25">
      <c r="A415" t="str">
        <f t="shared" si="242"/>
        <v>06/05/2020 14:50:09.687</v>
      </c>
      <c r="C415" t="str">
        <f t="shared" si="210"/>
        <v>FFDFD3C0</v>
      </c>
      <c r="D415" t="s">
        <v>141</v>
      </c>
      <c r="E415">
        <v>20</v>
      </c>
      <c r="F415">
        <v>1020</v>
      </c>
      <c r="G415" t="s">
        <v>114</v>
      </c>
      <c r="J415" t="s">
        <v>142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43"/>
        <v>14:50:15.328</v>
      </c>
      <c r="T415" t="str">
        <f t="shared" si="243"/>
        <v>14:50:15.328</v>
      </c>
      <c r="U415" t="str">
        <f t="shared" si="228"/>
        <v>ACC530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1</v>
      </c>
      <c r="AH415">
        <v>0</v>
      </c>
      <c r="AI415" t="s">
        <v>291</v>
      </c>
      <c r="AJ415">
        <v>34.233162</v>
      </c>
      <c r="AK415" t="s">
        <v>292</v>
      </c>
      <c r="AL415">
        <v>-116.90294299999999</v>
      </c>
      <c r="AM415">
        <v>100</v>
      </c>
      <c r="AN415">
        <v>8900</v>
      </c>
      <c r="AO415" t="s">
        <v>118</v>
      </c>
      <c r="AP415">
        <v>-76</v>
      </c>
      <c r="AQ415">
        <v>-40</v>
      </c>
      <c r="AR415">
        <v>256</v>
      </c>
      <c r="AZ415">
        <v>1200</v>
      </c>
      <c r="BA415">
        <v>1</v>
      </c>
      <c r="BB415" t="str">
        <f t="shared" si="233"/>
        <v xml:space="preserve">N9217B  </v>
      </c>
      <c r="BC415">
        <v>1</v>
      </c>
      <c r="BE415">
        <v>0</v>
      </c>
      <c r="BF415">
        <v>0</v>
      </c>
      <c r="BG415">
        <v>0</v>
      </c>
      <c r="BH415">
        <v>9000</v>
      </c>
      <c r="BI415">
        <v>1</v>
      </c>
      <c r="BJ415">
        <v>0</v>
      </c>
      <c r="BK415">
        <v>0</v>
      </c>
      <c r="BL415">
        <v>0</v>
      </c>
      <c r="BO415">
        <v>0</v>
      </c>
      <c r="BP415">
        <v>0</v>
      </c>
      <c r="BW415" t="str">
        <f t="shared" si="244"/>
        <v>14:50:15.331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6</v>
      </c>
      <c r="CP415" t="s">
        <v>119</v>
      </c>
      <c r="CQ415">
        <v>285</v>
      </c>
      <c r="CR415">
        <v>0</v>
      </c>
      <c r="CW415">
        <v>8840643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25">
      <c r="A416" t="str">
        <f t="shared" ref="A416:A421" si="245">"06/05/2020 14:50:10.784"</f>
        <v>06/05/2020 14:50:10.784</v>
      </c>
      <c r="C416" t="str">
        <f t="shared" si="210"/>
        <v>FFDFD3C0</v>
      </c>
      <c r="D416" t="s">
        <v>134</v>
      </c>
      <c r="E416">
        <v>7</v>
      </c>
      <c r="F416">
        <v>2007</v>
      </c>
      <c r="G416" t="s">
        <v>135</v>
      </c>
      <c r="J416" t="s">
        <v>136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T421" si="246">"14:50:16.422"</f>
        <v>14:50:16.422</v>
      </c>
      <c r="T416" t="str">
        <f t="shared" si="246"/>
        <v>14:50:16.422</v>
      </c>
      <c r="U416" t="str">
        <f t="shared" si="228"/>
        <v>ACC530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1</v>
      </c>
      <c r="AH416">
        <v>0</v>
      </c>
      <c r="AI416" t="s">
        <v>293</v>
      </c>
      <c r="AJ416">
        <v>34.232948</v>
      </c>
      <c r="AK416" t="s">
        <v>294</v>
      </c>
      <c r="AL416">
        <v>-116.90339299999999</v>
      </c>
      <c r="AM416">
        <v>100</v>
      </c>
      <c r="AN416">
        <v>8900</v>
      </c>
      <c r="AO416" t="s">
        <v>118</v>
      </c>
      <c r="AP416">
        <v>-77</v>
      </c>
      <c r="AQ416">
        <v>-40</v>
      </c>
      <c r="AR416">
        <v>256</v>
      </c>
      <c r="AZ416">
        <v>1200</v>
      </c>
      <c r="BA416">
        <v>1</v>
      </c>
      <c r="BB416" t="str">
        <f t="shared" si="233"/>
        <v xml:space="preserve">N9217B  </v>
      </c>
      <c r="BC416">
        <v>1</v>
      </c>
      <c r="BE416">
        <v>0</v>
      </c>
      <c r="BF416">
        <v>0</v>
      </c>
      <c r="BG416">
        <v>0</v>
      </c>
      <c r="BH416">
        <v>9000</v>
      </c>
      <c r="BI416">
        <v>1</v>
      </c>
      <c r="BJ416">
        <v>0</v>
      </c>
      <c r="BK416">
        <v>0</v>
      </c>
      <c r="BL416">
        <v>0</v>
      </c>
      <c r="BO416">
        <v>0</v>
      </c>
      <c r="BP416">
        <v>0</v>
      </c>
      <c r="BW416" t="str">
        <f t="shared" ref="BW416:BW421" si="247">"14:50:16.426"</f>
        <v>14:50:16.426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6</v>
      </c>
      <c r="CP416" t="s">
        <v>119</v>
      </c>
      <c r="CQ416">
        <v>285</v>
      </c>
      <c r="CR416">
        <v>0</v>
      </c>
      <c r="CW416">
        <v>8840738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25">
      <c r="A417" t="str">
        <f t="shared" si="245"/>
        <v>06/05/2020 14:50:10.784</v>
      </c>
      <c r="C417" t="str">
        <f t="shared" si="210"/>
        <v>FFDFD3C0</v>
      </c>
      <c r="D417" t="s">
        <v>148</v>
      </c>
      <c r="E417">
        <v>8</v>
      </c>
      <c r="H417">
        <v>50</v>
      </c>
      <c r="I417" t="s">
        <v>149</v>
      </c>
      <c r="J417" t="s">
        <v>150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46"/>
        <v>14:50:16.422</v>
      </c>
      <c r="T417" t="str">
        <f t="shared" si="246"/>
        <v>14:50:16.422</v>
      </c>
      <c r="U417" t="str">
        <f t="shared" si="228"/>
        <v>ACC530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1</v>
      </c>
      <c r="AH417">
        <v>0</v>
      </c>
      <c r="AI417" t="s">
        <v>293</v>
      </c>
      <c r="AJ417">
        <v>34.232948</v>
      </c>
      <c r="AK417" t="s">
        <v>294</v>
      </c>
      <c r="AL417">
        <v>-116.90339299999999</v>
      </c>
      <c r="AM417">
        <v>100</v>
      </c>
      <c r="AN417">
        <v>8900</v>
      </c>
      <c r="AO417" t="s">
        <v>118</v>
      </c>
      <c r="AP417">
        <v>-77</v>
      </c>
      <c r="AQ417">
        <v>-40</v>
      </c>
      <c r="AR417">
        <v>256</v>
      </c>
      <c r="AZ417">
        <v>1200</v>
      </c>
      <c r="BA417">
        <v>1</v>
      </c>
      <c r="BB417" t="str">
        <f t="shared" si="233"/>
        <v xml:space="preserve">N9217B  </v>
      </c>
      <c r="BC417">
        <v>1</v>
      </c>
      <c r="BE417">
        <v>0</v>
      </c>
      <c r="BF417">
        <v>0</v>
      </c>
      <c r="BG417">
        <v>0</v>
      </c>
      <c r="BH417">
        <v>9000</v>
      </c>
      <c r="BI417">
        <v>1</v>
      </c>
      <c r="BJ417">
        <v>0</v>
      </c>
      <c r="BK417">
        <v>0</v>
      </c>
      <c r="BL417">
        <v>0</v>
      </c>
      <c r="BO417">
        <v>0</v>
      </c>
      <c r="BP417">
        <v>0</v>
      </c>
      <c r="BW417" t="str">
        <f t="shared" si="247"/>
        <v>14:50:16.426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6</v>
      </c>
      <c r="CP417" t="s">
        <v>119</v>
      </c>
      <c r="CQ417">
        <v>285</v>
      </c>
      <c r="CR417">
        <v>0</v>
      </c>
      <c r="CW417">
        <v>8840738</v>
      </c>
      <c r="CY417">
        <v>0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25">
      <c r="A418" t="str">
        <f t="shared" si="245"/>
        <v>06/05/2020 14:50:10.784</v>
      </c>
      <c r="C418" t="str">
        <f t="shared" si="210"/>
        <v>FFDFD3C0</v>
      </c>
      <c r="D418" t="s">
        <v>141</v>
      </c>
      <c r="E418">
        <v>20</v>
      </c>
      <c r="F418">
        <v>1020</v>
      </c>
      <c r="G418" t="s">
        <v>114</v>
      </c>
      <c r="J418" t="s">
        <v>142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46"/>
        <v>14:50:16.422</v>
      </c>
      <c r="T418" t="str">
        <f t="shared" si="246"/>
        <v>14:50:16.422</v>
      </c>
      <c r="U418" t="str">
        <f t="shared" si="228"/>
        <v>ACC530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1</v>
      </c>
      <c r="AH418">
        <v>0</v>
      </c>
      <c r="AI418" t="s">
        <v>293</v>
      </c>
      <c r="AJ418">
        <v>34.232948</v>
      </c>
      <c r="AK418" t="s">
        <v>294</v>
      </c>
      <c r="AL418">
        <v>-116.90339299999999</v>
      </c>
      <c r="AM418">
        <v>100</v>
      </c>
      <c r="AN418">
        <v>8900</v>
      </c>
      <c r="AO418" t="s">
        <v>118</v>
      </c>
      <c r="AP418">
        <v>-77</v>
      </c>
      <c r="AQ418">
        <v>-40</v>
      </c>
      <c r="AR418">
        <v>256</v>
      </c>
      <c r="AZ418">
        <v>1200</v>
      </c>
      <c r="BA418">
        <v>1</v>
      </c>
      <c r="BB418" t="str">
        <f t="shared" si="233"/>
        <v xml:space="preserve">N9217B  </v>
      </c>
      <c r="BC418">
        <v>1</v>
      </c>
      <c r="BE418">
        <v>0</v>
      </c>
      <c r="BF418">
        <v>0</v>
      </c>
      <c r="BG418">
        <v>0</v>
      </c>
      <c r="BH418">
        <v>9000</v>
      </c>
      <c r="BI418">
        <v>1</v>
      </c>
      <c r="BJ418">
        <v>0</v>
      </c>
      <c r="BK418">
        <v>0</v>
      </c>
      <c r="BL418">
        <v>0</v>
      </c>
      <c r="BO418">
        <v>0</v>
      </c>
      <c r="BP418">
        <v>0</v>
      </c>
      <c r="BW418" t="str">
        <f t="shared" si="247"/>
        <v>14:50:16.426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119</v>
      </c>
      <c r="CQ418">
        <v>285</v>
      </c>
      <c r="CR418">
        <v>0</v>
      </c>
      <c r="CW418">
        <v>8840738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25">
      <c r="A419" t="str">
        <f t="shared" si="245"/>
        <v>06/05/2020 14:50:10.784</v>
      </c>
      <c r="C419" t="str">
        <f t="shared" ref="C419:C482" si="248">"FFDFD3C0"</f>
        <v>FFDFD3C0</v>
      </c>
      <c r="D419" t="s">
        <v>113</v>
      </c>
      <c r="E419">
        <v>3</v>
      </c>
      <c r="H419">
        <v>166</v>
      </c>
      <c r="I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46"/>
        <v>14:50:16.422</v>
      </c>
      <c r="T419" t="str">
        <f t="shared" si="246"/>
        <v>14:50:16.422</v>
      </c>
      <c r="U419" t="str">
        <f t="shared" si="228"/>
        <v>ACC530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1</v>
      </c>
      <c r="AH419">
        <v>0</v>
      </c>
      <c r="AI419" t="s">
        <v>293</v>
      </c>
      <c r="AJ419">
        <v>34.232948</v>
      </c>
      <c r="AK419" t="s">
        <v>294</v>
      </c>
      <c r="AL419">
        <v>-116.90339299999999</v>
      </c>
      <c r="AM419">
        <v>100</v>
      </c>
      <c r="AN419">
        <v>8900</v>
      </c>
      <c r="AO419" t="s">
        <v>118</v>
      </c>
      <c r="AP419">
        <v>-77</v>
      </c>
      <c r="AQ419">
        <v>-40</v>
      </c>
      <c r="AR419">
        <v>256</v>
      </c>
      <c r="AZ419">
        <v>1200</v>
      </c>
      <c r="BA419">
        <v>1</v>
      </c>
      <c r="BB419" t="str">
        <f t="shared" si="233"/>
        <v xml:space="preserve">N9217B  </v>
      </c>
      <c r="BC419">
        <v>1</v>
      </c>
      <c r="BE419">
        <v>0</v>
      </c>
      <c r="BF419">
        <v>0</v>
      </c>
      <c r="BG419">
        <v>0</v>
      </c>
      <c r="BH419">
        <v>9000</v>
      </c>
      <c r="BI419">
        <v>1</v>
      </c>
      <c r="BJ419">
        <v>0</v>
      </c>
      <c r="BK419">
        <v>0</v>
      </c>
      <c r="BL419">
        <v>0</v>
      </c>
      <c r="BO419">
        <v>0</v>
      </c>
      <c r="BP419">
        <v>0</v>
      </c>
      <c r="BW419" t="str">
        <f t="shared" si="247"/>
        <v>14:50:16.426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119</v>
      </c>
      <c r="CQ419">
        <v>285</v>
      </c>
      <c r="CR419">
        <v>0</v>
      </c>
      <c r="CW419">
        <v>8840738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25">
      <c r="A420" t="str">
        <f t="shared" si="245"/>
        <v>06/05/2020 14:50:10.784</v>
      </c>
      <c r="C420" t="str">
        <f t="shared" si="248"/>
        <v>FFDFD3C0</v>
      </c>
      <c r="D420" t="s">
        <v>143</v>
      </c>
      <c r="E420">
        <v>10</v>
      </c>
      <c r="F420">
        <v>3010</v>
      </c>
      <c r="G420" t="s">
        <v>144</v>
      </c>
      <c r="J420" t="s">
        <v>145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46"/>
        <v>14:50:16.422</v>
      </c>
      <c r="T420" t="str">
        <f t="shared" si="246"/>
        <v>14:50:16.422</v>
      </c>
      <c r="U420" t="str">
        <f t="shared" si="228"/>
        <v>ACC530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1</v>
      </c>
      <c r="AH420">
        <v>0</v>
      </c>
      <c r="AI420" t="s">
        <v>293</v>
      </c>
      <c r="AJ420">
        <v>34.232948</v>
      </c>
      <c r="AK420" t="s">
        <v>294</v>
      </c>
      <c r="AL420">
        <v>-116.90339299999999</v>
      </c>
      <c r="AM420">
        <v>100</v>
      </c>
      <c r="AN420">
        <v>8900</v>
      </c>
      <c r="AO420" t="s">
        <v>118</v>
      </c>
      <c r="AP420">
        <v>-77</v>
      </c>
      <c r="AQ420">
        <v>-40</v>
      </c>
      <c r="AR420">
        <v>256</v>
      </c>
      <c r="AZ420">
        <v>1200</v>
      </c>
      <c r="BA420">
        <v>1</v>
      </c>
      <c r="BB420" t="str">
        <f t="shared" si="233"/>
        <v xml:space="preserve">N9217B  </v>
      </c>
      <c r="BC420">
        <v>1</v>
      </c>
      <c r="BE420">
        <v>0</v>
      </c>
      <c r="BF420">
        <v>0</v>
      </c>
      <c r="BG420">
        <v>0</v>
      </c>
      <c r="BH420">
        <v>9000</v>
      </c>
      <c r="BI420">
        <v>1</v>
      </c>
      <c r="BJ420">
        <v>0</v>
      </c>
      <c r="BK420">
        <v>0</v>
      </c>
      <c r="BL420">
        <v>0</v>
      </c>
      <c r="BO420">
        <v>0</v>
      </c>
      <c r="BP420">
        <v>0</v>
      </c>
      <c r="BW420" t="str">
        <f t="shared" si="247"/>
        <v>14:50:16.426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5</v>
      </c>
      <c r="CP420" t="s">
        <v>119</v>
      </c>
      <c r="CQ420">
        <v>293</v>
      </c>
      <c r="CR420">
        <v>1</v>
      </c>
      <c r="CW420">
        <v>15270627</v>
      </c>
      <c r="CY420">
        <v>0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25">
      <c r="A421" t="str">
        <f t="shared" si="245"/>
        <v>06/05/2020 14:50:10.784</v>
      </c>
      <c r="C421" t="str">
        <f t="shared" si="248"/>
        <v>FFDFD3C0</v>
      </c>
      <c r="D421" t="s">
        <v>151</v>
      </c>
      <c r="E421">
        <v>9</v>
      </c>
      <c r="H421">
        <v>226</v>
      </c>
      <c r="I421" t="s">
        <v>152</v>
      </c>
      <c r="J421" t="s">
        <v>150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46"/>
        <v>14:50:16.422</v>
      </c>
      <c r="T421" t="str">
        <f t="shared" si="246"/>
        <v>14:50:16.422</v>
      </c>
      <c r="U421" t="str">
        <f t="shared" si="228"/>
        <v>ACC530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1</v>
      </c>
      <c r="AH421">
        <v>0</v>
      </c>
      <c r="AI421" t="s">
        <v>293</v>
      </c>
      <c r="AJ421">
        <v>34.232948</v>
      </c>
      <c r="AK421" t="s">
        <v>294</v>
      </c>
      <c r="AL421">
        <v>-116.90339299999999</v>
      </c>
      <c r="AM421">
        <v>100</v>
      </c>
      <c r="AN421">
        <v>8900</v>
      </c>
      <c r="AO421" t="s">
        <v>118</v>
      </c>
      <c r="AP421">
        <v>-77</v>
      </c>
      <c r="AQ421">
        <v>-40</v>
      </c>
      <c r="AR421">
        <v>256</v>
      </c>
      <c r="AZ421">
        <v>1200</v>
      </c>
      <c r="BA421">
        <v>1</v>
      </c>
      <c r="BB421" t="str">
        <f t="shared" si="233"/>
        <v xml:space="preserve">N9217B  </v>
      </c>
      <c r="BC421">
        <v>1</v>
      </c>
      <c r="BE421">
        <v>0</v>
      </c>
      <c r="BF421">
        <v>0</v>
      </c>
      <c r="BG421">
        <v>0</v>
      </c>
      <c r="BH421">
        <v>9000</v>
      </c>
      <c r="BI421">
        <v>1</v>
      </c>
      <c r="BJ421">
        <v>0</v>
      </c>
      <c r="BK421">
        <v>0</v>
      </c>
      <c r="BL421">
        <v>0</v>
      </c>
      <c r="BO421">
        <v>0</v>
      </c>
      <c r="BP421">
        <v>0</v>
      </c>
      <c r="BW421" t="str">
        <f t="shared" si="247"/>
        <v>14:50:16.426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6</v>
      </c>
      <c r="CP421" t="s">
        <v>119</v>
      </c>
      <c r="CQ421">
        <v>285</v>
      </c>
      <c r="CR421">
        <v>0</v>
      </c>
      <c r="CW421">
        <v>8840738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25">
      <c r="A422" t="str">
        <f t="shared" ref="A422:A427" si="249">"06/05/2020 14:50:11.860"</f>
        <v>06/05/2020 14:50:11.860</v>
      </c>
      <c r="C422" t="str">
        <f t="shared" si="248"/>
        <v>FFDFD3C0</v>
      </c>
      <c r="D422" t="s">
        <v>113</v>
      </c>
      <c r="E422">
        <v>3</v>
      </c>
      <c r="H422">
        <v>166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ref="S422:S427" si="250">"14:50:17.516"</f>
        <v>14:50:17.516</v>
      </c>
      <c r="T422" t="str">
        <f t="shared" ref="T422:T427" si="251">"14:50:17.316"</f>
        <v>14:50:17.316</v>
      </c>
      <c r="U422" t="str">
        <f t="shared" si="228"/>
        <v>ACC530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1</v>
      </c>
      <c r="AH422">
        <v>0</v>
      </c>
      <c r="AI422" t="s">
        <v>295</v>
      </c>
      <c r="AJ422">
        <v>34.232754999999997</v>
      </c>
      <c r="AK422" t="s">
        <v>296</v>
      </c>
      <c r="AL422">
        <v>-116.903865</v>
      </c>
      <c r="AM422">
        <v>100</v>
      </c>
      <c r="AN422">
        <v>8900</v>
      </c>
      <c r="AO422" t="s">
        <v>118</v>
      </c>
      <c r="AP422">
        <v>-77</v>
      </c>
      <c r="AQ422">
        <v>-40</v>
      </c>
      <c r="AR422">
        <v>256</v>
      </c>
      <c r="AZ422">
        <v>1200</v>
      </c>
      <c r="BA422">
        <v>1</v>
      </c>
      <c r="BB422" t="str">
        <f t="shared" si="233"/>
        <v xml:space="preserve">N9217B  </v>
      </c>
      <c r="BC422">
        <v>1</v>
      </c>
      <c r="BE422">
        <v>0</v>
      </c>
      <c r="BF422">
        <v>0</v>
      </c>
      <c r="BG422">
        <v>0</v>
      </c>
      <c r="BH422">
        <v>9000</v>
      </c>
      <c r="BI422">
        <v>1</v>
      </c>
      <c r="BJ422">
        <v>0</v>
      </c>
      <c r="BK422">
        <v>0</v>
      </c>
      <c r="BL422">
        <v>0</v>
      </c>
      <c r="BO422">
        <v>0</v>
      </c>
      <c r="BP422">
        <v>0</v>
      </c>
      <c r="BW422" t="str">
        <f t="shared" ref="BW422:BW427" si="252">"14:50:17.520"</f>
        <v>14:50:17.520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285</v>
      </c>
      <c r="CR422">
        <v>0</v>
      </c>
      <c r="CW422">
        <v>8840834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25">
      <c r="A423" t="str">
        <f t="shared" si="249"/>
        <v>06/05/2020 14:50:11.860</v>
      </c>
      <c r="C423" t="str">
        <f t="shared" si="248"/>
        <v>FFDFD3C0</v>
      </c>
      <c r="D423" t="s">
        <v>151</v>
      </c>
      <c r="E423">
        <v>9</v>
      </c>
      <c r="H423">
        <v>226</v>
      </c>
      <c r="I423" t="s">
        <v>152</v>
      </c>
      <c r="J423" t="s">
        <v>150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50"/>
        <v>14:50:17.516</v>
      </c>
      <c r="T423" t="str">
        <f t="shared" si="251"/>
        <v>14:50:17.316</v>
      </c>
      <c r="U423" t="str">
        <f t="shared" si="228"/>
        <v>ACC530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1</v>
      </c>
      <c r="AH423">
        <v>0</v>
      </c>
      <c r="AI423" t="s">
        <v>295</v>
      </c>
      <c r="AJ423">
        <v>34.232754999999997</v>
      </c>
      <c r="AK423" t="s">
        <v>296</v>
      </c>
      <c r="AL423">
        <v>-116.903865</v>
      </c>
      <c r="AM423">
        <v>100</v>
      </c>
      <c r="AN423">
        <v>8900</v>
      </c>
      <c r="AO423" t="s">
        <v>118</v>
      </c>
      <c r="AP423">
        <v>-77</v>
      </c>
      <c r="AQ423">
        <v>-40</v>
      </c>
      <c r="AR423">
        <v>256</v>
      </c>
      <c r="AZ423">
        <v>1200</v>
      </c>
      <c r="BA423">
        <v>1</v>
      </c>
      <c r="BB423" t="str">
        <f t="shared" si="233"/>
        <v xml:space="preserve">N9217B  </v>
      </c>
      <c r="BC423">
        <v>1</v>
      </c>
      <c r="BE423">
        <v>0</v>
      </c>
      <c r="BF423">
        <v>0</v>
      </c>
      <c r="BG423">
        <v>0</v>
      </c>
      <c r="BH423">
        <v>9000</v>
      </c>
      <c r="BI423">
        <v>1</v>
      </c>
      <c r="BJ423">
        <v>0</v>
      </c>
      <c r="BK423">
        <v>0</v>
      </c>
      <c r="BL423">
        <v>0</v>
      </c>
      <c r="BO423">
        <v>0</v>
      </c>
      <c r="BP423">
        <v>0</v>
      </c>
      <c r="BW423" t="str">
        <f t="shared" si="252"/>
        <v>14:50:17.520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285</v>
      </c>
      <c r="CR423">
        <v>0</v>
      </c>
      <c r="CW423">
        <v>8840834</v>
      </c>
      <c r="CY423">
        <v>0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25">
      <c r="A424" t="str">
        <f t="shared" si="249"/>
        <v>06/05/2020 14:50:11.860</v>
      </c>
      <c r="C424" t="str">
        <f t="shared" si="248"/>
        <v>FFDFD3C0</v>
      </c>
      <c r="D424" t="s">
        <v>134</v>
      </c>
      <c r="E424">
        <v>7</v>
      </c>
      <c r="F424">
        <v>2007</v>
      </c>
      <c r="G424" t="s">
        <v>135</v>
      </c>
      <c r="J424" t="s">
        <v>136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50"/>
        <v>14:50:17.516</v>
      </c>
      <c r="T424" t="str">
        <f t="shared" si="251"/>
        <v>14:50:17.316</v>
      </c>
      <c r="U424" t="str">
        <f t="shared" si="228"/>
        <v>ACC530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1</v>
      </c>
      <c r="AH424">
        <v>0</v>
      </c>
      <c r="AI424" t="s">
        <v>295</v>
      </c>
      <c r="AJ424">
        <v>34.232754999999997</v>
      </c>
      <c r="AK424" t="s">
        <v>296</v>
      </c>
      <c r="AL424">
        <v>-116.903865</v>
      </c>
      <c r="AM424">
        <v>100</v>
      </c>
      <c r="AN424">
        <v>8900</v>
      </c>
      <c r="AO424" t="s">
        <v>118</v>
      </c>
      <c r="AP424">
        <v>-77</v>
      </c>
      <c r="AQ424">
        <v>-40</v>
      </c>
      <c r="AR424">
        <v>256</v>
      </c>
      <c r="AZ424">
        <v>1200</v>
      </c>
      <c r="BA424">
        <v>1</v>
      </c>
      <c r="BB424" t="str">
        <f t="shared" si="233"/>
        <v xml:space="preserve">N9217B  </v>
      </c>
      <c r="BC424">
        <v>1</v>
      </c>
      <c r="BE424">
        <v>0</v>
      </c>
      <c r="BF424">
        <v>0</v>
      </c>
      <c r="BG424">
        <v>0</v>
      </c>
      <c r="BH424">
        <v>9000</v>
      </c>
      <c r="BI424">
        <v>1</v>
      </c>
      <c r="BJ424">
        <v>0</v>
      </c>
      <c r="BK424">
        <v>0</v>
      </c>
      <c r="BL424">
        <v>0</v>
      </c>
      <c r="BO424">
        <v>0</v>
      </c>
      <c r="BP424">
        <v>0</v>
      </c>
      <c r="BW424" t="str">
        <f t="shared" si="252"/>
        <v>14:50:17.520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6</v>
      </c>
      <c r="CP424" t="s">
        <v>119</v>
      </c>
      <c r="CQ424">
        <v>285</v>
      </c>
      <c r="CR424">
        <v>0</v>
      </c>
      <c r="CW424">
        <v>8840834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25">
      <c r="A425" t="str">
        <f t="shared" si="249"/>
        <v>06/05/2020 14:50:11.860</v>
      </c>
      <c r="C425" t="str">
        <f t="shared" si="248"/>
        <v>FFDFD3C0</v>
      </c>
      <c r="D425" t="s">
        <v>148</v>
      </c>
      <c r="E425">
        <v>8</v>
      </c>
      <c r="H425">
        <v>50</v>
      </c>
      <c r="I425" t="s">
        <v>149</v>
      </c>
      <c r="J425" t="s">
        <v>150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50"/>
        <v>14:50:17.516</v>
      </c>
      <c r="T425" t="str">
        <f t="shared" si="251"/>
        <v>14:50:17.316</v>
      </c>
      <c r="U425" t="str">
        <f t="shared" si="228"/>
        <v>ACC530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1</v>
      </c>
      <c r="AH425">
        <v>0</v>
      </c>
      <c r="AI425" t="s">
        <v>295</v>
      </c>
      <c r="AJ425">
        <v>34.232754999999997</v>
      </c>
      <c r="AK425" t="s">
        <v>296</v>
      </c>
      <c r="AL425">
        <v>-116.903865</v>
      </c>
      <c r="AM425">
        <v>100</v>
      </c>
      <c r="AN425">
        <v>8900</v>
      </c>
      <c r="AO425" t="s">
        <v>118</v>
      </c>
      <c r="AP425">
        <v>-77</v>
      </c>
      <c r="AQ425">
        <v>-40</v>
      </c>
      <c r="AR425">
        <v>256</v>
      </c>
      <c r="AZ425">
        <v>1200</v>
      </c>
      <c r="BA425">
        <v>1</v>
      </c>
      <c r="BB425" t="str">
        <f t="shared" si="233"/>
        <v xml:space="preserve">N9217B  </v>
      </c>
      <c r="BC425">
        <v>1</v>
      </c>
      <c r="BE425">
        <v>0</v>
      </c>
      <c r="BF425">
        <v>0</v>
      </c>
      <c r="BG425">
        <v>0</v>
      </c>
      <c r="BH425">
        <v>9000</v>
      </c>
      <c r="BI425">
        <v>1</v>
      </c>
      <c r="BJ425">
        <v>0</v>
      </c>
      <c r="BK425">
        <v>0</v>
      </c>
      <c r="BL425">
        <v>0</v>
      </c>
      <c r="BO425">
        <v>0</v>
      </c>
      <c r="BP425">
        <v>0</v>
      </c>
      <c r="BW425" t="str">
        <f t="shared" si="252"/>
        <v>14:50:17.520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6</v>
      </c>
      <c r="CP425" t="s">
        <v>119</v>
      </c>
      <c r="CQ425">
        <v>285</v>
      </c>
      <c r="CR425">
        <v>0</v>
      </c>
      <c r="CW425">
        <v>8840834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25">
      <c r="A426" t="str">
        <f t="shared" si="249"/>
        <v>06/05/2020 14:50:11.860</v>
      </c>
      <c r="C426" t="str">
        <f t="shared" si="248"/>
        <v>FFDFD3C0</v>
      </c>
      <c r="D426" t="s">
        <v>141</v>
      </c>
      <c r="E426">
        <v>20</v>
      </c>
      <c r="F426">
        <v>1020</v>
      </c>
      <c r="G426" t="s">
        <v>114</v>
      </c>
      <c r="J426" t="s">
        <v>142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50"/>
        <v>14:50:17.516</v>
      </c>
      <c r="T426" t="str">
        <f t="shared" si="251"/>
        <v>14:50:17.316</v>
      </c>
      <c r="U426" t="str">
        <f t="shared" si="228"/>
        <v>ACC530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1</v>
      </c>
      <c r="AH426">
        <v>0</v>
      </c>
      <c r="AI426" t="s">
        <v>295</v>
      </c>
      <c r="AJ426">
        <v>34.232754999999997</v>
      </c>
      <c r="AK426" t="s">
        <v>296</v>
      </c>
      <c r="AL426">
        <v>-116.903865</v>
      </c>
      <c r="AM426">
        <v>100</v>
      </c>
      <c r="AN426">
        <v>8900</v>
      </c>
      <c r="AO426" t="s">
        <v>118</v>
      </c>
      <c r="AP426">
        <v>-77</v>
      </c>
      <c r="AQ426">
        <v>-40</v>
      </c>
      <c r="AR426">
        <v>256</v>
      </c>
      <c r="AZ426">
        <v>1200</v>
      </c>
      <c r="BA426">
        <v>1</v>
      </c>
      <c r="BB426" t="str">
        <f t="shared" si="233"/>
        <v xml:space="preserve">N9217B  </v>
      </c>
      <c r="BC426">
        <v>1</v>
      </c>
      <c r="BE426">
        <v>0</v>
      </c>
      <c r="BF426">
        <v>0</v>
      </c>
      <c r="BG426">
        <v>0</v>
      </c>
      <c r="BH426">
        <v>9000</v>
      </c>
      <c r="BI426">
        <v>1</v>
      </c>
      <c r="BJ426">
        <v>0</v>
      </c>
      <c r="BK426">
        <v>0</v>
      </c>
      <c r="BL426">
        <v>0</v>
      </c>
      <c r="BO426">
        <v>0</v>
      </c>
      <c r="BP426">
        <v>0</v>
      </c>
      <c r="BW426" t="str">
        <f t="shared" si="252"/>
        <v>14:50:17.520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6</v>
      </c>
      <c r="CP426" t="s">
        <v>119</v>
      </c>
      <c r="CQ426">
        <v>285</v>
      </c>
      <c r="CR426">
        <v>0</v>
      </c>
      <c r="CW426">
        <v>8840834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25">
      <c r="A427" t="str">
        <f t="shared" si="249"/>
        <v>06/05/2020 14:50:11.860</v>
      </c>
      <c r="C427" t="str">
        <f t="shared" si="248"/>
        <v>FFDFD3C0</v>
      </c>
      <c r="D427" t="s">
        <v>143</v>
      </c>
      <c r="E427">
        <v>10</v>
      </c>
      <c r="F427">
        <v>3010</v>
      </c>
      <c r="G427" t="s">
        <v>144</v>
      </c>
      <c r="J427" t="s">
        <v>145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50"/>
        <v>14:50:17.516</v>
      </c>
      <c r="T427" t="str">
        <f t="shared" si="251"/>
        <v>14:50:17.316</v>
      </c>
      <c r="U427" t="str">
        <f t="shared" si="228"/>
        <v>ACC530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1</v>
      </c>
      <c r="AH427">
        <v>0</v>
      </c>
      <c r="AI427" t="s">
        <v>295</v>
      </c>
      <c r="AJ427">
        <v>34.232754999999997</v>
      </c>
      <c r="AK427" t="s">
        <v>296</v>
      </c>
      <c r="AL427">
        <v>-116.903865</v>
      </c>
      <c r="AM427">
        <v>100</v>
      </c>
      <c r="AN427">
        <v>8900</v>
      </c>
      <c r="AO427" t="s">
        <v>118</v>
      </c>
      <c r="AP427">
        <v>-77</v>
      </c>
      <c r="AQ427">
        <v>-40</v>
      </c>
      <c r="AR427">
        <v>256</v>
      </c>
      <c r="AZ427">
        <v>1200</v>
      </c>
      <c r="BA427">
        <v>1</v>
      </c>
      <c r="BB427" t="str">
        <f t="shared" si="233"/>
        <v xml:space="preserve">N9217B  </v>
      </c>
      <c r="BC427">
        <v>1</v>
      </c>
      <c r="BE427">
        <v>0</v>
      </c>
      <c r="BF427">
        <v>0</v>
      </c>
      <c r="BG427">
        <v>0</v>
      </c>
      <c r="BH427">
        <v>9000</v>
      </c>
      <c r="BI427">
        <v>1</v>
      </c>
      <c r="BJ427">
        <v>0</v>
      </c>
      <c r="BK427">
        <v>0</v>
      </c>
      <c r="BL427">
        <v>0</v>
      </c>
      <c r="BO427">
        <v>0</v>
      </c>
      <c r="BP427">
        <v>0</v>
      </c>
      <c r="BW427" t="str">
        <f t="shared" si="252"/>
        <v>14:50:17.520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5</v>
      </c>
      <c r="CP427" t="s">
        <v>119</v>
      </c>
      <c r="CQ427">
        <v>293</v>
      </c>
      <c r="CR427">
        <v>1</v>
      </c>
      <c r="CW427">
        <v>15270759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25">
      <c r="A428" t="str">
        <f t="shared" ref="A428:A433" si="253">"06/05/2020 14:50:12.897"</f>
        <v>06/05/2020 14:50:12.897</v>
      </c>
      <c r="C428" t="str">
        <f t="shared" si="248"/>
        <v>FFDFD3C0</v>
      </c>
      <c r="D428" t="s">
        <v>151</v>
      </c>
      <c r="E428">
        <v>9</v>
      </c>
      <c r="H428">
        <v>226</v>
      </c>
      <c r="I428" t="s">
        <v>152</v>
      </c>
      <c r="J428" t="s">
        <v>150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ref="S428:S433" si="254">"14:50:18.555"</f>
        <v>14:50:18.555</v>
      </c>
      <c r="T428" t="str">
        <f t="shared" ref="T428:T433" si="255">"14:50:18.255"</f>
        <v>14:50:18.255</v>
      </c>
      <c r="U428" t="str">
        <f t="shared" si="228"/>
        <v>ACC530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1</v>
      </c>
      <c r="AH428">
        <v>0</v>
      </c>
      <c r="AI428" t="s">
        <v>297</v>
      </c>
      <c r="AJ428">
        <v>34.232582999999998</v>
      </c>
      <c r="AK428" t="s">
        <v>298</v>
      </c>
      <c r="AL428">
        <v>-116.90429399999999</v>
      </c>
      <c r="AM428">
        <v>100</v>
      </c>
      <c r="AN428">
        <v>8900</v>
      </c>
      <c r="AO428" t="s">
        <v>118</v>
      </c>
      <c r="AP428">
        <v>-77</v>
      </c>
      <c r="AQ428">
        <v>-40</v>
      </c>
      <c r="AR428">
        <v>256</v>
      </c>
      <c r="AZ428">
        <v>1200</v>
      </c>
      <c r="BA428">
        <v>1</v>
      </c>
      <c r="BB428" t="str">
        <f t="shared" si="233"/>
        <v xml:space="preserve">N9217B  </v>
      </c>
      <c r="BC428">
        <v>1</v>
      </c>
      <c r="BE428">
        <v>0</v>
      </c>
      <c r="BF428">
        <v>0</v>
      </c>
      <c r="BG428">
        <v>0</v>
      </c>
      <c r="BH428">
        <v>9000</v>
      </c>
      <c r="BI428">
        <v>1</v>
      </c>
      <c r="BJ428">
        <v>0</v>
      </c>
      <c r="BK428">
        <v>0</v>
      </c>
      <c r="BL428">
        <v>0</v>
      </c>
      <c r="BO428">
        <v>0</v>
      </c>
      <c r="BP428">
        <v>0</v>
      </c>
      <c r="BW428" t="str">
        <f t="shared" ref="BW428:BW433" si="256">"14:50:18.555"</f>
        <v>14:50:18.555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285</v>
      </c>
      <c r="CR428">
        <v>0</v>
      </c>
      <c r="CW428">
        <v>8840924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25">
      <c r="A429" t="str">
        <f t="shared" si="253"/>
        <v>06/05/2020 14:50:12.897</v>
      </c>
      <c r="C429" t="str">
        <f t="shared" si="248"/>
        <v>FFDFD3C0</v>
      </c>
      <c r="D429" t="s">
        <v>134</v>
      </c>
      <c r="E429">
        <v>7</v>
      </c>
      <c r="F429">
        <v>2007</v>
      </c>
      <c r="G429" t="s">
        <v>135</v>
      </c>
      <c r="J429" t="s">
        <v>136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54"/>
        <v>14:50:18.555</v>
      </c>
      <c r="T429" t="str">
        <f t="shared" si="255"/>
        <v>14:50:18.255</v>
      </c>
      <c r="U429" t="str">
        <f t="shared" si="228"/>
        <v>ACC530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1</v>
      </c>
      <c r="AH429">
        <v>0</v>
      </c>
      <c r="AI429" t="s">
        <v>297</v>
      </c>
      <c r="AJ429">
        <v>34.232582999999998</v>
      </c>
      <c r="AK429" t="s">
        <v>298</v>
      </c>
      <c r="AL429">
        <v>-116.90429399999999</v>
      </c>
      <c r="AM429">
        <v>100</v>
      </c>
      <c r="AN429">
        <v>8900</v>
      </c>
      <c r="AO429" t="s">
        <v>118</v>
      </c>
      <c r="AP429">
        <v>-77</v>
      </c>
      <c r="AQ429">
        <v>-40</v>
      </c>
      <c r="AR429">
        <v>256</v>
      </c>
      <c r="AZ429">
        <v>1200</v>
      </c>
      <c r="BA429">
        <v>1</v>
      </c>
      <c r="BB429" t="str">
        <f t="shared" si="233"/>
        <v xml:space="preserve">N9217B  </v>
      </c>
      <c r="BC429">
        <v>1</v>
      </c>
      <c r="BE429">
        <v>0</v>
      </c>
      <c r="BF429">
        <v>0</v>
      </c>
      <c r="BG429">
        <v>0</v>
      </c>
      <c r="BH429">
        <v>9000</v>
      </c>
      <c r="BI429">
        <v>1</v>
      </c>
      <c r="BJ429">
        <v>0</v>
      </c>
      <c r="BK429">
        <v>0</v>
      </c>
      <c r="BL429">
        <v>0</v>
      </c>
      <c r="BO429">
        <v>0</v>
      </c>
      <c r="BP429">
        <v>0</v>
      </c>
      <c r="BW429" t="str">
        <f t="shared" si="256"/>
        <v>14:50:18.555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285</v>
      </c>
      <c r="CR429">
        <v>0</v>
      </c>
      <c r="CW429">
        <v>8840924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25">
      <c r="A430" t="str">
        <f t="shared" si="253"/>
        <v>06/05/2020 14:50:12.897</v>
      </c>
      <c r="C430" t="str">
        <f t="shared" si="248"/>
        <v>FFDFD3C0</v>
      </c>
      <c r="D430" t="s">
        <v>143</v>
      </c>
      <c r="E430">
        <v>10</v>
      </c>
      <c r="F430">
        <v>3010</v>
      </c>
      <c r="G430" t="s">
        <v>144</v>
      </c>
      <c r="J430" t="s">
        <v>145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54"/>
        <v>14:50:18.555</v>
      </c>
      <c r="T430" t="str">
        <f t="shared" si="255"/>
        <v>14:50:18.255</v>
      </c>
      <c r="U430" t="str">
        <f t="shared" si="228"/>
        <v>ACC530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1</v>
      </c>
      <c r="AH430">
        <v>0</v>
      </c>
      <c r="AI430" t="s">
        <v>297</v>
      </c>
      <c r="AJ430">
        <v>34.232582999999998</v>
      </c>
      <c r="AK430" t="s">
        <v>298</v>
      </c>
      <c r="AL430">
        <v>-116.90429399999999</v>
      </c>
      <c r="AM430">
        <v>100</v>
      </c>
      <c r="AN430">
        <v>8900</v>
      </c>
      <c r="AO430" t="s">
        <v>118</v>
      </c>
      <c r="AP430">
        <v>-77</v>
      </c>
      <c r="AQ430">
        <v>-40</v>
      </c>
      <c r="AR430">
        <v>256</v>
      </c>
      <c r="AZ430">
        <v>1200</v>
      </c>
      <c r="BA430">
        <v>1</v>
      </c>
      <c r="BB430" t="str">
        <f t="shared" si="233"/>
        <v xml:space="preserve">N9217B  </v>
      </c>
      <c r="BC430">
        <v>1</v>
      </c>
      <c r="BE430">
        <v>0</v>
      </c>
      <c r="BF430">
        <v>0</v>
      </c>
      <c r="BG430">
        <v>0</v>
      </c>
      <c r="BH430">
        <v>9000</v>
      </c>
      <c r="BI430">
        <v>1</v>
      </c>
      <c r="BJ430">
        <v>0</v>
      </c>
      <c r="BK430">
        <v>0</v>
      </c>
      <c r="BL430">
        <v>0</v>
      </c>
      <c r="BO430">
        <v>0</v>
      </c>
      <c r="BP430">
        <v>0</v>
      </c>
      <c r="BW430" t="str">
        <f t="shared" si="256"/>
        <v>14:50:18.555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293</v>
      </c>
      <c r="CR430">
        <v>1</v>
      </c>
      <c r="CW430">
        <v>15270883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25">
      <c r="A431" t="str">
        <f t="shared" si="253"/>
        <v>06/05/2020 14:50:12.897</v>
      </c>
      <c r="C431" t="str">
        <f t="shared" si="248"/>
        <v>FFDFD3C0</v>
      </c>
      <c r="D431" t="s">
        <v>148</v>
      </c>
      <c r="E431">
        <v>8</v>
      </c>
      <c r="H431">
        <v>50</v>
      </c>
      <c r="I431" t="s">
        <v>149</v>
      </c>
      <c r="J431" t="s">
        <v>150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54"/>
        <v>14:50:18.555</v>
      </c>
      <c r="T431" t="str">
        <f t="shared" si="255"/>
        <v>14:50:18.255</v>
      </c>
      <c r="U431" t="str">
        <f t="shared" si="228"/>
        <v>ACC530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1</v>
      </c>
      <c r="AH431">
        <v>0</v>
      </c>
      <c r="AI431" t="s">
        <v>297</v>
      </c>
      <c r="AJ431">
        <v>34.232582999999998</v>
      </c>
      <c r="AK431" t="s">
        <v>298</v>
      </c>
      <c r="AL431">
        <v>-116.90429399999999</v>
      </c>
      <c r="AM431">
        <v>100</v>
      </c>
      <c r="AN431">
        <v>8900</v>
      </c>
      <c r="AO431" t="s">
        <v>118</v>
      </c>
      <c r="AP431">
        <v>-77</v>
      </c>
      <c r="AQ431">
        <v>-40</v>
      </c>
      <c r="AR431">
        <v>256</v>
      </c>
      <c r="AZ431">
        <v>1200</v>
      </c>
      <c r="BA431">
        <v>1</v>
      </c>
      <c r="BB431" t="str">
        <f t="shared" si="233"/>
        <v xml:space="preserve">N9217B  </v>
      </c>
      <c r="BC431">
        <v>1</v>
      </c>
      <c r="BE431">
        <v>0</v>
      </c>
      <c r="BF431">
        <v>0</v>
      </c>
      <c r="BG431">
        <v>0</v>
      </c>
      <c r="BH431">
        <v>9000</v>
      </c>
      <c r="BI431">
        <v>1</v>
      </c>
      <c r="BJ431">
        <v>0</v>
      </c>
      <c r="BK431">
        <v>0</v>
      </c>
      <c r="BL431">
        <v>0</v>
      </c>
      <c r="BO431">
        <v>0</v>
      </c>
      <c r="BP431">
        <v>0</v>
      </c>
      <c r="BW431" t="str">
        <f t="shared" si="256"/>
        <v>14:50:18.555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285</v>
      </c>
      <c r="CR431">
        <v>0</v>
      </c>
      <c r="CW431">
        <v>8840924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25">
      <c r="A432" t="str">
        <f t="shared" si="253"/>
        <v>06/05/2020 14:50:12.897</v>
      </c>
      <c r="C432" t="str">
        <f t="shared" si="248"/>
        <v>FFDFD3C0</v>
      </c>
      <c r="D432" t="s">
        <v>141</v>
      </c>
      <c r="E432">
        <v>20</v>
      </c>
      <c r="F432">
        <v>1020</v>
      </c>
      <c r="G432" t="s">
        <v>114</v>
      </c>
      <c r="J432" t="s">
        <v>142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54"/>
        <v>14:50:18.555</v>
      </c>
      <c r="T432" t="str">
        <f t="shared" si="255"/>
        <v>14:50:18.255</v>
      </c>
      <c r="U432" t="str">
        <f t="shared" si="228"/>
        <v>ACC530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1</v>
      </c>
      <c r="AH432">
        <v>0</v>
      </c>
      <c r="AI432" t="s">
        <v>297</v>
      </c>
      <c r="AJ432">
        <v>34.232582999999998</v>
      </c>
      <c r="AK432" t="s">
        <v>298</v>
      </c>
      <c r="AL432">
        <v>-116.90429399999999</v>
      </c>
      <c r="AM432">
        <v>100</v>
      </c>
      <c r="AN432">
        <v>8900</v>
      </c>
      <c r="AO432" t="s">
        <v>118</v>
      </c>
      <c r="AP432">
        <v>-77</v>
      </c>
      <c r="AQ432">
        <v>-40</v>
      </c>
      <c r="AR432">
        <v>256</v>
      </c>
      <c r="AZ432">
        <v>1200</v>
      </c>
      <c r="BA432">
        <v>1</v>
      </c>
      <c r="BB432" t="str">
        <f t="shared" si="233"/>
        <v xml:space="preserve">N9217B  </v>
      </c>
      <c r="BC432">
        <v>1</v>
      </c>
      <c r="BE432">
        <v>0</v>
      </c>
      <c r="BF432">
        <v>0</v>
      </c>
      <c r="BG432">
        <v>0</v>
      </c>
      <c r="BH432">
        <v>9000</v>
      </c>
      <c r="BI432">
        <v>1</v>
      </c>
      <c r="BJ432">
        <v>0</v>
      </c>
      <c r="BK432">
        <v>0</v>
      </c>
      <c r="BL432">
        <v>0</v>
      </c>
      <c r="BO432">
        <v>0</v>
      </c>
      <c r="BP432">
        <v>0</v>
      </c>
      <c r="BW432" t="str">
        <f t="shared" si="256"/>
        <v>14:50:18.555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285</v>
      </c>
      <c r="CR432">
        <v>0</v>
      </c>
      <c r="CW432">
        <v>8840924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25">
      <c r="A433" t="str">
        <f t="shared" si="253"/>
        <v>06/05/2020 14:50:12.897</v>
      </c>
      <c r="C433" t="str">
        <f t="shared" si="248"/>
        <v>FFDFD3C0</v>
      </c>
      <c r="D433" t="s">
        <v>113</v>
      </c>
      <c r="E433">
        <v>3</v>
      </c>
      <c r="H433">
        <v>166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54"/>
        <v>14:50:18.555</v>
      </c>
      <c r="T433" t="str">
        <f t="shared" si="255"/>
        <v>14:50:18.255</v>
      </c>
      <c r="U433" t="str">
        <f t="shared" si="228"/>
        <v>ACC530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1</v>
      </c>
      <c r="AH433">
        <v>0</v>
      </c>
      <c r="AI433" t="s">
        <v>297</v>
      </c>
      <c r="AJ433">
        <v>34.232582999999998</v>
      </c>
      <c r="AK433" t="s">
        <v>298</v>
      </c>
      <c r="AL433">
        <v>-116.90429399999999</v>
      </c>
      <c r="AM433">
        <v>100</v>
      </c>
      <c r="AN433">
        <v>8900</v>
      </c>
      <c r="AO433" t="s">
        <v>118</v>
      </c>
      <c r="AP433">
        <v>-77</v>
      </c>
      <c r="AQ433">
        <v>-40</v>
      </c>
      <c r="AR433">
        <v>256</v>
      </c>
      <c r="AZ433">
        <v>1200</v>
      </c>
      <c r="BA433">
        <v>1</v>
      </c>
      <c r="BB433" t="str">
        <f t="shared" si="233"/>
        <v xml:space="preserve">N9217B  </v>
      </c>
      <c r="BC433">
        <v>1</v>
      </c>
      <c r="BE433">
        <v>0</v>
      </c>
      <c r="BF433">
        <v>0</v>
      </c>
      <c r="BG433">
        <v>0</v>
      </c>
      <c r="BH433">
        <v>9000</v>
      </c>
      <c r="BI433">
        <v>1</v>
      </c>
      <c r="BJ433">
        <v>0</v>
      </c>
      <c r="BK433">
        <v>0</v>
      </c>
      <c r="BL433">
        <v>0</v>
      </c>
      <c r="BO433">
        <v>0</v>
      </c>
      <c r="BP433">
        <v>0</v>
      </c>
      <c r="BW433" t="str">
        <f t="shared" si="256"/>
        <v>14:50:18.555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285</v>
      </c>
      <c r="CR433">
        <v>0</v>
      </c>
      <c r="CW433">
        <v>8840924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25">
      <c r="A434" t="str">
        <f t="shared" ref="A434:A439" si="257">"06/05/2020 14:50:13.909"</f>
        <v>06/05/2020 14:50:13.909</v>
      </c>
      <c r="C434" t="str">
        <f t="shared" si="248"/>
        <v>FFDFD3C0</v>
      </c>
      <c r="D434" t="s">
        <v>151</v>
      </c>
      <c r="E434">
        <v>9</v>
      </c>
      <c r="H434">
        <v>226</v>
      </c>
      <c r="I434" t="s">
        <v>152</v>
      </c>
      <c r="J434" t="s">
        <v>150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S439" si="258">"14:50:19.555"</f>
        <v>14:50:19.555</v>
      </c>
      <c r="T434" t="str">
        <f t="shared" ref="T434:T439" si="259">"14:50:19.155"</f>
        <v>14:50:19.155</v>
      </c>
      <c r="U434" t="str">
        <f t="shared" si="228"/>
        <v>ACC530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1</v>
      </c>
      <c r="AH434">
        <v>0</v>
      </c>
      <c r="AI434" t="s">
        <v>299</v>
      </c>
      <c r="AJ434">
        <v>34.232390000000002</v>
      </c>
      <c r="AK434" t="s">
        <v>300</v>
      </c>
      <c r="AL434">
        <v>-116.904724</v>
      </c>
      <c r="AM434">
        <v>100</v>
      </c>
      <c r="AN434">
        <v>8900</v>
      </c>
      <c r="AO434" t="s">
        <v>118</v>
      </c>
      <c r="AP434">
        <v>-77</v>
      </c>
      <c r="AQ434">
        <v>-40</v>
      </c>
      <c r="AR434">
        <v>256</v>
      </c>
      <c r="AZ434">
        <v>1200</v>
      </c>
      <c r="BA434">
        <v>1</v>
      </c>
      <c r="BB434" t="str">
        <f t="shared" si="233"/>
        <v xml:space="preserve">N9217B  </v>
      </c>
      <c r="BC434">
        <v>1</v>
      </c>
      <c r="BE434">
        <v>0</v>
      </c>
      <c r="BF434">
        <v>0</v>
      </c>
      <c r="BG434">
        <v>0</v>
      </c>
      <c r="BH434">
        <v>9000</v>
      </c>
      <c r="BI434">
        <v>1</v>
      </c>
      <c r="BJ434">
        <v>0</v>
      </c>
      <c r="BK434">
        <v>0</v>
      </c>
      <c r="BL434">
        <v>0</v>
      </c>
      <c r="BO434">
        <v>0</v>
      </c>
      <c r="BP434">
        <v>0</v>
      </c>
      <c r="BW434" t="str">
        <f t="shared" ref="BW434:BW439" si="260">"14:50:19.560"</f>
        <v>14:50:19.560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285</v>
      </c>
      <c r="CR434">
        <v>0</v>
      </c>
      <c r="CW434">
        <v>8841011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25">
      <c r="A435" t="str">
        <f t="shared" si="257"/>
        <v>06/05/2020 14:50:13.909</v>
      </c>
      <c r="C435" t="str">
        <f t="shared" si="248"/>
        <v>FFDFD3C0</v>
      </c>
      <c r="D435" t="s">
        <v>134</v>
      </c>
      <c r="E435">
        <v>7</v>
      </c>
      <c r="F435">
        <v>2007</v>
      </c>
      <c r="G435" t="s">
        <v>135</v>
      </c>
      <c r="J435" t="s">
        <v>136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58"/>
        <v>14:50:19.555</v>
      </c>
      <c r="T435" t="str">
        <f t="shared" si="259"/>
        <v>14:50:19.155</v>
      </c>
      <c r="U435" t="str">
        <f t="shared" si="228"/>
        <v>ACC530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1</v>
      </c>
      <c r="AH435">
        <v>0</v>
      </c>
      <c r="AI435" t="s">
        <v>299</v>
      </c>
      <c r="AJ435">
        <v>34.232390000000002</v>
      </c>
      <c r="AK435" t="s">
        <v>300</v>
      </c>
      <c r="AL435">
        <v>-116.904724</v>
      </c>
      <c r="AM435">
        <v>100</v>
      </c>
      <c r="AN435">
        <v>8900</v>
      </c>
      <c r="AO435" t="s">
        <v>118</v>
      </c>
      <c r="AP435">
        <v>-77</v>
      </c>
      <c r="AQ435">
        <v>-40</v>
      </c>
      <c r="AR435">
        <v>256</v>
      </c>
      <c r="AZ435">
        <v>1200</v>
      </c>
      <c r="BA435">
        <v>1</v>
      </c>
      <c r="BB435" t="str">
        <f t="shared" si="233"/>
        <v xml:space="preserve">N9217B  </v>
      </c>
      <c r="BC435">
        <v>1</v>
      </c>
      <c r="BE435">
        <v>0</v>
      </c>
      <c r="BF435">
        <v>0</v>
      </c>
      <c r="BG435">
        <v>0</v>
      </c>
      <c r="BH435">
        <v>9000</v>
      </c>
      <c r="BI435">
        <v>1</v>
      </c>
      <c r="BJ435">
        <v>0</v>
      </c>
      <c r="BK435">
        <v>0</v>
      </c>
      <c r="BL435">
        <v>0</v>
      </c>
      <c r="BO435">
        <v>0</v>
      </c>
      <c r="BP435">
        <v>0</v>
      </c>
      <c r="BW435" t="str">
        <f t="shared" si="260"/>
        <v>14:50:19.560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285</v>
      </c>
      <c r="CR435">
        <v>0</v>
      </c>
      <c r="CW435">
        <v>8841011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25">
      <c r="A436" t="str">
        <f t="shared" si="257"/>
        <v>06/05/2020 14:50:13.909</v>
      </c>
      <c r="C436" t="str">
        <f t="shared" si="248"/>
        <v>FFDFD3C0</v>
      </c>
      <c r="D436" t="s">
        <v>143</v>
      </c>
      <c r="E436">
        <v>10</v>
      </c>
      <c r="F436">
        <v>3010</v>
      </c>
      <c r="G436" t="s">
        <v>144</v>
      </c>
      <c r="J436" t="s">
        <v>145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58"/>
        <v>14:50:19.555</v>
      </c>
      <c r="T436" t="str">
        <f t="shared" si="259"/>
        <v>14:50:19.155</v>
      </c>
      <c r="U436" t="str">
        <f t="shared" si="228"/>
        <v>ACC530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1</v>
      </c>
      <c r="AH436">
        <v>0</v>
      </c>
      <c r="AI436" t="s">
        <v>299</v>
      </c>
      <c r="AJ436">
        <v>34.232390000000002</v>
      </c>
      <c r="AK436" t="s">
        <v>300</v>
      </c>
      <c r="AL436">
        <v>-116.904724</v>
      </c>
      <c r="AM436">
        <v>100</v>
      </c>
      <c r="AN436">
        <v>8900</v>
      </c>
      <c r="AO436" t="s">
        <v>118</v>
      </c>
      <c r="AP436">
        <v>-77</v>
      </c>
      <c r="AQ436">
        <v>-40</v>
      </c>
      <c r="AR436">
        <v>256</v>
      </c>
      <c r="AZ436">
        <v>1200</v>
      </c>
      <c r="BA436">
        <v>1</v>
      </c>
      <c r="BB436" t="str">
        <f t="shared" si="233"/>
        <v xml:space="preserve">N9217B  </v>
      </c>
      <c r="BC436">
        <v>1</v>
      </c>
      <c r="BE436">
        <v>0</v>
      </c>
      <c r="BF436">
        <v>0</v>
      </c>
      <c r="BG436">
        <v>0</v>
      </c>
      <c r="BH436">
        <v>9000</v>
      </c>
      <c r="BI436">
        <v>1</v>
      </c>
      <c r="BJ436">
        <v>0</v>
      </c>
      <c r="BK436">
        <v>0</v>
      </c>
      <c r="BL436">
        <v>0</v>
      </c>
      <c r="BO436">
        <v>0</v>
      </c>
      <c r="BP436">
        <v>0</v>
      </c>
      <c r="BW436" t="str">
        <f t="shared" si="260"/>
        <v>14:50:19.560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293</v>
      </c>
      <c r="CR436">
        <v>1</v>
      </c>
      <c r="CW436">
        <v>15271001</v>
      </c>
      <c r="CY436">
        <v>0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25">
      <c r="A437" t="str">
        <f t="shared" si="257"/>
        <v>06/05/2020 14:50:13.909</v>
      </c>
      <c r="C437" t="str">
        <f t="shared" si="248"/>
        <v>FFDFD3C0</v>
      </c>
      <c r="D437" t="s">
        <v>141</v>
      </c>
      <c r="E437">
        <v>20</v>
      </c>
      <c r="F437">
        <v>1020</v>
      </c>
      <c r="G437" t="s">
        <v>114</v>
      </c>
      <c r="J437" t="s">
        <v>142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58"/>
        <v>14:50:19.555</v>
      </c>
      <c r="T437" t="str">
        <f t="shared" si="259"/>
        <v>14:50:19.155</v>
      </c>
      <c r="U437" t="str">
        <f t="shared" si="228"/>
        <v>ACC530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1</v>
      </c>
      <c r="AH437">
        <v>0</v>
      </c>
      <c r="AI437" t="s">
        <v>299</v>
      </c>
      <c r="AJ437">
        <v>34.232390000000002</v>
      </c>
      <c r="AK437" t="s">
        <v>300</v>
      </c>
      <c r="AL437">
        <v>-116.904724</v>
      </c>
      <c r="AM437">
        <v>100</v>
      </c>
      <c r="AN437">
        <v>8900</v>
      </c>
      <c r="AO437" t="s">
        <v>118</v>
      </c>
      <c r="AP437">
        <v>-77</v>
      </c>
      <c r="AQ437">
        <v>-40</v>
      </c>
      <c r="AR437">
        <v>256</v>
      </c>
      <c r="AZ437">
        <v>1200</v>
      </c>
      <c r="BA437">
        <v>1</v>
      </c>
      <c r="BB437" t="str">
        <f t="shared" si="233"/>
        <v xml:space="preserve">N9217B  </v>
      </c>
      <c r="BC437">
        <v>1</v>
      </c>
      <c r="BE437">
        <v>0</v>
      </c>
      <c r="BF437">
        <v>0</v>
      </c>
      <c r="BG437">
        <v>0</v>
      </c>
      <c r="BH437">
        <v>9000</v>
      </c>
      <c r="BI437">
        <v>1</v>
      </c>
      <c r="BJ437">
        <v>0</v>
      </c>
      <c r="BK437">
        <v>0</v>
      </c>
      <c r="BL437">
        <v>0</v>
      </c>
      <c r="BO437">
        <v>0</v>
      </c>
      <c r="BP437">
        <v>0</v>
      </c>
      <c r="BW437" t="str">
        <f t="shared" si="260"/>
        <v>14:50:19.560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285</v>
      </c>
      <c r="CR437">
        <v>0</v>
      </c>
      <c r="CW437">
        <v>8841011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25">
      <c r="A438" t="str">
        <f t="shared" si="257"/>
        <v>06/05/2020 14:50:13.909</v>
      </c>
      <c r="C438" t="str">
        <f t="shared" si="248"/>
        <v>FFDFD3C0</v>
      </c>
      <c r="D438" t="s">
        <v>148</v>
      </c>
      <c r="E438">
        <v>8</v>
      </c>
      <c r="H438">
        <v>50</v>
      </c>
      <c r="I438" t="s">
        <v>149</v>
      </c>
      <c r="J438" t="s">
        <v>150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58"/>
        <v>14:50:19.555</v>
      </c>
      <c r="T438" t="str">
        <f t="shared" si="259"/>
        <v>14:50:19.155</v>
      </c>
      <c r="U438" t="str">
        <f t="shared" si="228"/>
        <v>ACC530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1</v>
      </c>
      <c r="AH438">
        <v>0</v>
      </c>
      <c r="AI438" t="s">
        <v>299</v>
      </c>
      <c r="AJ438">
        <v>34.232390000000002</v>
      </c>
      <c r="AK438" t="s">
        <v>300</v>
      </c>
      <c r="AL438">
        <v>-116.904724</v>
      </c>
      <c r="AM438">
        <v>100</v>
      </c>
      <c r="AN438">
        <v>8900</v>
      </c>
      <c r="AO438" t="s">
        <v>118</v>
      </c>
      <c r="AP438">
        <v>-77</v>
      </c>
      <c r="AQ438">
        <v>-40</v>
      </c>
      <c r="AR438">
        <v>256</v>
      </c>
      <c r="AZ438">
        <v>1200</v>
      </c>
      <c r="BA438">
        <v>1</v>
      </c>
      <c r="BB438" t="str">
        <f t="shared" si="233"/>
        <v xml:space="preserve">N9217B  </v>
      </c>
      <c r="BC438">
        <v>1</v>
      </c>
      <c r="BE438">
        <v>0</v>
      </c>
      <c r="BF438">
        <v>0</v>
      </c>
      <c r="BG438">
        <v>0</v>
      </c>
      <c r="BH438">
        <v>9000</v>
      </c>
      <c r="BI438">
        <v>1</v>
      </c>
      <c r="BJ438">
        <v>0</v>
      </c>
      <c r="BK438">
        <v>0</v>
      </c>
      <c r="BL438">
        <v>0</v>
      </c>
      <c r="BO438">
        <v>0</v>
      </c>
      <c r="BP438">
        <v>0</v>
      </c>
      <c r="BW438" t="str">
        <f t="shared" si="260"/>
        <v>14:50:19.560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119</v>
      </c>
      <c r="CQ438">
        <v>285</v>
      </c>
      <c r="CR438">
        <v>0</v>
      </c>
      <c r="CW438">
        <v>8841011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25">
      <c r="A439" t="str">
        <f t="shared" si="257"/>
        <v>06/05/2020 14:50:13.909</v>
      </c>
      <c r="C439" t="str">
        <f t="shared" si="248"/>
        <v>FFDFD3C0</v>
      </c>
      <c r="D439" t="s">
        <v>113</v>
      </c>
      <c r="E439">
        <v>3</v>
      </c>
      <c r="H439">
        <v>166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58"/>
        <v>14:50:19.555</v>
      </c>
      <c r="T439" t="str">
        <f t="shared" si="259"/>
        <v>14:50:19.155</v>
      </c>
      <c r="U439" t="str">
        <f t="shared" si="228"/>
        <v>ACC530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1</v>
      </c>
      <c r="AH439">
        <v>0</v>
      </c>
      <c r="AI439" t="s">
        <v>299</v>
      </c>
      <c r="AJ439">
        <v>34.232390000000002</v>
      </c>
      <c r="AK439" t="s">
        <v>300</v>
      </c>
      <c r="AL439">
        <v>-116.904724</v>
      </c>
      <c r="AM439">
        <v>100</v>
      </c>
      <c r="AN439">
        <v>8900</v>
      </c>
      <c r="AO439" t="s">
        <v>118</v>
      </c>
      <c r="AP439">
        <v>-77</v>
      </c>
      <c r="AQ439">
        <v>-40</v>
      </c>
      <c r="AR439">
        <v>256</v>
      </c>
      <c r="AZ439">
        <v>1200</v>
      </c>
      <c r="BA439">
        <v>1</v>
      </c>
      <c r="BB439" t="str">
        <f t="shared" si="233"/>
        <v xml:space="preserve">N9217B  </v>
      </c>
      <c r="BC439">
        <v>1</v>
      </c>
      <c r="BE439">
        <v>0</v>
      </c>
      <c r="BF439">
        <v>0</v>
      </c>
      <c r="BG439">
        <v>0</v>
      </c>
      <c r="BH439">
        <v>9000</v>
      </c>
      <c r="BI439">
        <v>1</v>
      </c>
      <c r="BJ439">
        <v>0</v>
      </c>
      <c r="BK439">
        <v>0</v>
      </c>
      <c r="BL439">
        <v>0</v>
      </c>
      <c r="BO439">
        <v>0</v>
      </c>
      <c r="BP439">
        <v>0</v>
      </c>
      <c r="BW439" t="str">
        <f t="shared" si="260"/>
        <v>14:50:19.560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285</v>
      </c>
      <c r="CR439">
        <v>0</v>
      </c>
      <c r="CW439">
        <v>8841011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25">
      <c r="A440" t="str">
        <f t="shared" ref="A440:A445" si="261">"06/05/2020 14:50:14.768"</f>
        <v>06/05/2020 14:50:14.768</v>
      </c>
      <c r="C440" t="str">
        <f t="shared" si="248"/>
        <v>FFDFD3C0</v>
      </c>
      <c r="D440" t="s">
        <v>134</v>
      </c>
      <c r="E440">
        <v>7</v>
      </c>
      <c r="F440">
        <v>2007</v>
      </c>
      <c r="G440" t="s">
        <v>135</v>
      </c>
      <c r="J440" t="s">
        <v>136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ref="S440:S445" si="262">"14:50:20.383"</f>
        <v>14:50:20.383</v>
      </c>
      <c r="T440" t="str">
        <f t="shared" ref="T440:T445" si="263">"14:50:20.183"</f>
        <v>14:50:20.183</v>
      </c>
      <c r="U440" t="str">
        <f t="shared" si="228"/>
        <v>ACC530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1</v>
      </c>
      <c r="AH440">
        <v>0</v>
      </c>
      <c r="AI440" t="s">
        <v>301</v>
      </c>
      <c r="AJ440">
        <v>34.232218000000003</v>
      </c>
      <c r="AK440" t="s">
        <v>302</v>
      </c>
      <c r="AL440">
        <v>-116.905131</v>
      </c>
      <c r="AM440">
        <v>100</v>
      </c>
      <c r="AN440">
        <v>8900</v>
      </c>
      <c r="AO440" t="s">
        <v>118</v>
      </c>
      <c r="AP440">
        <v>-77</v>
      </c>
      <c r="AQ440">
        <v>-40</v>
      </c>
      <c r="AR440">
        <v>256</v>
      </c>
      <c r="AZ440">
        <v>1200</v>
      </c>
      <c r="BA440">
        <v>1</v>
      </c>
      <c r="BB440" t="str">
        <f t="shared" si="233"/>
        <v xml:space="preserve">N9217B  </v>
      </c>
      <c r="BC440">
        <v>1</v>
      </c>
      <c r="BE440">
        <v>0</v>
      </c>
      <c r="BF440">
        <v>0</v>
      </c>
      <c r="BG440">
        <v>0</v>
      </c>
      <c r="BH440">
        <v>9025</v>
      </c>
      <c r="BI440">
        <v>1</v>
      </c>
      <c r="BJ440">
        <v>0</v>
      </c>
      <c r="BK440">
        <v>0</v>
      </c>
      <c r="BL440">
        <v>0</v>
      </c>
      <c r="BO440">
        <v>0</v>
      </c>
      <c r="BP440">
        <v>0</v>
      </c>
      <c r="BW440" t="str">
        <f t="shared" ref="BW440:BW445" si="264">"14:50:20.385"</f>
        <v>14:50:20.385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285</v>
      </c>
      <c r="CR440">
        <v>0</v>
      </c>
      <c r="CW440">
        <v>8841090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25">
      <c r="A441" t="str">
        <f t="shared" si="261"/>
        <v>06/05/2020 14:50:14.768</v>
      </c>
      <c r="C441" t="str">
        <f t="shared" si="248"/>
        <v>FFDFD3C0</v>
      </c>
      <c r="D441" t="s">
        <v>151</v>
      </c>
      <c r="E441">
        <v>9</v>
      </c>
      <c r="H441">
        <v>226</v>
      </c>
      <c r="I441" t="s">
        <v>152</v>
      </c>
      <c r="J441" t="s">
        <v>150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62"/>
        <v>14:50:20.383</v>
      </c>
      <c r="T441" t="str">
        <f t="shared" si="263"/>
        <v>14:50:20.183</v>
      </c>
      <c r="U441" t="str">
        <f t="shared" si="228"/>
        <v>ACC530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1</v>
      </c>
      <c r="AH441">
        <v>0</v>
      </c>
      <c r="AI441" t="s">
        <v>301</v>
      </c>
      <c r="AJ441">
        <v>34.232218000000003</v>
      </c>
      <c r="AK441" t="s">
        <v>302</v>
      </c>
      <c r="AL441">
        <v>-116.905131</v>
      </c>
      <c r="AM441">
        <v>100</v>
      </c>
      <c r="AN441">
        <v>8900</v>
      </c>
      <c r="AO441" t="s">
        <v>118</v>
      </c>
      <c r="AP441">
        <v>-77</v>
      </c>
      <c r="AQ441">
        <v>-40</v>
      </c>
      <c r="AR441">
        <v>256</v>
      </c>
      <c r="AZ441">
        <v>1200</v>
      </c>
      <c r="BA441">
        <v>1</v>
      </c>
      <c r="BB441" t="str">
        <f t="shared" si="233"/>
        <v xml:space="preserve">N9217B  </v>
      </c>
      <c r="BC441">
        <v>1</v>
      </c>
      <c r="BE441">
        <v>0</v>
      </c>
      <c r="BF441">
        <v>0</v>
      </c>
      <c r="BG441">
        <v>0</v>
      </c>
      <c r="BH441">
        <v>9025</v>
      </c>
      <c r="BI441">
        <v>1</v>
      </c>
      <c r="BJ441">
        <v>0</v>
      </c>
      <c r="BK441">
        <v>0</v>
      </c>
      <c r="BL441">
        <v>0</v>
      </c>
      <c r="BO441">
        <v>0</v>
      </c>
      <c r="BP441">
        <v>0</v>
      </c>
      <c r="BW441" t="str">
        <f t="shared" si="264"/>
        <v>14:50:20.385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285</v>
      </c>
      <c r="CR441">
        <v>0</v>
      </c>
      <c r="CW441">
        <v>8841090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25">
      <c r="A442" t="str">
        <f t="shared" si="261"/>
        <v>06/05/2020 14:50:14.768</v>
      </c>
      <c r="C442" t="str">
        <f t="shared" si="248"/>
        <v>FFDFD3C0</v>
      </c>
      <c r="D442" t="s">
        <v>143</v>
      </c>
      <c r="E442">
        <v>10</v>
      </c>
      <c r="F442">
        <v>3010</v>
      </c>
      <c r="G442" t="s">
        <v>144</v>
      </c>
      <c r="J442" t="s">
        <v>145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62"/>
        <v>14:50:20.383</v>
      </c>
      <c r="T442" t="str">
        <f t="shared" si="263"/>
        <v>14:50:20.183</v>
      </c>
      <c r="U442" t="str">
        <f t="shared" si="228"/>
        <v>ACC530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1</v>
      </c>
      <c r="AH442">
        <v>0</v>
      </c>
      <c r="AI442" t="s">
        <v>301</v>
      </c>
      <c r="AJ442">
        <v>34.232218000000003</v>
      </c>
      <c r="AK442" t="s">
        <v>302</v>
      </c>
      <c r="AL442">
        <v>-116.905131</v>
      </c>
      <c r="AM442">
        <v>100</v>
      </c>
      <c r="AN442">
        <v>8900</v>
      </c>
      <c r="AO442" t="s">
        <v>118</v>
      </c>
      <c r="AP442">
        <v>-77</v>
      </c>
      <c r="AQ442">
        <v>-40</v>
      </c>
      <c r="AR442">
        <v>256</v>
      </c>
      <c r="AZ442">
        <v>1200</v>
      </c>
      <c r="BA442">
        <v>1</v>
      </c>
      <c r="BB442" t="str">
        <f t="shared" si="233"/>
        <v xml:space="preserve">N9217B  </v>
      </c>
      <c r="BC442">
        <v>1</v>
      </c>
      <c r="BE442">
        <v>0</v>
      </c>
      <c r="BF442">
        <v>0</v>
      </c>
      <c r="BG442">
        <v>0</v>
      </c>
      <c r="BH442">
        <v>9025</v>
      </c>
      <c r="BI442">
        <v>1</v>
      </c>
      <c r="BJ442">
        <v>0</v>
      </c>
      <c r="BK442">
        <v>0</v>
      </c>
      <c r="BL442">
        <v>0</v>
      </c>
      <c r="BO442">
        <v>0</v>
      </c>
      <c r="BP442">
        <v>0</v>
      </c>
      <c r="BW442" t="str">
        <f t="shared" si="264"/>
        <v>14:50:20.385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293</v>
      </c>
      <c r="CR442">
        <v>1</v>
      </c>
      <c r="CW442">
        <v>15271096</v>
      </c>
      <c r="CY442">
        <v>0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25">
      <c r="A443" t="str">
        <f t="shared" si="261"/>
        <v>06/05/2020 14:50:14.768</v>
      </c>
      <c r="C443" t="str">
        <f t="shared" si="248"/>
        <v>FFDFD3C0</v>
      </c>
      <c r="D443" t="s">
        <v>141</v>
      </c>
      <c r="E443">
        <v>20</v>
      </c>
      <c r="F443">
        <v>1020</v>
      </c>
      <c r="G443" t="s">
        <v>114</v>
      </c>
      <c r="J443" t="s">
        <v>142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62"/>
        <v>14:50:20.383</v>
      </c>
      <c r="T443" t="str">
        <f t="shared" si="263"/>
        <v>14:50:20.183</v>
      </c>
      <c r="U443" t="str">
        <f t="shared" si="228"/>
        <v>ACC530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1</v>
      </c>
      <c r="AH443">
        <v>0</v>
      </c>
      <c r="AI443" t="s">
        <v>301</v>
      </c>
      <c r="AJ443">
        <v>34.232218000000003</v>
      </c>
      <c r="AK443" t="s">
        <v>302</v>
      </c>
      <c r="AL443">
        <v>-116.905131</v>
      </c>
      <c r="AM443">
        <v>100</v>
      </c>
      <c r="AN443">
        <v>8900</v>
      </c>
      <c r="AO443" t="s">
        <v>118</v>
      </c>
      <c r="AP443">
        <v>-77</v>
      </c>
      <c r="AQ443">
        <v>-40</v>
      </c>
      <c r="AR443">
        <v>256</v>
      </c>
      <c r="AZ443">
        <v>1200</v>
      </c>
      <c r="BA443">
        <v>1</v>
      </c>
      <c r="BB443" t="str">
        <f t="shared" si="233"/>
        <v xml:space="preserve">N9217B  </v>
      </c>
      <c r="BC443">
        <v>1</v>
      </c>
      <c r="BE443">
        <v>0</v>
      </c>
      <c r="BF443">
        <v>0</v>
      </c>
      <c r="BG443">
        <v>0</v>
      </c>
      <c r="BH443">
        <v>9025</v>
      </c>
      <c r="BI443">
        <v>1</v>
      </c>
      <c r="BJ443">
        <v>0</v>
      </c>
      <c r="BK443">
        <v>0</v>
      </c>
      <c r="BL443">
        <v>0</v>
      </c>
      <c r="BO443">
        <v>0</v>
      </c>
      <c r="BP443">
        <v>0</v>
      </c>
      <c r="BW443" t="str">
        <f t="shared" si="264"/>
        <v>14:50:20.385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285</v>
      </c>
      <c r="CR443">
        <v>0</v>
      </c>
      <c r="CW443">
        <v>8841090</v>
      </c>
      <c r="CY443">
        <v>0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25">
      <c r="A444" t="str">
        <f t="shared" si="261"/>
        <v>06/05/2020 14:50:14.768</v>
      </c>
      <c r="C444" t="str">
        <f t="shared" si="248"/>
        <v>FFDFD3C0</v>
      </c>
      <c r="D444" t="s">
        <v>148</v>
      </c>
      <c r="E444">
        <v>8</v>
      </c>
      <c r="H444">
        <v>50</v>
      </c>
      <c r="I444" t="s">
        <v>149</v>
      </c>
      <c r="J444" t="s">
        <v>150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262"/>
        <v>14:50:20.383</v>
      </c>
      <c r="T444" t="str">
        <f t="shared" si="263"/>
        <v>14:50:20.183</v>
      </c>
      <c r="U444" t="str">
        <f t="shared" si="228"/>
        <v>ACC530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1</v>
      </c>
      <c r="AH444">
        <v>0</v>
      </c>
      <c r="AI444" t="s">
        <v>301</v>
      </c>
      <c r="AJ444">
        <v>34.232218000000003</v>
      </c>
      <c r="AK444" t="s">
        <v>302</v>
      </c>
      <c r="AL444">
        <v>-116.905131</v>
      </c>
      <c r="AM444">
        <v>100</v>
      </c>
      <c r="AN444">
        <v>8900</v>
      </c>
      <c r="AO444" t="s">
        <v>118</v>
      </c>
      <c r="AP444">
        <v>-77</v>
      </c>
      <c r="AQ444">
        <v>-40</v>
      </c>
      <c r="AR444">
        <v>256</v>
      </c>
      <c r="AZ444">
        <v>1200</v>
      </c>
      <c r="BA444">
        <v>1</v>
      </c>
      <c r="BB444" t="str">
        <f t="shared" si="233"/>
        <v xml:space="preserve">N9217B  </v>
      </c>
      <c r="BC444">
        <v>1</v>
      </c>
      <c r="BE444">
        <v>0</v>
      </c>
      <c r="BF444">
        <v>0</v>
      </c>
      <c r="BG444">
        <v>0</v>
      </c>
      <c r="BH444">
        <v>9025</v>
      </c>
      <c r="BI444">
        <v>1</v>
      </c>
      <c r="BJ444">
        <v>0</v>
      </c>
      <c r="BK444">
        <v>0</v>
      </c>
      <c r="BL444">
        <v>0</v>
      </c>
      <c r="BO444">
        <v>0</v>
      </c>
      <c r="BP444">
        <v>0</v>
      </c>
      <c r="BW444" t="str">
        <f t="shared" si="264"/>
        <v>14:50:20.385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119</v>
      </c>
      <c r="CQ444">
        <v>285</v>
      </c>
      <c r="CR444">
        <v>0</v>
      </c>
      <c r="CW444">
        <v>8841090</v>
      </c>
      <c r="CY444">
        <v>0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25">
      <c r="A445" t="str">
        <f t="shared" si="261"/>
        <v>06/05/2020 14:50:14.768</v>
      </c>
      <c r="C445" t="str">
        <f t="shared" si="248"/>
        <v>FFDFD3C0</v>
      </c>
      <c r="D445" t="s">
        <v>113</v>
      </c>
      <c r="E445">
        <v>3</v>
      </c>
      <c r="H445">
        <v>166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62"/>
        <v>14:50:20.383</v>
      </c>
      <c r="T445" t="str">
        <f t="shared" si="263"/>
        <v>14:50:20.183</v>
      </c>
      <c r="U445" t="str">
        <f t="shared" si="228"/>
        <v>ACC530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1</v>
      </c>
      <c r="AH445">
        <v>0</v>
      </c>
      <c r="AI445" t="s">
        <v>301</v>
      </c>
      <c r="AJ445">
        <v>34.232218000000003</v>
      </c>
      <c r="AK445" t="s">
        <v>302</v>
      </c>
      <c r="AL445">
        <v>-116.905131</v>
      </c>
      <c r="AM445">
        <v>100</v>
      </c>
      <c r="AN445">
        <v>8900</v>
      </c>
      <c r="AO445" t="s">
        <v>118</v>
      </c>
      <c r="AP445">
        <v>-77</v>
      </c>
      <c r="AQ445">
        <v>-40</v>
      </c>
      <c r="AR445">
        <v>256</v>
      </c>
      <c r="AZ445">
        <v>1200</v>
      </c>
      <c r="BA445">
        <v>1</v>
      </c>
      <c r="BB445" t="str">
        <f t="shared" si="233"/>
        <v xml:space="preserve">N9217B  </v>
      </c>
      <c r="BC445">
        <v>1</v>
      </c>
      <c r="BE445">
        <v>0</v>
      </c>
      <c r="BF445">
        <v>0</v>
      </c>
      <c r="BG445">
        <v>0</v>
      </c>
      <c r="BH445">
        <v>9025</v>
      </c>
      <c r="BI445">
        <v>1</v>
      </c>
      <c r="BJ445">
        <v>0</v>
      </c>
      <c r="BK445">
        <v>0</v>
      </c>
      <c r="BL445">
        <v>0</v>
      </c>
      <c r="BO445">
        <v>0</v>
      </c>
      <c r="BP445">
        <v>0</v>
      </c>
      <c r="BW445" t="str">
        <f t="shared" si="264"/>
        <v>14:50:20.385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6</v>
      </c>
      <c r="CP445" t="s">
        <v>119</v>
      </c>
      <c r="CQ445">
        <v>285</v>
      </c>
      <c r="CR445">
        <v>0</v>
      </c>
      <c r="CW445">
        <v>8841090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25">
      <c r="A446" t="str">
        <f t="shared" ref="A446:A451" si="265">"06/05/2020 14:50:15.776"</f>
        <v>06/05/2020 14:50:15.776</v>
      </c>
      <c r="C446" t="str">
        <f t="shared" si="248"/>
        <v>FFDFD3C0</v>
      </c>
      <c r="D446" t="s">
        <v>134</v>
      </c>
      <c r="E446">
        <v>7</v>
      </c>
      <c r="F446">
        <v>2007</v>
      </c>
      <c r="G446" t="s">
        <v>135</v>
      </c>
      <c r="J446" t="s">
        <v>136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ref="S446:S451" si="266">"14:50:21.414"</f>
        <v>14:50:21.414</v>
      </c>
      <c r="T446" t="str">
        <f t="shared" ref="T446:T451" si="267">"14:50:21.314"</f>
        <v>14:50:21.314</v>
      </c>
      <c r="U446" t="str">
        <f t="shared" si="228"/>
        <v>ACC530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1</v>
      </c>
      <c r="AH446">
        <v>0</v>
      </c>
      <c r="AI446" t="s">
        <v>303</v>
      </c>
      <c r="AJ446">
        <v>34.232047000000001</v>
      </c>
      <c r="AK446" t="s">
        <v>304</v>
      </c>
      <c r="AL446">
        <v>-116.905582</v>
      </c>
      <c r="AM446">
        <v>100</v>
      </c>
      <c r="AN446">
        <v>8900</v>
      </c>
      <c r="AO446" t="s">
        <v>118</v>
      </c>
      <c r="AP446">
        <v>-77</v>
      </c>
      <c r="AQ446">
        <v>-40</v>
      </c>
      <c r="AR446">
        <v>256</v>
      </c>
      <c r="AZ446">
        <v>1200</v>
      </c>
      <c r="BA446">
        <v>1</v>
      </c>
      <c r="BB446" t="str">
        <f t="shared" si="233"/>
        <v xml:space="preserve">N9217B  </v>
      </c>
      <c r="BC446">
        <v>1</v>
      </c>
      <c r="BE446">
        <v>0</v>
      </c>
      <c r="BF446">
        <v>0</v>
      </c>
      <c r="BG446">
        <v>0</v>
      </c>
      <c r="BH446">
        <v>9025</v>
      </c>
      <c r="BI446">
        <v>1</v>
      </c>
      <c r="BJ446">
        <v>0</v>
      </c>
      <c r="BK446">
        <v>0</v>
      </c>
      <c r="BL446">
        <v>0</v>
      </c>
      <c r="BO446">
        <v>0</v>
      </c>
      <c r="BP446">
        <v>0</v>
      </c>
      <c r="BW446" t="str">
        <f t="shared" ref="BW446:BW451" si="268">"14:50:21.420"</f>
        <v>14:50:21.420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293</v>
      </c>
      <c r="CR446">
        <v>1</v>
      </c>
      <c r="CW446">
        <v>15271220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25">
      <c r="A447" t="str">
        <f t="shared" si="265"/>
        <v>06/05/2020 14:50:15.776</v>
      </c>
      <c r="C447" t="str">
        <f t="shared" si="248"/>
        <v>FFDFD3C0</v>
      </c>
      <c r="D447" t="s">
        <v>143</v>
      </c>
      <c r="E447">
        <v>10</v>
      </c>
      <c r="F447">
        <v>3010</v>
      </c>
      <c r="G447" t="s">
        <v>144</v>
      </c>
      <c r="J447" t="s">
        <v>145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66"/>
        <v>14:50:21.414</v>
      </c>
      <c r="T447" t="str">
        <f t="shared" si="267"/>
        <v>14:50:21.314</v>
      </c>
      <c r="U447" t="str">
        <f t="shared" si="228"/>
        <v>ACC530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1</v>
      </c>
      <c r="AH447">
        <v>0</v>
      </c>
      <c r="AI447" t="s">
        <v>303</v>
      </c>
      <c r="AJ447">
        <v>34.232047000000001</v>
      </c>
      <c r="AK447" t="s">
        <v>304</v>
      </c>
      <c r="AL447">
        <v>-116.905582</v>
      </c>
      <c r="AM447">
        <v>100</v>
      </c>
      <c r="AN447">
        <v>8900</v>
      </c>
      <c r="AO447" t="s">
        <v>118</v>
      </c>
      <c r="AP447">
        <v>-77</v>
      </c>
      <c r="AQ447">
        <v>-40</v>
      </c>
      <c r="AR447">
        <v>256</v>
      </c>
      <c r="AZ447">
        <v>1200</v>
      </c>
      <c r="BA447">
        <v>1</v>
      </c>
      <c r="BB447" t="str">
        <f t="shared" si="233"/>
        <v xml:space="preserve">N9217B  </v>
      </c>
      <c r="BC447">
        <v>1</v>
      </c>
      <c r="BE447">
        <v>0</v>
      </c>
      <c r="BF447">
        <v>0</v>
      </c>
      <c r="BG447">
        <v>0</v>
      </c>
      <c r="BH447">
        <v>9025</v>
      </c>
      <c r="BI447">
        <v>1</v>
      </c>
      <c r="BJ447">
        <v>0</v>
      </c>
      <c r="BK447">
        <v>0</v>
      </c>
      <c r="BL447">
        <v>0</v>
      </c>
      <c r="BO447">
        <v>0</v>
      </c>
      <c r="BP447">
        <v>0</v>
      </c>
      <c r="BW447" t="str">
        <f t="shared" si="268"/>
        <v>14:50:21.420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6</v>
      </c>
      <c r="CP447" t="s">
        <v>119</v>
      </c>
      <c r="CQ447">
        <v>293</v>
      </c>
      <c r="CR447">
        <v>1</v>
      </c>
      <c r="CW447">
        <v>15271220</v>
      </c>
      <c r="CY447">
        <v>0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25">
      <c r="A448" t="str">
        <f t="shared" si="265"/>
        <v>06/05/2020 14:50:15.776</v>
      </c>
      <c r="C448" t="str">
        <f t="shared" si="248"/>
        <v>FFDFD3C0</v>
      </c>
      <c r="D448" t="s">
        <v>151</v>
      </c>
      <c r="E448">
        <v>9</v>
      </c>
      <c r="H448">
        <v>226</v>
      </c>
      <c r="I448" t="s">
        <v>152</v>
      </c>
      <c r="J448" t="s">
        <v>150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66"/>
        <v>14:50:21.414</v>
      </c>
      <c r="T448" t="str">
        <f t="shared" si="267"/>
        <v>14:50:21.314</v>
      </c>
      <c r="U448" t="str">
        <f t="shared" si="228"/>
        <v>ACC530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1</v>
      </c>
      <c r="AH448">
        <v>0</v>
      </c>
      <c r="AI448" t="s">
        <v>303</v>
      </c>
      <c r="AJ448">
        <v>34.232047000000001</v>
      </c>
      <c r="AK448" t="s">
        <v>304</v>
      </c>
      <c r="AL448">
        <v>-116.905582</v>
      </c>
      <c r="AM448">
        <v>100</v>
      </c>
      <c r="AN448">
        <v>8900</v>
      </c>
      <c r="AO448" t="s">
        <v>118</v>
      </c>
      <c r="AP448">
        <v>-77</v>
      </c>
      <c r="AQ448">
        <v>-40</v>
      </c>
      <c r="AR448">
        <v>256</v>
      </c>
      <c r="AZ448">
        <v>1200</v>
      </c>
      <c r="BA448">
        <v>1</v>
      </c>
      <c r="BB448" t="str">
        <f t="shared" si="233"/>
        <v xml:space="preserve">N9217B  </v>
      </c>
      <c r="BC448">
        <v>1</v>
      </c>
      <c r="BE448">
        <v>0</v>
      </c>
      <c r="BF448">
        <v>0</v>
      </c>
      <c r="BG448">
        <v>0</v>
      </c>
      <c r="BH448">
        <v>9025</v>
      </c>
      <c r="BI448">
        <v>1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 t="shared" si="268"/>
        <v>14:50:21.420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6</v>
      </c>
      <c r="CP448" t="s">
        <v>119</v>
      </c>
      <c r="CQ448">
        <v>293</v>
      </c>
      <c r="CR448">
        <v>1</v>
      </c>
      <c r="CW448">
        <v>15271220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25">
      <c r="A449" t="str">
        <f t="shared" si="265"/>
        <v>06/05/2020 14:50:15.776</v>
      </c>
      <c r="C449" t="str">
        <f t="shared" si="248"/>
        <v>FFDFD3C0</v>
      </c>
      <c r="D449" t="s">
        <v>141</v>
      </c>
      <c r="E449">
        <v>20</v>
      </c>
      <c r="F449">
        <v>1020</v>
      </c>
      <c r="G449" t="s">
        <v>114</v>
      </c>
      <c r="J449" t="s">
        <v>142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66"/>
        <v>14:50:21.414</v>
      </c>
      <c r="T449" t="str">
        <f t="shared" si="267"/>
        <v>14:50:21.314</v>
      </c>
      <c r="U449" t="str">
        <f t="shared" si="228"/>
        <v>ACC530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1</v>
      </c>
      <c r="AH449">
        <v>0</v>
      </c>
      <c r="AI449" t="s">
        <v>303</v>
      </c>
      <c r="AJ449">
        <v>34.232047000000001</v>
      </c>
      <c r="AK449" t="s">
        <v>304</v>
      </c>
      <c r="AL449">
        <v>-116.905582</v>
      </c>
      <c r="AM449">
        <v>100</v>
      </c>
      <c r="AN449">
        <v>8900</v>
      </c>
      <c r="AO449" t="s">
        <v>118</v>
      </c>
      <c r="AP449">
        <v>-77</v>
      </c>
      <c r="AQ449">
        <v>-40</v>
      </c>
      <c r="AR449">
        <v>256</v>
      </c>
      <c r="AZ449">
        <v>1200</v>
      </c>
      <c r="BA449">
        <v>1</v>
      </c>
      <c r="BB449" t="str">
        <f t="shared" si="233"/>
        <v xml:space="preserve">N9217B  </v>
      </c>
      <c r="BC449">
        <v>1</v>
      </c>
      <c r="BE449">
        <v>0</v>
      </c>
      <c r="BF449">
        <v>0</v>
      </c>
      <c r="BG449">
        <v>0</v>
      </c>
      <c r="BH449">
        <v>9025</v>
      </c>
      <c r="BI449">
        <v>1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 t="shared" si="268"/>
        <v>14:50:21.420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293</v>
      </c>
      <c r="CR449">
        <v>1</v>
      </c>
      <c r="CW449">
        <v>15271220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25">
      <c r="A450" t="str">
        <f t="shared" si="265"/>
        <v>06/05/2020 14:50:15.776</v>
      </c>
      <c r="C450" t="str">
        <f t="shared" si="248"/>
        <v>FFDFD3C0</v>
      </c>
      <c r="D450" t="s">
        <v>148</v>
      </c>
      <c r="E450">
        <v>8</v>
      </c>
      <c r="H450">
        <v>50</v>
      </c>
      <c r="I450" t="s">
        <v>149</v>
      </c>
      <c r="J450" t="s">
        <v>150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66"/>
        <v>14:50:21.414</v>
      </c>
      <c r="T450" t="str">
        <f t="shared" si="267"/>
        <v>14:50:21.314</v>
      </c>
      <c r="U450" t="str">
        <f t="shared" ref="U450:U513" si="269">"ACC530"</f>
        <v>ACC530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1</v>
      </c>
      <c r="AH450">
        <v>0</v>
      </c>
      <c r="AI450" t="s">
        <v>303</v>
      </c>
      <c r="AJ450">
        <v>34.232047000000001</v>
      </c>
      <c r="AK450" t="s">
        <v>304</v>
      </c>
      <c r="AL450">
        <v>-116.905582</v>
      </c>
      <c r="AM450">
        <v>100</v>
      </c>
      <c r="AN450">
        <v>8900</v>
      </c>
      <c r="AO450" t="s">
        <v>118</v>
      </c>
      <c r="AP450">
        <v>-77</v>
      </c>
      <c r="AQ450">
        <v>-40</v>
      </c>
      <c r="AR450">
        <v>256</v>
      </c>
      <c r="AZ450">
        <v>1200</v>
      </c>
      <c r="BA450">
        <v>1</v>
      </c>
      <c r="BB450" t="str">
        <f t="shared" si="233"/>
        <v xml:space="preserve">N9217B  </v>
      </c>
      <c r="BC450">
        <v>1</v>
      </c>
      <c r="BE450">
        <v>0</v>
      </c>
      <c r="BF450">
        <v>0</v>
      </c>
      <c r="BG450">
        <v>0</v>
      </c>
      <c r="BH450">
        <v>9025</v>
      </c>
      <c r="BI450">
        <v>1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 t="shared" si="268"/>
        <v>14:50:21.420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293</v>
      </c>
      <c r="CR450">
        <v>1</v>
      </c>
      <c r="CW450">
        <v>15271220</v>
      </c>
      <c r="CY450">
        <v>0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25">
      <c r="A451" t="str">
        <f t="shared" si="265"/>
        <v>06/05/2020 14:50:15.776</v>
      </c>
      <c r="C451" t="str">
        <f t="shared" si="248"/>
        <v>FFDFD3C0</v>
      </c>
      <c r="D451" t="s">
        <v>113</v>
      </c>
      <c r="E451">
        <v>3</v>
      </c>
      <c r="H451">
        <v>166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66"/>
        <v>14:50:21.414</v>
      </c>
      <c r="T451" t="str">
        <f t="shared" si="267"/>
        <v>14:50:21.314</v>
      </c>
      <c r="U451" t="str">
        <f t="shared" si="269"/>
        <v>ACC530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1</v>
      </c>
      <c r="AH451">
        <v>0</v>
      </c>
      <c r="AI451" t="s">
        <v>303</v>
      </c>
      <c r="AJ451">
        <v>34.232047000000001</v>
      </c>
      <c r="AK451" t="s">
        <v>304</v>
      </c>
      <c r="AL451">
        <v>-116.905582</v>
      </c>
      <c r="AM451">
        <v>100</v>
      </c>
      <c r="AN451">
        <v>8900</v>
      </c>
      <c r="AO451" t="s">
        <v>118</v>
      </c>
      <c r="AP451">
        <v>-77</v>
      </c>
      <c r="AQ451">
        <v>-40</v>
      </c>
      <c r="AR451">
        <v>256</v>
      </c>
      <c r="AZ451">
        <v>1200</v>
      </c>
      <c r="BA451">
        <v>1</v>
      </c>
      <c r="BB451" t="str">
        <f t="shared" si="233"/>
        <v xml:space="preserve">N9217B  </v>
      </c>
      <c r="BC451">
        <v>1</v>
      </c>
      <c r="BE451">
        <v>0</v>
      </c>
      <c r="BF451">
        <v>0</v>
      </c>
      <c r="BG451">
        <v>0</v>
      </c>
      <c r="BH451">
        <v>9025</v>
      </c>
      <c r="BI451">
        <v>1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 t="shared" si="268"/>
        <v>14:50:21.420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293</v>
      </c>
      <c r="CR451">
        <v>1</v>
      </c>
      <c r="CW451">
        <v>15271220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25">
      <c r="A452" t="str">
        <f t="shared" ref="A452:A457" si="270">"06/05/2020 14:50:16.704"</f>
        <v>06/05/2020 14:50:16.704</v>
      </c>
      <c r="C452" t="str">
        <f t="shared" si="248"/>
        <v>FFDFD3C0</v>
      </c>
      <c r="D452" t="s">
        <v>148</v>
      </c>
      <c r="E452">
        <v>8</v>
      </c>
      <c r="H452">
        <v>50</v>
      </c>
      <c r="I452" t="s">
        <v>149</v>
      </c>
      <c r="J452" t="s">
        <v>150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T457" si="271">"14:50:22.359"</f>
        <v>14:50:22.359</v>
      </c>
      <c r="T452" t="str">
        <f t="shared" si="271"/>
        <v>14:50:22.359</v>
      </c>
      <c r="U452" t="str">
        <f t="shared" si="269"/>
        <v>ACC530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1</v>
      </c>
      <c r="AH452">
        <v>0</v>
      </c>
      <c r="AI452" t="s">
        <v>305</v>
      </c>
      <c r="AJ452">
        <v>34.231831999999997</v>
      </c>
      <c r="AK452" t="s">
        <v>306</v>
      </c>
      <c r="AL452">
        <v>-116.905968</v>
      </c>
      <c r="AM452">
        <v>100</v>
      </c>
      <c r="AN452">
        <v>8900</v>
      </c>
      <c r="AO452" t="s">
        <v>118</v>
      </c>
      <c r="AP452">
        <v>-77</v>
      </c>
      <c r="AQ452">
        <v>-41</v>
      </c>
      <c r="AR452">
        <v>192</v>
      </c>
      <c r="AZ452">
        <v>1200</v>
      </c>
      <c r="BA452">
        <v>1</v>
      </c>
      <c r="BB452" t="str">
        <f t="shared" si="233"/>
        <v xml:space="preserve">N9217B  </v>
      </c>
      <c r="BC452">
        <v>1</v>
      </c>
      <c r="BE452">
        <v>0</v>
      </c>
      <c r="BF452">
        <v>0</v>
      </c>
      <c r="BG452">
        <v>0</v>
      </c>
      <c r="BH452">
        <v>9025</v>
      </c>
      <c r="BI452">
        <v>1</v>
      </c>
      <c r="BJ452">
        <v>0</v>
      </c>
      <c r="BK452">
        <v>0</v>
      </c>
      <c r="BL452">
        <v>0</v>
      </c>
      <c r="BO452">
        <v>0</v>
      </c>
      <c r="BP452">
        <v>0</v>
      </c>
      <c r="BW452" t="str">
        <f t="shared" ref="BW452:BW457" si="272">"14:50:22.365"</f>
        <v>14:50:22.365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6</v>
      </c>
      <c r="CP452" t="s">
        <v>119</v>
      </c>
      <c r="CQ452">
        <v>285</v>
      </c>
      <c r="CR452">
        <v>0</v>
      </c>
      <c r="CW452">
        <v>8841276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25">
      <c r="A453" t="str">
        <f t="shared" si="270"/>
        <v>06/05/2020 14:50:16.704</v>
      </c>
      <c r="C453" t="str">
        <f t="shared" si="248"/>
        <v>FFDFD3C0</v>
      </c>
      <c r="D453" t="s">
        <v>113</v>
      </c>
      <c r="E453">
        <v>3</v>
      </c>
      <c r="H453">
        <v>166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71"/>
        <v>14:50:22.359</v>
      </c>
      <c r="T453" t="str">
        <f t="shared" si="271"/>
        <v>14:50:22.359</v>
      </c>
      <c r="U453" t="str">
        <f t="shared" si="269"/>
        <v>ACC530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1</v>
      </c>
      <c r="AH453">
        <v>0</v>
      </c>
      <c r="AI453" t="s">
        <v>305</v>
      </c>
      <c r="AJ453">
        <v>34.231831999999997</v>
      </c>
      <c r="AK453" t="s">
        <v>306</v>
      </c>
      <c r="AL453">
        <v>-116.905968</v>
      </c>
      <c r="AM453">
        <v>100</v>
      </c>
      <c r="AN453">
        <v>8900</v>
      </c>
      <c r="AO453" t="s">
        <v>118</v>
      </c>
      <c r="AP453">
        <v>-77</v>
      </c>
      <c r="AQ453">
        <v>-41</v>
      </c>
      <c r="AR453">
        <v>192</v>
      </c>
      <c r="AZ453">
        <v>1200</v>
      </c>
      <c r="BA453">
        <v>1</v>
      </c>
      <c r="BB453" t="str">
        <f t="shared" ref="BB453:BB516" si="273">"N9217B  "</f>
        <v xml:space="preserve">N9217B  </v>
      </c>
      <c r="BC453">
        <v>1</v>
      </c>
      <c r="BE453">
        <v>0</v>
      </c>
      <c r="BF453">
        <v>0</v>
      </c>
      <c r="BG453">
        <v>0</v>
      </c>
      <c r="BH453">
        <v>9025</v>
      </c>
      <c r="BI453">
        <v>1</v>
      </c>
      <c r="BJ453">
        <v>0</v>
      </c>
      <c r="BK453">
        <v>0</v>
      </c>
      <c r="BL453">
        <v>0</v>
      </c>
      <c r="BO453">
        <v>0</v>
      </c>
      <c r="BP453">
        <v>0</v>
      </c>
      <c r="BW453" t="str">
        <f t="shared" si="272"/>
        <v>14:50:22.365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285</v>
      </c>
      <c r="CR453">
        <v>0</v>
      </c>
      <c r="CW453">
        <v>8841276</v>
      </c>
      <c r="CY453">
        <v>0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25">
      <c r="A454" t="str">
        <f t="shared" si="270"/>
        <v>06/05/2020 14:50:16.704</v>
      </c>
      <c r="C454" t="str">
        <f t="shared" si="248"/>
        <v>FFDFD3C0</v>
      </c>
      <c r="D454" t="s">
        <v>143</v>
      </c>
      <c r="E454">
        <v>10</v>
      </c>
      <c r="F454">
        <v>3010</v>
      </c>
      <c r="G454" t="s">
        <v>144</v>
      </c>
      <c r="J454" t="s">
        <v>145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71"/>
        <v>14:50:22.359</v>
      </c>
      <c r="T454" t="str">
        <f t="shared" si="271"/>
        <v>14:50:22.359</v>
      </c>
      <c r="U454" t="str">
        <f t="shared" si="269"/>
        <v>ACC530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1</v>
      </c>
      <c r="AH454">
        <v>0</v>
      </c>
      <c r="AI454" t="s">
        <v>305</v>
      </c>
      <c r="AJ454">
        <v>34.231831999999997</v>
      </c>
      <c r="AK454" t="s">
        <v>306</v>
      </c>
      <c r="AL454">
        <v>-116.905968</v>
      </c>
      <c r="AM454">
        <v>100</v>
      </c>
      <c r="AN454">
        <v>8900</v>
      </c>
      <c r="AO454" t="s">
        <v>118</v>
      </c>
      <c r="AP454">
        <v>-77</v>
      </c>
      <c r="AQ454">
        <v>-41</v>
      </c>
      <c r="AR454">
        <v>192</v>
      </c>
      <c r="AZ454">
        <v>1200</v>
      </c>
      <c r="BA454">
        <v>1</v>
      </c>
      <c r="BB454" t="str">
        <f t="shared" si="273"/>
        <v xml:space="preserve">N9217B  </v>
      </c>
      <c r="BC454">
        <v>1</v>
      </c>
      <c r="BE454">
        <v>0</v>
      </c>
      <c r="BF454">
        <v>0</v>
      </c>
      <c r="BG454">
        <v>0</v>
      </c>
      <c r="BH454">
        <v>9025</v>
      </c>
      <c r="BI454">
        <v>1</v>
      </c>
      <c r="BJ454">
        <v>0</v>
      </c>
      <c r="BK454">
        <v>0</v>
      </c>
      <c r="BL454">
        <v>0</v>
      </c>
      <c r="BO454">
        <v>0</v>
      </c>
      <c r="BP454">
        <v>0</v>
      </c>
      <c r="BW454" t="str">
        <f t="shared" si="272"/>
        <v>14:50:22.365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6</v>
      </c>
      <c r="CP454" t="s">
        <v>119</v>
      </c>
      <c r="CQ454">
        <v>293</v>
      </c>
      <c r="CR454">
        <v>1</v>
      </c>
      <c r="CW454">
        <v>15271334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25">
      <c r="A455" t="str">
        <f t="shared" si="270"/>
        <v>06/05/2020 14:50:16.704</v>
      </c>
      <c r="C455" t="str">
        <f t="shared" si="248"/>
        <v>FFDFD3C0</v>
      </c>
      <c r="D455" t="s">
        <v>134</v>
      </c>
      <c r="E455">
        <v>7</v>
      </c>
      <c r="F455">
        <v>2007</v>
      </c>
      <c r="G455" t="s">
        <v>135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71"/>
        <v>14:50:22.359</v>
      </c>
      <c r="T455" t="str">
        <f t="shared" si="271"/>
        <v>14:50:22.359</v>
      </c>
      <c r="U455" t="str">
        <f t="shared" si="269"/>
        <v>ACC530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1</v>
      </c>
      <c r="AH455">
        <v>0</v>
      </c>
      <c r="AI455" t="s">
        <v>305</v>
      </c>
      <c r="AJ455">
        <v>34.231831999999997</v>
      </c>
      <c r="AK455" t="s">
        <v>306</v>
      </c>
      <c r="AL455">
        <v>-116.905968</v>
      </c>
      <c r="AM455">
        <v>100</v>
      </c>
      <c r="AN455">
        <v>8900</v>
      </c>
      <c r="AO455" t="s">
        <v>118</v>
      </c>
      <c r="AP455">
        <v>-77</v>
      </c>
      <c r="AQ455">
        <v>-41</v>
      </c>
      <c r="AR455">
        <v>192</v>
      </c>
      <c r="AZ455">
        <v>1200</v>
      </c>
      <c r="BA455">
        <v>1</v>
      </c>
      <c r="BB455" t="str">
        <f t="shared" si="273"/>
        <v xml:space="preserve">N9217B  </v>
      </c>
      <c r="BC455">
        <v>1</v>
      </c>
      <c r="BE455">
        <v>0</v>
      </c>
      <c r="BF455">
        <v>0</v>
      </c>
      <c r="BG455">
        <v>0</v>
      </c>
      <c r="BH455">
        <v>9025</v>
      </c>
      <c r="BI455">
        <v>1</v>
      </c>
      <c r="BJ455">
        <v>0</v>
      </c>
      <c r="BK455">
        <v>0</v>
      </c>
      <c r="BL455">
        <v>0</v>
      </c>
      <c r="BO455">
        <v>0</v>
      </c>
      <c r="BP455">
        <v>0</v>
      </c>
      <c r="BW455" t="str">
        <f t="shared" si="272"/>
        <v>14:50:22.365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6</v>
      </c>
      <c r="CP455" t="s">
        <v>119</v>
      </c>
      <c r="CQ455">
        <v>285</v>
      </c>
      <c r="CR455">
        <v>0</v>
      </c>
      <c r="CW455">
        <v>8841276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25">
      <c r="A456" t="str">
        <f t="shared" si="270"/>
        <v>06/05/2020 14:50:16.704</v>
      </c>
      <c r="C456" t="str">
        <f t="shared" si="248"/>
        <v>FFDFD3C0</v>
      </c>
      <c r="D456" t="s">
        <v>141</v>
      </c>
      <c r="E456">
        <v>20</v>
      </c>
      <c r="F456">
        <v>1020</v>
      </c>
      <c r="G456" t="s">
        <v>114</v>
      </c>
      <c r="J456" t="s">
        <v>142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71"/>
        <v>14:50:22.359</v>
      </c>
      <c r="T456" t="str">
        <f t="shared" si="271"/>
        <v>14:50:22.359</v>
      </c>
      <c r="U456" t="str">
        <f t="shared" si="269"/>
        <v>ACC530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1</v>
      </c>
      <c r="AH456">
        <v>0</v>
      </c>
      <c r="AI456" t="s">
        <v>305</v>
      </c>
      <c r="AJ456">
        <v>34.231831999999997</v>
      </c>
      <c r="AK456" t="s">
        <v>306</v>
      </c>
      <c r="AL456">
        <v>-116.905968</v>
      </c>
      <c r="AM456">
        <v>100</v>
      </c>
      <c r="AN456">
        <v>8900</v>
      </c>
      <c r="AO456" t="s">
        <v>118</v>
      </c>
      <c r="AP456">
        <v>-77</v>
      </c>
      <c r="AQ456">
        <v>-41</v>
      </c>
      <c r="AR456">
        <v>192</v>
      </c>
      <c r="AZ456">
        <v>1200</v>
      </c>
      <c r="BA456">
        <v>1</v>
      </c>
      <c r="BB456" t="str">
        <f t="shared" si="273"/>
        <v xml:space="preserve">N9217B  </v>
      </c>
      <c r="BC456">
        <v>1</v>
      </c>
      <c r="BE456">
        <v>0</v>
      </c>
      <c r="BF456">
        <v>0</v>
      </c>
      <c r="BG456">
        <v>0</v>
      </c>
      <c r="BH456">
        <v>9025</v>
      </c>
      <c r="BI456">
        <v>1</v>
      </c>
      <c r="BJ456">
        <v>0</v>
      </c>
      <c r="BK456">
        <v>0</v>
      </c>
      <c r="BL456">
        <v>0</v>
      </c>
      <c r="BO456">
        <v>0</v>
      </c>
      <c r="BP456">
        <v>0</v>
      </c>
      <c r="BW456" t="str">
        <f t="shared" si="272"/>
        <v>14:50:22.365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285</v>
      </c>
      <c r="CR456">
        <v>0</v>
      </c>
      <c r="CW456">
        <v>8841276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25">
      <c r="A457" t="str">
        <f t="shared" si="270"/>
        <v>06/05/2020 14:50:16.704</v>
      </c>
      <c r="C457" t="str">
        <f t="shared" si="248"/>
        <v>FFDFD3C0</v>
      </c>
      <c r="D457" t="s">
        <v>151</v>
      </c>
      <c r="E457">
        <v>9</v>
      </c>
      <c r="H457">
        <v>226</v>
      </c>
      <c r="I457" t="s">
        <v>152</v>
      </c>
      <c r="J457" t="s">
        <v>150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71"/>
        <v>14:50:22.359</v>
      </c>
      <c r="T457" t="str">
        <f t="shared" si="271"/>
        <v>14:50:22.359</v>
      </c>
      <c r="U457" t="str">
        <f t="shared" si="269"/>
        <v>ACC530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1</v>
      </c>
      <c r="AH457">
        <v>0</v>
      </c>
      <c r="AI457" t="s">
        <v>305</v>
      </c>
      <c r="AJ457">
        <v>34.231831999999997</v>
      </c>
      <c r="AK457" t="s">
        <v>306</v>
      </c>
      <c r="AL457">
        <v>-116.905968</v>
      </c>
      <c r="AM457">
        <v>100</v>
      </c>
      <c r="AN457">
        <v>8900</v>
      </c>
      <c r="AO457" t="s">
        <v>118</v>
      </c>
      <c r="AP457">
        <v>-77</v>
      </c>
      <c r="AQ457">
        <v>-41</v>
      </c>
      <c r="AR457">
        <v>192</v>
      </c>
      <c r="AZ457">
        <v>1200</v>
      </c>
      <c r="BA457">
        <v>1</v>
      </c>
      <c r="BB457" t="str">
        <f t="shared" si="273"/>
        <v xml:space="preserve">N9217B  </v>
      </c>
      <c r="BC457">
        <v>1</v>
      </c>
      <c r="BE457">
        <v>0</v>
      </c>
      <c r="BF457">
        <v>0</v>
      </c>
      <c r="BG457">
        <v>0</v>
      </c>
      <c r="BH457">
        <v>9025</v>
      </c>
      <c r="BI457">
        <v>1</v>
      </c>
      <c r="BJ457">
        <v>0</v>
      </c>
      <c r="BK457">
        <v>0</v>
      </c>
      <c r="BL457">
        <v>0</v>
      </c>
      <c r="BO457">
        <v>0</v>
      </c>
      <c r="BP457">
        <v>0</v>
      </c>
      <c r="BW457" t="str">
        <f t="shared" si="272"/>
        <v>14:50:22.365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285</v>
      </c>
      <c r="CR457">
        <v>0</v>
      </c>
      <c r="CW457">
        <v>8841276</v>
      </c>
      <c r="CY457">
        <v>0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25">
      <c r="A458" t="str">
        <f t="shared" ref="A458:A463" si="274">"06/05/2020 14:50:17.545"</f>
        <v>06/05/2020 14:50:17.545</v>
      </c>
      <c r="C458" t="str">
        <f t="shared" si="248"/>
        <v>FFDFD3C0</v>
      </c>
      <c r="D458" t="s">
        <v>141</v>
      </c>
      <c r="E458">
        <v>20</v>
      </c>
      <c r="F458">
        <v>1020</v>
      </c>
      <c r="G458" t="s">
        <v>114</v>
      </c>
      <c r="J458" t="s">
        <v>142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ref="S458:T463" si="275">"14:50:23.219"</f>
        <v>14:50:23.219</v>
      </c>
      <c r="T458" t="str">
        <f t="shared" si="275"/>
        <v>14:50:23.219</v>
      </c>
      <c r="U458" t="str">
        <f t="shared" si="269"/>
        <v>ACC530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1</v>
      </c>
      <c r="AH458">
        <v>0</v>
      </c>
      <c r="AI458" t="s">
        <v>307</v>
      </c>
      <c r="AJ458">
        <v>34.231703000000003</v>
      </c>
      <c r="AK458" t="s">
        <v>308</v>
      </c>
      <c r="AL458">
        <v>-116.90635399999999</v>
      </c>
      <c r="AM458">
        <v>100</v>
      </c>
      <c r="AN458">
        <v>8900</v>
      </c>
      <c r="AO458" t="s">
        <v>118</v>
      </c>
      <c r="AP458">
        <v>-77</v>
      </c>
      <c r="AQ458">
        <v>-41</v>
      </c>
      <c r="AR458">
        <v>192</v>
      </c>
      <c r="AZ458">
        <v>1200</v>
      </c>
      <c r="BA458">
        <v>1</v>
      </c>
      <c r="BB458" t="str">
        <f t="shared" si="273"/>
        <v xml:space="preserve">N9217B  </v>
      </c>
      <c r="BC458">
        <v>1</v>
      </c>
      <c r="BE458">
        <v>0</v>
      </c>
      <c r="BF458">
        <v>0</v>
      </c>
      <c r="BG458">
        <v>0</v>
      </c>
      <c r="BH458">
        <v>9025</v>
      </c>
      <c r="BI458">
        <v>1</v>
      </c>
      <c r="BJ458">
        <v>0</v>
      </c>
      <c r="BK458">
        <v>0</v>
      </c>
      <c r="BL458">
        <v>0</v>
      </c>
      <c r="BO458">
        <v>0</v>
      </c>
      <c r="BP458">
        <v>0</v>
      </c>
      <c r="BW458" t="str">
        <f t="shared" ref="BW458:BW463" si="276">"14:50:23.220"</f>
        <v>14:50:23.220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285</v>
      </c>
      <c r="CR458">
        <v>0</v>
      </c>
      <c r="CW458">
        <v>8841358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25">
      <c r="A459" t="str">
        <f t="shared" si="274"/>
        <v>06/05/2020 14:50:17.545</v>
      </c>
      <c r="C459" t="str">
        <f t="shared" si="248"/>
        <v>FFDFD3C0</v>
      </c>
      <c r="D459" t="s">
        <v>151</v>
      </c>
      <c r="E459">
        <v>9</v>
      </c>
      <c r="H459">
        <v>226</v>
      </c>
      <c r="I459" t="s">
        <v>152</v>
      </c>
      <c r="J459" t="s">
        <v>150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75"/>
        <v>14:50:23.219</v>
      </c>
      <c r="T459" t="str">
        <f t="shared" si="275"/>
        <v>14:50:23.219</v>
      </c>
      <c r="U459" t="str">
        <f t="shared" si="269"/>
        <v>ACC530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1</v>
      </c>
      <c r="AH459">
        <v>0</v>
      </c>
      <c r="AI459" t="s">
        <v>307</v>
      </c>
      <c r="AJ459">
        <v>34.231703000000003</v>
      </c>
      <c r="AK459" t="s">
        <v>308</v>
      </c>
      <c r="AL459">
        <v>-116.90635399999999</v>
      </c>
      <c r="AM459">
        <v>100</v>
      </c>
      <c r="AN459">
        <v>8900</v>
      </c>
      <c r="AO459" t="s">
        <v>118</v>
      </c>
      <c r="AP459">
        <v>-77</v>
      </c>
      <c r="AQ459">
        <v>-41</v>
      </c>
      <c r="AR459">
        <v>192</v>
      </c>
      <c r="AZ459">
        <v>1200</v>
      </c>
      <c r="BA459">
        <v>1</v>
      </c>
      <c r="BB459" t="str">
        <f t="shared" si="273"/>
        <v xml:space="preserve">N9217B  </v>
      </c>
      <c r="BC459">
        <v>1</v>
      </c>
      <c r="BE459">
        <v>0</v>
      </c>
      <c r="BF459">
        <v>0</v>
      </c>
      <c r="BG459">
        <v>0</v>
      </c>
      <c r="BH459">
        <v>9025</v>
      </c>
      <c r="BI459">
        <v>1</v>
      </c>
      <c r="BJ459">
        <v>0</v>
      </c>
      <c r="BK459">
        <v>0</v>
      </c>
      <c r="BL459">
        <v>0</v>
      </c>
      <c r="BO459">
        <v>0</v>
      </c>
      <c r="BP459">
        <v>0</v>
      </c>
      <c r="BW459" t="str">
        <f t="shared" si="276"/>
        <v>14:50:23.220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285</v>
      </c>
      <c r="CR459">
        <v>0</v>
      </c>
      <c r="CW459">
        <v>8841358</v>
      </c>
      <c r="CY459">
        <v>0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25">
      <c r="A460" t="str">
        <f t="shared" si="274"/>
        <v>06/05/2020 14:50:17.545</v>
      </c>
      <c r="C460" t="str">
        <f t="shared" si="248"/>
        <v>FFDFD3C0</v>
      </c>
      <c r="D460" t="s">
        <v>148</v>
      </c>
      <c r="E460">
        <v>8</v>
      </c>
      <c r="H460">
        <v>50</v>
      </c>
      <c r="I460" t="s">
        <v>149</v>
      </c>
      <c r="J460" t="s">
        <v>150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75"/>
        <v>14:50:23.219</v>
      </c>
      <c r="T460" t="str">
        <f t="shared" si="275"/>
        <v>14:50:23.219</v>
      </c>
      <c r="U460" t="str">
        <f t="shared" si="269"/>
        <v>ACC530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1</v>
      </c>
      <c r="AH460">
        <v>0</v>
      </c>
      <c r="AI460" t="s">
        <v>307</v>
      </c>
      <c r="AJ460">
        <v>34.231703000000003</v>
      </c>
      <c r="AK460" t="s">
        <v>308</v>
      </c>
      <c r="AL460">
        <v>-116.90635399999999</v>
      </c>
      <c r="AM460">
        <v>100</v>
      </c>
      <c r="AN460">
        <v>8900</v>
      </c>
      <c r="AO460" t="s">
        <v>118</v>
      </c>
      <c r="AP460">
        <v>-77</v>
      </c>
      <c r="AQ460">
        <v>-41</v>
      </c>
      <c r="AR460">
        <v>192</v>
      </c>
      <c r="AZ460">
        <v>1200</v>
      </c>
      <c r="BA460">
        <v>1</v>
      </c>
      <c r="BB460" t="str">
        <f t="shared" si="273"/>
        <v xml:space="preserve">N9217B  </v>
      </c>
      <c r="BC460">
        <v>1</v>
      </c>
      <c r="BE460">
        <v>0</v>
      </c>
      <c r="BF460">
        <v>0</v>
      </c>
      <c r="BG460">
        <v>0</v>
      </c>
      <c r="BH460">
        <v>9025</v>
      </c>
      <c r="BI460">
        <v>1</v>
      </c>
      <c r="BJ460">
        <v>0</v>
      </c>
      <c r="BK460">
        <v>0</v>
      </c>
      <c r="BL460">
        <v>0</v>
      </c>
      <c r="BO460">
        <v>0</v>
      </c>
      <c r="BP460">
        <v>0</v>
      </c>
      <c r="BW460" t="str">
        <f t="shared" si="276"/>
        <v>14:50:23.220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285</v>
      </c>
      <c r="CR460">
        <v>0</v>
      </c>
      <c r="CW460">
        <v>8841358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25">
      <c r="A461" t="str">
        <f t="shared" si="274"/>
        <v>06/05/2020 14:50:17.545</v>
      </c>
      <c r="C461" t="str">
        <f t="shared" si="248"/>
        <v>FFDFD3C0</v>
      </c>
      <c r="D461" t="s">
        <v>113</v>
      </c>
      <c r="E461">
        <v>3</v>
      </c>
      <c r="H461">
        <v>166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75"/>
        <v>14:50:23.219</v>
      </c>
      <c r="T461" t="str">
        <f t="shared" si="275"/>
        <v>14:50:23.219</v>
      </c>
      <c r="U461" t="str">
        <f t="shared" si="269"/>
        <v>ACC530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1</v>
      </c>
      <c r="AH461">
        <v>0</v>
      </c>
      <c r="AI461" t="s">
        <v>307</v>
      </c>
      <c r="AJ461">
        <v>34.231703000000003</v>
      </c>
      <c r="AK461" t="s">
        <v>308</v>
      </c>
      <c r="AL461">
        <v>-116.90635399999999</v>
      </c>
      <c r="AM461">
        <v>100</v>
      </c>
      <c r="AN461">
        <v>8900</v>
      </c>
      <c r="AO461" t="s">
        <v>118</v>
      </c>
      <c r="AP461">
        <v>-77</v>
      </c>
      <c r="AQ461">
        <v>-41</v>
      </c>
      <c r="AR461">
        <v>192</v>
      </c>
      <c r="AZ461">
        <v>1200</v>
      </c>
      <c r="BA461">
        <v>1</v>
      </c>
      <c r="BB461" t="str">
        <f t="shared" si="273"/>
        <v xml:space="preserve">N9217B  </v>
      </c>
      <c r="BC461">
        <v>1</v>
      </c>
      <c r="BE461">
        <v>0</v>
      </c>
      <c r="BF461">
        <v>0</v>
      </c>
      <c r="BG461">
        <v>0</v>
      </c>
      <c r="BH461">
        <v>9025</v>
      </c>
      <c r="BI461">
        <v>1</v>
      </c>
      <c r="BJ461">
        <v>0</v>
      </c>
      <c r="BK461">
        <v>0</v>
      </c>
      <c r="BL461">
        <v>0</v>
      </c>
      <c r="BO461">
        <v>0</v>
      </c>
      <c r="BP461">
        <v>0</v>
      </c>
      <c r="BW461" t="str">
        <f t="shared" si="276"/>
        <v>14:50:23.220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285</v>
      </c>
      <c r="CR461">
        <v>0</v>
      </c>
      <c r="CW461">
        <v>8841358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25">
      <c r="A462" t="str">
        <f t="shared" si="274"/>
        <v>06/05/2020 14:50:17.545</v>
      </c>
      <c r="C462" t="str">
        <f t="shared" si="248"/>
        <v>FFDFD3C0</v>
      </c>
      <c r="D462" t="s">
        <v>134</v>
      </c>
      <c r="E462">
        <v>7</v>
      </c>
      <c r="F462">
        <v>2007</v>
      </c>
      <c r="G462" t="s">
        <v>135</v>
      </c>
      <c r="J462" t="s">
        <v>136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75"/>
        <v>14:50:23.219</v>
      </c>
      <c r="T462" t="str">
        <f t="shared" si="275"/>
        <v>14:50:23.219</v>
      </c>
      <c r="U462" t="str">
        <f t="shared" si="269"/>
        <v>ACC530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1</v>
      </c>
      <c r="AH462">
        <v>0</v>
      </c>
      <c r="AI462" t="s">
        <v>307</v>
      </c>
      <c r="AJ462">
        <v>34.231703000000003</v>
      </c>
      <c r="AK462" t="s">
        <v>308</v>
      </c>
      <c r="AL462">
        <v>-116.90635399999999</v>
      </c>
      <c r="AM462">
        <v>100</v>
      </c>
      <c r="AN462">
        <v>8900</v>
      </c>
      <c r="AO462" t="s">
        <v>118</v>
      </c>
      <c r="AP462">
        <v>-77</v>
      </c>
      <c r="AQ462">
        <v>-41</v>
      </c>
      <c r="AR462">
        <v>192</v>
      </c>
      <c r="AZ462">
        <v>1200</v>
      </c>
      <c r="BA462">
        <v>1</v>
      </c>
      <c r="BB462" t="str">
        <f t="shared" si="273"/>
        <v xml:space="preserve">N9217B  </v>
      </c>
      <c r="BC462">
        <v>1</v>
      </c>
      <c r="BE462">
        <v>0</v>
      </c>
      <c r="BF462">
        <v>0</v>
      </c>
      <c r="BG462">
        <v>0</v>
      </c>
      <c r="BH462">
        <v>9025</v>
      </c>
      <c r="BI462">
        <v>1</v>
      </c>
      <c r="BJ462">
        <v>0</v>
      </c>
      <c r="BK462">
        <v>0</v>
      </c>
      <c r="BL462">
        <v>0</v>
      </c>
      <c r="BO462">
        <v>0</v>
      </c>
      <c r="BP462">
        <v>0</v>
      </c>
      <c r="BW462" t="str">
        <f t="shared" si="276"/>
        <v>14:50:23.220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285</v>
      </c>
      <c r="CR462">
        <v>0</v>
      </c>
      <c r="CW462">
        <v>8841358</v>
      </c>
      <c r="CY462">
        <v>0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25">
      <c r="A463" t="str">
        <f t="shared" si="274"/>
        <v>06/05/2020 14:50:17.545</v>
      </c>
      <c r="C463" t="str">
        <f t="shared" si="248"/>
        <v>FFDFD3C0</v>
      </c>
      <c r="D463" t="s">
        <v>143</v>
      </c>
      <c r="E463">
        <v>10</v>
      </c>
      <c r="F463">
        <v>3010</v>
      </c>
      <c r="G463" t="s">
        <v>144</v>
      </c>
      <c r="J463" t="s">
        <v>145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75"/>
        <v>14:50:23.219</v>
      </c>
      <c r="T463" t="str">
        <f t="shared" si="275"/>
        <v>14:50:23.219</v>
      </c>
      <c r="U463" t="str">
        <f t="shared" si="269"/>
        <v>ACC530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1</v>
      </c>
      <c r="AH463">
        <v>0</v>
      </c>
      <c r="AI463" t="s">
        <v>307</v>
      </c>
      <c r="AJ463">
        <v>34.231703000000003</v>
      </c>
      <c r="AK463" t="s">
        <v>308</v>
      </c>
      <c r="AL463">
        <v>-116.90635399999999</v>
      </c>
      <c r="AM463">
        <v>100</v>
      </c>
      <c r="AN463">
        <v>8900</v>
      </c>
      <c r="AO463" t="s">
        <v>118</v>
      </c>
      <c r="AP463">
        <v>-77</v>
      </c>
      <c r="AQ463">
        <v>-41</v>
      </c>
      <c r="AR463">
        <v>192</v>
      </c>
      <c r="AZ463">
        <v>1200</v>
      </c>
      <c r="BA463">
        <v>1</v>
      </c>
      <c r="BB463" t="str">
        <f t="shared" si="273"/>
        <v xml:space="preserve">N9217B  </v>
      </c>
      <c r="BC463">
        <v>1</v>
      </c>
      <c r="BE463">
        <v>0</v>
      </c>
      <c r="BF463">
        <v>0</v>
      </c>
      <c r="BG463">
        <v>0</v>
      </c>
      <c r="BH463">
        <v>9025</v>
      </c>
      <c r="BI463">
        <v>1</v>
      </c>
      <c r="BJ463">
        <v>0</v>
      </c>
      <c r="BK463">
        <v>0</v>
      </c>
      <c r="BL463">
        <v>0</v>
      </c>
      <c r="BO463">
        <v>0</v>
      </c>
      <c r="BP463">
        <v>0</v>
      </c>
      <c r="BW463" t="str">
        <f t="shared" si="276"/>
        <v>14:50:23.220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295</v>
      </c>
      <c r="CR463">
        <v>1</v>
      </c>
      <c r="CW463">
        <v>12423022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25">
      <c r="A464" t="str">
        <f t="shared" ref="A464:A469" si="277">"06/05/2020 14:50:18.466"</f>
        <v>06/05/2020 14:50:18.466</v>
      </c>
      <c r="C464" t="str">
        <f t="shared" si="248"/>
        <v>FFDFD3C0</v>
      </c>
      <c r="D464" t="s">
        <v>151</v>
      </c>
      <c r="E464">
        <v>9</v>
      </c>
      <c r="H464">
        <v>226</v>
      </c>
      <c r="I464" t="s">
        <v>152</v>
      </c>
      <c r="J464" t="s">
        <v>150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ref="S464:S469" si="278">"14:50:24.117"</f>
        <v>14:50:24.117</v>
      </c>
      <c r="T464" t="str">
        <f t="shared" ref="T464:T469" si="279">"14:50:23.817"</f>
        <v>14:50:23.817</v>
      </c>
      <c r="U464" t="str">
        <f t="shared" si="269"/>
        <v>ACC530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1</v>
      </c>
      <c r="AH464">
        <v>0</v>
      </c>
      <c r="AI464" t="s">
        <v>309</v>
      </c>
      <c r="AJ464">
        <v>34.231532000000001</v>
      </c>
      <c r="AK464" t="s">
        <v>310</v>
      </c>
      <c r="AL464">
        <v>-116.90669800000001</v>
      </c>
      <c r="AM464">
        <v>100</v>
      </c>
      <c r="AN464">
        <v>8900</v>
      </c>
      <c r="AO464" t="s">
        <v>118</v>
      </c>
      <c r="AP464">
        <v>-77</v>
      </c>
      <c r="AQ464">
        <v>-41</v>
      </c>
      <c r="AR464">
        <v>192</v>
      </c>
      <c r="AZ464">
        <v>1200</v>
      </c>
      <c r="BA464">
        <v>1</v>
      </c>
      <c r="BB464" t="str">
        <f t="shared" si="273"/>
        <v xml:space="preserve">N9217B  </v>
      </c>
      <c r="BC464">
        <v>1</v>
      </c>
      <c r="BE464">
        <v>0</v>
      </c>
      <c r="BF464">
        <v>0</v>
      </c>
      <c r="BG464">
        <v>0</v>
      </c>
      <c r="BH464">
        <v>9025</v>
      </c>
      <c r="BI464">
        <v>1</v>
      </c>
      <c r="BJ464">
        <v>0</v>
      </c>
      <c r="BK464">
        <v>0</v>
      </c>
      <c r="BL464">
        <v>0</v>
      </c>
      <c r="BO464">
        <v>0</v>
      </c>
      <c r="BP464">
        <v>0</v>
      </c>
      <c r="BW464" t="str">
        <f t="shared" ref="BW464:BW469" si="280">"14:50:24.120"</f>
        <v>14:50:24.120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293</v>
      </c>
      <c r="CR464">
        <v>1</v>
      </c>
      <c r="CW464">
        <v>15271542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25">
      <c r="A465" t="str">
        <f t="shared" si="277"/>
        <v>06/05/2020 14:50:18.466</v>
      </c>
      <c r="C465" t="str">
        <f t="shared" si="248"/>
        <v>FFDFD3C0</v>
      </c>
      <c r="D465" t="s">
        <v>148</v>
      </c>
      <c r="E465">
        <v>8</v>
      </c>
      <c r="H465">
        <v>50</v>
      </c>
      <c r="I465" t="s">
        <v>149</v>
      </c>
      <c r="J465" t="s">
        <v>150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78"/>
        <v>14:50:24.117</v>
      </c>
      <c r="T465" t="str">
        <f t="shared" si="279"/>
        <v>14:50:23.817</v>
      </c>
      <c r="U465" t="str">
        <f t="shared" si="269"/>
        <v>ACC530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1</v>
      </c>
      <c r="AH465">
        <v>0</v>
      </c>
      <c r="AI465" t="s">
        <v>309</v>
      </c>
      <c r="AJ465">
        <v>34.231532000000001</v>
      </c>
      <c r="AK465" t="s">
        <v>310</v>
      </c>
      <c r="AL465">
        <v>-116.90669800000001</v>
      </c>
      <c r="AM465">
        <v>100</v>
      </c>
      <c r="AN465">
        <v>8900</v>
      </c>
      <c r="AO465" t="s">
        <v>118</v>
      </c>
      <c r="AP465">
        <v>-77</v>
      </c>
      <c r="AQ465">
        <v>-41</v>
      </c>
      <c r="AR465">
        <v>192</v>
      </c>
      <c r="AZ465">
        <v>1200</v>
      </c>
      <c r="BA465">
        <v>1</v>
      </c>
      <c r="BB465" t="str">
        <f t="shared" si="273"/>
        <v xml:space="preserve">N9217B  </v>
      </c>
      <c r="BC465">
        <v>1</v>
      </c>
      <c r="BE465">
        <v>0</v>
      </c>
      <c r="BF465">
        <v>0</v>
      </c>
      <c r="BG465">
        <v>0</v>
      </c>
      <c r="BH465">
        <v>9025</v>
      </c>
      <c r="BI465">
        <v>1</v>
      </c>
      <c r="BJ465">
        <v>0</v>
      </c>
      <c r="BK465">
        <v>0</v>
      </c>
      <c r="BL465">
        <v>0</v>
      </c>
      <c r="BO465">
        <v>0</v>
      </c>
      <c r="BP465">
        <v>0</v>
      </c>
      <c r="BW465" t="str">
        <f t="shared" si="280"/>
        <v>14:50:24.120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295</v>
      </c>
      <c r="CR465">
        <v>1</v>
      </c>
      <c r="CW465">
        <v>12423124</v>
      </c>
      <c r="CY465">
        <v>0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25">
      <c r="A466" t="str">
        <f t="shared" si="277"/>
        <v>06/05/2020 14:50:18.466</v>
      </c>
      <c r="C466" t="str">
        <f t="shared" si="248"/>
        <v>FFDFD3C0</v>
      </c>
      <c r="D466" t="s">
        <v>113</v>
      </c>
      <c r="E466">
        <v>3</v>
      </c>
      <c r="H466">
        <v>166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78"/>
        <v>14:50:24.117</v>
      </c>
      <c r="T466" t="str">
        <f t="shared" si="279"/>
        <v>14:50:23.817</v>
      </c>
      <c r="U466" t="str">
        <f t="shared" si="269"/>
        <v>ACC530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1</v>
      </c>
      <c r="AH466">
        <v>0</v>
      </c>
      <c r="AI466" t="s">
        <v>309</v>
      </c>
      <c r="AJ466">
        <v>34.231532000000001</v>
      </c>
      <c r="AK466" t="s">
        <v>310</v>
      </c>
      <c r="AL466">
        <v>-116.90669800000001</v>
      </c>
      <c r="AM466">
        <v>100</v>
      </c>
      <c r="AN466">
        <v>8900</v>
      </c>
      <c r="AO466" t="s">
        <v>118</v>
      </c>
      <c r="AP466">
        <v>-77</v>
      </c>
      <c r="AQ466">
        <v>-41</v>
      </c>
      <c r="AR466">
        <v>192</v>
      </c>
      <c r="AZ466">
        <v>1200</v>
      </c>
      <c r="BA466">
        <v>1</v>
      </c>
      <c r="BB466" t="str">
        <f t="shared" si="273"/>
        <v xml:space="preserve">N9217B  </v>
      </c>
      <c r="BC466">
        <v>1</v>
      </c>
      <c r="BE466">
        <v>0</v>
      </c>
      <c r="BF466">
        <v>0</v>
      </c>
      <c r="BG466">
        <v>0</v>
      </c>
      <c r="BH466">
        <v>9025</v>
      </c>
      <c r="BI466">
        <v>1</v>
      </c>
      <c r="BJ466">
        <v>0</v>
      </c>
      <c r="BK466">
        <v>0</v>
      </c>
      <c r="BL466">
        <v>0</v>
      </c>
      <c r="BO466">
        <v>0</v>
      </c>
      <c r="BP466">
        <v>0</v>
      </c>
      <c r="BW466" t="str">
        <f t="shared" si="280"/>
        <v>14:50:24.120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295</v>
      </c>
      <c r="CR466">
        <v>1</v>
      </c>
      <c r="CW466">
        <v>12423124</v>
      </c>
      <c r="CY466">
        <v>0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25">
      <c r="A467" t="str">
        <f t="shared" si="277"/>
        <v>06/05/2020 14:50:18.466</v>
      </c>
      <c r="C467" t="str">
        <f t="shared" si="248"/>
        <v>FFDFD3C0</v>
      </c>
      <c r="D467" t="s">
        <v>134</v>
      </c>
      <c r="E467">
        <v>7</v>
      </c>
      <c r="F467">
        <v>2007</v>
      </c>
      <c r="G467" t="s">
        <v>135</v>
      </c>
      <c r="J467" t="s">
        <v>136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78"/>
        <v>14:50:24.117</v>
      </c>
      <c r="T467" t="str">
        <f t="shared" si="279"/>
        <v>14:50:23.817</v>
      </c>
      <c r="U467" t="str">
        <f t="shared" si="269"/>
        <v>ACC530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1</v>
      </c>
      <c r="AH467">
        <v>0</v>
      </c>
      <c r="AI467" t="s">
        <v>309</v>
      </c>
      <c r="AJ467">
        <v>34.231532000000001</v>
      </c>
      <c r="AK467" t="s">
        <v>310</v>
      </c>
      <c r="AL467">
        <v>-116.90669800000001</v>
      </c>
      <c r="AM467">
        <v>100</v>
      </c>
      <c r="AN467">
        <v>8900</v>
      </c>
      <c r="AO467" t="s">
        <v>118</v>
      </c>
      <c r="AP467">
        <v>-77</v>
      </c>
      <c r="AQ467">
        <v>-41</v>
      </c>
      <c r="AR467">
        <v>192</v>
      </c>
      <c r="AZ467">
        <v>1200</v>
      </c>
      <c r="BA467">
        <v>1</v>
      </c>
      <c r="BB467" t="str">
        <f t="shared" si="273"/>
        <v xml:space="preserve">N9217B  </v>
      </c>
      <c r="BC467">
        <v>1</v>
      </c>
      <c r="BE467">
        <v>0</v>
      </c>
      <c r="BF467">
        <v>0</v>
      </c>
      <c r="BG467">
        <v>0</v>
      </c>
      <c r="BH467">
        <v>9025</v>
      </c>
      <c r="BI467">
        <v>1</v>
      </c>
      <c r="BJ467">
        <v>0</v>
      </c>
      <c r="BK467">
        <v>0</v>
      </c>
      <c r="BL467">
        <v>0</v>
      </c>
      <c r="BO467">
        <v>0</v>
      </c>
      <c r="BP467">
        <v>0</v>
      </c>
      <c r="BW467" t="str">
        <f t="shared" si="280"/>
        <v>14:50:24.120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295</v>
      </c>
      <c r="CR467">
        <v>1</v>
      </c>
      <c r="CW467">
        <v>12423124</v>
      </c>
      <c r="CY467">
        <v>0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25">
      <c r="A468" t="str">
        <f t="shared" si="277"/>
        <v>06/05/2020 14:50:18.466</v>
      </c>
      <c r="C468" t="str">
        <f t="shared" si="248"/>
        <v>FFDFD3C0</v>
      </c>
      <c r="D468" t="s">
        <v>143</v>
      </c>
      <c r="E468">
        <v>10</v>
      </c>
      <c r="F468">
        <v>3010</v>
      </c>
      <c r="G468" t="s">
        <v>144</v>
      </c>
      <c r="J468" t="s">
        <v>145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78"/>
        <v>14:50:24.117</v>
      </c>
      <c r="T468" t="str">
        <f t="shared" si="279"/>
        <v>14:50:23.817</v>
      </c>
      <c r="U468" t="str">
        <f t="shared" si="269"/>
        <v>ACC530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1</v>
      </c>
      <c r="AH468">
        <v>0</v>
      </c>
      <c r="AI468" t="s">
        <v>309</v>
      </c>
      <c r="AJ468">
        <v>34.231532000000001</v>
      </c>
      <c r="AK468" t="s">
        <v>310</v>
      </c>
      <c r="AL468">
        <v>-116.90669800000001</v>
      </c>
      <c r="AM468">
        <v>100</v>
      </c>
      <c r="AN468">
        <v>8900</v>
      </c>
      <c r="AO468" t="s">
        <v>118</v>
      </c>
      <c r="AP468">
        <v>-77</v>
      </c>
      <c r="AQ468">
        <v>-41</v>
      </c>
      <c r="AR468">
        <v>192</v>
      </c>
      <c r="AZ468">
        <v>1200</v>
      </c>
      <c r="BA468">
        <v>1</v>
      </c>
      <c r="BB468" t="str">
        <f t="shared" si="273"/>
        <v xml:space="preserve">N9217B  </v>
      </c>
      <c r="BC468">
        <v>1</v>
      </c>
      <c r="BE468">
        <v>0</v>
      </c>
      <c r="BF468">
        <v>0</v>
      </c>
      <c r="BG468">
        <v>0</v>
      </c>
      <c r="BH468">
        <v>9025</v>
      </c>
      <c r="BI468">
        <v>1</v>
      </c>
      <c r="BJ468">
        <v>0</v>
      </c>
      <c r="BK468">
        <v>0</v>
      </c>
      <c r="BL468">
        <v>0</v>
      </c>
      <c r="BO468">
        <v>0</v>
      </c>
      <c r="BP468">
        <v>0</v>
      </c>
      <c r="BW468" t="str">
        <f t="shared" si="280"/>
        <v>14:50:24.120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295</v>
      </c>
      <c r="CR468">
        <v>1</v>
      </c>
      <c r="CW468">
        <v>12423124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25">
      <c r="A469" t="str">
        <f t="shared" si="277"/>
        <v>06/05/2020 14:50:18.466</v>
      </c>
      <c r="C469" t="str">
        <f t="shared" si="248"/>
        <v>FFDFD3C0</v>
      </c>
      <c r="D469" t="s">
        <v>141</v>
      </c>
      <c r="E469">
        <v>20</v>
      </c>
      <c r="F469">
        <v>1020</v>
      </c>
      <c r="G469" t="s">
        <v>114</v>
      </c>
      <c r="J469" t="s">
        <v>142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78"/>
        <v>14:50:24.117</v>
      </c>
      <c r="T469" t="str">
        <f t="shared" si="279"/>
        <v>14:50:23.817</v>
      </c>
      <c r="U469" t="str">
        <f t="shared" si="269"/>
        <v>ACC530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1</v>
      </c>
      <c r="AH469">
        <v>0</v>
      </c>
      <c r="AI469" t="s">
        <v>309</v>
      </c>
      <c r="AJ469">
        <v>34.231532000000001</v>
      </c>
      <c r="AK469" t="s">
        <v>310</v>
      </c>
      <c r="AL469">
        <v>-116.90669800000001</v>
      </c>
      <c r="AM469">
        <v>100</v>
      </c>
      <c r="AN469">
        <v>8900</v>
      </c>
      <c r="AO469" t="s">
        <v>118</v>
      </c>
      <c r="AP469">
        <v>-77</v>
      </c>
      <c r="AQ469">
        <v>-41</v>
      </c>
      <c r="AR469">
        <v>192</v>
      </c>
      <c r="AZ469">
        <v>1200</v>
      </c>
      <c r="BA469">
        <v>1</v>
      </c>
      <c r="BB469" t="str">
        <f t="shared" si="273"/>
        <v xml:space="preserve">N9217B  </v>
      </c>
      <c r="BC469">
        <v>1</v>
      </c>
      <c r="BE469">
        <v>0</v>
      </c>
      <c r="BF469">
        <v>0</v>
      </c>
      <c r="BG469">
        <v>0</v>
      </c>
      <c r="BH469">
        <v>9025</v>
      </c>
      <c r="BI469">
        <v>1</v>
      </c>
      <c r="BJ469">
        <v>0</v>
      </c>
      <c r="BK469">
        <v>0</v>
      </c>
      <c r="BL469">
        <v>0</v>
      </c>
      <c r="BO469">
        <v>0</v>
      </c>
      <c r="BP469">
        <v>0</v>
      </c>
      <c r="BW469" t="str">
        <f t="shared" si="280"/>
        <v>14:50:24.120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295</v>
      </c>
      <c r="CR469">
        <v>1</v>
      </c>
      <c r="CW469">
        <v>12423124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25">
      <c r="A470" t="str">
        <f t="shared" ref="A470:A475" si="281">"06/05/2020 14:50:19.538"</f>
        <v>06/05/2020 14:50:19.538</v>
      </c>
      <c r="C470" t="str">
        <f t="shared" si="248"/>
        <v>FFDFD3C0</v>
      </c>
      <c r="D470" t="s">
        <v>148</v>
      </c>
      <c r="E470">
        <v>8</v>
      </c>
      <c r="H470">
        <v>50</v>
      </c>
      <c r="I470" t="s">
        <v>149</v>
      </c>
      <c r="J470" t="s">
        <v>150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ref="S470:S475" si="282">"14:50:25.195"</f>
        <v>14:50:25.195</v>
      </c>
      <c r="T470" t="str">
        <f t="shared" ref="T470:T475" si="283">"14:50:24.795"</f>
        <v>14:50:24.795</v>
      </c>
      <c r="U470" t="str">
        <f t="shared" si="269"/>
        <v>ACC530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1</v>
      </c>
      <c r="AH470">
        <v>0</v>
      </c>
      <c r="AI470" t="s">
        <v>311</v>
      </c>
      <c r="AJ470">
        <v>34.231296</v>
      </c>
      <c r="AK470" t="s">
        <v>312</v>
      </c>
      <c r="AL470">
        <v>-116.907191</v>
      </c>
      <c r="AM470">
        <v>100</v>
      </c>
      <c r="AN470">
        <v>8900</v>
      </c>
      <c r="AO470" t="s">
        <v>118</v>
      </c>
      <c r="AP470">
        <v>-78</v>
      </c>
      <c r="AQ470">
        <v>-41</v>
      </c>
      <c r="AR470">
        <v>256</v>
      </c>
      <c r="AZ470">
        <v>1200</v>
      </c>
      <c r="BA470">
        <v>1</v>
      </c>
      <c r="BB470" t="str">
        <f t="shared" si="273"/>
        <v xml:space="preserve">N9217B  </v>
      </c>
      <c r="BC470">
        <v>1</v>
      </c>
      <c r="BE470">
        <v>0</v>
      </c>
      <c r="BF470">
        <v>0</v>
      </c>
      <c r="BG470">
        <v>0</v>
      </c>
      <c r="BH470">
        <v>9025</v>
      </c>
      <c r="BI470">
        <v>1</v>
      </c>
      <c r="BJ470">
        <v>0</v>
      </c>
      <c r="BK470">
        <v>0</v>
      </c>
      <c r="BL470">
        <v>0</v>
      </c>
      <c r="BO470">
        <v>0</v>
      </c>
      <c r="BP470">
        <v>0</v>
      </c>
      <c r="BW470" t="str">
        <f t="shared" ref="BW470:BW475" si="284">"14:50:25.200"</f>
        <v>14:50:25.200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293</v>
      </c>
      <c r="CR470">
        <v>1</v>
      </c>
      <c r="CW470">
        <v>15271673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25">
      <c r="A471" t="str">
        <f t="shared" si="281"/>
        <v>06/05/2020 14:50:19.538</v>
      </c>
      <c r="C471" t="str">
        <f t="shared" si="248"/>
        <v>FFDFD3C0</v>
      </c>
      <c r="D471" t="s">
        <v>113</v>
      </c>
      <c r="E471">
        <v>3</v>
      </c>
      <c r="H471">
        <v>166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82"/>
        <v>14:50:25.195</v>
      </c>
      <c r="T471" t="str">
        <f t="shared" si="283"/>
        <v>14:50:24.795</v>
      </c>
      <c r="U471" t="str">
        <f t="shared" si="269"/>
        <v>ACC530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1</v>
      </c>
      <c r="AH471">
        <v>0</v>
      </c>
      <c r="AI471" t="s">
        <v>311</v>
      </c>
      <c r="AJ471">
        <v>34.231296</v>
      </c>
      <c r="AK471" t="s">
        <v>312</v>
      </c>
      <c r="AL471">
        <v>-116.907191</v>
      </c>
      <c r="AM471">
        <v>100</v>
      </c>
      <c r="AN471">
        <v>8900</v>
      </c>
      <c r="AO471" t="s">
        <v>118</v>
      </c>
      <c r="AP471">
        <v>-78</v>
      </c>
      <c r="AQ471">
        <v>-41</v>
      </c>
      <c r="AR471">
        <v>256</v>
      </c>
      <c r="AZ471">
        <v>1200</v>
      </c>
      <c r="BA471">
        <v>1</v>
      </c>
      <c r="BB471" t="str">
        <f t="shared" si="273"/>
        <v xml:space="preserve">N9217B  </v>
      </c>
      <c r="BC471">
        <v>1</v>
      </c>
      <c r="BE471">
        <v>0</v>
      </c>
      <c r="BF471">
        <v>0</v>
      </c>
      <c r="BG471">
        <v>0</v>
      </c>
      <c r="BH471">
        <v>9025</v>
      </c>
      <c r="BI471">
        <v>1</v>
      </c>
      <c r="BJ471">
        <v>0</v>
      </c>
      <c r="BK471">
        <v>0</v>
      </c>
      <c r="BL471">
        <v>0</v>
      </c>
      <c r="BO471">
        <v>0</v>
      </c>
      <c r="BP471">
        <v>0</v>
      </c>
      <c r="BW471" t="str">
        <f t="shared" si="284"/>
        <v>14:50:25.200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293</v>
      </c>
      <c r="CR471">
        <v>1</v>
      </c>
      <c r="CW471">
        <v>15271673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25">
      <c r="A472" t="str">
        <f t="shared" si="281"/>
        <v>06/05/2020 14:50:19.538</v>
      </c>
      <c r="C472" t="str">
        <f t="shared" si="248"/>
        <v>FFDFD3C0</v>
      </c>
      <c r="D472" t="s">
        <v>143</v>
      </c>
      <c r="E472">
        <v>10</v>
      </c>
      <c r="F472">
        <v>3010</v>
      </c>
      <c r="G472" t="s">
        <v>144</v>
      </c>
      <c r="J472" t="s">
        <v>145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82"/>
        <v>14:50:25.195</v>
      </c>
      <c r="T472" t="str">
        <f t="shared" si="283"/>
        <v>14:50:24.795</v>
      </c>
      <c r="U472" t="str">
        <f t="shared" si="269"/>
        <v>ACC530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1</v>
      </c>
      <c r="AH472">
        <v>0</v>
      </c>
      <c r="AI472" t="s">
        <v>311</v>
      </c>
      <c r="AJ472">
        <v>34.231296</v>
      </c>
      <c r="AK472" t="s">
        <v>312</v>
      </c>
      <c r="AL472">
        <v>-116.907191</v>
      </c>
      <c r="AM472">
        <v>100</v>
      </c>
      <c r="AN472">
        <v>8900</v>
      </c>
      <c r="AO472" t="s">
        <v>118</v>
      </c>
      <c r="AP472">
        <v>-78</v>
      </c>
      <c r="AQ472">
        <v>-41</v>
      </c>
      <c r="AR472">
        <v>256</v>
      </c>
      <c r="AZ472">
        <v>1200</v>
      </c>
      <c r="BA472">
        <v>1</v>
      </c>
      <c r="BB472" t="str">
        <f t="shared" si="273"/>
        <v xml:space="preserve">N9217B  </v>
      </c>
      <c r="BC472">
        <v>1</v>
      </c>
      <c r="BE472">
        <v>0</v>
      </c>
      <c r="BF472">
        <v>0</v>
      </c>
      <c r="BG472">
        <v>0</v>
      </c>
      <c r="BH472">
        <v>9025</v>
      </c>
      <c r="BI472">
        <v>1</v>
      </c>
      <c r="BJ472">
        <v>0</v>
      </c>
      <c r="BK472">
        <v>0</v>
      </c>
      <c r="BL472">
        <v>0</v>
      </c>
      <c r="BO472">
        <v>0</v>
      </c>
      <c r="BP472">
        <v>0</v>
      </c>
      <c r="BW472" t="str">
        <f t="shared" si="284"/>
        <v>14:50:25.200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293</v>
      </c>
      <c r="CR472">
        <v>1</v>
      </c>
      <c r="CW472">
        <v>15271673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25">
      <c r="A473" t="str">
        <f t="shared" si="281"/>
        <v>06/05/2020 14:50:19.538</v>
      </c>
      <c r="C473" t="str">
        <f t="shared" si="248"/>
        <v>FFDFD3C0</v>
      </c>
      <c r="D473" t="s">
        <v>134</v>
      </c>
      <c r="E473">
        <v>7</v>
      </c>
      <c r="F473">
        <v>2007</v>
      </c>
      <c r="G473" t="s">
        <v>135</v>
      </c>
      <c r="J473" t="s">
        <v>136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282"/>
        <v>14:50:25.195</v>
      </c>
      <c r="T473" t="str">
        <f t="shared" si="283"/>
        <v>14:50:24.795</v>
      </c>
      <c r="U473" t="str">
        <f t="shared" si="269"/>
        <v>ACC530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1</v>
      </c>
      <c r="AH473">
        <v>0</v>
      </c>
      <c r="AI473" t="s">
        <v>311</v>
      </c>
      <c r="AJ473">
        <v>34.231296</v>
      </c>
      <c r="AK473" t="s">
        <v>312</v>
      </c>
      <c r="AL473">
        <v>-116.907191</v>
      </c>
      <c r="AM473">
        <v>100</v>
      </c>
      <c r="AN473">
        <v>8900</v>
      </c>
      <c r="AO473" t="s">
        <v>118</v>
      </c>
      <c r="AP473">
        <v>-78</v>
      </c>
      <c r="AQ473">
        <v>-41</v>
      </c>
      <c r="AR473">
        <v>256</v>
      </c>
      <c r="AZ473">
        <v>1200</v>
      </c>
      <c r="BA473">
        <v>1</v>
      </c>
      <c r="BB473" t="str">
        <f t="shared" si="273"/>
        <v xml:space="preserve">N9217B  </v>
      </c>
      <c r="BC473">
        <v>1</v>
      </c>
      <c r="BE473">
        <v>0</v>
      </c>
      <c r="BF473">
        <v>0</v>
      </c>
      <c r="BG473">
        <v>0</v>
      </c>
      <c r="BH473">
        <v>9025</v>
      </c>
      <c r="BI473">
        <v>1</v>
      </c>
      <c r="BJ473">
        <v>0</v>
      </c>
      <c r="BK473">
        <v>0</v>
      </c>
      <c r="BL473">
        <v>0</v>
      </c>
      <c r="BO473">
        <v>0</v>
      </c>
      <c r="BP473">
        <v>0</v>
      </c>
      <c r="BW473" t="str">
        <f t="shared" si="284"/>
        <v>14:50:25.200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293</v>
      </c>
      <c r="CR473">
        <v>1</v>
      </c>
      <c r="CW473">
        <v>15271673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25">
      <c r="A474" t="str">
        <f t="shared" si="281"/>
        <v>06/05/2020 14:50:19.538</v>
      </c>
      <c r="C474" t="str">
        <f t="shared" si="248"/>
        <v>FFDFD3C0</v>
      </c>
      <c r="D474" t="s">
        <v>141</v>
      </c>
      <c r="E474">
        <v>20</v>
      </c>
      <c r="F474">
        <v>1020</v>
      </c>
      <c r="G474" t="s">
        <v>114</v>
      </c>
      <c r="J474" t="s">
        <v>142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82"/>
        <v>14:50:25.195</v>
      </c>
      <c r="T474" t="str">
        <f t="shared" si="283"/>
        <v>14:50:24.795</v>
      </c>
      <c r="U474" t="str">
        <f t="shared" si="269"/>
        <v>ACC530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1</v>
      </c>
      <c r="AH474">
        <v>0</v>
      </c>
      <c r="AI474" t="s">
        <v>311</v>
      </c>
      <c r="AJ474">
        <v>34.231296</v>
      </c>
      <c r="AK474" t="s">
        <v>312</v>
      </c>
      <c r="AL474">
        <v>-116.907191</v>
      </c>
      <c r="AM474">
        <v>100</v>
      </c>
      <c r="AN474">
        <v>8900</v>
      </c>
      <c r="AO474" t="s">
        <v>118</v>
      </c>
      <c r="AP474">
        <v>-78</v>
      </c>
      <c r="AQ474">
        <v>-41</v>
      </c>
      <c r="AR474">
        <v>256</v>
      </c>
      <c r="AZ474">
        <v>1200</v>
      </c>
      <c r="BA474">
        <v>1</v>
      </c>
      <c r="BB474" t="str">
        <f t="shared" si="273"/>
        <v xml:space="preserve">N9217B  </v>
      </c>
      <c r="BC474">
        <v>1</v>
      </c>
      <c r="BE474">
        <v>0</v>
      </c>
      <c r="BF474">
        <v>0</v>
      </c>
      <c r="BG474">
        <v>0</v>
      </c>
      <c r="BH474">
        <v>9025</v>
      </c>
      <c r="BI474">
        <v>1</v>
      </c>
      <c r="BJ474">
        <v>0</v>
      </c>
      <c r="BK474">
        <v>0</v>
      </c>
      <c r="BL474">
        <v>0</v>
      </c>
      <c r="BO474">
        <v>0</v>
      </c>
      <c r="BP474">
        <v>0</v>
      </c>
      <c r="BW474" t="str">
        <f t="shared" si="284"/>
        <v>14:50:25.200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293</v>
      </c>
      <c r="CR474">
        <v>1</v>
      </c>
      <c r="CW474">
        <v>15271673</v>
      </c>
      <c r="CY474">
        <v>0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25">
      <c r="A475" t="str">
        <f t="shared" si="281"/>
        <v>06/05/2020 14:50:19.538</v>
      </c>
      <c r="C475" t="str">
        <f t="shared" si="248"/>
        <v>FFDFD3C0</v>
      </c>
      <c r="D475" t="s">
        <v>151</v>
      </c>
      <c r="E475">
        <v>9</v>
      </c>
      <c r="H475">
        <v>226</v>
      </c>
      <c r="I475" t="s">
        <v>152</v>
      </c>
      <c r="J475" t="s">
        <v>150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82"/>
        <v>14:50:25.195</v>
      </c>
      <c r="T475" t="str">
        <f t="shared" si="283"/>
        <v>14:50:24.795</v>
      </c>
      <c r="U475" t="str">
        <f t="shared" si="269"/>
        <v>ACC530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1</v>
      </c>
      <c r="AH475">
        <v>0</v>
      </c>
      <c r="AI475" t="s">
        <v>311</v>
      </c>
      <c r="AJ475">
        <v>34.231296</v>
      </c>
      <c r="AK475" t="s">
        <v>312</v>
      </c>
      <c r="AL475">
        <v>-116.907191</v>
      </c>
      <c r="AM475">
        <v>100</v>
      </c>
      <c r="AN475">
        <v>8900</v>
      </c>
      <c r="AO475" t="s">
        <v>118</v>
      </c>
      <c r="AP475">
        <v>-78</v>
      </c>
      <c r="AQ475">
        <v>-41</v>
      </c>
      <c r="AR475">
        <v>256</v>
      </c>
      <c r="AZ475">
        <v>1200</v>
      </c>
      <c r="BA475">
        <v>1</v>
      </c>
      <c r="BB475" t="str">
        <f t="shared" si="273"/>
        <v xml:space="preserve">N9217B  </v>
      </c>
      <c r="BC475">
        <v>1</v>
      </c>
      <c r="BE475">
        <v>0</v>
      </c>
      <c r="BF475">
        <v>0</v>
      </c>
      <c r="BG475">
        <v>0</v>
      </c>
      <c r="BH475">
        <v>9025</v>
      </c>
      <c r="BI475">
        <v>1</v>
      </c>
      <c r="BJ475">
        <v>0</v>
      </c>
      <c r="BK475">
        <v>0</v>
      </c>
      <c r="BL475">
        <v>0</v>
      </c>
      <c r="BO475">
        <v>0</v>
      </c>
      <c r="BP475">
        <v>0</v>
      </c>
      <c r="BW475" t="str">
        <f t="shared" si="284"/>
        <v>14:50:25.200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293</v>
      </c>
      <c r="CR475">
        <v>1</v>
      </c>
      <c r="CW475">
        <v>15271673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25">
      <c r="A476" t="str">
        <f t="shared" ref="A476:A481" si="285">"06/05/2020 14:50:20.703"</f>
        <v>06/05/2020 14:50:20.703</v>
      </c>
      <c r="C476" t="str">
        <f t="shared" si="248"/>
        <v>FFDFD3C0</v>
      </c>
      <c r="D476" t="s">
        <v>143</v>
      </c>
      <c r="E476">
        <v>10</v>
      </c>
      <c r="F476">
        <v>3010</v>
      </c>
      <c r="G476" t="s">
        <v>144</v>
      </c>
      <c r="J476" t="s">
        <v>145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ref="S476:T481" si="286">"14:50:26.320"</f>
        <v>14:50:26.320</v>
      </c>
      <c r="T476" t="str">
        <f t="shared" si="286"/>
        <v>14:50:26.320</v>
      </c>
      <c r="U476" t="str">
        <f t="shared" si="269"/>
        <v>ACC530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1</v>
      </c>
      <c r="AH476">
        <v>0</v>
      </c>
      <c r="AI476" t="s">
        <v>313</v>
      </c>
      <c r="AJ476">
        <v>34.231081000000003</v>
      </c>
      <c r="AK476" t="s">
        <v>314</v>
      </c>
      <c r="AL476">
        <v>-116.907685</v>
      </c>
      <c r="AM476">
        <v>100</v>
      </c>
      <c r="AN476">
        <v>8900</v>
      </c>
      <c r="AO476" t="s">
        <v>118</v>
      </c>
      <c r="AP476">
        <v>-78</v>
      </c>
      <c r="AQ476">
        <v>-41</v>
      </c>
      <c r="AR476">
        <v>192</v>
      </c>
      <c r="AZ476">
        <v>1200</v>
      </c>
      <c r="BA476">
        <v>1</v>
      </c>
      <c r="BB476" t="str">
        <f t="shared" si="273"/>
        <v xml:space="preserve">N9217B  </v>
      </c>
      <c r="BC476">
        <v>1</v>
      </c>
      <c r="BE476">
        <v>0</v>
      </c>
      <c r="BF476">
        <v>0</v>
      </c>
      <c r="BG476">
        <v>0</v>
      </c>
      <c r="BH476">
        <v>9025</v>
      </c>
      <c r="BI476">
        <v>1</v>
      </c>
      <c r="BJ476">
        <v>0</v>
      </c>
      <c r="BK476">
        <v>0</v>
      </c>
      <c r="BL476">
        <v>0</v>
      </c>
      <c r="BO476">
        <v>0</v>
      </c>
      <c r="BP476">
        <v>0</v>
      </c>
      <c r="BW476" t="str">
        <f t="shared" ref="BW476:BW481" si="287">"14:50:26.325"</f>
        <v>14:50:26.325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293</v>
      </c>
      <c r="CR476">
        <v>1</v>
      </c>
      <c r="CW476">
        <v>15271806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25">
      <c r="A477" t="str">
        <f t="shared" si="285"/>
        <v>06/05/2020 14:50:20.703</v>
      </c>
      <c r="C477" t="str">
        <f t="shared" si="248"/>
        <v>FFDFD3C0</v>
      </c>
      <c r="D477" t="s">
        <v>134</v>
      </c>
      <c r="E477">
        <v>7</v>
      </c>
      <c r="F477">
        <v>2007</v>
      </c>
      <c r="G477" t="s">
        <v>135</v>
      </c>
      <c r="J477" t="s">
        <v>136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86"/>
        <v>14:50:26.320</v>
      </c>
      <c r="T477" t="str">
        <f t="shared" si="286"/>
        <v>14:50:26.320</v>
      </c>
      <c r="U477" t="str">
        <f t="shared" si="269"/>
        <v>ACC530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1</v>
      </c>
      <c r="AH477">
        <v>0</v>
      </c>
      <c r="AI477" t="s">
        <v>313</v>
      </c>
      <c r="AJ477">
        <v>34.231081000000003</v>
      </c>
      <c r="AK477" t="s">
        <v>314</v>
      </c>
      <c r="AL477">
        <v>-116.907685</v>
      </c>
      <c r="AM477">
        <v>100</v>
      </c>
      <c r="AN477">
        <v>8900</v>
      </c>
      <c r="AO477" t="s">
        <v>118</v>
      </c>
      <c r="AP477">
        <v>-78</v>
      </c>
      <c r="AQ477">
        <v>-41</v>
      </c>
      <c r="AR477">
        <v>192</v>
      </c>
      <c r="AZ477">
        <v>1200</v>
      </c>
      <c r="BA477">
        <v>1</v>
      </c>
      <c r="BB477" t="str">
        <f t="shared" si="273"/>
        <v xml:space="preserve">N9217B  </v>
      </c>
      <c r="BC477">
        <v>1</v>
      </c>
      <c r="BE477">
        <v>0</v>
      </c>
      <c r="BF477">
        <v>0</v>
      </c>
      <c r="BG477">
        <v>0</v>
      </c>
      <c r="BH477">
        <v>9025</v>
      </c>
      <c r="BI477">
        <v>1</v>
      </c>
      <c r="BJ477">
        <v>0</v>
      </c>
      <c r="BK477">
        <v>0</v>
      </c>
      <c r="BL477">
        <v>0</v>
      </c>
      <c r="BO477">
        <v>0</v>
      </c>
      <c r="BP477">
        <v>0</v>
      </c>
      <c r="BW477" t="str">
        <f t="shared" si="287"/>
        <v>14:50:26.325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293</v>
      </c>
      <c r="CR477">
        <v>1</v>
      </c>
      <c r="CW477">
        <v>15271806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25">
      <c r="A478" t="str">
        <f t="shared" si="285"/>
        <v>06/05/2020 14:50:20.703</v>
      </c>
      <c r="C478" t="str">
        <f t="shared" si="248"/>
        <v>FFDFD3C0</v>
      </c>
      <c r="D478" t="s">
        <v>141</v>
      </c>
      <c r="E478">
        <v>20</v>
      </c>
      <c r="F478">
        <v>1020</v>
      </c>
      <c r="G478" t="s">
        <v>114</v>
      </c>
      <c r="J478" t="s">
        <v>142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86"/>
        <v>14:50:26.320</v>
      </c>
      <c r="T478" t="str">
        <f t="shared" si="286"/>
        <v>14:50:26.320</v>
      </c>
      <c r="U478" t="str">
        <f t="shared" si="269"/>
        <v>ACC530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1</v>
      </c>
      <c r="AH478">
        <v>0</v>
      </c>
      <c r="AI478" t="s">
        <v>313</v>
      </c>
      <c r="AJ478">
        <v>34.231081000000003</v>
      </c>
      <c r="AK478" t="s">
        <v>314</v>
      </c>
      <c r="AL478">
        <v>-116.907685</v>
      </c>
      <c r="AM478">
        <v>100</v>
      </c>
      <c r="AN478">
        <v>8900</v>
      </c>
      <c r="AO478" t="s">
        <v>118</v>
      </c>
      <c r="AP478">
        <v>-78</v>
      </c>
      <c r="AQ478">
        <v>-41</v>
      </c>
      <c r="AR478">
        <v>192</v>
      </c>
      <c r="AZ478">
        <v>1200</v>
      </c>
      <c r="BA478">
        <v>1</v>
      </c>
      <c r="BB478" t="str">
        <f t="shared" si="273"/>
        <v xml:space="preserve">N9217B  </v>
      </c>
      <c r="BC478">
        <v>1</v>
      </c>
      <c r="BE478">
        <v>0</v>
      </c>
      <c r="BF478">
        <v>0</v>
      </c>
      <c r="BG478">
        <v>0</v>
      </c>
      <c r="BH478">
        <v>9025</v>
      </c>
      <c r="BI478">
        <v>1</v>
      </c>
      <c r="BJ478">
        <v>0</v>
      </c>
      <c r="BK478">
        <v>0</v>
      </c>
      <c r="BL478">
        <v>0</v>
      </c>
      <c r="BO478">
        <v>0</v>
      </c>
      <c r="BP478">
        <v>0</v>
      </c>
      <c r="BW478" t="str">
        <f t="shared" si="287"/>
        <v>14:50:26.325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293</v>
      </c>
      <c r="CR478">
        <v>1</v>
      </c>
      <c r="CW478">
        <v>15271806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25">
      <c r="A479" t="str">
        <f t="shared" si="285"/>
        <v>06/05/2020 14:50:20.703</v>
      </c>
      <c r="C479" t="str">
        <f t="shared" si="248"/>
        <v>FFDFD3C0</v>
      </c>
      <c r="D479" t="s">
        <v>151</v>
      </c>
      <c r="E479">
        <v>9</v>
      </c>
      <c r="H479">
        <v>226</v>
      </c>
      <c r="I479" t="s">
        <v>152</v>
      </c>
      <c r="J479" t="s">
        <v>150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86"/>
        <v>14:50:26.320</v>
      </c>
      <c r="T479" t="str">
        <f t="shared" si="286"/>
        <v>14:50:26.320</v>
      </c>
      <c r="U479" t="str">
        <f t="shared" si="269"/>
        <v>ACC530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1</v>
      </c>
      <c r="AH479">
        <v>0</v>
      </c>
      <c r="AI479" t="s">
        <v>313</v>
      </c>
      <c r="AJ479">
        <v>34.231081000000003</v>
      </c>
      <c r="AK479" t="s">
        <v>314</v>
      </c>
      <c r="AL479">
        <v>-116.907685</v>
      </c>
      <c r="AM479">
        <v>100</v>
      </c>
      <c r="AN479">
        <v>8900</v>
      </c>
      <c r="AO479" t="s">
        <v>118</v>
      </c>
      <c r="AP479">
        <v>-78</v>
      </c>
      <c r="AQ479">
        <v>-41</v>
      </c>
      <c r="AR479">
        <v>192</v>
      </c>
      <c r="AZ479">
        <v>1200</v>
      </c>
      <c r="BA479">
        <v>1</v>
      </c>
      <c r="BB479" t="str">
        <f t="shared" si="273"/>
        <v xml:space="preserve">N9217B  </v>
      </c>
      <c r="BC479">
        <v>1</v>
      </c>
      <c r="BE479">
        <v>0</v>
      </c>
      <c r="BF479">
        <v>0</v>
      </c>
      <c r="BG479">
        <v>0</v>
      </c>
      <c r="BH479">
        <v>9025</v>
      </c>
      <c r="BI479">
        <v>1</v>
      </c>
      <c r="BJ479">
        <v>0</v>
      </c>
      <c r="BK479">
        <v>0</v>
      </c>
      <c r="BL479">
        <v>0</v>
      </c>
      <c r="BO479">
        <v>0</v>
      </c>
      <c r="BP479">
        <v>0</v>
      </c>
      <c r="BW479" t="str">
        <f t="shared" si="287"/>
        <v>14:50:26.325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293</v>
      </c>
      <c r="CR479">
        <v>1</v>
      </c>
      <c r="CW479">
        <v>15271806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25">
      <c r="A480" t="str">
        <f t="shared" si="285"/>
        <v>06/05/2020 14:50:20.703</v>
      </c>
      <c r="C480" t="str">
        <f t="shared" si="248"/>
        <v>FFDFD3C0</v>
      </c>
      <c r="D480" t="s">
        <v>113</v>
      </c>
      <c r="E480">
        <v>3</v>
      </c>
      <c r="H480">
        <v>166</v>
      </c>
      <c r="I480" t="s">
        <v>114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86"/>
        <v>14:50:26.320</v>
      </c>
      <c r="T480" t="str">
        <f t="shared" si="286"/>
        <v>14:50:26.320</v>
      </c>
      <c r="U480" t="str">
        <f t="shared" si="269"/>
        <v>ACC530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1</v>
      </c>
      <c r="AH480">
        <v>0</v>
      </c>
      <c r="AI480" t="s">
        <v>313</v>
      </c>
      <c r="AJ480">
        <v>34.231081000000003</v>
      </c>
      <c r="AK480" t="s">
        <v>314</v>
      </c>
      <c r="AL480">
        <v>-116.907685</v>
      </c>
      <c r="AM480">
        <v>100</v>
      </c>
      <c r="AN480">
        <v>8900</v>
      </c>
      <c r="AO480" t="s">
        <v>118</v>
      </c>
      <c r="AP480">
        <v>-78</v>
      </c>
      <c r="AQ480">
        <v>-41</v>
      </c>
      <c r="AR480">
        <v>192</v>
      </c>
      <c r="AZ480">
        <v>1200</v>
      </c>
      <c r="BA480">
        <v>1</v>
      </c>
      <c r="BB480" t="str">
        <f t="shared" si="273"/>
        <v xml:space="preserve">N9217B  </v>
      </c>
      <c r="BC480">
        <v>1</v>
      </c>
      <c r="BE480">
        <v>0</v>
      </c>
      <c r="BF480">
        <v>0</v>
      </c>
      <c r="BG480">
        <v>0</v>
      </c>
      <c r="BH480">
        <v>9025</v>
      </c>
      <c r="BI480">
        <v>1</v>
      </c>
      <c r="BJ480">
        <v>0</v>
      </c>
      <c r="BK480">
        <v>0</v>
      </c>
      <c r="BL480">
        <v>0</v>
      </c>
      <c r="BO480">
        <v>0</v>
      </c>
      <c r="BP480">
        <v>0</v>
      </c>
      <c r="BW480" t="str">
        <f t="shared" si="287"/>
        <v>14:50:26.325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293</v>
      </c>
      <c r="CR480">
        <v>1</v>
      </c>
      <c r="CW480">
        <v>15271806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25">
      <c r="A481" t="str">
        <f t="shared" si="285"/>
        <v>06/05/2020 14:50:20.703</v>
      </c>
      <c r="C481" t="str">
        <f t="shared" si="248"/>
        <v>FFDFD3C0</v>
      </c>
      <c r="D481" t="s">
        <v>148</v>
      </c>
      <c r="E481">
        <v>8</v>
      </c>
      <c r="H481">
        <v>50</v>
      </c>
      <c r="I481" t="s">
        <v>149</v>
      </c>
      <c r="J481" t="s">
        <v>150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86"/>
        <v>14:50:26.320</v>
      </c>
      <c r="T481" t="str">
        <f t="shared" si="286"/>
        <v>14:50:26.320</v>
      </c>
      <c r="U481" t="str">
        <f t="shared" si="269"/>
        <v>ACC530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1</v>
      </c>
      <c r="AH481">
        <v>0</v>
      </c>
      <c r="AI481" t="s">
        <v>313</v>
      </c>
      <c r="AJ481">
        <v>34.231081000000003</v>
      </c>
      <c r="AK481" t="s">
        <v>314</v>
      </c>
      <c r="AL481">
        <v>-116.907685</v>
      </c>
      <c r="AM481">
        <v>100</v>
      </c>
      <c r="AN481">
        <v>8900</v>
      </c>
      <c r="AO481" t="s">
        <v>118</v>
      </c>
      <c r="AP481">
        <v>-78</v>
      </c>
      <c r="AQ481">
        <v>-41</v>
      </c>
      <c r="AR481">
        <v>192</v>
      </c>
      <c r="AZ481">
        <v>1200</v>
      </c>
      <c r="BA481">
        <v>1</v>
      </c>
      <c r="BB481" t="str">
        <f t="shared" si="273"/>
        <v xml:space="preserve">N9217B  </v>
      </c>
      <c r="BC481">
        <v>1</v>
      </c>
      <c r="BE481">
        <v>0</v>
      </c>
      <c r="BF481">
        <v>0</v>
      </c>
      <c r="BG481">
        <v>0</v>
      </c>
      <c r="BH481">
        <v>9025</v>
      </c>
      <c r="BI481">
        <v>1</v>
      </c>
      <c r="BJ481">
        <v>0</v>
      </c>
      <c r="BK481">
        <v>0</v>
      </c>
      <c r="BL481">
        <v>0</v>
      </c>
      <c r="BO481">
        <v>0</v>
      </c>
      <c r="BP481">
        <v>0</v>
      </c>
      <c r="BW481" t="str">
        <f t="shared" si="287"/>
        <v>14:50:26.325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293</v>
      </c>
      <c r="CR481">
        <v>1</v>
      </c>
      <c r="CW481">
        <v>15271806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25">
      <c r="A482" t="str">
        <f t="shared" ref="A482:A487" si="288">"06/05/2020 14:50:21.580"</f>
        <v>06/05/2020 14:50:21.580</v>
      </c>
      <c r="C482" t="str">
        <f t="shared" si="248"/>
        <v>FFDFD3C0</v>
      </c>
      <c r="D482" t="s">
        <v>141</v>
      </c>
      <c r="E482">
        <v>20</v>
      </c>
      <c r="F482">
        <v>1020</v>
      </c>
      <c r="G482" t="s">
        <v>114</v>
      </c>
      <c r="J482" t="s">
        <v>142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ref="S482:T487" si="289">"14:50:27.234"</f>
        <v>14:50:27.234</v>
      </c>
      <c r="T482" t="str">
        <f t="shared" si="289"/>
        <v>14:50:27.234</v>
      </c>
      <c r="U482" t="str">
        <f t="shared" si="269"/>
        <v>ACC530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1</v>
      </c>
      <c r="AH482">
        <v>0</v>
      </c>
      <c r="AI482" t="s">
        <v>315</v>
      </c>
      <c r="AJ482">
        <v>34.230930999999998</v>
      </c>
      <c r="AK482" t="s">
        <v>316</v>
      </c>
      <c r="AL482">
        <v>-116.908092</v>
      </c>
      <c r="AM482">
        <v>100</v>
      </c>
      <c r="AN482">
        <v>8900</v>
      </c>
      <c r="AO482" t="s">
        <v>118</v>
      </c>
      <c r="AP482">
        <v>-78</v>
      </c>
      <c r="AQ482">
        <v>-41</v>
      </c>
      <c r="AR482">
        <v>192</v>
      </c>
      <c r="AZ482">
        <v>1200</v>
      </c>
      <c r="BA482">
        <v>1</v>
      </c>
      <c r="BB482" t="str">
        <f t="shared" si="273"/>
        <v xml:space="preserve">N9217B  </v>
      </c>
      <c r="BC482">
        <v>1</v>
      </c>
      <c r="BE482">
        <v>0</v>
      </c>
      <c r="BF482">
        <v>0</v>
      </c>
      <c r="BG482">
        <v>0</v>
      </c>
      <c r="BH482">
        <v>9050</v>
      </c>
      <c r="BI482">
        <v>1</v>
      </c>
      <c r="BJ482">
        <v>0</v>
      </c>
      <c r="BK482">
        <v>0</v>
      </c>
      <c r="BL482">
        <v>0</v>
      </c>
      <c r="BO482">
        <v>0</v>
      </c>
      <c r="BP482">
        <v>0</v>
      </c>
      <c r="BW482" t="str">
        <f t="shared" ref="BW482:BW487" si="290">"14:50:27.240"</f>
        <v>14:50:27.240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293</v>
      </c>
      <c r="CR482">
        <v>1</v>
      </c>
      <c r="CW482">
        <v>15271914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25">
      <c r="A483" t="str">
        <f t="shared" si="288"/>
        <v>06/05/2020 14:50:21.580</v>
      </c>
      <c r="C483" t="str">
        <f t="shared" ref="C483:C546" si="291">"FFDFD3C0"</f>
        <v>FFDFD3C0</v>
      </c>
      <c r="D483" t="s">
        <v>151</v>
      </c>
      <c r="E483">
        <v>9</v>
      </c>
      <c r="H483">
        <v>226</v>
      </c>
      <c r="I483" t="s">
        <v>152</v>
      </c>
      <c r="J483" t="s">
        <v>150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89"/>
        <v>14:50:27.234</v>
      </c>
      <c r="T483" t="str">
        <f t="shared" si="289"/>
        <v>14:50:27.234</v>
      </c>
      <c r="U483" t="str">
        <f t="shared" si="269"/>
        <v>ACC530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1</v>
      </c>
      <c r="AH483">
        <v>0</v>
      </c>
      <c r="AI483" t="s">
        <v>315</v>
      </c>
      <c r="AJ483">
        <v>34.230930999999998</v>
      </c>
      <c r="AK483" t="s">
        <v>316</v>
      </c>
      <c r="AL483">
        <v>-116.908092</v>
      </c>
      <c r="AM483">
        <v>100</v>
      </c>
      <c r="AN483">
        <v>8900</v>
      </c>
      <c r="AO483" t="s">
        <v>118</v>
      </c>
      <c r="AP483">
        <v>-78</v>
      </c>
      <c r="AQ483">
        <v>-41</v>
      </c>
      <c r="AR483">
        <v>192</v>
      </c>
      <c r="AZ483">
        <v>1200</v>
      </c>
      <c r="BA483">
        <v>1</v>
      </c>
      <c r="BB483" t="str">
        <f t="shared" si="273"/>
        <v xml:space="preserve">N9217B  </v>
      </c>
      <c r="BC483">
        <v>1</v>
      </c>
      <c r="BE483">
        <v>0</v>
      </c>
      <c r="BF483">
        <v>0</v>
      </c>
      <c r="BG483">
        <v>0</v>
      </c>
      <c r="BH483">
        <v>9050</v>
      </c>
      <c r="BI483">
        <v>1</v>
      </c>
      <c r="BJ483">
        <v>0</v>
      </c>
      <c r="BK483">
        <v>0</v>
      </c>
      <c r="BL483">
        <v>0</v>
      </c>
      <c r="BO483">
        <v>0</v>
      </c>
      <c r="BP483">
        <v>0</v>
      </c>
      <c r="BW483" t="str">
        <f t="shared" si="290"/>
        <v>14:50:27.240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293</v>
      </c>
      <c r="CR483">
        <v>1</v>
      </c>
      <c r="CW483">
        <v>15271914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25">
      <c r="A484" t="str">
        <f t="shared" si="288"/>
        <v>06/05/2020 14:50:21.580</v>
      </c>
      <c r="C484" t="str">
        <f t="shared" si="291"/>
        <v>FFDFD3C0</v>
      </c>
      <c r="D484" t="s">
        <v>143</v>
      </c>
      <c r="E484">
        <v>10</v>
      </c>
      <c r="F484">
        <v>3010</v>
      </c>
      <c r="G484" t="s">
        <v>144</v>
      </c>
      <c r="J484" t="s">
        <v>145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89"/>
        <v>14:50:27.234</v>
      </c>
      <c r="T484" t="str">
        <f t="shared" si="289"/>
        <v>14:50:27.234</v>
      </c>
      <c r="U484" t="str">
        <f t="shared" si="269"/>
        <v>ACC530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1</v>
      </c>
      <c r="AH484">
        <v>0</v>
      </c>
      <c r="AI484" t="s">
        <v>315</v>
      </c>
      <c r="AJ484">
        <v>34.230930999999998</v>
      </c>
      <c r="AK484" t="s">
        <v>316</v>
      </c>
      <c r="AL484">
        <v>-116.908092</v>
      </c>
      <c r="AM484">
        <v>100</v>
      </c>
      <c r="AN484">
        <v>8900</v>
      </c>
      <c r="AO484" t="s">
        <v>118</v>
      </c>
      <c r="AP484">
        <v>-78</v>
      </c>
      <c r="AQ484">
        <v>-41</v>
      </c>
      <c r="AR484">
        <v>192</v>
      </c>
      <c r="AZ484">
        <v>1200</v>
      </c>
      <c r="BA484">
        <v>1</v>
      </c>
      <c r="BB484" t="str">
        <f t="shared" si="273"/>
        <v xml:space="preserve">N9217B  </v>
      </c>
      <c r="BC484">
        <v>1</v>
      </c>
      <c r="BE484">
        <v>0</v>
      </c>
      <c r="BF484">
        <v>0</v>
      </c>
      <c r="BG484">
        <v>0</v>
      </c>
      <c r="BH484">
        <v>9050</v>
      </c>
      <c r="BI484">
        <v>1</v>
      </c>
      <c r="BJ484">
        <v>0</v>
      </c>
      <c r="BK484">
        <v>0</v>
      </c>
      <c r="BL484">
        <v>0</v>
      </c>
      <c r="BO484">
        <v>0</v>
      </c>
      <c r="BP484">
        <v>0</v>
      </c>
      <c r="BW484" t="str">
        <f t="shared" si="290"/>
        <v>14:50:27.240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293</v>
      </c>
      <c r="CR484">
        <v>1</v>
      </c>
      <c r="CW484">
        <v>15271914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25">
      <c r="A485" t="str">
        <f t="shared" si="288"/>
        <v>06/05/2020 14:50:21.580</v>
      </c>
      <c r="C485" t="str">
        <f t="shared" si="291"/>
        <v>FFDFD3C0</v>
      </c>
      <c r="D485" t="s">
        <v>113</v>
      </c>
      <c r="E485">
        <v>3</v>
      </c>
      <c r="H485">
        <v>166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89"/>
        <v>14:50:27.234</v>
      </c>
      <c r="T485" t="str">
        <f t="shared" si="289"/>
        <v>14:50:27.234</v>
      </c>
      <c r="U485" t="str">
        <f t="shared" si="269"/>
        <v>ACC530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1</v>
      </c>
      <c r="AH485">
        <v>0</v>
      </c>
      <c r="AI485" t="s">
        <v>315</v>
      </c>
      <c r="AJ485">
        <v>34.230930999999998</v>
      </c>
      <c r="AK485" t="s">
        <v>316</v>
      </c>
      <c r="AL485">
        <v>-116.908092</v>
      </c>
      <c r="AM485">
        <v>100</v>
      </c>
      <c r="AN485">
        <v>8900</v>
      </c>
      <c r="AO485" t="s">
        <v>118</v>
      </c>
      <c r="AP485">
        <v>-78</v>
      </c>
      <c r="AQ485">
        <v>-41</v>
      </c>
      <c r="AR485">
        <v>192</v>
      </c>
      <c r="AZ485">
        <v>1200</v>
      </c>
      <c r="BA485">
        <v>1</v>
      </c>
      <c r="BB485" t="str">
        <f t="shared" si="273"/>
        <v xml:space="preserve">N9217B  </v>
      </c>
      <c r="BC485">
        <v>1</v>
      </c>
      <c r="BE485">
        <v>0</v>
      </c>
      <c r="BF485">
        <v>0</v>
      </c>
      <c r="BG485">
        <v>0</v>
      </c>
      <c r="BH485">
        <v>9050</v>
      </c>
      <c r="BI485">
        <v>1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 t="shared" si="290"/>
        <v>14:50:27.240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293</v>
      </c>
      <c r="CR485">
        <v>1</v>
      </c>
      <c r="CW485">
        <v>15271914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25">
      <c r="A486" t="str">
        <f t="shared" si="288"/>
        <v>06/05/2020 14:50:21.580</v>
      </c>
      <c r="C486" t="str">
        <f t="shared" si="291"/>
        <v>FFDFD3C0</v>
      </c>
      <c r="D486" t="s">
        <v>148</v>
      </c>
      <c r="E486">
        <v>8</v>
      </c>
      <c r="H486">
        <v>50</v>
      </c>
      <c r="I486" t="s">
        <v>149</v>
      </c>
      <c r="J486" t="s">
        <v>150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89"/>
        <v>14:50:27.234</v>
      </c>
      <c r="T486" t="str">
        <f t="shared" si="289"/>
        <v>14:50:27.234</v>
      </c>
      <c r="U486" t="str">
        <f t="shared" si="269"/>
        <v>ACC530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1</v>
      </c>
      <c r="AH486">
        <v>0</v>
      </c>
      <c r="AI486" t="s">
        <v>315</v>
      </c>
      <c r="AJ486">
        <v>34.230930999999998</v>
      </c>
      <c r="AK486" t="s">
        <v>316</v>
      </c>
      <c r="AL486">
        <v>-116.908092</v>
      </c>
      <c r="AM486">
        <v>100</v>
      </c>
      <c r="AN486">
        <v>8900</v>
      </c>
      <c r="AO486" t="s">
        <v>118</v>
      </c>
      <c r="AP486">
        <v>-78</v>
      </c>
      <c r="AQ486">
        <v>-41</v>
      </c>
      <c r="AR486">
        <v>192</v>
      </c>
      <c r="AZ486">
        <v>1200</v>
      </c>
      <c r="BA486">
        <v>1</v>
      </c>
      <c r="BB486" t="str">
        <f t="shared" si="273"/>
        <v xml:space="preserve">N9217B  </v>
      </c>
      <c r="BC486">
        <v>1</v>
      </c>
      <c r="BE486">
        <v>0</v>
      </c>
      <c r="BF486">
        <v>0</v>
      </c>
      <c r="BG486">
        <v>0</v>
      </c>
      <c r="BH486">
        <v>9050</v>
      </c>
      <c r="BI486">
        <v>1</v>
      </c>
      <c r="BJ486">
        <v>0</v>
      </c>
      <c r="BK486">
        <v>0</v>
      </c>
      <c r="BL486">
        <v>0</v>
      </c>
      <c r="BO486">
        <v>0</v>
      </c>
      <c r="BP486">
        <v>0</v>
      </c>
      <c r="BW486" t="str">
        <f t="shared" si="290"/>
        <v>14:50:27.240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293</v>
      </c>
      <c r="CR486">
        <v>1</v>
      </c>
      <c r="CW486">
        <v>15271914</v>
      </c>
      <c r="CY486">
        <v>0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25">
      <c r="A487" t="str">
        <f t="shared" si="288"/>
        <v>06/05/2020 14:50:21.580</v>
      </c>
      <c r="C487" t="str">
        <f t="shared" si="291"/>
        <v>FFDFD3C0</v>
      </c>
      <c r="D487" t="s">
        <v>134</v>
      </c>
      <c r="E487">
        <v>7</v>
      </c>
      <c r="F487">
        <v>2007</v>
      </c>
      <c r="G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89"/>
        <v>14:50:27.234</v>
      </c>
      <c r="T487" t="str">
        <f t="shared" si="289"/>
        <v>14:50:27.234</v>
      </c>
      <c r="U487" t="str">
        <f t="shared" si="269"/>
        <v>ACC530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1</v>
      </c>
      <c r="AH487">
        <v>0</v>
      </c>
      <c r="AI487" t="s">
        <v>315</v>
      </c>
      <c r="AJ487">
        <v>34.230930999999998</v>
      </c>
      <c r="AK487" t="s">
        <v>316</v>
      </c>
      <c r="AL487">
        <v>-116.908092</v>
      </c>
      <c r="AM487">
        <v>100</v>
      </c>
      <c r="AN487">
        <v>8900</v>
      </c>
      <c r="AO487" t="s">
        <v>118</v>
      </c>
      <c r="AP487">
        <v>-78</v>
      </c>
      <c r="AQ487">
        <v>-41</v>
      </c>
      <c r="AR487">
        <v>192</v>
      </c>
      <c r="AZ487">
        <v>1200</v>
      </c>
      <c r="BA487">
        <v>1</v>
      </c>
      <c r="BB487" t="str">
        <f t="shared" si="273"/>
        <v xml:space="preserve">N9217B  </v>
      </c>
      <c r="BC487">
        <v>1</v>
      </c>
      <c r="BE487">
        <v>0</v>
      </c>
      <c r="BF487">
        <v>0</v>
      </c>
      <c r="BG487">
        <v>0</v>
      </c>
      <c r="BH487">
        <v>9050</v>
      </c>
      <c r="BI487">
        <v>1</v>
      </c>
      <c r="BJ487">
        <v>0</v>
      </c>
      <c r="BK487">
        <v>0</v>
      </c>
      <c r="BL487">
        <v>0</v>
      </c>
      <c r="BO487">
        <v>0</v>
      </c>
      <c r="BP487">
        <v>0</v>
      </c>
      <c r="BW487" t="str">
        <f t="shared" si="290"/>
        <v>14:50:27.240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293</v>
      </c>
      <c r="CR487">
        <v>1</v>
      </c>
      <c r="CW487">
        <v>15271914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25">
      <c r="A488" t="str">
        <f t="shared" ref="A488:A493" si="292">"06/05/2020 14:50:22.611"</f>
        <v>06/05/2020 14:50:22.611</v>
      </c>
      <c r="C488" t="str">
        <f t="shared" si="291"/>
        <v>FFDFD3C0</v>
      </c>
      <c r="D488" t="s">
        <v>143</v>
      </c>
      <c r="E488">
        <v>10</v>
      </c>
      <c r="F488">
        <v>3010</v>
      </c>
      <c r="G488" t="s">
        <v>144</v>
      </c>
      <c r="J488" t="s">
        <v>145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S493" si="293">"14:50:28.258"</f>
        <v>14:50:28.258</v>
      </c>
      <c r="T488" t="str">
        <f t="shared" ref="T488:T493" si="294">"14:50:27.858"</f>
        <v>14:50:27.858</v>
      </c>
      <c r="U488" t="str">
        <f t="shared" si="269"/>
        <v>ACC530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1</v>
      </c>
      <c r="AH488">
        <v>0</v>
      </c>
      <c r="AI488" t="s">
        <v>317</v>
      </c>
      <c r="AJ488">
        <v>34.230694999999997</v>
      </c>
      <c r="AK488" t="s">
        <v>318</v>
      </c>
      <c r="AL488">
        <v>-116.90854299999999</v>
      </c>
      <c r="AM488">
        <v>100</v>
      </c>
      <c r="AN488">
        <v>8900</v>
      </c>
      <c r="AO488" t="s">
        <v>118</v>
      </c>
      <c r="AP488">
        <v>-78</v>
      </c>
      <c r="AQ488">
        <v>-42</v>
      </c>
      <c r="AR488">
        <v>192</v>
      </c>
      <c r="AZ488">
        <v>1200</v>
      </c>
      <c r="BA488">
        <v>1</v>
      </c>
      <c r="BB488" t="str">
        <f t="shared" si="273"/>
        <v xml:space="preserve">N9217B  </v>
      </c>
      <c r="BC488">
        <v>1</v>
      </c>
      <c r="BE488">
        <v>0</v>
      </c>
      <c r="BF488">
        <v>0</v>
      </c>
      <c r="BG488">
        <v>0</v>
      </c>
      <c r="BH488">
        <v>9050</v>
      </c>
      <c r="BI488">
        <v>1</v>
      </c>
      <c r="BJ488">
        <v>0</v>
      </c>
      <c r="BK488">
        <v>0</v>
      </c>
      <c r="BL488">
        <v>0</v>
      </c>
      <c r="BO488">
        <v>0</v>
      </c>
      <c r="BP488">
        <v>0</v>
      </c>
      <c r="BW488" t="str">
        <f t="shared" ref="BW488:BW493" si="295">"14:50:28.259"</f>
        <v>14:50:28.259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293</v>
      </c>
      <c r="CR488">
        <v>1</v>
      </c>
      <c r="CW488">
        <v>15272047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25">
      <c r="A489" t="str">
        <f t="shared" si="292"/>
        <v>06/05/2020 14:50:22.611</v>
      </c>
      <c r="C489" t="str">
        <f t="shared" si="291"/>
        <v>FFDFD3C0</v>
      </c>
      <c r="D489" t="s">
        <v>151</v>
      </c>
      <c r="E489">
        <v>9</v>
      </c>
      <c r="H489">
        <v>226</v>
      </c>
      <c r="I489" t="s">
        <v>152</v>
      </c>
      <c r="J489" t="s">
        <v>150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93"/>
        <v>14:50:28.258</v>
      </c>
      <c r="T489" t="str">
        <f t="shared" si="294"/>
        <v>14:50:27.858</v>
      </c>
      <c r="U489" t="str">
        <f t="shared" si="269"/>
        <v>ACC530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1</v>
      </c>
      <c r="AH489">
        <v>0</v>
      </c>
      <c r="AI489" t="s">
        <v>317</v>
      </c>
      <c r="AJ489">
        <v>34.230694999999997</v>
      </c>
      <c r="AK489" t="s">
        <v>318</v>
      </c>
      <c r="AL489">
        <v>-116.90854299999999</v>
      </c>
      <c r="AM489">
        <v>100</v>
      </c>
      <c r="AN489">
        <v>8900</v>
      </c>
      <c r="AO489" t="s">
        <v>118</v>
      </c>
      <c r="AP489">
        <v>-78</v>
      </c>
      <c r="AQ489">
        <v>-42</v>
      </c>
      <c r="AR489">
        <v>192</v>
      </c>
      <c r="AZ489">
        <v>1200</v>
      </c>
      <c r="BA489">
        <v>1</v>
      </c>
      <c r="BB489" t="str">
        <f t="shared" si="273"/>
        <v xml:space="preserve">N9217B  </v>
      </c>
      <c r="BC489">
        <v>1</v>
      </c>
      <c r="BE489">
        <v>0</v>
      </c>
      <c r="BF489">
        <v>0</v>
      </c>
      <c r="BG489">
        <v>0</v>
      </c>
      <c r="BH489">
        <v>9050</v>
      </c>
      <c r="BI489">
        <v>1</v>
      </c>
      <c r="BJ489">
        <v>0</v>
      </c>
      <c r="BK489">
        <v>0</v>
      </c>
      <c r="BL489">
        <v>0</v>
      </c>
      <c r="BO489">
        <v>0</v>
      </c>
      <c r="BP489">
        <v>0</v>
      </c>
      <c r="BW489" t="str">
        <f t="shared" si="295"/>
        <v>14:50:28.259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293</v>
      </c>
      <c r="CR489">
        <v>1</v>
      </c>
      <c r="CW489">
        <v>15272047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25">
      <c r="A490" t="str">
        <f t="shared" si="292"/>
        <v>06/05/2020 14:50:22.611</v>
      </c>
      <c r="C490" t="str">
        <f t="shared" si="291"/>
        <v>FFDFD3C0</v>
      </c>
      <c r="D490" t="s">
        <v>113</v>
      </c>
      <c r="E490">
        <v>3</v>
      </c>
      <c r="H490">
        <v>166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93"/>
        <v>14:50:28.258</v>
      </c>
      <c r="T490" t="str">
        <f t="shared" si="294"/>
        <v>14:50:27.858</v>
      </c>
      <c r="U490" t="str">
        <f t="shared" si="269"/>
        <v>ACC530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1</v>
      </c>
      <c r="AH490">
        <v>0</v>
      </c>
      <c r="AI490" t="s">
        <v>317</v>
      </c>
      <c r="AJ490">
        <v>34.230694999999997</v>
      </c>
      <c r="AK490" t="s">
        <v>318</v>
      </c>
      <c r="AL490">
        <v>-116.90854299999999</v>
      </c>
      <c r="AM490">
        <v>100</v>
      </c>
      <c r="AN490">
        <v>8900</v>
      </c>
      <c r="AO490" t="s">
        <v>118</v>
      </c>
      <c r="AP490">
        <v>-78</v>
      </c>
      <c r="AQ490">
        <v>-42</v>
      </c>
      <c r="AR490">
        <v>192</v>
      </c>
      <c r="AZ490">
        <v>1200</v>
      </c>
      <c r="BA490">
        <v>1</v>
      </c>
      <c r="BB490" t="str">
        <f t="shared" si="273"/>
        <v xml:space="preserve">N9217B  </v>
      </c>
      <c r="BC490">
        <v>1</v>
      </c>
      <c r="BE490">
        <v>0</v>
      </c>
      <c r="BF490">
        <v>0</v>
      </c>
      <c r="BG490">
        <v>0</v>
      </c>
      <c r="BH490">
        <v>9050</v>
      </c>
      <c r="BI490">
        <v>1</v>
      </c>
      <c r="BJ490">
        <v>0</v>
      </c>
      <c r="BK490">
        <v>0</v>
      </c>
      <c r="BL490">
        <v>0</v>
      </c>
      <c r="BO490">
        <v>0</v>
      </c>
      <c r="BP490">
        <v>0</v>
      </c>
      <c r="BW490" t="str">
        <f t="shared" si="295"/>
        <v>14:50:28.259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293</v>
      </c>
      <c r="CR490">
        <v>1</v>
      </c>
      <c r="CW490">
        <v>15272047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25">
      <c r="A491" t="str">
        <f t="shared" si="292"/>
        <v>06/05/2020 14:50:22.611</v>
      </c>
      <c r="C491" t="str">
        <f t="shared" si="291"/>
        <v>FFDFD3C0</v>
      </c>
      <c r="D491" t="s">
        <v>148</v>
      </c>
      <c r="E491">
        <v>8</v>
      </c>
      <c r="H491">
        <v>50</v>
      </c>
      <c r="I491" t="s">
        <v>149</v>
      </c>
      <c r="J491" t="s">
        <v>150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93"/>
        <v>14:50:28.258</v>
      </c>
      <c r="T491" t="str">
        <f t="shared" si="294"/>
        <v>14:50:27.858</v>
      </c>
      <c r="U491" t="str">
        <f t="shared" si="269"/>
        <v>ACC530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1</v>
      </c>
      <c r="AH491">
        <v>0</v>
      </c>
      <c r="AI491" t="s">
        <v>317</v>
      </c>
      <c r="AJ491">
        <v>34.230694999999997</v>
      </c>
      <c r="AK491" t="s">
        <v>318</v>
      </c>
      <c r="AL491">
        <v>-116.90854299999999</v>
      </c>
      <c r="AM491">
        <v>100</v>
      </c>
      <c r="AN491">
        <v>8900</v>
      </c>
      <c r="AO491" t="s">
        <v>118</v>
      </c>
      <c r="AP491">
        <v>-78</v>
      </c>
      <c r="AQ491">
        <v>-42</v>
      </c>
      <c r="AR491">
        <v>192</v>
      </c>
      <c r="AZ491">
        <v>1200</v>
      </c>
      <c r="BA491">
        <v>1</v>
      </c>
      <c r="BB491" t="str">
        <f t="shared" si="273"/>
        <v xml:space="preserve">N9217B  </v>
      </c>
      <c r="BC491">
        <v>1</v>
      </c>
      <c r="BE491">
        <v>0</v>
      </c>
      <c r="BF491">
        <v>0</v>
      </c>
      <c r="BG491">
        <v>0</v>
      </c>
      <c r="BH491">
        <v>9050</v>
      </c>
      <c r="BI491">
        <v>1</v>
      </c>
      <c r="BJ491">
        <v>0</v>
      </c>
      <c r="BK491">
        <v>0</v>
      </c>
      <c r="BL491">
        <v>0</v>
      </c>
      <c r="BO491">
        <v>0</v>
      </c>
      <c r="BP491">
        <v>0</v>
      </c>
      <c r="BW491" t="str">
        <f t="shared" si="295"/>
        <v>14:50:28.259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293</v>
      </c>
      <c r="CR491">
        <v>1</v>
      </c>
      <c r="CW491">
        <v>15272047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25">
      <c r="A492" t="str">
        <f t="shared" si="292"/>
        <v>06/05/2020 14:50:22.611</v>
      </c>
      <c r="C492" t="str">
        <f t="shared" si="291"/>
        <v>FFDFD3C0</v>
      </c>
      <c r="D492" t="s">
        <v>134</v>
      </c>
      <c r="E492">
        <v>7</v>
      </c>
      <c r="F492">
        <v>2007</v>
      </c>
      <c r="G492" t="s">
        <v>135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93"/>
        <v>14:50:28.258</v>
      </c>
      <c r="T492" t="str">
        <f t="shared" si="294"/>
        <v>14:50:27.858</v>
      </c>
      <c r="U492" t="str">
        <f t="shared" si="269"/>
        <v>ACC530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1</v>
      </c>
      <c r="AH492">
        <v>0</v>
      </c>
      <c r="AI492" t="s">
        <v>317</v>
      </c>
      <c r="AJ492">
        <v>34.230694999999997</v>
      </c>
      <c r="AK492" t="s">
        <v>318</v>
      </c>
      <c r="AL492">
        <v>-116.90854299999999</v>
      </c>
      <c r="AM492">
        <v>100</v>
      </c>
      <c r="AN492">
        <v>8900</v>
      </c>
      <c r="AO492" t="s">
        <v>118</v>
      </c>
      <c r="AP492">
        <v>-78</v>
      </c>
      <c r="AQ492">
        <v>-42</v>
      </c>
      <c r="AR492">
        <v>192</v>
      </c>
      <c r="AZ492">
        <v>1200</v>
      </c>
      <c r="BA492">
        <v>1</v>
      </c>
      <c r="BB492" t="str">
        <f t="shared" si="273"/>
        <v xml:space="preserve">N9217B  </v>
      </c>
      <c r="BC492">
        <v>1</v>
      </c>
      <c r="BE492">
        <v>0</v>
      </c>
      <c r="BF492">
        <v>0</v>
      </c>
      <c r="BG492">
        <v>0</v>
      </c>
      <c r="BH492">
        <v>9050</v>
      </c>
      <c r="BI492">
        <v>1</v>
      </c>
      <c r="BJ492">
        <v>0</v>
      </c>
      <c r="BK492">
        <v>0</v>
      </c>
      <c r="BL492">
        <v>0</v>
      </c>
      <c r="BO492">
        <v>0</v>
      </c>
      <c r="BP492">
        <v>0</v>
      </c>
      <c r="BW492" t="str">
        <f t="shared" si="295"/>
        <v>14:50:28.259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293</v>
      </c>
      <c r="CR492">
        <v>1</v>
      </c>
      <c r="CW492">
        <v>15272047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25">
      <c r="A493" t="str">
        <f t="shared" si="292"/>
        <v>06/05/2020 14:50:22.611</v>
      </c>
      <c r="C493" t="str">
        <f t="shared" si="291"/>
        <v>FFDFD3C0</v>
      </c>
      <c r="D493" t="s">
        <v>141</v>
      </c>
      <c r="E493">
        <v>20</v>
      </c>
      <c r="F493">
        <v>1020</v>
      </c>
      <c r="G493" t="s">
        <v>114</v>
      </c>
      <c r="J493" t="s">
        <v>142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93"/>
        <v>14:50:28.258</v>
      </c>
      <c r="T493" t="str">
        <f t="shared" si="294"/>
        <v>14:50:27.858</v>
      </c>
      <c r="U493" t="str">
        <f t="shared" si="269"/>
        <v>ACC530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1</v>
      </c>
      <c r="AH493">
        <v>0</v>
      </c>
      <c r="AI493" t="s">
        <v>317</v>
      </c>
      <c r="AJ493">
        <v>34.230694999999997</v>
      </c>
      <c r="AK493" t="s">
        <v>318</v>
      </c>
      <c r="AL493">
        <v>-116.90854299999999</v>
      </c>
      <c r="AM493">
        <v>100</v>
      </c>
      <c r="AN493">
        <v>8900</v>
      </c>
      <c r="AO493" t="s">
        <v>118</v>
      </c>
      <c r="AP493">
        <v>-78</v>
      </c>
      <c r="AQ493">
        <v>-42</v>
      </c>
      <c r="AR493">
        <v>192</v>
      </c>
      <c r="AZ493">
        <v>1200</v>
      </c>
      <c r="BA493">
        <v>1</v>
      </c>
      <c r="BB493" t="str">
        <f t="shared" si="273"/>
        <v xml:space="preserve">N9217B  </v>
      </c>
      <c r="BC493">
        <v>1</v>
      </c>
      <c r="BE493">
        <v>0</v>
      </c>
      <c r="BF493">
        <v>0</v>
      </c>
      <c r="BG493">
        <v>0</v>
      </c>
      <c r="BH493">
        <v>9050</v>
      </c>
      <c r="BI493">
        <v>1</v>
      </c>
      <c r="BJ493">
        <v>0</v>
      </c>
      <c r="BK493">
        <v>0</v>
      </c>
      <c r="BL493">
        <v>0</v>
      </c>
      <c r="BO493">
        <v>0</v>
      </c>
      <c r="BP493">
        <v>0</v>
      </c>
      <c r="BW493" t="str">
        <f t="shared" si="295"/>
        <v>14:50:28.259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293</v>
      </c>
      <c r="CR493">
        <v>1</v>
      </c>
      <c r="CW493">
        <v>15272047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25">
      <c r="A494" t="str">
        <f t="shared" ref="A494:A499" si="296">"06/05/2020 14:50:23.768"</f>
        <v>06/05/2020 14:50:23.768</v>
      </c>
      <c r="C494" t="str">
        <f t="shared" si="291"/>
        <v>FFDFD3C0</v>
      </c>
      <c r="D494" t="s">
        <v>143</v>
      </c>
      <c r="E494">
        <v>10</v>
      </c>
      <c r="F494">
        <v>3010</v>
      </c>
      <c r="G494" t="s">
        <v>144</v>
      </c>
      <c r="J494" t="s">
        <v>145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T499" si="297">"14:50:29.398"</f>
        <v>14:50:29.398</v>
      </c>
      <c r="T494" t="str">
        <f t="shared" si="297"/>
        <v>14:50:29.398</v>
      </c>
      <c r="U494" t="str">
        <f t="shared" si="269"/>
        <v>ACC530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1</v>
      </c>
      <c r="AH494">
        <v>0</v>
      </c>
      <c r="AI494" t="s">
        <v>319</v>
      </c>
      <c r="AJ494">
        <v>34.230502000000001</v>
      </c>
      <c r="AK494" t="s">
        <v>320</v>
      </c>
      <c r="AL494">
        <v>-116.909015</v>
      </c>
      <c r="AM494">
        <v>100</v>
      </c>
      <c r="AN494">
        <v>8900</v>
      </c>
      <c r="AO494" t="s">
        <v>118</v>
      </c>
      <c r="AP494">
        <v>-79</v>
      </c>
      <c r="AQ494">
        <v>-42</v>
      </c>
      <c r="AR494">
        <v>192</v>
      </c>
      <c r="AZ494">
        <v>1200</v>
      </c>
      <c r="BA494">
        <v>1</v>
      </c>
      <c r="BB494" t="str">
        <f t="shared" si="273"/>
        <v xml:space="preserve">N9217B  </v>
      </c>
      <c r="BC494">
        <v>1</v>
      </c>
      <c r="BE494">
        <v>0</v>
      </c>
      <c r="BF494">
        <v>0</v>
      </c>
      <c r="BG494">
        <v>0</v>
      </c>
      <c r="BH494">
        <v>9050</v>
      </c>
      <c r="BI494">
        <v>1</v>
      </c>
      <c r="BJ494">
        <v>0</v>
      </c>
      <c r="BK494">
        <v>0</v>
      </c>
      <c r="BL494">
        <v>0</v>
      </c>
      <c r="BO494">
        <v>0</v>
      </c>
      <c r="BP494">
        <v>0</v>
      </c>
      <c r="BW494" t="str">
        <f t="shared" ref="BW494:BW499" si="298">"14:50:29.399"</f>
        <v>14:50:29.399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293</v>
      </c>
      <c r="CR494">
        <v>1</v>
      </c>
      <c r="CW494">
        <v>15272179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25">
      <c r="A495" t="str">
        <f t="shared" si="296"/>
        <v>06/05/2020 14:50:23.768</v>
      </c>
      <c r="C495" t="str">
        <f t="shared" si="291"/>
        <v>FFDFD3C0</v>
      </c>
      <c r="D495" t="s">
        <v>151</v>
      </c>
      <c r="E495">
        <v>9</v>
      </c>
      <c r="H495">
        <v>226</v>
      </c>
      <c r="I495" t="s">
        <v>152</v>
      </c>
      <c r="J495" t="s">
        <v>150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97"/>
        <v>14:50:29.398</v>
      </c>
      <c r="T495" t="str">
        <f t="shared" si="297"/>
        <v>14:50:29.398</v>
      </c>
      <c r="U495" t="str">
        <f t="shared" si="269"/>
        <v>ACC530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1</v>
      </c>
      <c r="AH495">
        <v>0</v>
      </c>
      <c r="AI495" t="s">
        <v>319</v>
      </c>
      <c r="AJ495">
        <v>34.230502000000001</v>
      </c>
      <c r="AK495" t="s">
        <v>320</v>
      </c>
      <c r="AL495">
        <v>-116.909015</v>
      </c>
      <c r="AM495">
        <v>100</v>
      </c>
      <c r="AN495">
        <v>8900</v>
      </c>
      <c r="AO495" t="s">
        <v>118</v>
      </c>
      <c r="AP495">
        <v>-79</v>
      </c>
      <c r="AQ495">
        <v>-42</v>
      </c>
      <c r="AR495">
        <v>192</v>
      </c>
      <c r="AZ495">
        <v>1200</v>
      </c>
      <c r="BA495">
        <v>1</v>
      </c>
      <c r="BB495" t="str">
        <f t="shared" si="273"/>
        <v xml:space="preserve">N9217B  </v>
      </c>
      <c r="BC495">
        <v>1</v>
      </c>
      <c r="BE495">
        <v>0</v>
      </c>
      <c r="BF495">
        <v>0</v>
      </c>
      <c r="BG495">
        <v>0</v>
      </c>
      <c r="BH495">
        <v>9050</v>
      </c>
      <c r="BI495">
        <v>1</v>
      </c>
      <c r="BJ495">
        <v>0</v>
      </c>
      <c r="BK495">
        <v>0</v>
      </c>
      <c r="BL495">
        <v>0</v>
      </c>
      <c r="BO495">
        <v>0</v>
      </c>
      <c r="BP495">
        <v>0</v>
      </c>
      <c r="BW495" t="str">
        <f t="shared" si="298"/>
        <v>14:50:29.399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293</v>
      </c>
      <c r="CR495">
        <v>1</v>
      </c>
      <c r="CW495">
        <v>15272179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25">
      <c r="A496" t="str">
        <f t="shared" si="296"/>
        <v>06/05/2020 14:50:23.768</v>
      </c>
      <c r="C496" t="str">
        <f t="shared" si="291"/>
        <v>FFDFD3C0</v>
      </c>
      <c r="D496" t="s">
        <v>134</v>
      </c>
      <c r="E496">
        <v>7</v>
      </c>
      <c r="F496">
        <v>2007</v>
      </c>
      <c r="G496" t="s">
        <v>135</v>
      </c>
      <c r="J496" t="s">
        <v>136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97"/>
        <v>14:50:29.398</v>
      </c>
      <c r="T496" t="str">
        <f t="shared" si="297"/>
        <v>14:50:29.398</v>
      </c>
      <c r="U496" t="str">
        <f t="shared" si="269"/>
        <v>ACC530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1</v>
      </c>
      <c r="AH496">
        <v>0</v>
      </c>
      <c r="AI496" t="s">
        <v>319</v>
      </c>
      <c r="AJ496">
        <v>34.230502000000001</v>
      </c>
      <c r="AK496" t="s">
        <v>320</v>
      </c>
      <c r="AL496">
        <v>-116.909015</v>
      </c>
      <c r="AM496">
        <v>100</v>
      </c>
      <c r="AN496">
        <v>8900</v>
      </c>
      <c r="AO496" t="s">
        <v>118</v>
      </c>
      <c r="AP496">
        <v>-79</v>
      </c>
      <c r="AQ496">
        <v>-42</v>
      </c>
      <c r="AR496">
        <v>192</v>
      </c>
      <c r="AZ496">
        <v>1200</v>
      </c>
      <c r="BA496">
        <v>1</v>
      </c>
      <c r="BB496" t="str">
        <f t="shared" si="273"/>
        <v xml:space="preserve">N9217B  </v>
      </c>
      <c r="BC496">
        <v>1</v>
      </c>
      <c r="BE496">
        <v>0</v>
      </c>
      <c r="BF496">
        <v>0</v>
      </c>
      <c r="BG496">
        <v>0</v>
      </c>
      <c r="BH496">
        <v>9050</v>
      </c>
      <c r="BI496">
        <v>1</v>
      </c>
      <c r="BJ496">
        <v>0</v>
      </c>
      <c r="BK496">
        <v>0</v>
      </c>
      <c r="BL496">
        <v>0</v>
      </c>
      <c r="BO496">
        <v>0</v>
      </c>
      <c r="BP496">
        <v>0</v>
      </c>
      <c r="BW496" t="str">
        <f t="shared" si="298"/>
        <v>14:50:29.399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293</v>
      </c>
      <c r="CR496">
        <v>1</v>
      </c>
      <c r="CW496">
        <v>15272179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25">
      <c r="A497" t="str">
        <f t="shared" si="296"/>
        <v>06/05/2020 14:50:23.768</v>
      </c>
      <c r="C497" t="str">
        <f t="shared" si="291"/>
        <v>FFDFD3C0</v>
      </c>
      <c r="D497" t="s">
        <v>113</v>
      </c>
      <c r="E497">
        <v>3</v>
      </c>
      <c r="H497">
        <v>166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97"/>
        <v>14:50:29.398</v>
      </c>
      <c r="T497" t="str">
        <f t="shared" si="297"/>
        <v>14:50:29.398</v>
      </c>
      <c r="U497" t="str">
        <f t="shared" si="269"/>
        <v>ACC530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1</v>
      </c>
      <c r="AH497">
        <v>0</v>
      </c>
      <c r="AI497" t="s">
        <v>319</v>
      </c>
      <c r="AJ497">
        <v>34.230502000000001</v>
      </c>
      <c r="AK497" t="s">
        <v>320</v>
      </c>
      <c r="AL497">
        <v>-116.909015</v>
      </c>
      <c r="AM497">
        <v>100</v>
      </c>
      <c r="AN497">
        <v>8900</v>
      </c>
      <c r="AO497" t="s">
        <v>118</v>
      </c>
      <c r="AP497">
        <v>-79</v>
      </c>
      <c r="AQ497">
        <v>-42</v>
      </c>
      <c r="AR497">
        <v>192</v>
      </c>
      <c r="AZ497">
        <v>1200</v>
      </c>
      <c r="BA497">
        <v>1</v>
      </c>
      <c r="BB497" t="str">
        <f t="shared" si="273"/>
        <v xml:space="preserve">N9217B  </v>
      </c>
      <c r="BC497">
        <v>1</v>
      </c>
      <c r="BE497">
        <v>0</v>
      </c>
      <c r="BF497">
        <v>0</v>
      </c>
      <c r="BG497">
        <v>0</v>
      </c>
      <c r="BH497">
        <v>9050</v>
      </c>
      <c r="BI497">
        <v>1</v>
      </c>
      <c r="BJ497">
        <v>0</v>
      </c>
      <c r="BK497">
        <v>0</v>
      </c>
      <c r="BL497">
        <v>0</v>
      </c>
      <c r="BO497">
        <v>0</v>
      </c>
      <c r="BP497">
        <v>0</v>
      </c>
      <c r="BW497" t="str">
        <f t="shared" si="298"/>
        <v>14:50:29.399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293</v>
      </c>
      <c r="CR497">
        <v>1</v>
      </c>
      <c r="CW497">
        <v>15272179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25">
      <c r="A498" t="str">
        <f t="shared" si="296"/>
        <v>06/05/2020 14:50:23.768</v>
      </c>
      <c r="C498" t="str">
        <f t="shared" si="291"/>
        <v>FFDFD3C0</v>
      </c>
      <c r="D498" t="s">
        <v>148</v>
      </c>
      <c r="E498">
        <v>8</v>
      </c>
      <c r="H498">
        <v>50</v>
      </c>
      <c r="I498" t="s">
        <v>149</v>
      </c>
      <c r="J498" t="s">
        <v>150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97"/>
        <v>14:50:29.398</v>
      </c>
      <c r="T498" t="str">
        <f t="shared" si="297"/>
        <v>14:50:29.398</v>
      </c>
      <c r="U498" t="str">
        <f t="shared" si="269"/>
        <v>ACC530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1</v>
      </c>
      <c r="AH498">
        <v>0</v>
      </c>
      <c r="AI498" t="s">
        <v>319</v>
      </c>
      <c r="AJ498">
        <v>34.230502000000001</v>
      </c>
      <c r="AK498" t="s">
        <v>320</v>
      </c>
      <c r="AL498">
        <v>-116.909015</v>
      </c>
      <c r="AM498">
        <v>100</v>
      </c>
      <c r="AN498">
        <v>8900</v>
      </c>
      <c r="AO498" t="s">
        <v>118</v>
      </c>
      <c r="AP498">
        <v>-79</v>
      </c>
      <c r="AQ498">
        <v>-42</v>
      </c>
      <c r="AR498">
        <v>192</v>
      </c>
      <c r="AZ498">
        <v>1200</v>
      </c>
      <c r="BA498">
        <v>1</v>
      </c>
      <c r="BB498" t="str">
        <f t="shared" si="273"/>
        <v xml:space="preserve">N9217B  </v>
      </c>
      <c r="BC498">
        <v>1</v>
      </c>
      <c r="BE498">
        <v>0</v>
      </c>
      <c r="BF498">
        <v>0</v>
      </c>
      <c r="BG498">
        <v>0</v>
      </c>
      <c r="BH498">
        <v>9050</v>
      </c>
      <c r="BI498">
        <v>1</v>
      </c>
      <c r="BJ498">
        <v>0</v>
      </c>
      <c r="BK498">
        <v>0</v>
      </c>
      <c r="BL498">
        <v>0</v>
      </c>
      <c r="BO498">
        <v>0</v>
      </c>
      <c r="BP498">
        <v>0</v>
      </c>
      <c r="BW498" t="str">
        <f t="shared" si="298"/>
        <v>14:50:29.399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293</v>
      </c>
      <c r="CR498">
        <v>1</v>
      </c>
      <c r="CW498">
        <v>15272179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25">
      <c r="A499" t="str">
        <f t="shared" si="296"/>
        <v>06/05/2020 14:50:23.768</v>
      </c>
      <c r="C499" t="str">
        <f t="shared" si="291"/>
        <v>FFDFD3C0</v>
      </c>
      <c r="D499" t="s">
        <v>141</v>
      </c>
      <c r="E499">
        <v>20</v>
      </c>
      <c r="F499">
        <v>1020</v>
      </c>
      <c r="G499" t="s">
        <v>114</v>
      </c>
      <c r="J499" t="s">
        <v>142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97"/>
        <v>14:50:29.398</v>
      </c>
      <c r="T499" t="str">
        <f t="shared" si="297"/>
        <v>14:50:29.398</v>
      </c>
      <c r="U499" t="str">
        <f t="shared" si="269"/>
        <v>ACC530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1</v>
      </c>
      <c r="AH499">
        <v>0</v>
      </c>
      <c r="AI499" t="s">
        <v>319</v>
      </c>
      <c r="AJ499">
        <v>34.230502000000001</v>
      </c>
      <c r="AK499" t="s">
        <v>320</v>
      </c>
      <c r="AL499">
        <v>-116.909015</v>
      </c>
      <c r="AM499">
        <v>100</v>
      </c>
      <c r="AN499">
        <v>8900</v>
      </c>
      <c r="AO499" t="s">
        <v>118</v>
      </c>
      <c r="AP499">
        <v>-79</v>
      </c>
      <c r="AQ499">
        <v>-42</v>
      </c>
      <c r="AR499">
        <v>192</v>
      </c>
      <c r="AZ499">
        <v>1200</v>
      </c>
      <c r="BA499">
        <v>1</v>
      </c>
      <c r="BB499" t="str">
        <f t="shared" si="273"/>
        <v xml:space="preserve">N9217B  </v>
      </c>
      <c r="BC499">
        <v>1</v>
      </c>
      <c r="BE499">
        <v>0</v>
      </c>
      <c r="BF499">
        <v>0</v>
      </c>
      <c r="BG499">
        <v>0</v>
      </c>
      <c r="BH499">
        <v>9050</v>
      </c>
      <c r="BI499">
        <v>1</v>
      </c>
      <c r="BJ499">
        <v>0</v>
      </c>
      <c r="BK499">
        <v>0</v>
      </c>
      <c r="BL499">
        <v>0</v>
      </c>
      <c r="BO499">
        <v>0</v>
      </c>
      <c r="BP499">
        <v>0</v>
      </c>
      <c r="BW499" t="str">
        <f t="shared" si="298"/>
        <v>14:50:29.399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293</v>
      </c>
      <c r="CR499">
        <v>1</v>
      </c>
      <c r="CW499">
        <v>15272179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25">
      <c r="A500" t="str">
        <f t="shared" ref="A500:A505" si="299">"06/05/2020 14:50:24.796"</f>
        <v>06/05/2020 14:50:24.796</v>
      </c>
      <c r="C500" t="str">
        <f t="shared" si="291"/>
        <v>FFDFD3C0</v>
      </c>
      <c r="D500" t="s">
        <v>113</v>
      </c>
      <c r="E500">
        <v>3</v>
      </c>
      <c r="H500">
        <v>166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ref="S500:S505" si="300">"14:50:30.445"</f>
        <v>14:50:30.445</v>
      </c>
      <c r="T500" t="str">
        <f t="shared" ref="T500:T505" si="301">"14:50:29.945"</f>
        <v>14:50:29.945</v>
      </c>
      <c r="U500" t="str">
        <f t="shared" si="269"/>
        <v>ACC530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1</v>
      </c>
      <c r="AH500">
        <v>0</v>
      </c>
      <c r="AI500" t="s">
        <v>321</v>
      </c>
      <c r="AJ500">
        <v>34.230286999999997</v>
      </c>
      <c r="AK500" t="s">
        <v>322</v>
      </c>
      <c r="AL500">
        <v>-116.90944399999999</v>
      </c>
      <c r="AM500">
        <v>100</v>
      </c>
      <c r="AN500">
        <v>8900</v>
      </c>
      <c r="AO500" t="s">
        <v>118</v>
      </c>
      <c r="AP500">
        <v>-79</v>
      </c>
      <c r="AQ500">
        <v>-42</v>
      </c>
      <c r="AR500">
        <v>192</v>
      </c>
      <c r="AZ500">
        <v>1200</v>
      </c>
      <c r="BA500">
        <v>1</v>
      </c>
      <c r="BB500" t="str">
        <f t="shared" si="273"/>
        <v xml:space="preserve">N9217B  </v>
      </c>
      <c r="BC500">
        <v>1</v>
      </c>
      <c r="BE500">
        <v>0</v>
      </c>
      <c r="BF500">
        <v>0</v>
      </c>
      <c r="BG500">
        <v>0</v>
      </c>
      <c r="BH500">
        <v>9050</v>
      </c>
      <c r="BI500">
        <v>1</v>
      </c>
      <c r="BJ500">
        <v>0</v>
      </c>
      <c r="BK500">
        <v>0</v>
      </c>
      <c r="BL500">
        <v>0</v>
      </c>
      <c r="BO500">
        <v>0</v>
      </c>
      <c r="BP500">
        <v>0</v>
      </c>
      <c r="BW500" t="str">
        <f t="shared" ref="BW500:BW505" si="302">"14:50:30.449"</f>
        <v>14:50:30.449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293</v>
      </c>
      <c r="CR500">
        <v>2</v>
      </c>
      <c r="CW500">
        <v>15272304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25">
      <c r="A501" t="str">
        <f t="shared" si="299"/>
        <v>06/05/2020 14:50:24.796</v>
      </c>
      <c r="C501" t="str">
        <f t="shared" si="291"/>
        <v>FFDFD3C0</v>
      </c>
      <c r="D501" t="s">
        <v>148</v>
      </c>
      <c r="E501">
        <v>8</v>
      </c>
      <c r="H501">
        <v>50</v>
      </c>
      <c r="I501" t="s">
        <v>149</v>
      </c>
      <c r="J501" t="s">
        <v>150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300"/>
        <v>14:50:30.445</v>
      </c>
      <c r="T501" t="str">
        <f t="shared" si="301"/>
        <v>14:50:29.945</v>
      </c>
      <c r="U501" t="str">
        <f t="shared" si="269"/>
        <v>ACC530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1</v>
      </c>
      <c r="AH501">
        <v>0</v>
      </c>
      <c r="AI501" t="s">
        <v>321</v>
      </c>
      <c r="AJ501">
        <v>34.230286999999997</v>
      </c>
      <c r="AK501" t="s">
        <v>322</v>
      </c>
      <c r="AL501">
        <v>-116.90944399999999</v>
      </c>
      <c r="AM501">
        <v>100</v>
      </c>
      <c r="AN501">
        <v>8900</v>
      </c>
      <c r="AO501" t="s">
        <v>118</v>
      </c>
      <c r="AP501">
        <v>-79</v>
      </c>
      <c r="AQ501">
        <v>-42</v>
      </c>
      <c r="AR501">
        <v>192</v>
      </c>
      <c r="AZ501">
        <v>1200</v>
      </c>
      <c r="BA501">
        <v>1</v>
      </c>
      <c r="BB501" t="str">
        <f t="shared" si="273"/>
        <v xml:space="preserve">N9217B  </v>
      </c>
      <c r="BC501">
        <v>1</v>
      </c>
      <c r="BE501">
        <v>0</v>
      </c>
      <c r="BF501">
        <v>0</v>
      </c>
      <c r="BG501">
        <v>0</v>
      </c>
      <c r="BH501">
        <v>9050</v>
      </c>
      <c r="BI501">
        <v>1</v>
      </c>
      <c r="BJ501">
        <v>0</v>
      </c>
      <c r="BK501">
        <v>0</v>
      </c>
      <c r="BL501">
        <v>0</v>
      </c>
      <c r="BO501">
        <v>0</v>
      </c>
      <c r="BP501">
        <v>0</v>
      </c>
      <c r="BW501" t="str">
        <f t="shared" si="302"/>
        <v>14:50:30.449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293</v>
      </c>
      <c r="CR501">
        <v>2</v>
      </c>
      <c r="CW501">
        <v>15272304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25">
      <c r="A502" t="str">
        <f t="shared" si="299"/>
        <v>06/05/2020 14:50:24.796</v>
      </c>
      <c r="C502" t="str">
        <f t="shared" si="291"/>
        <v>FFDFD3C0</v>
      </c>
      <c r="D502" t="s">
        <v>141</v>
      </c>
      <c r="E502">
        <v>20</v>
      </c>
      <c r="F502">
        <v>1020</v>
      </c>
      <c r="G502" t="s">
        <v>114</v>
      </c>
      <c r="J502" t="s">
        <v>142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300"/>
        <v>14:50:30.445</v>
      </c>
      <c r="T502" t="str">
        <f t="shared" si="301"/>
        <v>14:50:29.945</v>
      </c>
      <c r="U502" t="str">
        <f t="shared" si="269"/>
        <v>ACC530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1</v>
      </c>
      <c r="AH502">
        <v>0</v>
      </c>
      <c r="AI502" t="s">
        <v>321</v>
      </c>
      <c r="AJ502">
        <v>34.230286999999997</v>
      </c>
      <c r="AK502" t="s">
        <v>322</v>
      </c>
      <c r="AL502">
        <v>-116.90944399999999</v>
      </c>
      <c r="AM502">
        <v>100</v>
      </c>
      <c r="AN502">
        <v>8900</v>
      </c>
      <c r="AO502" t="s">
        <v>118</v>
      </c>
      <c r="AP502">
        <v>-79</v>
      </c>
      <c r="AQ502">
        <v>-42</v>
      </c>
      <c r="AR502">
        <v>192</v>
      </c>
      <c r="AZ502">
        <v>1200</v>
      </c>
      <c r="BA502">
        <v>1</v>
      </c>
      <c r="BB502" t="str">
        <f t="shared" si="273"/>
        <v xml:space="preserve">N9217B  </v>
      </c>
      <c r="BC502">
        <v>1</v>
      </c>
      <c r="BE502">
        <v>0</v>
      </c>
      <c r="BF502">
        <v>0</v>
      </c>
      <c r="BG502">
        <v>0</v>
      </c>
      <c r="BH502">
        <v>9050</v>
      </c>
      <c r="BI502">
        <v>1</v>
      </c>
      <c r="BJ502">
        <v>0</v>
      </c>
      <c r="BK502">
        <v>0</v>
      </c>
      <c r="BL502">
        <v>0</v>
      </c>
      <c r="BO502">
        <v>0</v>
      </c>
      <c r="BP502">
        <v>0</v>
      </c>
      <c r="BW502" t="str">
        <f t="shared" si="302"/>
        <v>14:50:30.449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293</v>
      </c>
      <c r="CR502">
        <v>2</v>
      </c>
      <c r="CW502">
        <v>15272304</v>
      </c>
      <c r="CY502">
        <v>0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25">
      <c r="A503" t="str">
        <f t="shared" si="299"/>
        <v>06/05/2020 14:50:24.796</v>
      </c>
      <c r="C503" t="str">
        <f t="shared" si="291"/>
        <v>FFDFD3C0</v>
      </c>
      <c r="D503" t="s">
        <v>143</v>
      </c>
      <c r="E503">
        <v>10</v>
      </c>
      <c r="F503">
        <v>3010</v>
      </c>
      <c r="G503" t="s">
        <v>144</v>
      </c>
      <c r="J503" t="s">
        <v>145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300"/>
        <v>14:50:30.445</v>
      </c>
      <c r="T503" t="str">
        <f t="shared" si="301"/>
        <v>14:50:29.945</v>
      </c>
      <c r="U503" t="str">
        <f t="shared" si="269"/>
        <v>ACC530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1</v>
      </c>
      <c r="AH503">
        <v>0</v>
      </c>
      <c r="AI503" t="s">
        <v>321</v>
      </c>
      <c r="AJ503">
        <v>34.230286999999997</v>
      </c>
      <c r="AK503" t="s">
        <v>322</v>
      </c>
      <c r="AL503">
        <v>-116.90944399999999</v>
      </c>
      <c r="AM503">
        <v>100</v>
      </c>
      <c r="AN503">
        <v>8900</v>
      </c>
      <c r="AO503" t="s">
        <v>118</v>
      </c>
      <c r="AP503">
        <v>-79</v>
      </c>
      <c r="AQ503">
        <v>-42</v>
      </c>
      <c r="AR503">
        <v>192</v>
      </c>
      <c r="AZ503">
        <v>1200</v>
      </c>
      <c r="BA503">
        <v>1</v>
      </c>
      <c r="BB503" t="str">
        <f t="shared" si="273"/>
        <v xml:space="preserve">N9217B  </v>
      </c>
      <c r="BC503">
        <v>1</v>
      </c>
      <c r="BE503">
        <v>0</v>
      </c>
      <c r="BF503">
        <v>0</v>
      </c>
      <c r="BG503">
        <v>0</v>
      </c>
      <c r="BH503">
        <v>9050</v>
      </c>
      <c r="BI503">
        <v>1</v>
      </c>
      <c r="BJ503">
        <v>0</v>
      </c>
      <c r="BK503">
        <v>0</v>
      </c>
      <c r="BL503">
        <v>0</v>
      </c>
      <c r="BO503">
        <v>0</v>
      </c>
      <c r="BP503">
        <v>0</v>
      </c>
      <c r="BW503" t="str">
        <f t="shared" si="302"/>
        <v>14:50:30.449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293</v>
      </c>
      <c r="CR503">
        <v>2</v>
      </c>
      <c r="CW503">
        <v>15272304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25">
      <c r="A504" t="str">
        <f t="shared" si="299"/>
        <v>06/05/2020 14:50:24.796</v>
      </c>
      <c r="C504" t="str">
        <f t="shared" si="291"/>
        <v>FFDFD3C0</v>
      </c>
      <c r="D504" t="s">
        <v>151</v>
      </c>
      <c r="E504">
        <v>9</v>
      </c>
      <c r="H504">
        <v>226</v>
      </c>
      <c r="I504" t="s">
        <v>152</v>
      </c>
      <c r="J504" t="s">
        <v>150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300"/>
        <v>14:50:30.445</v>
      </c>
      <c r="T504" t="str">
        <f t="shared" si="301"/>
        <v>14:50:29.945</v>
      </c>
      <c r="U504" t="str">
        <f t="shared" si="269"/>
        <v>ACC530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1</v>
      </c>
      <c r="AH504">
        <v>0</v>
      </c>
      <c r="AI504" t="s">
        <v>321</v>
      </c>
      <c r="AJ504">
        <v>34.230286999999997</v>
      </c>
      <c r="AK504" t="s">
        <v>322</v>
      </c>
      <c r="AL504">
        <v>-116.90944399999999</v>
      </c>
      <c r="AM504">
        <v>100</v>
      </c>
      <c r="AN504">
        <v>8900</v>
      </c>
      <c r="AO504" t="s">
        <v>118</v>
      </c>
      <c r="AP504">
        <v>-79</v>
      </c>
      <c r="AQ504">
        <v>-42</v>
      </c>
      <c r="AR504">
        <v>192</v>
      </c>
      <c r="AZ504">
        <v>1200</v>
      </c>
      <c r="BA504">
        <v>1</v>
      </c>
      <c r="BB504" t="str">
        <f t="shared" si="273"/>
        <v xml:space="preserve">N9217B  </v>
      </c>
      <c r="BC504">
        <v>1</v>
      </c>
      <c r="BE504">
        <v>0</v>
      </c>
      <c r="BF504">
        <v>0</v>
      </c>
      <c r="BG504">
        <v>0</v>
      </c>
      <c r="BH504">
        <v>9050</v>
      </c>
      <c r="BI504">
        <v>1</v>
      </c>
      <c r="BJ504">
        <v>0</v>
      </c>
      <c r="BK504">
        <v>0</v>
      </c>
      <c r="BL504">
        <v>0</v>
      </c>
      <c r="BO504">
        <v>0</v>
      </c>
      <c r="BP504">
        <v>0</v>
      </c>
      <c r="BW504" t="str">
        <f t="shared" si="302"/>
        <v>14:50:30.449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293</v>
      </c>
      <c r="CR504">
        <v>2</v>
      </c>
      <c r="CW504">
        <v>15272304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25">
      <c r="A505" t="str">
        <f t="shared" si="299"/>
        <v>06/05/2020 14:50:24.796</v>
      </c>
      <c r="C505" t="str">
        <f t="shared" si="291"/>
        <v>FFDFD3C0</v>
      </c>
      <c r="D505" t="s">
        <v>134</v>
      </c>
      <c r="E505">
        <v>7</v>
      </c>
      <c r="F505">
        <v>2007</v>
      </c>
      <c r="G505" t="s">
        <v>135</v>
      </c>
      <c r="J505" t="s">
        <v>136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300"/>
        <v>14:50:30.445</v>
      </c>
      <c r="T505" t="str">
        <f t="shared" si="301"/>
        <v>14:50:29.945</v>
      </c>
      <c r="U505" t="str">
        <f t="shared" si="269"/>
        <v>ACC530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1</v>
      </c>
      <c r="AH505">
        <v>0</v>
      </c>
      <c r="AI505" t="s">
        <v>321</v>
      </c>
      <c r="AJ505">
        <v>34.230286999999997</v>
      </c>
      <c r="AK505" t="s">
        <v>322</v>
      </c>
      <c r="AL505">
        <v>-116.90944399999999</v>
      </c>
      <c r="AM505">
        <v>100</v>
      </c>
      <c r="AN505">
        <v>8900</v>
      </c>
      <c r="AO505" t="s">
        <v>118</v>
      </c>
      <c r="AP505">
        <v>-79</v>
      </c>
      <c r="AQ505">
        <v>-42</v>
      </c>
      <c r="AR505">
        <v>192</v>
      </c>
      <c r="AZ505">
        <v>1200</v>
      </c>
      <c r="BA505">
        <v>1</v>
      </c>
      <c r="BB505" t="str">
        <f t="shared" si="273"/>
        <v xml:space="preserve">N9217B  </v>
      </c>
      <c r="BC505">
        <v>1</v>
      </c>
      <c r="BE505">
        <v>0</v>
      </c>
      <c r="BF505">
        <v>0</v>
      </c>
      <c r="BG505">
        <v>0</v>
      </c>
      <c r="BH505">
        <v>9050</v>
      </c>
      <c r="BI505">
        <v>1</v>
      </c>
      <c r="BJ505">
        <v>0</v>
      </c>
      <c r="BK505">
        <v>0</v>
      </c>
      <c r="BL505">
        <v>0</v>
      </c>
      <c r="BO505">
        <v>0</v>
      </c>
      <c r="BP505">
        <v>0</v>
      </c>
      <c r="BW505" t="str">
        <f t="shared" si="302"/>
        <v>14:50:30.449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293</v>
      </c>
      <c r="CR505">
        <v>2</v>
      </c>
      <c r="CW505">
        <v>15272304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25">
      <c r="A506" t="str">
        <f t="shared" ref="A506:A511" si="303">"06/05/2020 14:50:25.697"</f>
        <v>06/05/2020 14:50:25.697</v>
      </c>
      <c r="C506" t="str">
        <f t="shared" si="291"/>
        <v>FFDFD3C0</v>
      </c>
      <c r="D506" t="s">
        <v>151</v>
      </c>
      <c r="E506">
        <v>9</v>
      </c>
      <c r="H506">
        <v>226</v>
      </c>
      <c r="I506" t="s">
        <v>152</v>
      </c>
      <c r="J506" t="s">
        <v>150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ref="S506:S511" si="304">"14:50:31.344"</f>
        <v>14:50:31.344</v>
      </c>
      <c r="T506" t="str">
        <f t="shared" ref="T506:T511" si="305">"14:50:30.944"</f>
        <v>14:50:30.944</v>
      </c>
      <c r="U506" t="str">
        <f t="shared" si="269"/>
        <v>ACC530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1</v>
      </c>
      <c r="AH506">
        <v>0</v>
      </c>
      <c r="AI506" t="s">
        <v>323</v>
      </c>
      <c r="AJ506">
        <v>34.230158000000003</v>
      </c>
      <c r="AK506" t="s">
        <v>324</v>
      </c>
      <c r="AL506">
        <v>-116.90989500000001</v>
      </c>
      <c r="AM506">
        <v>100</v>
      </c>
      <c r="AN506">
        <v>8900</v>
      </c>
      <c r="AO506" t="s">
        <v>118</v>
      </c>
      <c r="AP506">
        <v>-79</v>
      </c>
      <c r="AQ506">
        <v>-42</v>
      </c>
      <c r="AR506">
        <v>192</v>
      </c>
      <c r="AZ506">
        <v>1200</v>
      </c>
      <c r="BA506">
        <v>1</v>
      </c>
      <c r="BB506" t="str">
        <f t="shared" si="273"/>
        <v xml:space="preserve">N9217B  </v>
      </c>
      <c r="BC506">
        <v>1</v>
      </c>
      <c r="BE506">
        <v>0</v>
      </c>
      <c r="BF506">
        <v>0</v>
      </c>
      <c r="BG506">
        <v>0</v>
      </c>
      <c r="BH506">
        <v>9050</v>
      </c>
      <c r="BI506">
        <v>1</v>
      </c>
      <c r="BJ506">
        <v>0</v>
      </c>
      <c r="BK506">
        <v>0</v>
      </c>
      <c r="BL506">
        <v>0</v>
      </c>
      <c r="BO506">
        <v>0</v>
      </c>
      <c r="BP506">
        <v>0</v>
      </c>
      <c r="BW506" t="str">
        <f t="shared" ref="BW506:BW511" si="306">"14:50:31.349"</f>
        <v>14:50:31.349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293</v>
      </c>
      <c r="CR506">
        <v>1</v>
      </c>
      <c r="CW506">
        <v>15272417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25">
      <c r="A507" t="str">
        <f t="shared" si="303"/>
        <v>06/05/2020 14:50:25.697</v>
      </c>
      <c r="C507" t="str">
        <f t="shared" si="291"/>
        <v>FFDFD3C0</v>
      </c>
      <c r="D507" t="s">
        <v>134</v>
      </c>
      <c r="E507">
        <v>7</v>
      </c>
      <c r="F507">
        <v>2007</v>
      </c>
      <c r="G507" t="s">
        <v>135</v>
      </c>
      <c r="J507" t="s">
        <v>136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304"/>
        <v>14:50:31.344</v>
      </c>
      <c r="T507" t="str">
        <f t="shared" si="305"/>
        <v>14:50:30.944</v>
      </c>
      <c r="U507" t="str">
        <f t="shared" si="269"/>
        <v>ACC530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1</v>
      </c>
      <c r="AH507">
        <v>0</v>
      </c>
      <c r="AI507" t="s">
        <v>323</v>
      </c>
      <c r="AJ507">
        <v>34.230158000000003</v>
      </c>
      <c r="AK507" t="s">
        <v>324</v>
      </c>
      <c r="AL507">
        <v>-116.90989500000001</v>
      </c>
      <c r="AM507">
        <v>100</v>
      </c>
      <c r="AN507">
        <v>8900</v>
      </c>
      <c r="AO507" t="s">
        <v>118</v>
      </c>
      <c r="AP507">
        <v>-79</v>
      </c>
      <c r="AQ507">
        <v>-42</v>
      </c>
      <c r="AR507">
        <v>192</v>
      </c>
      <c r="AZ507">
        <v>1200</v>
      </c>
      <c r="BA507">
        <v>1</v>
      </c>
      <c r="BB507" t="str">
        <f t="shared" si="273"/>
        <v xml:space="preserve">N9217B  </v>
      </c>
      <c r="BC507">
        <v>1</v>
      </c>
      <c r="BE507">
        <v>0</v>
      </c>
      <c r="BF507">
        <v>0</v>
      </c>
      <c r="BG507">
        <v>0</v>
      </c>
      <c r="BH507">
        <v>9050</v>
      </c>
      <c r="BI507">
        <v>1</v>
      </c>
      <c r="BJ507">
        <v>0</v>
      </c>
      <c r="BK507">
        <v>0</v>
      </c>
      <c r="BL507">
        <v>0</v>
      </c>
      <c r="BO507">
        <v>0</v>
      </c>
      <c r="BP507">
        <v>0</v>
      </c>
      <c r="BW507" t="str">
        <f t="shared" si="306"/>
        <v>14:50:31.349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293</v>
      </c>
      <c r="CR507">
        <v>1</v>
      </c>
      <c r="CW507">
        <v>15272417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25">
      <c r="A508" t="str">
        <f t="shared" si="303"/>
        <v>06/05/2020 14:50:25.697</v>
      </c>
      <c r="C508" t="str">
        <f t="shared" si="291"/>
        <v>FFDFD3C0</v>
      </c>
      <c r="D508" t="s">
        <v>113</v>
      </c>
      <c r="E508">
        <v>3</v>
      </c>
      <c r="H508">
        <v>166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304"/>
        <v>14:50:31.344</v>
      </c>
      <c r="T508" t="str">
        <f t="shared" si="305"/>
        <v>14:50:30.944</v>
      </c>
      <c r="U508" t="str">
        <f t="shared" si="269"/>
        <v>ACC530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1</v>
      </c>
      <c r="AH508">
        <v>0</v>
      </c>
      <c r="AI508" t="s">
        <v>323</v>
      </c>
      <c r="AJ508">
        <v>34.230158000000003</v>
      </c>
      <c r="AK508" t="s">
        <v>324</v>
      </c>
      <c r="AL508">
        <v>-116.90989500000001</v>
      </c>
      <c r="AM508">
        <v>100</v>
      </c>
      <c r="AN508">
        <v>8900</v>
      </c>
      <c r="AO508" t="s">
        <v>118</v>
      </c>
      <c r="AP508">
        <v>-79</v>
      </c>
      <c r="AQ508">
        <v>-42</v>
      </c>
      <c r="AR508">
        <v>192</v>
      </c>
      <c r="AZ508">
        <v>1200</v>
      </c>
      <c r="BA508">
        <v>1</v>
      </c>
      <c r="BB508" t="str">
        <f t="shared" si="273"/>
        <v xml:space="preserve">N9217B  </v>
      </c>
      <c r="BC508">
        <v>1</v>
      </c>
      <c r="BE508">
        <v>0</v>
      </c>
      <c r="BF508">
        <v>0</v>
      </c>
      <c r="BG508">
        <v>0</v>
      </c>
      <c r="BH508">
        <v>9050</v>
      </c>
      <c r="BI508">
        <v>1</v>
      </c>
      <c r="BJ508">
        <v>0</v>
      </c>
      <c r="BK508">
        <v>0</v>
      </c>
      <c r="BL508">
        <v>0</v>
      </c>
      <c r="BO508">
        <v>0</v>
      </c>
      <c r="BP508">
        <v>0</v>
      </c>
      <c r="BW508" t="str">
        <f t="shared" si="306"/>
        <v>14:50:31.349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293</v>
      </c>
      <c r="CR508">
        <v>1</v>
      </c>
      <c r="CW508">
        <v>15272417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25">
      <c r="A509" t="str">
        <f t="shared" si="303"/>
        <v>06/05/2020 14:50:25.697</v>
      </c>
      <c r="C509" t="str">
        <f t="shared" si="291"/>
        <v>FFDFD3C0</v>
      </c>
      <c r="D509" t="s">
        <v>148</v>
      </c>
      <c r="E509">
        <v>8</v>
      </c>
      <c r="H509">
        <v>50</v>
      </c>
      <c r="I509" t="s">
        <v>149</v>
      </c>
      <c r="J509" t="s">
        <v>150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304"/>
        <v>14:50:31.344</v>
      </c>
      <c r="T509" t="str">
        <f t="shared" si="305"/>
        <v>14:50:30.944</v>
      </c>
      <c r="U509" t="str">
        <f t="shared" si="269"/>
        <v>ACC530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1</v>
      </c>
      <c r="AH509">
        <v>0</v>
      </c>
      <c r="AI509" t="s">
        <v>323</v>
      </c>
      <c r="AJ509">
        <v>34.230158000000003</v>
      </c>
      <c r="AK509" t="s">
        <v>324</v>
      </c>
      <c r="AL509">
        <v>-116.90989500000001</v>
      </c>
      <c r="AM509">
        <v>100</v>
      </c>
      <c r="AN509">
        <v>8900</v>
      </c>
      <c r="AO509" t="s">
        <v>118</v>
      </c>
      <c r="AP509">
        <v>-79</v>
      </c>
      <c r="AQ509">
        <v>-42</v>
      </c>
      <c r="AR509">
        <v>192</v>
      </c>
      <c r="AZ509">
        <v>1200</v>
      </c>
      <c r="BA509">
        <v>1</v>
      </c>
      <c r="BB509" t="str">
        <f t="shared" si="273"/>
        <v xml:space="preserve">N9217B  </v>
      </c>
      <c r="BC509">
        <v>1</v>
      </c>
      <c r="BE509">
        <v>0</v>
      </c>
      <c r="BF509">
        <v>0</v>
      </c>
      <c r="BG509">
        <v>0</v>
      </c>
      <c r="BH509">
        <v>9050</v>
      </c>
      <c r="BI509">
        <v>1</v>
      </c>
      <c r="BJ509">
        <v>0</v>
      </c>
      <c r="BK509">
        <v>0</v>
      </c>
      <c r="BL509">
        <v>0</v>
      </c>
      <c r="BO509">
        <v>0</v>
      </c>
      <c r="BP509">
        <v>0</v>
      </c>
      <c r="BW509" t="str">
        <f t="shared" si="306"/>
        <v>14:50:31.349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293</v>
      </c>
      <c r="CR509">
        <v>1</v>
      </c>
      <c r="CW509">
        <v>15272417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25">
      <c r="A510" t="str">
        <f t="shared" si="303"/>
        <v>06/05/2020 14:50:25.697</v>
      </c>
      <c r="C510" t="str">
        <f t="shared" si="291"/>
        <v>FFDFD3C0</v>
      </c>
      <c r="D510" t="s">
        <v>141</v>
      </c>
      <c r="E510">
        <v>20</v>
      </c>
      <c r="F510">
        <v>1020</v>
      </c>
      <c r="G510" t="s">
        <v>114</v>
      </c>
      <c r="J510" t="s">
        <v>142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304"/>
        <v>14:50:31.344</v>
      </c>
      <c r="T510" t="str">
        <f t="shared" si="305"/>
        <v>14:50:30.944</v>
      </c>
      <c r="U510" t="str">
        <f t="shared" si="269"/>
        <v>ACC530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1</v>
      </c>
      <c r="AH510">
        <v>0</v>
      </c>
      <c r="AI510" t="s">
        <v>323</v>
      </c>
      <c r="AJ510">
        <v>34.230158000000003</v>
      </c>
      <c r="AK510" t="s">
        <v>324</v>
      </c>
      <c r="AL510">
        <v>-116.90989500000001</v>
      </c>
      <c r="AM510">
        <v>100</v>
      </c>
      <c r="AN510">
        <v>8900</v>
      </c>
      <c r="AO510" t="s">
        <v>118</v>
      </c>
      <c r="AP510">
        <v>-79</v>
      </c>
      <c r="AQ510">
        <v>-42</v>
      </c>
      <c r="AR510">
        <v>192</v>
      </c>
      <c r="AZ510">
        <v>1200</v>
      </c>
      <c r="BA510">
        <v>1</v>
      </c>
      <c r="BB510" t="str">
        <f t="shared" si="273"/>
        <v xml:space="preserve">N9217B  </v>
      </c>
      <c r="BC510">
        <v>1</v>
      </c>
      <c r="BE510">
        <v>0</v>
      </c>
      <c r="BF510">
        <v>0</v>
      </c>
      <c r="BG510">
        <v>0</v>
      </c>
      <c r="BH510">
        <v>9050</v>
      </c>
      <c r="BI510">
        <v>1</v>
      </c>
      <c r="BJ510">
        <v>0</v>
      </c>
      <c r="BK510">
        <v>0</v>
      </c>
      <c r="BL510">
        <v>0</v>
      </c>
      <c r="BO510">
        <v>0</v>
      </c>
      <c r="BP510">
        <v>0</v>
      </c>
      <c r="BW510" t="str">
        <f t="shared" si="306"/>
        <v>14:50:31.349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293</v>
      </c>
      <c r="CR510">
        <v>1</v>
      </c>
      <c r="CW510">
        <v>15272417</v>
      </c>
      <c r="CY510">
        <v>0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25">
      <c r="A511" t="str">
        <f t="shared" si="303"/>
        <v>06/05/2020 14:50:25.697</v>
      </c>
      <c r="C511" t="str">
        <f t="shared" si="291"/>
        <v>FFDFD3C0</v>
      </c>
      <c r="D511" t="s">
        <v>143</v>
      </c>
      <c r="E511">
        <v>10</v>
      </c>
      <c r="F511">
        <v>3010</v>
      </c>
      <c r="G511" t="s">
        <v>144</v>
      </c>
      <c r="J511" t="s">
        <v>145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304"/>
        <v>14:50:31.344</v>
      </c>
      <c r="T511" t="str">
        <f t="shared" si="305"/>
        <v>14:50:30.944</v>
      </c>
      <c r="U511" t="str">
        <f t="shared" si="269"/>
        <v>ACC530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1</v>
      </c>
      <c r="AH511">
        <v>0</v>
      </c>
      <c r="AI511" t="s">
        <v>323</v>
      </c>
      <c r="AJ511">
        <v>34.230158000000003</v>
      </c>
      <c r="AK511" t="s">
        <v>324</v>
      </c>
      <c r="AL511">
        <v>-116.90989500000001</v>
      </c>
      <c r="AM511">
        <v>100</v>
      </c>
      <c r="AN511">
        <v>8900</v>
      </c>
      <c r="AO511" t="s">
        <v>118</v>
      </c>
      <c r="AP511">
        <v>-79</v>
      </c>
      <c r="AQ511">
        <v>-42</v>
      </c>
      <c r="AR511">
        <v>192</v>
      </c>
      <c r="AZ511">
        <v>1200</v>
      </c>
      <c r="BA511">
        <v>1</v>
      </c>
      <c r="BB511" t="str">
        <f t="shared" si="273"/>
        <v xml:space="preserve">N9217B  </v>
      </c>
      <c r="BC511">
        <v>1</v>
      </c>
      <c r="BE511">
        <v>0</v>
      </c>
      <c r="BF511">
        <v>0</v>
      </c>
      <c r="BG511">
        <v>0</v>
      </c>
      <c r="BH511">
        <v>9050</v>
      </c>
      <c r="BI511">
        <v>1</v>
      </c>
      <c r="BJ511">
        <v>0</v>
      </c>
      <c r="BK511">
        <v>0</v>
      </c>
      <c r="BL511">
        <v>0</v>
      </c>
      <c r="BO511">
        <v>0</v>
      </c>
      <c r="BP511">
        <v>0</v>
      </c>
      <c r="BW511" t="str">
        <f t="shared" si="306"/>
        <v>14:50:31.349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293</v>
      </c>
      <c r="CR511">
        <v>1</v>
      </c>
      <c r="CW511">
        <v>15272417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25">
      <c r="A512" t="str">
        <f t="shared" ref="A512:A517" si="307">"06/05/2020 14:50:26.683"</f>
        <v>06/05/2020 14:50:26.683</v>
      </c>
      <c r="C512" t="str">
        <f t="shared" si="291"/>
        <v>FFDFD3C0</v>
      </c>
      <c r="D512" t="s">
        <v>143</v>
      </c>
      <c r="E512">
        <v>10</v>
      </c>
      <c r="F512">
        <v>3010</v>
      </c>
      <c r="G512" t="s">
        <v>144</v>
      </c>
      <c r="J512" t="s">
        <v>145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S517" si="308">"14:50:32.336"</f>
        <v>14:50:32.336</v>
      </c>
      <c r="T512" t="str">
        <f t="shared" ref="T512:T517" si="309">"14:50:31.936"</f>
        <v>14:50:31.936</v>
      </c>
      <c r="U512" t="str">
        <f t="shared" si="269"/>
        <v>ACC530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1</v>
      </c>
      <c r="AH512">
        <v>0</v>
      </c>
      <c r="AI512" t="s">
        <v>325</v>
      </c>
      <c r="AJ512">
        <v>34.229944000000003</v>
      </c>
      <c r="AK512" t="s">
        <v>326</v>
      </c>
      <c r="AL512">
        <v>-116.910324</v>
      </c>
      <c r="AM512">
        <v>100</v>
      </c>
      <c r="AN512">
        <v>8900</v>
      </c>
      <c r="AO512" t="s">
        <v>118</v>
      </c>
      <c r="AP512">
        <v>-80</v>
      </c>
      <c r="AQ512">
        <v>-42</v>
      </c>
      <c r="AR512">
        <v>256</v>
      </c>
      <c r="AZ512">
        <v>1200</v>
      </c>
      <c r="BA512">
        <v>1</v>
      </c>
      <c r="BB512" t="str">
        <f t="shared" si="273"/>
        <v xml:space="preserve">N9217B  </v>
      </c>
      <c r="BC512">
        <v>1</v>
      </c>
      <c r="BE512">
        <v>0</v>
      </c>
      <c r="BF512">
        <v>0</v>
      </c>
      <c r="BG512">
        <v>0</v>
      </c>
      <c r="BH512">
        <v>9050</v>
      </c>
      <c r="BI512">
        <v>1</v>
      </c>
      <c r="BJ512">
        <v>0</v>
      </c>
      <c r="BK512">
        <v>0</v>
      </c>
      <c r="BL512">
        <v>0</v>
      </c>
      <c r="BO512">
        <v>0</v>
      </c>
      <c r="BP512">
        <v>0</v>
      </c>
      <c r="BW512" t="str">
        <f t="shared" ref="BW512:BW517" si="310">"14:50:32.339"</f>
        <v>14:50:32.339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293</v>
      </c>
      <c r="CR512">
        <v>1</v>
      </c>
      <c r="CW512">
        <v>15272541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25">
      <c r="A513" t="str">
        <f t="shared" si="307"/>
        <v>06/05/2020 14:50:26.683</v>
      </c>
      <c r="C513" t="str">
        <f t="shared" si="291"/>
        <v>FFDFD3C0</v>
      </c>
      <c r="D513" t="s">
        <v>134</v>
      </c>
      <c r="E513">
        <v>7</v>
      </c>
      <c r="F513">
        <v>2007</v>
      </c>
      <c r="G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308"/>
        <v>14:50:32.336</v>
      </c>
      <c r="T513" t="str">
        <f t="shared" si="309"/>
        <v>14:50:31.936</v>
      </c>
      <c r="U513" t="str">
        <f t="shared" si="269"/>
        <v>ACC530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1</v>
      </c>
      <c r="AH513">
        <v>0</v>
      </c>
      <c r="AI513" t="s">
        <v>325</v>
      </c>
      <c r="AJ513">
        <v>34.229944000000003</v>
      </c>
      <c r="AK513" t="s">
        <v>326</v>
      </c>
      <c r="AL513">
        <v>-116.910324</v>
      </c>
      <c r="AM513">
        <v>100</v>
      </c>
      <c r="AN513">
        <v>8900</v>
      </c>
      <c r="AO513" t="s">
        <v>118</v>
      </c>
      <c r="AP513">
        <v>-80</v>
      </c>
      <c r="AQ513">
        <v>-42</v>
      </c>
      <c r="AR513">
        <v>256</v>
      </c>
      <c r="AZ513">
        <v>1200</v>
      </c>
      <c r="BA513">
        <v>1</v>
      </c>
      <c r="BB513" t="str">
        <f t="shared" si="273"/>
        <v xml:space="preserve">N9217B  </v>
      </c>
      <c r="BC513">
        <v>1</v>
      </c>
      <c r="BE513">
        <v>0</v>
      </c>
      <c r="BF513">
        <v>0</v>
      </c>
      <c r="BG513">
        <v>0</v>
      </c>
      <c r="BH513">
        <v>9050</v>
      </c>
      <c r="BI513">
        <v>1</v>
      </c>
      <c r="BJ513">
        <v>0</v>
      </c>
      <c r="BK513">
        <v>0</v>
      </c>
      <c r="BL513">
        <v>0</v>
      </c>
      <c r="BO513">
        <v>0</v>
      </c>
      <c r="BP513">
        <v>0</v>
      </c>
      <c r="BW513" t="str">
        <f t="shared" si="310"/>
        <v>14:50:32.339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293</v>
      </c>
      <c r="CR513">
        <v>1</v>
      </c>
      <c r="CW513">
        <v>15272541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25">
      <c r="A514" t="str">
        <f t="shared" si="307"/>
        <v>06/05/2020 14:50:26.683</v>
      </c>
      <c r="C514" t="str">
        <f t="shared" si="291"/>
        <v>FFDFD3C0</v>
      </c>
      <c r="D514" t="s">
        <v>151</v>
      </c>
      <c r="E514">
        <v>9</v>
      </c>
      <c r="H514">
        <v>226</v>
      </c>
      <c r="I514" t="s">
        <v>152</v>
      </c>
      <c r="J514" t="s">
        <v>150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308"/>
        <v>14:50:32.336</v>
      </c>
      <c r="T514" t="str">
        <f t="shared" si="309"/>
        <v>14:50:31.936</v>
      </c>
      <c r="U514" t="str">
        <f t="shared" ref="U514:U577" si="311">"ACC530"</f>
        <v>ACC530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1</v>
      </c>
      <c r="AH514">
        <v>0</v>
      </c>
      <c r="AI514" t="s">
        <v>325</v>
      </c>
      <c r="AJ514">
        <v>34.229944000000003</v>
      </c>
      <c r="AK514" t="s">
        <v>326</v>
      </c>
      <c r="AL514">
        <v>-116.910324</v>
      </c>
      <c r="AM514">
        <v>100</v>
      </c>
      <c r="AN514">
        <v>8900</v>
      </c>
      <c r="AO514" t="s">
        <v>118</v>
      </c>
      <c r="AP514">
        <v>-80</v>
      </c>
      <c r="AQ514">
        <v>-42</v>
      </c>
      <c r="AR514">
        <v>256</v>
      </c>
      <c r="AZ514">
        <v>1200</v>
      </c>
      <c r="BA514">
        <v>1</v>
      </c>
      <c r="BB514" t="str">
        <f t="shared" si="273"/>
        <v xml:space="preserve">N9217B  </v>
      </c>
      <c r="BC514">
        <v>1</v>
      </c>
      <c r="BE514">
        <v>0</v>
      </c>
      <c r="BF514">
        <v>0</v>
      </c>
      <c r="BG514">
        <v>0</v>
      </c>
      <c r="BH514">
        <v>9050</v>
      </c>
      <c r="BI514">
        <v>1</v>
      </c>
      <c r="BJ514">
        <v>0</v>
      </c>
      <c r="BK514">
        <v>0</v>
      </c>
      <c r="BL514">
        <v>0</v>
      </c>
      <c r="BO514">
        <v>0</v>
      </c>
      <c r="BP514">
        <v>0</v>
      </c>
      <c r="BW514" t="str">
        <f t="shared" si="310"/>
        <v>14:50:32.339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293</v>
      </c>
      <c r="CR514">
        <v>1</v>
      </c>
      <c r="CW514">
        <v>15272541</v>
      </c>
      <c r="CY514">
        <v>0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25">
      <c r="A515" t="str">
        <f t="shared" si="307"/>
        <v>06/05/2020 14:50:26.683</v>
      </c>
      <c r="C515" t="str">
        <f t="shared" si="291"/>
        <v>FFDFD3C0</v>
      </c>
      <c r="D515" t="s">
        <v>113</v>
      </c>
      <c r="E515">
        <v>3</v>
      </c>
      <c r="H515">
        <v>166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308"/>
        <v>14:50:32.336</v>
      </c>
      <c r="T515" t="str">
        <f t="shared" si="309"/>
        <v>14:50:31.936</v>
      </c>
      <c r="U515" t="str">
        <f t="shared" si="311"/>
        <v>ACC530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1</v>
      </c>
      <c r="AH515">
        <v>0</v>
      </c>
      <c r="AI515" t="s">
        <v>325</v>
      </c>
      <c r="AJ515">
        <v>34.229944000000003</v>
      </c>
      <c r="AK515" t="s">
        <v>326</v>
      </c>
      <c r="AL515">
        <v>-116.910324</v>
      </c>
      <c r="AM515">
        <v>100</v>
      </c>
      <c r="AN515">
        <v>8900</v>
      </c>
      <c r="AO515" t="s">
        <v>118</v>
      </c>
      <c r="AP515">
        <v>-80</v>
      </c>
      <c r="AQ515">
        <v>-42</v>
      </c>
      <c r="AR515">
        <v>256</v>
      </c>
      <c r="AZ515">
        <v>1200</v>
      </c>
      <c r="BA515">
        <v>1</v>
      </c>
      <c r="BB515" t="str">
        <f t="shared" si="273"/>
        <v xml:space="preserve">N9217B  </v>
      </c>
      <c r="BC515">
        <v>1</v>
      </c>
      <c r="BE515">
        <v>0</v>
      </c>
      <c r="BF515">
        <v>0</v>
      </c>
      <c r="BG515">
        <v>0</v>
      </c>
      <c r="BH515">
        <v>9050</v>
      </c>
      <c r="BI515">
        <v>1</v>
      </c>
      <c r="BJ515">
        <v>0</v>
      </c>
      <c r="BK515">
        <v>0</v>
      </c>
      <c r="BL515">
        <v>0</v>
      </c>
      <c r="BO515">
        <v>0</v>
      </c>
      <c r="BP515">
        <v>0</v>
      </c>
      <c r="BW515" t="str">
        <f t="shared" si="310"/>
        <v>14:50:32.339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293</v>
      </c>
      <c r="CR515">
        <v>1</v>
      </c>
      <c r="CW515">
        <v>15272541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25">
      <c r="A516" t="str">
        <f t="shared" si="307"/>
        <v>06/05/2020 14:50:26.683</v>
      </c>
      <c r="C516" t="str">
        <f t="shared" si="291"/>
        <v>FFDFD3C0</v>
      </c>
      <c r="D516" t="s">
        <v>148</v>
      </c>
      <c r="E516">
        <v>8</v>
      </c>
      <c r="H516">
        <v>50</v>
      </c>
      <c r="I516" t="s">
        <v>149</v>
      </c>
      <c r="J516" t="s">
        <v>150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308"/>
        <v>14:50:32.336</v>
      </c>
      <c r="T516" t="str">
        <f t="shared" si="309"/>
        <v>14:50:31.936</v>
      </c>
      <c r="U516" t="str">
        <f t="shared" si="311"/>
        <v>ACC530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1</v>
      </c>
      <c r="AH516">
        <v>0</v>
      </c>
      <c r="AI516" t="s">
        <v>325</v>
      </c>
      <c r="AJ516">
        <v>34.229944000000003</v>
      </c>
      <c r="AK516" t="s">
        <v>326</v>
      </c>
      <c r="AL516">
        <v>-116.910324</v>
      </c>
      <c r="AM516">
        <v>100</v>
      </c>
      <c r="AN516">
        <v>8900</v>
      </c>
      <c r="AO516" t="s">
        <v>118</v>
      </c>
      <c r="AP516">
        <v>-80</v>
      </c>
      <c r="AQ516">
        <v>-42</v>
      </c>
      <c r="AR516">
        <v>256</v>
      </c>
      <c r="AZ516">
        <v>1200</v>
      </c>
      <c r="BA516">
        <v>1</v>
      </c>
      <c r="BB516" t="str">
        <f t="shared" si="273"/>
        <v xml:space="preserve">N9217B  </v>
      </c>
      <c r="BC516">
        <v>1</v>
      </c>
      <c r="BE516">
        <v>0</v>
      </c>
      <c r="BF516">
        <v>0</v>
      </c>
      <c r="BG516">
        <v>0</v>
      </c>
      <c r="BH516">
        <v>9050</v>
      </c>
      <c r="BI516">
        <v>1</v>
      </c>
      <c r="BJ516">
        <v>0</v>
      </c>
      <c r="BK516">
        <v>0</v>
      </c>
      <c r="BL516">
        <v>0</v>
      </c>
      <c r="BO516">
        <v>0</v>
      </c>
      <c r="BP516">
        <v>0</v>
      </c>
      <c r="BW516" t="str">
        <f t="shared" si="310"/>
        <v>14:50:32.339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293</v>
      </c>
      <c r="CR516">
        <v>1</v>
      </c>
      <c r="CW516">
        <v>15272541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25">
      <c r="A517" t="str">
        <f t="shared" si="307"/>
        <v>06/05/2020 14:50:26.683</v>
      </c>
      <c r="C517" t="str">
        <f t="shared" si="291"/>
        <v>FFDFD3C0</v>
      </c>
      <c r="D517" t="s">
        <v>141</v>
      </c>
      <c r="E517">
        <v>20</v>
      </c>
      <c r="F517">
        <v>1020</v>
      </c>
      <c r="G517" t="s">
        <v>114</v>
      </c>
      <c r="J517" t="s">
        <v>142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308"/>
        <v>14:50:32.336</v>
      </c>
      <c r="T517" t="str">
        <f t="shared" si="309"/>
        <v>14:50:31.936</v>
      </c>
      <c r="U517" t="str">
        <f t="shared" si="311"/>
        <v>ACC530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1</v>
      </c>
      <c r="AH517">
        <v>0</v>
      </c>
      <c r="AI517" t="s">
        <v>325</v>
      </c>
      <c r="AJ517">
        <v>34.229944000000003</v>
      </c>
      <c r="AK517" t="s">
        <v>326</v>
      </c>
      <c r="AL517">
        <v>-116.910324</v>
      </c>
      <c r="AM517">
        <v>100</v>
      </c>
      <c r="AN517">
        <v>8900</v>
      </c>
      <c r="AO517" t="s">
        <v>118</v>
      </c>
      <c r="AP517">
        <v>-80</v>
      </c>
      <c r="AQ517">
        <v>-42</v>
      </c>
      <c r="AR517">
        <v>256</v>
      </c>
      <c r="AZ517">
        <v>1200</v>
      </c>
      <c r="BA517">
        <v>1</v>
      </c>
      <c r="BB517" t="str">
        <f t="shared" ref="BB517:BB580" si="312">"N9217B  "</f>
        <v xml:space="preserve">N9217B  </v>
      </c>
      <c r="BC517">
        <v>1</v>
      </c>
      <c r="BE517">
        <v>0</v>
      </c>
      <c r="BF517">
        <v>0</v>
      </c>
      <c r="BG517">
        <v>0</v>
      </c>
      <c r="BH517">
        <v>9050</v>
      </c>
      <c r="BI517">
        <v>1</v>
      </c>
      <c r="BJ517">
        <v>0</v>
      </c>
      <c r="BK517">
        <v>0</v>
      </c>
      <c r="BL517">
        <v>0</v>
      </c>
      <c r="BO517">
        <v>0</v>
      </c>
      <c r="BP517">
        <v>0</v>
      </c>
      <c r="BW517" t="str">
        <f t="shared" si="310"/>
        <v>14:50:32.339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293</v>
      </c>
      <c r="CR517">
        <v>1</v>
      </c>
      <c r="CW517">
        <v>15272541</v>
      </c>
      <c r="CY517">
        <v>0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25">
      <c r="A518" t="str">
        <f t="shared" ref="A518:A523" si="313">"06/05/2020 14:50:27.816"</f>
        <v>06/05/2020 14:50:27.816</v>
      </c>
      <c r="C518" t="str">
        <f t="shared" si="291"/>
        <v>FFDFD3C0</v>
      </c>
      <c r="D518" t="s">
        <v>134</v>
      </c>
      <c r="E518">
        <v>7</v>
      </c>
      <c r="F518">
        <v>2007</v>
      </c>
      <c r="G518" t="s">
        <v>135</v>
      </c>
      <c r="J518" t="s">
        <v>136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ref="S518:T523" si="314">"14:50:33.445"</f>
        <v>14:50:33.445</v>
      </c>
      <c r="T518" t="str">
        <f t="shared" si="314"/>
        <v>14:50:33.445</v>
      </c>
      <c r="U518" t="str">
        <f t="shared" si="311"/>
        <v>ACC530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1</v>
      </c>
      <c r="AH518">
        <v>0</v>
      </c>
      <c r="AI518" t="s">
        <v>327</v>
      </c>
      <c r="AJ518">
        <v>34.229728999999999</v>
      </c>
      <c r="AK518" t="s">
        <v>328</v>
      </c>
      <c r="AL518">
        <v>-116.910839</v>
      </c>
      <c r="AM518">
        <v>100</v>
      </c>
      <c r="AN518">
        <v>9000</v>
      </c>
      <c r="AO518" t="s">
        <v>118</v>
      </c>
      <c r="AP518">
        <v>-80</v>
      </c>
      <c r="AQ518">
        <v>-42</v>
      </c>
      <c r="AR518">
        <v>320</v>
      </c>
      <c r="AZ518">
        <v>1200</v>
      </c>
      <c r="BA518">
        <v>1</v>
      </c>
      <c r="BB518" t="str">
        <f t="shared" si="312"/>
        <v xml:space="preserve">N9217B  </v>
      </c>
      <c r="BC518">
        <v>1</v>
      </c>
      <c r="BE518">
        <v>0</v>
      </c>
      <c r="BF518">
        <v>0</v>
      </c>
      <c r="BG518">
        <v>0</v>
      </c>
      <c r="BH518">
        <v>9075</v>
      </c>
      <c r="BI518">
        <v>1</v>
      </c>
      <c r="BJ518">
        <v>0</v>
      </c>
      <c r="BK518">
        <v>0</v>
      </c>
      <c r="BL518">
        <v>0</v>
      </c>
      <c r="BO518">
        <v>0</v>
      </c>
      <c r="BP518">
        <v>0</v>
      </c>
      <c r="BW518" t="str">
        <f t="shared" ref="BW518:BW523" si="315">"14:50:33.449"</f>
        <v>14:50:33.449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293</v>
      </c>
      <c r="CR518">
        <v>1</v>
      </c>
      <c r="CW518">
        <v>15272681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25">
      <c r="A519" t="str">
        <f t="shared" si="313"/>
        <v>06/05/2020 14:50:27.816</v>
      </c>
      <c r="C519" t="str">
        <f t="shared" si="291"/>
        <v>FFDFD3C0</v>
      </c>
      <c r="D519" t="s">
        <v>151</v>
      </c>
      <c r="E519">
        <v>9</v>
      </c>
      <c r="H519">
        <v>226</v>
      </c>
      <c r="I519" t="s">
        <v>152</v>
      </c>
      <c r="J519" t="s">
        <v>150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314"/>
        <v>14:50:33.445</v>
      </c>
      <c r="T519" t="str">
        <f t="shared" si="314"/>
        <v>14:50:33.445</v>
      </c>
      <c r="U519" t="str">
        <f t="shared" si="311"/>
        <v>ACC530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1</v>
      </c>
      <c r="AH519">
        <v>0</v>
      </c>
      <c r="AI519" t="s">
        <v>327</v>
      </c>
      <c r="AJ519">
        <v>34.229728999999999</v>
      </c>
      <c r="AK519" t="s">
        <v>328</v>
      </c>
      <c r="AL519">
        <v>-116.910839</v>
      </c>
      <c r="AM519">
        <v>100</v>
      </c>
      <c r="AN519">
        <v>9000</v>
      </c>
      <c r="AO519" t="s">
        <v>118</v>
      </c>
      <c r="AP519">
        <v>-80</v>
      </c>
      <c r="AQ519">
        <v>-42</v>
      </c>
      <c r="AR519">
        <v>320</v>
      </c>
      <c r="AZ519">
        <v>1200</v>
      </c>
      <c r="BA519">
        <v>1</v>
      </c>
      <c r="BB519" t="str">
        <f t="shared" si="312"/>
        <v xml:space="preserve">N9217B  </v>
      </c>
      <c r="BC519">
        <v>1</v>
      </c>
      <c r="BE519">
        <v>0</v>
      </c>
      <c r="BF519">
        <v>0</v>
      </c>
      <c r="BG519">
        <v>0</v>
      </c>
      <c r="BH519">
        <v>9075</v>
      </c>
      <c r="BI519">
        <v>1</v>
      </c>
      <c r="BJ519">
        <v>0</v>
      </c>
      <c r="BK519">
        <v>0</v>
      </c>
      <c r="BL519">
        <v>0</v>
      </c>
      <c r="BO519">
        <v>0</v>
      </c>
      <c r="BP519">
        <v>0</v>
      </c>
      <c r="BW519" t="str">
        <f t="shared" si="315"/>
        <v>14:50:33.449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293</v>
      </c>
      <c r="CR519">
        <v>1</v>
      </c>
      <c r="CW519">
        <v>15272681</v>
      </c>
      <c r="CY519">
        <v>0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25">
      <c r="A520" t="str">
        <f t="shared" si="313"/>
        <v>06/05/2020 14:50:27.816</v>
      </c>
      <c r="C520" t="str">
        <f t="shared" si="291"/>
        <v>FFDFD3C0</v>
      </c>
      <c r="D520" t="s">
        <v>113</v>
      </c>
      <c r="E520">
        <v>3</v>
      </c>
      <c r="H520">
        <v>166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314"/>
        <v>14:50:33.445</v>
      </c>
      <c r="T520" t="str">
        <f t="shared" si="314"/>
        <v>14:50:33.445</v>
      </c>
      <c r="U520" t="str">
        <f t="shared" si="311"/>
        <v>ACC530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1</v>
      </c>
      <c r="AH520">
        <v>0</v>
      </c>
      <c r="AI520" t="s">
        <v>327</v>
      </c>
      <c r="AJ520">
        <v>34.229728999999999</v>
      </c>
      <c r="AK520" t="s">
        <v>328</v>
      </c>
      <c r="AL520">
        <v>-116.910839</v>
      </c>
      <c r="AM520">
        <v>100</v>
      </c>
      <c r="AN520">
        <v>9000</v>
      </c>
      <c r="AO520" t="s">
        <v>118</v>
      </c>
      <c r="AP520">
        <v>-80</v>
      </c>
      <c r="AQ520">
        <v>-42</v>
      </c>
      <c r="AR520">
        <v>320</v>
      </c>
      <c r="AZ520">
        <v>1200</v>
      </c>
      <c r="BA520">
        <v>1</v>
      </c>
      <c r="BB520" t="str">
        <f t="shared" si="312"/>
        <v xml:space="preserve">N9217B  </v>
      </c>
      <c r="BC520">
        <v>1</v>
      </c>
      <c r="BE520">
        <v>0</v>
      </c>
      <c r="BF520">
        <v>0</v>
      </c>
      <c r="BG520">
        <v>0</v>
      </c>
      <c r="BH520">
        <v>9075</v>
      </c>
      <c r="BI520">
        <v>1</v>
      </c>
      <c r="BJ520">
        <v>0</v>
      </c>
      <c r="BK520">
        <v>0</v>
      </c>
      <c r="BL520">
        <v>0</v>
      </c>
      <c r="BO520">
        <v>0</v>
      </c>
      <c r="BP520">
        <v>0</v>
      </c>
      <c r="BW520" t="str">
        <f t="shared" si="315"/>
        <v>14:50:33.449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293</v>
      </c>
      <c r="CR520">
        <v>1</v>
      </c>
      <c r="CW520">
        <v>15272681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25">
      <c r="A521" t="str">
        <f t="shared" si="313"/>
        <v>06/05/2020 14:50:27.816</v>
      </c>
      <c r="C521" t="str">
        <f t="shared" si="291"/>
        <v>FFDFD3C0</v>
      </c>
      <c r="D521" t="s">
        <v>148</v>
      </c>
      <c r="E521">
        <v>8</v>
      </c>
      <c r="H521">
        <v>50</v>
      </c>
      <c r="I521" t="s">
        <v>149</v>
      </c>
      <c r="J521" t="s">
        <v>150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314"/>
        <v>14:50:33.445</v>
      </c>
      <c r="T521" t="str">
        <f t="shared" si="314"/>
        <v>14:50:33.445</v>
      </c>
      <c r="U521" t="str">
        <f t="shared" si="311"/>
        <v>ACC530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1</v>
      </c>
      <c r="AH521">
        <v>0</v>
      </c>
      <c r="AI521" t="s">
        <v>327</v>
      </c>
      <c r="AJ521">
        <v>34.229728999999999</v>
      </c>
      <c r="AK521" t="s">
        <v>328</v>
      </c>
      <c r="AL521">
        <v>-116.910839</v>
      </c>
      <c r="AM521">
        <v>100</v>
      </c>
      <c r="AN521">
        <v>9000</v>
      </c>
      <c r="AO521" t="s">
        <v>118</v>
      </c>
      <c r="AP521">
        <v>-80</v>
      </c>
      <c r="AQ521">
        <v>-42</v>
      </c>
      <c r="AR521">
        <v>320</v>
      </c>
      <c r="AZ521">
        <v>1200</v>
      </c>
      <c r="BA521">
        <v>1</v>
      </c>
      <c r="BB521" t="str">
        <f t="shared" si="312"/>
        <v xml:space="preserve">N9217B  </v>
      </c>
      <c r="BC521">
        <v>1</v>
      </c>
      <c r="BE521">
        <v>0</v>
      </c>
      <c r="BF521">
        <v>0</v>
      </c>
      <c r="BG521">
        <v>0</v>
      </c>
      <c r="BH521">
        <v>9075</v>
      </c>
      <c r="BI521">
        <v>1</v>
      </c>
      <c r="BJ521">
        <v>0</v>
      </c>
      <c r="BK521">
        <v>0</v>
      </c>
      <c r="BL521">
        <v>0</v>
      </c>
      <c r="BO521">
        <v>0</v>
      </c>
      <c r="BP521">
        <v>0</v>
      </c>
      <c r="BW521" t="str">
        <f t="shared" si="315"/>
        <v>14:50:33.449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293</v>
      </c>
      <c r="CR521">
        <v>1</v>
      </c>
      <c r="CW521">
        <v>15272681</v>
      </c>
      <c r="CY521">
        <v>0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25">
      <c r="A522" t="str">
        <f t="shared" si="313"/>
        <v>06/05/2020 14:50:27.816</v>
      </c>
      <c r="C522" t="str">
        <f t="shared" si="291"/>
        <v>FFDFD3C0</v>
      </c>
      <c r="D522" t="s">
        <v>141</v>
      </c>
      <c r="E522">
        <v>20</v>
      </c>
      <c r="F522">
        <v>1020</v>
      </c>
      <c r="G522" t="s">
        <v>114</v>
      </c>
      <c r="J522" t="s">
        <v>142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314"/>
        <v>14:50:33.445</v>
      </c>
      <c r="T522" t="str">
        <f t="shared" si="314"/>
        <v>14:50:33.445</v>
      </c>
      <c r="U522" t="str">
        <f t="shared" si="311"/>
        <v>ACC530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1</v>
      </c>
      <c r="AH522">
        <v>0</v>
      </c>
      <c r="AI522" t="s">
        <v>327</v>
      </c>
      <c r="AJ522">
        <v>34.229728999999999</v>
      </c>
      <c r="AK522" t="s">
        <v>328</v>
      </c>
      <c r="AL522">
        <v>-116.910839</v>
      </c>
      <c r="AM522">
        <v>100</v>
      </c>
      <c r="AN522">
        <v>9000</v>
      </c>
      <c r="AO522" t="s">
        <v>118</v>
      </c>
      <c r="AP522">
        <v>-80</v>
      </c>
      <c r="AQ522">
        <v>-42</v>
      </c>
      <c r="AR522">
        <v>320</v>
      </c>
      <c r="AZ522">
        <v>1200</v>
      </c>
      <c r="BA522">
        <v>1</v>
      </c>
      <c r="BB522" t="str">
        <f t="shared" si="312"/>
        <v xml:space="preserve">N9217B  </v>
      </c>
      <c r="BC522">
        <v>1</v>
      </c>
      <c r="BE522">
        <v>0</v>
      </c>
      <c r="BF522">
        <v>0</v>
      </c>
      <c r="BG522">
        <v>0</v>
      </c>
      <c r="BH522">
        <v>9075</v>
      </c>
      <c r="BI522">
        <v>1</v>
      </c>
      <c r="BJ522">
        <v>0</v>
      </c>
      <c r="BK522">
        <v>0</v>
      </c>
      <c r="BL522">
        <v>0</v>
      </c>
      <c r="BO522">
        <v>0</v>
      </c>
      <c r="BP522">
        <v>0</v>
      </c>
      <c r="BW522" t="str">
        <f t="shared" si="315"/>
        <v>14:50:33.449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293</v>
      </c>
      <c r="CR522">
        <v>1</v>
      </c>
      <c r="CW522">
        <v>15272681</v>
      </c>
      <c r="CY522">
        <v>0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25">
      <c r="A523" t="str">
        <f t="shared" si="313"/>
        <v>06/05/2020 14:50:27.816</v>
      </c>
      <c r="C523" t="str">
        <f t="shared" si="291"/>
        <v>FFDFD3C0</v>
      </c>
      <c r="D523" t="s">
        <v>143</v>
      </c>
      <c r="E523">
        <v>10</v>
      </c>
      <c r="F523">
        <v>3010</v>
      </c>
      <c r="G523" t="s">
        <v>144</v>
      </c>
      <c r="J523" t="s">
        <v>145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314"/>
        <v>14:50:33.445</v>
      </c>
      <c r="T523" t="str">
        <f t="shared" si="314"/>
        <v>14:50:33.445</v>
      </c>
      <c r="U523" t="str">
        <f t="shared" si="311"/>
        <v>ACC530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1</v>
      </c>
      <c r="AH523">
        <v>0</v>
      </c>
      <c r="AI523" t="s">
        <v>327</v>
      </c>
      <c r="AJ523">
        <v>34.229728999999999</v>
      </c>
      <c r="AK523" t="s">
        <v>328</v>
      </c>
      <c r="AL523">
        <v>-116.910839</v>
      </c>
      <c r="AM523">
        <v>100</v>
      </c>
      <c r="AN523">
        <v>9000</v>
      </c>
      <c r="AO523" t="s">
        <v>118</v>
      </c>
      <c r="AP523">
        <v>-80</v>
      </c>
      <c r="AQ523">
        <v>-42</v>
      </c>
      <c r="AR523">
        <v>320</v>
      </c>
      <c r="AZ523">
        <v>1200</v>
      </c>
      <c r="BA523">
        <v>1</v>
      </c>
      <c r="BB523" t="str">
        <f t="shared" si="312"/>
        <v xml:space="preserve">N9217B  </v>
      </c>
      <c r="BC523">
        <v>1</v>
      </c>
      <c r="BE523">
        <v>0</v>
      </c>
      <c r="BF523">
        <v>0</v>
      </c>
      <c r="BG523">
        <v>0</v>
      </c>
      <c r="BH523">
        <v>9075</v>
      </c>
      <c r="BI523">
        <v>1</v>
      </c>
      <c r="BJ523">
        <v>0</v>
      </c>
      <c r="BK523">
        <v>0</v>
      </c>
      <c r="BL523">
        <v>0</v>
      </c>
      <c r="BO523">
        <v>0</v>
      </c>
      <c r="BP523">
        <v>0</v>
      </c>
      <c r="BW523" t="str">
        <f t="shared" si="315"/>
        <v>14:50:33.449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293</v>
      </c>
      <c r="CR523">
        <v>1</v>
      </c>
      <c r="CW523">
        <v>15272681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25">
      <c r="A524" t="str">
        <f t="shared" ref="A524:A529" si="316">"06/05/2020 14:50:28.724"</f>
        <v>06/05/2020 14:50:28.724</v>
      </c>
      <c r="C524" t="str">
        <f t="shared" si="291"/>
        <v>FFDFD3C0</v>
      </c>
      <c r="D524" t="s">
        <v>134</v>
      </c>
      <c r="E524">
        <v>7</v>
      </c>
      <c r="F524">
        <v>2007</v>
      </c>
      <c r="G524" t="s">
        <v>135</v>
      </c>
      <c r="J524" t="s">
        <v>136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ref="S524:S529" si="317">"14:50:34.344"</f>
        <v>14:50:34.344</v>
      </c>
      <c r="T524" t="str">
        <f t="shared" ref="T524:T529" si="318">"14:50:33.944"</f>
        <v>14:50:33.944</v>
      </c>
      <c r="U524" t="str">
        <f t="shared" si="311"/>
        <v>ACC530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1</v>
      </c>
      <c r="AH524">
        <v>0</v>
      </c>
      <c r="AI524" t="s">
        <v>329</v>
      </c>
      <c r="AJ524">
        <v>34.229536000000003</v>
      </c>
      <c r="AK524" t="s">
        <v>330</v>
      </c>
      <c r="AL524">
        <v>-116.911182</v>
      </c>
      <c r="AM524">
        <v>100</v>
      </c>
      <c r="AN524">
        <v>9000</v>
      </c>
      <c r="AO524" t="s">
        <v>118</v>
      </c>
      <c r="AP524">
        <v>-80</v>
      </c>
      <c r="AQ524">
        <v>-42</v>
      </c>
      <c r="AR524">
        <v>320</v>
      </c>
      <c r="AZ524">
        <v>1200</v>
      </c>
      <c r="BA524">
        <v>1</v>
      </c>
      <c r="BB524" t="str">
        <f t="shared" si="312"/>
        <v xml:space="preserve">N9217B  </v>
      </c>
      <c r="BC524">
        <v>1</v>
      </c>
      <c r="BE524">
        <v>0</v>
      </c>
      <c r="BF524">
        <v>0</v>
      </c>
      <c r="BG524">
        <v>0</v>
      </c>
      <c r="BH524">
        <v>9075</v>
      </c>
      <c r="BI524">
        <v>1</v>
      </c>
      <c r="BJ524">
        <v>0</v>
      </c>
      <c r="BK524">
        <v>0</v>
      </c>
      <c r="BL524">
        <v>0</v>
      </c>
      <c r="BO524">
        <v>0</v>
      </c>
      <c r="BP524">
        <v>0</v>
      </c>
      <c r="BW524" t="str">
        <f t="shared" ref="BW524:BW529" si="319">"14:50:34.349"</f>
        <v>14:50:34.349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293</v>
      </c>
      <c r="CR524">
        <v>1</v>
      </c>
      <c r="CW524">
        <v>15272785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25">
      <c r="A525" t="str">
        <f t="shared" si="316"/>
        <v>06/05/2020 14:50:28.724</v>
      </c>
      <c r="C525" t="str">
        <f t="shared" si="291"/>
        <v>FFDFD3C0</v>
      </c>
      <c r="D525" t="s">
        <v>113</v>
      </c>
      <c r="E525">
        <v>3</v>
      </c>
      <c r="H525">
        <v>166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317"/>
        <v>14:50:34.344</v>
      </c>
      <c r="T525" t="str">
        <f t="shared" si="318"/>
        <v>14:50:33.944</v>
      </c>
      <c r="U525" t="str">
        <f t="shared" si="311"/>
        <v>ACC530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1</v>
      </c>
      <c r="AH525">
        <v>0</v>
      </c>
      <c r="AI525" t="s">
        <v>329</v>
      </c>
      <c r="AJ525">
        <v>34.229536000000003</v>
      </c>
      <c r="AK525" t="s">
        <v>330</v>
      </c>
      <c r="AL525">
        <v>-116.911182</v>
      </c>
      <c r="AM525">
        <v>100</v>
      </c>
      <c r="AN525">
        <v>9000</v>
      </c>
      <c r="AO525" t="s">
        <v>118</v>
      </c>
      <c r="AP525">
        <v>-80</v>
      </c>
      <c r="AQ525">
        <v>-42</v>
      </c>
      <c r="AR525">
        <v>320</v>
      </c>
      <c r="AZ525">
        <v>1200</v>
      </c>
      <c r="BA525">
        <v>1</v>
      </c>
      <c r="BB525" t="str">
        <f t="shared" si="312"/>
        <v xml:space="preserve">N9217B  </v>
      </c>
      <c r="BC525">
        <v>1</v>
      </c>
      <c r="BE525">
        <v>0</v>
      </c>
      <c r="BF525">
        <v>0</v>
      </c>
      <c r="BG525">
        <v>0</v>
      </c>
      <c r="BH525">
        <v>9075</v>
      </c>
      <c r="BI525">
        <v>1</v>
      </c>
      <c r="BJ525">
        <v>0</v>
      </c>
      <c r="BK525">
        <v>0</v>
      </c>
      <c r="BL525">
        <v>0</v>
      </c>
      <c r="BO525">
        <v>0</v>
      </c>
      <c r="BP525">
        <v>0</v>
      </c>
      <c r="BW525" t="str">
        <f t="shared" si="319"/>
        <v>14:50:34.349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293</v>
      </c>
      <c r="CR525">
        <v>1</v>
      </c>
      <c r="CW525">
        <v>15272785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25">
      <c r="A526" t="str">
        <f t="shared" si="316"/>
        <v>06/05/2020 14:50:28.724</v>
      </c>
      <c r="C526" t="str">
        <f t="shared" si="291"/>
        <v>FFDFD3C0</v>
      </c>
      <c r="D526" t="s">
        <v>151</v>
      </c>
      <c r="E526">
        <v>9</v>
      </c>
      <c r="H526">
        <v>226</v>
      </c>
      <c r="I526" t="s">
        <v>152</v>
      </c>
      <c r="J526" t="s">
        <v>150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317"/>
        <v>14:50:34.344</v>
      </c>
      <c r="T526" t="str">
        <f t="shared" si="318"/>
        <v>14:50:33.944</v>
      </c>
      <c r="U526" t="str">
        <f t="shared" si="311"/>
        <v>ACC530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1</v>
      </c>
      <c r="AH526">
        <v>0</v>
      </c>
      <c r="AI526" t="s">
        <v>329</v>
      </c>
      <c r="AJ526">
        <v>34.229536000000003</v>
      </c>
      <c r="AK526" t="s">
        <v>330</v>
      </c>
      <c r="AL526">
        <v>-116.911182</v>
      </c>
      <c r="AM526">
        <v>100</v>
      </c>
      <c r="AN526">
        <v>9000</v>
      </c>
      <c r="AO526" t="s">
        <v>118</v>
      </c>
      <c r="AP526">
        <v>-80</v>
      </c>
      <c r="AQ526">
        <v>-42</v>
      </c>
      <c r="AR526">
        <v>320</v>
      </c>
      <c r="AZ526">
        <v>1200</v>
      </c>
      <c r="BA526">
        <v>1</v>
      </c>
      <c r="BB526" t="str">
        <f t="shared" si="312"/>
        <v xml:space="preserve">N9217B  </v>
      </c>
      <c r="BC526">
        <v>1</v>
      </c>
      <c r="BE526">
        <v>0</v>
      </c>
      <c r="BF526">
        <v>0</v>
      </c>
      <c r="BG526">
        <v>0</v>
      </c>
      <c r="BH526">
        <v>9075</v>
      </c>
      <c r="BI526">
        <v>1</v>
      </c>
      <c r="BJ526">
        <v>0</v>
      </c>
      <c r="BK526">
        <v>0</v>
      </c>
      <c r="BL526">
        <v>0</v>
      </c>
      <c r="BO526">
        <v>0</v>
      </c>
      <c r="BP526">
        <v>0</v>
      </c>
      <c r="BW526" t="str">
        <f t="shared" si="319"/>
        <v>14:50:34.349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293</v>
      </c>
      <c r="CR526">
        <v>1</v>
      </c>
      <c r="CW526">
        <v>15272785</v>
      </c>
      <c r="CY526">
        <v>0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25">
      <c r="A527" t="str">
        <f t="shared" si="316"/>
        <v>06/05/2020 14:50:28.724</v>
      </c>
      <c r="C527" t="str">
        <f t="shared" si="291"/>
        <v>FFDFD3C0</v>
      </c>
      <c r="D527" t="s">
        <v>143</v>
      </c>
      <c r="E527">
        <v>10</v>
      </c>
      <c r="F527">
        <v>3010</v>
      </c>
      <c r="G527" t="s">
        <v>144</v>
      </c>
      <c r="J527" t="s">
        <v>145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317"/>
        <v>14:50:34.344</v>
      </c>
      <c r="T527" t="str">
        <f t="shared" si="318"/>
        <v>14:50:33.944</v>
      </c>
      <c r="U527" t="str">
        <f t="shared" si="311"/>
        <v>ACC530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1</v>
      </c>
      <c r="AH527">
        <v>0</v>
      </c>
      <c r="AI527" t="s">
        <v>329</v>
      </c>
      <c r="AJ527">
        <v>34.229536000000003</v>
      </c>
      <c r="AK527" t="s">
        <v>330</v>
      </c>
      <c r="AL527">
        <v>-116.911182</v>
      </c>
      <c r="AM527">
        <v>100</v>
      </c>
      <c r="AN527">
        <v>9000</v>
      </c>
      <c r="AO527" t="s">
        <v>118</v>
      </c>
      <c r="AP527">
        <v>-80</v>
      </c>
      <c r="AQ527">
        <v>-42</v>
      </c>
      <c r="AR527">
        <v>320</v>
      </c>
      <c r="AZ527">
        <v>1200</v>
      </c>
      <c r="BA527">
        <v>1</v>
      </c>
      <c r="BB527" t="str">
        <f t="shared" si="312"/>
        <v xml:space="preserve">N9217B  </v>
      </c>
      <c r="BC527">
        <v>1</v>
      </c>
      <c r="BE527">
        <v>0</v>
      </c>
      <c r="BF527">
        <v>0</v>
      </c>
      <c r="BG527">
        <v>0</v>
      </c>
      <c r="BH527">
        <v>9075</v>
      </c>
      <c r="BI527">
        <v>1</v>
      </c>
      <c r="BJ527">
        <v>0</v>
      </c>
      <c r="BK527">
        <v>0</v>
      </c>
      <c r="BL527">
        <v>0</v>
      </c>
      <c r="BO527">
        <v>0</v>
      </c>
      <c r="BP527">
        <v>0</v>
      </c>
      <c r="BW527" t="str">
        <f t="shared" si="319"/>
        <v>14:50:34.349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293</v>
      </c>
      <c r="CR527">
        <v>1</v>
      </c>
      <c r="CW527">
        <v>15272785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25">
      <c r="A528" t="str">
        <f t="shared" si="316"/>
        <v>06/05/2020 14:50:28.724</v>
      </c>
      <c r="C528" t="str">
        <f t="shared" si="291"/>
        <v>FFDFD3C0</v>
      </c>
      <c r="D528" t="s">
        <v>141</v>
      </c>
      <c r="E528">
        <v>20</v>
      </c>
      <c r="F528">
        <v>1020</v>
      </c>
      <c r="G528" t="s">
        <v>114</v>
      </c>
      <c r="J528" t="s">
        <v>142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317"/>
        <v>14:50:34.344</v>
      </c>
      <c r="T528" t="str">
        <f t="shared" si="318"/>
        <v>14:50:33.944</v>
      </c>
      <c r="U528" t="str">
        <f t="shared" si="311"/>
        <v>ACC530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1</v>
      </c>
      <c r="AH528">
        <v>0</v>
      </c>
      <c r="AI528" t="s">
        <v>329</v>
      </c>
      <c r="AJ528">
        <v>34.229536000000003</v>
      </c>
      <c r="AK528" t="s">
        <v>330</v>
      </c>
      <c r="AL528">
        <v>-116.911182</v>
      </c>
      <c r="AM528">
        <v>100</v>
      </c>
      <c r="AN528">
        <v>9000</v>
      </c>
      <c r="AO528" t="s">
        <v>118</v>
      </c>
      <c r="AP528">
        <v>-80</v>
      </c>
      <c r="AQ528">
        <v>-42</v>
      </c>
      <c r="AR528">
        <v>320</v>
      </c>
      <c r="AZ528">
        <v>1200</v>
      </c>
      <c r="BA528">
        <v>1</v>
      </c>
      <c r="BB528" t="str">
        <f t="shared" si="312"/>
        <v xml:space="preserve">N9217B  </v>
      </c>
      <c r="BC528">
        <v>1</v>
      </c>
      <c r="BE528">
        <v>0</v>
      </c>
      <c r="BF528">
        <v>0</v>
      </c>
      <c r="BG528">
        <v>0</v>
      </c>
      <c r="BH528">
        <v>9075</v>
      </c>
      <c r="BI528">
        <v>1</v>
      </c>
      <c r="BJ528">
        <v>0</v>
      </c>
      <c r="BK528">
        <v>0</v>
      </c>
      <c r="BL528">
        <v>0</v>
      </c>
      <c r="BO528">
        <v>0</v>
      </c>
      <c r="BP528">
        <v>0</v>
      </c>
      <c r="BW528" t="str">
        <f t="shared" si="319"/>
        <v>14:50:34.349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293</v>
      </c>
      <c r="CR528">
        <v>1</v>
      </c>
      <c r="CW528">
        <v>15272785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25">
      <c r="A529" t="str">
        <f t="shared" si="316"/>
        <v>06/05/2020 14:50:28.724</v>
      </c>
      <c r="C529" t="str">
        <f t="shared" si="291"/>
        <v>FFDFD3C0</v>
      </c>
      <c r="D529" t="s">
        <v>148</v>
      </c>
      <c r="E529">
        <v>8</v>
      </c>
      <c r="H529">
        <v>50</v>
      </c>
      <c r="I529" t="s">
        <v>149</v>
      </c>
      <c r="J529" t="s">
        <v>150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317"/>
        <v>14:50:34.344</v>
      </c>
      <c r="T529" t="str">
        <f t="shared" si="318"/>
        <v>14:50:33.944</v>
      </c>
      <c r="U529" t="str">
        <f t="shared" si="311"/>
        <v>ACC530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1</v>
      </c>
      <c r="AH529">
        <v>0</v>
      </c>
      <c r="AI529" t="s">
        <v>329</v>
      </c>
      <c r="AJ529">
        <v>34.229536000000003</v>
      </c>
      <c r="AK529" t="s">
        <v>330</v>
      </c>
      <c r="AL529">
        <v>-116.911182</v>
      </c>
      <c r="AM529">
        <v>100</v>
      </c>
      <c r="AN529">
        <v>9000</v>
      </c>
      <c r="AO529" t="s">
        <v>118</v>
      </c>
      <c r="AP529">
        <v>-80</v>
      </c>
      <c r="AQ529">
        <v>-42</v>
      </c>
      <c r="AR529">
        <v>320</v>
      </c>
      <c r="AZ529">
        <v>1200</v>
      </c>
      <c r="BA529">
        <v>1</v>
      </c>
      <c r="BB529" t="str">
        <f t="shared" si="312"/>
        <v xml:space="preserve">N9217B  </v>
      </c>
      <c r="BC529">
        <v>1</v>
      </c>
      <c r="BE529">
        <v>0</v>
      </c>
      <c r="BF529">
        <v>0</v>
      </c>
      <c r="BG529">
        <v>0</v>
      </c>
      <c r="BH529">
        <v>9075</v>
      </c>
      <c r="BI529">
        <v>1</v>
      </c>
      <c r="BJ529">
        <v>0</v>
      </c>
      <c r="BK529">
        <v>0</v>
      </c>
      <c r="BL529">
        <v>0</v>
      </c>
      <c r="BO529">
        <v>0</v>
      </c>
      <c r="BP529">
        <v>0</v>
      </c>
      <c r="BW529" t="str">
        <f t="shared" si="319"/>
        <v>14:50:34.349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293</v>
      </c>
      <c r="CR529">
        <v>1</v>
      </c>
      <c r="CW529">
        <v>15272785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25">
      <c r="A530" t="str">
        <f t="shared" ref="A530:A535" si="320">"06/05/2020 14:50:29.595"</f>
        <v>06/05/2020 14:50:29.595</v>
      </c>
      <c r="C530" t="str">
        <f t="shared" si="291"/>
        <v>FFDFD3C0</v>
      </c>
      <c r="D530" t="s">
        <v>143</v>
      </c>
      <c r="E530">
        <v>10</v>
      </c>
      <c r="F530">
        <v>3010</v>
      </c>
      <c r="G530" t="s">
        <v>144</v>
      </c>
      <c r="J530" t="s">
        <v>145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ref="S530:S535" si="321">"14:50:35.258"</f>
        <v>14:50:35.258</v>
      </c>
      <c r="T530" t="str">
        <f t="shared" ref="T530:T535" si="322">"14:50:34.858"</f>
        <v>14:50:34.858</v>
      </c>
      <c r="U530" t="str">
        <f t="shared" si="311"/>
        <v>ACC530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1</v>
      </c>
      <c r="AH530">
        <v>0</v>
      </c>
      <c r="AI530" t="s">
        <v>331</v>
      </c>
      <c r="AJ530">
        <v>34.229363999999997</v>
      </c>
      <c r="AK530" t="s">
        <v>332</v>
      </c>
      <c r="AL530">
        <v>-116.91163299999999</v>
      </c>
      <c r="AM530">
        <v>100</v>
      </c>
      <c r="AN530">
        <v>9000</v>
      </c>
      <c r="AO530" t="s">
        <v>118</v>
      </c>
      <c r="AP530">
        <v>-81</v>
      </c>
      <c r="AQ530">
        <v>-42</v>
      </c>
      <c r="AR530">
        <v>384</v>
      </c>
      <c r="AZ530">
        <v>1200</v>
      </c>
      <c r="BA530">
        <v>1</v>
      </c>
      <c r="BB530" t="str">
        <f t="shared" si="312"/>
        <v xml:space="preserve">N9217B  </v>
      </c>
      <c r="BC530">
        <v>1</v>
      </c>
      <c r="BE530">
        <v>0</v>
      </c>
      <c r="BF530">
        <v>0</v>
      </c>
      <c r="BG530">
        <v>0</v>
      </c>
      <c r="BH530">
        <v>9075</v>
      </c>
      <c r="BI530">
        <v>1</v>
      </c>
      <c r="BJ530">
        <v>0</v>
      </c>
      <c r="BK530">
        <v>0</v>
      </c>
      <c r="BL530">
        <v>0</v>
      </c>
      <c r="BO530">
        <v>0</v>
      </c>
      <c r="BP530">
        <v>0</v>
      </c>
      <c r="BW530" t="str">
        <f t="shared" ref="BW530:BW535" si="323">"14:50:35.264"</f>
        <v>14:50:35.264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6</v>
      </c>
      <c r="CP530" t="s">
        <v>119</v>
      </c>
      <c r="CQ530">
        <v>293</v>
      </c>
      <c r="CR530">
        <v>2</v>
      </c>
      <c r="CW530">
        <v>15272892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25">
      <c r="A531" t="str">
        <f t="shared" si="320"/>
        <v>06/05/2020 14:50:29.595</v>
      </c>
      <c r="C531" t="str">
        <f t="shared" si="291"/>
        <v>FFDFD3C0</v>
      </c>
      <c r="D531" t="s">
        <v>141</v>
      </c>
      <c r="E531">
        <v>20</v>
      </c>
      <c r="F531">
        <v>1020</v>
      </c>
      <c r="G531" t="s">
        <v>114</v>
      </c>
      <c r="J531" t="s">
        <v>142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321"/>
        <v>14:50:35.258</v>
      </c>
      <c r="T531" t="str">
        <f t="shared" si="322"/>
        <v>14:50:34.858</v>
      </c>
      <c r="U531" t="str">
        <f t="shared" si="311"/>
        <v>ACC530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1</v>
      </c>
      <c r="AH531">
        <v>0</v>
      </c>
      <c r="AI531" t="s">
        <v>331</v>
      </c>
      <c r="AJ531">
        <v>34.229363999999997</v>
      </c>
      <c r="AK531" t="s">
        <v>332</v>
      </c>
      <c r="AL531">
        <v>-116.91163299999999</v>
      </c>
      <c r="AM531">
        <v>100</v>
      </c>
      <c r="AN531">
        <v>9000</v>
      </c>
      <c r="AO531" t="s">
        <v>118</v>
      </c>
      <c r="AP531">
        <v>-81</v>
      </c>
      <c r="AQ531">
        <v>-42</v>
      </c>
      <c r="AR531">
        <v>384</v>
      </c>
      <c r="AZ531">
        <v>1200</v>
      </c>
      <c r="BA531">
        <v>1</v>
      </c>
      <c r="BB531" t="str">
        <f t="shared" si="312"/>
        <v xml:space="preserve">N9217B  </v>
      </c>
      <c r="BC531">
        <v>1</v>
      </c>
      <c r="BE531">
        <v>0</v>
      </c>
      <c r="BF531">
        <v>0</v>
      </c>
      <c r="BG531">
        <v>0</v>
      </c>
      <c r="BH531">
        <v>9075</v>
      </c>
      <c r="BI531">
        <v>1</v>
      </c>
      <c r="BJ531">
        <v>0</v>
      </c>
      <c r="BK531">
        <v>0</v>
      </c>
      <c r="BL531">
        <v>0</v>
      </c>
      <c r="BO531">
        <v>0</v>
      </c>
      <c r="BP531">
        <v>0</v>
      </c>
      <c r="BW531" t="str">
        <f t="shared" si="323"/>
        <v>14:50:35.264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285</v>
      </c>
      <c r="CR531">
        <v>0</v>
      </c>
      <c r="CW531">
        <v>8842446</v>
      </c>
      <c r="CY531">
        <v>0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25">
      <c r="A532" t="str">
        <f t="shared" si="320"/>
        <v>06/05/2020 14:50:29.595</v>
      </c>
      <c r="C532" t="str">
        <f t="shared" si="291"/>
        <v>FFDFD3C0</v>
      </c>
      <c r="D532" t="s">
        <v>151</v>
      </c>
      <c r="E532">
        <v>9</v>
      </c>
      <c r="H532">
        <v>226</v>
      </c>
      <c r="I532" t="s">
        <v>152</v>
      </c>
      <c r="J532" t="s">
        <v>150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321"/>
        <v>14:50:35.258</v>
      </c>
      <c r="T532" t="str">
        <f t="shared" si="322"/>
        <v>14:50:34.858</v>
      </c>
      <c r="U532" t="str">
        <f t="shared" si="311"/>
        <v>ACC530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1</v>
      </c>
      <c r="AH532">
        <v>0</v>
      </c>
      <c r="AI532" t="s">
        <v>331</v>
      </c>
      <c r="AJ532">
        <v>34.229363999999997</v>
      </c>
      <c r="AK532" t="s">
        <v>332</v>
      </c>
      <c r="AL532">
        <v>-116.91163299999999</v>
      </c>
      <c r="AM532">
        <v>100</v>
      </c>
      <c r="AN532">
        <v>9000</v>
      </c>
      <c r="AO532" t="s">
        <v>118</v>
      </c>
      <c r="AP532">
        <v>-81</v>
      </c>
      <c r="AQ532">
        <v>-42</v>
      </c>
      <c r="AR532">
        <v>384</v>
      </c>
      <c r="AZ532">
        <v>1200</v>
      </c>
      <c r="BA532">
        <v>1</v>
      </c>
      <c r="BB532" t="str">
        <f t="shared" si="312"/>
        <v xml:space="preserve">N9217B  </v>
      </c>
      <c r="BC532">
        <v>1</v>
      </c>
      <c r="BE532">
        <v>0</v>
      </c>
      <c r="BF532">
        <v>0</v>
      </c>
      <c r="BG532">
        <v>0</v>
      </c>
      <c r="BH532">
        <v>9075</v>
      </c>
      <c r="BI532">
        <v>1</v>
      </c>
      <c r="BJ532">
        <v>0</v>
      </c>
      <c r="BK532">
        <v>0</v>
      </c>
      <c r="BL532">
        <v>0</v>
      </c>
      <c r="BO532">
        <v>0</v>
      </c>
      <c r="BP532">
        <v>0</v>
      </c>
      <c r="BW532" t="str">
        <f t="shared" si="323"/>
        <v>14:50:35.264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6</v>
      </c>
      <c r="CP532" t="s">
        <v>119</v>
      </c>
      <c r="CQ532">
        <v>285</v>
      </c>
      <c r="CR532">
        <v>0</v>
      </c>
      <c r="CW532">
        <v>8842446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25">
      <c r="A533" t="str">
        <f t="shared" si="320"/>
        <v>06/05/2020 14:50:29.595</v>
      </c>
      <c r="C533" t="str">
        <f t="shared" si="291"/>
        <v>FFDFD3C0</v>
      </c>
      <c r="D533" t="s">
        <v>148</v>
      </c>
      <c r="E533">
        <v>8</v>
      </c>
      <c r="H533">
        <v>50</v>
      </c>
      <c r="I533" t="s">
        <v>149</v>
      </c>
      <c r="J533" t="s">
        <v>150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321"/>
        <v>14:50:35.258</v>
      </c>
      <c r="T533" t="str">
        <f t="shared" si="322"/>
        <v>14:50:34.858</v>
      </c>
      <c r="U533" t="str">
        <f t="shared" si="311"/>
        <v>ACC530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1</v>
      </c>
      <c r="AH533">
        <v>0</v>
      </c>
      <c r="AI533" t="s">
        <v>331</v>
      </c>
      <c r="AJ533">
        <v>34.229363999999997</v>
      </c>
      <c r="AK533" t="s">
        <v>332</v>
      </c>
      <c r="AL533">
        <v>-116.91163299999999</v>
      </c>
      <c r="AM533">
        <v>100</v>
      </c>
      <c r="AN533">
        <v>9000</v>
      </c>
      <c r="AO533" t="s">
        <v>118</v>
      </c>
      <c r="AP533">
        <v>-81</v>
      </c>
      <c r="AQ533">
        <v>-42</v>
      </c>
      <c r="AR533">
        <v>384</v>
      </c>
      <c r="AZ533">
        <v>1200</v>
      </c>
      <c r="BA533">
        <v>1</v>
      </c>
      <c r="BB533" t="str">
        <f t="shared" si="312"/>
        <v xml:space="preserve">N9217B  </v>
      </c>
      <c r="BC533">
        <v>1</v>
      </c>
      <c r="BE533">
        <v>0</v>
      </c>
      <c r="BF533">
        <v>0</v>
      </c>
      <c r="BG533">
        <v>0</v>
      </c>
      <c r="BH533">
        <v>9075</v>
      </c>
      <c r="BI533">
        <v>1</v>
      </c>
      <c r="BJ533">
        <v>0</v>
      </c>
      <c r="BK533">
        <v>0</v>
      </c>
      <c r="BL533">
        <v>0</v>
      </c>
      <c r="BO533">
        <v>0</v>
      </c>
      <c r="BP533">
        <v>0</v>
      </c>
      <c r="BW533" t="str">
        <f t="shared" si="323"/>
        <v>14:50:35.264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285</v>
      </c>
      <c r="CR533">
        <v>0</v>
      </c>
      <c r="CW533">
        <v>8842446</v>
      </c>
      <c r="CY533">
        <v>0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25">
      <c r="A534" t="str">
        <f t="shared" si="320"/>
        <v>06/05/2020 14:50:29.595</v>
      </c>
      <c r="C534" t="str">
        <f t="shared" si="291"/>
        <v>FFDFD3C0</v>
      </c>
      <c r="D534" t="s">
        <v>134</v>
      </c>
      <c r="E534">
        <v>7</v>
      </c>
      <c r="F534">
        <v>2007</v>
      </c>
      <c r="G534" t="s">
        <v>135</v>
      </c>
      <c r="J534" t="s">
        <v>136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321"/>
        <v>14:50:35.258</v>
      </c>
      <c r="T534" t="str">
        <f t="shared" si="322"/>
        <v>14:50:34.858</v>
      </c>
      <c r="U534" t="str">
        <f t="shared" si="311"/>
        <v>ACC530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1</v>
      </c>
      <c r="AH534">
        <v>0</v>
      </c>
      <c r="AI534" t="s">
        <v>331</v>
      </c>
      <c r="AJ534">
        <v>34.229363999999997</v>
      </c>
      <c r="AK534" t="s">
        <v>332</v>
      </c>
      <c r="AL534">
        <v>-116.91163299999999</v>
      </c>
      <c r="AM534">
        <v>100</v>
      </c>
      <c r="AN534">
        <v>9000</v>
      </c>
      <c r="AO534" t="s">
        <v>118</v>
      </c>
      <c r="AP534">
        <v>-81</v>
      </c>
      <c r="AQ534">
        <v>-42</v>
      </c>
      <c r="AR534">
        <v>384</v>
      </c>
      <c r="AZ534">
        <v>1200</v>
      </c>
      <c r="BA534">
        <v>1</v>
      </c>
      <c r="BB534" t="str">
        <f t="shared" si="312"/>
        <v xml:space="preserve">N9217B  </v>
      </c>
      <c r="BC534">
        <v>1</v>
      </c>
      <c r="BE534">
        <v>0</v>
      </c>
      <c r="BF534">
        <v>0</v>
      </c>
      <c r="BG534">
        <v>0</v>
      </c>
      <c r="BH534">
        <v>9075</v>
      </c>
      <c r="BI534">
        <v>1</v>
      </c>
      <c r="BJ534">
        <v>0</v>
      </c>
      <c r="BK534">
        <v>0</v>
      </c>
      <c r="BL534">
        <v>0</v>
      </c>
      <c r="BO534">
        <v>0</v>
      </c>
      <c r="BP534">
        <v>0</v>
      </c>
      <c r="BW534" t="str">
        <f t="shared" si="323"/>
        <v>14:50:35.264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285</v>
      </c>
      <c r="CR534">
        <v>0</v>
      </c>
      <c r="CW534">
        <v>8842446</v>
      </c>
      <c r="CY534">
        <v>0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25">
      <c r="A535" t="str">
        <f t="shared" si="320"/>
        <v>06/05/2020 14:50:29.595</v>
      </c>
      <c r="C535" t="str">
        <f t="shared" si="291"/>
        <v>FFDFD3C0</v>
      </c>
      <c r="D535" t="s">
        <v>113</v>
      </c>
      <c r="E535">
        <v>3</v>
      </c>
      <c r="H535">
        <v>166</v>
      </c>
      <c r="I535" t="s">
        <v>114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321"/>
        <v>14:50:35.258</v>
      </c>
      <c r="T535" t="str">
        <f t="shared" si="322"/>
        <v>14:50:34.858</v>
      </c>
      <c r="U535" t="str">
        <f t="shared" si="311"/>
        <v>ACC530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1</v>
      </c>
      <c r="AH535">
        <v>0</v>
      </c>
      <c r="AI535" t="s">
        <v>331</v>
      </c>
      <c r="AJ535">
        <v>34.229363999999997</v>
      </c>
      <c r="AK535" t="s">
        <v>332</v>
      </c>
      <c r="AL535">
        <v>-116.91163299999999</v>
      </c>
      <c r="AM535">
        <v>100</v>
      </c>
      <c r="AN535">
        <v>9000</v>
      </c>
      <c r="AO535" t="s">
        <v>118</v>
      </c>
      <c r="AP535">
        <v>-81</v>
      </c>
      <c r="AQ535">
        <v>-42</v>
      </c>
      <c r="AR535">
        <v>384</v>
      </c>
      <c r="AZ535">
        <v>1200</v>
      </c>
      <c r="BA535">
        <v>1</v>
      </c>
      <c r="BB535" t="str">
        <f t="shared" si="312"/>
        <v xml:space="preserve">N9217B  </v>
      </c>
      <c r="BC535">
        <v>1</v>
      </c>
      <c r="BE535">
        <v>0</v>
      </c>
      <c r="BF535">
        <v>0</v>
      </c>
      <c r="BG535">
        <v>0</v>
      </c>
      <c r="BH535">
        <v>9075</v>
      </c>
      <c r="BI535">
        <v>1</v>
      </c>
      <c r="BJ535">
        <v>0</v>
      </c>
      <c r="BK535">
        <v>0</v>
      </c>
      <c r="BL535">
        <v>0</v>
      </c>
      <c r="BO535">
        <v>0</v>
      </c>
      <c r="BP535">
        <v>0</v>
      </c>
      <c r="BW535" t="str">
        <f t="shared" si="323"/>
        <v>14:50:35.264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119</v>
      </c>
      <c r="CQ535">
        <v>285</v>
      </c>
      <c r="CR535">
        <v>0</v>
      </c>
      <c r="CW535">
        <v>8842446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25">
      <c r="A536" t="str">
        <f t="shared" ref="A536:A541" si="324">"06/05/2020 14:50:30.758"</f>
        <v>06/05/2020 14:50:30.758</v>
      </c>
      <c r="C536" t="str">
        <f t="shared" si="291"/>
        <v>FFDFD3C0</v>
      </c>
      <c r="D536" t="s">
        <v>141</v>
      </c>
      <c r="E536">
        <v>20</v>
      </c>
      <c r="F536">
        <v>1020</v>
      </c>
      <c r="G536" t="s">
        <v>114</v>
      </c>
      <c r="J536" t="s">
        <v>142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ref="S536:T541" si="325">"14:50:36.430"</f>
        <v>14:50:36.430</v>
      </c>
      <c r="T536" t="str">
        <f t="shared" si="325"/>
        <v>14:50:36.430</v>
      </c>
      <c r="U536" t="str">
        <f t="shared" si="311"/>
        <v>ACC530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1</v>
      </c>
      <c r="AH536">
        <v>0</v>
      </c>
      <c r="AI536" t="s">
        <v>333</v>
      </c>
      <c r="AJ536">
        <v>34.229149999999997</v>
      </c>
      <c r="AK536" t="s">
        <v>334</v>
      </c>
      <c r="AL536">
        <v>-116.91219100000001</v>
      </c>
      <c r="AM536">
        <v>100</v>
      </c>
      <c r="AN536">
        <v>9000</v>
      </c>
      <c r="AO536" t="s">
        <v>118</v>
      </c>
      <c r="AP536">
        <v>-81</v>
      </c>
      <c r="AQ536">
        <v>-41</v>
      </c>
      <c r="AR536">
        <v>384</v>
      </c>
      <c r="AZ536">
        <v>1200</v>
      </c>
      <c r="BA536">
        <v>1</v>
      </c>
      <c r="BB536" t="str">
        <f t="shared" si="312"/>
        <v xml:space="preserve">N9217B  </v>
      </c>
      <c r="BC536">
        <v>1</v>
      </c>
      <c r="BE536">
        <v>0</v>
      </c>
      <c r="BF536">
        <v>0</v>
      </c>
      <c r="BG536">
        <v>0</v>
      </c>
      <c r="BH536">
        <v>9075</v>
      </c>
      <c r="BI536">
        <v>1</v>
      </c>
      <c r="BJ536">
        <v>0</v>
      </c>
      <c r="BK536">
        <v>0</v>
      </c>
      <c r="BL536">
        <v>0</v>
      </c>
      <c r="BO536">
        <v>0</v>
      </c>
      <c r="BP536">
        <v>0</v>
      </c>
      <c r="BW536" t="str">
        <f t="shared" ref="BW536:BW541" si="326">"14:50:36.434"</f>
        <v>14:50:36.434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293</v>
      </c>
      <c r="CR536">
        <v>1</v>
      </c>
      <c r="CW536">
        <v>15273026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25">
      <c r="A537" t="str">
        <f t="shared" si="324"/>
        <v>06/05/2020 14:50:30.758</v>
      </c>
      <c r="C537" t="str">
        <f t="shared" si="291"/>
        <v>FFDFD3C0</v>
      </c>
      <c r="D537" t="s">
        <v>151</v>
      </c>
      <c r="E537">
        <v>9</v>
      </c>
      <c r="H537">
        <v>226</v>
      </c>
      <c r="I537" t="s">
        <v>152</v>
      </c>
      <c r="J537" t="s">
        <v>150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325"/>
        <v>14:50:36.430</v>
      </c>
      <c r="T537" t="str">
        <f t="shared" si="325"/>
        <v>14:50:36.430</v>
      </c>
      <c r="U537" t="str">
        <f t="shared" si="311"/>
        <v>ACC530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1</v>
      </c>
      <c r="AH537">
        <v>0</v>
      </c>
      <c r="AI537" t="s">
        <v>333</v>
      </c>
      <c r="AJ537">
        <v>34.229149999999997</v>
      </c>
      <c r="AK537" t="s">
        <v>334</v>
      </c>
      <c r="AL537">
        <v>-116.91219100000001</v>
      </c>
      <c r="AM537">
        <v>100</v>
      </c>
      <c r="AN537">
        <v>9000</v>
      </c>
      <c r="AO537" t="s">
        <v>118</v>
      </c>
      <c r="AP537">
        <v>-81</v>
      </c>
      <c r="AQ537">
        <v>-41</v>
      </c>
      <c r="AR537">
        <v>384</v>
      </c>
      <c r="AZ537">
        <v>1200</v>
      </c>
      <c r="BA537">
        <v>1</v>
      </c>
      <c r="BB537" t="str">
        <f t="shared" si="312"/>
        <v xml:space="preserve">N9217B  </v>
      </c>
      <c r="BC537">
        <v>1</v>
      </c>
      <c r="BE537">
        <v>0</v>
      </c>
      <c r="BF537">
        <v>0</v>
      </c>
      <c r="BG537">
        <v>0</v>
      </c>
      <c r="BH537">
        <v>9075</v>
      </c>
      <c r="BI537">
        <v>1</v>
      </c>
      <c r="BJ537">
        <v>0</v>
      </c>
      <c r="BK537">
        <v>0</v>
      </c>
      <c r="BL537">
        <v>0</v>
      </c>
      <c r="BO537">
        <v>0</v>
      </c>
      <c r="BP537">
        <v>0</v>
      </c>
      <c r="BW537" t="str">
        <f t="shared" si="326"/>
        <v>14:50:36.434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293</v>
      </c>
      <c r="CR537">
        <v>1</v>
      </c>
      <c r="CW537">
        <v>15273026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25">
      <c r="A538" t="str">
        <f t="shared" si="324"/>
        <v>06/05/2020 14:50:30.758</v>
      </c>
      <c r="C538" t="str">
        <f t="shared" si="291"/>
        <v>FFDFD3C0</v>
      </c>
      <c r="D538" t="s">
        <v>148</v>
      </c>
      <c r="E538">
        <v>8</v>
      </c>
      <c r="H538">
        <v>50</v>
      </c>
      <c r="I538" t="s">
        <v>149</v>
      </c>
      <c r="J538" t="s">
        <v>150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325"/>
        <v>14:50:36.430</v>
      </c>
      <c r="T538" t="str">
        <f t="shared" si="325"/>
        <v>14:50:36.430</v>
      </c>
      <c r="U538" t="str">
        <f t="shared" si="311"/>
        <v>ACC530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1</v>
      </c>
      <c r="AH538">
        <v>0</v>
      </c>
      <c r="AI538" t="s">
        <v>333</v>
      </c>
      <c r="AJ538">
        <v>34.229149999999997</v>
      </c>
      <c r="AK538" t="s">
        <v>334</v>
      </c>
      <c r="AL538">
        <v>-116.91219100000001</v>
      </c>
      <c r="AM538">
        <v>100</v>
      </c>
      <c r="AN538">
        <v>9000</v>
      </c>
      <c r="AO538" t="s">
        <v>118</v>
      </c>
      <c r="AP538">
        <v>-81</v>
      </c>
      <c r="AQ538">
        <v>-41</v>
      </c>
      <c r="AR538">
        <v>384</v>
      </c>
      <c r="AZ538">
        <v>1200</v>
      </c>
      <c r="BA538">
        <v>1</v>
      </c>
      <c r="BB538" t="str">
        <f t="shared" si="312"/>
        <v xml:space="preserve">N9217B  </v>
      </c>
      <c r="BC538">
        <v>1</v>
      </c>
      <c r="BE538">
        <v>0</v>
      </c>
      <c r="BF538">
        <v>0</v>
      </c>
      <c r="BG538">
        <v>0</v>
      </c>
      <c r="BH538">
        <v>9075</v>
      </c>
      <c r="BI538">
        <v>1</v>
      </c>
      <c r="BJ538">
        <v>0</v>
      </c>
      <c r="BK538">
        <v>0</v>
      </c>
      <c r="BL538">
        <v>0</v>
      </c>
      <c r="BO538">
        <v>0</v>
      </c>
      <c r="BP538">
        <v>0</v>
      </c>
      <c r="BW538" t="str">
        <f t="shared" si="326"/>
        <v>14:50:36.434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293</v>
      </c>
      <c r="CR538">
        <v>1</v>
      </c>
      <c r="CW538">
        <v>15273026</v>
      </c>
      <c r="CY538">
        <v>0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25">
      <c r="A539" t="str">
        <f t="shared" si="324"/>
        <v>06/05/2020 14:50:30.758</v>
      </c>
      <c r="C539" t="str">
        <f t="shared" si="291"/>
        <v>FFDFD3C0</v>
      </c>
      <c r="D539" t="s">
        <v>134</v>
      </c>
      <c r="E539">
        <v>7</v>
      </c>
      <c r="F539">
        <v>2007</v>
      </c>
      <c r="G539" t="s">
        <v>135</v>
      </c>
      <c r="J539" t="s">
        <v>136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325"/>
        <v>14:50:36.430</v>
      </c>
      <c r="T539" t="str">
        <f t="shared" si="325"/>
        <v>14:50:36.430</v>
      </c>
      <c r="U539" t="str">
        <f t="shared" si="311"/>
        <v>ACC530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1</v>
      </c>
      <c r="AH539">
        <v>0</v>
      </c>
      <c r="AI539" t="s">
        <v>333</v>
      </c>
      <c r="AJ539">
        <v>34.229149999999997</v>
      </c>
      <c r="AK539" t="s">
        <v>334</v>
      </c>
      <c r="AL539">
        <v>-116.91219100000001</v>
      </c>
      <c r="AM539">
        <v>100</v>
      </c>
      <c r="AN539">
        <v>9000</v>
      </c>
      <c r="AO539" t="s">
        <v>118</v>
      </c>
      <c r="AP539">
        <v>-81</v>
      </c>
      <c r="AQ539">
        <v>-41</v>
      </c>
      <c r="AR539">
        <v>384</v>
      </c>
      <c r="AZ539">
        <v>1200</v>
      </c>
      <c r="BA539">
        <v>1</v>
      </c>
      <c r="BB539" t="str">
        <f t="shared" si="312"/>
        <v xml:space="preserve">N9217B  </v>
      </c>
      <c r="BC539">
        <v>1</v>
      </c>
      <c r="BE539">
        <v>0</v>
      </c>
      <c r="BF539">
        <v>0</v>
      </c>
      <c r="BG539">
        <v>0</v>
      </c>
      <c r="BH539">
        <v>9075</v>
      </c>
      <c r="BI539">
        <v>1</v>
      </c>
      <c r="BJ539">
        <v>0</v>
      </c>
      <c r="BK539">
        <v>0</v>
      </c>
      <c r="BL539">
        <v>0</v>
      </c>
      <c r="BO539">
        <v>0</v>
      </c>
      <c r="BP539">
        <v>0</v>
      </c>
      <c r="BW539" t="str">
        <f t="shared" si="326"/>
        <v>14:50:36.434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293</v>
      </c>
      <c r="CR539">
        <v>1</v>
      </c>
      <c r="CW539">
        <v>15273026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25">
      <c r="A540" t="str">
        <f t="shared" si="324"/>
        <v>06/05/2020 14:50:30.758</v>
      </c>
      <c r="C540" t="str">
        <f t="shared" si="291"/>
        <v>FFDFD3C0</v>
      </c>
      <c r="D540" t="s">
        <v>143</v>
      </c>
      <c r="E540">
        <v>10</v>
      </c>
      <c r="F540">
        <v>3010</v>
      </c>
      <c r="G540" t="s">
        <v>144</v>
      </c>
      <c r="J540" t="s">
        <v>145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325"/>
        <v>14:50:36.430</v>
      </c>
      <c r="T540" t="str">
        <f t="shared" si="325"/>
        <v>14:50:36.430</v>
      </c>
      <c r="U540" t="str">
        <f t="shared" si="311"/>
        <v>ACC530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1</v>
      </c>
      <c r="AH540">
        <v>0</v>
      </c>
      <c r="AI540" t="s">
        <v>333</v>
      </c>
      <c r="AJ540">
        <v>34.229149999999997</v>
      </c>
      <c r="AK540" t="s">
        <v>334</v>
      </c>
      <c r="AL540">
        <v>-116.91219100000001</v>
      </c>
      <c r="AM540">
        <v>100</v>
      </c>
      <c r="AN540">
        <v>9000</v>
      </c>
      <c r="AO540" t="s">
        <v>118</v>
      </c>
      <c r="AP540">
        <v>-81</v>
      </c>
      <c r="AQ540">
        <v>-41</v>
      </c>
      <c r="AR540">
        <v>384</v>
      </c>
      <c r="AZ540">
        <v>1200</v>
      </c>
      <c r="BA540">
        <v>1</v>
      </c>
      <c r="BB540" t="str">
        <f t="shared" si="312"/>
        <v xml:space="preserve">N9217B  </v>
      </c>
      <c r="BC540">
        <v>1</v>
      </c>
      <c r="BE540">
        <v>0</v>
      </c>
      <c r="BF540">
        <v>0</v>
      </c>
      <c r="BG540">
        <v>0</v>
      </c>
      <c r="BH540">
        <v>9075</v>
      </c>
      <c r="BI540">
        <v>1</v>
      </c>
      <c r="BJ540">
        <v>0</v>
      </c>
      <c r="BK540">
        <v>0</v>
      </c>
      <c r="BL540">
        <v>0</v>
      </c>
      <c r="BO540">
        <v>0</v>
      </c>
      <c r="BP540">
        <v>0</v>
      </c>
      <c r="BW540" t="str">
        <f t="shared" si="326"/>
        <v>14:50:36.434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293</v>
      </c>
      <c r="CR540">
        <v>1</v>
      </c>
      <c r="CW540">
        <v>15273026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25">
      <c r="A541" t="str">
        <f t="shared" si="324"/>
        <v>06/05/2020 14:50:30.758</v>
      </c>
      <c r="C541" t="str">
        <f t="shared" si="291"/>
        <v>FFDFD3C0</v>
      </c>
      <c r="D541" t="s">
        <v>113</v>
      </c>
      <c r="E541">
        <v>3</v>
      </c>
      <c r="H541">
        <v>166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325"/>
        <v>14:50:36.430</v>
      </c>
      <c r="T541" t="str">
        <f t="shared" si="325"/>
        <v>14:50:36.430</v>
      </c>
      <c r="U541" t="str">
        <f t="shared" si="311"/>
        <v>ACC530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1</v>
      </c>
      <c r="AH541">
        <v>0</v>
      </c>
      <c r="AI541" t="s">
        <v>333</v>
      </c>
      <c r="AJ541">
        <v>34.229149999999997</v>
      </c>
      <c r="AK541" t="s">
        <v>334</v>
      </c>
      <c r="AL541">
        <v>-116.91219100000001</v>
      </c>
      <c r="AM541">
        <v>100</v>
      </c>
      <c r="AN541">
        <v>9000</v>
      </c>
      <c r="AO541" t="s">
        <v>118</v>
      </c>
      <c r="AP541">
        <v>-81</v>
      </c>
      <c r="AQ541">
        <v>-41</v>
      </c>
      <c r="AR541">
        <v>384</v>
      </c>
      <c r="AZ541">
        <v>1200</v>
      </c>
      <c r="BA541">
        <v>1</v>
      </c>
      <c r="BB541" t="str">
        <f t="shared" si="312"/>
        <v xml:space="preserve">N9217B  </v>
      </c>
      <c r="BC541">
        <v>1</v>
      </c>
      <c r="BE541">
        <v>0</v>
      </c>
      <c r="BF541">
        <v>0</v>
      </c>
      <c r="BG541">
        <v>0</v>
      </c>
      <c r="BH541">
        <v>9075</v>
      </c>
      <c r="BI541">
        <v>1</v>
      </c>
      <c r="BJ541">
        <v>0</v>
      </c>
      <c r="BK541">
        <v>0</v>
      </c>
      <c r="BL541">
        <v>0</v>
      </c>
      <c r="BO541">
        <v>0</v>
      </c>
      <c r="BP541">
        <v>0</v>
      </c>
      <c r="BW541" t="str">
        <f t="shared" si="326"/>
        <v>14:50:36.434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293</v>
      </c>
      <c r="CR541">
        <v>1</v>
      </c>
      <c r="CW541">
        <v>15273026</v>
      </c>
      <c r="CY541">
        <v>0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25">
      <c r="A542" t="str">
        <f t="shared" ref="A542:A547" si="327">"06/05/2020 14:50:31.612"</f>
        <v>06/05/2020 14:50:31.612</v>
      </c>
      <c r="C542" t="str">
        <f t="shared" si="291"/>
        <v>FFDFD3C0</v>
      </c>
      <c r="D542" t="s">
        <v>113</v>
      </c>
      <c r="E542">
        <v>3</v>
      </c>
      <c r="H542">
        <v>166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S547" si="328">"14:50:37.273"</f>
        <v>14:50:37.273</v>
      </c>
      <c r="T542" t="str">
        <f t="shared" ref="T542:T547" si="329">"14:50:36.873"</f>
        <v>14:50:36.873</v>
      </c>
      <c r="U542" t="str">
        <f t="shared" si="311"/>
        <v>ACC530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1</v>
      </c>
      <c r="AH542">
        <v>0</v>
      </c>
      <c r="AI542" t="s">
        <v>335</v>
      </c>
      <c r="AJ542">
        <v>34.228999999999999</v>
      </c>
      <c r="AK542" t="s">
        <v>336</v>
      </c>
      <c r="AL542">
        <v>-116.91253399999999</v>
      </c>
      <c r="AM542">
        <v>100</v>
      </c>
      <c r="AN542">
        <v>9000</v>
      </c>
      <c r="AO542" t="s">
        <v>118</v>
      </c>
      <c r="AP542">
        <v>-81</v>
      </c>
      <c r="AQ542">
        <v>-41</v>
      </c>
      <c r="AR542">
        <v>448</v>
      </c>
      <c r="AZ542">
        <v>1200</v>
      </c>
      <c r="BA542">
        <v>1</v>
      </c>
      <c r="BB542" t="str">
        <f t="shared" si="312"/>
        <v xml:space="preserve">N9217B  </v>
      </c>
      <c r="BC542">
        <v>1</v>
      </c>
      <c r="BE542">
        <v>0</v>
      </c>
      <c r="BF542">
        <v>0</v>
      </c>
      <c r="BG542">
        <v>0</v>
      </c>
      <c r="BH542">
        <v>9075</v>
      </c>
      <c r="BI542">
        <v>1</v>
      </c>
      <c r="BJ542">
        <v>0</v>
      </c>
      <c r="BK542">
        <v>0</v>
      </c>
      <c r="BL542">
        <v>0</v>
      </c>
      <c r="BO542">
        <v>0</v>
      </c>
      <c r="BP542">
        <v>0</v>
      </c>
      <c r="BW542" t="str">
        <f t="shared" ref="BW542:BW547" si="330">"14:50:37.274"</f>
        <v>14:50:37.274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293</v>
      </c>
      <c r="CR542">
        <v>1</v>
      </c>
      <c r="CW542">
        <v>15273121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25">
      <c r="A543" t="str">
        <f t="shared" si="327"/>
        <v>06/05/2020 14:50:31.612</v>
      </c>
      <c r="C543" t="str">
        <f t="shared" si="291"/>
        <v>FFDFD3C0</v>
      </c>
      <c r="D543" t="s">
        <v>141</v>
      </c>
      <c r="E543">
        <v>20</v>
      </c>
      <c r="F543">
        <v>1020</v>
      </c>
      <c r="G543" t="s">
        <v>114</v>
      </c>
      <c r="J543" t="s">
        <v>142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328"/>
        <v>14:50:37.273</v>
      </c>
      <c r="T543" t="str">
        <f t="shared" si="329"/>
        <v>14:50:36.873</v>
      </c>
      <c r="U543" t="str">
        <f t="shared" si="311"/>
        <v>ACC530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1</v>
      </c>
      <c r="AH543">
        <v>0</v>
      </c>
      <c r="AI543" t="s">
        <v>335</v>
      </c>
      <c r="AJ543">
        <v>34.228999999999999</v>
      </c>
      <c r="AK543" t="s">
        <v>336</v>
      </c>
      <c r="AL543">
        <v>-116.91253399999999</v>
      </c>
      <c r="AM543">
        <v>100</v>
      </c>
      <c r="AN543">
        <v>9000</v>
      </c>
      <c r="AO543" t="s">
        <v>118</v>
      </c>
      <c r="AP543">
        <v>-81</v>
      </c>
      <c r="AQ543">
        <v>-41</v>
      </c>
      <c r="AR543">
        <v>448</v>
      </c>
      <c r="AZ543">
        <v>1200</v>
      </c>
      <c r="BA543">
        <v>1</v>
      </c>
      <c r="BB543" t="str">
        <f t="shared" si="312"/>
        <v xml:space="preserve">N9217B  </v>
      </c>
      <c r="BC543">
        <v>1</v>
      </c>
      <c r="BE543">
        <v>0</v>
      </c>
      <c r="BF543">
        <v>0</v>
      </c>
      <c r="BG543">
        <v>0</v>
      </c>
      <c r="BH543">
        <v>9075</v>
      </c>
      <c r="BI543">
        <v>1</v>
      </c>
      <c r="BJ543">
        <v>0</v>
      </c>
      <c r="BK543">
        <v>0</v>
      </c>
      <c r="BL543">
        <v>0</v>
      </c>
      <c r="BO543">
        <v>0</v>
      </c>
      <c r="BP543">
        <v>0</v>
      </c>
      <c r="BW543" t="str">
        <f t="shared" si="330"/>
        <v>14:50:37.274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293</v>
      </c>
      <c r="CR543">
        <v>1</v>
      </c>
      <c r="CW543">
        <v>15273121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25">
      <c r="A544" t="str">
        <f t="shared" si="327"/>
        <v>06/05/2020 14:50:31.612</v>
      </c>
      <c r="C544" t="str">
        <f t="shared" si="291"/>
        <v>FFDFD3C0</v>
      </c>
      <c r="D544" t="s">
        <v>151</v>
      </c>
      <c r="E544">
        <v>9</v>
      </c>
      <c r="H544">
        <v>226</v>
      </c>
      <c r="I544" t="s">
        <v>152</v>
      </c>
      <c r="J544" t="s">
        <v>150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328"/>
        <v>14:50:37.273</v>
      </c>
      <c r="T544" t="str">
        <f t="shared" si="329"/>
        <v>14:50:36.873</v>
      </c>
      <c r="U544" t="str">
        <f t="shared" si="311"/>
        <v>ACC530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1</v>
      </c>
      <c r="AH544">
        <v>0</v>
      </c>
      <c r="AI544" t="s">
        <v>335</v>
      </c>
      <c r="AJ544">
        <v>34.228999999999999</v>
      </c>
      <c r="AK544" t="s">
        <v>336</v>
      </c>
      <c r="AL544">
        <v>-116.91253399999999</v>
      </c>
      <c r="AM544">
        <v>100</v>
      </c>
      <c r="AN544">
        <v>9000</v>
      </c>
      <c r="AO544" t="s">
        <v>118</v>
      </c>
      <c r="AP544">
        <v>-81</v>
      </c>
      <c r="AQ544">
        <v>-41</v>
      </c>
      <c r="AR544">
        <v>448</v>
      </c>
      <c r="AZ544">
        <v>1200</v>
      </c>
      <c r="BA544">
        <v>1</v>
      </c>
      <c r="BB544" t="str">
        <f t="shared" si="312"/>
        <v xml:space="preserve">N9217B  </v>
      </c>
      <c r="BC544">
        <v>1</v>
      </c>
      <c r="BE544">
        <v>0</v>
      </c>
      <c r="BF544">
        <v>0</v>
      </c>
      <c r="BG544">
        <v>0</v>
      </c>
      <c r="BH544">
        <v>9075</v>
      </c>
      <c r="BI544">
        <v>1</v>
      </c>
      <c r="BJ544">
        <v>0</v>
      </c>
      <c r="BK544">
        <v>0</v>
      </c>
      <c r="BL544">
        <v>0</v>
      </c>
      <c r="BO544">
        <v>0</v>
      </c>
      <c r="BP544">
        <v>0</v>
      </c>
      <c r="BW544" t="str">
        <f t="shared" si="330"/>
        <v>14:50:37.274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293</v>
      </c>
      <c r="CR544">
        <v>1</v>
      </c>
      <c r="CW544">
        <v>15273121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25">
      <c r="A545" t="str">
        <f t="shared" si="327"/>
        <v>06/05/2020 14:50:31.612</v>
      </c>
      <c r="C545" t="str">
        <f t="shared" si="291"/>
        <v>FFDFD3C0</v>
      </c>
      <c r="D545" t="s">
        <v>148</v>
      </c>
      <c r="E545">
        <v>8</v>
      </c>
      <c r="H545">
        <v>50</v>
      </c>
      <c r="I545" t="s">
        <v>149</v>
      </c>
      <c r="J545" t="s">
        <v>150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328"/>
        <v>14:50:37.273</v>
      </c>
      <c r="T545" t="str">
        <f t="shared" si="329"/>
        <v>14:50:36.873</v>
      </c>
      <c r="U545" t="str">
        <f t="shared" si="311"/>
        <v>ACC530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1</v>
      </c>
      <c r="AH545">
        <v>0</v>
      </c>
      <c r="AI545" t="s">
        <v>335</v>
      </c>
      <c r="AJ545">
        <v>34.228999999999999</v>
      </c>
      <c r="AK545" t="s">
        <v>336</v>
      </c>
      <c r="AL545">
        <v>-116.91253399999999</v>
      </c>
      <c r="AM545">
        <v>100</v>
      </c>
      <c r="AN545">
        <v>9000</v>
      </c>
      <c r="AO545" t="s">
        <v>118</v>
      </c>
      <c r="AP545">
        <v>-81</v>
      </c>
      <c r="AQ545">
        <v>-41</v>
      </c>
      <c r="AR545">
        <v>448</v>
      </c>
      <c r="AZ545">
        <v>1200</v>
      </c>
      <c r="BA545">
        <v>1</v>
      </c>
      <c r="BB545" t="str">
        <f t="shared" si="312"/>
        <v xml:space="preserve">N9217B  </v>
      </c>
      <c r="BC545">
        <v>1</v>
      </c>
      <c r="BE545">
        <v>0</v>
      </c>
      <c r="BF545">
        <v>0</v>
      </c>
      <c r="BG545">
        <v>0</v>
      </c>
      <c r="BH545">
        <v>9075</v>
      </c>
      <c r="BI545">
        <v>1</v>
      </c>
      <c r="BJ545">
        <v>0</v>
      </c>
      <c r="BK545">
        <v>0</v>
      </c>
      <c r="BL545">
        <v>0</v>
      </c>
      <c r="BO545">
        <v>0</v>
      </c>
      <c r="BP545">
        <v>0</v>
      </c>
      <c r="BW545" t="str">
        <f t="shared" si="330"/>
        <v>14:50:37.274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293</v>
      </c>
      <c r="CR545">
        <v>1</v>
      </c>
      <c r="CW545">
        <v>15273121</v>
      </c>
      <c r="CY545">
        <v>0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25">
      <c r="A546" t="str">
        <f t="shared" si="327"/>
        <v>06/05/2020 14:50:31.612</v>
      </c>
      <c r="C546" t="str">
        <f t="shared" si="291"/>
        <v>FFDFD3C0</v>
      </c>
      <c r="D546" t="s">
        <v>134</v>
      </c>
      <c r="E546">
        <v>7</v>
      </c>
      <c r="F546">
        <v>2007</v>
      </c>
      <c r="G546" t="s">
        <v>135</v>
      </c>
      <c r="J546" t="s">
        <v>136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328"/>
        <v>14:50:37.273</v>
      </c>
      <c r="T546" t="str">
        <f t="shared" si="329"/>
        <v>14:50:36.873</v>
      </c>
      <c r="U546" t="str">
        <f t="shared" si="311"/>
        <v>ACC530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1</v>
      </c>
      <c r="AH546">
        <v>0</v>
      </c>
      <c r="AI546" t="s">
        <v>335</v>
      </c>
      <c r="AJ546">
        <v>34.228999999999999</v>
      </c>
      <c r="AK546" t="s">
        <v>336</v>
      </c>
      <c r="AL546">
        <v>-116.91253399999999</v>
      </c>
      <c r="AM546">
        <v>100</v>
      </c>
      <c r="AN546">
        <v>9000</v>
      </c>
      <c r="AO546" t="s">
        <v>118</v>
      </c>
      <c r="AP546">
        <v>-81</v>
      </c>
      <c r="AQ546">
        <v>-41</v>
      </c>
      <c r="AR546">
        <v>448</v>
      </c>
      <c r="AZ546">
        <v>1200</v>
      </c>
      <c r="BA546">
        <v>1</v>
      </c>
      <c r="BB546" t="str">
        <f t="shared" si="312"/>
        <v xml:space="preserve">N9217B  </v>
      </c>
      <c r="BC546">
        <v>1</v>
      </c>
      <c r="BE546">
        <v>0</v>
      </c>
      <c r="BF546">
        <v>0</v>
      </c>
      <c r="BG546">
        <v>0</v>
      </c>
      <c r="BH546">
        <v>9075</v>
      </c>
      <c r="BI546">
        <v>1</v>
      </c>
      <c r="BJ546">
        <v>0</v>
      </c>
      <c r="BK546">
        <v>0</v>
      </c>
      <c r="BL546">
        <v>0</v>
      </c>
      <c r="BO546">
        <v>0</v>
      </c>
      <c r="BP546">
        <v>0</v>
      </c>
      <c r="BW546" t="str">
        <f t="shared" si="330"/>
        <v>14:50:37.274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293</v>
      </c>
      <c r="CR546">
        <v>1</v>
      </c>
      <c r="CW546">
        <v>15273121</v>
      </c>
      <c r="CY546">
        <v>0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25">
      <c r="A547" t="str">
        <f t="shared" si="327"/>
        <v>06/05/2020 14:50:31.612</v>
      </c>
      <c r="C547" t="str">
        <f t="shared" ref="C547:C610" si="331">"FFDFD3C0"</f>
        <v>FFDFD3C0</v>
      </c>
      <c r="D547" t="s">
        <v>143</v>
      </c>
      <c r="E547">
        <v>10</v>
      </c>
      <c r="F547">
        <v>3010</v>
      </c>
      <c r="G547" t="s">
        <v>144</v>
      </c>
      <c r="J547" t="s">
        <v>145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328"/>
        <v>14:50:37.273</v>
      </c>
      <c r="T547" t="str">
        <f t="shared" si="329"/>
        <v>14:50:36.873</v>
      </c>
      <c r="U547" t="str">
        <f t="shared" si="311"/>
        <v>ACC530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1</v>
      </c>
      <c r="AH547">
        <v>0</v>
      </c>
      <c r="AI547" t="s">
        <v>335</v>
      </c>
      <c r="AJ547">
        <v>34.228999999999999</v>
      </c>
      <c r="AK547" t="s">
        <v>336</v>
      </c>
      <c r="AL547">
        <v>-116.91253399999999</v>
      </c>
      <c r="AM547">
        <v>100</v>
      </c>
      <c r="AN547">
        <v>9000</v>
      </c>
      <c r="AO547" t="s">
        <v>118</v>
      </c>
      <c r="AP547">
        <v>-81</v>
      </c>
      <c r="AQ547">
        <v>-41</v>
      </c>
      <c r="AR547">
        <v>448</v>
      </c>
      <c r="AZ547">
        <v>1200</v>
      </c>
      <c r="BA547">
        <v>1</v>
      </c>
      <c r="BB547" t="str">
        <f t="shared" si="312"/>
        <v xml:space="preserve">N9217B  </v>
      </c>
      <c r="BC547">
        <v>1</v>
      </c>
      <c r="BE547">
        <v>0</v>
      </c>
      <c r="BF547">
        <v>0</v>
      </c>
      <c r="BG547">
        <v>0</v>
      </c>
      <c r="BH547">
        <v>9075</v>
      </c>
      <c r="BI547">
        <v>1</v>
      </c>
      <c r="BJ547">
        <v>0</v>
      </c>
      <c r="BK547">
        <v>0</v>
      </c>
      <c r="BL547">
        <v>0</v>
      </c>
      <c r="BO547">
        <v>0</v>
      </c>
      <c r="BP547">
        <v>0</v>
      </c>
      <c r="BW547" t="str">
        <f t="shared" si="330"/>
        <v>14:50:37.274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293</v>
      </c>
      <c r="CR547">
        <v>1</v>
      </c>
      <c r="CW547">
        <v>15273121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25">
      <c r="A548" t="str">
        <f t="shared" ref="A548:A553" si="332">"06/05/2020 14:50:32.690"</f>
        <v>06/05/2020 14:50:32.690</v>
      </c>
      <c r="C548" t="str">
        <f t="shared" si="331"/>
        <v>FFDFD3C0</v>
      </c>
      <c r="D548" t="s">
        <v>148</v>
      </c>
      <c r="E548">
        <v>8</v>
      </c>
      <c r="H548">
        <v>50</v>
      </c>
      <c r="I548" t="s">
        <v>149</v>
      </c>
      <c r="J548" t="s">
        <v>150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ref="S548:S553" si="333">"14:50:38.352"</f>
        <v>14:50:38.352</v>
      </c>
      <c r="T548" t="str">
        <f t="shared" ref="T548:T553" si="334">"14:50:37.952"</f>
        <v>14:50:37.952</v>
      </c>
      <c r="U548" t="str">
        <f t="shared" si="311"/>
        <v>ACC530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1</v>
      </c>
      <c r="AH548">
        <v>0</v>
      </c>
      <c r="AI548" t="s">
        <v>337</v>
      </c>
      <c r="AJ548">
        <v>34.228785000000002</v>
      </c>
      <c r="AK548" t="s">
        <v>338</v>
      </c>
      <c r="AL548">
        <v>-116.913028</v>
      </c>
      <c r="AM548">
        <v>100</v>
      </c>
      <c r="AN548">
        <v>9000</v>
      </c>
      <c r="AO548" t="s">
        <v>118</v>
      </c>
      <c r="AP548">
        <v>-81</v>
      </c>
      <c r="AQ548">
        <v>-41</v>
      </c>
      <c r="AR548">
        <v>512</v>
      </c>
      <c r="AZ548">
        <v>1200</v>
      </c>
      <c r="BA548">
        <v>1</v>
      </c>
      <c r="BB548" t="str">
        <f t="shared" si="312"/>
        <v xml:space="preserve">N9217B  </v>
      </c>
      <c r="BC548">
        <v>1</v>
      </c>
      <c r="BE548">
        <v>0</v>
      </c>
      <c r="BF548">
        <v>0</v>
      </c>
      <c r="BG548">
        <v>0</v>
      </c>
      <c r="BH548">
        <v>9100</v>
      </c>
      <c r="BI548">
        <v>1</v>
      </c>
      <c r="BJ548">
        <v>0</v>
      </c>
      <c r="BK548">
        <v>0</v>
      </c>
      <c r="BL548">
        <v>0</v>
      </c>
      <c r="BO548">
        <v>0</v>
      </c>
      <c r="BP548">
        <v>0</v>
      </c>
      <c r="BW548" t="str">
        <f t="shared" ref="BW548:BW553" si="335">"14:50:38.353"</f>
        <v>14:50:38.353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293</v>
      </c>
      <c r="CR548">
        <v>1</v>
      </c>
      <c r="CW548">
        <v>15273247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25">
      <c r="A549" t="str">
        <f t="shared" si="332"/>
        <v>06/05/2020 14:50:32.690</v>
      </c>
      <c r="C549" t="str">
        <f t="shared" si="331"/>
        <v>FFDFD3C0</v>
      </c>
      <c r="D549" t="s">
        <v>134</v>
      </c>
      <c r="E549">
        <v>7</v>
      </c>
      <c r="F549">
        <v>2007</v>
      </c>
      <c r="G549" t="s">
        <v>135</v>
      </c>
      <c r="J549" t="s">
        <v>136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333"/>
        <v>14:50:38.352</v>
      </c>
      <c r="T549" t="str">
        <f t="shared" si="334"/>
        <v>14:50:37.952</v>
      </c>
      <c r="U549" t="str">
        <f t="shared" si="311"/>
        <v>ACC530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1</v>
      </c>
      <c r="AH549">
        <v>0</v>
      </c>
      <c r="AI549" t="s">
        <v>337</v>
      </c>
      <c r="AJ549">
        <v>34.228785000000002</v>
      </c>
      <c r="AK549" t="s">
        <v>338</v>
      </c>
      <c r="AL549">
        <v>-116.913028</v>
      </c>
      <c r="AM549">
        <v>100</v>
      </c>
      <c r="AN549">
        <v>9000</v>
      </c>
      <c r="AO549" t="s">
        <v>118</v>
      </c>
      <c r="AP549">
        <v>-81</v>
      </c>
      <c r="AQ549">
        <v>-41</v>
      </c>
      <c r="AR549">
        <v>512</v>
      </c>
      <c r="AZ549">
        <v>1200</v>
      </c>
      <c r="BA549">
        <v>1</v>
      </c>
      <c r="BB549" t="str">
        <f t="shared" si="312"/>
        <v xml:space="preserve">N9217B  </v>
      </c>
      <c r="BC549">
        <v>1</v>
      </c>
      <c r="BE549">
        <v>0</v>
      </c>
      <c r="BF549">
        <v>0</v>
      </c>
      <c r="BG549">
        <v>0</v>
      </c>
      <c r="BH549">
        <v>9100</v>
      </c>
      <c r="BI549">
        <v>1</v>
      </c>
      <c r="BJ549">
        <v>0</v>
      </c>
      <c r="BK549">
        <v>0</v>
      </c>
      <c r="BL549">
        <v>0</v>
      </c>
      <c r="BO549">
        <v>0</v>
      </c>
      <c r="BP549">
        <v>0</v>
      </c>
      <c r="BW549" t="str">
        <f t="shared" si="335"/>
        <v>14:50:38.353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293</v>
      </c>
      <c r="CR549">
        <v>1</v>
      </c>
      <c r="CW549">
        <v>15273247</v>
      </c>
      <c r="CY549">
        <v>0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25">
      <c r="A550" t="str">
        <f t="shared" si="332"/>
        <v>06/05/2020 14:50:32.690</v>
      </c>
      <c r="C550" t="str">
        <f t="shared" si="331"/>
        <v>FFDFD3C0</v>
      </c>
      <c r="D550" t="s">
        <v>143</v>
      </c>
      <c r="E550">
        <v>10</v>
      </c>
      <c r="F550">
        <v>3010</v>
      </c>
      <c r="G550" t="s">
        <v>144</v>
      </c>
      <c r="J550" t="s">
        <v>145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333"/>
        <v>14:50:38.352</v>
      </c>
      <c r="T550" t="str">
        <f t="shared" si="334"/>
        <v>14:50:37.952</v>
      </c>
      <c r="U550" t="str">
        <f t="shared" si="311"/>
        <v>ACC530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1</v>
      </c>
      <c r="AH550">
        <v>0</v>
      </c>
      <c r="AI550" t="s">
        <v>337</v>
      </c>
      <c r="AJ550">
        <v>34.228785000000002</v>
      </c>
      <c r="AK550" t="s">
        <v>338</v>
      </c>
      <c r="AL550">
        <v>-116.913028</v>
      </c>
      <c r="AM550">
        <v>100</v>
      </c>
      <c r="AN550">
        <v>9000</v>
      </c>
      <c r="AO550" t="s">
        <v>118</v>
      </c>
      <c r="AP550">
        <v>-81</v>
      </c>
      <c r="AQ550">
        <v>-41</v>
      </c>
      <c r="AR550">
        <v>512</v>
      </c>
      <c r="AZ550">
        <v>1200</v>
      </c>
      <c r="BA550">
        <v>1</v>
      </c>
      <c r="BB550" t="str">
        <f t="shared" si="312"/>
        <v xml:space="preserve">N9217B  </v>
      </c>
      <c r="BC550">
        <v>1</v>
      </c>
      <c r="BE550">
        <v>0</v>
      </c>
      <c r="BF550">
        <v>0</v>
      </c>
      <c r="BG550">
        <v>0</v>
      </c>
      <c r="BH550">
        <v>9100</v>
      </c>
      <c r="BI550">
        <v>1</v>
      </c>
      <c r="BJ550">
        <v>0</v>
      </c>
      <c r="BK550">
        <v>0</v>
      </c>
      <c r="BL550">
        <v>0</v>
      </c>
      <c r="BO550">
        <v>0</v>
      </c>
      <c r="BP550">
        <v>0</v>
      </c>
      <c r="BW550" t="str">
        <f t="shared" si="335"/>
        <v>14:50:38.353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293</v>
      </c>
      <c r="CR550">
        <v>1</v>
      </c>
      <c r="CW550">
        <v>15273247</v>
      </c>
      <c r="CY550">
        <v>0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25">
      <c r="A551" t="str">
        <f t="shared" si="332"/>
        <v>06/05/2020 14:50:32.690</v>
      </c>
      <c r="C551" t="str">
        <f t="shared" si="331"/>
        <v>FFDFD3C0</v>
      </c>
      <c r="D551" t="s">
        <v>113</v>
      </c>
      <c r="E551">
        <v>3</v>
      </c>
      <c r="H551">
        <v>166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333"/>
        <v>14:50:38.352</v>
      </c>
      <c r="T551" t="str">
        <f t="shared" si="334"/>
        <v>14:50:37.952</v>
      </c>
      <c r="U551" t="str">
        <f t="shared" si="311"/>
        <v>ACC530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1</v>
      </c>
      <c r="AH551">
        <v>0</v>
      </c>
      <c r="AI551" t="s">
        <v>337</v>
      </c>
      <c r="AJ551">
        <v>34.228785000000002</v>
      </c>
      <c r="AK551" t="s">
        <v>338</v>
      </c>
      <c r="AL551">
        <v>-116.913028</v>
      </c>
      <c r="AM551">
        <v>100</v>
      </c>
      <c r="AN551">
        <v>9000</v>
      </c>
      <c r="AO551" t="s">
        <v>118</v>
      </c>
      <c r="AP551">
        <v>-81</v>
      </c>
      <c r="AQ551">
        <v>-41</v>
      </c>
      <c r="AR551">
        <v>512</v>
      </c>
      <c r="AZ551">
        <v>1200</v>
      </c>
      <c r="BA551">
        <v>1</v>
      </c>
      <c r="BB551" t="str">
        <f t="shared" si="312"/>
        <v xml:space="preserve">N9217B  </v>
      </c>
      <c r="BC551">
        <v>1</v>
      </c>
      <c r="BE551">
        <v>0</v>
      </c>
      <c r="BF551">
        <v>0</v>
      </c>
      <c r="BG551">
        <v>0</v>
      </c>
      <c r="BH551">
        <v>9100</v>
      </c>
      <c r="BI551">
        <v>1</v>
      </c>
      <c r="BJ551">
        <v>0</v>
      </c>
      <c r="BK551">
        <v>0</v>
      </c>
      <c r="BL551">
        <v>0</v>
      </c>
      <c r="BO551">
        <v>0</v>
      </c>
      <c r="BP551">
        <v>0</v>
      </c>
      <c r="BW551" t="str">
        <f t="shared" si="335"/>
        <v>14:50:38.353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293</v>
      </c>
      <c r="CR551">
        <v>1</v>
      </c>
      <c r="CW551">
        <v>15273247</v>
      </c>
      <c r="CY551">
        <v>0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25">
      <c r="A552" t="str">
        <f t="shared" si="332"/>
        <v>06/05/2020 14:50:32.690</v>
      </c>
      <c r="C552" t="str">
        <f t="shared" si="331"/>
        <v>FFDFD3C0</v>
      </c>
      <c r="D552" t="s">
        <v>141</v>
      </c>
      <c r="E552">
        <v>20</v>
      </c>
      <c r="F552">
        <v>1020</v>
      </c>
      <c r="G552" t="s">
        <v>114</v>
      </c>
      <c r="J552" t="s">
        <v>142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333"/>
        <v>14:50:38.352</v>
      </c>
      <c r="T552" t="str">
        <f t="shared" si="334"/>
        <v>14:50:37.952</v>
      </c>
      <c r="U552" t="str">
        <f t="shared" si="311"/>
        <v>ACC530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1</v>
      </c>
      <c r="AH552">
        <v>0</v>
      </c>
      <c r="AI552" t="s">
        <v>337</v>
      </c>
      <c r="AJ552">
        <v>34.228785000000002</v>
      </c>
      <c r="AK552" t="s">
        <v>338</v>
      </c>
      <c r="AL552">
        <v>-116.913028</v>
      </c>
      <c r="AM552">
        <v>100</v>
      </c>
      <c r="AN552">
        <v>9000</v>
      </c>
      <c r="AO552" t="s">
        <v>118</v>
      </c>
      <c r="AP552">
        <v>-81</v>
      </c>
      <c r="AQ552">
        <v>-41</v>
      </c>
      <c r="AR552">
        <v>512</v>
      </c>
      <c r="AZ552">
        <v>1200</v>
      </c>
      <c r="BA552">
        <v>1</v>
      </c>
      <c r="BB552" t="str">
        <f t="shared" si="312"/>
        <v xml:space="preserve">N9217B  </v>
      </c>
      <c r="BC552">
        <v>1</v>
      </c>
      <c r="BE552">
        <v>0</v>
      </c>
      <c r="BF552">
        <v>0</v>
      </c>
      <c r="BG552">
        <v>0</v>
      </c>
      <c r="BH552">
        <v>9100</v>
      </c>
      <c r="BI552">
        <v>1</v>
      </c>
      <c r="BJ552">
        <v>0</v>
      </c>
      <c r="BK552">
        <v>0</v>
      </c>
      <c r="BL552">
        <v>0</v>
      </c>
      <c r="BO552">
        <v>0</v>
      </c>
      <c r="BP552">
        <v>0</v>
      </c>
      <c r="BW552" t="str">
        <f t="shared" si="335"/>
        <v>14:50:38.353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293</v>
      </c>
      <c r="CR552">
        <v>1</v>
      </c>
      <c r="CW552">
        <v>15273247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25">
      <c r="A553" t="str">
        <f t="shared" si="332"/>
        <v>06/05/2020 14:50:32.690</v>
      </c>
      <c r="C553" t="str">
        <f t="shared" si="331"/>
        <v>FFDFD3C0</v>
      </c>
      <c r="D553" t="s">
        <v>151</v>
      </c>
      <c r="E553">
        <v>9</v>
      </c>
      <c r="H553">
        <v>226</v>
      </c>
      <c r="I553" t="s">
        <v>152</v>
      </c>
      <c r="J553" t="s">
        <v>150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333"/>
        <v>14:50:38.352</v>
      </c>
      <c r="T553" t="str">
        <f t="shared" si="334"/>
        <v>14:50:37.952</v>
      </c>
      <c r="U553" t="str">
        <f t="shared" si="311"/>
        <v>ACC530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1</v>
      </c>
      <c r="AH553">
        <v>0</v>
      </c>
      <c r="AI553" t="s">
        <v>337</v>
      </c>
      <c r="AJ553">
        <v>34.228785000000002</v>
      </c>
      <c r="AK553" t="s">
        <v>338</v>
      </c>
      <c r="AL553">
        <v>-116.913028</v>
      </c>
      <c r="AM553">
        <v>100</v>
      </c>
      <c r="AN553">
        <v>9000</v>
      </c>
      <c r="AO553" t="s">
        <v>118</v>
      </c>
      <c r="AP553">
        <v>-81</v>
      </c>
      <c r="AQ553">
        <v>-41</v>
      </c>
      <c r="AR553">
        <v>512</v>
      </c>
      <c r="AZ553">
        <v>1200</v>
      </c>
      <c r="BA553">
        <v>1</v>
      </c>
      <c r="BB553" t="str">
        <f t="shared" si="312"/>
        <v xml:space="preserve">N9217B  </v>
      </c>
      <c r="BC553">
        <v>1</v>
      </c>
      <c r="BE553">
        <v>0</v>
      </c>
      <c r="BF553">
        <v>0</v>
      </c>
      <c r="BG553">
        <v>0</v>
      </c>
      <c r="BH553">
        <v>9100</v>
      </c>
      <c r="BI553">
        <v>1</v>
      </c>
      <c r="BJ553">
        <v>0</v>
      </c>
      <c r="BK553">
        <v>0</v>
      </c>
      <c r="BL553">
        <v>0</v>
      </c>
      <c r="BO553">
        <v>0</v>
      </c>
      <c r="BP553">
        <v>0</v>
      </c>
      <c r="BW553" t="str">
        <f t="shared" si="335"/>
        <v>14:50:38.353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293</v>
      </c>
      <c r="CR553">
        <v>1</v>
      </c>
      <c r="CW553">
        <v>15273247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25">
      <c r="A554" t="str">
        <f t="shared" ref="A554:A559" si="336">"06/05/2020 14:50:33.695"</f>
        <v>06/05/2020 14:50:33.695</v>
      </c>
      <c r="C554" t="str">
        <f t="shared" si="331"/>
        <v>FFDFD3C0</v>
      </c>
      <c r="D554" t="s">
        <v>151</v>
      </c>
      <c r="E554">
        <v>9</v>
      </c>
      <c r="H554">
        <v>226</v>
      </c>
      <c r="I554" t="s">
        <v>152</v>
      </c>
      <c r="J554" t="s">
        <v>150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59" si="337">"14:50:39.336"</f>
        <v>14:50:39.336</v>
      </c>
      <c r="T554" t="str">
        <f t="shared" ref="T554:T559" si="338">"14:50:38.936"</f>
        <v>14:50:38.936</v>
      </c>
      <c r="U554" t="str">
        <f t="shared" si="311"/>
        <v>ACC530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1</v>
      </c>
      <c r="AH554">
        <v>0</v>
      </c>
      <c r="AI554" t="s">
        <v>339</v>
      </c>
      <c r="AJ554">
        <v>34.228591999999999</v>
      </c>
      <c r="AK554" t="s">
        <v>340</v>
      </c>
      <c r="AL554">
        <v>-116.913478</v>
      </c>
      <c r="AM554">
        <v>100</v>
      </c>
      <c r="AN554">
        <v>9000</v>
      </c>
      <c r="AO554" t="s">
        <v>118</v>
      </c>
      <c r="AP554">
        <v>-81</v>
      </c>
      <c r="AQ554">
        <v>-41</v>
      </c>
      <c r="AR554">
        <v>448</v>
      </c>
      <c r="AZ554">
        <v>1200</v>
      </c>
      <c r="BA554">
        <v>1</v>
      </c>
      <c r="BB554" t="str">
        <f t="shared" si="312"/>
        <v xml:space="preserve">N9217B  </v>
      </c>
      <c r="BC554">
        <v>1</v>
      </c>
      <c r="BE554">
        <v>0</v>
      </c>
      <c r="BF554">
        <v>0</v>
      </c>
      <c r="BG554">
        <v>0</v>
      </c>
      <c r="BH554">
        <v>9100</v>
      </c>
      <c r="BI554">
        <v>1</v>
      </c>
      <c r="BJ554">
        <v>0</v>
      </c>
      <c r="BK554">
        <v>0</v>
      </c>
      <c r="BL554">
        <v>0</v>
      </c>
      <c r="BO554">
        <v>0</v>
      </c>
      <c r="BP554">
        <v>0</v>
      </c>
      <c r="BW554" t="str">
        <f t="shared" ref="BW554:BW559" si="339">"14:50:39.343"</f>
        <v>14:50:39.343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293</v>
      </c>
      <c r="CR554">
        <v>1</v>
      </c>
      <c r="CW554">
        <v>15273369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25">
      <c r="A555" t="str">
        <f t="shared" si="336"/>
        <v>06/05/2020 14:50:33.695</v>
      </c>
      <c r="C555" t="str">
        <f t="shared" si="331"/>
        <v>FFDFD3C0</v>
      </c>
      <c r="D555" t="s">
        <v>148</v>
      </c>
      <c r="E555">
        <v>8</v>
      </c>
      <c r="H555">
        <v>50</v>
      </c>
      <c r="I555" t="s">
        <v>149</v>
      </c>
      <c r="J555" t="s">
        <v>150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337"/>
        <v>14:50:39.336</v>
      </c>
      <c r="T555" t="str">
        <f t="shared" si="338"/>
        <v>14:50:38.936</v>
      </c>
      <c r="U555" t="str">
        <f t="shared" si="311"/>
        <v>ACC530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1</v>
      </c>
      <c r="AH555">
        <v>0</v>
      </c>
      <c r="AI555" t="s">
        <v>339</v>
      </c>
      <c r="AJ555">
        <v>34.228591999999999</v>
      </c>
      <c r="AK555" t="s">
        <v>340</v>
      </c>
      <c r="AL555">
        <v>-116.913478</v>
      </c>
      <c r="AM555">
        <v>100</v>
      </c>
      <c r="AN555">
        <v>9000</v>
      </c>
      <c r="AO555" t="s">
        <v>118</v>
      </c>
      <c r="AP555">
        <v>-81</v>
      </c>
      <c r="AQ555">
        <v>-41</v>
      </c>
      <c r="AR555">
        <v>448</v>
      </c>
      <c r="AZ555">
        <v>1200</v>
      </c>
      <c r="BA555">
        <v>1</v>
      </c>
      <c r="BB555" t="str">
        <f t="shared" si="312"/>
        <v xml:space="preserve">N9217B  </v>
      </c>
      <c r="BC555">
        <v>1</v>
      </c>
      <c r="BE555">
        <v>0</v>
      </c>
      <c r="BF555">
        <v>0</v>
      </c>
      <c r="BG555">
        <v>0</v>
      </c>
      <c r="BH555">
        <v>9100</v>
      </c>
      <c r="BI555">
        <v>1</v>
      </c>
      <c r="BJ555">
        <v>0</v>
      </c>
      <c r="BK555">
        <v>0</v>
      </c>
      <c r="BL555">
        <v>0</v>
      </c>
      <c r="BO555">
        <v>0</v>
      </c>
      <c r="BP555">
        <v>0</v>
      </c>
      <c r="BW555" t="str">
        <f t="shared" si="339"/>
        <v>14:50:39.343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293</v>
      </c>
      <c r="CR555">
        <v>1</v>
      </c>
      <c r="CW555">
        <v>15273369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25">
      <c r="A556" t="str">
        <f t="shared" si="336"/>
        <v>06/05/2020 14:50:33.695</v>
      </c>
      <c r="C556" t="str">
        <f t="shared" si="331"/>
        <v>FFDFD3C0</v>
      </c>
      <c r="D556" t="s">
        <v>143</v>
      </c>
      <c r="E556">
        <v>10</v>
      </c>
      <c r="F556">
        <v>3010</v>
      </c>
      <c r="G556" t="s">
        <v>144</v>
      </c>
      <c r="J556" t="s">
        <v>145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337"/>
        <v>14:50:39.336</v>
      </c>
      <c r="T556" t="str">
        <f t="shared" si="338"/>
        <v>14:50:38.936</v>
      </c>
      <c r="U556" t="str">
        <f t="shared" si="311"/>
        <v>ACC530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1</v>
      </c>
      <c r="AH556">
        <v>0</v>
      </c>
      <c r="AI556" t="s">
        <v>339</v>
      </c>
      <c r="AJ556">
        <v>34.228591999999999</v>
      </c>
      <c r="AK556" t="s">
        <v>340</v>
      </c>
      <c r="AL556">
        <v>-116.913478</v>
      </c>
      <c r="AM556">
        <v>100</v>
      </c>
      <c r="AN556">
        <v>9000</v>
      </c>
      <c r="AO556" t="s">
        <v>118</v>
      </c>
      <c r="AP556">
        <v>-81</v>
      </c>
      <c r="AQ556">
        <v>-41</v>
      </c>
      <c r="AR556">
        <v>448</v>
      </c>
      <c r="AZ556">
        <v>1200</v>
      </c>
      <c r="BA556">
        <v>1</v>
      </c>
      <c r="BB556" t="str">
        <f t="shared" si="312"/>
        <v xml:space="preserve">N9217B  </v>
      </c>
      <c r="BC556">
        <v>1</v>
      </c>
      <c r="BE556">
        <v>0</v>
      </c>
      <c r="BF556">
        <v>0</v>
      </c>
      <c r="BG556">
        <v>0</v>
      </c>
      <c r="BH556">
        <v>9100</v>
      </c>
      <c r="BI556">
        <v>1</v>
      </c>
      <c r="BJ556">
        <v>0</v>
      </c>
      <c r="BK556">
        <v>0</v>
      </c>
      <c r="BL556">
        <v>0</v>
      </c>
      <c r="BO556">
        <v>0</v>
      </c>
      <c r="BP556">
        <v>0</v>
      </c>
      <c r="BW556" t="str">
        <f t="shared" si="339"/>
        <v>14:50:39.343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293</v>
      </c>
      <c r="CR556">
        <v>1</v>
      </c>
      <c r="CW556">
        <v>15273369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25">
      <c r="A557" t="str">
        <f t="shared" si="336"/>
        <v>06/05/2020 14:50:33.695</v>
      </c>
      <c r="C557" t="str">
        <f t="shared" si="331"/>
        <v>FFDFD3C0</v>
      </c>
      <c r="D557" t="s">
        <v>134</v>
      </c>
      <c r="E557">
        <v>7</v>
      </c>
      <c r="F557">
        <v>2007</v>
      </c>
      <c r="G557" t="s">
        <v>135</v>
      </c>
      <c r="J557" t="s">
        <v>136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337"/>
        <v>14:50:39.336</v>
      </c>
      <c r="T557" t="str">
        <f t="shared" si="338"/>
        <v>14:50:38.936</v>
      </c>
      <c r="U557" t="str">
        <f t="shared" si="311"/>
        <v>ACC530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1</v>
      </c>
      <c r="AH557">
        <v>0</v>
      </c>
      <c r="AI557" t="s">
        <v>339</v>
      </c>
      <c r="AJ557">
        <v>34.228591999999999</v>
      </c>
      <c r="AK557" t="s">
        <v>340</v>
      </c>
      <c r="AL557">
        <v>-116.913478</v>
      </c>
      <c r="AM557">
        <v>100</v>
      </c>
      <c r="AN557">
        <v>9000</v>
      </c>
      <c r="AO557" t="s">
        <v>118</v>
      </c>
      <c r="AP557">
        <v>-81</v>
      </c>
      <c r="AQ557">
        <v>-41</v>
      </c>
      <c r="AR557">
        <v>448</v>
      </c>
      <c r="AZ557">
        <v>1200</v>
      </c>
      <c r="BA557">
        <v>1</v>
      </c>
      <c r="BB557" t="str">
        <f t="shared" si="312"/>
        <v xml:space="preserve">N9217B  </v>
      </c>
      <c r="BC557">
        <v>1</v>
      </c>
      <c r="BE557">
        <v>0</v>
      </c>
      <c r="BF557">
        <v>0</v>
      </c>
      <c r="BG557">
        <v>0</v>
      </c>
      <c r="BH557">
        <v>9100</v>
      </c>
      <c r="BI557">
        <v>1</v>
      </c>
      <c r="BJ557">
        <v>0</v>
      </c>
      <c r="BK557">
        <v>0</v>
      </c>
      <c r="BL557">
        <v>0</v>
      </c>
      <c r="BO557">
        <v>0</v>
      </c>
      <c r="BP557">
        <v>0</v>
      </c>
      <c r="BW557" t="str">
        <f t="shared" si="339"/>
        <v>14:50:39.343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293</v>
      </c>
      <c r="CR557">
        <v>1</v>
      </c>
      <c r="CW557">
        <v>15273369</v>
      </c>
      <c r="CY557">
        <v>0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25">
      <c r="A558" t="str">
        <f t="shared" si="336"/>
        <v>06/05/2020 14:50:33.695</v>
      </c>
      <c r="C558" t="str">
        <f t="shared" si="331"/>
        <v>FFDFD3C0</v>
      </c>
      <c r="D558" t="s">
        <v>141</v>
      </c>
      <c r="E558">
        <v>20</v>
      </c>
      <c r="F558">
        <v>1020</v>
      </c>
      <c r="G558" t="s">
        <v>114</v>
      </c>
      <c r="J558" t="s">
        <v>142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337"/>
        <v>14:50:39.336</v>
      </c>
      <c r="T558" t="str">
        <f t="shared" si="338"/>
        <v>14:50:38.936</v>
      </c>
      <c r="U558" t="str">
        <f t="shared" si="311"/>
        <v>ACC530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1</v>
      </c>
      <c r="AH558">
        <v>0</v>
      </c>
      <c r="AI558" t="s">
        <v>339</v>
      </c>
      <c r="AJ558">
        <v>34.228591999999999</v>
      </c>
      <c r="AK558" t="s">
        <v>340</v>
      </c>
      <c r="AL558">
        <v>-116.913478</v>
      </c>
      <c r="AM558">
        <v>100</v>
      </c>
      <c r="AN558">
        <v>9000</v>
      </c>
      <c r="AO558" t="s">
        <v>118</v>
      </c>
      <c r="AP558">
        <v>-81</v>
      </c>
      <c r="AQ558">
        <v>-41</v>
      </c>
      <c r="AR558">
        <v>448</v>
      </c>
      <c r="AZ558">
        <v>1200</v>
      </c>
      <c r="BA558">
        <v>1</v>
      </c>
      <c r="BB558" t="str">
        <f t="shared" si="312"/>
        <v xml:space="preserve">N9217B  </v>
      </c>
      <c r="BC558">
        <v>1</v>
      </c>
      <c r="BE558">
        <v>0</v>
      </c>
      <c r="BF558">
        <v>0</v>
      </c>
      <c r="BG558">
        <v>0</v>
      </c>
      <c r="BH558">
        <v>9100</v>
      </c>
      <c r="BI558">
        <v>1</v>
      </c>
      <c r="BJ558">
        <v>0</v>
      </c>
      <c r="BK558">
        <v>0</v>
      </c>
      <c r="BL558">
        <v>0</v>
      </c>
      <c r="BO558">
        <v>0</v>
      </c>
      <c r="BP558">
        <v>0</v>
      </c>
      <c r="BW558" t="str">
        <f t="shared" si="339"/>
        <v>14:50:39.343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293</v>
      </c>
      <c r="CR558">
        <v>1</v>
      </c>
      <c r="CW558">
        <v>15273369</v>
      </c>
      <c r="CY558">
        <v>0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25">
      <c r="A559" t="str">
        <f t="shared" si="336"/>
        <v>06/05/2020 14:50:33.695</v>
      </c>
      <c r="C559" t="str">
        <f t="shared" si="331"/>
        <v>FFDFD3C0</v>
      </c>
      <c r="D559" t="s">
        <v>113</v>
      </c>
      <c r="E559">
        <v>3</v>
      </c>
      <c r="H559">
        <v>166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337"/>
        <v>14:50:39.336</v>
      </c>
      <c r="T559" t="str">
        <f t="shared" si="338"/>
        <v>14:50:38.936</v>
      </c>
      <c r="U559" t="str">
        <f t="shared" si="311"/>
        <v>ACC530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1</v>
      </c>
      <c r="AH559">
        <v>0</v>
      </c>
      <c r="AI559" t="s">
        <v>339</v>
      </c>
      <c r="AJ559">
        <v>34.228591999999999</v>
      </c>
      <c r="AK559" t="s">
        <v>340</v>
      </c>
      <c r="AL559">
        <v>-116.913478</v>
      </c>
      <c r="AM559">
        <v>100</v>
      </c>
      <c r="AN559">
        <v>9000</v>
      </c>
      <c r="AO559" t="s">
        <v>118</v>
      </c>
      <c r="AP559">
        <v>-81</v>
      </c>
      <c r="AQ559">
        <v>-41</v>
      </c>
      <c r="AR559">
        <v>448</v>
      </c>
      <c r="AZ559">
        <v>1200</v>
      </c>
      <c r="BA559">
        <v>1</v>
      </c>
      <c r="BB559" t="str">
        <f t="shared" si="312"/>
        <v xml:space="preserve">N9217B  </v>
      </c>
      <c r="BC559">
        <v>1</v>
      </c>
      <c r="BE559">
        <v>0</v>
      </c>
      <c r="BF559">
        <v>0</v>
      </c>
      <c r="BG559">
        <v>0</v>
      </c>
      <c r="BH559">
        <v>9100</v>
      </c>
      <c r="BI559">
        <v>1</v>
      </c>
      <c r="BJ559">
        <v>0</v>
      </c>
      <c r="BK559">
        <v>0</v>
      </c>
      <c r="BL559">
        <v>0</v>
      </c>
      <c r="BO559">
        <v>0</v>
      </c>
      <c r="BP559">
        <v>0</v>
      </c>
      <c r="BW559" t="str">
        <f t="shared" si="339"/>
        <v>14:50:39.343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293</v>
      </c>
      <c r="CR559">
        <v>1</v>
      </c>
      <c r="CW559">
        <v>15273369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25">
      <c r="A560" t="str">
        <f t="shared" ref="A560:A565" si="340">"06/05/2020 14:50:34.766"</f>
        <v>06/05/2020 14:50:34.766</v>
      </c>
      <c r="C560" t="str">
        <f t="shared" si="331"/>
        <v>FFDFD3C0</v>
      </c>
      <c r="D560" t="s">
        <v>148</v>
      </c>
      <c r="E560">
        <v>8</v>
      </c>
      <c r="H560">
        <v>50</v>
      </c>
      <c r="I560" t="s">
        <v>149</v>
      </c>
      <c r="J560" t="s">
        <v>150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ref="S560:S565" si="341">"14:50:40.406"</f>
        <v>14:50:40.406</v>
      </c>
      <c r="T560" t="str">
        <f t="shared" ref="T560:T565" si="342">"14:50:40.306"</f>
        <v>14:50:40.306</v>
      </c>
      <c r="U560" t="str">
        <f t="shared" si="311"/>
        <v>ACC530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1</v>
      </c>
      <c r="AH560">
        <v>0</v>
      </c>
      <c r="AI560" t="s">
        <v>341</v>
      </c>
      <c r="AJ560">
        <v>34.228355999999998</v>
      </c>
      <c r="AK560" t="s">
        <v>342</v>
      </c>
      <c r="AL560">
        <v>-116.913929</v>
      </c>
      <c r="AM560">
        <v>100</v>
      </c>
      <c r="AN560">
        <v>9000</v>
      </c>
      <c r="AO560" t="s">
        <v>118</v>
      </c>
      <c r="AP560">
        <v>-81</v>
      </c>
      <c r="AQ560">
        <v>-41</v>
      </c>
      <c r="AR560">
        <v>512</v>
      </c>
      <c r="AZ560">
        <v>1200</v>
      </c>
      <c r="BA560">
        <v>1</v>
      </c>
      <c r="BB560" t="str">
        <f t="shared" si="312"/>
        <v xml:space="preserve">N9217B  </v>
      </c>
      <c r="BC560">
        <v>1</v>
      </c>
      <c r="BE560">
        <v>0</v>
      </c>
      <c r="BF560">
        <v>0</v>
      </c>
      <c r="BG560">
        <v>0</v>
      </c>
      <c r="BH560">
        <v>9100</v>
      </c>
      <c r="BI560">
        <v>1</v>
      </c>
      <c r="BJ560">
        <v>0</v>
      </c>
      <c r="BK560">
        <v>0</v>
      </c>
      <c r="BL560">
        <v>0</v>
      </c>
      <c r="BO560">
        <v>0</v>
      </c>
      <c r="BP560">
        <v>0</v>
      </c>
      <c r="BW560" t="str">
        <f t="shared" ref="BW560:BW565" si="343">"14:50:40.408"</f>
        <v>14:50:40.408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293</v>
      </c>
      <c r="CR560">
        <v>1</v>
      </c>
      <c r="CW560">
        <v>15273489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25">
      <c r="A561" t="str">
        <f t="shared" si="340"/>
        <v>06/05/2020 14:50:34.766</v>
      </c>
      <c r="C561" t="str">
        <f t="shared" si="331"/>
        <v>FFDFD3C0</v>
      </c>
      <c r="D561" t="s">
        <v>143</v>
      </c>
      <c r="E561">
        <v>10</v>
      </c>
      <c r="F561">
        <v>3010</v>
      </c>
      <c r="G561" t="s">
        <v>144</v>
      </c>
      <c r="J561" t="s">
        <v>145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341"/>
        <v>14:50:40.406</v>
      </c>
      <c r="T561" t="str">
        <f t="shared" si="342"/>
        <v>14:50:40.306</v>
      </c>
      <c r="U561" t="str">
        <f t="shared" si="311"/>
        <v>ACC530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1</v>
      </c>
      <c r="AH561">
        <v>0</v>
      </c>
      <c r="AI561" t="s">
        <v>341</v>
      </c>
      <c r="AJ561">
        <v>34.228355999999998</v>
      </c>
      <c r="AK561" t="s">
        <v>342</v>
      </c>
      <c r="AL561">
        <v>-116.913929</v>
      </c>
      <c r="AM561">
        <v>100</v>
      </c>
      <c r="AN561">
        <v>9000</v>
      </c>
      <c r="AO561" t="s">
        <v>118</v>
      </c>
      <c r="AP561">
        <v>-81</v>
      </c>
      <c r="AQ561">
        <v>-41</v>
      </c>
      <c r="AR561">
        <v>512</v>
      </c>
      <c r="AZ561">
        <v>1200</v>
      </c>
      <c r="BA561">
        <v>1</v>
      </c>
      <c r="BB561" t="str">
        <f t="shared" si="312"/>
        <v xml:space="preserve">N9217B  </v>
      </c>
      <c r="BC561">
        <v>1</v>
      </c>
      <c r="BE561">
        <v>0</v>
      </c>
      <c r="BF561">
        <v>0</v>
      </c>
      <c r="BG561">
        <v>0</v>
      </c>
      <c r="BH561">
        <v>9100</v>
      </c>
      <c r="BI561">
        <v>1</v>
      </c>
      <c r="BJ561">
        <v>0</v>
      </c>
      <c r="BK561">
        <v>0</v>
      </c>
      <c r="BL561">
        <v>0</v>
      </c>
      <c r="BO561">
        <v>0</v>
      </c>
      <c r="BP561">
        <v>0</v>
      </c>
      <c r="BW561" t="str">
        <f t="shared" si="343"/>
        <v>14:50:40.408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293</v>
      </c>
      <c r="CR561">
        <v>1</v>
      </c>
      <c r="CW561">
        <v>15273489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25">
      <c r="A562" t="str">
        <f t="shared" si="340"/>
        <v>06/05/2020 14:50:34.766</v>
      </c>
      <c r="C562" t="str">
        <f t="shared" si="331"/>
        <v>FFDFD3C0</v>
      </c>
      <c r="D562" t="s">
        <v>134</v>
      </c>
      <c r="E562">
        <v>7</v>
      </c>
      <c r="F562">
        <v>2007</v>
      </c>
      <c r="G562" t="s">
        <v>135</v>
      </c>
      <c r="J562" t="s">
        <v>136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341"/>
        <v>14:50:40.406</v>
      </c>
      <c r="T562" t="str">
        <f t="shared" si="342"/>
        <v>14:50:40.306</v>
      </c>
      <c r="U562" t="str">
        <f t="shared" si="311"/>
        <v>ACC530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1</v>
      </c>
      <c r="AH562">
        <v>0</v>
      </c>
      <c r="AI562" t="s">
        <v>341</v>
      </c>
      <c r="AJ562">
        <v>34.228355999999998</v>
      </c>
      <c r="AK562" t="s">
        <v>342</v>
      </c>
      <c r="AL562">
        <v>-116.913929</v>
      </c>
      <c r="AM562">
        <v>100</v>
      </c>
      <c r="AN562">
        <v>9000</v>
      </c>
      <c r="AO562" t="s">
        <v>118</v>
      </c>
      <c r="AP562">
        <v>-81</v>
      </c>
      <c r="AQ562">
        <v>-41</v>
      </c>
      <c r="AR562">
        <v>512</v>
      </c>
      <c r="AZ562">
        <v>1200</v>
      </c>
      <c r="BA562">
        <v>1</v>
      </c>
      <c r="BB562" t="str">
        <f t="shared" si="312"/>
        <v xml:space="preserve">N9217B  </v>
      </c>
      <c r="BC562">
        <v>1</v>
      </c>
      <c r="BE562">
        <v>0</v>
      </c>
      <c r="BF562">
        <v>0</v>
      </c>
      <c r="BG562">
        <v>0</v>
      </c>
      <c r="BH562">
        <v>9100</v>
      </c>
      <c r="BI562">
        <v>1</v>
      </c>
      <c r="BJ562">
        <v>0</v>
      </c>
      <c r="BK562">
        <v>0</v>
      </c>
      <c r="BL562">
        <v>0</v>
      </c>
      <c r="BO562">
        <v>0</v>
      </c>
      <c r="BP562">
        <v>0</v>
      </c>
      <c r="BW562" t="str">
        <f t="shared" si="343"/>
        <v>14:50:40.408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293</v>
      </c>
      <c r="CR562">
        <v>1</v>
      </c>
      <c r="CW562">
        <v>15273489</v>
      </c>
      <c r="CY562">
        <v>0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25">
      <c r="A563" t="str">
        <f t="shared" si="340"/>
        <v>06/05/2020 14:50:34.766</v>
      </c>
      <c r="C563" t="str">
        <f t="shared" si="331"/>
        <v>FFDFD3C0</v>
      </c>
      <c r="D563" t="s">
        <v>141</v>
      </c>
      <c r="E563">
        <v>20</v>
      </c>
      <c r="F563">
        <v>1020</v>
      </c>
      <c r="G563" t="s">
        <v>114</v>
      </c>
      <c r="J563" t="s">
        <v>142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341"/>
        <v>14:50:40.406</v>
      </c>
      <c r="T563" t="str">
        <f t="shared" si="342"/>
        <v>14:50:40.306</v>
      </c>
      <c r="U563" t="str">
        <f t="shared" si="311"/>
        <v>ACC530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1</v>
      </c>
      <c r="AH563">
        <v>0</v>
      </c>
      <c r="AI563" t="s">
        <v>341</v>
      </c>
      <c r="AJ563">
        <v>34.228355999999998</v>
      </c>
      <c r="AK563" t="s">
        <v>342</v>
      </c>
      <c r="AL563">
        <v>-116.913929</v>
      </c>
      <c r="AM563">
        <v>100</v>
      </c>
      <c r="AN563">
        <v>9000</v>
      </c>
      <c r="AO563" t="s">
        <v>118</v>
      </c>
      <c r="AP563">
        <v>-81</v>
      </c>
      <c r="AQ563">
        <v>-41</v>
      </c>
      <c r="AR563">
        <v>512</v>
      </c>
      <c r="AZ563">
        <v>1200</v>
      </c>
      <c r="BA563">
        <v>1</v>
      </c>
      <c r="BB563" t="str">
        <f t="shared" si="312"/>
        <v xml:space="preserve">N9217B  </v>
      </c>
      <c r="BC563">
        <v>1</v>
      </c>
      <c r="BE563">
        <v>0</v>
      </c>
      <c r="BF563">
        <v>0</v>
      </c>
      <c r="BG563">
        <v>0</v>
      </c>
      <c r="BH563">
        <v>9100</v>
      </c>
      <c r="BI563">
        <v>1</v>
      </c>
      <c r="BJ563">
        <v>0</v>
      </c>
      <c r="BK563">
        <v>0</v>
      </c>
      <c r="BL563">
        <v>0</v>
      </c>
      <c r="BO563">
        <v>0</v>
      </c>
      <c r="BP563">
        <v>0</v>
      </c>
      <c r="BW563" t="str">
        <f t="shared" si="343"/>
        <v>14:50:40.408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293</v>
      </c>
      <c r="CR563">
        <v>1</v>
      </c>
      <c r="CW563">
        <v>15273489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25">
      <c r="A564" t="str">
        <f t="shared" si="340"/>
        <v>06/05/2020 14:50:34.766</v>
      </c>
      <c r="C564" t="str">
        <f t="shared" si="331"/>
        <v>FFDFD3C0</v>
      </c>
      <c r="D564" t="s">
        <v>113</v>
      </c>
      <c r="E564">
        <v>3</v>
      </c>
      <c r="H564">
        <v>166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341"/>
        <v>14:50:40.406</v>
      </c>
      <c r="T564" t="str">
        <f t="shared" si="342"/>
        <v>14:50:40.306</v>
      </c>
      <c r="U564" t="str">
        <f t="shared" si="311"/>
        <v>ACC530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1</v>
      </c>
      <c r="AH564">
        <v>0</v>
      </c>
      <c r="AI564" t="s">
        <v>341</v>
      </c>
      <c r="AJ564">
        <v>34.228355999999998</v>
      </c>
      <c r="AK564" t="s">
        <v>342</v>
      </c>
      <c r="AL564">
        <v>-116.913929</v>
      </c>
      <c r="AM564">
        <v>100</v>
      </c>
      <c r="AN564">
        <v>9000</v>
      </c>
      <c r="AO564" t="s">
        <v>118</v>
      </c>
      <c r="AP564">
        <v>-81</v>
      </c>
      <c r="AQ564">
        <v>-41</v>
      </c>
      <c r="AR564">
        <v>512</v>
      </c>
      <c r="AZ564">
        <v>1200</v>
      </c>
      <c r="BA564">
        <v>1</v>
      </c>
      <c r="BB564" t="str">
        <f t="shared" si="312"/>
        <v xml:space="preserve">N9217B  </v>
      </c>
      <c r="BC564">
        <v>1</v>
      </c>
      <c r="BE564">
        <v>0</v>
      </c>
      <c r="BF564">
        <v>0</v>
      </c>
      <c r="BG564">
        <v>0</v>
      </c>
      <c r="BH564">
        <v>9100</v>
      </c>
      <c r="BI564">
        <v>1</v>
      </c>
      <c r="BJ564">
        <v>0</v>
      </c>
      <c r="BK564">
        <v>0</v>
      </c>
      <c r="BL564">
        <v>0</v>
      </c>
      <c r="BO564">
        <v>0</v>
      </c>
      <c r="BP564">
        <v>0</v>
      </c>
      <c r="BW564" t="str">
        <f t="shared" si="343"/>
        <v>14:50:40.408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293</v>
      </c>
      <c r="CR564">
        <v>1</v>
      </c>
      <c r="CW564">
        <v>15273489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25">
      <c r="A565" t="str">
        <f t="shared" si="340"/>
        <v>06/05/2020 14:50:34.766</v>
      </c>
      <c r="C565" t="str">
        <f t="shared" si="331"/>
        <v>FFDFD3C0</v>
      </c>
      <c r="D565" t="s">
        <v>151</v>
      </c>
      <c r="E565">
        <v>9</v>
      </c>
      <c r="H565">
        <v>226</v>
      </c>
      <c r="I565" t="s">
        <v>152</v>
      </c>
      <c r="J565" t="s">
        <v>150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341"/>
        <v>14:50:40.406</v>
      </c>
      <c r="T565" t="str">
        <f t="shared" si="342"/>
        <v>14:50:40.306</v>
      </c>
      <c r="U565" t="str">
        <f t="shared" si="311"/>
        <v>ACC530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1</v>
      </c>
      <c r="AH565">
        <v>0</v>
      </c>
      <c r="AI565" t="s">
        <v>341</v>
      </c>
      <c r="AJ565">
        <v>34.228355999999998</v>
      </c>
      <c r="AK565" t="s">
        <v>342</v>
      </c>
      <c r="AL565">
        <v>-116.913929</v>
      </c>
      <c r="AM565">
        <v>100</v>
      </c>
      <c r="AN565">
        <v>9000</v>
      </c>
      <c r="AO565" t="s">
        <v>118</v>
      </c>
      <c r="AP565">
        <v>-81</v>
      </c>
      <c r="AQ565">
        <v>-41</v>
      </c>
      <c r="AR565">
        <v>512</v>
      </c>
      <c r="AZ565">
        <v>1200</v>
      </c>
      <c r="BA565">
        <v>1</v>
      </c>
      <c r="BB565" t="str">
        <f t="shared" si="312"/>
        <v xml:space="preserve">N9217B  </v>
      </c>
      <c r="BC565">
        <v>1</v>
      </c>
      <c r="BE565">
        <v>0</v>
      </c>
      <c r="BF565">
        <v>0</v>
      </c>
      <c r="BG565">
        <v>0</v>
      </c>
      <c r="BH565">
        <v>9100</v>
      </c>
      <c r="BI565">
        <v>1</v>
      </c>
      <c r="BJ565">
        <v>0</v>
      </c>
      <c r="BK565">
        <v>0</v>
      </c>
      <c r="BL565">
        <v>0</v>
      </c>
      <c r="BO565">
        <v>0</v>
      </c>
      <c r="BP565">
        <v>0</v>
      </c>
      <c r="BW565" t="str">
        <f t="shared" si="343"/>
        <v>14:50:40.408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293</v>
      </c>
      <c r="CR565">
        <v>1</v>
      </c>
      <c r="CW565">
        <v>15273489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25">
      <c r="A566" t="str">
        <f t="shared" ref="A566:A571" si="344">"06/05/2020 14:50:35.767"</f>
        <v>06/05/2020 14:50:35.767</v>
      </c>
      <c r="C566" t="str">
        <f t="shared" si="331"/>
        <v>FFDFD3C0</v>
      </c>
      <c r="D566" t="s">
        <v>151</v>
      </c>
      <c r="E566">
        <v>9</v>
      </c>
      <c r="H566">
        <v>226</v>
      </c>
      <c r="I566" t="s">
        <v>152</v>
      </c>
      <c r="J566" t="s">
        <v>150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ref="S566:T571" si="345">"14:50:41.383"</f>
        <v>14:50:41.383</v>
      </c>
      <c r="T566" t="str">
        <f t="shared" si="345"/>
        <v>14:50:41.383</v>
      </c>
      <c r="U566" t="str">
        <f t="shared" si="311"/>
        <v>ACC530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1</v>
      </c>
      <c r="AH566">
        <v>0</v>
      </c>
      <c r="AI566" t="s">
        <v>343</v>
      </c>
      <c r="AJ566">
        <v>34.228183999999999</v>
      </c>
      <c r="AK566" t="s">
        <v>344</v>
      </c>
      <c r="AL566">
        <v>-116.91437999999999</v>
      </c>
      <c r="AM566">
        <v>100</v>
      </c>
      <c r="AN566">
        <v>9000</v>
      </c>
      <c r="AO566" t="s">
        <v>118</v>
      </c>
      <c r="AP566">
        <v>-80</v>
      </c>
      <c r="AQ566">
        <v>-41</v>
      </c>
      <c r="AR566">
        <v>576</v>
      </c>
      <c r="AZ566">
        <v>1200</v>
      </c>
      <c r="BA566">
        <v>1</v>
      </c>
      <c r="BB566" t="str">
        <f t="shared" si="312"/>
        <v xml:space="preserve">N9217B  </v>
      </c>
      <c r="BC566">
        <v>1</v>
      </c>
      <c r="BE566">
        <v>0</v>
      </c>
      <c r="BF566">
        <v>0</v>
      </c>
      <c r="BG566">
        <v>0</v>
      </c>
      <c r="BH566">
        <v>9125</v>
      </c>
      <c r="BI566">
        <v>1</v>
      </c>
      <c r="BJ566">
        <v>0</v>
      </c>
      <c r="BK566">
        <v>0</v>
      </c>
      <c r="BL566">
        <v>0</v>
      </c>
      <c r="BO566">
        <v>0</v>
      </c>
      <c r="BP566">
        <v>0</v>
      </c>
      <c r="BW566" t="str">
        <f t="shared" ref="BW566:BW571" si="346">"14:50:41.383"</f>
        <v>14:50:41.383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293</v>
      </c>
      <c r="CR566">
        <v>1</v>
      </c>
      <c r="CW566">
        <v>15273612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25">
      <c r="A567" t="str">
        <f t="shared" si="344"/>
        <v>06/05/2020 14:50:35.767</v>
      </c>
      <c r="C567" t="str">
        <f t="shared" si="331"/>
        <v>FFDFD3C0</v>
      </c>
      <c r="D567" t="s">
        <v>143</v>
      </c>
      <c r="E567">
        <v>10</v>
      </c>
      <c r="F567">
        <v>3010</v>
      </c>
      <c r="G567" t="s">
        <v>144</v>
      </c>
      <c r="J567" t="s">
        <v>145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345"/>
        <v>14:50:41.383</v>
      </c>
      <c r="T567" t="str">
        <f t="shared" si="345"/>
        <v>14:50:41.383</v>
      </c>
      <c r="U567" t="str">
        <f t="shared" si="311"/>
        <v>ACC530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1</v>
      </c>
      <c r="AH567">
        <v>0</v>
      </c>
      <c r="AI567" t="s">
        <v>343</v>
      </c>
      <c r="AJ567">
        <v>34.228183999999999</v>
      </c>
      <c r="AK567" t="s">
        <v>344</v>
      </c>
      <c r="AL567">
        <v>-116.91437999999999</v>
      </c>
      <c r="AM567">
        <v>100</v>
      </c>
      <c r="AN567">
        <v>9000</v>
      </c>
      <c r="AO567" t="s">
        <v>118</v>
      </c>
      <c r="AP567">
        <v>-80</v>
      </c>
      <c r="AQ567">
        <v>-41</v>
      </c>
      <c r="AR567">
        <v>576</v>
      </c>
      <c r="AZ567">
        <v>1200</v>
      </c>
      <c r="BA567">
        <v>1</v>
      </c>
      <c r="BB567" t="str">
        <f t="shared" si="312"/>
        <v xml:space="preserve">N9217B  </v>
      </c>
      <c r="BC567">
        <v>1</v>
      </c>
      <c r="BE567">
        <v>0</v>
      </c>
      <c r="BF567">
        <v>0</v>
      </c>
      <c r="BG567">
        <v>0</v>
      </c>
      <c r="BH567">
        <v>9125</v>
      </c>
      <c r="BI567">
        <v>1</v>
      </c>
      <c r="BJ567">
        <v>0</v>
      </c>
      <c r="BK567">
        <v>0</v>
      </c>
      <c r="BL567">
        <v>0</v>
      </c>
      <c r="BO567">
        <v>0</v>
      </c>
      <c r="BP567">
        <v>0</v>
      </c>
      <c r="BW567" t="str">
        <f t="shared" si="346"/>
        <v>14:50:41.383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293</v>
      </c>
      <c r="CR567">
        <v>1</v>
      </c>
      <c r="CW567">
        <v>15273612</v>
      </c>
      <c r="CY567">
        <v>0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25">
      <c r="A568" t="str">
        <f t="shared" si="344"/>
        <v>06/05/2020 14:50:35.767</v>
      </c>
      <c r="C568" t="str">
        <f t="shared" si="331"/>
        <v>FFDFD3C0</v>
      </c>
      <c r="D568" t="s">
        <v>148</v>
      </c>
      <c r="E568">
        <v>8</v>
      </c>
      <c r="H568">
        <v>50</v>
      </c>
      <c r="I568" t="s">
        <v>149</v>
      </c>
      <c r="J568" t="s">
        <v>150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345"/>
        <v>14:50:41.383</v>
      </c>
      <c r="T568" t="str">
        <f t="shared" si="345"/>
        <v>14:50:41.383</v>
      </c>
      <c r="U568" t="str">
        <f t="shared" si="311"/>
        <v>ACC530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1</v>
      </c>
      <c r="AH568">
        <v>0</v>
      </c>
      <c r="AI568" t="s">
        <v>343</v>
      </c>
      <c r="AJ568">
        <v>34.228183999999999</v>
      </c>
      <c r="AK568" t="s">
        <v>344</v>
      </c>
      <c r="AL568">
        <v>-116.91437999999999</v>
      </c>
      <c r="AM568">
        <v>100</v>
      </c>
      <c r="AN568">
        <v>9000</v>
      </c>
      <c r="AO568" t="s">
        <v>118</v>
      </c>
      <c r="AP568">
        <v>-80</v>
      </c>
      <c r="AQ568">
        <v>-41</v>
      </c>
      <c r="AR568">
        <v>576</v>
      </c>
      <c r="AZ568">
        <v>1200</v>
      </c>
      <c r="BA568">
        <v>1</v>
      </c>
      <c r="BB568" t="str">
        <f t="shared" si="312"/>
        <v xml:space="preserve">N9217B  </v>
      </c>
      <c r="BC568">
        <v>1</v>
      </c>
      <c r="BE568">
        <v>0</v>
      </c>
      <c r="BF568">
        <v>0</v>
      </c>
      <c r="BG568">
        <v>0</v>
      </c>
      <c r="BH568">
        <v>9125</v>
      </c>
      <c r="BI568">
        <v>1</v>
      </c>
      <c r="BJ568">
        <v>0</v>
      </c>
      <c r="BK568">
        <v>0</v>
      </c>
      <c r="BL568">
        <v>0</v>
      </c>
      <c r="BO568">
        <v>0</v>
      </c>
      <c r="BP568">
        <v>0</v>
      </c>
      <c r="BW568" t="str">
        <f t="shared" si="346"/>
        <v>14:50:41.383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293</v>
      </c>
      <c r="CR568">
        <v>1</v>
      </c>
      <c r="CW568">
        <v>15273612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25">
      <c r="A569" t="str">
        <f t="shared" si="344"/>
        <v>06/05/2020 14:50:35.767</v>
      </c>
      <c r="C569" t="str">
        <f t="shared" si="331"/>
        <v>FFDFD3C0</v>
      </c>
      <c r="D569" t="s">
        <v>134</v>
      </c>
      <c r="E569">
        <v>7</v>
      </c>
      <c r="F569">
        <v>2007</v>
      </c>
      <c r="G569" t="s">
        <v>135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345"/>
        <v>14:50:41.383</v>
      </c>
      <c r="T569" t="str">
        <f t="shared" si="345"/>
        <v>14:50:41.383</v>
      </c>
      <c r="U569" t="str">
        <f t="shared" si="311"/>
        <v>ACC530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1</v>
      </c>
      <c r="AH569">
        <v>0</v>
      </c>
      <c r="AI569" t="s">
        <v>343</v>
      </c>
      <c r="AJ569">
        <v>34.228183999999999</v>
      </c>
      <c r="AK569" t="s">
        <v>344</v>
      </c>
      <c r="AL569">
        <v>-116.91437999999999</v>
      </c>
      <c r="AM569">
        <v>100</v>
      </c>
      <c r="AN569">
        <v>9000</v>
      </c>
      <c r="AO569" t="s">
        <v>118</v>
      </c>
      <c r="AP569">
        <v>-80</v>
      </c>
      <c r="AQ569">
        <v>-41</v>
      </c>
      <c r="AR569">
        <v>576</v>
      </c>
      <c r="AZ569">
        <v>1200</v>
      </c>
      <c r="BA569">
        <v>1</v>
      </c>
      <c r="BB569" t="str">
        <f t="shared" si="312"/>
        <v xml:space="preserve">N9217B  </v>
      </c>
      <c r="BC569">
        <v>1</v>
      </c>
      <c r="BE569">
        <v>0</v>
      </c>
      <c r="BF569">
        <v>0</v>
      </c>
      <c r="BG569">
        <v>0</v>
      </c>
      <c r="BH569">
        <v>9125</v>
      </c>
      <c r="BI569">
        <v>1</v>
      </c>
      <c r="BJ569">
        <v>0</v>
      </c>
      <c r="BK569">
        <v>0</v>
      </c>
      <c r="BL569">
        <v>0</v>
      </c>
      <c r="BO569">
        <v>0</v>
      </c>
      <c r="BP569">
        <v>0</v>
      </c>
      <c r="BW569" t="str">
        <f t="shared" si="346"/>
        <v>14:50:41.383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293</v>
      </c>
      <c r="CR569">
        <v>1</v>
      </c>
      <c r="CW569">
        <v>15273612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25">
      <c r="A570" t="str">
        <f t="shared" si="344"/>
        <v>06/05/2020 14:50:35.767</v>
      </c>
      <c r="C570" t="str">
        <f t="shared" si="331"/>
        <v>FFDFD3C0</v>
      </c>
      <c r="D570" t="s">
        <v>141</v>
      </c>
      <c r="E570">
        <v>20</v>
      </c>
      <c r="F570">
        <v>1020</v>
      </c>
      <c r="G570" t="s">
        <v>114</v>
      </c>
      <c r="J570" t="s">
        <v>142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345"/>
        <v>14:50:41.383</v>
      </c>
      <c r="T570" t="str">
        <f t="shared" si="345"/>
        <v>14:50:41.383</v>
      </c>
      <c r="U570" t="str">
        <f t="shared" si="311"/>
        <v>ACC530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1</v>
      </c>
      <c r="AH570">
        <v>0</v>
      </c>
      <c r="AI570" t="s">
        <v>343</v>
      </c>
      <c r="AJ570">
        <v>34.228183999999999</v>
      </c>
      <c r="AK570" t="s">
        <v>344</v>
      </c>
      <c r="AL570">
        <v>-116.91437999999999</v>
      </c>
      <c r="AM570">
        <v>100</v>
      </c>
      <c r="AN570">
        <v>9000</v>
      </c>
      <c r="AO570" t="s">
        <v>118</v>
      </c>
      <c r="AP570">
        <v>-80</v>
      </c>
      <c r="AQ570">
        <v>-41</v>
      </c>
      <c r="AR570">
        <v>576</v>
      </c>
      <c r="AZ570">
        <v>1200</v>
      </c>
      <c r="BA570">
        <v>1</v>
      </c>
      <c r="BB570" t="str">
        <f t="shared" si="312"/>
        <v xml:space="preserve">N9217B  </v>
      </c>
      <c r="BC570">
        <v>1</v>
      </c>
      <c r="BE570">
        <v>0</v>
      </c>
      <c r="BF570">
        <v>0</v>
      </c>
      <c r="BG570">
        <v>0</v>
      </c>
      <c r="BH570">
        <v>9125</v>
      </c>
      <c r="BI570">
        <v>1</v>
      </c>
      <c r="BJ570">
        <v>0</v>
      </c>
      <c r="BK570">
        <v>0</v>
      </c>
      <c r="BL570">
        <v>0</v>
      </c>
      <c r="BO570">
        <v>0</v>
      </c>
      <c r="BP570">
        <v>0</v>
      </c>
      <c r="BW570" t="str">
        <f t="shared" si="346"/>
        <v>14:50:41.383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293</v>
      </c>
      <c r="CR570">
        <v>1</v>
      </c>
      <c r="CW570">
        <v>15273612</v>
      </c>
      <c r="CY570">
        <v>0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25">
      <c r="A571" t="str">
        <f t="shared" si="344"/>
        <v>06/05/2020 14:50:35.767</v>
      </c>
      <c r="C571" t="str">
        <f t="shared" si="331"/>
        <v>FFDFD3C0</v>
      </c>
      <c r="D571" t="s">
        <v>113</v>
      </c>
      <c r="E571">
        <v>3</v>
      </c>
      <c r="H571">
        <v>166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345"/>
        <v>14:50:41.383</v>
      </c>
      <c r="T571" t="str">
        <f t="shared" si="345"/>
        <v>14:50:41.383</v>
      </c>
      <c r="U571" t="str">
        <f t="shared" si="311"/>
        <v>ACC530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1</v>
      </c>
      <c r="AH571">
        <v>0</v>
      </c>
      <c r="AI571" t="s">
        <v>343</v>
      </c>
      <c r="AJ571">
        <v>34.228183999999999</v>
      </c>
      <c r="AK571" t="s">
        <v>344</v>
      </c>
      <c r="AL571">
        <v>-116.91437999999999</v>
      </c>
      <c r="AM571">
        <v>100</v>
      </c>
      <c r="AN571">
        <v>9000</v>
      </c>
      <c r="AO571" t="s">
        <v>118</v>
      </c>
      <c r="AP571">
        <v>-80</v>
      </c>
      <c r="AQ571">
        <v>-41</v>
      </c>
      <c r="AR571">
        <v>576</v>
      </c>
      <c r="AZ571">
        <v>1200</v>
      </c>
      <c r="BA571">
        <v>1</v>
      </c>
      <c r="BB571" t="str">
        <f t="shared" si="312"/>
        <v xml:space="preserve">N9217B  </v>
      </c>
      <c r="BC571">
        <v>1</v>
      </c>
      <c r="BE571">
        <v>0</v>
      </c>
      <c r="BF571">
        <v>0</v>
      </c>
      <c r="BG571">
        <v>0</v>
      </c>
      <c r="BH571">
        <v>9125</v>
      </c>
      <c r="BI571">
        <v>1</v>
      </c>
      <c r="BJ571">
        <v>0</v>
      </c>
      <c r="BK571">
        <v>0</v>
      </c>
      <c r="BL571">
        <v>0</v>
      </c>
      <c r="BO571">
        <v>0</v>
      </c>
      <c r="BP571">
        <v>0</v>
      </c>
      <c r="BW571" t="str">
        <f t="shared" si="346"/>
        <v>14:50:41.383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293</v>
      </c>
      <c r="CR571">
        <v>1</v>
      </c>
      <c r="CW571">
        <v>15273612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25">
      <c r="A572" t="str">
        <f t="shared" ref="A572:A577" si="347">"06/05/2020 14:50:36.828"</f>
        <v>06/05/2020 14:50:36.828</v>
      </c>
      <c r="C572" t="str">
        <f t="shared" si="331"/>
        <v>FFDFD3C0</v>
      </c>
      <c r="D572" t="s">
        <v>151</v>
      </c>
      <c r="E572">
        <v>9</v>
      </c>
      <c r="H572">
        <v>226</v>
      </c>
      <c r="I572" t="s">
        <v>152</v>
      </c>
      <c r="J572" t="s">
        <v>150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ref="S572:S577" si="348">"14:50:42.461"</f>
        <v>14:50:42.461</v>
      </c>
      <c r="T572" t="str">
        <f t="shared" ref="T572:T577" si="349">"14:50:41.961"</f>
        <v>14:50:41.961</v>
      </c>
      <c r="U572" t="str">
        <f t="shared" si="311"/>
        <v>ACC530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1</v>
      </c>
      <c r="AH572">
        <v>0</v>
      </c>
      <c r="AI572" t="s">
        <v>345</v>
      </c>
      <c r="AJ572">
        <v>34.227991000000003</v>
      </c>
      <c r="AK572" t="s">
        <v>346</v>
      </c>
      <c r="AL572">
        <v>-116.914873</v>
      </c>
      <c r="AM572">
        <v>100</v>
      </c>
      <c r="AN572">
        <v>9000</v>
      </c>
      <c r="AO572" t="s">
        <v>118</v>
      </c>
      <c r="AP572">
        <v>-80</v>
      </c>
      <c r="AQ572">
        <v>-41</v>
      </c>
      <c r="AR572">
        <v>576</v>
      </c>
      <c r="AZ572">
        <v>1200</v>
      </c>
      <c r="BA572">
        <v>1</v>
      </c>
      <c r="BB572" t="str">
        <f t="shared" si="312"/>
        <v xml:space="preserve">N9217B  </v>
      </c>
      <c r="BC572">
        <v>1</v>
      </c>
      <c r="BE572">
        <v>0</v>
      </c>
      <c r="BF572">
        <v>0</v>
      </c>
      <c r="BG572">
        <v>0</v>
      </c>
      <c r="BH572">
        <v>9125</v>
      </c>
      <c r="BI572">
        <v>1</v>
      </c>
      <c r="BJ572">
        <v>0</v>
      </c>
      <c r="BK572">
        <v>0</v>
      </c>
      <c r="BL572">
        <v>0</v>
      </c>
      <c r="BO572">
        <v>0</v>
      </c>
      <c r="BP572">
        <v>0</v>
      </c>
      <c r="BW572" t="str">
        <f t="shared" ref="BW572:BW577" si="350">"14:50:42.463"</f>
        <v>14:50:42.463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293</v>
      </c>
      <c r="CR572">
        <v>1</v>
      </c>
      <c r="CW572">
        <v>15273749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25">
      <c r="A573" t="str">
        <f t="shared" si="347"/>
        <v>06/05/2020 14:50:36.828</v>
      </c>
      <c r="C573" t="str">
        <f t="shared" si="331"/>
        <v>FFDFD3C0</v>
      </c>
      <c r="D573" t="s">
        <v>143</v>
      </c>
      <c r="E573">
        <v>10</v>
      </c>
      <c r="F573">
        <v>3010</v>
      </c>
      <c r="G573" t="s">
        <v>144</v>
      </c>
      <c r="J573" t="s">
        <v>145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348"/>
        <v>14:50:42.461</v>
      </c>
      <c r="T573" t="str">
        <f t="shared" si="349"/>
        <v>14:50:41.961</v>
      </c>
      <c r="U573" t="str">
        <f t="shared" si="311"/>
        <v>ACC530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1</v>
      </c>
      <c r="AH573">
        <v>0</v>
      </c>
      <c r="AI573" t="s">
        <v>345</v>
      </c>
      <c r="AJ573">
        <v>34.227991000000003</v>
      </c>
      <c r="AK573" t="s">
        <v>346</v>
      </c>
      <c r="AL573">
        <v>-116.914873</v>
      </c>
      <c r="AM573">
        <v>100</v>
      </c>
      <c r="AN573">
        <v>9000</v>
      </c>
      <c r="AO573" t="s">
        <v>118</v>
      </c>
      <c r="AP573">
        <v>-80</v>
      </c>
      <c r="AQ573">
        <v>-41</v>
      </c>
      <c r="AR573">
        <v>576</v>
      </c>
      <c r="AZ573">
        <v>1200</v>
      </c>
      <c r="BA573">
        <v>1</v>
      </c>
      <c r="BB573" t="str">
        <f t="shared" si="312"/>
        <v xml:space="preserve">N9217B  </v>
      </c>
      <c r="BC573">
        <v>1</v>
      </c>
      <c r="BE573">
        <v>0</v>
      </c>
      <c r="BF573">
        <v>0</v>
      </c>
      <c r="BG573">
        <v>0</v>
      </c>
      <c r="BH573">
        <v>9125</v>
      </c>
      <c r="BI573">
        <v>1</v>
      </c>
      <c r="BJ573">
        <v>0</v>
      </c>
      <c r="BK573">
        <v>0</v>
      </c>
      <c r="BL573">
        <v>0</v>
      </c>
      <c r="BO573">
        <v>0</v>
      </c>
      <c r="BP573">
        <v>0</v>
      </c>
      <c r="BW573" t="str">
        <f t="shared" si="350"/>
        <v>14:50:42.463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293</v>
      </c>
      <c r="CR573">
        <v>1</v>
      </c>
      <c r="CW573">
        <v>15273749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25">
      <c r="A574" t="str">
        <f t="shared" si="347"/>
        <v>06/05/2020 14:50:36.828</v>
      </c>
      <c r="C574" t="str">
        <f t="shared" si="331"/>
        <v>FFDFD3C0</v>
      </c>
      <c r="D574" t="s">
        <v>148</v>
      </c>
      <c r="E574">
        <v>8</v>
      </c>
      <c r="H574">
        <v>50</v>
      </c>
      <c r="I574" t="s">
        <v>149</v>
      </c>
      <c r="J574" t="s">
        <v>150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348"/>
        <v>14:50:42.461</v>
      </c>
      <c r="T574" t="str">
        <f t="shared" si="349"/>
        <v>14:50:41.961</v>
      </c>
      <c r="U574" t="str">
        <f t="shared" si="311"/>
        <v>ACC530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1</v>
      </c>
      <c r="AH574">
        <v>0</v>
      </c>
      <c r="AI574" t="s">
        <v>345</v>
      </c>
      <c r="AJ574">
        <v>34.227991000000003</v>
      </c>
      <c r="AK574" t="s">
        <v>346</v>
      </c>
      <c r="AL574">
        <v>-116.914873</v>
      </c>
      <c r="AM574">
        <v>100</v>
      </c>
      <c r="AN574">
        <v>9000</v>
      </c>
      <c r="AO574" t="s">
        <v>118</v>
      </c>
      <c r="AP574">
        <v>-80</v>
      </c>
      <c r="AQ574">
        <v>-41</v>
      </c>
      <c r="AR574">
        <v>576</v>
      </c>
      <c r="AZ574">
        <v>1200</v>
      </c>
      <c r="BA574">
        <v>1</v>
      </c>
      <c r="BB574" t="str">
        <f t="shared" si="312"/>
        <v xml:space="preserve">N9217B  </v>
      </c>
      <c r="BC574">
        <v>1</v>
      </c>
      <c r="BE574">
        <v>0</v>
      </c>
      <c r="BF574">
        <v>0</v>
      </c>
      <c r="BG574">
        <v>0</v>
      </c>
      <c r="BH574">
        <v>9125</v>
      </c>
      <c r="BI574">
        <v>1</v>
      </c>
      <c r="BJ574">
        <v>0</v>
      </c>
      <c r="BK574">
        <v>0</v>
      </c>
      <c r="BL574">
        <v>0</v>
      </c>
      <c r="BO574">
        <v>0</v>
      </c>
      <c r="BP574">
        <v>0</v>
      </c>
      <c r="BW574" t="str">
        <f t="shared" si="350"/>
        <v>14:50:42.463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293</v>
      </c>
      <c r="CR574">
        <v>1</v>
      </c>
      <c r="CW574">
        <v>15273749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25">
      <c r="A575" t="str">
        <f t="shared" si="347"/>
        <v>06/05/2020 14:50:36.828</v>
      </c>
      <c r="C575" t="str">
        <f t="shared" si="331"/>
        <v>FFDFD3C0</v>
      </c>
      <c r="D575" t="s">
        <v>134</v>
      </c>
      <c r="E575">
        <v>7</v>
      </c>
      <c r="F575">
        <v>2007</v>
      </c>
      <c r="G575" t="s">
        <v>135</v>
      </c>
      <c r="J575" t="s">
        <v>136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348"/>
        <v>14:50:42.461</v>
      </c>
      <c r="T575" t="str">
        <f t="shared" si="349"/>
        <v>14:50:41.961</v>
      </c>
      <c r="U575" t="str">
        <f t="shared" si="311"/>
        <v>ACC530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1</v>
      </c>
      <c r="AH575">
        <v>0</v>
      </c>
      <c r="AI575" t="s">
        <v>345</v>
      </c>
      <c r="AJ575">
        <v>34.227991000000003</v>
      </c>
      <c r="AK575" t="s">
        <v>346</v>
      </c>
      <c r="AL575">
        <v>-116.914873</v>
      </c>
      <c r="AM575">
        <v>100</v>
      </c>
      <c r="AN575">
        <v>9000</v>
      </c>
      <c r="AO575" t="s">
        <v>118</v>
      </c>
      <c r="AP575">
        <v>-80</v>
      </c>
      <c r="AQ575">
        <v>-41</v>
      </c>
      <c r="AR575">
        <v>576</v>
      </c>
      <c r="AZ575">
        <v>1200</v>
      </c>
      <c r="BA575">
        <v>1</v>
      </c>
      <c r="BB575" t="str">
        <f t="shared" si="312"/>
        <v xml:space="preserve">N9217B  </v>
      </c>
      <c r="BC575">
        <v>1</v>
      </c>
      <c r="BE575">
        <v>0</v>
      </c>
      <c r="BF575">
        <v>0</v>
      </c>
      <c r="BG575">
        <v>0</v>
      </c>
      <c r="BH575">
        <v>9125</v>
      </c>
      <c r="BI575">
        <v>1</v>
      </c>
      <c r="BJ575">
        <v>0</v>
      </c>
      <c r="BK575">
        <v>0</v>
      </c>
      <c r="BL575">
        <v>0</v>
      </c>
      <c r="BO575">
        <v>0</v>
      </c>
      <c r="BP575">
        <v>0</v>
      </c>
      <c r="BW575" t="str">
        <f t="shared" si="350"/>
        <v>14:50:42.463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293</v>
      </c>
      <c r="CR575">
        <v>1</v>
      </c>
      <c r="CW575">
        <v>15273749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25">
      <c r="A576" t="str">
        <f t="shared" si="347"/>
        <v>06/05/2020 14:50:36.828</v>
      </c>
      <c r="C576" t="str">
        <f t="shared" si="331"/>
        <v>FFDFD3C0</v>
      </c>
      <c r="D576" t="s">
        <v>141</v>
      </c>
      <c r="E576">
        <v>20</v>
      </c>
      <c r="F576">
        <v>1020</v>
      </c>
      <c r="G576" t="s">
        <v>114</v>
      </c>
      <c r="J576" t="s">
        <v>142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348"/>
        <v>14:50:42.461</v>
      </c>
      <c r="T576" t="str">
        <f t="shared" si="349"/>
        <v>14:50:41.961</v>
      </c>
      <c r="U576" t="str">
        <f t="shared" si="311"/>
        <v>ACC530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1</v>
      </c>
      <c r="AH576">
        <v>0</v>
      </c>
      <c r="AI576" t="s">
        <v>345</v>
      </c>
      <c r="AJ576">
        <v>34.227991000000003</v>
      </c>
      <c r="AK576" t="s">
        <v>346</v>
      </c>
      <c r="AL576">
        <v>-116.914873</v>
      </c>
      <c r="AM576">
        <v>100</v>
      </c>
      <c r="AN576">
        <v>9000</v>
      </c>
      <c r="AO576" t="s">
        <v>118</v>
      </c>
      <c r="AP576">
        <v>-80</v>
      </c>
      <c r="AQ576">
        <v>-41</v>
      </c>
      <c r="AR576">
        <v>576</v>
      </c>
      <c r="AZ576">
        <v>1200</v>
      </c>
      <c r="BA576">
        <v>1</v>
      </c>
      <c r="BB576" t="str">
        <f t="shared" si="312"/>
        <v xml:space="preserve">N9217B  </v>
      </c>
      <c r="BC576">
        <v>1</v>
      </c>
      <c r="BE576">
        <v>0</v>
      </c>
      <c r="BF576">
        <v>0</v>
      </c>
      <c r="BG576">
        <v>0</v>
      </c>
      <c r="BH576">
        <v>9125</v>
      </c>
      <c r="BI576">
        <v>1</v>
      </c>
      <c r="BJ576">
        <v>0</v>
      </c>
      <c r="BK576">
        <v>0</v>
      </c>
      <c r="BL576">
        <v>0</v>
      </c>
      <c r="BO576">
        <v>0</v>
      </c>
      <c r="BP576">
        <v>0</v>
      </c>
      <c r="BW576" t="str">
        <f t="shared" si="350"/>
        <v>14:50:42.463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293</v>
      </c>
      <c r="CR576">
        <v>1</v>
      </c>
      <c r="CW576">
        <v>15273749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25">
      <c r="A577" t="str">
        <f t="shared" si="347"/>
        <v>06/05/2020 14:50:36.828</v>
      </c>
      <c r="C577" t="str">
        <f t="shared" si="331"/>
        <v>FFDFD3C0</v>
      </c>
      <c r="D577" t="s">
        <v>113</v>
      </c>
      <c r="E577">
        <v>3</v>
      </c>
      <c r="H577">
        <v>166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348"/>
        <v>14:50:42.461</v>
      </c>
      <c r="T577" t="str">
        <f t="shared" si="349"/>
        <v>14:50:41.961</v>
      </c>
      <c r="U577" t="str">
        <f t="shared" si="311"/>
        <v>ACC530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1</v>
      </c>
      <c r="AH577">
        <v>0</v>
      </c>
      <c r="AI577" t="s">
        <v>345</v>
      </c>
      <c r="AJ577">
        <v>34.227991000000003</v>
      </c>
      <c r="AK577" t="s">
        <v>346</v>
      </c>
      <c r="AL577">
        <v>-116.914873</v>
      </c>
      <c r="AM577">
        <v>100</v>
      </c>
      <c r="AN577">
        <v>9000</v>
      </c>
      <c r="AO577" t="s">
        <v>118</v>
      </c>
      <c r="AP577">
        <v>-80</v>
      </c>
      <c r="AQ577">
        <v>-41</v>
      </c>
      <c r="AR577">
        <v>576</v>
      </c>
      <c r="AZ577">
        <v>1200</v>
      </c>
      <c r="BA577">
        <v>1</v>
      </c>
      <c r="BB577" t="str">
        <f t="shared" si="312"/>
        <v xml:space="preserve">N9217B  </v>
      </c>
      <c r="BC577">
        <v>1</v>
      </c>
      <c r="BE577">
        <v>0</v>
      </c>
      <c r="BF577">
        <v>0</v>
      </c>
      <c r="BG577">
        <v>0</v>
      </c>
      <c r="BH577">
        <v>9125</v>
      </c>
      <c r="BI577">
        <v>1</v>
      </c>
      <c r="BJ577">
        <v>0</v>
      </c>
      <c r="BK577">
        <v>0</v>
      </c>
      <c r="BL577">
        <v>0</v>
      </c>
      <c r="BO577">
        <v>0</v>
      </c>
      <c r="BP577">
        <v>0</v>
      </c>
      <c r="BW577" t="str">
        <f t="shared" si="350"/>
        <v>14:50:42.463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293</v>
      </c>
      <c r="CR577">
        <v>1</v>
      </c>
      <c r="CW577">
        <v>15273749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25">
      <c r="A578" t="str">
        <f t="shared" ref="A578:A583" si="351">"06/05/2020 14:50:37.814"</f>
        <v>06/05/2020 14:50:37.814</v>
      </c>
      <c r="C578" t="str">
        <f t="shared" si="331"/>
        <v>FFDFD3C0</v>
      </c>
      <c r="D578" t="s">
        <v>141</v>
      </c>
      <c r="E578">
        <v>20</v>
      </c>
      <c r="F578">
        <v>1020</v>
      </c>
      <c r="G578" t="s">
        <v>114</v>
      </c>
      <c r="J578" t="s">
        <v>142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T583" si="352">"14:50:43.461"</f>
        <v>14:50:43.461</v>
      </c>
      <c r="T578" t="str">
        <f t="shared" si="352"/>
        <v>14:50:43.461</v>
      </c>
      <c r="U578" t="str">
        <f t="shared" ref="U578:U641" si="353">"ACC530"</f>
        <v>ACC530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1</v>
      </c>
      <c r="AH578">
        <v>0</v>
      </c>
      <c r="AI578" t="s">
        <v>347</v>
      </c>
      <c r="AJ578">
        <v>34.227818999999997</v>
      </c>
      <c r="AK578" t="s">
        <v>348</v>
      </c>
      <c r="AL578">
        <v>-116.915302</v>
      </c>
      <c r="AM578">
        <v>100</v>
      </c>
      <c r="AN578">
        <v>9000</v>
      </c>
      <c r="AO578" t="s">
        <v>118</v>
      </c>
      <c r="AP578">
        <v>-80</v>
      </c>
      <c r="AQ578">
        <v>-40</v>
      </c>
      <c r="AR578">
        <v>448</v>
      </c>
      <c r="AZ578">
        <v>1200</v>
      </c>
      <c r="BA578">
        <v>1</v>
      </c>
      <c r="BB578" t="str">
        <f t="shared" si="312"/>
        <v xml:space="preserve">N9217B  </v>
      </c>
      <c r="BC578">
        <v>1</v>
      </c>
      <c r="BE578">
        <v>0</v>
      </c>
      <c r="BF578">
        <v>0</v>
      </c>
      <c r="BG578">
        <v>0</v>
      </c>
      <c r="BH578">
        <v>9125</v>
      </c>
      <c r="BI578">
        <v>1</v>
      </c>
      <c r="BJ578">
        <v>0</v>
      </c>
      <c r="BK578">
        <v>0</v>
      </c>
      <c r="BL578">
        <v>0</v>
      </c>
      <c r="BO578">
        <v>0</v>
      </c>
      <c r="BP578">
        <v>0</v>
      </c>
      <c r="BW578" t="str">
        <f t="shared" ref="BW578:BW583" si="354">"14:50:43.468"</f>
        <v>14:50:43.468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293</v>
      </c>
      <c r="CR578">
        <v>2</v>
      </c>
      <c r="CW578">
        <v>15273870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25">
      <c r="A579" t="str">
        <f t="shared" si="351"/>
        <v>06/05/2020 14:50:37.814</v>
      </c>
      <c r="C579" t="str">
        <f t="shared" si="331"/>
        <v>FFDFD3C0</v>
      </c>
      <c r="D579" t="s">
        <v>113</v>
      </c>
      <c r="E579">
        <v>3</v>
      </c>
      <c r="H579">
        <v>166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352"/>
        <v>14:50:43.461</v>
      </c>
      <c r="T579" t="str">
        <f t="shared" si="352"/>
        <v>14:50:43.461</v>
      </c>
      <c r="U579" t="str">
        <f t="shared" si="353"/>
        <v>ACC530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1</v>
      </c>
      <c r="AH579">
        <v>0</v>
      </c>
      <c r="AI579" t="s">
        <v>347</v>
      </c>
      <c r="AJ579">
        <v>34.227818999999997</v>
      </c>
      <c r="AK579" t="s">
        <v>348</v>
      </c>
      <c r="AL579">
        <v>-116.915302</v>
      </c>
      <c r="AM579">
        <v>100</v>
      </c>
      <c r="AN579">
        <v>9000</v>
      </c>
      <c r="AO579" t="s">
        <v>118</v>
      </c>
      <c r="AP579">
        <v>-80</v>
      </c>
      <c r="AQ579">
        <v>-40</v>
      </c>
      <c r="AR579">
        <v>448</v>
      </c>
      <c r="AZ579">
        <v>1200</v>
      </c>
      <c r="BA579">
        <v>1</v>
      </c>
      <c r="BB579" t="str">
        <f t="shared" si="312"/>
        <v xml:space="preserve">N9217B  </v>
      </c>
      <c r="BC579">
        <v>1</v>
      </c>
      <c r="BE579">
        <v>0</v>
      </c>
      <c r="BF579">
        <v>0</v>
      </c>
      <c r="BG579">
        <v>0</v>
      </c>
      <c r="BH579">
        <v>9125</v>
      </c>
      <c r="BI579">
        <v>1</v>
      </c>
      <c r="BJ579">
        <v>0</v>
      </c>
      <c r="BK579">
        <v>0</v>
      </c>
      <c r="BL579">
        <v>0</v>
      </c>
      <c r="BO579">
        <v>0</v>
      </c>
      <c r="BP579">
        <v>0</v>
      </c>
      <c r="BW579" t="str">
        <f t="shared" si="354"/>
        <v>14:50:43.468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293</v>
      </c>
      <c r="CR579">
        <v>2</v>
      </c>
      <c r="CW579">
        <v>15273870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25">
      <c r="A580" t="str">
        <f t="shared" si="351"/>
        <v>06/05/2020 14:50:37.814</v>
      </c>
      <c r="C580" t="str">
        <f t="shared" si="331"/>
        <v>FFDFD3C0</v>
      </c>
      <c r="D580" t="s">
        <v>143</v>
      </c>
      <c r="E580">
        <v>10</v>
      </c>
      <c r="F580">
        <v>3010</v>
      </c>
      <c r="G580" t="s">
        <v>144</v>
      </c>
      <c r="J580" t="s">
        <v>145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352"/>
        <v>14:50:43.461</v>
      </c>
      <c r="T580" t="str">
        <f t="shared" si="352"/>
        <v>14:50:43.461</v>
      </c>
      <c r="U580" t="str">
        <f t="shared" si="353"/>
        <v>ACC530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1</v>
      </c>
      <c r="AH580">
        <v>0</v>
      </c>
      <c r="AI580" t="s">
        <v>347</v>
      </c>
      <c r="AJ580">
        <v>34.227818999999997</v>
      </c>
      <c r="AK580" t="s">
        <v>348</v>
      </c>
      <c r="AL580">
        <v>-116.915302</v>
      </c>
      <c r="AM580">
        <v>100</v>
      </c>
      <c r="AN580">
        <v>9000</v>
      </c>
      <c r="AO580" t="s">
        <v>118</v>
      </c>
      <c r="AP580">
        <v>-80</v>
      </c>
      <c r="AQ580">
        <v>-40</v>
      </c>
      <c r="AR580">
        <v>448</v>
      </c>
      <c r="AZ580">
        <v>1200</v>
      </c>
      <c r="BA580">
        <v>1</v>
      </c>
      <c r="BB580" t="str">
        <f t="shared" si="312"/>
        <v xml:space="preserve">N9217B  </v>
      </c>
      <c r="BC580">
        <v>1</v>
      </c>
      <c r="BE580">
        <v>0</v>
      </c>
      <c r="BF580">
        <v>0</v>
      </c>
      <c r="BG580">
        <v>0</v>
      </c>
      <c r="BH580">
        <v>9125</v>
      </c>
      <c r="BI580">
        <v>1</v>
      </c>
      <c r="BJ580">
        <v>0</v>
      </c>
      <c r="BK580">
        <v>0</v>
      </c>
      <c r="BL580">
        <v>0</v>
      </c>
      <c r="BO580">
        <v>0</v>
      </c>
      <c r="BP580">
        <v>0</v>
      </c>
      <c r="BW580" t="str">
        <f t="shared" si="354"/>
        <v>14:50:43.468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293</v>
      </c>
      <c r="CR580">
        <v>2</v>
      </c>
      <c r="CW580">
        <v>15273870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25">
      <c r="A581" t="str">
        <f t="shared" si="351"/>
        <v>06/05/2020 14:50:37.814</v>
      </c>
      <c r="C581" t="str">
        <f t="shared" si="331"/>
        <v>FFDFD3C0</v>
      </c>
      <c r="D581" t="s">
        <v>151</v>
      </c>
      <c r="E581">
        <v>9</v>
      </c>
      <c r="H581">
        <v>226</v>
      </c>
      <c r="I581" t="s">
        <v>152</v>
      </c>
      <c r="J581" t="s">
        <v>150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352"/>
        <v>14:50:43.461</v>
      </c>
      <c r="T581" t="str">
        <f t="shared" si="352"/>
        <v>14:50:43.461</v>
      </c>
      <c r="U581" t="str">
        <f t="shared" si="353"/>
        <v>ACC530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1</v>
      </c>
      <c r="AH581">
        <v>0</v>
      </c>
      <c r="AI581" t="s">
        <v>347</v>
      </c>
      <c r="AJ581">
        <v>34.227818999999997</v>
      </c>
      <c r="AK581" t="s">
        <v>348</v>
      </c>
      <c r="AL581">
        <v>-116.915302</v>
      </c>
      <c r="AM581">
        <v>100</v>
      </c>
      <c r="AN581">
        <v>9000</v>
      </c>
      <c r="AO581" t="s">
        <v>118</v>
      </c>
      <c r="AP581">
        <v>-80</v>
      </c>
      <c r="AQ581">
        <v>-40</v>
      </c>
      <c r="AR581">
        <v>448</v>
      </c>
      <c r="AZ581">
        <v>1200</v>
      </c>
      <c r="BA581">
        <v>1</v>
      </c>
      <c r="BB581" t="str">
        <f t="shared" ref="BB581:BB644" si="355">"N9217B  "</f>
        <v xml:space="preserve">N9217B  </v>
      </c>
      <c r="BC581">
        <v>1</v>
      </c>
      <c r="BE581">
        <v>0</v>
      </c>
      <c r="BF581">
        <v>0</v>
      </c>
      <c r="BG581">
        <v>0</v>
      </c>
      <c r="BH581">
        <v>9125</v>
      </c>
      <c r="BI581">
        <v>1</v>
      </c>
      <c r="BJ581">
        <v>0</v>
      </c>
      <c r="BK581">
        <v>0</v>
      </c>
      <c r="BL581">
        <v>0</v>
      </c>
      <c r="BO581">
        <v>0</v>
      </c>
      <c r="BP581">
        <v>0</v>
      </c>
      <c r="BW581" t="str">
        <f t="shared" si="354"/>
        <v>14:50:43.468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293</v>
      </c>
      <c r="CR581">
        <v>2</v>
      </c>
      <c r="CW581">
        <v>15273870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25">
      <c r="A582" t="str">
        <f t="shared" si="351"/>
        <v>06/05/2020 14:50:37.814</v>
      </c>
      <c r="C582" t="str">
        <f t="shared" si="331"/>
        <v>FFDFD3C0</v>
      </c>
      <c r="D582" t="s">
        <v>134</v>
      </c>
      <c r="E582">
        <v>7</v>
      </c>
      <c r="F582">
        <v>2007</v>
      </c>
      <c r="G582" t="s">
        <v>135</v>
      </c>
      <c r="J582" t="s">
        <v>136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352"/>
        <v>14:50:43.461</v>
      </c>
      <c r="T582" t="str">
        <f t="shared" si="352"/>
        <v>14:50:43.461</v>
      </c>
      <c r="U582" t="str">
        <f t="shared" si="353"/>
        <v>ACC530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1</v>
      </c>
      <c r="AH582">
        <v>0</v>
      </c>
      <c r="AI582" t="s">
        <v>347</v>
      </c>
      <c r="AJ582">
        <v>34.227818999999997</v>
      </c>
      <c r="AK582" t="s">
        <v>348</v>
      </c>
      <c r="AL582">
        <v>-116.915302</v>
      </c>
      <c r="AM582">
        <v>100</v>
      </c>
      <c r="AN582">
        <v>9000</v>
      </c>
      <c r="AO582" t="s">
        <v>118</v>
      </c>
      <c r="AP582">
        <v>-80</v>
      </c>
      <c r="AQ582">
        <v>-40</v>
      </c>
      <c r="AR582">
        <v>448</v>
      </c>
      <c r="AZ582">
        <v>1200</v>
      </c>
      <c r="BA582">
        <v>1</v>
      </c>
      <c r="BB582" t="str">
        <f t="shared" si="355"/>
        <v xml:space="preserve">N9217B  </v>
      </c>
      <c r="BC582">
        <v>1</v>
      </c>
      <c r="BE582">
        <v>0</v>
      </c>
      <c r="BF582">
        <v>0</v>
      </c>
      <c r="BG582">
        <v>0</v>
      </c>
      <c r="BH582">
        <v>9125</v>
      </c>
      <c r="BI582">
        <v>1</v>
      </c>
      <c r="BJ582">
        <v>0</v>
      </c>
      <c r="BK582">
        <v>0</v>
      </c>
      <c r="BL582">
        <v>0</v>
      </c>
      <c r="BO582">
        <v>0</v>
      </c>
      <c r="BP582">
        <v>0</v>
      </c>
      <c r="BW582" t="str">
        <f t="shared" si="354"/>
        <v>14:50:43.468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293</v>
      </c>
      <c r="CR582">
        <v>2</v>
      </c>
      <c r="CW582">
        <v>15273870</v>
      </c>
      <c r="CY582">
        <v>0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25">
      <c r="A583" t="str">
        <f t="shared" si="351"/>
        <v>06/05/2020 14:50:37.814</v>
      </c>
      <c r="C583" t="str">
        <f t="shared" si="331"/>
        <v>FFDFD3C0</v>
      </c>
      <c r="D583" t="s">
        <v>148</v>
      </c>
      <c r="E583">
        <v>8</v>
      </c>
      <c r="H583">
        <v>50</v>
      </c>
      <c r="I583" t="s">
        <v>149</v>
      </c>
      <c r="J583" t="s">
        <v>150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352"/>
        <v>14:50:43.461</v>
      </c>
      <c r="T583" t="str">
        <f t="shared" si="352"/>
        <v>14:50:43.461</v>
      </c>
      <c r="U583" t="str">
        <f t="shared" si="353"/>
        <v>ACC530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1</v>
      </c>
      <c r="AH583">
        <v>0</v>
      </c>
      <c r="AI583" t="s">
        <v>347</v>
      </c>
      <c r="AJ583">
        <v>34.227818999999997</v>
      </c>
      <c r="AK583" t="s">
        <v>348</v>
      </c>
      <c r="AL583">
        <v>-116.915302</v>
      </c>
      <c r="AM583">
        <v>100</v>
      </c>
      <c r="AN583">
        <v>9000</v>
      </c>
      <c r="AO583" t="s">
        <v>118</v>
      </c>
      <c r="AP583">
        <v>-80</v>
      </c>
      <c r="AQ583">
        <v>-40</v>
      </c>
      <c r="AR583">
        <v>448</v>
      </c>
      <c r="AZ583">
        <v>1200</v>
      </c>
      <c r="BA583">
        <v>1</v>
      </c>
      <c r="BB583" t="str">
        <f t="shared" si="355"/>
        <v xml:space="preserve">N9217B  </v>
      </c>
      <c r="BC583">
        <v>1</v>
      </c>
      <c r="BE583">
        <v>0</v>
      </c>
      <c r="BF583">
        <v>0</v>
      </c>
      <c r="BG583">
        <v>0</v>
      </c>
      <c r="BH583">
        <v>9125</v>
      </c>
      <c r="BI583">
        <v>1</v>
      </c>
      <c r="BJ583">
        <v>0</v>
      </c>
      <c r="BK583">
        <v>0</v>
      </c>
      <c r="BL583">
        <v>0</v>
      </c>
      <c r="BO583">
        <v>0</v>
      </c>
      <c r="BP583">
        <v>0</v>
      </c>
      <c r="BW583" t="str">
        <f t="shared" si="354"/>
        <v>14:50:43.468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293</v>
      </c>
      <c r="CR583">
        <v>2</v>
      </c>
      <c r="CW583">
        <v>15273870</v>
      </c>
      <c r="CY583">
        <v>0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25">
      <c r="A584" t="str">
        <f t="shared" ref="A584:A589" si="356">"06/05/2020 14:50:38.688"</f>
        <v>06/05/2020 14:50:38.688</v>
      </c>
      <c r="C584" t="str">
        <f t="shared" si="331"/>
        <v>FFDFD3C0</v>
      </c>
      <c r="D584" t="s">
        <v>143</v>
      </c>
      <c r="E584">
        <v>10</v>
      </c>
      <c r="F584">
        <v>3010</v>
      </c>
      <c r="G584" t="s">
        <v>144</v>
      </c>
      <c r="J584" t="s">
        <v>145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ref="S584:S589" si="357">"14:50:44.352"</f>
        <v>14:50:44.352</v>
      </c>
      <c r="T584" t="str">
        <f t="shared" ref="T584:T589" si="358">"14:50:44.052"</f>
        <v>14:50:44.052</v>
      </c>
      <c r="U584" t="str">
        <f t="shared" si="353"/>
        <v>ACC530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1</v>
      </c>
      <c r="AH584">
        <v>0</v>
      </c>
      <c r="AI584" t="s">
        <v>349</v>
      </c>
      <c r="AJ584">
        <v>34.227668999999999</v>
      </c>
      <c r="AK584" t="s">
        <v>350</v>
      </c>
      <c r="AL584">
        <v>-116.91571</v>
      </c>
      <c r="AM584">
        <v>100</v>
      </c>
      <c r="AN584">
        <v>9000</v>
      </c>
      <c r="AO584" t="s">
        <v>118</v>
      </c>
      <c r="AP584">
        <v>-80</v>
      </c>
      <c r="AQ584">
        <v>-39</v>
      </c>
      <c r="AR584">
        <v>448</v>
      </c>
      <c r="AZ584">
        <v>1200</v>
      </c>
      <c r="BA584">
        <v>1</v>
      </c>
      <c r="BB584" t="str">
        <f t="shared" si="355"/>
        <v xml:space="preserve">N9217B  </v>
      </c>
      <c r="BC584">
        <v>1</v>
      </c>
      <c r="BE584">
        <v>0</v>
      </c>
      <c r="BF584">
        <v>0</v>
      </c>
      <c r="BG584">
        <v>0</v>
      </c>
      <c r="BH584">
        <v>9150</v>
      </c>
      <c r="BI584">
        <v>1</v>
      </c>
      <c r="BJ584">
        <v>0</v>
      </c>
      <c r="BK584">
        <v>0</v>
      </c>
      <c r="BL584">
        <v>0</v>
      </c>
      <c r="BO584">
        <v>0</v>
      </c>
      <c r="BP584">
        <v>0</v>
      </c>
      <c r="BW584" t="str">
        <f t="shared" ref="BW584:BW589" si="359">"14:50:44.353"</f>
        <v>14:50:44.353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293</v>
      </c>
      <c r="CR584">
        <v>1</v>
      </c>
      <c r="CW584">
        <v>15273971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25">
      <c r="A585" t="str">
        <f t="shared" si="356"/>
        <v>06/05/2020 14:50:38.688</v>
      </c>
      <c r="C585" t="str">
        <f t="shared" si="331"/>
        <v>FFDFD3C0</v>
      </c>
      <c r="D585" t="s">
        <v>151</v>
      </c>
      <c r="E585">
        <v>9</v>
      </c>
      <c r="H585">
        <v>226</v>
      </c>
      <c r="I585" t="s">
        <v>152</v>
      </c>
      <c r="J585" t="s">
        <v>150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357"/>
        <v>14:50:44.352</v>
      </c>
      <c r="T585" t="str">
        <f t="shared" si="358"/>
        <v>14:50:44.052</v>
      </c>
      <c r="U585" t="str">
        <f t="shared" si="353"/>
        <v>ACC530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1</v>
      </c>
      <c r="AH585">
        <v>0</v>
      </c>
      <c r="AI585" t="s">
        <v>349</v>
      </c>
      <c r="AJ585">
        <v>34.227668999999999</v>
      </c>
      <c r="AK585" t="s">
        <v>350</v>
      </c>
      <c r="AL585">
        <v>-116.91571</v>
      </c>
      <c r="AM585">
        <v>100</v>
      </c>
      <c r="AN585">
        <v>9000</v>
      </c>
      <c r="AO585" t="s">
        <v>118</v>
      </c>
      <c r="AP585">
        <v>-80</v>
      </c>
      <c r="AQ585">
        <v>-39</v>
      </c>
      <c r="AR585">
        <v>448</v>
      </c>
      <c r="AZ585">
        <v>1200</v>
      </c>
      <c r="BA585">
        <v>1</v>
      </c>
      <c r="BB585" t="str">
        <f t="shared" si="355"/>
        <v xml:space="preserve">N9217B  </v>
      </c>
      <c r="BC585">
        <v>1</v>
      </c>
      <c r="BE585">
        <v>0</v>
      </c>
      <c r="BF585">
        <v>0</v>
      </c>
      <c r="BG585">
        <v>0</v>
      </c>
      <c r="BH585">
        <v>9150</v>
      </c>
      <c r="BI585">
        <v>1</v>
      </c>
      <c r="BJ585">
        <v>0</v>
      </c>
      <c r="BK585">
        <v>0</v>
      </c>
      <c r="BL585">
        <v>0</v>
      </c>
      <c r="BO585">
        <v>0</v>
      </c>
      <c r="BP585">
        <v>0</v>
      </c>
      <c r="BW585" t="str">
        <f t="shared" si="359"/>
        <v>14:50:44.353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293</v>
      </c>
      <c r="CR585">
        <v>1</v>
      </c>
      <c r="CW585">
        <v>15273971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25">
      <c r="A586" t="str">
        <f t="shared" si="356"/>
        <v>06/05/2020 14:50:38.688</v>
      </c>
      <c r="C586" t="str">
        <f t="shared" si="331"/>
        <v>FFDFD3C0</v>
      </c>
      <c r="D586" t="s">
        <v>134</v>
      </c>
      <c r="E586">
        <v>7</v>
      </c>
      <c r="F586">
        <v>2007</v>
      </c>
      <c r="G586" t="s">
        <v>135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357"/>
        <v>14:50:44.352</v>
      </c>
      <c r="T586" t="str">
        <f t="shared" si="358"/>
        <v>14:50:44.052</v>
      </c>
      <c r="U586" t="str">
        <f t="shared" si="353"/>
        <v>ACC530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1</v>
      </c>
      <c r="AH586">
        <v>0</v>
      </c>
      <c r="AI586" t="s">
        <v>349</v>
      </c>
      <c r="AJ586">
        <v>34.227668999999999</v>
      </c>
      <c r="AK586" t="s">
        <v>350</v>
      </c>
      <c r="AL586">
        <v>-116.91571</v>
      </c>
      <c r="AM586">
        <v>100</v>
      </c>
      <c r="AN586">
        <v>9000</v>
      </c>
      <c r="AO586" t="s">
        <v>118</v>
      </c>
      <c r="AP586">
        <v>-80</v>
      </c>
      <c r="AQ586">
        <v>-39</v>
      </c>
      <c r="AR586">
        <v>448</v>
      </c>
      <c r="AZ586">
        <v>1200</v>
      </c>
      <c r="BA586">
        <v>1</v>
      </c>
      <c r="BB586" t="str">
        <f t="shared" si="355"/>
        <v xml:space="preserve">N9217B  </v>
      </c>
      <c r="BC586">
        <v>1</v>
      </c>
      <c r="BE586">
        <v>0</v>
      </c>
      <c r="BF586">
        <v>0</v>
      </c>
      <c r="BG586">
        <v>0</v>
      </c>
      <c r="BH586">
        <v>9150</v>
      </c>
      <c r="BI586">
        <v>1</v>
      </c>
      <c r="BJ586">
        <v>0</v>
      </c>
      <c r="BK586">
        <v>0</v>
      </c>
      <c r="BL586">
        <v>0</v>
      </c>
      <c r="BO586">
        <v>0</v>
      </c>
      <c r="BP586">
        <v>0</v>
      </c>
      <c r="BW586" t="str">
        <f t="shared" si="359"/>
        <v>14:50:44.353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293</v>
      </c>
      <c r="CR586">
        <v>1</v>
      </c>
      <c r="CW586">
        <v>15273971</v>
      </c>
      <c r="CY586">
        <v>0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25">
      <c r="A587" t="str">
        <f t="shared" si="356"/>
        <v>06/05/2020 14:50:38.688</v>
      </c>
      <c r="C587" t="str">
        <f t="shared" si="331"/>
        <v>FFDFD3C0</v>
      </c>
      <c r="D587" t="s">
        <v>148</v>
      </c>
      <c r="E587">
        <v>8</v>
      </c>
      <c r="H587">
        <v>50</v>
      </c>
      <c r="I587" t="s">
        <v>149</v>
      </c>
      <c r="J587" t="s">
        <v>150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357"/>
        <v>14:50:44.352</v>
      </c>
      <c r="T587" t="str">
        <f t="shared" si="358"/>
        <v>14:50:44.052</v>
      </c>
      <c r="U587" t="str">
        <f t="shared" si="353"/>
        <v>ACC530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1</v>
      </c>
      <c r="AH587">
        <v>0</v>
      </c>
      <c r="AI587" t="s">
        <v>349</v>
      </c>
      <c r="AJ587">
        <v>34.227668999999999</v>
      </c>
      <c r="AK587" t="s">
        <v>350</v>
      </c>
      <c r="AL587">
        <v>-116.91571</v>
      </c>
      <c r="AM587">
        <v>100</v>
      </c>
      <c r="AN587">
        <v>9000</v>
      </c>
      <c r="AO587" t="s">
        <v>118</v>
      </c>
      <c r="AP587">
        <v>-80</v>
      </c>
      <c r="AQ587">
        <v>-39</v>
      </c>
      <c r="AR587">
        <v>448</v>
      </c>
      <c r="AZ587">
        <v>1200</v>
      </c>
      <c r="BA587">
        <v>1</v>
      </c>
      <c r="BB587" t="str">
        <f t="shared" si="355"/>
        <v xml:space="preserve">N9217B  </v>
      </c>
      <c r="BC587">
        <v>1</v>
      </c>
      <c r="BE587">
        <v>0</v>
      </c>
      <c r="BF587">
        <v>0</v>
      </c>
      <c r="BG587">
        <v>0</v>
      </c>
      <c r="BH587">
        <v>9150</v>
      </c>
      <c r="BI587">
        <v>1</v>
      </c>
      <c r="BJ587">
        <v>0</v>
      </c>
      <c r="BK587">
        <v>0</v>
      </c>
      <c r="BL587">
        <v>0</v>
      </c>
      <c r="BO587">
        <v>0</v>
      </c>
      <c r="BP587">
        <v>0</v>
      </c>
      <c r="BW587" t="str">
        <f t="shared" si="359"/>
        <v>14:50:44.353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293</v>
      </c>
      <c r="CR587">
        <v>1</v>
      </c>
      <c r="CW587">
        <v>15273971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25">
      <c r="A588" t="str">
        <f t="shared" si="356"/>
        <v>06/05/2020 14:50:38.688</v>
      </c>
      <c r="C588" t="str">
        <f t="shared" si="331"/>
        <v>FFDFD3C0</v>
      </c>
      <c r="D588" t="s">
        <v>141</v>
      </c>
      <c r="E588">
        <v>20</v>
      </c>
      <c r="F588">
        <v>1020</v>
      </c>
      <c r="G588" t="s">
        <v>114</v>
      </c>
      <c r="J588" t="s">
        <v>142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357"/>
        <v>14:50:44.352</v>
      </c>
      <c r="T588" t="str">
        <f t="shared" si="358"/>
        <v>14:50:44.052</v>
      </c>
      <c r="U588" t="str">
        <f t="shared" si="353"/>
        <v>ACC530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1</v>
      </c>
      <c r="AH588">
        <v>0</v>
      </c>
      <c r="AI588" t="s">
        <v>349</v>
      </c>
      <c r="AJ588">
        <v>34.227668999999999</v>
      </c>
      <c r="AK588" t="s">
        <v>350</v>
      </c>
      <c r="AL588">
        <v>-116.91571</v>
      </c>
      <c r="AM588">
        <v>100</v>
      </c>
      <c r="AN588">
        <v>9000</v>
      </c>
      <c r="AO588" t="s">
        <v>118</v>
      </c>
      <c r="AP588">
        <v>-80</v>
      </c>
      <c r="AQ588">
        <v>-39</v>
      </c>
      <c r="AR588">
        <v>448</v>
      </c>
      <c r="AZ588">
        <v>1200</v>
      </c>
      <c r="BA588">
        <v>1</v>
      </c>
      <c r="BB588" t="str">
        <f t="shared" si="355"/>
        <v xml:space="preserve">N9217B  </v>
      </c>
      <c r="BC588">
        <v>1</v>
      </c>
      <c r="BE588">
        <v>0</v>
      </c>
      <c r="BF588">
        <v>0</v>
      </c>
      <c r="BG588">
        <v>0</v>
      </c>
      <c r="BH588">
        <v>9150</v>
      </c>
      <c r="BI588">
        <v>1</v>
      </c>
      <c r="BJ588">
        <v>0</v>
      </c>
      <c r="BK588">
        <v>0</v>
      </c>
      <c r="BL588">
        <v>0</v>
      </c>
      <c r="BO588">
        <v>0</v>
      </c>
      <c r="BP588">
        <v>0</v>
      </c>
      <c r="BW588" t="str">
        <f t="shared" si="359"/>
        <v>14:50:44.353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293</v>
      </c>
      <c r="CR588">
        <v>1</v>
      </c>
      <c r="CW588">
        <v>15273971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25">
      <c r="A589" t="str">
        <f t="shared" si="356"/>
        <v>06/05/2020 14:50:38.688</v>
      </c>
      <c r="C589" t="str">
        <f t="shared" si="331"/>
        <v>FFDFD3C0</v>
      </c>
      <c r="D589" t="s">
        <v>113</v>
      </c>
      <c r="E589">
        <v>3</v>
      </c>
      <c r="H589">
        <v>166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357"/>
        <v>14:50:44.352</v>
      </c>
      <c r="T589" t="str">
        <f t="shared" si="358"/>
        <v>14:50:44.052</v>
      </c>
      <c r="U589" t="str">
        <f t="shared" si="353"/>
        <v>ACC530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1</v>
      </c>
      <c r="AH589">
        <v>0</v>
      </c>
      <c r="AI589" t="s">
        <v>349</v>
      </c>
      <c r="AJ589">
        <v>34.227668999999999</v>
      </c>
      <c r="AK589" t="s">
        <v>350</v>
      </c>
      <c r="AL589">
        <v>-116.91571</v>
      </c>
      <c r="AM589">
        <v>100</v>
      </c>
      <c r="AN589">
        <v>9000</v>
      </c>
      <c r="AO589" t="s">
        <v>118</v>
      </c>
      <c r="AP589">
        <v>-80</v>
      </c>
      <c r="AQ589">
        <v>-39</v>
      </c>
      <c r="AR589">
        <v>448</v>
      </c>
      <c r="AZ589">
        <v>1200</v>
      </c>
      <c r="BA589">
        <v>1</v>
      </c>
      <c r="BB589" t="str">
        <f t="shared" si="355"/>
        <v xml:space="preserve">N9217B  </v>
      </c>
      <c r="BC589">
        <v>1</v>
      </c>
      <c r="BE589">
        <v>0</v>
      </c>
      <c r="BF589">
        <v>0</v>
      </c>
      <c r="BG589">
        <v>0</v>
      </c>
      <c r="BH589">
        <v>9150</v>
      </c>
      <c r="BI589">
        <v>1</v>
      </c>
      <c r="BJ589">
        <v>0</v>
      </c>
      <c r="BK589">
        <v>0</v>
      </c>
      <c r="BL589">
        <v>0</v>
      </c>
      <c r="BO589">
        <v>0</v>
      </c>
      <c r="BP589">
        <v>0</v>
      </c>
      <c r="BW589" t="str">
        <f t="shared" si="359"/>
        <v>14:50:44.353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293</v>
      </c>
      <c r="CR589">
        <v>1</v>
      </c>
      <c r="CW589">
        <v>15273971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25">
      <c r="A590" t="str">
        <f t="shared" ref="A590:A596" si="360">"06/05/2020 14:50:39.712"</f>
        <v>06/05/2020 14:50:39.712</v>
      </c>
      <c r="C590" t="str">
        <f t="shared" si="331"/>
        <v>FFDFD3C0</v>
      </c>
      <c r="D590" t="s">
        <v>151</v>
      </c>
      <c r="E590">
        <v>9</v>
      </c>
      <c r="H590">
        <v>226</v>
      </c>
      <c r="I590" t="s">
        <v>152</v>
      </c>
      <c r="J590" t="s">
        <v>150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6" si="361">"14:50:45.352"</f>
        <v>14:50:45.352</v>
      </c>
      <c r="T590" t="str">
        <f t="shared" ref="T590:T596" si="362">"14:50:44.952"</f>
        <v>14:50:44.952</v>
      </c>
      <c r="U590" t="str">
        <f t="shared" si="353"/>
        <v>ACC530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1</v>
      </c>
      <c r="AH590">
        <v>0</v>
      </c>
      <c r="AI590" t="s">
        <v>351</v>
      </c>
      <c r="AJ590">
        <v>34.227497999999997</v>
      </c>
      <c r="AK590" t="s">
        <v>352</v>
      </c>
      <c r="AL590">
        <v>-116.916161</v>
      </c>
      <c r="AM590">
        <v>100</v>
      </c>
      <c r="AN590">
        <v>9000</v>
      </c>
      <c r="AO590" t="s">
        <v>118</v>
      </c>
      <c r="AP590">
        <v>-80</v>
      </c>
      <c r="AQ590">
        <v>-39</v>
      </c>
      <c r="AR590">
        <v>512</v>
      </c>
      <c r="AZ590">
        <v>1200</v>
      </c>
      <c r="BA590">
        <v>1</v>
      </c>
      <c r="BB590" t="str">
        <f t="shared" si="355"/>
        <v xml:space="preserve">N9217B  </v>
      </c>
      <c r="BC590">
        <v>1</v>
      </c>
      <c r="BE590">
        <v>0</v>
      </c>
      <c r="BF590">
        <v>0</v>
      </c>
      <c r="BG590">
        <v>0</v>
      </c>
      <c r="BH590">
        <v>9150</v>
      </c>
      <c r="BI590">
        <v>1</v>
      </c>
      <c r="BJ590">
        <v>0</v>
      </c>
      <c r="BK590">
        <v>0</v>
      </c>
      <c r="BL590">
        <v>0</v>
      </c>
      <c r="BO590">
        <v>0</v>
      </c>
      <c r="BP590">
        <v>0</v>
      </c>
      <c r="BW590" t="str">
        <f t="shared" ref="BW590:BW596" si="363">"14:50:45.358"</f>
        <v>14:50:45.358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293</v>
      </c>
      <c r="CR590">
        <v>1</v>
      </c>
      <c r="CW590">
        <v>15274089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25">
      <c r="A591" t="str">
        <f t="shared" si="360"/>
        <v>06/05/2020 14:50:39.712</v>
      </c>
      <c r="C591" t="str">
        <f t="shared" si="331"/>
        <v>FFDFD3C0</v>
      </c>
      <c r="D591" t="s">
        <v>151</v>
      </c>
      <c r="E591">
        <v>8</v>
      </c>
      <c r="H591">
        <v>225</v>
      </c>
      <c r="I591" t="s">
        <v>353</v>
      </c>
      <c r="J591" t="s">
        <v>150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361"/>
        <v>14:50:45.352</v>
      </c>
      <c r="T591" t="str">
        <f t="shared" si="362"/>
        <v>14:50:44.952</v>
      </c>
      <c r="U591" t="str">
        <f t="shared" si="353"/>
        <v>ACC530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1</v>
      </c>
      <c r="AH591">
        <v>0</v>
      </c>
      <c r="AI591" t="s">
        <v>351</v>
      </c>
      <c r="AJ591">
        <v>34.227497999999997</v>
      </c>
      <c r="AK591" t="s">
        <v>352</v>
      </c>
      <c r="AL591">
        <v>-116.916161</v>
      </c>
      <c r="AM591">
        <v>100</v>
      </c>
      <c r="AN591">
        <v>9000</v>
      </c>
      <c r="AO591" t="s">
        <v>118</v>
      </c>
      <c r="AP591">
        <v>-80</v>
      </c>
      <c r="AQ591">
        <v>-39</v>
      </c>
      <c r="AR591">
        <v>512</v>
      </c>
      <c r="AZ591">
        <v>1200</v>
      </c>
      <c r="BA591">
        <v>1</v>
      </c>
      <c r="BB591" t="str">
        <f t="shared" si="355"/>
        <v xml:space="preserve">N9217B  </v>
      </c>
      <c r="BC591">
        <v>1</v>
      </c>
      <c r="BE591">
        <v>0</v>
      </c>
      <c r="BF591">
        <v>0</v>
      </c>
      <c r="BG591">
        <v>0</v>
      </c>
      <c r="BH591">
        <v>9150</v>
      </c>
      <c r="BI591">
        <v>1</v>
      </c>
      <c r="BJ591">
        <v>0</v>
      </c>
      <c r="BK591">
        <v>0</v>
      </c>
      <c r="BL591">
        <v>0</v>
      </c>
      <c r="BO591">
        <v>0</v>
      </c>
      <c r="BP591">
        <v>0</v>
      </c>
      <c r="BW591" t="str">
        <f t="shared" si="363"/>
        <v>14:50:45.358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6</v>
      </c>
      <c r="CP591" t="s">
        <v>119</v>
      </c>
      <c r="CQ591">
        <v>285</v>
      </c>
      <c r="CR591">
        <v>0</v>
      </c>
      <c r="CW591">
        <v>8843353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25">
      <c r="A592" t="str">
        <f t="shared" si="360"/>
        <v>06/05/2020 14:50:39.712</v>
      </c>
      <c r="C592" t="str">
        <f t="shared" si="331"/>
        <v>FFDFD3C0</v>
      </c>
      <c r="D592" t="s">
        <v>134</v>
      </c>
      <c r="E592">
        <v>7</v>
      </c>
      <c r="F592">
        <v>2007</v>
      </c>
      <c r="G592" t="s">
        <v>135</v>
      </c>
      <c r="J592" t="s">
        <v>136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361"/>
        <v>14:50:45.352</v>
      </c>
      <c r="T592" t="str">
        <f t="shared" si="362"/>
        <v>14:50:44.952</v>
      </c>
      <c r="U592" t="str">
        <f t="shared" si="353"/>
        <v>ACC530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1</v>
      </c>
      <c r="AH592">
        <v>0</v>
      </c>
      <c r="AI592" t="s">
        <v>351</v>
      </c>
      <c r="AJ592">
        <v>34.227497999999997</v>
      </c>
      <c r="AK592" t="s">
        <v>352</v>
      </c>
      <c r="AL592">
        <v>-116.916161</v>
      </c>
      <c r="AM592">
        <v>100</v>
      </c>
      <c r="AN592">
        <v>9000</v>
      </c>
      <c r="AO592" t="s">
        <v>118</v>
      </c>
      <c r="AP592">
        <v>-80</v>
      </c>
      <c r="AQ592">
        <v>-39</v>
      </c>
      <c r="AR592">
        <v>512</v>
      </c>
      <c r="AZ592">
        <v>1200</v>
      </c>
      <c r="BA592">
        <v>1</v>
      </c>
      <c r="BB592" t="str">
        <f t="shared" si="355"/>
        <v xml:space="preserve">N9217B  </v>
      </c>
      <c r="BC592">
        <v>1</v>
      </c>
      <c r="BE592">
        <v>0</v>
      </c>
      <c r="BF592">
        <v>0</v>
      </c>
      <c r="BG592">
        <v>0</v>
      </c>
      <c r="BH592">
        <v>9150</v>
      </c>
      <c r="BI592">
        <v>1</v>
      </c>
      <c r="BJ592">
        <v>0</v>
      </c>
      <c r="BK592">
        <v>0</v>
      </c>
      <c r="BL592">
        <v>0</v>
      </c>
      <c r="BO592">
        <v>0</v>
      </c>
      <c r="BP592">
        <v>0</v>
      </c>
      <c r="BW592" t="str">
        <f t="shared" si="363"/>
        <v>14:50:45.358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293</v>
      </c>
      <c r="CR592">
        <v>1</v>
      </c>
      <c r="CW592">
        <v>15274089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25">
      <c r="A593" t="str">
        <f t="shared" si="360"/>
        <v>06/05/2020 14:50:39.712</v>
      </c>
      <c r="C593" t="str">
        <f t="shared" si="331"/>
        <v>FFDFD3C0</v>
      </c>
      <c r="D593" t="s">
        <v>148</v>
      </c>
      <c r="E593">
        <v>8</v>
      </c>
      <c r="H593">
        <v>50</v>
      </c>
      <c r="I593" t="s">
        <v>149</v>
      </c>
      <c r="J593" t="s">
        <v>150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361"/>
        <v>14:50:45.352</v>
      </c>
      <c r="T593" t="str">
        <f t="shared" si="362"/>
        <v>14:50:44.952</v>
      </c>
      <c r="U593" t="str">
        <f t="shared" si="353"/>
        <v>ACC530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1</v>
      </c>
      <c r="AH593">
        <v>0</v>
      </c>
      <c r="AI593" t="s">
        <v>351</v>
      </c>
      <c r="AJ593">
        <v>34.227497999999997</v>
      </c>
      <c r="AK593" t="s">
        <v>352</v>
      </c>
      <c r="AL593">
        <v>-116.916161</v>
      </c>
      <c r="AM593">
        <v>100</v>
      </c>
      <c r="AN593">
        <v>9000</v>
      </c>
      <c r="AO593" t="s">
        <v>118</v>
      </c>
      <c r="AP593">
        <v>-80</v>
      </c>
      <c r="AQ593">
        <v>-39</v>
      </c>
      <c r="AR593">
        <v>512</v>
      </c>
      <c r="AZ593">
        <v>1200</v>
      </c>
      <c r="BA593">
        <v>1</v>
      </c>
      <c r="BB593" t="str">
        <f t="shared" si="355"/>
        <v xml:space="preserve">N9217B  </v>
      </c>
      <c r="BC593">
        <v>1</v>
      </c>
      <c r="BE593">
        <v>0</v>
      </c>
      <c r="BF593">
        <v>0</v>
      </c>
      <c r="BG593">
        <v>0</v>
      </c>
      <c r="BH593">
        <v>9150</v>
      </c>
      <c r="BI593">
        <v>1</v>
      </c>
      <c r="BJ593">
        <v>0</v>
      </c>
      <c r="BK593">
        <v>0</v>
      </c>
      <c r="BL593">
        <v>0</v>
      </c>
      <c r="BO593">
        <v>0</v>
      </c>
      <c r="BP593">
        <v>0</v>
      </c>
      <c r="BW593" t="str">
        <f t="shared" si="363"/>
        <v>14:50:45.358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293</v>
      </c>
      <c r="CR593">
        <v>1</v>
      </c>
      <c r="CW593">
        <v>15274089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25">
      <c r="A594" t="str">
        <f t="shared" si="360"/>
        <v>06/05/2020 14:50:39.712</v>
      </c>
      <c r="C594" t="str">
        <f t="shared" si="331"/>
        <v>FFDFD3C0</v>
      </c>
      <c r="D594" t="s">
        <v>141</v>
      </c>
      <c r="E594">
        <v>20</v>
      </c>
      <c r="F594">
        <v>1020</v>
      </c>
      <c r="G594" t="s">
        <v>114</v>
      </c>
      <c r="J594" t="s">
        <v>142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361"/>
        <v>14:50:45.352</v>
      </c>
      <c r="T594" t="str">
        <f t="shared" si="362"/>
        <v>14:50:44.952</v>
      </c>
      <c r="U594" t="str">
        <f t="shared" si="353"/>
        <v>ACC530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1</v>
      </c>
      <c r="AH594">
        <v>0</v>
      </c>
      <c r="AI594" t="s">
        <v>351</v>
      </c>
      <c r="AJ594">
        <v>34.227497999999997</v>
      </c>
      <c r="AK594" t="s">
        <v>352</v>
      </c>
      <c r="AL594">
        <v>-116.916161</v>
      </c>
      <c r="AM594">
        <v>100</v>
      </c>
      <c r="AN594">
        <v>9000</v>
      </c>
      <c r="AO594" t="s">
        <v>118</v>
      </c>
      <c r="AP594">
        <v>-80</v>
      </c>
      <c r="AQ594">
        <v>-39</v>
      </c>
      <c r="AR594">
        <v>512</v>
      </c>
      <c r="AZ594">
        <v>1200</v>
      </c>
      <c r="BA594">
        <v>1</v>
      </c>
      <c r="BB594" t="str">
        <f t="shared" si="355"/>
        <v xml:space="preserve">N9217B  </v>
      </c>
      <c r="BC594">
        <v>1</v>
      </c>
      <c r="BE594">
        <v>0</v>
      </c>
      <c r="BF594">
        <v>0</v>
      </c>
      <c r="BG594">
        <v>0</v>
      </c>
      <c r="BH594">
        <v>9150</v>
      </c>
      <c r="BI594">
        <v>1</v>
      </c>
      <c r="BJ594">
        <v>0</v>
      </c>
      <c r="BK594">
        <v>0</v>
      </c>
      <c r="BL594">
        <v>0</v>
      </c>
      <c r="BO594">
        <v>0</v>
      </c>
      <c r="BP594">
        <v>0</v>
      </c>
      <c r="BW594" t="str">
        <f t="shared" si="363"/>
        <v>14:50:45.358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293</v>
      </c>
      <c r="CR594">
        <v>1</v>
      </c>
      <c r="CW594">
        <v>15274089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25">
      <c r="A595" t="str">
        <f t="shared" si="360"/>
        <v>06/05/2020 14:50:39.712</v>
      </c>
      <c r="C595" t="str">
        <f t="shared" si="331"/>
        <v>FFDFD3C0</v>
      </c>
      <c r="D595" t="s">
        <v>113</v>
      </c>
      <c r="E595">
        <v>3</v>
      </c>
      <c r="H595">
        <v>166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361"/>
        <v>14:50:45.352</v>
      </c>
      <c r="T595" t="str">
        <f t="shared" si="362"/>
        <v>14:50:44.952</v>
      </c>
      <c r="U595" t="str">
        <f t="shared" si="353"/>
        <v>ACC530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1</v>
      </c>
      <c r="AH595">
        <v>0</v>
      </c>
      <c r="AI595" t="s">
        <v>351</v>
      </c>
      <c r="AJ595">
        <v>34.227497999999997</v>
      </c>
      <c r="AK595" t="s">
        <v>352</v>
      </c>
      <c r="AL595">
        <v>-116.916161</v>
      </c>
      <c r="AM595">
        <v>100</v>
      </c>
      <c r="AN595">
        <v>9000</v>
      </c>
      <c r="AO595" t="s">
        <v>118</v>
      </c>
      <c r="AP595">
        <v>-80</v>
      </c>
      <c r="AQ595">
        <v>-39</v>
      </c>
      <c r="AR595">
        <v>512</v>
      </c>
      <c r="AZ595">
        <v>1200</v>
      </c>
      <c r="BA595">
        <v>1</v>
      </c>
      <c r="BB595" t="str">
        <f t="shared" si="355"/>
        <v xml:space="preserve">N9217B  </v>
      </c>
      <c r="BC595">
        <v>1</v>
      </c>
      <c r="BE595">
        <v>0</v>
      </c>
      <c r="BF595">
        <v>0</v>
      </c>
      <c r="BG595">
        <v>0</v>
      </c>
      <c r="BH595">
        <v>9150</v>
      </c>
      <c r="BI595">
        <v>1</v>
      </c>
      <c r="BJ595">
        <v>0</v>
      </c>
      <c r="BK595">
        <v>0</v>
      </c>
      <c r="BL595">
        <v>0</v>
      </c>
      <c r="BO595">
        <v>0</v>
      </c>
      <c r="BP595">
        <v>0</v>
      </c>
      <c r="BW595" t="str">
        <f t="shared" si="363"/>
        <v>14:50:45.358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293</v>
      </c>
      <c r="CR595">
        <v>1</v>
      </c>
      <c r="CW595">
        <v>15274089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25">
      <c r="A596" t="str">
        <f t="shared" si="360"/>
        <v>06/05/2020 14:50:39.712</v>
      </c>
      <c r="C596" t="str">
        <f t="shared" si="331"/>
        <v>FFDFD3C0</v>
      </c>
      <c r="D596" t="s">
        <v>143</v>
      </c>
      <c r="E596">
        <v>10</v>
      </c>
      <c r="F596">
        <v>3010</v>
      </c>
      <c r="G596" t="s">
        <v>144</v>
      </c>
      <c r="J596" t="s">
        <v>145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361"/>
        <v>14:50:45.352</v>
      </c>
      <c r="T596" t="str">
        <f t="shared" si="362"/>
        <v>14:50:44.952</v>
      </c>
      <c r="U596" t="str">
        <f t="shared" si="353"/>
        <v>ACC530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1</v>
      </c>
      <c r="AH596">
        <v>0</v>
      </c>
      <c r="AI596" t="s">
        <v>351</v>
      </c>
      <c r="AJ596">
        <v>34.227497999999997</v>
      </c>
      <c r="AK596" t="s">
        <v>352</v>
      </c>
      <c r="AL596">
        <v>-116.916161</v>
      </c>
      <c r="AM596">
        <v>100</v>
      </c>
      <c r="AN596">
        <v>9000</v>
      </c>
      <c r="AO596" t="s">
        <v>118</v>
      </c>
      <c r="AP596">
        <v>-80</v>
      </c>
      <c r="AQ596">
        <v>-39</v>
      </c>
      <c r="AR596">
        <v>512</v>
      </c>
      <c r="AZ596">
        <v>1200</v>
      </c>
      <c r="BA596">
        <v>1</v>
      </c>
      <c r="BB596" t="str">
        <f t="shared" si="355"/>
        <v xml:space="preserve">N9217B  </v>
      </c>
      <c r="BC596">
        <v>1</v>
      </c>
      <c r="BE596">
        <v>0</v>
      </c>
      <c r="BF596">
        <v>0</v>
      </c>
      <c r="BG596">
        <v>0</v>
      </c>
      <c r="BH596">
        <v>9150</v>
      </c>
      <c r="BI596">
        <v>1</v>
      </c>
      <c r="BJ596">
        <v>0</v>
      </c>
      <c r="BK596">
        <v>0</v>
      </c>
      <c r="BL596">
        <v>0</v>
      </c>
      <c r="BO596">
        <v>0</v>
      </c>
      <c r="BP596">
        <v>0</v>
      </c>
      <c r="BW596" t="str">
        <f t="shared" si="363"/>
        <v>14:50:45.358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293</v>
      </c>
      <c r="CR596">
        <v>1</v>
      </c>
      <c r="CW596">
        <v>15274089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25">
      <c r="A597" t="str">
        <f t="shared" ref="A597:A603" si="364">"06/05/2020 14:50:40.720"</f>
        <v>06/05/2020 14:50:40.720</v>
      </c>
      <c r="C597" t="str">
        <f t="shared" si="331"/>
        <v>FFDFD3C0</v>
      </c>
      <c r="D597" t="s">
        <v>134</v>
      </c>
      <c r="E597">
        <v>7</v>
      </c>
      <c r="F597">
        <v>2007</v>
      </c>
      <c r="G597" t="s">
        <v>135</v>
      </c>
      <c r="J597" t="s">
        <v>136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ref="S597:S603" si="365">"14:50:46.375"</f>
        <v>14:50:46.375</v>
      </c>
      <c r="T597" t="str">
        <f t="shared" ref="T597:T603" si="366">"14:50:46.075"</f>
        <v>14:50:46.075</v>
      </c>
      <c r="U597" t="str">
        <f t="shared" si="353"/>
        <v>ACC530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1</v>
      </c>
      <c r="AH597">
        <v>0</v>
      </c>
      <c r="AI597" t="s">
        <v>354</v>
      </c>
      <c r="AJ597">
        <v>34.227262000000003</v>
      </c>
      <c r="AK597" t="s">
        <v>355</v>
      </c>
      <c r="AL597">
        <v>-116.916611</v>
      </c>
      <c r="AM597">
        <v>100</v>
      </c>
      <c r="AN597">
        <v>9000</v>
      </c>
      <c r="AO597" t="s">
        <v>118</v>
      </c>
      <c r="AP597">
        <v>-80</v>
      </c>
      <c r="AQ597">
        <v>-39</v>
      </c>
      <c r="AR597">
        <v>384</v>
      </c>
      <c r="AZ597">
        <v>1200</v>
      </c>
      <c r="BA597">
        <v>1</v>
      </c>
      <c r="BB597" t="str">
        <f t="shared" si="355"/>
        <v xml:space="preserve">N9217B  </v>
      </c>
      <c r="BC597">
        <v>1</v>
      </c>
      <c r="BE597">
        <v>0</v>
      </c>
      <c r="BF597">
        <v>0</v>
      </c>
      <c r="BG597">
        <v>0</v>
      </c>
      <c r="BH597">
        <v>9050</v>
      </c>
      <c r="BI597">
        <v>1</v>
      </c>
      <c r="BJ597">
        <v>0</v>
      </c>
      <c r="BK597">
        <v>0</v>
      </c>
      <c r="BL597">
        <v>0</v>
      </c>
      <c r="BO597">
        <v>0</v>
      </c>
      <c r="BP597">
        <v>0</v>
      </c>
      <c r="BW597" t="str">
        <f t="shared" ref="BW597:BW603" si="367">"14:50:46.378"</f>
        <v>14:50:46.378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293</v>
      </c>
      <c r="CR597">
        <v>1</v>
      </c>
      <c r="CW597">
        <v>15274214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25">
      <c r="A598" t="str">
        <f t="shared" si="364"/>
        <v>06/05/2020 14:50:40.720</v>
      </c>
      <c r="C598" t="str">
        <f t="shared" si="331"/>
        <v>FFDFD3C0</v>
      </c>
      <c r="D598" t="s">
        <v>151</v>
      </c>
      <c r="E598">
        <v>8</v>
      </c>
      <c r="H598">
        <v>225</v>
      </c>
      <c r="I598" t="s">
        <v>353</v>
      </c>
      <c r="J598" t="s">
        <v>150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65"/>
        <v>14:50:46.375</v>
      </c>
      <c r="T598" t="str">
        <f t="shared" si="366"/>
        <v>14:50:46.075</v>
      </c>
      <c r="U598" t="str">
        <f t="shared" si="353"/>
        <v>ACC530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1</v>
      </c>
      <c r="AH598">
        <v>0</v>
      </c>
      <c r="AI598" t="s">
        <v>354</v>
      </c>
      <c r="AJ598">
        <v>34.227262000000003</v>
      </c>
      <c r="AK598" t="s">
        <v>355</v>
      </c>
      <c r="AL598">
        <v>-116.916611</v>
      </c>
      <c r="AM598">
        <v>100</v>
      </c>
      <c r="AN598">
        <v>9000</v>
      </c>
      <c r="AO598" t="s">
        <v>118</v>
      </c>
      <c r="AP598">
        <v>-80</v>
      </c>
      <c r="AQ598">
        <v>-39</v>
      </c>
      <c r="AR598">
        <v>384</v>
      </c>
      <c r="AZ598">
        <v>1200</v>
      </c>
      <c r="BA598">
        <v>1</v>
      </c>
      <c r="BB598" t="str">
        <f t="shared" si="355"/>
        <v xml:space="preserve">N9217B  </v>
      </c>
      <c r="BC598">
        <v>1</v>
      </c>
      <c r="BE598">
        <v>0</v>
      </c>
      <c r="BF598">
        <v>0</v>
      </c>
      <c r="BG598">
        <v>0</v>
      </c>
      <c r="BH598">
        <v>9050</v>
      </c>
      <c r="BI598">
        <v>1</v>
      </c>
      <c r="BJ598">
        <v>0</v>
      </c>
      <c r="BK598">
        <v>0</v>
      </c>
      <c r="BL598">
        <v>0</v>
      </c>
      <c r="BO598">
        <v>0</v>
      </c>
      <c r="BP598">
        <v>0</v>
      </c>
      <c r="BW598" t="str">
        <f t="shared" si="367"/>
        <v>14:50:46.378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6</v>
      </c>
      <c r="CP598" t="s">
        <v>119</v>
      </c>
      <c r="CQ598">
        <v>285</v>
      </c>
      <c r="CR598">
        <v>0</v>
      </c>
      <c r="CW598">
        <v>8843444</v>
      </c>
      <c r="CY598">
        <v>0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25">
      <c r="A599" t="str">
        <f t="shared" si="364"/>
        <v>06/05/2020 14:50:40.720</v>
      </c>
      <c r="C599" t="str">
        <f t="shared" si="331"/>
        <v>FFDFD3C0</v>
      </c>
      <c r="D599" t="s">
        <v>151</v>
      </c>
      <c r="E599">
        <v>9</v>
      </c>
      <c r="H599">
        <v>226</v>
      </c>
      <c r="I599" t="s">
        <v>152</v>
      </c>
      <c r="J599" t="s">
        <v>150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365"/>
        <v>14:50:46.375</v>
      </c>
      <c r="T599" t="str">
        <f t="shared" si="366"/>
        <v>14:50:46.075</v>
      </c>
      <c r="U599" t="str">
        <f t="shared" si="353"/>
        <v>ACC530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1</v>
      </c>
      <c r="AH599">
        <v>0</v>
      </c>
      <c r="AI599" t="s">
        <v>354</v>
      </c>
      <c r="AJ599">
        <v>34.227262000000003</v>
      </c>
      <c r="AK599" t="s">
        <v>355</v>
      </c>
      <c r="AL599">
        <v>-116.916611</v>
      </c>
      <c r="AM599">
        <v>100</v>
      </c>
      <c r="AN599">
        <v>9000</v>
      </c>
      <c r="AO599" t="s">
        <v>118</v>
      </c>
      <c r="AP599">
        <v>-80</v>
      </c>
      <c r="AQ599">
        <v>-39</v>
      </c>
      <c r="AR599">
        <v>384</v>
      </c>
      <c r="AZ599">
        <v>1200</v>
      </c>
      <c r="BA599">
        <v>1</v>
      </c>
      <c r="BB599" t="str">
        <f t="shared" si="355"/>
        <v xml:space="preserve">N9217B  </v>
      </c>
      <c r="BC599">
        <v>1</v>
      </c>
      <c r="BE599">
        <v>0</v>
      </c>
      <c r="BF599">
        <v>0</v>
      </c>
      <c r="BG599">
        <v>0</v>
      </c>
      <c r="BH599">
        <v>9050</v>
      </c>
      <c r="BI599">
        <v>1</v>
      </c>
      <c r="BJ599">
        <v>0</v>
      </c>
      <c r="BK599">
        <v>0</v>
      </c>
      <c r="BL599">
        <v>0</v>
      </c>
      <c r="BO599">
        <v>0</v>
      </c>
      <c r="BP599">
        <v>0</v>
      </c>
      <c r="BW599" t="str">
        <f t="shared" si="367"/>
        <v>14:50:46.378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293</v>
      </c>
      <c r="CR599">
        <v>1</v>
      </c>
      <c r="CW599">
        <v>15274214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25">
      <c r="A600" t="str">
        <f t="shared" si="364"/>
        <v>06/05/2020 14:50:40.720</v>
      </c>
      <c r="C600" t="str">
        <f t="shared" si="331"/>
        <v>FFDFD3C0</v>
      </c>
      <c r="D600" t="s">
        <v>148</v>
      </c>
      <c r="E600">
        <v>8</v>
      </c>
      <c r="H600">
        <v>50</v>
      </c>
      <c r="I600" t="s">
        <v>149</v>
      </c>
      <c r="J600" t="s">
        <v>150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65"/>
        <v>14:50:46.375</v>
      </c>
      <c r="T600" t="str">
        <f t="shared" si="366"/>
        <v>14:50:46.075</v>
      </c>
      <c r="U600" t="str">
        <f t="shared" si="353"/>
        <v>ACC530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1</v>
      </c>
      <c r="AH600">
        <v>0</v>
      </c>
      <c r="AI600" t="s">
        <v>354</v>
      </c>
      <c r="AJ600">
        <v>34.227262000000003</v>
      </c>
      <c r="AK600" t="s">
        <v>355</v>
      </c>
      <c r="AL600">
        <v>-116.916611</v>
      </c>
      <c r="AM600">
        <v>100</v>
      </c>
      <c r="AN600">
        <v>9000</v>
      </c>
      <c r="AO600" t="s">
        <v>118</v>
      </c>
      <c r="AP600">
        <v>-80</v>
      </c>
      <c r="AQ600">
        <v>-39</v>
      </c>
      <c r="AR600">
        <v>384</v>
      </c>
      <c r="AZ600">
        <v>1200</v>
      </c>
      <c r="BA600">
        <v>1</v>
      </c>
      <c r="BB600" t="str">
        <f t="shared" si="355"/>
        <v xml:space="preserve">N9217B  </v>
      </c>
      <c r="BC600">
        <v>1</v>
      </c>
      <c r="BE600">
        <v>0</v>
      </c>
      <c r="BF600">
        <v>0</v>
      </c>
      <c r="BG600">
        <v>0</v>
      </c>
      <c r="BH600">
        <v>9050</v>
      </c>
      <c r="BI600">
        <v>1</v>
      </c>
      <c r="BJ600">
        <v>0</v>
      </c>
      <c r="BK600">
        <v>0</v>
      </c>
      <c r="BL600">
        <v>0</v>
      </c>
      <c r="BO600">
        <v>0</v>
      </c>
      <c r="BP600">
        <v>0</v>
      </c>
      <c r="BW600" t="str">
        <f t="shared" si="367"/>
        <v>14:50:46.378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293</v>
      </c>
      <c r="CR600">
        <v>1</v>
      </c>
      <c r="CW600">
        <v>15274214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25">
      <c r="A601" t="str">
        <f t="shared" si="364"/>
        <v>06/05/2020 14:50:40.720</v>
      </c>
      <c r="C601" t="str">
        <f t="shared" si="331"/>
        <v>FFDFD3C0</v>
      </c>
      <c r="D601" t="s">
        <v>141</v>
      </c>
      <c r="E601">
        <v>20</v>
      </c>
      <c r="F601">
        <v>1020</v>
      </c>
      <c r="G601" t="s">
        <v>114</v>
      </c>
      <c r="J601" t="s">
        <v>142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365"/>
        <v>14:50:46.375</v>
      </c>
      <c r="T601" t="str">
        <f t="shared" si="366"/>
        <v>14:50:46.075</v>
      </c>
      <c r="U601" t="str">
        <f t="shared" si="353"/>
        <v>ACC530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1</v>
      </c>
      <c r="AH601">
        <v>0</v>
      </c>
      <c r="AI601" t="s">
        <v>354</v>
      </c>
      <c r="AJ601">
        <v>34.227262000000003</v>
      </c>
      <c r="AK601" t="s">
        <v>355</v>
      </c>
      <c r="AL601">
        <v>-116.916611</v>
      </c>
      <c r="AM601">
        <v>100</v>
      </c>
      <c r="AN601">
        <v>9000</v>
      </c>
      <c r="AO601" t="s">
        <v>118</v>
      </c>
      <c r="AP601">
        <v>-80</v>
      </c>
      <c r="AQ601">
        <v>-39</v>
      </c>
      <c r="AR601">
        <v>384</v>
      </c>
      <c r="AZ601">
        <v>1200</v>
      </c>
      <c r="BA601">
        <v>1</v>
      </c>
      <c r="BB601" t="str">
        <f t="shared" si="355"/>
        <v xml:space="preserve">N9217B  </v>
      </c>
      <c r="BC601">
        <v>1</v>
      </c>
      <c r="BE601">
        <v>0</v>
      </c>
      <c r="BF601">
        <v>0</v>
      </c>
      <c r="BG601">
        <v>0</v>
      </c>
      <c r="BH601">
        <v>9050</v>
      </c>
      <c r="BI601">
        <v>1</v>
      </c>
      <c r="BJ601">
        <v>0</v>
      </c>
      <c r="BK601">
        <v>0</v>
      </c>
      <c r="BL601">
        <v>0</v>
      </c>
      <c r="BO601">
        <v>0</v>
      </c>
      <c r="BP601">
        <v>0</v>
      </c>
      <c r="BW601" t="str">
        <f t="shared" si="367"/>
        <v>14:50:46.378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293</v>
      </c>
      <c r="CR601">
        <v>1</v>
      </c>
      <c r="CW601">
        <v>15274214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25">
      <c r="A602" t="str">
        <f t="shared" si="364"/>
        <v>06/05/2020 14:50:40.720</v>
      </c>
      <c r="C602" t="str">
        <f t="shared" si="331"/>
        <v>FFDFD3C0</v>
      </c>
      <c r="D602" t="s">
        <v>113</v>
      </c>
      <c r="E602">
        <v>3</v>
      </c>
      <c r="H602">
        <v>166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365"/>
        <v>14:50:46.375</v>
      </c>
      <c r="T602" t="str">
        <f t="shared" si="366"/>
        <v>14:50:46.075</v>
      </c>
      <c r="U602" t="str">
        <f t="shared" si="353"/>
        <v>ACC530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1</v>
      </c>
      <c r="AH602">
        <v>0</v>
      </c>
      <c r="AI602" t="s">
        <v>354</v>
      </c>
      <c r="AJ602">
        <v>34.227262000000003</v>
      </c>
      <c r="AK602" t="s">
        <v>355</v>
      </c>
      <c r="AL602">
        <v>-116.916611</v>
      </c>
      <c r="AM602">
        <v>100</v>
      </c>
      <c r="AN602">
        <v>9000</v>
      </c>
      <c r="AO602" t="s">
        <v>118</v>
      </c>
      <c r="AP602">
        <v>-80</v>
      </c>
      <c r="AQ602">
        <v>-39</v>
      </c>
      <c r="AR602">
        <v>384</v>
      </c>
      <c r="AZ602">
        <v>1200</v>
      </c>
      <c r="BA602">
        <v>1</v>
      </c>
      <c r="BB602" t="str">
        <f t="shared" si="355"/>
        <v xml:space="preserve">N9217B  </v>
      </c>
      <c r="BC602">
        <v>1</v>
      </c>
      <c r="BE602">
        <v>0</v>
      </c>
      <c r="BF602">
        <v>0</v>
      </c>
      <c r="BG602">
        <v>0</v>
      </c>
      <c r="BH602">
        <v>9050</v>
      </c>
      <c r="BI602">
        <v>1</v>
      </c>
      <c r="BJ602">
        <v>0</v>
      </c>
      <c r="BK602">
        <v>0</v>
      </c>
      <c r="BL602">
        <v>0</v>
      </c>
      <c r="BO602">
        <v>0</v>
      </c>
      <c r="BP602">
        <v>0</v>
      </c>
      <c r="BW602" t="str">
        <f t="shared" si="367"/>
        <v>14:50:46.378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293</v>
      </c>
      <c r="CR602">
        <v>1</v>
      </c>
      <c r="CW602">
        <v>15274214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25">
      <c r="A603" t="str">
        <f t="shared" si="364"/>
        <v>06/05/2020 14:50:40.720</v>
      </c>
      <c r="C603" t="str">
        <f t="shared" si="331"/>
        <v>FFDFD3C0</v>
      </c>
      <c r="D603" t="s">
        <v>143</v>
      </c>
      <c r="E603">
        <v>10</v>
      </c>
      <c r="F603">
        <v>3010</v>
      </c>
      <c r="G603" t="s">
        <v>144</v>
      </c>
      <c r="J603" t="s">
        <v>145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365"/>
        <v>14:50:46.375</v>
      </c>
      <c r="T603" t="str">
        <f t="shared" si="366"/>
        <v>14:50:46.075</v>
      </c>
      <c r="U603" t="str">
        <f t="shared" si="353"/>
        <v>ACC530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1</v>
      </c>
      <c r="AH603">
        <v>0</v>
      </c>
      <c r="AI603" t="s">
        <v>354</v>
      </c>
      <c r="AJ603">
        <v>34.227262000000003</v>
      </c>
      <c r="AK603" t="s">
        <v>355</v>
      </c>
      <c r="AL603">
        <v>-116.916611</v>
      </c>
      <c r="AM603">
        <v>100</v>
      </c>
      <c r="AN603">
        <v>9000</v>
      </c>
      <c r="AO603" t="s">
        <v>118</v>
      </c>
      <c r="AP603">
        <v>-80</v>
      </c>
      <c r="AQ603">
        <v>-39</v>
      </c>
      <c r="AR603">
        <v>384</v>
      </c>
      <c r="AZ603">
        <v>1200</v>
      </c>
      <c r="BA603">
        <v>1</v>
      </c>
      <c r="BB603" t="str">
        <f t="shared" si="355"/>
        <v xml:space="preserve">N9217B  </v>
      </c>
      <c r="BC603">
        <v>1</v>
      </c>
      <c r="BE603">
        <v>0</v>
      </c>
      <c r="BF603">
        <v>0</v>
      </c>
      <c r="BG603">
        <v>0</v>
      </c>
      <c r="BH603">
        <v>9050</v>
      </c>
      <c r="BI603">
        <v>1</v>
      </c>
      <c r="BJ603">
        <v>0</v>
      </c>
      <c r="BK603">
        <v>0</v>
      </c>
      <c r="BL603">
        <v>0</v>
      </c>
      <c r="BO603">
        <v>0</v>
      </c>
      <c r="BP603">
        <v>0</v>
      </c>
      <c r="BW603" t="str">
        <f t="shared" si="367"/>
        <v>14:50:46.378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293</v>
      </c>
      <c r="CR603">
        <v>1</v>
      </c>
      <c r="CW603">
        <v>15274214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25">
      <c r="A604" t="str">
        <f t="shared" ref="A604:A610" si="368">"06/05/2020 14:50:41.748"</f>
        <v>06/05/2020 14:50:41.748</v>
      </c>
      <c r="C604" t="str">
        <f t="shared" si="331"/>
        <v>FFDFD3C0</v>
      </c>
      <c r="D604" t="s">
        <v>141</v>
      </c>
      <c r="E604">
        <v>20</v>
      </c>
      <c r="F604">
        <v>1020</v>
      </c>
      <c r="G604" t="s">
        <v>114</v>
      </c>
      <c r="J604" t="s">
        <v>142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ref="S604:S610" si="369">"14:50:47.406"</f>
        <v>14:50:47.406</v>
      </c>
      <c r="T604" t="str">
        <f>"14:50:47.106"</f>
        <v>14:50:47.106</v>
      </c>
      <c r="U604" t="str">
        <f t="shared" si="353"/>
        <v>ACC530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1</v>
      </c>
      <c r="AH604">
        <v>0</v>
      </c>
      <c r="AI604" t="s">
        <v>356</v>
      </c>
      <c r="AJ604">
        <v>34.227068000000003</v>
      </c>
      <c r="AK604" t="s">
        <v>357</v>
      </c>
      <c r="AL604">
        <v>-116.91708300000001</v>
      </c>
      <c r="AM604">
        <v>100</v>
      </c>
      <c r="AN604">
        <v>9100</v>
      </c>
      <c r="AO604" t="s">
        <v>118</v>
      </c>
      <c r="AP604">
        <v>-80</v>
      </c>
      <c r="AQ604">
        <v>-39</v>
      </c>
      <c r="AR604">
        <v>384</v>
      </c>
      <c r="AZ604">
        <v>1200</v>
      </c>
      <c r="BA604">
        <v>1</v>
      </c>
      <c r="BB604" t="str">
        <f t="shared" si="355"/>
        <v xml:space="preserve">N9217B  </v>
      </c>
      <c r="BC604">
        <v>1</v>
      </c>
      <c r="BE604">
        <v>0</v>
      </c>
      <c r="BF604">
        <v>0</v>
      </c>
      <c r="BG604">
        <v>0</v>
      </c>
      <c r="BH604">
        <v>9175</v>
      </c>
      <c r="BI604">
        <v>1</v>
      </c>
      <c r="BJ604">
        <v>0</v>
      </c>
      <c r="BK604">
        <v>0</v>
      </c>
      <c r="BL604">
        <v>0</v>
      </c>
      <c r="BO604">
        <v>0</v>
      </c>
      <c r="BP604">
        <v>0</v>
      </c>
      <c r="BW604" t="str">
        <f t="shared" ref="BW604:BW610" si="370">"14:50:47.413"</f>
        <v>14:50:47.413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293</v>
      </c>
      <c r="CR604">
        <v>1</v>
      </c>
      <c r="CW604">
        <v>15274341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25">
      <c r="A605" t="str">
        <f t="shared" si="368"/>
        <v>06/05/2020 14:50:41.748</v>
      </c>
      <c r="C605" t="str">
        <f t="shared" si="331"/>
        <v>FFDFD3C0</v>
      </c>
      <c r="D605" t="s">
        <v>143</v>
      </c>
      <c r="E605">
        <v>10</v>
      </c>
      <c r="F605">
        <v>3010</v>
      </c>
      <c r="G605" t="s">
        <v>144</v>
      </c>
      <c r="J605" t="s">
        <v>145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69"/>
        <v>14:50:47.406</v>
      </c>
      <c r="T605" t="str">
        <f>"14:50:47.106"</f>
        <v>14:50:47.106</v>
      </c>
      <c r="U605" t="str">
        <f t="shared" si="353"/>
        <v>ACC530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1</v>
      </c>
      <c r="AH605">
        <v>0</v>
      </c>
      <c r="AI605" t="s">
        <v>356</v>
      </c>
      <c r="AJ605">
        <v>34.227068000000003</v>
      </c>
      <c r="AK605" t="s">
        <v>357</v>
      </c>
      <c r="AL605">
        <v>-116.91708300000001</v>
      </c>
      <c r="AM605">
        <v>100</v>
      </c>
      <c r="AN605">
        <v>9100</v>
      </c>
      <c r="AO605" t="s">
        <v>118</v>
      </c>
      <c r="AP605">
        <v>-80</v>
      </c>
      <c r="AQ605">
        <v>-39</v>
      </c>
      <c r="AR605">
        <v>384</v>
      </c>
      <c r="AZ605">
        <v>1200</v>
      </c>
      <c r="BA605">
        <v>1</v>
      </c>
      <c r="BB605" t="str">
        <f t="shared" si="355"/>
        <v xml:space="preserve">N9217B  </v>
      </c>
      <c r="BC605">
        <v>1</v>
      </c>
      <c r="BE605">
        <v>0</v>
      </c>
      <c r="BF605">
        <v>0</v>
      </c>
      <c r="BG605">
        <v>0</v>
      </c>
      <c r="BH605">
        <v>9175</v>
      </c>
      <c r="BI605">
        <v>1</v>
      </c>
      <c r="BJ605">
        <v>0</v>
      </c>
      <c r="BK605">
        <v>0</v>
      </c>
      <c r="BL605">
        <v>0</v>
      </c>
      <c r="BO605">
        <v>0</v>
      </c>
      <c r="BP605">
        <v>0</v>
      </c>
      <c r="BW605" t="str">
        <f t="shared" si="370"/>
        <v>14:50:47.413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293</v>
      </c>
      <c r="CR605">
        <v>1</v>
      </c>
      <c r="CW605">
        <v>15274341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25">
      <c r="A606" t="str">
        <f t="shared" si="368"/>
        <v>06/05/2020 14:50:41.748</v>
      </c>
      <c r="C606" t="str">
        <f t="shared" si="331"/>
        <v>FFDFD3C0</v>
      </c>
      <c r="D606" t="s">
        <v>113</v>
      </c>
      <c r="E606">
        <v>3</v>
      </c>
      <c r="H606">
        <v>166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369"/>
        <v>14:50:47.406</v>
      </c>
      <c r="T606" t="str">
        <f>"14:50:47.106"</f>
        <v>14:50:47.106</v>
      </c>
      <c r="U606" t="str">
        <f t="shared" si="353"/>
        <v>ACC530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1</v>
      </c>
      <c r="AH606">
        <v>0</v>
      </c>
      <c r="AI606" t="s">
        <v>356</v>
      </c>
      <c r="AJ606">
        <v>34.227068000000003</v>
      </c>
      <c r="AK606" t="s">
        <v>357</v>
      </c>
      <c r="AL606">
        <v>-116.91708300000001</v>
      </c>
      <c r="AM606">
        <v>100</v>
      </c>
      <c r="AN606">
        <v>9100</v>
      </c>
      <c r="AO606" t="s">
        <v>118</v>
      </c>
      <c r="AP606">
        <v>-80</v>
      </c>
      <c r="AQ606">
        <v>-39</v>
      </c>
      <c r="AR606">
        <v>384</v>
      </c>
      <c r="AZ606">
        <v>1200</v>
      </c>
      <c r="BA606">
        <v>1</v>
      </c>
      <c r="BB606" t="str">
        <f t="shared" si="355"/>
        <v xml:space="preserve">N9217B  </v>
      </c>
      <c r="BC606">
        <v>1</v>
      </c>
      <c r="BE606">
        <v>0</v>
      </c>
      <c r="BF606">
        <v>0</v>
      </c>
      <c r="BG606">
        <v>0</v>
      </c>
      <c r="BH606">
        <v>9175</v>
      </c>
      <c r="BI606">
        <v>1</v>
      </c>
      <c r="BJ606">
        <v>0</v>
      </c>
      <c r="BK606">
        <v>0</v>
      </c>
      <c r="BL606">
        <v>0</v>
      </c>
      <c r="BO606">
        <v>0</v>
      </c>
      <c r="BP606">
        <v>0</v>
      </c>
      <c r="BW606" t="str">
        <f t="shared" si="370"/>
        <v>14:50:47.413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293</v>
      </c>
      <c r="CR606">
        <v>1</v>
      </c>
      <c r="CW606">
        <v>15274341</v>
      </c>
      <c r="CY606">
        <v>0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25">
      <c r="A607" t="str">
        <f t="shared" si="368"/>
        <v>06/05/2020 14:50:41.748</v>
      </c>
      <c r="C607" t="str">
        <f t="shared" si="331"/>
        <v>FFDFD3C0</v>
      </c>
      <c r="D607" t="s">
        <v>134</v>
      </c>
      <c r="E607">
        <v>7</v>
      </c>
      <c r="F607">
        <v>2007</v>
      </c>
      <c r="G607" t="s">
        <v>135</v>
      </c>
      <c r="J607" t="s">
        <v>136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369"/>
        <v>14:50:47.406</v>
      </c>
      <c r="T607" t="str">
        <f>"14:50:47.106"</f>
        <v>14:50:47.106</v>
      </c>
      <c r="U607" t="str">
        <f t="shared" si="353"/>
        <v>ACC530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1</v>
      </c>
      <c r="AH607">
        <v>0</v>
      </c>
      <c r="AI607" t="s">
        <v>356</v>
      </c>
      <c r="AJ607">
        <v>34.227068000000003</v>
      </c>
      <c r="AK607" t="s">
        <v>357</v>
      </c>
      <c r="AL607">
        <v>-116.91708300000001</v>
      </c>
      <c r="AM607">
        <v>100</v>
      </c>
      <c r="AN607">
        <v>9100</v>
      </c>
      <c r="AO607" t="s">
        <v>118</v>
      </c>
      <c r="AP607">
        <v>-80</v>
      </c>
      <c r="AQ607">
        <v>-39</v>
      </c>
      <c r="AR607">
        <v>384</v>
      </c>
      <c r="AZ607">
        <v>1200</v>
      </c>
      <c r="BA607">
        <v>1</v>
      </c>
      <c r="BB607" t="str">
        <f t="shared" si="355"/>
        <v xml:space="preserve">N9217B  </v>
      </c>
      <c r="BC607">
        <v>1</v>
      </c>
      <c r="BE607">
        <v>0</v>
      </c>
      <c r="BF607">
        <v>0</v>
      </c>
      <c r="BG607">
        <v>0</v>
      </c>
      <c r="BH607">
        <v>9175</v>
      </c>
      <c r="BI607">
        <v>1</v>
      </c>
      <c r="BJ607">
        <v>0</v>
      </c>
      <c r="BK607">
        <v>0</v>
      </c>
      <c r="BL607">
        <v>0</v>
      </c>
      <c r="BO607">
        <v>0</v>
      </c>
      <c r="BP607">
        <v>0</v>
      </c>
      <c r="BW607" t="str">
        <f t="shared" si="370"/>
        <v>14:50:47.413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293</v>
      </c>
      <c r="CR607">
        <v>1</v>
      </c>
      <c r="CW607">
        <v>15274341</v>
      </c>
      <c r="CY607">
        <v>0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25">
      <c r="A608" t="str">
        <f t="shared" si="368"/>
        <v>06/05/2020 14:50:41.748</v>
      </c>
      <c r="C608" t="str">
        <f t="shared" si="331"/>
        <v>FFDFD3C0</v>
      </c>
      <c r="D608" t="s">
        <v>151</v>
      </c>
      <c r="E608">
        <v>8</v>
      </c>
      <c r="H608">
        <v>225</v>
      </c>
      <c r="I608" t="s">
        <v>353</v>
      </c>
      <c r="J608" t="s">
        <v>150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369"/>
        <v>14:50:47.406</v>
      </c>
      <c r="T608" t="str">
        <f>"14:50:46.506"</f>
        <v>14:50:46.506</v>
      </c>
      <c r="U608" t="str">
        <f t="shared" si="353"/>
        <v>ACC530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1</v>
      </c>
      <c r="AH608">
        <v>0</v>
      </c>
      <c r="AI608" t="s">
        <v>356</v>
      </c>
      <c r="AJ608">
        <v>34.227068000000003</v>
      </c>
      <c r="AK608" t="s">
        <v>357</v>
      </c>
      <c r="AL608">
        <v>-116.91708300000001</v>
      </c>
      <c r="AM608">
        <v>100</v>
      </c>
      <c r="AN608">
        <v>9100</v>
      </c>
      <c r="AO608" t="s">
        <v>118</v>
      </c>
      <c r="AP608">
        <v>-80</v>
      </c>
      <c r="AQ608">
        <v>-39</v>
      </c>
      <c r="AR608">
        <v>384</v>
      </c>
      <c r="AZ608">
        <v>1200</v>
      </c>
      <c r="BA608">
        <v>1</v>
      </c>
      <c r="BB608" t="str">
        <f t="shared" si="355"/>
        <v xml:space="preserve">N9217B  </v>
      </c>
      <c r="BC608">
        <v>1</v>
      </c>
      <c r="BE608">
        <v>0</v>
      </c>
      <c r="BF608">
        <v>0</v>
      </c>
      <c r="BG608">
        <v>0</v>
      </c>
      <c r="BH608">
        <v>9175</v>
      </c>
      <c r="BI608">
        <v>1</v>
      </c>
      <c r="BJ608">
        <v>0</v>
      </c>
      <c r="BK608">
        <v>0</v>
      </c>
      <c r="BL608">
        <v>0</v>
      </c>
      <c r="BO608">
        <v>0</v>
      </c>
      <c r="BP608">
        <v>0</v>
      </c>
      <c r="BW608" t="str">
        <f t="shared" si="370"/>
        <v>14:50:47.413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285</v>
      </c>
      <c r="CR608">
        <v>0</v>
      </c>
      <c r="CW608">
        <v>8843529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25">
      <c r="A609" t="str">
        <f t="shared" si="368"/>
        <v>06/05/2020 14:50:41.748</v>
      </c>
      <c r="C609" t="str">
        <f t="shared" si="331"/>
        <v>FFDFD3C0</v>
      </c>
      <c r="D609" t="s">
        <v>151</v>
      </c>
      <c r="E609">
        <v>9</v>
      </c>
      <c r="H609">
        <v>226</v>
      </c>
      <c r="I609" t="s">
        <v>152</v>
      </c>
      <c r="J609" t="s">
        <v>150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69"/>
        <v>14:50:47.406</v>
      </c>
      <c r="T609" t="str">
        <f>"14:50:47.106"</f>
        <v>14:50:47.106</v>
      </c>
      <c r="U609" t="str">
        <f t="shared" si="353"/>
        <v>ACC530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1</v>
      </c>
      <c r="AH609">
        <v>0</v>
      </c>
      <c r="AI609" t="s">
        <v>356</v>
      </c>
      <c r="AJ609">
        <v>34.227068000000003</v>
      </c>
      <c r="AK609" t="s">
        <v>357</v>
      </c>
      <c r="AL609">
        <v>-116.91708300000001</v>
      </c>
      <c r="AM609">
        <v>100</v>
      </c>
      <c r="AN609">
        <v>9100</v>
      </c>
      <c r="AO609" t="s">
        <v>118</v>
      </c>
      <c r="AP609">
        <v>-80</v>
      </c>
      <c r="AQ609">
        <v>-39</v>
      </c>
      <c r="AR609">
        <v>384</v>
      </c>
      <c r="AZ609">
        <v>1200</v>
      </c>
      <c r="BA609">
        <v>1</v>
      </c>
      <c r="BB609" t="str">
        <f t="shared" si="355"/>
        <v xml:space="preserve">N9217B  </v>
      </c>
      <c r="BC609">
        <v>1</v>
      </c>
      <c r="BE609">
        <v>0</v>
      </c>
      <c r="BF609">
        <v>0</v>
      </c>
      <c r="BG609">
        <v>0</v>
      </c>
      <c r="BH609">
        <v>9175</v>
      </c>
      <c r="BI609">
        <v>1</v>
      </c>
      <c r="BJ609">
        <v>0</v>
      </c>
      <c r="BK609">
        <v>0</v>
      </c>
      <c r="BL609">
        <v>0</v>
      </c>
      <c r="BO609">
        <v>0</v>
      </c>
      <c r="BP609">
        <v>0</v>
      </c>
      <c r="BW609" t="str">
        <f t="shared" si="370"/>
        <v>14:50:47.413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293</v>
      </c>
      <c r="CR609">
        <v>1</v>
      </c>
      <c r="CW609">
        <v>15274341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25">
      <c r="A610" t="str">
        <f t="shared" si="368"/>
        <v>06/05/2020 14:50:41.748</v>
      </c>
      <c r="C610" t="str">
        <f t="shared" si="331"/>
        <v>FFDFD3C0</v>
      </c>
      <c r="D610" t="s">
        <v>148</v>
      </c>
      <c r="E610">
        <v>8</v>
      </c>
      <c r="H610">
        <v>50</v>
      </c>
      <c r="I610" t="s">
        <v>149</v>
      </c>
      <c r="J610" t="s">
        <v>150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369"/>
        <v>14:50:47.406</v>
      </c>
      <c r="T610" t="str">
        <f>"14:50:47.106"</f>
        <v>14:50:47.106</v>
      </c>
      <c r="U610" t="str">
        <f t="shared" si="353"/>
        <v>ACC530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1</v>
      </c>
      <c r="AH610">
        <v>0</v>
      </c>
      <c r="AI610" t="s">
        <v>356</v>
      </c>
      <c r="AJ610">
        <v>34.227068000000003</v>
      </c>
      <c r="AK610" t="s">
        <v>357</v>
      </c>
      <c r="AL610">
        <v>-116.91708300000001</v>
      </c>
      <c r="AM610">
        <v>100</v>
      </c>
      <c r="AN610">
        <v>9100</v>
      </c>
      <c r="AO610" t="s">
        <v>118</v>
      </c>
      <c r="AP610">
        <v>-80</v>
      </c>
      <c r="AQ610">
        <v>-39</v>
      </c>
      <c r="AR610">
        <v>384</v>
      </c>
      <c r="AZ610">
        <v>1200</v>
      </c>
      <c r="BA610">
        <v>1</v>
      </c>
      <c r="BB610" t="str">
        <f t="shared" si="355"/>
        <v xml:space="preserve">N9217B  </v>
      </c>
      <c r="BC610">
        <v>1</v>
      </c>
      <c r="BE610">
        <v>0</v>
      </c>
      <c r="BF610">
        <v>0</v>
      </c>
      <c r="BG610">
        <v>0</v>
      </c>
      <c r="BH610">
        <v>9175</v>
      </c>
      <c r="BI610">
        <v>1</v>
      </c>
      <c r="BJ610">
        <v>0</v>
      </c>
      <c r="BK610">
        <v>0</v>
      </c>
      <c r="BL610">
        <v>0</v>
      </c>
      <c r="BO610">
        <v>0</v>
      </c>
      <c r="BP610">
        <v>0</v>
      </c>
      <c r="BW610" t="str">
        <f t="shared" si="370"/>
        <v>14:50:47.413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293</v>
      </c>
      <c r="CR610">
        <v>1</v>
      </c>
      <c r="CW610">
        <v>15274341</v>
      </c>
      <c r="CY610">
        <v>0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25">
      <c r="A611" t="str">
        <f t="shared" ref="A611:A617" si="371">"06/05/2020 14:50:42.940"</f>
        <v>06/05/2020 14:50:42.940</v>
      </c>
      <c r="C611" t="str">
        <f t="shared" ref="C611:C674" si="372">"FFDFD3C0"</f>
        <v>FFDFD3C0</v>
      </c>
      <c r="D611" t="s">
        <v>134</v>
      </c>
      <c r="E611">
        <v>7</v>
      </c>
      <c r="F611">
        <v>2007</v>
      </c>
      <c r="G611" t="s">
        <v>135</v>
      </c>
      <c r="J611" t="s">
        <v>136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ref="S611:S617" si="373">"14:50:48.578"</f>
        <v>14:50:48.578</v>
      </c>
      <c r="T611" t="str">
        <f t="shared" ref="T611:T617" si="374">"14:50:48.278"</f>
        <v>14:50:48.278</v>
      </c>
      <c r="U611" t="str">
        <f t="shared" si="353"/>
        <v>ACC530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1</v>
      </c>
      <c r="AH611">
        <v>0</v>
      </c>
      <c r="AI611" t="s">
        <v>358</v>
      </c>
      <c r="AJ611">
        <v>34.226875</v>
      </c>
      <c r="AK611" t="s">
        <v>359</v>
      </c>
      <c r="AL611">
        <v>-116.917598</v>
      </c>
      <c r="AM611">
        <v>100</v>
      </c>
      <c r="AN611">
        <v>9100</v>
      </c>
      <c r="AO611" t="s">
        <v>118</v>
      </c>
      <c r="AP611">
        <v>-79</v>
      </c>
      <c r="AQ611">
        <v>-40</v>
      </c>
      <c r="AR611">
        <v>384</v>
      </c>
      <c r="AZ611">
        <v>1200</v>
      </c>
      <c r="BA611">
        <v>1</v>
      </c>
      <c r="BB611" t="str">
        <f t="shared" si="355"/>
        <v xml:space="preserve">N9217B  </v>
      </c>
      <c r="BC611">
        <v>1</v>
      </c>
      <c r="BE611">
        <v>0</v>
      </c>
      <c r="BF611">
        <v>0</v>
      </c>
      <c r="BG611">
        <v>0</v>
      </c>
      <c r="BH611">
        <v>9175</v>
      </c>
      <c r="BI611">
        <v>1</v>
      </c>
      <c r="BJ611">
        <v>0</v>
      </c>
      <c r="BK611">
        <v>0</v>
      </c>
      <c r="BL611">
        <v>0</v>
      </c>
      <c r="BO611">
        <v>0</v>
      </c>
      <c r="BP611">
        <v>0</v>
      </c>
      <c r="BW611" t="str">
        <f t="shared" ref="BW611:BW617" si="375">"14:50:48.582"</f>
        <v>14:50:48.582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293</v>
      </c>
      <c r="CR611">
        <v>1</v>
      </c>
      <c r="CW611">
        <v>15274487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25">
      <c r="A612" t="str">
        <f t="shared" si="371"/>
        <v>06/05/2020 14:50:42.940</v>
      </c>
      <c r="C612" t="str">
        <f t="shared" si="372"/>
        <v>FFDFD3C0</v>
      </c>
      <c r="D612" t="s">
        <v>151</v>
      </c>
      <c r="E612">
        <v>9</v>
      </c>
      <c r="H612">
        <v>226</v>
      </c>
      <c r="I612" t="s">
        <v>152</v>
      </c>
      <c r="J612" t="s">
        <v>150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73"/>
        <v>14:50:48.578</v>
      </c>
      <c r="T612" t="str">
        <f t="shared" si="374"/>
        <v>14:50:48.278</v>
      </c>
      <c r="U612" t="str">
        <f t="shared" si="353"/>
        <v>ACC530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1</v>
      </c>
      <c r="AH612">
        <v>0</v>
      </c>
      <c r="AI612" t="s">
        <v>358</v>
      </c>
      <c r="AJ612">
        <v>34.226875</v>
      </c>
      <c r="AK612" t="s">
        <v>359</v>
      </c>
      <c r="AL612">
        <v>-116.917598</v>
      </c>
      <c r="AM612">
        <v>100</v>
      </c>
      <c r="AN612">
        <v>9100</v>
      </c>
      <c r="AO612" t="s">
        <v>118</v>
      </c>
      <c r="AP612">
        <v>-79</v>
      </c>
      <c r="AQ612">
        <v>-40</v>
      </c>
      <c r="AR612">
        <v>384</v>
      </c>
      <c r="AZ612">
        <v>1200</v>
      </c>
      <c r="BA612">
        <v>1</v>
      </c>
      <c r="BB612" t="str">
        <f t="shared" si="355"/>
        <v xml:space="preserve">N9217B  </v>
      </c>
      <c r="BC612">
        <v>1</v>
      </c>
      <c r="BE612">
        <v>0</v>
      </c>
      <c r="BF612">
        <v>0</v>
      </c>
      <c r="BG612">
        <v>0</v>
      </c>
      <c r="BH612">
        <v>9175</v>
      </c>
      <c r="BI612">
        <v>1</v>
      </c>
      <c r="BJ612">
        <v>0</v>
      </c>
      <c r="BK612">
        <v>0</v>
      </c>
      <c r="BL612">
        <v>0</v>
      </c>
      <c r="BO612">
        <v>0</v>
      </c>
      <c r="BP612">
        <v>0</v>
      </c>
      <c r="BW612" t="str">
        <f t="shared" si="375"/>
        <v>14:50:48.582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293</v>
      </c>
      <c r="CR612">
        <v>1</v>
      </c>
      <c r="CW612">
        <v>15274487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25">
      <c r="A613" t="str">
        <f t="shared" si="371"/>
        <v>06/05/2020 14:50:42.940</v>
      </c>
      <c r="C613" t="str">
        <f t="shared" si="372"/>
        <v>FFDFD3C0</v>
      </c>
      <c r="D613" t="s">
        <v>151</v>
      </c>
      <c r="E613">
        <v>8</v>
      </c>
      <c r="H613">
        <v>225</v>
      </c>
      <c r="I613" t="s">
        <v>353</v>
      </c>
      <c r="J613" t="s">
        <v>150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373"/>
        <v>14:50:48.578</v>
      </c>
      <c r="T613" t="str">
        <f t="shared" si="374"/>
        <v>14:50:48.278</v>
      </c>
      <c r="U613" t="str">
        <f t="shared" si="353"/>
        <v>ACC530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1</v>
      </c>
      <c r="AH613">
        <v>0</v>
      </c>
      <c r="AI613" t="s">
        <v>358</v>
      </c>
      <c r="AJ613">
        <v>34.226875</v>
      </c>
      <c r="AK613" t="s">
        <v>359</v>
      </c>
      <c r="AL613">
        <v>-116.917598</v>
      </c>
      <c r="AM613">
        <v>100</v>
      </c>
      <c r="AN613">
        <v>9100</v>
      </c>
      <c r="AO613" t="s">
        <v>118</v>
      </c>
      <c r="AP613">
        <v>-79</v>
      </c>
      <c r="AQ613">
        <v>-40</v>
      </c>
      <c r="AR613">
        <v>384</v>
      </c>
      <c r="AZ613">
        <v>1200</v>
      </c>
      <c r="BA613">
        <v>1</v>
      </c>
      <c r="BB613" t="str">
        <f t="shared" si="355"/>
        <v xml:space="preserve">N9217B  </v>
      </c>
      <c r="BC613">
        <v>1</v>
      </c>
      <c r="BE613">
        <v>0</v>
      </c>
      <c r="BF613">
        <v>0</v>
      </c>
      <c r="BG613">
        <v>0</v>
      </c>
      <c r="BH613">
        <v>9175</v>
      </c>
      <c r="BI613">
        <v>1</v>
      </c>
      <c r="BJ613">
        <v>0</v>
      </c>
      <c r="BK613">
        <v>0</v>
      </c>
      <c r="BL613">
        <v>0</v>
      </c>
      <c r="BO613">
        <v>0</v>
      </c>
      <c r="BP613">
        <v>0</v>
      </c>
      <c r="BW613" t="str">
        <f t="shared" si="375"/>
        <v>14:50:48.582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119</v>
      </c>
      <c r="CQ613">
        <v>285</v>
      </c>
      <c r="CR613">
        <v>0</v>
      </c>
      <c r="CW613">
        <v>8843632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25">
      <c r="A614" t="str">
        <f t="shared" si="371"/>
        <v>06/05/2020 14:50:42.940</v>
      </c>
      <c r="C614" t="str">
        <f t="shared" si="372"/>
        <v>FFDFD3C0</v>
      </c>
      <c r="D614" t="s">
        <v>141</v>
      </c>
      <c r="E614">
        <v>20</v>
      </c>
      <c r="F614">
        <v>1020</v>
      </c>
      <c r="G614" t="s">
        <v>114</v>
      </c>
      <c r="J614" t="s">
        <v>142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373"/>
        <v>14:50:48.578</v>
      </c>
      <c r="T614" t="str">
        <f t="shared" si="374"/>
        <v>14:50:48.278</v>
      </c>
      <c r="U614" t="str">
        <f t="shared" si="353"/>
        <v>ACC530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1</v>
      </c>
      <c r="AH614">
        <v>0</v>
      </c>
      <c r="AI614" t="s">
        <v>358</v>
      </c>
      <c r="AJ614">
        <v>34.226875</v>
      </c>
      <c r="AK614" t="s">
        <v>359</v>
      </c>
      <c r="AL614">
        <v>-116.917598</v>
      </c>
      <c r="AM614">
        <v>100</v>
      </c>
      <c r="AN614">
        <v>9100</v>
      </c>
      <c r="AO614" t="s">
        <v>118</v>
      </c>
      <c r="AP614">
        <v>-79</v>
      </c>
      <c r="AQ614">
        <v>-40</v>
      </c>
      <c r="AR614">
        <v>384</v>
      </c>
      <c r="AZ614">
        <v>1200</v>
      </c>
      <c r="BA614">
        <v>1</v>
      </c>
      <c r="BB614" t="str">
        <f t="shared" si="355"/>
        <v xml:space="preserve">N9217B  </v>
      </c>
      <c r="BC614">
        <v>1</v>
      </c>
      <c r="BE614">
        <v>0</v>
      </c>
      <c r="BF614">
        <v>0</v>
      </c>
      <c r="BG614">
        <v>0</v>
      </c>
      <c r="BH614">
        <v>9175</v>
      </c>
      <c r="BI614">
        <v>1</v>
      </c>
      <c r="BJ614">
        <v>0</v>
      </c>
      <c r="BK614">
        <v>0</v>
      </c>
      <c r="BL614">
        <v>0</v>
      </c>
      <c r="BO614">
        <v>0</v>
      </c>
      <c r="BP614">
        <v>0</v>
      </c>
      <c r="BW614" t="str">
        <f t="shared" si="375"/>
        <v>14:50:48.582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293</v>
      </c>
      <c r="CR614">
        <v>1</v>
      </c>
      <c r="CW614">
        <v>15274487</v>
      </c>
      <c r="CY614">
        <v>0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25">
      <c r="A615" t="str">
        <f t="shared" si="371"/>
        <v>06/05/2020 14:50:42.940</v>
      </c>
      <c r="C615" t="str">
        <f t="shared" si="372"/>
        <v>FFDFD3C0</v>
      </c>
      <c r="D615" t="s">
        <v>143</v>
      </c>
      <c r="E615">
        <v>10</v>
      </c>
      <c r="F615">
        <v>3010</v>
      </c>
      <c r="G615" t="s">
        <v>144</v>
      </c>
      <c r="J615" t="s">
        <v>145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73"/>
        <v>14:50:48.578</v>
      </c>
      <c r="T615" t="str">
        <f t="shared" si="374"/>
        <v>14:50:48.278</v>
      </c>
      <c r="U615" t="str">
        <f t="shared" si="353"/>
        <v>ACC530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1</v>
      </c>
      <c r="AH615">
        <v>0</v>
      </c>
      <c r="AI615" t="s">
        <v>358</v>
      </c>
      <c r="AJ615">
        <v>34.226875</v>
      </c>
      <c r="AK615" t="s">
        <v>359</v>
      </c>
      <c r="AL615">
        <v>-116.917598</v>
      </c>
      <c r="AM615">
        <v>100</v>
      </c>
      <c r="AN615">
        <v>9100</v>
      </c>
      <c r="AO615" t="s">
        <v>118</v>
      </c>
      <c r="AP615">
        <v>-79</v>
      </c>
      <c r="AQ615">
        <v>-40</v>
      </c>
      <c r="AR615">
        <v>384</v>
      </c>
      <c r="AZ615">
        <v>1200</v>
      </c>
      <c r="BA615">
        <v>1</v>
      </c>
      <c r="BB615" t="str">
        <f t="shared" si="355"/>
        <v xml:space="preserve">N9217B  </v>
      </c>
      <c r="BC615">
        <v>1</v>
      </c>
      <c r="BE615">
        <v>0</v>
      </c>
      <c r="BF615">
        <v>0</v>
      </c>
      <c r="BG615">
        <v>0</v>
      </c>
      <c r="BH615">
        <v>9175</v>
      </c>
      <c r="BI615">
        <v>1</v>
      </c>
      <c r="BJ615">
        <v>0</v>
      </c>
      <c r="BK615">
        <v>0</v>
      </c>
      <c r="BL615">
        <v>0</v>
      </c>
      <c r="BO615">
        <v>0</v>
      </c>
      <c r="BP615">
        <v>0</v>
      </c>
      <c r="BW615" t="str">
        <f t="shared" si="375"/>
        <v>14:50:48.582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293</v>
      </c>
      <c r="CR615">
        <v>1</v>
      </c>
      <c r="CW615">
        <v>15274487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25">
      <c r="A616" t="str">
        <f t="shared" si="371"/>
        <v>06/05/2020 14:50:42.940</v>
      </c>
      <c r="C616" t="str">
        <f t="shared" si="372"/>
        <v>FFDFD3C0</v>
      </c>
      <c r="D616" t="s">
        <v>148</v>
      </c>
      <c r="E616">
        <v>8</v>
      </c>
      <c r="H616">
        <v>50</v>
      </c>
      <c r="I616" t="s">
        <v>149</v>
      </c>
      <c r="J616" t="s">
        <v>150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73"/>
        <v>14:50:48.578</v>
      </c>
      <c r="T616" t="str">
        <f t="shared" si="374"/>
        <v>14:50:48.278</v>
      </c>
      <c r="U616" t="str">
        <f t="shared" si="353"/>
        <v>ACC530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1</v>
      </c>
      <c r="AH616">
        <v>0</v>
      </c>
      <c r="AI616" t="s">
        <v>358</v>
      </c>
      <c r="AJ616">
        <v>34.226875</v>
      </c>
      <c r="AK616" t="s">
        <v>359</v>
      </c>
      <c r="AL616">
        <v>-116.917598</v>
      </c>
      <c r="AM616">
        <v>100</v>
      </c>
      <c r="AN616">
        <v>9100</v>
      </c>
      <c r="AO616" t="s">
        <v>118</v>
      </c>
      <c r="AP616">
        <v>-79</v>
      </c>
      <c r="AQ616">
        <v>-40</v>
      </c>
      <c r="AR616">
        <v>384</v>
      </c>
      <c r="AZ616">
        <v>1200</v>
      </c>
      <c r="BA616">
        <v>1</v>
      </c>
      <c r="BB616" t="str">
        <f t="shared" si="355"/>
        <v xml:space="preserve">N9217B  </v>
      </c>
      <c r="BC616">
        <v>1</v>
      </c>
      <c r="BE616">
        <v>0</v>
      </c>
      <c r="BF616">
        <v>0</v>
      </c>
      <c r="BG616">
        <v>0</v>
      </c>
      <c r="BH616">
        <v>9175</v>
      </c>
      <c r="BI616">
        <v>1</v>
      </c>
      <c r="BJ616">
        <v>0</v>
      </c>
      <c r="BK616">
        <v>0</v>
      </c>
      <c r="BL616">
        <v>0</v>
      </c>
      <c r="BO616">
        <v>0</v>
      </c>
      <c r="BP616">
        <v>0</v>
      </c>
      <c r="BW616" t="str">
        <f t="shared" si="375"/>
        <v>14:50:48.582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293</v>
      </c>
      <c r="CR616">
        <v>1</v>
      </c>
      <c r="CW616">
        <v>15274487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25">
      <c r="A617" t="str">
        <f t="shared" si="371"/>
        <v>06/05/2020 14:50:42.940</v>
      </c>
      <c r="C617" t="str">
        <f t="shared" si="372"/>
        <v>FFDFD3C0</v>
      </c>
      <c r="D617" t="s">
        <v>113</v>
      </c>
      <c r="E617">
        <v>3</v>
      </c>
      <c r="H617">
        <v>166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73"/>
        <v>14:50:48.578</v>
      </c>
      <c r="T617" t="str">
        <f t="shared" si="374"/>
        <v>14:50:48.278</v>
      </c>
      <c r="U617" t="str">
        <f t="shared" si="353"/>
        <v>ACC530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1</v>
      </c>
      <c r="AH617">
        <v>0</v>
      </c>
      <c r="AI617" t="s">
        <v>358</v>
      </c>
      <c r="AJ617">
        <v>34.226875</v>
      </c>
      <c r="AK617" t="s">
        <v>359</v>
      </c>
      <c r="AL617">
        <v>-116.917598</v>
      </c>
      <c r="AM617">
        <v>100</v>
      </c>
      <c r="AN617">
        <v>9100</v>
      </c>
      <c r="AO617" t="s">
        <v>118</v>
      </c>
      <c r="AP617">
        <v>-79</v>
      </c>
      <c r="AQ617">
        <v>-40</v>
      </c>
      <c r="AR617">
        <v>384</v>
      </c>
      <c r="AZ617">
        <v>1200</v>
      </c>
      <c r="BA617">
        <v>1</v>
      </c>
      <c r="BB617" t="str">
        <f t="shared" si="355"/>
        <v xml:space="preserve">N9217B  </v>
      </c>
      <c r="BC617">
        <v>1</v>
      </c>
      <c r="BE617">
        <v>0</v>
      </c>
      <c r="BF617">
        <v>0</v>
      </c>
      <c r="BG617">
        <v>0</v>
      </c>
      <c r="BH617">
        <v>9175</v>
      </c>
      <c r="BI617">
        <v>1</v>
      </c>
      <c r="BJ617">
        <v>0</v>
      </c>
      <c r="BK617">
        <v>0</v>
      </c>
      <c r="BL617">
        <v>0</v>
      </c>
      <c r="BO617">
        <v>0</v>
      </c>
      <c r="BP617">
        <v>0</v>
      </c>
      <c r="BW617" t="str">
        <f t="shared" si="375"/>
        <v>14:50:48.582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293</v>
      </c>
      <c r="CR617">
        <v>1</v>
      </c>
      <c r="CW617">
        <v>15274487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25">
      <c r="A618" t="str">
        <f t="shared" ref="A618:A624" si="376">"06/05/2020 14:50:44.013"</f>
        <v>06/05/2020 14:50:44.013</v>
      </c>
      <c r="C618" t="str">
        <f t="shared" si="372"/>
        <v>FFDFD3C0</v>
      </c>
      <c r="D618" t="s">
        <v>151</v>
      </c>
      <c r="E618">
        <v>9</v>
      </c>
      <c r="H618">
        <v>226</v>
      </c>
      <c r="I618" t="s">
        <v>152</v>
      </c>
      <c r="J618" t="s">
        <v>150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ref="S618:S624" si="377">"14:50:49.656"</f>
        <v>14:50:49.656</v>
      </c>
      <c r="T618" t="str">
        <f t="shared" ref="T618:T624" si="378">"14:50:49.556"</f>
        <v>14:50:49.556</v>
      </c>
      <c r="U618" t="str">
        <f t="shared" si="353"/>
        <v>ACC530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1</v>
      </c>
      <c r="AH618">
        <v>0</v>
      </c>
      <c r="AI618" t="s">
        <v>360</v>
      </c>
      <c r="AJ618">
        <v>34.226661</v>
      </c>
      <c r="AK618" t="s">
        <v>361</v>
      </c>
      <c r="AL618">
        <v>-116.91807</v>
      </c>
      <c r="AM618">
        <v>100</v>
      </c>
      <c r="AN618">
        <v>9100</v>
      </c>
      <c r="AO618" t="s">
        <v>118</v>
      </c>
      <c r="AP618">
        <v>-79</v>
      </c>
      <c r="AQ618">
        <v>-39</v>
      </c>
      <c r="AR618">
        <v>256</v>
      </c>
      <c r="AZ618">
        <v>1200</v>
      </c>
      <c r="BA618">
        <v>1</v>
      </c>
      <c r="BB618" t="str">
        <f t="shared" si="355"/>
        <v xml:space="preserve">N9217B  </v>
      </c>
      <c r="BC618">
        <v>1</v>
      </c>
      <c r="BE618">
        <v>0</v>
      </c>
      <c r="BF618">
        <v>0</v>
      </c>
      <c r="BG618">
        <v>0</v>
      </c>
      <c r="BH618">
        <v>9175</v>
      </c>
      <c r="BI618">
        <v>1</v>
      </c>
      <c r="BJ618">
        <v>0</v>
      </c>
      <c r="BK618">
        <v>0</v>
      </c>
      <c r="BL618">
        <v>0</v>
      </c>
      <c r="BO618">
        <v>0</v>
      </c>
      <c r="BP618">
        <v>0</v>
      </c>
      <c r="BW618" t="str">
        <f t="shared" ref="BW618:BW624" si="379">"14:50:49.662"</f>
        <v>14:50:49.662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293</v>
      </c>
      <c r="CR618">
        <v>1</v>
      </c>
      <c r="CW618">
        <v>15274612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25">
      <c r="A619" t="str">
        <f t="shared" si="376"/>
        <v>06/05/2020 14:50:44.013</v>
      </c>
      <c r="C619" t="str">
        <f t="shared" si="372"/>
        <v>FFDFD3C0</v>
      </c>
      <c r="D619" t="s">
        <v>143</v>
      </c>
      <c r="E619">
        <v>10</v>
      </c>
      <c r="F619">
        <v>3010</v>
      </c>
      <c r="G619" t="s">
        <v>144</v>
      </c>
      <c r="J619" t="s">
        <v>145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77"/>
        <v>14:50:49.656</v>
      </c>
      <c r="T619" t="str">
        <f t="shared" si="378"/>
        <v>14:50:49.556</v>
      </c>
      <c r="U619" t="str">
        <f t="shared" si="353"/>
        <v>ACC530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1</v>
      </c>
      <c r="AH619">
        <v>0</v>
      </c>
      <c r="AI619" t="s">
        <v>360</v>
      </c>
      <c r="AJ619">
        <v>34.226661</v>
      </c>
      <c r="AK619" t="s">
        <v>361</v>
      </c>
      <c r="AL619">
        <v>-116.91807</v>
      </c>
      <c r="AM619">
        <v>100</v>
      </c>
      <c r="AN619">
        <v>9100</v>
      </c>
      <c r="AO619" t="s">
        <v>118</v>
      </c>
      <c r="AP619">
        <v>-79</v>
      </c>
      <c r="AQ619">
        <v>-39</v>
      </c>
      <c r="AR619">
        <v>256</v>
      </c>
      <c r="AZ619">
        <v>1200</v>
      </c>
      <c r="BA619">
        <v>1</v>
      </c>
      <c r="BB619" t="str">
        <f t="shared" si="355"/>
        <v xml:space="preserve">N9217B  </v>
      </c>
      <c r="BC619">
        <v>1</v>
      </c>
      <c r="BE619">
        <v>0</v>
      </c>
      <c r="BF619">
        <v>0</v>
      </c>
      <c r="BG619">
        <v>0</v>
      </c>
      <c r="BH619">
        <v>9175</v>
      </c>
      <c r="BI619">
        <v>1</v>
      </c>
      <c r="BJ619">
        <v>0</v>
      </c>
      <c r="BK619">
        <v>0</v>
      </c>
      <c r="BL619">
        <v>0</v>
      </c>
      <c r="BO619">
        <v>0</v>
      </c>
      <c r="BP619">
        <v>0</v>
      </c>
      <c r="BW619" t="str">
        <f t="shared" si="379"/>
        <v>14:50:49.662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293</v>
      </c>
      <c r="CR619">
        <v>1</v>
      </c>
      <c r="CW619">
        <v>15274612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25">
      <c r="A620" t="str">
        <f t="shared" si="376"/>
        <v>06/05/2020 14:50:44.013</v>
      </c>
      <c r="C620" t="str">
        <f t="shared" si="372"/>
        <v>FFDFD3C0</v>
      </c>
      <c r="D620" t="s">
        <v>151</v>
      </c>
      <c r="E620">
        <v>8</v>
      </c>
      <c r="H620">
        <v>225</v>
      </c>
      <c r="I620" t="s">
        <v>353</v>
      </c>
      <c r="J620" t="s">
        <v>150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377"/>
        <v>14:50:49.656</v>
      </c>
      <c r="T620" t="str">
        <f t="shared" si="378"/>
        <v>14:50:49.556</v>
      </c>
      <c r="U620" t="str">
        <f t="shared" si="353"/>
        <v>ACC530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1</v>
      </c>
      <c r="AH620">
        <v>0</v>
      </c>
      <c r="AI620" t="s">
        <v>360</v>
      </c>
      <c r="AJ620">
        <v>34.226661</v>
      </c>
      <c r="AK620" t="s">
        <v>361</v>
      </c>
      <c r="AL620">
        <v>-116.91807</v>
      </c>
      <c r="AM620">
        <v>100</v>
      </c>
      <c r="AN620">
        <v>9100</v>
      </c>
      <c r="AO620" t="s">
        <v>118</v>
      </c>
      <c r="AP620">
        <v>-79</v>
      </c>
      <c r="AQ620">
        <v>-39</v>
      </c>
      <c r="AR620">
        <v>256</v>
      </c>
      <c r="AZ620">
        <v>1200</v>
      </c>
      <c r="BA620">
        <v>1</v>
      </c>
      <c r="BB620" t="str">
        <f t="shared" si="355"/>
        <v xml:space="preserve">N9217B  </v>
      </c>
      <c r="BC620">
        <v>1</v>
      </c>
      <c r="BE620">
        <v>0</v>
      </c>
      <c r="BF620">
        <v>0</v>
      </c>
      <c r="BG620">
        <v>0</v>
      </c>
      <c r="BH620">
        <v>9175</v>
      </c>
      <c r="BI620">
        <v>1</v>
      </c>
      <c r="BJ620">
        <v>0</v>
      </c>
      <c r="BK620">
        <v>0</v>
      </c>
      <c r="BL620">
        <v>0</v>
      </c>
      <c r="BO620">
        <v>0</v>
      </c>
      <c r="BP620">
        <v>0</v>
      </c>
      <c r="BW620" t="str">
        <f t="shared" si="379"/>
        <v>14:50:49.662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285</v>
      </c>
      <c r="CR620">
        <v>0</v>
      </c>
      <c r="CW620">
        <v>8843727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25">
      <c r="A621" t="str">
        <f t="shared" si="376"/>
        <v>06/05/2020 14:50:44.013</v>
      </c>
      <c r="C621" t="str">
        <f t="shared" si="372"/>
        <v>FFDFD3C0</v>
      </c>
      <c r="D621" t="s">
        <v>141</v>
      </c>
      <c r="E621">
        <v>20</v>
      </c>
      <c r="F621">
        <v>1020</v>
      </c>
      <c r="G621" t="s">
        <v>114</v>
      </c>
      <c r="J621" t="s">
        <v>142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77"/>
        <v>14:50:49.656</v>
      </c>
      <c r="T621" t="str">
        <f t="shared" si="378"/>
        <v>14:50:49.556</v>
      </c>
      <c r="U621" t="str">
        <f t="shared" si="353"/>
        <v>ACC530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1</v>
      </c>
      <c r="AH621">
        <v>0</v>
      </c>
      <c r="AI621" t="s">
        <v>360</v>
      </c>
      <c r="AJ621">
        <v>34.226661</v>
      </c>
      <c r="AK621" t="s">
        <v>361</v>
      </c>
      <c r="AL621">
        <v>-116.91807</v>
      </c>
      <c r="AM621">
        <v>100</v>
      </c>
      <c r="AN621">
        <v>9100</v>
      </c>
      <c r="AO621" t="s">
        <v>118</v>
      </c>
      <c r="AP621">
        <v>-79</v>
      </c>
      <c r="AQ621">
        <v>-39</v>
      </c>
      <c r="AR621">
        <v>256</v>
      </c>
      <c r="AZ621">
        <v>1200</v>
      </c>
      <c r="BA621">
        <v>1</v>
      </c>
      <c r="BB621" t="str">
        <f t="shared" si="355"/>
        <v xml:space="preserve">N9217B  </v>
      </c>
      <c r="BC621">
        <v>1</v>
      </c>
      <c r="BE621">
        <v>0</v>
      </c>
      <c r="BF621">
        <v>0</v>
      </c>
      <c r="BG621">
        <v>0</v>
      </c>
      <c r="BH621">
        <v>9175</v>
      </c>
      <c r="BI621">
        <v>1</v>
      </c>
      <c r="BJ621">
        <v>0</v>
      </c>
      <c r="BK621">
        <v>0</v>
      </c>
      <c r="BL621">
        <v>0</v>
      </c>
      <c r="BO621">
        <v>0</v>
      </c>
      <c r="BP621">
        <v>0</v>
      </c>
      <c r="BW621" t="str">
        <f t="shared" si="379"/>
        <v>14:50:49.662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293</v>
      </c>
      <c r="CR621">
        <v>1</v>
      </c>
      <c r="CW621">
        <v>15274612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25">
      <c r="A622" t="str">
        <f t="shared" si="376"/>
        <v>06/05/2020 14:50:44.013</v>
      </c>
      <c r="C622" t="str">
        <f t="shared" si="372"/>
        <v>FFDFD3C0</v>
      </c>
      <c r="D622" t="s">
        <v>148</v>
      </c>
      <c r="E622">
        <v>8</v>
      </c>
      <c r="H622">
        <v>50</v>
      </c>
      <c r="I622" t="s">
        <v>149</v>
      </c>
      <c r="J622" t="s">
        <v>150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77"/>
        <v>14:50:49.656</v>
      </c>
      <c r="T622" t="str">
        <f t="shared" si="378"/>
        <v>14:50:49.556</v>
      </c>
      <c r="U622" t="str">
        <f t="shared" si="353"/>
        <v>ACC530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1</v>
      </c>
      <c r="AH622">
        <v>0</v>
      </c>
      <c r="AI622" t="s">
        <v>360</v>
      </c>
      <c r="AJ622">
        <v>34.226661</v>
      </c>
      <c r="AK622" t="s">
        <v>361</v>
      </c>
      <c r="AL622">
        <v>-116.91807</v>
      </c>
      <c r="AM622">
        <v>100</v>
      </c>
      <c r="AN622">
        <v>9100</v>
      </c>
      <c r="AO622" t="s">
        <v>118</v>
      </c>
      <c r="AP622">
        <v>-79</v>
      </c>
      <c r="AQ622">
        <v>-39</v>
      </c>
      <c r="AR622">
        <v>256</v>
      </c>
      <c r="AZ622">
        <v>1200</v>
      </c>
      <c r="BA622">
        <v>1</v>
      </c>
      <c r="BB622" t="str">
        <f t="shared" si="355"/>
        <v xml:space="preserve">N9217B  </v>
      </c>
      <c r="BC622">
        <v>1</v>
      </c>
      <c r="BE622">
        <v>0</v>
      </c>
      <c r="BF622">
        <v>0</v>
      </c>
      <c r="BG622">
        <v>0</v>
      </c>
      <c r="BH622">
        <v>9175</v>
      </c>
      <c r="BI622">
        <v>1</v>
      </c>
      <c r="BJ622">
        <v>0</v>
      </c>
      <c r="BK622">
        <v>0</v>
      </c>
      <c r="BL622">
        <v>0</v>
      </c>
      <c r="BO622">
        <v>0</v>
      </c>
      <c r="BP622">
        <v>0</v>
      </c>
      <c r="BW622" t="str">
        <f t="shared" si="379"/>
        <v>14:50:49.662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293</v>
      </c>
      <c r="CR622">
        <v>1</v>
      </c>
      <c r="CW622">
        <v>15274612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25">
      <c r="A623" t="str">
        <f t="shared" si="376"/>
        <v>06/05/2020 14:50:44.013</v>
      </c>
      <c r="C623" t="str">
        <f t="shared" si="372"/>
        <v>FFDFD3C0</v>
      </c>
      <c r="D623" t="s">
        <v>113</v>
      </c>
      <c r="E623">
        <v>3</v>
      </c>
      <c r="H623">
        <v>166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77"/>
        <v>14:50:49.656</v>
      </c>
      <c r="T623" t="str">
        <f t="shared" si="378"/>
        <v>14:50:49.556</v>
      </c>
      <c r="U623" t="str">
        <f t="shared" si="353"/>
        <v>ACC530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1</v>
      </c>
      <c r="AH623">
        <v>0</v>
      </c>
      <c r="AI623" t="s">
        <v>360</v>
      </c>
      <c r="AJ623">
        <v>34.226661</v>
      </c>
      <c r="AK623" t="s">
        <v>361</v>
      </c>
      <c r="AL623">
        <v>-116.91807</v>
      </c>
      <c r="AM623">
        <v>100</v>
      </c>
      <c r="AN623">
        <v>9100</v>
      </c>
      <c r="AO623" t="s">
        <v>118</v>
      </c>
      <c r="AP623">
        <v>-79</v>
      </c>
      <c r="AQ623">
        <v>-39</v>
      </c>
      <c r="AR623">
        <v>256</v>
      </c>
      <c r="AZ623">
        <v>1200</v>
      </c>
      <c r="BA623">
        <v>1</v>
      </c>
      <c r="BB623" t="str">
        <f t="shared" si="355"/>
        <v xml:space="preserve">N9217B  </v>
      </c>
      <c r="BC623">
        <v>1</v>
      </c>
      <c r="BE623">
        <v>0</v>
      </c>
      <c r="BF623">
        <v>0</v>
      </c>
      <c r="BG623">
        <v>0</v>
      </c>
      <c r="BH623">
        <v>9175</v>
      </c>
      <c r="BI623">
        <v>1</v>
      </c>
      <c r="BJ623">
        <v>0</v>
      </c>
      <c r="BK623">
        <v>0</v>
      </c>
      <c r="BL623">
        <v>0</v>
      </c>
      <c r="BO623">
        <v>0</v>
      </c>
      <c r="BP623">
        <v>0</v>
      </c>
      <c r="BW623" t="str">
        <f t="shared" si="379"/>
        <v>14:50:49.662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293</v>
      </c>
      <c r="CR623">
        <v>1</v>
      </c>
      <c r="CW623">
        <v>15274612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25">
      <c r="A624" t="str">
        <f t="shared" si="376"/>
        <v>06/05/2020 14:50:44.013</v>
      </c>
      <c r="C624" t="str">
        <f t="shared" si="372"/>
        <v>FFDFD3C0</v>
      </c>
      <c r="D624" t="s">
        <v>134</v>
      </c>
      <c r="E624">
        <v>7</v>
      </c>
      <c r="F624">
        <v>2007</v>
      </c>
      <c r="G624" t="s">
        <v>135</v>
      </c>
      <c r="J624" t="s">
        <v>136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77"/>
        <v>14:50:49.656</v>
      </c>
      <c r="T624" t="str">
        <f t="shared" si="378"/>
        <v>14:50:49.556</v>
      </c>
      <c r="U624" t="str">
        <f t="shared" si="353"/>
        <v>ACC530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1</v>
      </c>
      <c r="AH624">
        <v>0</v>
      </c>
      <c r="AI624" t="s">
        <v>360</v>
      </c>
      <c r="AJ624">
        <v>34.226661</v>
      </c>
      <c r="AK624" t="s">
        <v>361</v>
      </c>
      <c r="AL624">
        <v>-116.91807</v>
      </c>
      <c r="AM624">
        <v>100</v>
      </c>
      <c r="AN624">
        <v>9100</v>
      </c>
      <c r="AO624" t="s">
        <v>118</v>
      </c>
      <c r="AP624">
        <v>-79</v>
      </c>
      <c r="AQ624">
        <v>-39</v>
      </c>
      <c r="AR624">
        <v>256</v>
      </c>
      <c r="AZ624">
        <v>1200</v>
      </c>
      <c r="BA624">
        <v>1</v>
      </c>
      <c r="BB624" t="str">
        <f t="shared" si="355"/>
        <v xml:space="preserve">N9217B  </v>
      </c>
      <c r="BC624">
        <v>1</v>
      </c>
      <c r="BE624">
        <v>0</v>
      </c>
      <c r="BF624">
        <v>0</v>
      </c>
      <c r="BG624">
        <v>0</v>
      </c>
      <c r="BH624">
        <v>9175</v>
      </c>
      <c r="BI624">
        <v>1</v>
      </c>
      <c r="BJ624">
        <v>0</v>
      </c>
      <c r="BK624">
        <v>0</v>
      </c>
      <c r="BL624">
        <v>0</v>
      </c>
      <c r="BO624">
        <v>0</v>
      </c>
      <c r="BP624">
        <v>0</v>
      </c>
      <c r="BW624" t="str">
        <f t="shared" si="379"/>
        <v>14:50:49.662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293</v>
      </c>
      <c r="CR624">
        <v>1</v>
      </c>
      <c r="CW624">
        <v>15274612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25">
      <c r="A625" t="str">
        <f t="shared" ref="A625:A632" si="380">"06/05/2020 14:50:44.855"</f>
        <v>06/05/2020 14:50:44.855</v>
      </c>
      <c r="C625" t="str">
        <f t="shared" si="372"/>
        <v>FFDFD3C0</v>
      </c>
      <c r="D625" t="s">
        <v>134</v>
      </c>
      <c r="E625">
        <v>7</v>
      </c>
      <c r="F625">
        <v>2007</v>
      </c>
      <c r="G625" t="s">
        <v>135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ref="S625:T632" si="381">"14:50:50.500"</f>
        <v>14:50:50.500</v>
      </c>
      <c r="T625" t="str">
        <f t="shared" si="381"/>
        <v>14:50:50.500</v>
      </c>
      <c r="U625" t="str">
        <f t="shared" si="353"/>
        <v>ACC530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1</v>
      </c>
      <c r="AH625">
        <v>0</v>
      </c>
      <c r="AI625" t="s">
        <v>362</v>
      </c>
      <c r="AJ625">
        <v>34.226531999999999</v>
      </c>
      <c r="AK625" t="s">
        <v>363</v>
      </c>
      <c r="AL625">
        <v>-116.918457</v>
      </c>
      <c r="AM625">
        <v>100</v>
      </c>
      <c r="AN625">
        <v>9100</v>
      </c>
      <c r="AO625" t="s">
        <v>118</v>
      </c>
      <c r="AP625">
        <v>-80</v>
      </c>
      <c r="AQ625">
        <v>-39</v>
      </c>
      <c r="AR625">
        <v>320</v>
      </c>
      <c r="AZ625">
        <v>1200</v>
      </c>
      <c r="BA625">
        <v>1</v>
      </c>
      <c r="BB625" t="str">
        <f t="shared" si="355"/>
        <v xml:space="preserve">N9217B  </v>
      </c>
      <c r="BC625">
        <v>1</v>
      </c>
      <c r="BE625">
        <v>0</v>
      </c>
      <c r="BF625">
        <v>0</v>
      </c>
      <c r="BG625">
        <v>0</v>
      </c>
      <c r="BH625">
        <v>9200</v>
      </c>
      <c r="BI625">
        <v>1</v>
      </c>
      <c r="BJ625">
        <v>0</v>
      </c>
      <c r="BK625">
        <v>0</v>
      </c>
      <c r="BL625">
        <v>0</v>
      </c>
      <c r="BO625">
        <v>0</v>
      </c>
      <c r="BP625">
        <v>0</v>
      </c>
      <c r="BW625" t="str">
        <f t="shared" ref="BW625:BW632" si="382">"14:50:50.502"</f>
        <v>14:50:50.502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293</v>
      </c>
      <c r="CR625">
        <v>1</v>
      </c>
      <c r="CW625">
        <v>15274711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25">
      <c r="A626" t="str">
        <f t="shared" si="380"/>
        <v>06/05/2020 14:50:44.855</v>
      </c>
      <c r="C626" t="str">
        <f t="shared" si="372"/>
        <v>FFDFD3C0</v>
      </c>
      <c r="D626" t="s">
        <v>143</v>
      </c>
      <c r="E626">
        <v>10</v>
      </c>
      <c r="F626">
        <v>3010</v>
      </c>
      <c r="G626" t="s">
        <v>144</v>
      </c>
      <c r="J626" t="s">
        <v>145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381"/>
        <v>14:50:50.500</v>
      </c>
      <c r="T626" t="str">
        <f t="shared" si="381"/>
        <v>14:50:50.500</v>
      </c>
      <c r="U626" t="str">
        <f t="shared" si="353"/>
        <v>ACC530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1</v>
      </c>
      <c r="AH626">
        <v>0</v>
      </c>
      <c r="AI626" t="s">
        <v>362</v>
      </c>
      <c r="AJ626">
        <v>34.226531999999999</v>
      </c>
      <c r="AK626" t="s">
        <v>363</v>
      </c>
      <c r="AL626">
        <v>-116.918457</v>
      </c>
      <c r="AM626">
        <v>100</v>
      </c>
      <c r="AN626">
        <v>9100</v>
      </c>
      <c r="AO626" t="s">
        <v>118</v>
      </c>
      <c r="AP626">
        <v>-80</v>
      </c>
      <c r="AQ626">
        <v>-39</v>
      </c>
      <c r="AR626">
        <v>320</v>
      </c>
      <c r="AZ626">
        <v>1200</v>
      </c>
      <c r="BA626">
        <v>1</v>
      </c>
      <c r="BB626" t="str">
        <f t="shared" si="355"/>
        <v xml:space="preserve">N9217B  </v>
      </c>
      <c r="BC626">
        <v>1</v>
      </c>
      <c r="BE626">
        <v>0</v>
      </c>
      <c r="BF626">
        <v>0</v>
      </c>
      <c r="BG626">
        <v>0</v>
      </c>
      <c r="BH626">
        <v>9200</v>
      </c>
      <c r="BI626">
        <v>1</v>
      </c>
      <c r="BJ626">
        <v>0</v>
      </c>
      <c r="BK626">
        <v>0</v>
      </c>
      <c r="BL626">
        <v>0</v>
      </c>
      <c r="BO626">
        <v>0</v>
      </c>
      <c r="BP626">
        <v>0</v>
      </c>
      <c r="BW626" t="str">
        <f t="shared" si="382"/>
        <v>14:50:50.502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293</v>
      </c>
      <c r="CR626">
        <v>1</v>
      </c>
      <c r="CW626">
        <v>15274711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25">
      <c r="A627" t="str">
        <f t="shared" si="380"/>
        <v>06/05/2020 14:50:44.855</v>
      </c>
      <c r="C627" t="str">
        <f t="shared" si="372"/>
        <v>FFDFD3C0</v>
      </c>
      <c r="D627" t="s">
        <v>148</v>
      </c>
      <c r="E627">
        <v>11</v>
      </c>
      <c r="H627">
        <v>53</v>
      </c>
      <c r="I627" t="s">
        <v>364</v>
      </c>
      <c r="J627" t="s">
        <v>150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81"/>
        <v>14:50:50.500</v>
      </c>
      <c r="T627" t="str">
        <f t="shared" si="381"/>
        <v>14:50:50.500</v>
      </c>
      <c r="U627" t="str">
        <f t="shared" si="353"/>
        <v>ACC530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1</v>
      </c>
      <c r="AH627">
        <v>0</v>
      </c>
      <c r="AI627" t="s">
        <v>362</v>
      </c>
      <c r="AJ627">
        <v>34.226531999999999</v>
      </c>
      <c r="AK627" t="s">
        <v>363</v>
      </c>
      <c r="AL627">
        <v>-116.918457</v>
      </c>
      <c r="AM627">
        <v>100</v>
      </c>
      <c r="AN627">
        <v>9100</v>
      </c>
      <c r="AO627" t="s">
        <v>118</v>
      </c>
      <c r="AP627">
        <v>-80</v>
      </c>
      <c r="AQ627">
        <v>-39</v>
      </c>
      <c r="AR627">
        <v>320</v>
      </c>
      <c r="AZ627">
        <v>1200</v>
      </c>
      <c r="BA627">
        <v>1</v>
      </c>
      <c r="BB627" t="str">
        <f t="shared" si="355"/>
        <v xml:space="preserve">N9217B  </v>
      </c>
      <c r="BC627">
        <v>1</v>
      </c>
      <c r="BE627">
        <v>0</v>
      </c>
      <c r="BF627">
        <v>0</v>
      </c>
      <c r="BG627">
        <v>0</v>
      </c>
      <c r="BH627">
        <v>9200</v>
      </c>
      <c r="BI627">
        <v>1</v>
      </c>
      <c r="BJ627">
        <v>0</v>
      </c>
      <c r="BK627">
        <v>0</v>
      </c>
      <c r="BL627">
        <v>0</v>
      </c>
      <c r="BO627">
        <v>0</v>
      </c>
      <c r="BP627">
        <v>0</v>
      </c>
      <c r="BW627" t="str">
        <f t="shared" si="382"/>
        <v>14:50:50.502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293</v>
      </c>
      <c r="CR627">
        <v>1</v>
      </c>
      <c r="CW627">
        <v>15274711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25">
      <c r="A628" t="str">
        <f t="shared" si="380"/>
        <v>06/05/2020 14:50:44.855</v>
      </c>
      <c r="C628" t="str">
        <f t="shared" si="372"/>
        <v>FFDFD3C0</v>
      </c>
      <c r="D628" t="s">
        <v>151</v>
      </c>
      <c r="E628">
        <v>9</v>
      </c>
      <c r="H628">
        <v>226</v>
      </c>
      <c r="I628" t="s">
        <v>152</v>
      </c>
      <c r="J628" t="s">
        <v>150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81"/>
        <v>14:50:50.500</v>
      </c>
      <c r="T628" t="str">
        <f t="shared" si="381"/>
        <v>14:50:50.500</v>
      </c>
      <c r="U628" t="str">
        <f t="shared" si="353"/>
        <v>ACC530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1</v>
      </c>
      <c r="AH628">
        <v>0</v>
      </c>
      <c r="AI628" t="s">
        <v>362</v>
      </c>
      <c r="AJ628">
        <v>34.226531999999999</v>
      </c>
      <c r="AK628" t="s">
        <v>363</v>
      </c>
      <c r="AL628">
        <v>-116.918457</v>
      </c>
      <c r="AM628">
        <v>100</v>
      </c>
      <c r="AN628">
        <v>9100</v>
      </c>
      <c r="AO628" t="s">
        <v>118</v>
      </c>
      <c r="AP628">
        <v>-80</v>
      </c>
      <c r="AQ628">
        <v>-39</v>
      </c>
      <c r="AR628">
        <v>320</v>
      </c>
      <c r="AZ628">
        <v>1200</v>
      </c>
      <c r="BA628">
        <v>1</v>
      </c>
      <c r="BB628" t="str">
        <f t="shared" si="355"/>
        <v xml:space="preserve">N9217B  </v>
      </c>
      <c r="BC628">
        <v>1</v>
      </c>
      <c r="BE628">
        <v>0</v>
      </c>
      <c r="BF628">
        <v>0</v>
      </c>
      <c r="BG628">
        <v>0</v>
      </c>
      <c r="BH628">
        <v>9200</v>
      </c>
      <c r="BI628">
        <v>1</v>
      </c>
      <c r="BJ628">
        <v>0</v>
      </c>
      <c r="BK628">
        <v>0</v>
      </c>
      <c r="BL628">
        <v>0</v>
      </c>
      <c r="BO628">
        <v>0</v>
      </c>
      <c r="BP628">
        <v>0</v>
      </c>
      <c r="BW628" t="str">
        <f t="shared" si="382"/>
        <v>14:50:50.502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293</v>
      </c>
      <c r="CR628">
        <v>1</v>
      </c>
      <c r="CW628">
        <v>15274711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25">
      <c r="A629" t="str">
        <f t="shared" si="380"/>
        <v>06/05/2020 14:50:44.855</v>
      </c>
      <c r="C629" t="str">
        <f t="shared" si="372"/>
        <v>FFDFD3C0</v>
      </c>
      <c r="D629" t="s">
        <v>151</v>
      </c>
      <c r="E629">
        <v>8</v>
      </c>
      <c r="H629">
        <v>225</v>
      </c>
      <c r="I629" t="s">
        <v>353</v>
      </c>
      <c r="J629" t="s">
        <v>150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81"/>
        <v>14:50:50.500</v>
      </c>
      <c r="T629" t="str">
        <f t="shared" si="381"/>
        <v>14:50:50.500</v>
      </c>
      <c r="U629" t="str">
        <f t="shared" si="353"/>
        <v>ACC530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1</v>
      </c>
      <c r="AH629">
        <v>0</v>
      </c>
      <c r="AI629" t="s">
        <v>362</v>
      </c>
      <c r="AJ629">
        <v>34.226531999999999</v>
      </c>
      <c r="AK629" t="s">
        <v>363</v>
      </c>
      <c r="AL629">
        <v>-116.918457</v>
      </c>
      <c r="AM629">
        <v>100</v>
      </c>
      <c r="AN629">
        <v>9100</v>
      </c>
      <c r="AO629" t="s">
        <v>118</v>
      </c>
      <c r="AP629">
        <v>-80</v>
      </c>
      <c r="AQ629">
        <v>-39</v>
      </c>
      <c r="AR629">
        <v>320</v>
      </c>
      <c r="AZ629">
        <v>1200</v>
      </c>
      <c r="BA629">
        <v>1</v>
      </c>
      <c r="BB629" t="str">
        <f t="shared" si="355"/>
        <v xml:space="preserve">N9217B  </v>
      </c>
      <c r="BC629">
        <v>1</v>
      </c>
      <c r="BE629">
        <v>0</v>
      </c>
      <c r="BF629">
        <v>0</v>
      </c>
      <c r="BG629">
        <v>0</v>
      </c>
      <c r="BH629">
        <v>9200</v>
      </c>
      <c r="BI629">
        <v>1</v>
      </c>
      <c r="BJ629">
        <v>0</v>
      </c>
      <c r="BK629">
        <v>0</v>
      </c>
      <c r="BL629">
        <v>0</v>
      </c>
      <c r="BO629">
        <v>0</v>
      </c>
      <c r="BP629">
        <v>0</v>
      </c>
      <c r="BW629" t="str">
        <f t="shared" si="382"/>
        <v>14:50:50.502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5</v>
      </c>
      <c r="CP629" t="s">
        <v>119</v>
      </c>
      <c r="CQ629">
        <v>285</v>
      </c>
      <c r="CR629">
        <v>3</v>
      </c>
      <c r="CW629">
        <v>8843794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25">
      <c r="A630" t="str">
        <f t="shared" si="380"/>
        <v>06/05/2020 14:50:44.855</v>
      </c>
      <c r="C630" t="str">
        <f t="shared" si="372"/>
        <v>FFDFD3C0</v>
      </c>
      <c r="D630" t="s">
        <v>141</v>
      </c>
      <c r="E630">
        <v>20</v>
      </c>
      <c r="F630">
        <v>1020</v>
      </c>
      <c r="G630" t="s">
        <v>114</v>
      </c>
      <c r="J630" t="s">
        <v>142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381"/>
        <v>14:50:50.500</v>
      </c>
      <c r="T630" t="str">
        <f t="shared" si="381"/>
        <v>14:50:50.500</v>
      </c>
      <c r="U630" t="str">
        <f t="shared" si="353"/>
        <v>ACC530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1</v>
      </c>
      <c r="AH630">
        <v>0</v>
      </c>
      <c r="AI630" t="s">
        <v>362</v>
      </c>
      <c r="AJ630">
        <v>34.226531999999999</v>
      </c>
      <c r="AK630" t="s">
        <v>363</v>
      </c>
      <c r="AL630">
        <v>-116.918457</v>
      </c>
      <c r="AM630">
        <v>100</v>
      </c>
      <c r="AN630">
        <v>9100</v>
      </c>
      <c r="AO630" t="s">
        <v>118</v>
      </c>
      <c r="AP630">
        <v>-80</v>
      </c>
      <c r="AQ630">
        <v>-39</v>
      </c>
      <c r="AR630">
        <v>320</v>
      </c>
      <c r="AZ630">
        <v>1200</v>
      </c>
      <c r="BA630">
        <v>1</v>
      </c>
      <c r="BB630" t="str">
        <f t="shared" si="355"/>
        <v xml:space="preserve">N9217B  </v>
      </c>
      <c r="BC630">
        <v>1</v>
      </c>
      <c r="BE630">
        <v>0</v>
      </c>
      <c r="BF630">
        <v>0</v>
      </c>
      <c r="BG630">
        <v>0</v>
      </c>
      <c r="BH630">
        <v>9200</v>
      </c>
      <c r="BI630">
        <v>1</v>
      </c>
      <c r="BJ630">
        <v>0</v>
      </c>
      <c r="BK630">
        <v>0</v>
      </c>
      <c r="BL630">
        <v>0</v>
      </c>
      <c r="BO630">
        <v>0</v>
      </c>
      <c r="BP630">
        <v>0</v>
      </c>
      <c r="BW630" t="str">
        <f t="shared" si="382"/>
        <v>14:50:50.502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293</v>
      </c>
      <c r="CR630">
        <v>1</v>
      </c>
      <c r="CW630">
        <v>15274711</v>
      </c>
      <c r="CY630">
        <v>0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25">
      <c r="A631" t="str">
        <f t="shared" si="380"/>
        <v>06/05/2020 14:50:44.855</v>
      </c>
      <c r="C631" t="str">
        <f t="shared" si="372"/>
        <v>FFDFD3C0</v>
      </c>
      <c r="D631" t="s">
        <v>148</v>
      </c>
      <c r="E631">
        <v>8</v>
      </c>
      <c r="H631">
        <v>50</v>
      </c>
      <c r="I631" t="s">
        <v>149</v>
      </c>
      <c r="J631" t="s">
        <v>150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381"/>
        <v>14:50:50.500</v>
      </c>
      <c r="T631" t="str">
        <f t="shared" si="381"/>
        <v>14:50:50.500</v>
      </c>
      <c r="U631" t="str">
        <f t="shared" si="353"/>
        <v>ACC530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1</v>
      </c>
      <c r="AH631">
        <v>0</v>
      </c>
      <c r="AI631" t="s">
        <v>362</v>
      </c>
      <c r="AJ631">
        <v>34.226531999999999</v>
      </c>
      <c r="AK631" t="s">
        <v>363</v>
      </c>
      <c r="AL631">
        <v>-116.918457</v>
      </c>
      <c r="AM631">
        <v>100</v>
      </c>
      <c r="AN631">
        <v>9100</v>
      </c>
      <c r="AO631" t="s">
        <v>118</v>
      </c>
      <c r="AP631">
        <v>-80</v>
      </c>
      <c r="AQ631">
        <v>-39</v>
      </c>
      <c r="AR631">
        <v>320</v>
      </c>
      <c r="AZ631">
        <v>1200</v>
      </c>
      <c r="BA631">
        <v>1</v>
      </c>
      <c r="BB631" t="str">
        <f t="shared" si="355"/>
        <v xml:space="preserve">N9217B  </v>
      </c>
      <c r="BC631">
        <v>1</v>
      </c>
      <c r="BE631">
        <v>0</v>
      </c>
      <c r="BF631">
        <v>0</v>
      </c>
      <c r="BG631">
        <v>0</v>
      </c>
      <c r="BH631">
        <v>9200</v>
      </c>
      <c r="BI631">
        <v>1</v>
      </c>
      <c r="BJ631">
        <v>0</v>
      </c>
      <c r="BK631">
        <v>0</v>
      </c>
      <c r="BL631">
        <v>0</v>
      </c>
      <c r="BO631">
        <v>0</v>
      </c>
      <c r="BP631">
        <v>0</v>
      </c>
      <c r="BW631" t="str">
        <f t="shared" si="382"/>
        <v>14:50:50.502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293</v>
      </c>
      <c r="CR631">
        <v>1</v>
      </c>
      <c r="CW631">
        <v>15274711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25">
      <c r="A632" t="str">
        <f t="shared" si="380"/>
        <v>06/05/2020 14:50:44.855</v>
      </c>
      <c r="C632" t="str">
        <f t="shared" si="372"/>
        <v>FFDFD3C0</v>
      </c>
      <c r="D632" t="s">
        <v>113</v>
      </c>
      <c r="E632">
        <v>3</v>
      </c>
      <c r="H632">
        <v>166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381"/>
        <v>14:50:50.500</v>
      </c>
      <c r="T632" t="str">
        <f t="shared" si="381"/>
        <v>14:50:50.500</v>
      </c>
      <c r="U632" t="str">
        <f t="shared" si="353"/>
        <v>ACC530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1</v>
      </c>
      <c r="AH632">
        <v>0</v>
      </c>
      <c r="AI632" t="s">
        <v>362</v>
      </c>
      <c r="AJ632">
        <v>34.226531999999999</v>
      </c>
      <c r="AK632" t="s">
        <v>363</v>
      </c>
      <c r="AL632">
        <v>-116.918457</v>
      </c>
      <c r="AM632">
        <v>100</v>
      </c>
      <c r="AN632">
        <v>9100</v>
      </c>
      <c r="AO632" t="s">
        <v>118</v>
      </c>
      <c r="AP632">
        <v>-80</v>
      </c>
      <c r="AQ632">
        <v>-39</v>
      </c>
      <c r="AR632">
        <v>320</v>
      </c>
      <c r="AZ632">
        <v>1200</v>
      </c>
      <c r="BA632">
        <v>1</v>
      </c>
      <c r="BB632" t="str">
        <f t="shared" si="355"/>
        <v xml:space="preserve">N9217B  </v>
      </c>
      <c r="BC632">
        <v>1</v>
      </c>
      <c r="BE632">
        <v>0</v>
      </c>
      <c r="BF632">
        <v>0</v>
      </c>
      <c r="BG632">
        <v>0</v>
      </c>
      <c r="BH632">
        <v>9200</v>
      </c>
      <c r="BI632">
        <v>1</v>
      </c>
      <c r="BJ632">
        <v>0</v>
      </c>
      <c r="BK632">
        <v>0</v>
      </c>
      <c r="BL632">
        <v>0</v>
      </c>
      <c r="BO632">
        <v>0</v>
      </c>
      <c r="BP632">
        <v>0</v>
      </c>
      <c r="BW632" t="str">
        <f t="shared" si="382"/>
        <v>14:50:50.502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293</v>
      </c>
      <c r="CR632">
        <v>1</v>
      </c>
      <c r="CW632">
        <v>15274711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25">
      <c r="A633" t="str">
        <f t="shared" ref="A633:A640" si="383">"06/05/2020 14:50:45.831"</f>
        <v>06/05/2020 14:50:45.831</v>
      </c>
      <c r="C633" t="str">
        <f t="shared" si="372"/>
        <v>FFDFD3C0</v>
      </c>
      <c r="D633" t="s">
        <v>148</v>
      </c>
      <c r="E633">
        <v>11</v>
      </c>
      <c r="H633">
        <v>53</v>
      </c>
      <c r="I633" t="s">
        <v>364</v>
      </c>
      <c r="J633" t="s">
        <v>150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ref="S633:S640" si="384">"14:50:51.477"</f>
        <v>14:50:51.477</v>
      </c>
      <c r="T633" t="str">
        <f t="shared" ref="T633:T640" si="385">"14:50:51.377"</f>
        <v>14:50:51.377</v>
      </c>
      <c r="U633" t="str">
        <f t="shared" si="353"/>
        <v>ACC530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1</v>
      </c>
      <c r="AH633">
        <v>0</v>
      </c>
      <c r="AI633" t="s">
        <v>365</v>
      </c>
      <c r="AJ633">
        <v>34.22636</v>
      </c>
      <c r="AK633" t="s">
        <v>366</v>
      </c>
      <c r="AL633">
        <v>-116.918907</v>
      </c>
      <c r="AM633">
        <v>100</v>
      </c>
      <c r="AN633">
        <v>9100</v>
      </c>
      <c r="AO633" t="s">
        <v>118</v>
      </c>
      <c r="AP633">
        <v>-79</v>
      </c>
      <c r="AQ633">
        <v>-39</v>
      </c>
      <c r="AR633">
        <v>320</v>
      </c>
      <c r="AZ633">
        <v>1200</v>
      </c>
      <c r="BA633">
        <v>1</v>
      </c>
      <c r="BB633" t="str">
        <f t="shared" si="355"/>
        <v xml:space="preserve">N9217B  </v>
      </c>
      <c r="BC633">
        <v>1</v>
      </c>
      <c r="BE633">
        <v>0</v>
      </c>
      <c r="BF633">
        <v>0</v>
      </c>
      <c r="BG633">
        <v>0</v>
      </c>
      <c r="BH633">
        <v>9200</v>
      </c>
      <c r="BI633">
        <v>1</v>
      </c>
      <c r="BJ633">
        <v>0</v>
      </c>
      <c r="BK633">
        <v>0</v>
      </c>
      <c r="BL633">
        <v>0</v>
      </c>
      <c r="BO633">
        <v>0</v>
      </c>
      <c r="BP633">
        <v>0</v>
      </c>
      <c r="BW633" t="str">
        <f t="shared" ref="BW633:BW640" si="386">"14:50:51.477"</f>
        <v>14:50:51.477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293</v>
      </c>
      <c r="CR633">
        <v>1</v>
      </c>
      <c r="CW633">
        <v>15274828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25">
      <c r="A634" t="str">
        <f t="shared" si="383"/>
        <v>06/05/2020 14:50:45.831</v>
      </c>
      <c r="C634" t="str">
        <f t="shared" si="372"/>
        <v>FFDFD3C0</v>
      </c>
      <c r="D634" t="s">
        <v>151</v>
      </c>
      <c r="E634">
        <v>9</v>
      </c>
      <c r="H634">
        <v>226</v>
      </c>
      <c r="I634" t="s">
        <v>152</v>
      </c>
      <c r="J634" t="s">
        <v>150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84"/>
        <v>14:50:51.477</v>
      </c>
      <c r="T634" t="str">
        <f t="shared" si="385"/>
        <v>14:50:51.377</v>
      </c>
      <c r="U634" t="str">
        <f t="shared" si="353"/>
        <v>ACC530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1</v>
      </c>
      <c r="AH634">
        <v>0</v>
      </c>
      <c r="AI634" t="s">
        <v>365</v>
      </c>
      <c r="AJ634">
        <v>34.22636</v>
      </c>
      <c r="AK634" t="s">
        <v>366</v>
      </c>
      <c r="AL634">
        <v>-116.918907</v>
      </c>
      <c r="AM634">
        <v>100</v>
      </c>
      <c r="AN634">
        <v>9100</v>
      </c>
      <c r="AO634" t="s">
        <v>118</v>
      </c>
      <c r="AP634">
        <v>-79</v>
      </c>
      <c r="AQ634">
        <v>-39</v>
      </c>
      <c r="AR634">
        <v>320</v>
      </c>
      <c r="AZ634">
        <v>1200</v>
      </c>
      <c r="BA634">
        <v>1</v>
      </c>
      <c r="BB634" t="str">
        <f t="shared" si="355"/>
        <v xml:space="preserve">N9217B  </v>
      </c>
      <c r="BC634">
        <v>1</v>
      </c>
      <c r="BE634">
        <v>0</v>
      </c>
      <c r="BF634">
        <v>0</v>
      </c>
      <c r="BG634">
        <v>0</v>
      </c>
      <c r="BH634">
        <v>9200</v>
      </c>
      <c r="BI634">
        <v>1</v>
      </c>
      <c r="BJ634">
        <v>0</v>
      </c>
      <c r="BK634">
        <v>0</v>
      </c>
      <c r="BL634">
        <v>0</v>
      </c>
      <c r="BO634">
        <v>0</v>
      </c>
      <c r="BP634">
        <v>0</v>
      </c>
      <c r="BW634" t="str">
        <f t="shared" si="386"/>
        <v>14:50:51.477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293</v>
      </c>
      <c r="CR634">
        <v>1</v>
      </c>
      <c r="CW634">
        <v>15274828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25">
      <c r="A635" t="str">
        <f t="shared" si="383"/>
        <v>06/05/2020 14:50:45.831</v>
      </c>
      <c r="C635" t="str">
        <f t="shared" si="372"/>
        <v>FFDFD3C0</v>
      </c>
      <c r="D635" t="s">
        <v>141</v>
      </c>
      <c r="E635">
        <v>20</v>
      </c>
      <c r="F635">
        <v>1020</v>
      </c>
      <c r="G635" t="s">
        <v>114</v>
      </c>
      <c r="J635" t="s">
        <v>142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84"/>
        <v>14:50:51.477</v>
      </c>
      <c r="T635" t="str">
        <f t="shared" si="385"/>
        <v>14:50:51.377</v>
      </c>
      <c r="U635" t="str">
        <f t="shared" si="353"/>
        <v>ACC530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1</v>
      </c>
      <c r="AH635">
        <v>0</v>
      </c>
      <c r="AI635" t="s">
        <v>365</v>
      </c>
      <c r="AJ635">
        <v>34.22636</v>
      </c>
      <c r="AK635" t="s">
        <v>366</v>
      </c>
      <c r="AL635">
        <v>-116.918907</v>
      </c>
      <c r="AM635">
        <v>100</v>
      </c>
      <c r="AN635">
        <v>9100</v>
      </c>
      <c r="AO635" t="s">
        <v>118</v>
      </c>
      <c r="AP635">
        <v>-79</v>
      </c>
      <c r="AQ635">
        <v>-39</v>
      </c>
      <c r="AR635">
        <v>320</v>
      </c>
      <c r="AZ635">
        <v>1200</v>
      </c>
      <c r="BA635">
        <v>1</v>
      </c>
      <c r="BB635" t="str">
        <f t="shared" si="355"/>
        <v xml:space="preserve">N9217B  </v>
      </c>
      <c r="BC635">
        <v>1</v>
      </c>
      <c r="BE635">
        <v>0</v>
      </c>
      <c r="BF635">
        <v>0</v>
      </c>
      <c r="BG635">
        <v>0</v>
      </c>
      <c r="BH635">
        <v>9200</v>
      </c>
      <c r="BI635">
        <v>1</v>
      </c>
      <c r="BJ635">
        <v>0</v>
      </c>
      <c r="BK635">
        <v>0</v>
      </c>
      <c r="BL635">
        <v>0</v>
      </c>
      <c r="BO635">
        <v>0</v>
      </c>
      <c r="BP635">
        <v>0</v>
      </c>
      <c r="BW635" t="str">
        <f t="shared" si="386"/>
        <v>14:50:51.477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293</v>
      </c>
      <c r="CR635">
        <v>1</v>
      </c>
      <c r="CW635">
        <v>15274828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25">
      <c r="A636" t="str">
        <f t="shared" si="383"/>
        <v>06/05/2020 14:50:45.831</v>
      </c>
      <c r="C636" t="str">
        <f t="shared" si="372"/>
        <v>FFDFD3C0</v>
      </c>
      <c r="D636" t="s">
        <v>151</v>
      </c>
      <c r="E636">
        <v>8</v>
      </c>
      <c r="H636">
        <v>225</v>
      </c>
      <c r="I636" t="s">
        <v>353</v>
      </c>
      <c r="J636" t="s">
        <v>150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84"/>
        <v>14:50:51.477</v>
      </c>
      <c r="T636" t="str">
        <f t="shared" si="385"/>
        <v>14:50:51.377</v>
      </c>
      <c r="U636" t="str">
        <f t="shared" si="353"/>
        <v>ACC530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1</v>
      </c>
      <c r="AH636">
        <v>0</v>
      </c>
      <c r="AI636" t="s">
        <v>365</v>
      </c>
      <c r="AJ636">
        <v>34.22636</v>
      </c>
      <c r="AK636" t="s">
        <v>366</v>
      </c>
      <c r="AL636">
        <v>-116.918907</v>
      </c>
      <c r="AM636">
        <v>100</v>
      </c>
      <c r="AN636">
        <v>9100</v>
      </c>
      <c r="AO636" t="s">
        <v>118</v>
      </c>
      <c r="AP636">
        <v>-79</v>
      </c>
      <c r="AQ636">
        <v>-39</v>
      </c>
      <c r="AR636">
        <v>320</v>
      </c>
      <c r="AZ636">
        <v>1200</v>
      </c>
      <c r="BA636">
        <v>1</v>
      </c>
      <c r="BB636" t="str">
        <f t="shared" si="355"/>
        <v xml:space="preserve">N9217B  </v>
      </c>
      <c r="BC636">
        <v>1</v>
      </c>
      <c r="BE636">
        <v>0</v>
      </c>
      <c r="BF636">
        <v>0</v>
      </c>
      <c r="BG636">
        <v>0</v>
      </c>
      <c r="BH636">
        <v>9200</v>
      </c>
      <c r="BI636">
        <v>1</v>
      </c>
      <c r="BJ636">
        <v>0</v>
      </c>
      <c r="BK636">
        <v>0</v>
      </c>
      <c r="BL636">
        <v>0</v>
      </c>
      <c r="BO636">
        <v>0</v>
      </c>
      <c r="BP636">
        <v>0</v>
      </c>
      <c r="BW636" t="str">
        <f t="shared" si="386"/>
        <v>14:50:51.477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285</v>
      </c>
      <c r="CR636">
        <v>0</v>
      </c>
      <c r="CW636">
        <v>8843877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25">
      <c r="A637" t="str">
        <f t="shared" si="383"/>
        <v>06/05/2020 14:50:45.831</v>
      </c>
      <c r="C637" t="str">
        <f t="shared" si="372"/>
        <v>FFDFD3C0</v>
      </c>
      <c r="D637" t="s">
        <v>148</v>
      </c>
      <c r="E637">
        <v>8</v>
      </c>
      <c r="H637">
        <v>50</v>
      </c>
      <c r="I637" t="s">
        <v>149</v>
      </c>
      <c r="J637" t="s">
        <v>150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384"/>
        <v>14:50:51.477</v>
      </c>
      <c r="T637" t="str">
        <f t="shared" si="385"/>
        <v>14:50:51.377</v>
      </c>
      <c r="U637" t="str">
        <f t="shared" si="353"/>
        <v>ACC530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1</v>
      </c>
      <c r="AH637">
        <v>0</v>
      </c>
      <c r="AI637" t="s">
        <v>365</v>
      </c>
      <c r="AJ637">
        <v>34.22636</v>
      </c>
      <c r="AK637" t="s">
        <v>366</v>
      </c>
      <c r="AL637">
        <v>-116.918907</v>
      </c>
      <c r="AM637">
        <v>100</v>
      </c>
      <c r="AN637">
        <v>9100</v>
      </c>
      <c r="AO637" t="s">
        <v>118</v>
      </c>
      <c r="AP637">
        <v>-79</v>
      </c>
      <c r="AQ637">
        <v>-39</v>
      </c>
      <c r="AR637">
        <v>320</v>
      </c>
      <c r="AZ637">
        <v>1200</v>
      </c>
      <c r="BA637">
        <v>1</v>
      </c>
      <c r="BB637" t="str">
        <f t="shared" si="355"/>
        <v xml:space="preserve">N9217B  </v>
      </c>
      <c r="BC637">
        <v>1</v>
      </c>
      <c r="BE637">
        <v>0</v>
      </c>
      <c r="BF637">
        <v>0</v>
      </c>
      <c r="BG637">
        <v>0</v>
      </c>
      <c r="BH637">
        <v>9200</v>
      </c>
      <c r="BI637">
        <v>1</v>
      </c>
      <c r="BJ637">
        <v>0</v>
      </c>
      <c r="BK637">
        <v>0</v>
      </c>
      <c r="BL637">
        <v>0</v>
      </c>
      <c r="BO637">
        <v>0</v>
      </c>
      <c r="BP637">
        <v>0</v>
      </c>
      <c r="BW637" t="str">
        <f t="shared" si="386"/>
        <v>14:50:51.477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293</v>
      </c>
      <c r="CR637">
        <v>1</v>
      </c>
      <c r="CW637">
        <v>15274828</v>
      </c>
      <c r="CY637">
        <v>0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25">
      <c r="A638" t="str">
        <f t="shared" si="383"/>
        <v>06/05/2020 14:50:45.831</v>
      </c>
      <c r="C638" t="str">
        <f t="shared" si="372"/>
        <v>FFDFD3C0</v>
      </c>
      <c r="D638" t="s">
        <v>113</v>
      </c>
      <c r="E638">
        <v>3</v>
      </c>
      <c r="H638">
        <v>166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384"/>
        <v>14:50:51.477</v>
      </c>
      <c r="T638" t="str">
        <f t="shared" si="385"/>
        <v>14:50:51.377</v>
      </c>
      <c r="U638" t="str">
        <f t="shared" si="353"/>
        <v>ACC530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1</v>
      </c>
      <c r="AH638">
        <v>0</v>
      </c>
      <c r="AI638" t="s">
        <v>365</v>
      </c>
      <c r="AJ638">
        <v>34.22636</v>
      </c>
      <c r="AK638" t="s">
        <v>366</v>
      </c>
      <c r="AL638">
        <v>-116.918907</v>
      </c>
      <c r="AM638">
        <v>100</v>
      </c>
      <c r="AN638">
        <v>9100</v>
      </c>
      <c r="AO638" t="s">
        <v>118</v>
      </c>
      <c r="AP638">
        <v>-79</v>
      </c>
      <c r="AQ638">
        <v>-39</v>
      </c>
      <c r="AR638">
        <v>320</v>
      </c>
      <c r="AZ638">
        <v>1200</v>
      </c>
      <c r="BA638">
        <v>1</v>
      </c>
      <c r="BB638" t="str">
        <f t="shared" si="355"/>
        <v xml:space="preserve">N9217B  </v>
      </c>
      <c r="BC638">
        <v>1</v>
      </c>
      <c r="BE638">
        <v>0</v>
      </c>
      <c r="BF638">
        <v>0</v>
      </c>
      <c r="BG638">
        <v>0</v>
      </c>
      <c r="BH638">
        <v>9200</v>
      </c>
      <c r="BI638">
        <v>1</v>
      </c>
      <c r="BJ638">
        <v>0</v>
      </c>
      <c r="BK638">
        <v>0</v>
      </c>
      <c r="BL638">
        <v>0</v>
      </c>
      <c r="BO638">
        <v>0</v>
      </c>
      <c r="BP638">
        <v>0</v>
      </c>
      <c r="BW638" t="str">
        <f t="shared" si="386"/>
        <v>14:50:51.477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293</v>
      </c>
      <c r="CR638">
        <v>1</v>
      </c>
      <c r="CW638">
        <v>15274828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25">
      <c r="A639" t="str">
        <f t="shared" si="383"/>
        <v>06/05/2020 14:50:45.831</v>
      </c>
      <c r="C639" t="str">
        <f t="shared" si="372"/>
        <v>FFDFD3C0</v>
      </c>
      <c r="D639" t="s">
        <v>134</v>
      </c>
      <c r="E639">
        <v>7</v>
      </c>
      <c r="F639">
        <v>2007</v>
      </c>
      <c r="G639" t="s">
        <v>135</v>
      </c>
      <c r="J639" t="s">
        <v>136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84"/>
        <v>14:50:51.477</v>
      </c>
      <c r="T639" t="str">
        <f t="shared" si="385"/>
        <v>14:50:51.377</v>
      </c>
      <c r="U639" t="str">
        <f t="shared" si="353"/>
        <v>ACC530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1</v>
      </c>
      <c r="AH639">
        <v>0</v>
      </c>
      <c r="AI639" t="s">
        <v>365</v>
      </c>
      <c r="AJ639">
        <v>34.22636</v>
      </c>
      <c r="AK639" t="s">
        <v>366</v>
      </c>
      <c r="AL639">
        <v>-116.918907</v>
      </c>
      <c r="AM639">
        <v>100</v>
      </c>
      <c r="AN639">
        <v>9100</v>
      </c>
      <c r="AO639" t="s">
        <v>118</v>
      </c>
      <c r="AP639">
        <v>-79</v>
      </c>
      <c r="AQ639">
        <v>-39</v>
      </c>
      <c r="AR639">
        <v>320</v>
      </c>
      <c r="AZ639">
        <v>1200</v>
      </c>
      <c r="BA639">
        <v>1</v>
      </c>
      <c r="BB639" t="str">
        <f t="shared" si="355"/>
        <v xml:space="preserve">N9217B  </v>
      </c>
      <c r="BC639">
        <v>1</v>
      </c>
      <c r="BE639">
        <v>0</v>
      </c>
      <c r="BF639">
        <v>0</v>
      </c>
      <c r="BG639">
        <v>0</v>
      </c>
      <c r="BH639">
        <v>9200</v>
      </c>
      <c r="BI639">
        <v>1</v>
      </c>
      <c r="BJ639">
        <v>0</v>
      </c>
      <c r="BK639">
        <v>0</v>
      </c>
      <c r="BL639">
        <v>0</v>
      </c>
      <c r="BO639">
        <v>0</v>
      </c>
      <c r="BP639">
        <v>0</v>
      </c>
      <c r="BW639" t="str">
        <f t="shared" si="386"/>
        <v>14:50:51.477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293</v>
      </c>
      <c r="CR639">
        <v>1</v>
      </c>
      <c r="CW639">
        <v>15274828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25">
      <c r="A640" t="str">
        <f t="shared" si="383"/>
        <v>06/05/2020 14:50:45.831</v>
      </c>
      <c r="C640" t="str">
        <f t="shared" si="372"/>
        <v>FFDFD3C0</v>
      </c>
      <c r="D640" t="s">
        <v>143</v>
      </c>
      <c r="E640">
        <v>10</v>
      </c>
      <c r="F640">
        <v>3010</v>
      </c>
      <c r="G640" t="s">
        <v>144</v>
      </c>
      <c r="J640" t="s">
        <v>145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84"/>
        <v>14:50:51.477</v>
      </c>
      <c r="T640" t="str">
        <f t="shared" si="385"/>
        <v>14:50:51.377</v>
      </c>
      <c r="U640" t="str">
        <f t="shared" si="353"/>
        <v>ACC530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1</v>
      </c>
      <c r="AH640">
        <v>0</v>
      </c>
      <c r="AI640" t="s">
        <v>365</v>
      </c>
      <c r="AJ640">
        <v>34.22636</v>
      </c>
      <c r="AK640" t="s">
        <v>366</v>
      </c>
      <c r="AL640">
        <v>-116.918907</v>
      </c>
      <c r="AM640">
        <v>100</v>
      </c>
      <c r="AN640">
        <v>9100</v>
      </c>
      <c r="AO640" t="s">
        <v>118</v>
      </c>
      <c r="AP640">
        <v>-79</v>
      </c>
      <c r="AQ640">
        <v>-39</v>
      </c>
      <c r="AR640">
        <v>320</v>
      </c>
      <c r="AZ640">
        <v>1200</v>
      </c>
      <c r="BA640">
        <v>1</v>
      </c>
      <c r="BB640" t="str">
        <f t="shared" si="355"/>
        <v xml:space="preserve">N9217B  </v>
      </c>
      <c r="BC640">
        <v>1</v>
      </c>
      <c r="BE640">
        <v>0</v>
      </c>
      <c r="BF640">
        <v>0</v>
      </c>
      <c r="BG640">
        <v>0</v>
      </c>
      <c r="BH640">
        <v>9200</v>
      </c>
      <c r="BI640">
        <v>1</v>
      </c>
      <c r="BJ640">
        <v>0</v>
      </c>
      <c r="BK640">
        <v>0</v>
      </c>
      <c r="BL640">
        <v>0</v>
      </c>
      <c r="BO640">
        <v>0</v>
      </c>
      <c r="BP640">
        <v>0</v>
      </c>
      <c r="BW640" t="str">
        <f t="shared" si="386"/>
        <v>14:50:51.477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293</v>
      </c>
      <c r="CR640">
        <v>1</v>
      </c>
      <c r="CW640">
        <v>15274828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25">
      <c r="A641" t="str">
        <f t="shared" ref="A641:A648" si="387">"06/05/2020 14:50:46.845"</f>
        <v>06/05/2020 14:50:46.845</v>
      </c>
      <c r="C641" t="str">
        <f t="shared" si="372"/>
        <v>FFDFD3C0</v>
      </c>
      <c r="D641" t="s">
        <v>141</v>
      </c>
      <c r="E641">
        <v>20</v>
      </c>
      <c r="F641">
        <v>1020</v>
      </c>
      <c r="G641" t="s">
        <v>114</v>
      </c>
      <c r="J641" t="s">
        <v>142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ref="S641:S648" si="388">"14:50:52.508"</f>
        <v>14:50:52.508</v>
      </c>
      <c r="T641" t="str">
        <f t="shared" ref="T641:T648" si="389">"14:50:52.308"</f>
        <v>14:50:52.308</v>
      </c>
      <c r="U641" t="str">
        <f t="shared" si="353"/>
        <v>ACC530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1</v>
      </c>
      <c r="AH641">
        <v>0</v>
      </c>
      <c r="AI641" t="s">
        <v>367</v>
      </c>
      <c r="AJ641">
        <v>34.226166999999997</v>
      </c>
      <c r="AK641" t="s">
        <v>368</v>
      </c>
      <c r="AL641">
        <v>-116.919358</v>
      </c>
      <c r="AM641">
        <v>100</v>
      </c>
      <c r="AN641">
        <v>9100</v>
      </c>
      <c r="AO641" t="s">
        <v>118</v>
      </c>
      <c r="AP641">
        <v>-79</v>
      </c>
      <c r="AQ641">
        <v>-39</v>
      </c>
      <c r="AR641">
        <v>384</v>
      </c>
      <c r="AZ641">
        <v>1200</v>
      </c>
      <c r="BA641">
        <v>1</v>
      </c>
      <c r="BB641" t="str">
        <f t="shared" si="355"/>
        <v xml:space="preserve">N9217B  </v>
      </c>
      <c r="BC641">
        <v>1</v>
      </c>
      <c r="BE641">
        <v>0</v>
      </c>
      <c r="BF641">
        <v>0</v>
      </c>
      <c r="BG641">
        <v>0</v>
      </c>
      <c r="BH641">
        <v>9200</v>
      </c>
      <c r="BI641">
        <v>1</v>
      </c>
      <c r="BJ641">
        <v>0</v>
      </c>
      <c r="BK641">
        <v>0</v>
      </c>
      <c r="BL641">
        <v>0</v>
      </c>
      <c r="BO641">
        <v>0</v>
      </c>
      <c r="BP641">
        <v>0</v>
      </c>
      <c r="BW641" t="str">
        <f t="shared" ref="BW641:BW648" si="390">"14:50:52.512"</f>
        <v>14:50:52.512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293</v>
      </c>
      <c r="CR641">
        <v>1</v>
      </c>
      <c r="CW641">
        <v>15274951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25">
      <c r="A642" t="str">
        <f t="shared" si="387"/>
        <v>06/05/2020 14:50:46.845</v>
      </c>
      <c r="C642" t="str">
        <f t="shared" si="372"/>
        <v>FFDFD3C0</v>
      </c>
      <c r="D642" t="s">
        <v>151</v>
      </c>
      <c r="E642">
        <v>8</v>
      </c>
      <c r="H642">
        <v>225</v>
      </c>
      <c r="I642" t="s">
        <v>353</v>
      </c>
      <c r="J642" t="s">
        <v>150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88"/>
        <v>14:50:52.508</v>
      </c>
      <c r="T642" t="str">
        <f t="shared" si="389"/>
        <v>14:50:52.308</v>
      </c>
      <c r="U642" t="str">
        <f t="shared" ref="U642:U705" si="391">"ACC530"</f>
        <v>ACC530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1</v>
      </c>
      <c r="AH642">
        <v>0</v>
      </c>
      <c r="AI642" t="s">
        <v>367</v>
      </c>
      <c r="AJ642">
        <v>34.226166999999997</v>
      </c>
      <c r="AK642" t="s">
        <v>368</v>
      </c>
      <c r="AL642">
        <v>-116.919358</v>
      </c>
      <c r="AM642">
        <v>100</v>
      </c>
      <c r="AN642">
        <v>9100</v>
      </c>
      <c r="AO642" t="s">
        <v>118</v>
      </c>
      <c r="AP642">
        <v>-79</v>
      </c>
      <c r="AQ642">
        <v>-39</v>
      </c>
      <c r="AR642">
        <v>384</v>
      </c>
      <c r="AZ642">
        <v>1200</v>
      </c>
      <c r="BA642">
        <v>1</v>
      </c>
      <c r="BB642" t="str">
        <f t="shared" si="355"/>
        <v xml:space="preserve">N9217B  </v>
      </c>
      <c r="BC642">
        <v>1</v>
      </c>
      <c r="BE642">
        <v>0</v>
      </c>
      <c r="BF642">
        <v>0</v>
      </c>
      <c r="BG642">
        <v>0</v>
      </c>
      <c r="BH642">
        <v>9200</v>
      </c>
      <c r="BI642">
        <v>1</v>
      </c>
      <c r="BJ642">
        <v>0</v>
      </c>
      <c r="BK642">
        <v>0</v>
      </c>
      <c r="BL642">
        <v>0</v>
      </c>
      <c r="BO642">
        <v>0</v>
      </c>
      <c r="BP642">
        <v>0</v>
      </c>
      <c r="BW642" t="str">
        <f t="shared" si="390"/>
        <v>14:50:52.512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285</v>
      </c>
      <c r="CR642">
        <v>0</v>
      </c>
      <c r="CW642">
        <v>8843966</v>
      </c>
      <c r="CY642">
        <v>0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25">
      <c r="A643" t="str">
        <f t="shared" si="387"/>
        <v>06/05/2020 14:50:46.845</v>
      </c>
      <c r="C643" t="str">
        <f t="shared" si="372"/>
        <v>FFDFD3C0</v>
      </c>
      <c r="D643" t="s">
        <v>148</v>
      </c>
      <c r="E643">
        <v>8</v>
      </c>
      <c r="H643">
        <v>50</v>
      </c>
      <c r="I643" t="s">
        <v>149</v>
      </c>
      <c r="J643" t="s">
        <v>150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88"/>
        <v>14:50:52.508</v>
      </c>
      <c r="T643" t="str">
        <f t="shared" si="389"/>
        <v>14:50:52.308</v>
      </c>
      <c r="U643" t="str">
        <f t="shared" si="391"/>
        <v>ACC530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1</v>
      </c>
      <c r="AH643">
        <v>0</v>
      </c>
      <c r="AI643" t="s">
        <v>367</v>
      </c>
      <c r="AJ643">
        <v>34.226166999999997</v>
      </c>
      <c r="AK643" t="s">
        <v>368</v>
      </c>
      <c r="AL643">
        <v>-116.919358</v>
      </c>
      <c r="AM643">
        <v>100</v>
      </c>
      <c r="AN643">
        <v>9100</v>
      </c>
      <c r="AO643" t="s">
        <v>118</v>
      </c>
      <c r="AP643">
        <v>-79</v>
      </c>
      <c r="AQ643">
        <v>-39</v>
      </c>
      <c r="AR643">
        <v>384</v>
      </c>
      <c r="AZ643">
        <v>1200</v>
      </c>
      <c r="BA643">
        <v>1</v>
      </c>
      <c r="BB643" t="str">
        <f t="shared" si="355"/>
        <v xml:space="preserve">N9217B  </v>
      </c>
      <c r="BC643">
        <v>1</v>
      </c>
      <c r="BE643">
        <v>0</v>
      </c>
      <c r="BF643">
        <v>0</v>
      </c>
      <c r="BG643">
        <v>0</v>
      </c>
      <c r="BH643">
        <v>9200</v>
      </c>
      <c r="BI643">
        <v>1</v>
      </c>
      <c r="BJ643">
        <v>0</v>
      </c>
      <c r="BK643">
        <v>0</v>
      </c>
      <c r="BL643">
        <v>0</v>
      </c>
      <c r="BO643">
        <v>0</v>
      </c>
      <c r="BP643">
        <v>0</v>
      </c>
      <c r="BW643" t="str">
        <f t="shared" si="390"/>
        <v>14:50:52.512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293</v>
      </c>
      <c r="CR643">
        <v>1</v>
      </c>
      <c r="CW643">
        <v>15274951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25">
      <c r="A644" t="str">
        <f t="shared" si="387"/>
        <v>06/05/2020 14:50:46.845</v>
      </c>
      <c r="C644" t="str">
        <f t="shared" si="372"/>
        <v>FFDFD3C0</v>
      </c>
      <c r="D644" t="s">
        <v>113</v>
      </c>
      <c r="E644">
        <v>3</v>
      </c>
      <c r="H644">
        <v>166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388"/>
        <v>14:50:52.508</v>
      </c>
      <c r="T644" t="str">
        <f t="shared" si="389"/>
        <v>14:50:52.308</v>
      </c>
      <c r="U644" t="str">
        <f t="shared" si="391"/>
        <v>ACC530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1</v>
      </c>
      <c r="AH644">
        <v>0</v>
      </c>
      <c r="AI644" t="s">
        <v>367</v>
      </c>
      <c r="AJ644">
        <v>34.226166999999997</v>
      </c>
      <c r="AK644" t="s">
        <v>368</v>
      </c>
      <c r="AL644">
        <v>-116.919358</v>
      </c>
      <c r="AM644">
        <v>100</v>
      </c>
      <c r="AN644">
        <v>9100</v>
      </c>
      <c r="AO644" t="s">
        <v>118</v>
      </c>
      <c r="AP644">
        <v>-79</v>
      </c>
      <c r="AQ644">
        <v>-39</v>
      </c>
      <c r="AR644">
        <v>384</v>
      </c>
      <c r="AZ644">
        <v>1200</v>
      </c>
      <c r="BA644">
        <v>1</v>
      </c>
      <c r="BB644" t="str">
        <f t="shared" si="355"/>
        <v xml:space="preserve">N9217B  </v>
      </c>
      <c r="BC644">
        <v>1</v>
      </c>
      <c r="BE644">
        <v>0</v>
      </c>
      <c r="BF644">
        <v>0</v>
      </c>
      <c r="BG644">
        <v>0</v>
      </c>
      <c r="BH644">
        <v>9200</v>
      </c>
      <c r="BI644">
        <v>1</v>
      </c>
      <c r="BJ644">
        <v>0</v>
      </c>
      <c r="BK644">
        <v>0</v>
      </c>
      <c r="BL644">
        <v>0</v>
      </c>
      <c r="BO644">
        <v>0</v>
      </c>
      <c r="BP644">
        <v>0</v>
      </c>
      <c r="BW644" t="str">
        <f t="shared" si="390"/>
        <v>14:50:52.512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293</v>
      </c>
      <c r="CR644">
        <v>1</v>
      </c>
      <c r="CW644">
        <v>15274951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25">
      <c r="A645" t="str">
        <f t="shared" si="387"/>
        <v>06/05/2020 14:50:46.845</v>
      </c>
      <c r="C645" t="str">
        <f t="shared" si="372"/>
        <v>FFDFD3C0</v>
      </c>
      <c r="D645" t="s">
        <v>134</v>
      </c>
      <c r="E645">
        <v>7</v>
      </c>
      <c r="F645">
        <v>2007</v>
      </c>
      <c r="G645" t="s">
        <v>135</v>
      </c>
      <c r="J645" t="s">
        <v>136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88"/>
        <v>14:50:52.508</v>
      </c>
      <c r="T645" t="str">
        <f t="shared" si="389"/>
        <v>14:50:52.308</v>
      </c>
      <c r="U645" t="str">
        <f t="shared" si="391"/>
        <v>ACC530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1</v>
      </c>
      <c r="AH645">
        <v>0</v>
      </c>
      <c r="AI645" t="s">
        <v>367</v>
      </c>
      <c r="AJ645">
        <v>34.226166999999997</v>
      </c>
      <c r="AK645" t="s">
        <v>368</v>
      </c>
      <c r="AL645">
        <v>-116.919358</v>
      </c>
      <c r="AM645">
        <v>100</v>
      </c>
      <c r="AN645">
        <v>9100</v>
      </c>
      <c r="AO645" t="s">
        <v>118</v>
      </c>
      <c r="AP645">
        <v>-79</v>
      </c>
      <c r="AQ645">
        <v>-39</v>
      </c>
      <c r="AR645">
        <v>384</v>
      </c>
      <c r="AZ645">
        <v>1200</v>
      </c>
      <c r="BA645">
        <v>1</v>
      </c>
      <c r="BB645" t="str">
        <f t="shared" ref="BB645:BB708" si="392">"N9217B  "</f>
        <v xml:space="preserve">N9217B  </v>
      </c>
      <c r="BC645">
        <v>1</v>
      </c>
      <c r="BE645">
        <v>0</v>
      </c>
      <c r="BF645">
        <v>0</v>
      </c>
      <c r="BG645">
        <v>0</v>
      </c>
      <c r="BH645">
        <v>9200</v>
      </c>
      <c r="BI645">
        <v>1</v>
      </c>
      <c r="BJ645">
        <v>0</v>
      </c>
      <c r="BK645">
        <v>0</v>
      </c>
      <c r="BL645">
        <v>0</v>
      </c>
      <c r="BO645">
        <v>0</v>
      </c>
      <c r="BP645">
        <v>0</v>
      </c>
      <c r="BW645" t="str">
        <f t="shared" si="390"/>
        <v>14:50:52.512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293</v>
      </c>
      <c r="CR645">
        <v>1</v>
      </c>
      <c r="CW645">
        <v>15274951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25">
      <c r="A646" t="str">
        <f t="shared" si="387"/>
        <v>06/05/2020 14:50:46.845</v>
      </c>
      <c r="C646" t="str">
        <f t="shared" si="372"/>
        <v>FFDFD3C0</v>
      </c>
      <c r="D646" t="s">
        <v>143</v>
      </c>
      <c r="E646">
        <v>10</v>
      </c>
      <c r="F646">
        <v>3010</v>
      </c>
      <c r="G646" t="s">
        <v>144</v>
      </c>
      <c r="J646" t="s">
        <v>145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88"/>
        <v>14:50:52.508</v>
      </c>
      <c r="T646" t="str">
        <f t="shared" si="389"/>
        <v>14:50:52.308</v>
      </c>
      <c r="U646" t="str">
        <f t="shared" si="391"/>
        <v>ACC530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1</v>
      </c>
      <c r="AH646">
        <v>0</v>
      </c>
      <c r="AI646" t="s">
        <v>367</v>
      </c>
      <c r="AJ646">
        <v>34.226166999999997</v>
      </c>
      <c r="AK646" t="s">
        <v>368</v>
      </c>
      <c r="AL646">
        <v>-116.919358</v>
      </c>
      <c r="AM646">
        <v>100</v>
      </c>
      <c r="AN646">
        <v>9100</v>
      </c>
      <c r="AO646" t="s">
        <v>118</v>
      </c>
      <c r="AP646">
        <v>-79</v>
      </c>
      <c r="AQ646">
        <v>-39</v>
      </c>
      <c r="AR646">
        <v>384</v>
      </c>
      <c r="AZ646">
        <v>1200</v>
      </c>
      <c r="BA646">
        <v>1</v>
      </c>
      <c r="BB646" t="str">
        <f t="shared" si="392"/>
        <v xml:space="preserve">N9217B  </v>
      </c>
      <c r="BC646">
        <v>1</v>
      </c>
      <c r="BE646">
        <v>0</v>
      </c>
      <c r="BF646">
        <v>0</v>
      </c>
      <c r="BG646">
        <v>0</v>
      </c>
      <c r="BH646">
        <v>9200</v>
      </c>
      <c r="BI646">
        <v>1</v>
      </c>
      <c r="BJ646">
        <v>0</v>
      </c>
      <c r="BK646">
        <v>0</v>
      </c>
      <c r="BL646">
        <v>0</v>
      </c>
      <c r="BO646">
        <v>0</v>
      </c>
      <c r="BP646">
        <v>0</v>
      </c>
      <c r="BW646" t="str">
        <f t="shared" si="390"/>
        <v>14:50:52.512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293</v>
      </c>
      <c r="CR646">
        <v>1</v>
      </c>
      <c r="CW646">
        <v>15274951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25">
      <c r="A647" t="str">
        <f t="shared" si="387"/>
        <v>06/05/2020 14:50:46.845</v>
      </c>
      <c r="C647" t="str">
        <f t="shared" si="372"/>
        <v>FFDFD3C0</v>
      </c>
      <c r="D647" t="s">
        <v>148</v>
      </c>
      <c r="E647">
        <v>11</v>
      </c>
      <c r="H647">
        <v>53</v>
      </c>
      <c r="I647" t="s">
        <v>364</v>
      </c>
      <c r="J647" t="s">
        <v>150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88"/>
        <v>14:50:52.508</v>
      </c>
      <c r="T647" t="str">
        <f t="shared" si="389"/>
        <v>14:50:52.308</v>
      </c>
      <c r="U647" t="str">
        <f t="shared" si="391"/>
        <v>ACC530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1</v>
      </c>
      <c r="AH647">
        <v>0</v>
      </c>
      <c r="AI647" t="s">
        <v>367</v>
      </c>
      <c r="AJ647">
        <v>34.226166999999997</v>
      </c>
      <c r="AK647" t="s">
        <v>368</v>
      </c>
      <c r="AL647">
        <v>-116.919358</v>
      </c>
      <c r="AM647">
        <v>100</v>
      </c>
      <c r="AN647">
        <v>9100</v>
      </c>
      <c r="AO647" t="s">
        <v>118</v>
      </c>
      <c r="AP647">
        <v>-79</v>
      </c>
      <c r="AQ647">
        <v>-39</v>
      </c>
      <c r="AR647">
        <v>384</v>
      </c>
      <c r="AZ647">
        <v>1200</v>
      </c>
      <c r="BA647">
        <v>1</v>
      </c>
      <c r="BB647" t="str">
        <f t="shared" si="392"/>
        <v xml:space="preserve">N9217B  </v>
      </c>
      <c r="BC647">
        <v>1</v>
      </c>
      <c r="BE647">
        <v>0</v>
      </c>
      <c r="BF647">
        <v>0</v>
      </c>
      <c r="BG647">
        <v>0</v>
      </c>
      <c r="BH647">
        <v>9200</v>
      </c>
      <c r="BI647">
        <v>1</v>
      </c>
      <c r="BJ647">
        <v>0</v>
      </c>
      <c r="BK647">
        <v>0</v>
      </c>
      <c r="BL647">
        <v>0</v>
      </c>
      <c r="BO647">
        <v>0</v>
      </c>
      <c r="BP647">
        <v>0</v>
      </c>
      <c r="BW647" t="str">
        <f t="shared" si="390"/>
        <v>14:50:52.512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293</v>
      </c>
      <c r="CR647">
        <v>1</v>
      </c>
      <c r="CW647">
        <v>15274951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25">
      <c r="A648" t="str">
        <f t="shared" si="387"/>
        <v>06/05/2020 14:50:46.845</v>
      </c>
      <c r="C648" t="str">
        <f t="shared" si="372"/>
        <v>FFDFD3C0</v>
      </c>
      <c r="D648" t="s">
        <v>151</v>
      </c>
      <c r="E648">
        <v>9</v>
      </c>
      <c r="H648">
        <v>226</v>
      </c>
      <c r="I648" t="s">
        <v>152</v>
      </c>
      <c r="J648" t="s">
        <v>150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88"/>
        <v>14:50:52.508</v>
      </c>
      <c r="T648" t="str">
        <f t="shared" si="389"/>
        <v>14:50:52.308</v>
      </c>
      <c r="U648" t="str">
        <f t="shared" si="391"/>
        <v>ACC530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1</v>
      </c>
      <c r="AH648">
        <v>0</v>
      </c>
      <c r="AI648" t="s">
        <v>367</v>
      </c>
      <c r="AJ648">
        <v>34.226166999999997</v>
      </c>
      <c r="AK648" t="s">
        <v>368</v>
      </c>
      <c r="AL648">
        <v>-116.919358</v>
      </c>
      <c r="AM648">
        <v>100</v>
      </c>
      <c r="AN648">
        <v>9100</v>
      </c>
      <c r="AO648" t="s">
        <v>118</v>
      </c>
      <c r="AP648">
        <v>-79</v>
      </c>
      <c r="AQ648">
        <v>-39</v>
      </c>
      <c r="AR648">
        <v>384</v>
      </c>
      <c r="AZ648">
        <v>1200</v>
      </c>
      <c r="BA648">
        <v>1</v>
      </c>
      <c r="BB648" t="str">
        <f t="shared" si="392"/>
        <v xml:space="preserve">N9217B  </v>
      </c>
      <c r="BC648">
        <v>1</v>
      </c>
      <c r="BE648">
        <v>0</v>
      </c>
      <c r="BF648">
        <v>0</v>
      </c>
      <c r="BG648">
        <v>0</v>
      </c>
      <c r="BH648">
        <v>9200</v>
      </c>
      <c r="BI648">
        <v>1</v>
      </c>
      <c r="BJ648">
        <v>0</v>
      </c>
      <c r="BK648">
        <v>0</v>
      </c>
      <c r="BL648">
        <v>0</v>
      </c>
      <c r="BO648">
        <v>0</v>
      </c>
      <c r="BP648">
        <v>0</v>
      </c>
      <c r="BW648" t="str">
        <f t="shared" si="390"/>
        <v>14:50:52.512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293</v>
      </c>
      <c r="CR648">
        <v>1</v>
      </c>
      <c r="CW648">
        <v>15274951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25">
      <c r="A649" t="str">
        <f t="shared" ref="A649:A656" si="393">"06/05/2020 14:50:47.752"</f>
        <v>06/05/2020 14:50:47.752</v>
      </c>
      <c r="C649" t="str">
        <f t="shared" si="372"/>
        <v>FFDFD3C0</v>
      </c>
      <c r="D649" t="s">
        <v>148</v>
      </c>
      <c r="E649">
        <v>11</v>
      </c>
      <c r="H649">
        <v>53</v>
      </c>
      <c r="I649" t="s">
        <v>364</v>
      </c>
      <c r="J649" t="s">
        <v>150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ref="S649:T656" si="394">"14:50:53.406"</f>
        <v>14:50:53.406</v>
      </c>
      <c r="T649" t="str">
        <f t="shared" si="394"/>
        <v>14:50:53.406</v>
      </c>
      <c r="U649" t="str">
        <f t="shared" si="391"/>
        <v>ACC530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1</v>
      </c>
      <c r="AH649">
        <v>0</v>
      </c>
      <c r="AI649" t="s">
        <v>369</v>
      </c>
      <c r="AJ649">
        <v>34.225996000000002</v>
      </c>
      <c r="AK649" t="s">
        <v>370</v>
      </c>
      <c r="AL649">
        <v>-116.919765</v>
      </c>
      <c r="AM649">
        <v>100</v>
      </c>
      <c r="AN649">
        <v>9100</v>
      </c>
      <c r="AO649" t="s">
        <v>118</v>
      </c>
      <c r="AP649">
        <v>-79</v>
      </c>
      <c r="AQ649">
        <v>-40</v>
      </c>
      <c r="AR649">
        <v>384</v>
      </c>
      <c r="AZ649">
        <v>1200</v>
      </c>
      <c r="BA649">
        <v>1</v>
      </c>
      <c r="BB649" t="str">
        <f t="shared" si="392"/>
        <v xml:space="preserve">N9217B  </v>
      </c>
      <c r="BC649">
        <v>1</v>
      </c>
      <c r="BE649">
        <v>0</v>
      </c>
      <c r="BF649">
        <v>0</v>
      </c>
      <c r="BG649">
        <v>0</v>
      </c>
      <c r="BH649">
        <v>9200</v>
      </c>
      <c r="BI649">
        <v>1</v>
      </c>
      <c r="BJ649">
        <v>0</v>
      </c>
      <c r="BK649">
        <v>0</v>
      </c>
      <c r="BL649">
        <v>0</v>
      </c>
      <c r="BO649">
        <v>0</v>
      </c>
      <c r="BP649">
        <v>0</v>
      </c>
      <c r="BW649" t="str">
        <f t="shared" ref="BW649:BW656" si="395">"14:50:53.412"</f>
        <v>14:50:53.412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293</v>
      </c>
      <c r="CR649">
        <v>1</v>
      </c>
      <c r="CW649">
        <v>15275063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25">
      <c r="A650" t="str">
        <f t="shared" si="393"/>
        <v>06/05/2020 14:50:47.752</v>
      </c>
      <c r="C650" t="str">
        <f t="shared" si="372"/>
        <v>FFDFD3C0</v>
      </c>
      <c r="D650" t="s">
        <v>141</v>
      </c>
      <c r="E650">
        <v>20</v>
      </c>
      <c r="F650">
        <v>1020</v>
      </c>
      <c r="G650" t="s">
        <v>114</v>
      </c>
      <c r="J650" t="s">
        <v>142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94"/>
        <v>14:50:53.406</v>
      </c>
      <c r="T650" t="str">
        <f t="shared" si="394"/>
        <v>14:50:53.406</v>
      </c>
      <c r="U650" t="str">
        <f t="shared" si="391"/>
        <v>ACC530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1</v>
      </c>
      <c r="AH650">
        <v>0</v>
      </c>
      <c r="AI650" t="s">
        <v>369</v>
      </c>
      <c r="AJ650">
        <v>34.225996000000002</v>
      </c>
      <c r="AK650" t="s">
        <v>370</v>
      </c>
      <c r="AL650">
        <v>-116.919765</v>
      </c>
      <c r="AM650">
        <v>100</v>
      </c>
      <c r="AN650">
        <v>9100</v>
      </c>
      <c r="AO650" t="s">
        <v>118</v>
      </c>
      <c r="AP650">
        <v>-79</v>
      </c>
      <c r="AQ650">
        <v>-40</v>
      </c>
      <c r="AR650">
        <v>384</v>
      </c>
      <c r="AZ650">
        <v>1200</v>
      </c>
      <c r="BA650">
        <v>1</v>
      </c>
      <c r="BB650" t="str">
        <f t="shared" si="392"/>
        <v xml:space="preserve">N9217B  </v>
      </c>
      <c r="BC650">
        <v>1</v>
      </c>
      <c r="BE650">
        <v>0</v>
      </c>
      <c r="BF650">
        <v>0</v>
      </c>
      <c r="BG650">
        <v>0</v>
      </c>
      <c r="BH650">
        <v>9200</v>
      </c>
      <c r="BI650">
        <v>1</v>
      </c>
      <c r="BJ650">
        <v>0</v>
      </c>
      <c r="BK650">
        <v>0</v>
      </c>
      <c r="BL650">
        <v>0</v>
      </c>
      <c r="BO650">
        <v>0</v>
      </c>
      <c r="BP650">
        <v>0</v>
      </c>
      <c r="BW650" t="str">
        <f t="shared" si="395"/>
        <v>14:50:53.412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293</v>
      </c>
      <c r="CR650">
        <v>1</v>
      </c>
      <c r="CW650">
        <v>15275063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25">
      <c r="A651" t="str">
        <f t="shared" si="393"/>
        <v>06/05/2020 14:50:47.752</v>
      </c>
      <c r="C651" t="str">
        <f t="shared" si="372"/>
        <v>FFDFD3C0</v>
      </c>
      <c r="D651" t="s">
        <v>151</v>
      </c>
      <c r="E651">
        <v>9</v>
      </c>
      <c r="H651">
        <v>226</v>
      </c>
      <c r="I651" t="s">
        <v>152</v>
      </c>
      <c r="J651" t="s">
        <v>150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94"/>
        <v>14:50:53.406</v>
      </c>
      <c r="T651" t="str">
        <f t="shared" si="394"/>
        <v>14:50:53.406</v>
      </c>
      <c r="U651" t="str">
        <f t="shared" si="391"/>
        <v>ACC530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1</v>
      </c>
      <c r="AH651">
        <v>0</v>
      </c>
      <c r="AI651" t="s">
        <v>369</v>
      </c>
      <c r="AJ651">
        <v>34.225996000000002</v>
      </c>
      <c r="AK651" t="s">
        <v>370</v>
      </c>
      <c r="AL651">
        <v>-116.919765</v>
      </c>
      <c r="AM651">
        <v>100</v>
      </c>
      <c r="AN651">
        <v>9100</v>
      </c>
      <c r="AO651" t="s">
        <v>118</v>
      </c>
      <c r="AP651">
        <v>-79</v>
      </c>
      <c r="AQ651">
        <v>-40</v>
      </c>
      <c r="AR651">
        <v>384</v>
      </c>
      <c r="AZ651">
        <v>1200</v>
      </c>
      <c r="BA651">
        <v>1</v>
      </c>
      <c r="BB651" t="str">
        <f t="shared" si="392"/>
        <v xml:space="preserve">N9217B  </v>
      </c>
      <c r="BC651">
        <v>1</v>
      </c>
      <c r="BE651">
        <v>0</v>
      </c>
      <c r="BF651">
        <v>0</v>
      </c>
      <c r="BG651">
        <v>0</v>
      </c>
      <c r="BH651">
        <v>9200</v>
      </c>
      <c r="BI651">
        <v>1</v>
      </c>
      <c r="BJ651">
        <v>0</v>
      </c>
      <c r="BK651">
        <v>0</v>
      </c>
      <c r="BL651">
        <v>0</v>
      </c>
      <c r="BO651">
        <v>0</v>
      </c>
      <c r="BP651">
        <v>0</v>
      </c>
      <c r="BW651" t="str">
        <f t="shared" si="395"/>
        <v>14:50:53.412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293</v>
      </c>
      <c r="CR651">
        <v>1</v>
      </c>
      <c r="CW651">
        <v>15275063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25">
      <c r="A652" t="str">
        <f t="shared" si="393"/>
        <v>06/05/2020 14:50:47.752</v>
      </c>
      <c r="C652" t="str">
        <f t="shared" si="372"/>
        <v>FFDFD3C0</v>
      </c>
      <c r="D652" t="s">
        <v>151</v>
      </c>
      <c r="E652">
        <v>8</v>
      </c>
      <c r="H652">
        <v>225</v>
      </c>
      <c r="I652" t="s">
        <v>353</v>
      </c>
      <c r="J652" t="s">
        <v>150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94"/>
        <v>14:50:53.406</v>
      </c>
      <c r="T652" t="str">
        <f t="shared" si="394"/>
        <v>14:50:53.406</v>
      </c>
      <c r="U652" t="str">
        <f t="shared" si="391"/>
        <v>ACC530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1</v>
      </c>
      <c r="AH652">
        <v>0</v>
      </c>
      <c r="AI652" t="s">
        <v>369</v>
      </c>
      <c r="AJ652">
        <v>34.225996000000002</v>
      </c>
      <c r="AK652" t="s">
        <v>370</v>
      </c>
      <c r="AL652">
        <v>-116.919765</v>
      </c>
      <c r="AM652">
        <v>100</v>
      </c>
      <c r="AN652">
        <v>9100</v>
      </c>
      <c r="AO652" t="s">
        <v>118</v>
      </c>
      <c r="AP652">
        <v>-79</v>
      </c>
      <c r="AQ652">
        <v>-40</v>
      </c>
      <c r="AR652">
        <v>384</v>
      </c>
      <c r="AZ652">
        <v>1200</v>
      </c>
      <c r="BA652">
        <v>1</v>
      </c>
      <c r="BB652" t="str">
        <f t="shared" si="392"/>
        <v xml:space="preserve">N9217B  </v>
      </c>
      <c r="BC652">
        <v>1</v>
      </c>
      <c r="BE652">
        <v>0</v>
      </c>
      <c r="BF652">
        <v>0</v>
      </c>
      <c r="BG652">
        <v>0</v>
      </c>
      <c r="BH652">
        <v>9200</v>
      </c>
      <c r="BI652">
        <v>1</v>
      </c>
      <c r="BJ652">
        <v>0</v>
      </c>
      <c r="BK652">
        <v>0</v>
      </c>
      <c r="BL652">
        <v>0</v>
      </c>
      <c r="BO652">
        <v>0</v>
      </c>
      <c r="BP652">
        <v>0</v>
      </c>
      <c r="BW652" t="str">
        <f t="shared" si="395"/>
        <v>14:50:53.412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285</v>
      </c>
      <c r="CR652">
        <v>0</v>
      </c>
      <c r="CW652">
        <v>8844044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25">
      <c r="A653" t="str">
        <f t="shared" si="393"/>
        <v>06/05/2020 14:50:47.752</v>
      </c>
      <c r="C653" t="str">
        <f t="shared" si="372"/>
        <v>FFDFD3C0</v>
      </c>
      <c r="D653" t="s">
        <v>148</v>
      </c>
      <c r="E653">
        <v>8</v>
      </c>
      <c r="H653">
        <v>50</v>
      </c>
      <c r="I653" t="s">
        <v>149</v>
      </c>
      <c r="J653" t="s">
        <v>150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94"/>
        <v>14:50:53.406</v>
      </c>
      <c r="T653" t="str">
        <f t="shared" si="394"/>
        <v>14:50:53.406</v>
      </c>
      <c r="U653" t="str">
        <f t="shared" si="391"/>
        <v>ACC530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1</v>
      </c>
      <c r="AH653">
        <v>0</v>
      </c>
      <c r="AI653" t="s">
        <v>369</v>
      </c>
      <c r="AJ653">
        <v>34.225996000000002</v>
      </c>
      <c r="AK653" t="s">
        <v>370</v>
      </c>
      <c r="AL653">
        <v>-116.919765</v>
      </c>
      <c r="AM653">
        <v>100</v>
      </c>
      <c r="AN653">
        <v>9100</v>
      </c>
      <c r="AO653" t="s">
        <v>118</v>
      </c>
      <c r="AP653">
        <v>-79</v>
      </c>
      <c r="AQ653">
        <v>-40</v>
      </c>
      <c r="AR653">
        <v>384</v>
      </c>
      <c r="AZ653">
        <v>1200</v>
      </c>
      <c r="BA653">
        <v>1</v>
      </c>
      <c r="BB653" t="str">
        <f t="shared" si="392"/>
        <v xml:space="preserve">N9217B  </v>
      </c>
      <c r="BC653">
        <v>1</v>
      </c>
      <c r="BE653">
        <v>0</v>
      </c>
      <c r="BF653">
        <v>0</v>
      </c>
      <c r="BG653">
        <v>0</v>
      </c>
      <c r="BH653">
        <v>9200</v>
      </c>
      <c r="BI653">
        <v>1</v>
      </c>
      <c r="BJ653">
        <v>0</v>
      </c>
      <c r="BK653">
        <v>0</v>
      </c>
      <c r="BL653">
        <v>0</v>
      </c>
      <c r="BO653">
        <v>0</v>
      </c>
      <c r="BP653">
        <v>0</v>
      </c>
      <c r="BW653" t="str">
        <f t="shared" si="395"/>
        <v>14:50:53.412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293</v>
      </c>
      <c r="CR653">
        <v>1</v>
      </c>
      <c r="CW653">
        <v>15275063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25">
      <c r="A654" t="str">
        <f t="shared" si="393"/>
        <v>06/05/2020 14:50:47.752</v>
      </c>
      <c r="C654" t="str">
        <f t="shared" si="372"/>
        <v>FFDFD3C0</v>
      </c>
      <c r="D654" t="s">
        <v>113</v>
      </c>
      <c r="E654">
        <v>3</v>
      </c>
      <c r="H654">
        <v>166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94"/>
        <v>14:50:53.406</v>
      </c>
      <c r="T654" t="str">
        <f t="shared" si="394"/>
        <v>14:50:53.406</v>
      </c>
      <c r="U654" t="str">
        <f t="shared" si="391"/>
        <v>ACC530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1</v>
      </c>
      <c r="AH654">
        <v>0</v>
      </c>
      <c r="AI654" t="s">
        <v>369</v>
      </c>
      <c r="AJ654">
        <v>34.225996000000002</v>
      </c>
      <c r="AK654" t="s">
        <v>370</v>
      </c>
      <c r="AL654">
        <v>-116.919765</v>
      </c>
      <c r="AM654">
        <v>100</v>
      </c>
      <c r="AN654">
        <v>9100</v>
      </c>
      <c r="AO654" t="s">
        <v>118</v>
      </c>
      <c r="AP654">
        <v>-79</v>
      </c>
      <c r="AQ654">
        <v>-40</v>
      </c>
      <c r="AR654">
        <v>384</v>
      </c>
      <c r="AZ654">
        <v>1200</v>
      </c>
      <c r="BA654">
        <v>1</v>
      </c>
      <c r="BB654" t="str">
        <f t="shared" si="392"/>
        <v xml:space="preserve">N9217B  </v>
      </c>
      <c r="BC654">
        <v>1</v>
      </c>
      <c r="BE654">
        <v>0</v>
      </c>
      <c r="BF654">
        <v>0</v>
      </c>
      <c r="BG654">
        <v>0</v>
      </c>
      <c r="BH654">
        <v>9200</v>
      </c>
      <c r="BI654">
        <v>1</v>
      </c>
      <c r="BJ654">
        <v>0</v>
      </c>
      <c r="BK654">
        <v>0</v>
      </c>
      <c r="BL654">
        <v>0</v>
      </c>
      <c r="BO654">
        <v>0</v>
      </c>
      <c r="BP654">
        <v>0</v>
      </c>
      <c r="BW654" t="str">
        <f t="shared" si="395"/>
        <v>14:50:53.412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293</v>
      </c>
      <c r="CR654">
        <v>1</v>
      </c>
      <c r="CW654">
        <v>15275063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25">
      <c r="A655" t="str">
        <f t="shared" si="393"/>
        <v>06/05/2020 14:50:47.752</v>
      </c>
      <c r="C655" t="str">
        <f t="shared" si="372"/>
        <v>FFDFD3C0</v>
      </c>
      <c r="D655" t="s">
        <v>134</v>
      </c>
      <c r="E655">
        <v>7</v>
      </c>
      <c r="F655">
        <v>2007</v>
      </c>
      <c r="G655" t="s">
        <v>135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94"/>
        <v>14:50:53.406</v>
      </c>
      <c r="T655" t="str">
        <f t="shared" si="394"/>
        <v>14:50:53.406</v>
      </c>
      <c r="U655" t="str">
        <f t="shared" si="391"/>
        <v>ACC530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1</v>
      </c>
      <c r="AH655">
        <v>0</v>
      </c>
      <c r="AI655" t="s">
        <v>369</v>
      </c>
      <c r="AJ655">
        <v>34.225996000000002</v>
      </c>
      <c r="AK655" t="s">
        <v>370</v>
      </c>
      <c r="AL655">
        <v>-116.919765</v>
      </c>
      <c r="AM655">
        <v>100</v>
      </c>
      <c r="AN655">
        <v>9100</v>
      </c>
      <c r="AO655" t="s">
        <v>118</v>
      </c>
      <c r="AP655">
        <v>-79</v>
      </c>
      <c r="AQ655">
        <v>-40</v>
      </c>
      <c r="AR655">
        <v>384</v>
      </c>
      <c r="AZ655">
        <v>1200</v>
      </c>
      <c r="BA655">
        <v>1</v>
      </c>
      <c r="BB655" t="str">
        <f t="shared" si="392"/>
        <v xml:space="preserve">N9217B  </v>
      </c>
      <c r="BC655">
        <v>1</v>
      </c>
      <c r="BE655">
        <v>0</v>
      </c>
      <c r="BF655">
        <v>0</v>
      </c>
      <c r="BG655">
        <v>0</v>
      </c>
      <c r="BH655">
        <v>9200</v>
      </c>
      <c r="BI655">
        <v>1</v>
      </c>
      <c r="BJ655">
        <v>0</v>
      </c>
      <c r="BK655">
        <v>0</v>
      </c>
      <c r="BL655">
        <v>0</v>
      </c>
      <c r="BO655">
        <v>0</v>
      </c>
      <c r="BP655">
        <v>0</v>
      </c>
      <c r="BW655" t="str">
        <f t="shared" si="395"/>
        <v>14:50:53.412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293</v>
      </c>
      <c r="CR655">
        <v>1</v>
      </c>
      <c r="CW655">
        <v>15275063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25">
      <c r="A656" t="str">
        <f t="shared" si="393"/>
        <v>06/05/2020 14:50:47.752</v>
      </c>
      <c r="C656" t="str">
        <f t="shared" si="372"/>
        <v>FFDFD3C0</v>
      </c>
      <c r="D656" t="s">
        <v>143</v>
      </c>
      <c r="E656">
        <v>10</v>
      </c>
      <c r="F656">
        <v>3010</v>
      </c>
      <c r="G656" t="s">
        <v>144</v>
      </c>
      <c r="J656" t="s">
        <v>145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394"/>
        <v>14:50:53.406</v>
      </c>
      <c r="T656" t="str">
        <f t="shared" si="394"/>
        <v>14:50:53.406</v>
      </c>
      <c r="U656" t="str">
        <f t="shared" si="391"/>
        <v>ACC530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1</v>
      </c>
      <c r="AH656">
        <v>0</v>
      </c>
      <c r="AI656" t="s">
        <v>369</v>
      </c>
      <c r="AJ656">
        <v>34.225996000000002</v>
      </c>
      <c r="AK656" t="s">
        <v>370</v>
      </c>
      <c r="AL656">
        <v>-116.919765</v>
      </c>
      <c r="AM656">
        <v>100</v>
      </c>
      <c r="AN656">
        <v>9100</v>
      </c>
      <c r="AO656" t="s">
        <v>118</v>
      </c>
      <c r="AP656">
        <v>-79</v>
      </c>
      <c r="AQ656">
        <v>-40</v>
      </c>
      <c r="AR656">
        <v>384</v>
      </c>
      <c r="AZ656">
        <v>1200</v>
      </c>
      <c r="BA656">
        <v>1</v>
      </c>
      <c r="BB656" t="str">
        <f t="shared" si="392"/>
        <v xml:space="preserve">N9217B  </v>
      </c>
      <c r="BC656">
        <v>1</v>
      </c>
      <c r="BE656">
        <v>0</v>
      </c>
      <c r="BF656">
        <v>0</v>
      </c>
      <c r="BG656">
        <v>0</v>
      </c>
      <c r="BH656">
        <v>9200</v>
      </c>
      <c r="BI656">
        <v>1</v>
      </c>
      <c r="BJ656">
        <v>0</v>
      </c>
      <c r="BK656">
        <v>0</v>
      </c>
      <c r="BL656">
        <v>0</v>
      </c>
      <c r="BO656">
        <v>0</v>
      </c>
      <c r="BP656">
        <v>0</v>
      </c>
      <c r="BW656" t="str">
        <f t="shared" si="395"/>
        <v>14:50:53.412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293</v>
      </c>
      <c r="CR656">
        <v>1</v>
      </c>
      <c r="CW656">
        <v>15275063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25">
      <c r="A657" t="str">
        <f t="shared" ref="A657:A664" si="396">"06/05/2020 14:50:48.673"</f>
        <v>06/05/2020 14:50:48.673</v>
      </c>
      <c r="C657" t="str">
        <f t="shared" si="372"/>
        <v>FFDFD3C0</v>
      </c>
      <c r="D657" t="s">
        <v>148</v>
      </c>
      <c r="E657">
        <v>8</v>
      </c>
      <c r="H657">
        <v>50</v>
      </c>
      <c r="I657" t="s">
        <v>149</v>
      </c>
      <c r="J657" t="s">
        <v>150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ref="S657:S664" si="397">"14:50:54.320"</f>
        <v>14:50:54.320</v>
      </c>
      <c r="T657" t="str">
        <f t="shared" ref="T657:T664" si="398">"14:50:54.020"</f>
        <v>14:50:54.020</v>
      </c>
      <c r="U657" t="str">
        <f t="shared" si="391"/>
        <v>ACC530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1</v>
      </c>
      <c r="AH657">
        <v>0</v>
      </c>
      <c r="AI657" t="s">
        <v>371</v>
      </c>
      <c r="AJ657">
        <v>34.225802000000002</v>
      </c>
      <c r="AK657" t="s">
        <v>372</v>
      </c>
      <c r="AL657">
        <v>-116.920109</v>
      </c>
      <c r="AM657">
        <v>100</v>
      </c>
      <c r="AN657">
        <v>9100</v>
      </c>
      <c r="AO657" t="s">
        <v>118</v>
      </c>
      <c r="AP657">
        <v>-79</v>
      </c>
      <c r="AQ657">
        <v>-40</v>
      </c>
      <c r="AR657">
        <v>448</v>
      </c>
      <c r="AZ657">
        <v>1200</v>
      </c>
      <c r="BA657">
        <v>1</v>
      </c>
      <c r="BB657" t="str">
        <f t="shared" si="392"/>
        <v xml:space="preserve">N9217B  </v>
      </c>
      <c r="BC657">
        <v>1</v>
      </c>
      <c r="BE657">
        <v>0</v>
      </c>
      <c r="BF657">
        <v>0</v>
      </c>
      <c r="BG657">
        <v>0</v>
      </c>
      <c r="BH657">
        <v>9200</v>
      </c>
      <c r="BI657">
        <v>1</v>
      </c>
      <c r="BJ657">
        <v>0</v>
      </c>
      <c r="BK657">
        <v>0</v>
      </c>
      <c r="BL657">
        <v>0</v>
      </c>
      <c r="BO657">
        <v>0</v>
      </c>
      <c r="BP657">
        <v>0</v>
      </c>
      <c r="BW657" t="str">
        <f t="shared" ref="BW657:BW664" si="399">"14:50:54.327"</f>
        <v>14:50:54.327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293</v>
      </c>
      <c r="CR657">
        <v>1</v>
      </c>
      <c r="CW657">
        <v>15275182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25">
      <c r="A658" t="str">
        <f t="shared" si="396"/>
        <v>06/05/2020 14:50:48.673</v>
      </c>
      <c r="C658" t="str">
        <f t="shared" si="372"/>
        <v>FFDFD3C0</v>
      </c>
      <c r="D658" t="s">
        <v>113</v>
      </c>
      <c r="E658">
        <v>3</v>
      </c>
      <c r="H658">
        <v>166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97"/>
        <v>14:50:54.320</v>
      </c>
      <c r="T658" t="str">
        <f t="shared" si="398"/>
        <v>14:50:54.020</v>
      </c>
      <c r="U658" t="str">
        <f t="shared" si="391"/>
        <v>ACC530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1</v>
      </c>
      <c r="AH658">
        <v>0</v>
      </c>
      <c r="AI658" t="s">
        <v>371</v>
      </c>
      <c r="AJ658">
        <v>34.225802000000002</v>
      </c>
      <c r="AK658" t="s">
        <v>372</v>
      </c>
      <c r="AL658">
        <v>-116.920109</v>
      </c>
      <c r="AM658">
        <v>100</v>
      </c>
      <c r="AN658">
        <v>9100</v>
      </c>
      <c r="AO658" t="s">
        <v>118</v>
      </c>
      <c r="AP658">
        <v>-79</v>
      </c>
      <c r="AQ658">
        <v>-40</v>
      </c>
      <c r="AR658">
        <v>448</v>
      </c>
      <c r="AZ658">
        <v>1200</v>
      </c>
      <c r="BA658">
        <v>1</v>
      </c>
      <c r="BB658" t="str">
        <f t="shared" si="392"/>
        <v xml:space="preserve">N9217B  </v>
      </c>
      <c r="BC658">
        <v>1</v>
      </c>
      <c r="BE658">
        <v>0</v>
      </c>
      <c r="BF658">
        <v>0</v>
      </c>
      <c r="BG658">
        <v>0</v>
      </c>
      <c r="BH658">
        <v>9200</v>
      </c>
      <c r="BI658">
        <v>1</v>
      </c>
      <c r="BJ658">
        <v>0</v>
      </c>
      <c r="BK658">
        <v>0</v>
      </c>
      <c r="BL658">
        <v>0</v>
      </c>
      <c r="BO658">
        <v>0</v>
      </c>
      <c r="BP658">
        <v>0</v>
      </c>
      <c r="BW658" t="str">
        <f t="shared" si="399"/>
        <v>14:50:54.327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293</v>
      </c>
      <c r="CR658">
        <v>1</v>
      </c>
      <c r="CW658">
        <v>15275182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25">
      <c r="A659" t="str">
        <f t="shared" si="396"/>
        <v>06/05/2020 14:50:48.673</v>
      </c>
      <c r="C659" t="str">
        <f t="shared" si="372"/>
        <v>FFDFD3C0</v>
      </c>
      <c r="D659" t="s">
        <v>143</v>
      </c>
      <c r="E659">
        <v>10</v>
      </c>
      <c r="F659">
        <v>3010</v>
      </c>
      <c r="G659" t="s">
        <v>144</v>
      </c>
      <c r="J659" t="s">
        <v>145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97"/>
        <v>14:50:54.320</v>
      </c>
      <c r="T659" t="str">
        <f t="shared" si="398"/>
        <v>14:50:54.020</v>
      </c>
      <c r="U659" t="str">
        <f t="shared" si="391"/>
        <v>ACC530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1</v>
      </c>
      <c r="AH659">
        <v>0</v>
      </c>
      <c r="AI659" t="s">
        <v>371</v>
      </c>
      <c r="AJ659">
        <v>34.225802000000002</v>
      </c>
      <c r="AK659" t="s">
        <v>372</v>
      </c>
      <c r="AL659">
        <v>-116.920109</v>
      </c>
      <c r="AM659">
        <v>100</v>
      </c>
      <c r="AN659">
        <v>9100</v>
      </c>
      <c r="AO659" t="s">
        <v>118</v>
      </c>
      <c r="AP659">
        <v>-79</v>
      </c>
      <c r="AQ659">
        <v>-40</v>
      </c>
      <c r="AR659">
        <v>448</v>
      </c>
      <c r="AZ659">
        <v>1200</v>
      </c>
      <c r="BA659">
        <v>1</v>
      </c>
      <c r="BB659" t="str">
        <f t="shared" si="392"/>
        <v xml:space="preserve">N9217B  </v>
      </c>
      <c r="BC659">
        <v>1</v>
      </c>
      <c r="BE659">
        <v>0</v>
      </c>
      <c r="BF659">
        <v>0</v>
      </c>
      <c r="BG659">
        <v>0</v>
      </c>
      <c r="BH659">
        <v>9200</v>
      </c>
      <c r="BI659">
        <v>1</v>
      </c>
      <c r="BJ659">
        <v>0</v>
      </c>
      <c r="BK659">
        <v>0</v>
      </c>
      <c r="BL659">
        <v>0</v>
      </c>
      <c r="BO659">
        <v>0</v>
      </c>
      <c r="BP659">
        <v>0</v>
      </c>
      <c r="BW659" t="str">
        <f t="shared" si="399"/>
        <v>14:50:54.327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293</v>
      </c>
      <c r="CR659">
        <v>1</v>
      </c>
      <c r="CW659">
        <v>15275182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25">
      <c r="A660" t="str">
        <f t="shared" si="396"/>
        <v>06/05/2020 14:50:48.673</v>
      </c>
      <c r="C660" t="str">
        <f t="shared" si="372"/>
        <v>FFDFD3C0</v>
      </c>
      <c r="D660" t="s">
        <v>134</v>
      </c>
      <c r="E660">
        <v>7</v>
      </c>
      <c r="F660">
        <v>2007</v>
      </c>
      <c r="G660" t="s">
        <v>135</v>
      </c>
      <c r="J660" t="s">
        <v>136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97"/>
        <v>14:50:54.320</v>
      </c>
      <c r="T660" t="str">
        <f t="shared" si="398"/>
        <v>14:50:54.020</v>
      </c>
      <c r="U660" t="str">
        <f t="shared" si="391"/>
        <v>ACC530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1</v>
      </c>
      <c r="AH660">
        <v>0</v>
      </c>
      <c r="AI660" t="s">
        <v>371</v>
      </c>
      <c r="AJ660">
        <v>34.225802000000002</v>
      </c>
      <c r="AK660" t="s">
        <v>372</v>
      </c>
      <c r="AL660">
        <v>-116.920109</v>
      </c>
      <c r="AM660">
        <v>100</v>
      </c>
      <c r="AN660">
        <v>9100</v>
      </c>
      <c r="AO660" t="s">
        <v>118</v>
      </c>
      <c r="AP660">
        <v>-79</v>
      </c>
      <c r="AQ660">
        <v>-40</v>
      </c>
      <c r="AR660">
        <v>448</v>
      </c>
      <c r="AZ660">
        <v>1200</v>
      </c>
      <c r="BA660">
        <v>1</v>
      </c>
      <c r="BB660" t="str">
        <f t="shared" si="392"/>
        <v xml:space="preserve">N9217B  </v>
      </c>
      <c r="BC660">
        <v>1</v>
      </c>
      <c r="BE660">
        <v>0</v>
      </c>
      <c r="BF660">
        <v>0</v>
      </c>
      <c r="BG660">
        <v>0</v>
      </c>
      <c r="BH660">
        <v>9200</v>
      </c>
      <c r="BI660">
        <v>1</v>
      </c>
      <c r="BJ660">
        <v>0</v>
      </c>
      <c r="BK660">
        <v>0</v>
      </c>
      <c r="BL660">
        <v>0</v>
      </c>
      <c r="BO660">
        <v>0</v>
      </c>
      <c r="BP660">
        <v>0</v>
      </c>
      <c r="BW660" t="str">
        <f t="shared" si="399"/>
        <v>14:50:54.327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293</v>
      </c>
      <c r="CR660">
        <v>1</v>
      </c>
      <c r="CW660">
        <v>15275182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25">
      <c r="A661" t="str">
        <f t="shared" si="396"/>
        <v>06/05/2020 14:50:48.673</v>
      </c>
      <c r="C661" t="str">
        <f t="shared" si="372"/>
        <v>FFDFD3C0</v>
      </c>
      <c r="D661" t="s">
        <v>148</v>
      </c>
      <c r="E661">
        <v>11</v>
      </c>
      <c r="H661">
        <v>53</v>
      </c>
      <c r="I661" t="s">
        <v>364</v>
      </c>
      <c r="J661" t="s">
        <v>150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97"/>
        <v>14:50:54.320</v>
      </c>
      <c r="T661" t="str">
        <f t="shared" si="398"/>
        <v>14:50:54.020</v>
      </c>
      <c r="U661" t="str">
        <f t="shared" si="391"/>
        <v>ACC530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1</v>
      </c>
      <c r="AH661">
        <v>0</v>
      </c>
      <c r="AI661" t="s">
        <v>371</v>
      </c>
      <c r="AJ661">
        <v>34.225802000000002</v>
      </c>
      <c r="AK661" t="s">
        <v>372</v>
      </c>
      <c r="AL661">
        <v>-116.920109</v>
      </c>
      <c r="AM661">
        <v>100</v>
      </c>
      <c r="AN661">
        <v>9100</v>
      </c>
      <c r="AO661" t="s">
        <v>118</v>
      </c>
      <c r="AP661">
        <v>-79</v>
      </c>
      <c r="AQ661">
        <v>-40</v>
      </c>
      <c r="AR661">
        <v>448</v>
      </c>
      <c r="AZ661">
        <v>1200</v>
      </c>
      <c r="BA661">
        <v>1</v>
      </c>
      <c r="BB661" t="str">
        <f t="shared" si="392"/>
        <v xml:space="preserve">N9217B  </v>
      </c>
      <c r="BC661">
        <v>1</v>
      </c>
      <c r="BE661">
        <v>0</v>
      </c>
      <c r="BF661">
        <v>0</v>
      </c>
      <c r="BG661">
        <v>0</v>
      </c>
      <c r="BH661">
        <v>9200</v>
      </c>
      <c r="BI661">
        <v>1</v>
      </c>
      <c r="BJ661">
        <v>0</v>
      </c>
      <c r="BK661">
        <v>0</v>
      </c>
      <c r="BL661">
        <v>0</v>
      </c>
      <c r="BO661">
        <v>0</v>
      </c>
      <c r="BP661">
        <v>0</v>
      </c>
      <c r="BW661" t="str">
        <f t="shared" si="399"/>
        <v>14:50:54.327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293</v>
      </c>
      <c r="CR661">
        <v>1</v>
      </c>
      <c r="CW661">
        <v>15275182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25">
      <c r="A662" t="str">
        <f t="shared" si="396"/>
        <v>06/05/2020 14:50:48.673</v>
      </c>
      <c r="C662" t="str">
        <f t="shared" si="372"/>
        <v>FFDFD3C0</v>
      </c>
      <c r="D662" t="s">
        <v>141</v>
      </c>
      <c r="E662">
        <v>20</v>
      </c>
      <c r="F662">
        <v>1020</v>
      </c>
      <c r="G662" t="s">
        <v>114</v>
      </c>
      <c r="J662" t="s">
        <v>142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397"/>
        <v>14:50:54.320</v>
      </c>
      <c r="T662" t="str">
        <f t="shared" si="398"/>
        <v>14:50:54.020</v>
      </c>
      <c r="U662" t="str">
        <f t="shared" si="391"/>
        <v>ACC530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1</v>
      </c>
      <c r="AH662">
        <v>0</v>
      </c>
      <c r="AI662" t="s">
        <v>371</v>
      </c>
      <c r="AJ662">
        <v>34.225802000000002</v>
      </c>
      <c r="AK662" t="s">
        <v>372</v>
      </c>
      <c r="AL662">
        <v>-116.920109</v>
      </c>
      <c r="AM662">
        <v>100</v>
      </c>
      <c r="AN662">
        <v>9100</v>
      </c>
      <c r="AO662" t="s">
        <v>118</v>
      </c>
      <c r="AP662">
        <v>-79</v>
      </c>
      <c r="AQ662">
        <v>-40</v>
      </c>
      <c r="AR662">
        <v>448</v>
      </c>
      <c r="AZ662">
        <v>1200</v>
      </c>
      <c r="BA662">
        <v>1</v>
      </c>
      <c r="BB662" t="str">
        <f t="shared" si="392"/>
        <v xml:space="preserve">N9217B  </v>
      </c>
      <c r="BC662">
        <v>1</v>
      </c>
      <c r="BE662">
        <v>0</v>
      </c>
      <c r="BF662">
        <v>0</v>
      </c>
      <c r="BG662">
        <v>0</v>
      </c>
      <c r="BH662">
        <v>9200</v>
      </c>
      <c r="BI662">
        <v>1</v>
      </c>
      <c r="BJ662">
        <v>0</v>
      </c>
      <c r="BK662">
        <v>0</v>
      </c>
      <c r="BL662">
        <v>0</v>
      </c>
      <c r="BO662">
        <v>0</v>
      </c>
      <c r="BP662">
        <v>0</v>
      </c>
      <c r="BW662" t="str">
        <f t="shared" si="399"/>
        <v>14:50:54.327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293</v>
      </c>
      <c r="CR662">
        <v>1</v>
      </c>
      <c r="CW662">
        <v>15275182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25">
      <c r="A663" t="str">
        <f t="shared" si="396"/>
        <v>06/05/2020 14:50:48.673</v>
      </c>
      <c r="C663" t="str">
        <f t="shared" si="372"/>
        <v>FFDFD3C0</v>
      </c>
      <c r="D663" t="s">
        <v>151</v>
      </c>
      <c r="E663">
        <v>9</v>
      </c>
      <c r="H663">
        <v>226</v>
      </c>
      <c r="I663" t="s">
        <v>152</v>
      </c>
      <c r="J663" t="s">
        <v>150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397"/>
        <v>14:50:54.320</v>
      </c>
      <c r="T663" t="str">
        <f t="shared" si="398"/>
        <v>14:50:54.020</v>
      </c>
      <c r="U663" t="str">
        <f t="shared" si="391"/>
        <v>ACC530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1</v>
      </c>
      <c r="AH663">
        <v>0</v>
      </c>
      <c r="AI663" t="s">
        <v>371</v>
      </c>
      <c r="AJ663">
        <v>34.225802000000002</v>
      </c>
      <c r="AK663" t="s">
        <v>372</v>
      </c>
      <c r="AL663">
        <v>-116.920109</v>
      </c>
      <c r="AM663">
        <v>100</v>
      </c>
      <c r="AN663">
        <v>9100</v>
      </c>
      <c r="AO663" t="s">
        <v>118</v>
      </c>
      <c r="AP663">
        <v>-79</v>
      </c>
      <c r="AQ663">
        <v>-40</v>
      </c>
      <c r="AR663">
        <v>448</v>
      </c>
      <c r="AZ663">
        <v>1200</v>
      </c>
      <c r="BA663">
        <v>1</v>
      </c>
      <c r="BB663" t="str">
        <f t="shared" si="392"/>
        <v xml:space="preserve">N9217B  </v>
      </c>
      <c r="BC663">
        <v>1</v>
      </c>
      <c r="BE663">
        <v>0</v>
      </c>
      <c r="BF663">
        <v>0</v>
      </c>
      <c r="BG663">
        <v>0</v>
      </c>
      <c r="BH663">
        <v>9200</v>
      </c>
      <c r="BI663">
        <v>1</v>
      </c>
      <c r="BJ663">
        <v>0</v>
      </c>
      <c r="BK663">
        <v>0</v>
      </c>
      <c r="BL663">
        <v>0</v>
      </c>
      <c r="BO663">
        <v>0</v>
      </c>
      <c r="BP663">
        <v>0</v>
      </c>
      <c r="BW663" t="str">
        <f t="shared" si="399"/>
        <v>14:50:54.327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293</v>
      </c>
      <c r="CR663">
        <v>1</v>
      </c>
      <c r="CW663">
        <v>15275182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25">
      <c r="A664" t="str">
        <f t="shared" si="396"/>
        <v>06/05/2020 14:50:48.673</v>
      </c>
      <c r="C664" t="str">
        <f t="shared" si="372"/>
        <v>FFDFD3C0</v>
      </c>
      <c r="D664" t="s">
        <v>151</v>
      </c>
      <c r="E664">
        <v>8</v>
      </c>
      <c r="H664">
        <v>225</v>
      </c>
      <c r="I664" t="s">
        <v>353</v>
      </c>
      <c r="J664" t="s">
        <v>150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97"/>
        <v>14:50:54.320</v>
      </c>
      <c r="T664" t="str">
        <f t="shared" si="398"/>
        <v>14:50:54.020</v>
      </c>
      <c r="U664" t="str">
        <f t="shared" si="391"/>
        <v>ACC530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1</v>
      </c>
      <c r="AH664">
        <v>0</v>
      </c>
      <c r="AI664" t="s">
        <v>371</v>
      </c>
      <c r="AJ664">
        <v>34.225802000000002</v>
      </c>
      <c r="AK664" t="s">
        <v>372</v>
      </c>
      <c r="AL664">
        <v>-116.920109</v>
      </c>
      <c r="AM664">
        <v>100</v>
      </c>
      <c r="AN664">
        <v>9100</v>
      </c>
      <c r="AO664" t="s">
        <v>118</v>
      </c>
      <c r="AP664">
        <v>-79</v>
      </c>
      <c r="AQ664">
        <v>-40</v>
      </c>
      <c r="AR664">
        <v>448</v>
      </c>
      <c r="AZ664">
        <v>1200</v>
      </c>
      <c r="BA664">
        <v>1</v>
      </c>
      <c r="BB664" t="str">
        <f t="shared" si="392"/>
        <v xml:space="preserve">N9217B  </v>
      </c>
      <c r="BC664">
        <v>1</v>
      </c>
      <c r="BE664">
        <v>0</v>
      </c>
      <c r="BF664">
        <v>0</v>
      </c>
      <c r="BG664">
        <v>0</v>
      </c>
      <c r="BH664">
        <v>9200</v>
      </c>
      <c r="BI664">
        <v>1</v>
      </c>
      <c r="BJ664">
        <v>0</v>
      </c>
      <c r="BK664">
        <v>0</v>
      </c>
      <c r="BL664">
        <v>0</v>
      </c>
      <c r="BO664">
        <v>0</v>
      </c>
      <c r="BP664">
        <v>0</v>
      </c>
      <c r="BW664" t="str">
        <f t="shared" si="399"/>
        <v>14:50:54.327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6</v>
      </c>
      <c r="CP664" t="s">
        <v>119</v>
      </c>
      <c r="CQ664">
        <v>285</v>
      </c>
      <c r="CR664">
        <v>0</v>
      </c>
      <c r="CW664">
        <v>8844126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25">
      <c r="A665" t="str">
        <f t="shared" ref="A665:A672" si="400">"06/05/2020 14:50:49.770"</f>
        <v>06/05/2020 14:50:49.770</v>
      </c>
      <c r="C665" t="str">
        <f t="shared" si="372"/>
        <v>FFDFD3C0</v>
      </c>
      <c r="D665" t="s">
        <v>141</v>
      </c>
      <c r="E665">
        <v>20</v>
      </c>
      <c r="F665">
        <v>1020</v>
      </c>
      <c r="G665" t="s">
        <v>114</v>
      </c>
      <c r="J665" t="s">
        <v>142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ref="S665:T672" si="401">"14:50:55.375"</f>
        <v>14:50:55.375</v>
      </c>
      <c r="T665" t="str">
        <f t="shared" si="401"/>
        <v>14:50:55.375</v>
      </c>
      <c r="U665" t="str">
        <f t="shared" si="391"/>
        <v>ACC530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1</v>
      </c>
      <c r="AH665">
        <v>0</v>
      </c>
      <c r="AI665" t="s">
        <v>373</v>
      </c>
      <c r="AJ665">
        <v>34.225631</v>
      </c>
      <c r="AK665" t="s">
        <v>374</v>
      </c>
      <c r="AL665">
        <v>-116.920559</v>
      </c>
      <c r="AM665">
        <v>100</v>
      </c>
      <c r="AN665">
        <v>9100</v>
      </c>
      <c r="AO665" t="s">
        <v>118</v>
      </c>
      <c r="AP665">
        <v>-78</v>
      </c>
      <c r="AQ665">
        <v>-40</v>
      </c>
      <c r="AR665">
        <v>320</v>
      </c>
      <c r="AZ665">
        <v>1200</v>
      </c>
      <c r="BA665">
        <v>1</v>
      </c>
      <c r="BB665" t="str">
        <f t="shared" si="392"/>
        <v xml:space="preserve">N9217B  </v>
      </c>
      <c r="BC665">
        <v>1</v>
      </c>
      <c r="BE665">
        <v>0</v>
      </c>
      <c r="BF665">
        <v>0</v>
      </c>
      <c r="BG665">
        <v>0</v>
      </c>
      <c r="BH665">
        <v>9225</v>
      </c>
      <c r="BI665">
        <v>1</v>
      </c>
      <c r="BJ665">
        <v>0</v>
      </c>
      <c r="BK665">
        <v>0</v>
      </c>
      <c r="BL665">
        <v>0</v>
      </c>
      <c r="BO665">
        <v>0</v>
      </c>
      <c r="BP665">
        <v>0</v>
      </c>
      <c r="BW665" t="str">
        <f t="shared" ref="BW665:BW672" si="402">"14:50:55.377"</f>
        <v>14:50:55.377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293</v>
      </c>
      <c r="CR665">
        <v>1</v>
      </c>
      <c r="CW665">
        <v>15275302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25">
      <c r="A666" t="str">
        <f t="shared" si="400"/>
        <v>06/05/2020 14:50:49.770</v>
      </c>
      <c r="C666" t="str">
        <f t="shared" si="372"/>
        <v>FFDFD3C0</v>
      </c>
      <c r="D666" t="s">
        <v>148</v>
      </c>
      <c r="E666">
        <v>11</v>
      </c>
      <c r="H666">
        <v>53</v>
      </c>
      <c r="I666" t="s">
        <v>364</v>
      </c>
      <c r="J666" t="s">
        <v>150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401"/>
        <v>14:50:55.375</v>
      </c>
      <c r="T666" t="str">
        <f t="shared" si="401"/>
        <v>14:50:55.375</v>
      </c>
      <c r="U666" t="str">
        <f t="shared" si="391"/>
        <v>ACC530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1</v>
      </c>
      <c r="AH666">
        <v>0</v>
      </c>
      <c r="AI666" t="s">
        <v>373</v>
      </c>
      <c r="AJ666">
        <v>34.225631</v>
      </c>
      <c r="AK666" t="s">
        <v>374</v>
      </c>
      <c r="AL666">
        <v>-116.920559</v>
      </c>
      <c r="AM666">
        <v>100</v>
      </c>
      <c r="AN666">
        <v>9100</v>
      </c>
      <c r="AO666" t="s">
        <v>118</v>
      </c>
      <c r="AP666">
        <v>-78</v>
      </c>
      <c r="AQ666">
        <v>-40</v>
      </c>
      <c r="AR666">
        <v>320</v>
      </c>
      <c r="AZ666">
        <v>1200</v>
      </c>
      <c r="BA666">
        <v>1</v>
      </c>
      <c r="BB666" t="str">
        <f t="shared" si="392"/>
        <v xml:space="preserve">N9217B  </v>
      </c>
      <c r="BC666">
        <v>1</v>
      </c>
      <c r="BE666">
        <v>0</v>
      </c>
      <c r="BF666">
        <v>0</v>
      </c>
      <c r="BG666">
        <v>0</v>
      </c>
      <c r="BH666">
        <v>9225</v>
      </c>
      <c r="BI666">
        <v>1</v>
      </c>
      <c r="BJ666">
        <v>0</v>
      </c>
      <c r="BK666">
        <v>0</v>
      </c>
      <c r="BL666">
        <v>0</v>
      </c>
      <c r="BO666">
        <v>0</v>
      </c>
      <c r="BP666">
        <v>0</v>
      </c>
      <c r="BW666" t="str">
        <f t="shared" si="402"/>
        <v>14:50:55.377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293</v>
      </c>
      <c r="CR666">
        <v>1</v>
      </c>
      <c r="CW666">
        <v>15275302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25">
      <c r="A667" t="str">
        <f t="shared" si="400"/>
        <v>06/05/2020 14:50:49.770</v>
      </c>
      <c r="C667" t="str">
        <f t="shared" si="372"/>
        <v>FFDFD3C0</v>
      </c>
      <c r="D667" t="s">
        <v>151</v>
      </c>
      <c r="E667">
        <v>9</v>
      </c>
      <c r="H667">
        <v>226</v>
      </c>
      <c r="I667" t="s">
        <v>152</v>
      </c>
      <c r="J667" t="s">
        <v>150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401"/>
        <v>14:50:55.375</v>
      </c>
      <c r="T667" t="str">
        <f t="shared" si="401"/>
        <v>14:50:55.375</v>
      </c>
      <c r="U667" t="str">
        <f t="shared" si="391"/>
        <v>ACC530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1</v>
      </c>
      <c r="AH667">
        <v>0</v>
      </c>
      <c r="AI667" t="s">
        <v>373</v>
      </c>
      <c r="AJ667">
        <v>34.225631</v>
      </c>
      <c r="AK667" t="s">
        <v>374</v>
      </c>
      <c r="AL667">
        <v>-116.920559</v>
      </c>
      <c r="AM667">
        <v>100</v>
      </c>
      <c r="AN667">
        <v>9100</v>
      </c>
      <c r="AO667" t="s">
        <v>118</v>
      </c>
      <c r="AP667">
        <v>-78</v>
      </c>
      <c r="AQ667">
        <v>-40</v>
      </c>
      <c r="AR667">
        <v>320</v>
      </c>
      <c r="AZ667">
        <v>1200</v>
      </c>
      <c r="BA667">
        <v>1</v>
      </c>
      <c r="BB667" t="str">
        <f t="shared" si="392"/>
        <v xml:space="preserve">N9217B  </v>
      </c>
      <c r="BC667">
        <v>1</v>
      </c>
      <c r="BE667">
        <v>0</v>
      </c>
      <c r="BF667">
        <v>0</v>
      </c>
      <c r="BG667">
        <v>0</v>
      </c>
      <c r="BH667">
        <v>9225</v>
      </c>
      <c r="BI667">
        <v>1</v>
      </c>
      <c r="BJ667">
        <v>0</v>
      </c>
      <c r="BK667">
        <v>0</v>
      </c>
      <c r="BL667">
        <v>0</v>
      </c>
      <c r="BO667">
        <v>0</v>
      </c>
      <c r="BP667">
        <v>0</v>
      </c>
      <c r="BW667" t="str">
        <f t="shared" si="402"/>
        <v>14:50:55.377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293</v>
      </c>
      <c r="CR667">
        <v>1</v>
      </c>
      <c r="CW667">
        <v>15275302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25">
      <c r="A668" t="str">
        <f t="shared" si="400"/>
        <v>06/05/2020 14:50:49.770</v>
      </c>
      <c r="C668" t="str">
        <f t="shared" si="372"/>
        <v>FFDFD3C0</v>
      </c>
      <c r="D668" t="s">
        <v>151</v>
      </c>
      <c r="E668">
        <v>8</v>
      </c>
      <c r="H668">
        <v>225</v>
      </c>
      <c r="I668" t="s">
        <v>353</v>
      </c>
      <c r="J668" t="s">
        <v>150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401"/>
        <v>14:50:55.375</v>
      </c>
      <c r="T668" t="str">
        <f t="shared" si="401"/>
        <v>14:50:55.375</v>
      </c>
      <c r="U668" t="str">
        <f t="shared" si="391"/>
        <v>ACC530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1</v>
      </c>
      <c r="AH668">
        <v>0</v>
      </c>
      <c r="AI668" t="s">
        <v>373</v>
      </c>
      <c r="AJ668">
        <v>34.225631</v>
      </c>
      <c r="AK668" t="s">
        <v>374</v>
      </c>
      <c r="AL668">
        <v>-116.920559</v>
      </c>
      <c r="AM668">
        <v>100</v>
      </c>
      <c r="AN668">
        <v>9100</v>
      </c>
      <c r="AO668" t="s">
        <v>118</v>
      </c>
      <c r="AP668">
        <v>-78</v>
      </c>
      <c r="AQ668">
        <v>-40</v>
      </c>
      <c r="AR668">
        <v>320</v>
      </c>
      <c r="AZ668">
        <v>1200</v>
      </c>
      <c r="BA668">
        <v>1</v>
      </c>
      <c r="BB668" t="str">
        <f t="shared" si="392"/>
        <v xml:space="preserve">N9217B  </v>
      </c>
      <c r="BC668">
        <v>1</v>
      </c>
      <c r="BE668">
        <v>0</v>
      </c>
      <c r="BF668">
        <v>0</v>
      </c>
      <c r="BG668">
        <v>0</v>
      </c>
      <c r="BH668">
        <v>9225</v>
      </c>
      <c r="BI668">
        <v>1</v>
      </c>
      <c r="BJ668">
        <v>0</v>
      </c>
      <c r="BK668">
        <v>0</v>
      </c>
      <c r="BL668">
        <v>0</v>
      </c>
      <c r="BO668">
        <v>0</v>
      </c>
      <c r="BP668">
        <v>0</v>
      </c>
      <c r="BW668" t="str">
        <f t="shared" si="402"/>
        <v>14:50:55.377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6</v>
      </c>
      <c r="CP668" t="s">
        <v>119</v>
      </c>
      <c r="CQ668">
        <v>285</v>
      </c>
      <c r="CR668">
        <v>0</v>
      </c>
      <c r="CW668">
        <v>8844222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25">
      <c r="A669" t="str">
        <f t="shared" si="400"/>
        <v>06/05/2020 14:50:49.770</v>
      </c>
      <c r="C669" t="str">
        <f t="shared" si="372"/>
        <v>FFDFD3C0</v>
      </c>
      <c r="D669" t="s">
        <v>148</v>
      </c>
      <c r="E669">
        <v>8</v>
      </c>
      <c r="H669">
        <v>50</v>
      </c>
      <c r="I669" t="s">
        <v>149</v>
      </c>
      <c r="J669" t="s">
        <v>150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401"/>
        <v>14:50:55.375</v>
      </c>
      <c r="T669" t="str">
        <f t="shared" si="401"/>
        <v>14:50:55.375</v>
      </c>
      <c r="U669" t="str">
        <f t="shared" si="391"/>
        <v>ACC530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1</v>
      </c>
      <c r="AH669">
        <v>0</v>
      </c>
      <c r="AI669" t="s">
        <v>373</v>
      </c>
      <c r="AJ669">
        <v>34.225631</v>
      </c>
      <c r="AK669" t="s">
        <v>374</v>
      </c>
      <c r="AL669">
        <v>-116.920559</v>
      </c>
      <c r="AM669">
        <v>100</v>
      </c>
      <c r="AN669">
        <v>9100</v>
      </c>
      <c r="AO669" t="s">
        <v>118</v>
      </c>
      <c r="AP669">
        <v>-78</v>
      </c>
      <c r="AQ669">
        <v>-40</v>
      </c>
      <c r="AR669">
        <v>320</v>
      </c>
      <c r="AZ669">
        <v>1200</v>
      </c>
      <c r="BA669">
        <v>1</v>
      </c>
      <c r="BB669" t="str">
        <f t="shared" si="392"/>
        <v xml:space="preserve">N9217B  </v>
      </c>
      <c r="BC669">
        <v>1</v>
      </c>
      <c r="BE669">
        <v>0</v>
      </c>
      <c r="BF669">
        <v>0</v>
      </c>
      <c r="BG669">
        <v>0</v>
      </c>
      <c r="BH669">
        <v>9225</v>
      </c>
      <c r="BI669">
        <v>1</v>
      </c>
      <c r="BJ669">
        <v>0</v>
      </c>
      <c r="BK669">
        <v>0</v>
      </c>
      <c r="BL669">
        <v>0</v>
      </c>
      <c r="BO669">
        <v>0</v>
      </c>
      <c r="BP669">
        <v>0</v>
      </c>
      <c r="BW669" t="str">
        <f t="shared" si="402"/>
        <v>14:50:55.377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293</v>
      </c>
      <c r="CR669">
        <v>1</v>
      </c>
      <c r="CW669">
        <v>15275302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25">
      <c r="A670" t="str">
        <f t="shared" si="400"/>
        <v>06/05/2020 14:50:49.770</v>
      </c>
      <c r="C670" t="str">
        <f t="shared" si="372"/>
        <v>FFDFD3C0</v>
      </c>
      <c r="D670" t="s">
        <v>113</v>
      </c>
      <c r="E670">
        <v>3</v>
      </c>
      <c r="H670">
        <v>166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401"/>
        <v>14:50:55.375</v>
      </c>
      <c r="T670" t="str">
        <f t="shared" si="401"/>
        <v>14:50:55.375</v>
      </c>
      <c r="U670" t="str">
        <f t="shared" si="391"/>
        <v>ACC530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1</v>
      </c>
      <c r="AH670">
        <v>0</v>
      </c>
      <c r="AI670" t="s">
        <v>373</v>
      </c>
      <c r="AJ670">
        <v>34.225631</v>
      </c>
      <c r="AK670" t="s">
        <v>374</v>
      </c>
      <c r="AL670">
        <v>-116.920559</v>
      </c>
      <c r="AM670">
        <v>100</v>
      </c>
      <c r="AN670">
        <v>9100</v>
      </c>
      <c r="AO670" t="s">
        <v>118</v>
      </c>
      <c r="AP670">
        <v>-78</v>
      </c>
      <c r="AQ670">
        <v>-40</v>
      </c>
      <c r="AR670">
        <v>320</v>
      </c>
      <c r="AZ670">
        <v>1200</v>
      </c>
      <c r="BA670">
        <v>1</v>
      </c>
      <c r="BB670" t="str">
        <f t="shared" si="392"/>
        <v xml:space="preserve">N9217B  </v>
      </c>
      <c r="BC670">
        <v>1</v>
      </c>
      <c r="BE670">
        <v>0</v>
      </c>
      <c r="BF670">
        <v>0</v>
      </c>
      <c r="BG670">
        <v>0</v>
      </c>
      <c r="BH670">
        <v>9225</v>
      </c>
      <c r="BI670">
        <v>1</v>
      </c>
      <c r="BJ670">
        <v>0</v>
      </c>
      <c r="BK670">
        <v>0</v>
      </c>
      <c r="BL670">
        <v>0</v>
      </c>
      <c r="BO670">
        <v>0</v>
      </c>
      <c r="BP670">
        <v>0</v>
      </c>
      <c r="BW670" t="str">
        <f t="shared" si="402"/>
        <v>14:50:55.377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293</v>
      </c>
      <c r="CR670">
        <v>1</v>
      </c>
      <c r="CW670">
        <v>15275302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25">
      <c r="A671" t="str">
        <f t="shared" si="400"/>
        <v>06/05/2020 14:50:49.770</v>
      </c>
      <c r="C671" t="str">
        <f t="shared" si="372"/>
        <v>FFDFD3C0</v>
      </c>
      <c r="D671" t="s">
        <v>143</v>
      </c>
      <c r="E671">
        <v>10</v>
      </c>
      <c r="F671">
        <v>3010</v>
      </c>
      <c r="G671" t="s">
        <v>144</v>
      </c>
      <c r="J671" t="s">
        <v>145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401"/>
        <v>14:50:55.375</v>
      </c>
      <c r="T671" t="str">
        <f t="shared" si="401"/>
        <v>14:50:55.375</v>
      </c>
      <c r="U671" t="str">
        <f t="shared" si="391"/>
        <v>ACC530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1</v>
      </c>
      <c r="AH671">
        <v>0</v>
      </c>
      <c r="AI671" t="s">
        <v>373</v>
      </c>
      <c r="AJ671">
        <v>34.225631</v>
      </c>
      <c r="AK671" t="s">
        <v>374</v>
      </c>
      <c r="AL671">
        <v>-116.920559</v>
      </c>
      <c r="AM671">
        <v>100</v>
      </c>
      <c r="AN671">
        <v>9100</v>
      </c>
      <c r="AO671" t="s">
        <v>118</v>
      </c>
      <c r="AP671">
        <v>-78</v>
      </c>
      <c r="AQ671">
        <v>-40</v>
      </c>
      <c r="AR671">
        <v>320</v>
      </c>
      <c r="AZ671">
        <v>1200</v>
      </c>
      <c r="BA671">
        <v>1</v>
      </c>
      <c r="BB671" t="str">
        <f t="shared" si="392"/>
        <v xml:space="preserve">N9217B  </v>
      </c>
      <c r="BC671">
        <v>1</v>
      </c>
      <c r="BE671">
        <v>0</v>
      </c>
      <c r="BF671">
        <v>0</v>
      </c>
      <c r="BG671">
        <v>0</v>
      </c>
      <c r="BH671">
        <v>9225</v>
      </c>
      <c r="BI671">
        <v>1</v>
      </c>
      <c r="BJ671">
        <v>0</v>
      </c>
      <c r="BK671">
        <v>0</v>
      </c>
      <c r="BL671">
        <v>0</v>
      </c>
      <c r="BO671">
        <v>0</v>
      </c>
      <c r="BP671">
        <v>0</v>
      </c>
      <c r="BW671" t="str">
        <f t="shared" si="402"/>
        <v>14:50:55.377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293</v>
      </c>
      <c r="CR671">
        <v>1</v>
      </c>
      <c r="CW671">
        <v>15275302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25">
      <c r="A672" t="str">
        <f t="shared" si="400"/>
        <v>06/05/2020 14:50:49.770</v>
      </c>
      <c r="C672" t="str">
        <f t="shared" si="372"/>
        <v>FFDFD3C0</v>
      </c>
      <c r="D672" t="s">
        <v>134</v>
      </c>
      <c r="E672">
        <v>7</v>
      </c>
      <c r="F672">
        <v>2007</v>
      </c>
      <c r="G672" t="s">
        <v>135</v>
      </c>
      <c r="J672" t="s">
        <v>136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401"/>
        <v>14:50:55.375</v>
      </c>
      <c r="T672" t="str">
        <f t="shared" si="401"/>
        <v>14:50:55.375</v>
      </c>
      <c r="U672" t="str">
        <f t="shared" si="391"/>
        <v>ACC530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1</v>
      </c>
      <c r="AH672">
        <v>0</v>
      </c>
      <c r="AI672" t="s">
        <v>373</v>
      </c>
      <c r="AJ672">
        <v>34.225631</v>
      </c>
      <c r="AK672" t="s">
        <v>374</v>
      </c>
      <c r="AL672">
        <v>-116.920559</v>
      </c>
      <c r="AM672">
        <v>100</v>
      </c>
      <c r="AN672">
        <v>9100</v>
      </c>
      <c r="AO672" t="s">
        <v>118</v>
      </c>
      <c r="AP672">
        <v>-78</v>
      </c>
      <c r="AQ672">
        <v>-40</v>
      </c>
      <c r="AR672">
        <v>320</v>
      </c>
      <c r="AZ672">
        <v>1200</v>
      </c>
      <c r="BA672">
        <v>1</v>
      </c>
      <c r="BB672" t="str">
        <f t="shared" si="392"/>
        <v xml:space="preserve">N9217B  </v>
      </c>
      <c r="BC672">
        <v>1</v>
      </c>
      <c r="BE672">
        <v>0</v>
      </c>
      <c r="BF672">
        <v>0</v>
      </c>
      <c r="BG672">
        <v>0</v>
      </c>
      <c r="BH672">
        <v>9225</v>
      </c>
      <c r="BI672">
        <v>1</v>
      </c>
      <c r="BJ672">
        <v>0</v>
      </c>
      <c r="BK672">
        <v>0</v>
      </c>
      <c r="BL672">
        <v>0</v>
      </c>
      <c r="BO672">
        <v>0</v>
      </c>
      <c r="BP672">
        <v>0</v>
      </c>
      <c r="BW672" t="str">
        <f t="shared" si="402"/>
        <v>14:50:55.377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293</v>
      </c>
      <c r="CR672">
        <v>1</v>
      </c>
      <c r="CW672">
        <v>15275302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25">
      <c r="A673" t="str">
        <f t="shared" ref="A673:A680" si="403">"06/05/2020 14:50:50.780"</f>
        <v>06/05/2020 14:50:50.780</v>
      </c>
      <c r="C673" t="str">
        <f t="shared" si="372"/>
        <v>FFDFD3C0</v>
      </c>
      <c r="D673" t="s">
        <v>141</v>
      </c>
      <c r="E673">
        <v>20</v>
      </c>
      <c r="F673">
        <v>1020</v>
      </c>
      <c r="G673" t="s">
        <v>114</v>
      </c>
      <c r="J673" t="s">
        <v>142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ref="S673:S680" si="404">"14:50:56.422"</f>
        <v>14:50:56.422</v>
      </c>
      <c r="T673" t="str">
        <f t="shared" ref="T673:T680" si="405">"14:50:55.922"</f>
        <v>14:50:55.922</v>
      </c>
      <c r="U673" t="str">
        <f t="shared" si="391"/>
        <v>ACC530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1</v>
      </c>
      <c r="AH673">
        <v>0</v>
      </c>
      <c r="AI673" t="s">
        <v>375</v>
      </c>
      <c r="AJ673">
        <v>34.225437999999997</v>
      </c>
      <c r="AK673" t="s">
        <v>376</v>
      </c>
      <c r="AL673">
        <v>-116.921053</v>
      </c>
      <c r="AM673">
        <v>100</v>
      </c>
      <c r="AN673">
        <v>9100</v>
      </c>
      <c r="AO673" t="s">
        <v>118</v>
      </c>
      <c r="AP673">
        <v>-78</v>
      </c>
      <c r="AQ673">
        <v>-40</v>
      </c>
      <c r="AR673">
        <v>320</v>
      </c>
      <c r="AZ673">
        <v>1200</v>
      </c>
      <c r="BA673">
        <v>1</v>
      </c>
      <c r="BB673" t="str">
        <f t="shared" si="392"/>
        <v xml:space="preserve">N9217B  </v>
      </c>
      <c r="BC673">
        <v>1</v>
      </c>
      <c r="BE673">
        <v>0</v>
      </c>
      <c r="BF673">
        <v>0</v>
      </c>
      <c r="BG673">
        <v>0</v>
      </c>
      <c r="BH673">
        <v>9225</v>
      </c>
      <c r="BI673">
        <v>1</v>
      </c>
      <c r="BJ673">
        <v>0</v>
      </c>
      <c r="BK673">
        <v>0</v>
      </c>
      <c r="BL673">
        <v>0</v>
      </c>
      <c r="BO673">
        <v>0</v>
      </c>
      <c r="BP673">
        <v>0</v>
      </c>
      <c r="BW673" t="str">
        <f t="shared" ref="BW673:BW680" si="406">"14:50:56.427"</f>
        <v>14:50:56.427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293</v>
      </c>
      <c r="CR673">
        <v>1</v>
      </c>
      <c r="CW673">
        <v>15275424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25">
      <c r="A674" t="str">
        <f t="shared" si="403"/>
        <v>06/05/2020 14:50:50.780</v>
      </c>
      <c r="C674" t="str">
        <f t="shared" si="372"/>
        <v>FFDFD3C0</v>
      </c>
      <c r="D674" t="s">
        <v>148</v>
      </c>
      <c r="E674">
        <v>11</v>
      </c>
      <c r="H674">
        <v>53</v>
      </c>
      <c r="I674" t="s">
        <v>364</v>
      </c>
      <c r="J674" t="s">
        <v>150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404"/>
        <v>14:50:56.422</v>
      </c>
      <c r="T674" t="str">
        <f t="shared" si="405"/>
        <v>14:50:55.922</v>
      </c>
      <c r="U674" t="str">
        <f t="shared" si="391"/>
        <v>ACC530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1</v>
      </c>
      <c r="AH674">
        <v>0</v>
      </c>
      <c r="AI674" t="s">
        <v>375</v>
      </c>
      <c r="AJ674">
        <v>34.225437999999997</v>
      </c>
      <c r="AK674" t="s">
        <v>376</v>
      </c>
      <c r="AL674">
        <v>-116.921053</v>
      </c>
      <c r="AM674">
        <v>100</v>
      </c>
      <c r="AN674">
        <v>9100</v>
      </c>
      <c r="AO674" t="s">
        <v>118</v>
      </c>
      <c r="AP674">
        <v>-78</v>
      </c>
      <c r="AQ674">
        <v>-40</v>
      </c>
      <c r="AR674">
        <v>320</v>
      </c>
      <c r="AZ674">
        <v>1200</v>
      </c>
      <c r="BA674">
        <v>1</v>
      </c>
      <c r="BB674" t="str">
        <f t="shared" si="392"/>
        <v xml:space="preserve">N9217B  </v>
      </c>
      <c r="BC674">
        <v>1</v>
      </c>
      <c r="BE674">
        <v>0</v>
      </c>
      <c r="BF674">
        <v>0</v>
      </c>
      <c r="BG674">
        <v>0</v>
      </c>
      <c r="BH674">
        <v>9225</v>
      </c>
      <c r="BI674">
        <v>1</v>
      </c>
      <c r="BJ674">
        <v>0</v>
      </c>
      <c r="BK674">
        <v>0</v>
      </c>
      <c r="BL674">
        <v>0</v>
      </c>
      <c r="BO674">
        <v>0</v>
      </c>
      <c r="BP674">
        <v>0</v>
      </c>
      <c r="BW674" t="str">
        <f t="shared" si="406"/>
        <v>14:50:56.427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293</v>
      </c>
      <c r="CR674">
        <v>1</v>
      </c>
      <c r="CW674">
        <v>15275424</v>
      </c>
      <c r="CY674">
        <v>0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25">
      <c r="A675" t="str">
        <f t="shared" si="403"/>
        <v>06/05/2020 14:50:50.780</v>
      </c>
      <c r="C675" t="str">
        <f t="shared" ref="C675:C738" si="407">"FFDFD3C0"</f>
        <v>FFDFD3C0</v>
      </c>
      <c r="D675" t="s">
        <v>151</v>
      </c>
      <c r="E675">
        <v>9</v>
      </c>
      <c r="H675">
        <v>226</v>
      </c>
      <c r="I675" t="s">
        <v>152</v>
      </c>
      <c r="J675" t="s">
        <v>150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404"/>
        <v>14:50:56.422</v>
      </c>
      <c r="T675" t="str">
        <f t="shared" si="405"/>
        <v>14:50:55.922</v>
      </c>
      <c r="U675" t="str">
        <f t="shared" si="391"/>
        <v>ACC530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1</v>
      </c>
      <c r="AH675">
        <v>0</v>
      </c>
      <c r="AI675" t="s">
        <v>375</v>
      </c>
      <c r="AJ675">
        <v>34.225437999999997</v>
      </c>
      <c r="AK675" t="s">
        <v>376</v>
      </c>
      <c r="AL675">
        <v>-116.921053</v>
      </c>
      <c r="AM675">
        <v>100</v>
      </c>
      <c r="AN675">
        <v>9100</v>
      </c>
      <c r="AO675" t="s">
        <v>118</v>
      </c>
      <c r="AP675">
        <v>-78</v>
      </c>
      <c r="AQ675">
        <v>-40</v>
      </c>
      <c r="AR675">
        <v>320</v>
      </c>
      <c r="AZ675">
        <v>1200</v>
      </c>
      <c r="BA675">
        <v>1</v>
      </c>
      <c r="BB675" t="str">
        <f t="shared" si="392"/>
        <v xml:space="preserve">N9217B  </v>
      </c>
      <c r="BC675">
        <v>1</v>
      </c>
      <c r="BE675">
        <v>0</v>
      </c>
      <c r="BF675">
        <v>0</v>
      </c>
      <c r="BG675">
        <v>0</v>
      </c>
      <c r="BH675">
        <v>9225</v>
      </c>
      <c r="BI675">
        <v>1</v>
      </c>
      <c r="BJ675">
        <v>0</v>
      </c>
      <c r="BK675">
        <v>0</v>
      </c>
      <c r="BL675">
        <v>0</v>
      </c>
      <c r="BO675">
        <v>0</v>
      </c>
      <c r="BP675">
        <v>0</v>
      </c>
      <c r="BW675" t="str">
        <f t="shared" si="406"/>
        <v>14:50:56.427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293</v>
      </c>
      <c r="CR675">
        <v>1</v>
      </c>
      <c r="CW675">
        <v>15275424</v>
      </c>
      <c r="CY675">
        <v>0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25">
      <c r="A676" t="str">
        <f t="shared" si="403"/>
        <v>06/05/2020 14:50:50.780</v>
      </c>
      <c r="C676" t="str">
        <f t="shared" si="407"/>
        <v>FFDFD3C0</v>
      </c>
      <c r="D676" t="s">
        <v>151</v>
      </c>
      <c r="E676">
        <v>8</v>
      </c>
      <c r="H676">
        <v>225</v>
      </c>
      <c r="I676" t="s">
        <v>353</v>
      </c>
      <c r="J676" t="s">
        <v>150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404"/>
        <v>14:50:56.422</v>
      </c>
      <c r="T676" t="str">
        <f t="shared" si="405"/>
        <v>14:50:55.922</v>
      </c>
      <c r="U676" t="str">
        <f t="shared" si="391"/>
        <v>ACC530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1</v>
      </c>
      <c r="AH676">
        <v>0</v>
      </c>
      <c r="AI676" t="s">
        <v>375</v>
      </c>
      <c r="AJ676">
        <v>34.225437999999997</v>
      </c>
      <c r="AK676" t="s">
        <v>376</v>
      </c>
      <c r="AL676">
        <v>-116.921053</v>
      </c>
      <c r="AM676">
        <v>100</v>
      </c>
      <c r="AN676">
        <v>9100</v>
      </c>
      <c r="AO676" t="s">
        <v>118</v>
      </c>
      <c r="AP676">
        <v>-78</v>
      </c>
      <c r="AQ676">
        <v>-40</v>
      </c>
      <c r="AR676">
        <v>320</v>
      </c>
      <c r="AZ676">
        <v>1200</v>
      </c>
      <c r="BA676">
        <v>1</v>
      </c>
      <c r="BB676" t="str">
        <f t="shared" si="392"/>
        <v xml:space="preserve">N9217B  </v>
      </c>
      <c r="BC676">
        <v>1</v>
      </c>
      <c r="BE676">
        <v>0</v>
      </c>
      <c r="BF676">
        <v>0</v>
      </c>
      <c r="BG676">
        <v>0</v>
      </c>
      <c r="BH676">
        <v>9225</v>
      </c>
      <c r="BI676">
        <v>1</v>
      </c>
      <c r="BJ676">
        <v>0</v>
      </c>
      <c r="BK676">
        <v>0</v>
      </c>
      <c r="BL676">
        <v>0</v>
      </c>
      <c r="BO676">
        <v>0</v>
      </c>
      <c r="BP676">
        <v>0</v>
      </c>
      <c r="BW676" t="str">
        <f t="shared" si="406"/>
        <v>14:50:56.427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285</v>
      </c>
      <c r="CR676">
        <v>0</v>
      </c>
      <c r="CW676">
        <v>8844313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25">
      <c r="A677" t="str">
        <f t="shared" si="403"/>
        <v>06/05/2020 14:50:50.780</v>
      </c>
      <c r="C677" t="str">
        <f t="shared" si="407"/>
        <v>FFDFD3C0</v>
      </c>
      <c r="D677" t="s">
        <v>143</v>
      </c>
      <c r="E677">
        <v>10</v>
      </c>
      <c r="F677">
        <v>3010</v>
      </c>
      <c r="G677" t="s">
        <v>144</v>
      </c>
      <c r="J677" t="s">
        <v>145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404"/>
        <v>14:50:56.422</v>
      </c>
      <c r="T677" t="str">
        <f t="shared" si="405"/>
        <v>14:50:55.922</v>
      </c>
      <c r="U677" t="str">
        <f t="shared" si="391"/>
        <v>ACC530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1</v>
      </c>
      <c r="AH677">
        <v>0</v>
      </c>
      <c r="AI677" t="s">
        <v>375</v>
      </c>
      <c r="AJ677">
        <v>34.225437999999997</v>
      </c>
      <c r="AK677" t="s">
        <v>376</v>
      </c>
      <c r="AL677">
        <v>-116.921053</v>
      </c>
      <c r="AM677">
        <v>100</v>
      </c>
      <c r="AN677">
        <v>9100</v>
      </c>
      <c r="AO677" t="s">
        <v>118</v>
      </c>
      <c r="AP677">
        <v>-78</v>
      </c>
      <c r="AQ677">
        <v>-40</v>
      </c>
      <c r="AR677">
        <v>320</v>
      </c>
      <c r="AZ677">
        <v>1200</v>
      </c>
      <c r="BA677">
        <v>1</v>
      </c>
      <c r="BB677" t="str">
        <f t="shared" si="392"/>
        <v xml:space="preserve">N9217B  </v>
      </c>
      <c r="BC677">
        <v>1</v>
      </c>
      <c r="BE677">
        <v>0</v>
      </c>
      <c r="BF677">
        <v>0</v>
      </c>
      <c r="BG677">
        <v>0</v>
      </c>
      <c r="BH677">
        <v>9225</v>
      </c>
      <c r="BI677">
        <v>1</v>
      </c>
      <c r="BJ677">
        <v>0</v>
      </c>
      <c r="BK677">
        <v>0</v>
      </c>
      <c r="BL677">
        <v>0</v>
      </c>
      <c r="BO677">
        <v>0</v>
      </c>
      <c r="BP677">
        <v>0</v>
      </c>
      <c r="BW677" t="str">
        <f t="shared" si="406"/>
        <v>14:50:56.427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293</v>
      </c>
      <c r="CR677">
        <v>1</v>
      </c>
      <c r="CW677">
        <v>15275424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25">
      <c r="A678" t="str">
        <f t="shared" si="403"/>
        <v>06/05/2020 14:50:50.780</v>
      </c>
      <c r="C678" t="str">
        <f t="shared" si="407"/>
        <v>FFDFD3C0</v>
      </c>
      <c r="D678" t="s">
        <v>113</v>
      </c>
      <c r="E678">
        <v>3</v>
      </c>
      <c r="H678">
        <v>166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404"/>
        <v>14:50:56.422</v>
      </c>
      <c r="T678" t="str">
        <f t="shared" si="405"/>
        <v>14:50:55.922</v>
      </c>
      <c r="U678" t="str">
        <f t="shared" si="391"/>
        <v>ACC530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1</v>
      </c>
      <c r="AH678">
        <v>0</v>
      </c>
      <c r="AI678" t="s">
        <v>375</v>
      </c>
      <c r="AJ678">
        <v>34.225437999999997</v>
      </c>
      <c r="AK678" t="s">
        <v>376</v>
      </c>
      <c r="AL678">
        <v>-116.921053</v>
      </c>
      <c r="AM678">
        <v>100</v>
      </c>
      <c r="AN678">
        <v>9100</v>
      </c>
      <c r="AO678" t="s">
        <v>118</v>
      </c>
      <c r="AP678">
        <v>-78</v>
      </c>
      <c r="AQ678">
        <v>-40</v>
      </c>
      <c r="AR678">
        <v>320</v>
      </c>
      <c r="AZ678">
        <v>1200</v>
      </c>
      <c r="BA678">
        <v>1</v>
      </c>
      <c r="BB678" t="str">
        <f t="shared" si="392"/>
        <v xml:space="preserve">N9217B  </v>
      </c>
      <c r="BC678">
        <v>1</v>
      </c>
      <c r="BE678">
        <v>0</v>
      </c>
      <c r="BF678">
        <v>0</v>
      </c>
      <c r="BG678">
        <v>0</v>
      </c>
      <c r="BH678">
        <v>9225</v>
      </c>
      <c r="BI678">
        <v>1</v>
      </c>
      <c r="BJ678">
        <v>0</v>
      </c>
      <c r="BK678">
        <v>0</v>
      </c>
      <c r="BL678">
        <v>0</v>
      </c>
      <c r="BO678">
        <v>0</v>
      </c>
      <c r="BP678">
        <v>0</v>
      </c>
      <c r="BW678" t="str">
        <f t="shared" si="406"/>
        <v>14:50:56.427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293</v>
      </c>
      <c r="CR678">
        <v>1</v>
      </c>
      <c r="CW678">
        <v>15275424</v>
      </c>
      <c r="CY678">
        <v>0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25">
      <c r="A679" t="str">
        <f t="shared" si="403"/>
        <v>06/05/2020 14:50:50.780</v>
      </c>
      <c r="C679" t="str">
        <f t="shared" si="407"/>
        <v>FFDFD3C0</v>
      </c>
      <c r="D679" t="s">
        <v>148</v>
      </c>
      <c r="E679">
        <v>8</v>
      </c>
      <c r="H679">
        <v>50</v>
      </c>
      <c r="I679" t="s">
        <v>149</v>
      </c>
      <c r="J679" t="s">
        <v>150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404"/>
        <v>14:50:56.422</v>
      </c>
      <c r="T679" t="str">
        <f t="shared" si="405"/>
        <v>14:50:55.922</v>
      </c>
      <c r="U679" t="str">
        <f t="shared" si="391"/>
        <v>ACC530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1</v>
      </c>
      <c r="AH679">
        <v>0</v>
      </c>
      <c r="AI679" t="s">
        <v>375</v>
      </c>
      <c r="AJ679">
        <v>34.225437999999997</v>
      </c>
      <c r="AK679" t="s">
        <v>376</v>
      </c>
      <c r="AL679">
        <v>-116.921053</v>
      </c>
      <c r="AM679">
        <v>100</v>
      </c>
      <c r="AN679">
        <v>9100</v>
      </c>
      <c r="AO679" t="s">
        <v>118</v>
      </c>
      <c r="AP679">
        <v>-78</v>
      </c>
      <c r="AQ679">
        <v>-40</v>
      </c>
      <c r="AR679">
        <v>320</v>
      </c>
      <c r="AZ679">
        <v>1200</v>
      </c>
      <c r="BA679">
        <v>1</v>
      </c>
      <c r="BB679" t="str">
        <f t="shared" si="392"/>
        <v xml:space="preserve">N9217B  </v>
      </c>
      <c r="BC679">
        <v>1</v>
      </c>
      <c r="BE679">
        <v>0</v>
      </c>
      <c r="BF679">
        <v>0</v>
      </c>
      <c r="BG679">
        <v>0</v>
      </c>
      <c r="BH679">
        <v>9225</v>
      </c>
      <c r="BI679">
        <v>1</v>
      </c>
      <c r="BJ679">
        <v>0</v>
      </c>
      <c r="BK679">
        <v>0</v>
      </c>
      <c r="BL679">
        <v>0</v>
      </c>
      <c r="BO679">
        <v>0</v>
      </c>
      <c r="BP679">
        <v>0</v>
      </c>
      <c r="BW679" t="str">
        <f t="shared" si="406"/>
        <v>14:50:56.427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293</v>
      </c>
      <c r="CR679">
        <v>1</v>
      </c>
      <c r="CW679">
        <v>15275424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25">
      <c r="A680" t="str">
        <f t="shared" si="403"/>
        <v>06/05/2020 14:50:50.780</v>
      </c>
      <c r="C680" t="str">
        <f t="shared" si="407"/>
        <v>FFDFD3C0</v>
      </c>
      <c r="D680" t="s">
        <v>134</v>
      </c>
      <c r="E680">
        <v>7</v>
      </c>
      <c r="F680">
        <v>2007</v>
      </c>
      <c r="G680" t="s">
        <v>135</v>
      </c>
      <c r="J680" t="s">
        <v>136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404"/>
        <v>14:50:56.422</v>
      </c>
      <c r="T680" t="str">
        <f t="shared" si="405"/>
        <v>14:50:55.922</v>
      </c>
      <c r="U680" t="str">
        <f t="shared" si="391"/>
        <v>ACC530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1</v>
      </c>
      <c r="AH680">
        <v>0</v>
      </c>
      <c r="AI680" t="s">
        <v>375</v>
      </c>
      <c r="AJ680">
        <v>34.225437999999997</v>
      </c>
      <c r="AK680" t="s">
        <v>376</v>
      </c>
      <c r="AL680">
        <v>-116.921053</v>
      </c>
      <c r="AM680">
        <v>100</v>
      </c>
      <c r="AN680">
        <v>9100</v>
      </c>
      <c r="AO680" t="s">
        <v>118</v>
      </c>
      <c r="AP680">
        <v>-78</v>
      </c>
      <c r="AQ680">
        <v>-40</v>
      </c>
      <c r="AR680">
        <v>320</v>
      </c>
      <c r="AZ680">
        <v>1200</v>
      </c>
      <c r="BA680">
        <v>1</v>
      </c>
      <c r="BB680" t="str">
        <f t="shared" si="392"/>
        <v xml:space="preserve">N9217B  </v>
      </c>
      <c r="BC680">
        <v>1</v>
      </c>
      <c r="BE680">
        <v>0</v>
      </c>
      <c r="BF680">
        <v>0</v>
      </c>
      <c r="BG680">
        <v>0</v>
      </c>
      <c r="BH680">
        <v>9225</v>
      </c>
      <c r="BI680">
        <v>1</v>
      </c>
      <c r="BJ680">
        <v>0</v>
      </c>
      <c r="BK680">
        <v>0</v>
      </c>
      <c r="BL680">
        <v>0</v>
      </c>
      <c r="BO680">
        <v>0</v>
      </c>
      <c r="BP680">
        <v>0</v>
      </c>
      <c r="BW680" t="str">
        <f t="shared" si="406"/>
        <v>14:50:56.427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293</v>
      </c>
      <c r="CR680">
        <v>1</v>
      </c>
      <c r="CW680">
        <v>15275424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25">
      <c r="A681" t="str">
        <f t="shared" ref="A681:A688" si="408">"06/05/2020 14:50:51.868"</f>
        <v>06/05/2020 14:50:51.868</v>
      </c>
      <c r="C681" t="str">
        <f t="shared" si="407"/>
        <v>FFDFD3C0</v>
      </c>
      <c r="D681" t="s">
        <v>134</v>
      </c>
      <c r="E681">
        <v>7</v>
      </c>
      <c r="F681">
        <v>2007</v>
      </c>
      <c r="G681" t="s">
        <v>135</v>
      </c>
      <c r="J681" t="s">
        <v>136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ref="S681:T688" si="409">"14:50:57.531"</f>
        <v>14:50:57.531</v>
      </c>
      <c r="T681" t="str">
        <f t="shared" si="409"/>
        <v>14:50:57.531</v>
      </c>
      <c r="U681" t="str">
        <f t="shared" si="391"/>
        <v>ACC530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1</v>
      </c>
      <c r="AH681">
        <v>0</v>
      </c>
      <c r="AI681" t="s">
        <v>377</v>
      </c>
      <c r="AJ681">
        <v>34.225202000000003</v>
      </c>
      <c r="AK681" t="s">
        <v>378</v>
      </c>
      <c r="AL681">
        <v>-116.92154600000001</v>
      </c>
      <c r="AM681">
        <v>100</v>
      </c>
      <c r="AN681">
        <v>9100</v>
      </c>
      <c r="AO681" t="s">
        <v>118</v>
      </c>
      <c r="AP681">
        <v>-79</v>
      </c>
      <c r="AQ681">
        <v>-40</v>
      </c>
      <c r="AR681">
        <v>256</v>
      </c>
      <c r="AZ681">
        <v>1200</v>
      </c>
      <c r="BA681">
        <v>1</v>
      </c>
      <c r="BB681" t="str">
        <f t="shared" si="392"/>
        <v xml:space="preserve">N9217B  </v>
      </c>
      <c r="BC681">
        <v>1</v>
      </c>
      <c r="BE681">
        <v>0</v>
      </c>
      <c r="BF681">
        <v>0</v>
      </c>
      <c r="BG681">
        <v>0</v>
      </c>
      <c r="BH681">
        <v>9225</v>
      </c>
      <c r="BI681">
        <v>1</v>
      </c>
      <c r="BJ681">
        <v>0</v>
      </c>
      <c r="BK681">
        <v>0</v>
      </c>
      <c r="BL681">
        <v>0</v>
      </c>
      <c r="BO681">
        <v>0</v>
      </c>
      <c r="BP681">
        <v>0</v>
      </c>
      <c r="BW681" t="str">
        <f t="shared" ref="BW681:BW688" si="410">"14:50:57.537"</f>
        <v>14:50:57.537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293</v>
      </c>
      <c r="CR681">
        <v>1</v>
      </c>
      <c r="CW681">
        <v>15275559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25">
      <c r="A682" t="str">
        <f t="shared" si="408"/>
        <v>06/05/2020 14:50:51.868</v>
      </c>
      <c r="C682" t="str">
        <f t="shared" si="407"/>
        <v>FFDFD3C0</v>
      </c>
      <c r="D682" t="s">
        <v>141</v>
      </c>
      <c r="E682">
        <v>20</v>
      </c>
      <c r="F682">
        <v>1020</v>
      </c>
      <c r="G682" t="s">
        <v>114</v>
      </c>
      <c r="J682" t="s">
        <v>142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409"/>
        <v>14:50:57.531</v>
      </c>
      <c r="T682" t="str">
        <f t="shared" si="409"/>
        <v>14:50:57.531</v>
      </c>
      <c r="U682" t="str">
        <f t="shared" si="391"/>
        <v>ACC530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1</v>
      </c>
      <c r="AH682">
        <v>0</v>
      </c>
      <c r="AI682" t="s">
        <v>377</v>
      </c>
      <c r="AJ682">
        <v>34.225202000000003</v>
      </c>
      <c r="AK682" t="s">
        <v>378</v>
      </c>
      <c r="AL682">
        <v>-116.92154600000001</v>
      </c>
      <c r="AM682">
        <v>100</v>
      </c>
      <c r="AN682">
        <v>9100</v>
      </c>
      <c r="AO682" t="s">
        <v>118</v>
      </c>
      <c r="AP682">
        <v>-79</v>
      </c>
      <c r="AQ682">
        <v>-40</v>
      </c>
      <c r="AR682">
        <v>256</v>
      </c>
      <c r="AZ682">
        <v>1200</v>
      </c>
      <c r="BA682">
        <v>1</v>
      </c>
      <c r="BB682" t="str">
        <f t="shared" si="392"/>
        <v xml:space="preserve">N9217B  </v>
      </c>
      <c r="BC682">
        <v>1</v>
      </c>
      <c r="BE682">
        <v>0</v>
      </c>
      <c r="BF682">
        <v>0</v>
      </c>
      <c r="BG682">
        <v>0</v>
      </c>
      <c r="BH682">
        <v>9225</v>
      </c>
      <c r="BI682">
        <v>1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 t="shared" si="410"/>
        <v>14:50:57.537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293</v>
      </c>
      <c r="CR682">
        <v>1</v>
      </c>
      <c r="CW682">
        <v>15275559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25">
      <c r="A683" t="str">
        <f t="shared" si="408"/>
        <v>06/05/2020 14:50:51.868</v>
      </c>
      <c r="C683" t="str">
        <f t="shared" si="407"/>
        <v>FFDFD3C0</v>
      </c>
      <c r="D683" t="s">
        <v>148</v>
      </c>
      <c r="E683">
        <v>11</v>
      </c>
      <c r="H683">
        <v>53</v>
      </c>
      <c r="I683" t="s">
        <v>364</v>
      </c>
      <c r="J683" t="s">
        <v>150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409"/>
        <v>14:50:57.531</v>
      </c>
      <c r="T683" t="str">
        <f t="shared" si="409"/>
        <v>14:50:57.531</v>
      </c>
      <c r="U683" t="str">
        <f t="shared" si="391"/>
        <v>ACC530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1</v>
      </c>
      <c r="AH683">
        <v>0</v>
      </c>
      <c r="AI683" t="s">
        <v>377</v>
      </c>
      <c r="AJ683">
        <v>34.225202000000003</v>
      </c>
      <c r="AK683" t="s">
        <v>378</v>
      </c>
      <c r="AL683">
        <v>-116.92154600000001</v>
      </c>
      <c r="AM683">
        <v>100</v>
      </c>
      <c r="AN683">
        <v>9100</v>
      </c>
      <c r="AO683" t="s">
        <v>118</v>
      </c>
      <c r="AP683">
        <v>-79</v>
      </c>
      <c r="AQ683">
        <v>-40</v>
      </c>
      <c r="AR683">
        <v>256</v>
      </c>
      <c r="AZ683">
        <v>1200</v>
      </c>
      <c r="BA683">
        <v>1</v>
      </c>
      <c r="BB683" t="str">
        <f t="shared" si="392"/>
        <v xml:space="preserve">N9217B  </v>
      </c>
      <c r="BC683">
        <v>1</v>
      </c>
      <c r="BE683">
        <v>0</v>
      </c>
      <c r="BF683">
        <v>0</v>
      </c>
      <c r="BG683">
        <v>0</v>
      </c>
      <c r="BH683">
        <v>9225</v>
      </c>
      <c r="BI683">
        <v>1</v>
      </c>
      <c r="BJ683">
        <v>0</v>
      </c>
      <c r="BK683">
        <v>0</v>
      </c>
      <c r="BL683">
        <v>0</v>
      </c>
      <c r="BO683">
        <v>0</v>
      </c>
      <c r="BP683">
        <v>0</v>
      </c>
      <c r="BW683" t="str">
        <f t="shared" si="410"/>
        <v>14:50:57.537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293</v>
      </c>
      <c r="CR683">
        <v>1</v>
      </c>
      <c r="CW683">
        <v>15275559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25">
      <c r="A684" t="str">
        <f t="shared" si="408"/>
        <v>06/05/2020 14:50:51.868</v>
      </c>
      <c r="C684" t="str">
        <f t="shared" si="407"/>
        <v>FFDFD3C0</v>
      </c>
      <c r="D684" t="s">
        <v>143</v>
      </c>
      <c r="E684">
        <v>10</v>
      </c>
      <c r="F684">
        <v>3010</v>
      </c>
      <c r="G684" t="s">
        <v>144</v>
      </c>
      <c r="J684" t="s">
        <v>145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409"/>
        <v>14:50:57.531</v>
      </c>
      <c r="T684" t="str">
        <f t="shared" si="409"/>
        <v>14:50:57.531</v>
      </c>
      <c r="U684" t="str">
        <f t="shared" si="391"/>
        <v>ACC530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1</v>
      </c>
      <c r="AH684">
        <v>0</v>
      </c>
      <c r="AI684" t="s">
        <v>377</v>
      </c>
      <c r="AJ684">
        <v>34.225202000000003</v>
      </c>
      <c r="AK684" t="s">
        <v>378</v>
      </c>
      <c r="AL684">
        <v>-116.92154600000001</v>
      </c>
      <c r="AM684">
        <v>100</v>
      </c>
      <c r="AN684">
        <v>9100</v>
      </c>
      <c r="AO684" t="s">
        <v>118</v>
      </c>
      <c r="AP684">
        <v>-79</v>
      </c>
      <c r="AQ684">
        <v>-40</v>
      </c>
      <c r="AR684">
        <v>256</v>
      </c>
      <c r="AZ684">
        <v>1200</v>
      </c>
      <c r="BA684">
        <v>1</v>
      </c>
      <c r="BB684" t="str">
        <f t="shared" si="392"/>
        <v xml:space="preserve">N9217B  </v>
      </c>
      <c r="BC684">
        <v>1</v>
      </c>
      <c r="BE684">
        <v>0</v>
      </c>
      <c r="BF684">
        <v>0</v>
      </c>
      <c r="BG684">
        <v>0</v>
      </c>
      <c r="BH684">
        <v>9225</v>
      </c>
      <c r="BI684">
        <v>1</v>
      </c>
      <c r="BJ684">
        <v>0</v>
      </c>
      <c r="BK684">
        <v>0</v>
      </c>
      <c r="BL684">
        <v>0</v>
      </c>
      <c r="BO684">
        <v>0</v>
      </c>
      <c r="BP684">
        <v>0</v>
      </c>
      <c r="BW684" t="str">
        <f t="shared" si="410"/>
        <v>14:50:57.537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293</v>
      </c>
      <c r="CR684">
        <v>1</v>
      </c>
      <c r="CW684">
        <v>15275559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25">
      <c r="A685" t="str">
        <f t="shared" si="408"/>
        <v>06/05/2020 14:50:51.868</v>
      </c>
      <c r="C685" t="str">
        <f t="shared" si="407"/>
        <v>FFDFD3C0</v>
      </c>
      <c r="D685" t="s">
        <v>151</v>
      </c>
      <c r="E685">
        <v>9</v>
      </c>
      <c r="H685">
        <v>226</v>
      </c>
      <c r="I685" t="s">
        <v>152</v>
      </c>
      <c r="J685" t="s">
        <v>150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409"/>
        <v>14:50:57.531</v>
      </c>
      <c r="T685" t="str">
        <f t="shared" si="409"/>
        <v>14:50:57.531</v>
      </c>
      <c r="U685" t="str">
        <f t="shared" si="391"/>
        <v>ACC530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1</v>
      </c>
      <c r="AH685">
        <v>0</v>
      </c>
      <c r="AI685" t="s">
        <v>377</v>
      </c>
      <c r="AJ685">
        <v>34.225202000000003</v>
      </c>
      <c r="AK685" t="s">
        <v>378</v>
      </c>
      <c r="AL685">
        <v>-116.92154600000001</v>
      </c>
      <c r="AM685">
        <v>100</v>
      </c>
      <c r="AN685">
        <v>9100</v>
      </c>
      <c r="AO685" t="s">
        <v>118</v>
      </c>
      <c r="AP685">
        <v>-79</v>
      </c>
      <c r="AQ685">
        <v>-40</v>
      </c>
      <c r="AR685">
        <v>256</v>
      </c>
      <c r="AZ685">
        <v>1200</v>
      </c>
      <c r="BA685">
        <v>1</v>
      </c>
      <c r="BB685" t="str">
        <f t="shared" si="392"/>
        <v xml:space="preserve">N9217B  </v>
      </c>
      <c r="BC685">
        <v>1</v>
      </c>
      <c r="BE685">
        <v>0</v>
      </c>
      <c r="BF685">
        <v>0</v>
      </c>
      <c r="BG685">
        <v>0</v>
      </c>
      <c r="BH685">
        <v>9225</v>
      </c>
      <c r="BI685">
        <v>1</v>
      </c>
      <c r="BJ685">
        <v>0</v>
      </c>
      <c r="BK685">
        <v>0</v>
      </c>
      <c r="BL685">
        <v>0</v>
      </c>
      <c r="BO685">
        <v>0</v>
      </c>
      <c r="BP685">
        <v>0</v>
      </c>
      <c r="BW685" t="str">
        <f t="shared" si="410"/>
        <v>14:50:57.537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293</v>
      </c>
      <c r="CR685">
        <v>1</v>
      </c>
      <c r="CW685">
        <v>15275559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25">
      <c r="A686" t="str">
        <f t="shared" si="408"/>
        <v>06/05/2020 14:50:51.868</v>
      </c>
      <c r="C686" t="str">
        <f t="shared" si="407"/>
        <v>FFDFD3C0</v>
      </c>
      <c r="D686" t="s">
        <v>151</v>
      </c>
      <c r="E686">
        <v>8</v>
      </c>
      <c r="H686">
        <v>225</v>
      </c>
      <c r="I686" t="s">
        <v>353</v>
      </c>
      <c r="J686" t="s">
        <v>150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409"/>
        <v>14:50:57.531</v>
      </c>
      <c r="T686" t="str">
        <f t="shared" si="409"/>
        <v>14:50:57.531</v>
      </c>
      <c r="U686" t="str">
        <f t="shared" si="391"/>
        <v>ACC530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1</v>
      </c>
      <c r="AH686">
        <v>0</v>
      </c>
      <c r="AI686" t="s">
        <v>377</v>
      </c>
      <c r="AJ686">
        <v>34.225202000000003</v>
      </c>
      <c r="AK686" t="s">
        <v>378</v>
      </c>
      <c r="AL686">
        <v>-116.92154600000001</v>
      </c>
      <c r="AM686">
        <v>100</v>
      </c>
      <c r="AN686">
        <v>9100</v>
      </c>
      <c r="AO686" t="s">
        <v>118</v>
      </c>
      <c r="AP686">
        <v>-79</v>
      </c>
      <c r="AQ686">
        <v>-40</v>
      </c>
      <c r="AR686">
        <v>256</v>
      </c>
      <c r="AZ686">
        <v>1200</v>
      </c>
      <c r="BA686">
        <v>1</v>
      </c>
      <c r="BB686" t="str">
        <f t="shared" si="392"/>
        <v xml:space="preserve">N9217B  </v>
      </c>
      <c r="BC686">
        <v>1</v>
      </c>
      <c r="BE686">
        <v>0</v>
      </c>
      <c r="BF686">
        <v>0</v>
      </c>
      <c r="BG686">
        <v>0</v>
      </c>
      <c r="BH686">
        <v>9225</v>
      </c>
      <c r="BI686">
        <v>1</v>
      </c>
      <c r="BJ686">
        <v>0</v>
      </c>
      <c r="BK686">
        <v>0</v>
      </c>
      <c r="BL686">
        <v>0</v>
      </c>
      <c r="BO686">
        <v>0</v>
      </c>
      <c r="BP686">
        <v>0</v>
      </c>
      <c r="BW686" t="str">
        <f t="shared" si="410"/>
        <v>14:50:57.537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285</v>
      </c>
      <c r="CR686">
        <v>0</v>
      </c>
      <c r="CW686">
        <v>8844408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25">
      <c r="A687" t="str">
        <f t="shared" si="408"/>
        <v>06/05/2020 14:50:51.868</v>
      </c>
      <c r="C687" t="str">
        <f t="shared" si="407"/>
        <v>FFDFD3C0</v>
      </c>
      <c r="D687" t="s">
        <v>113</v>
      </c>
      <c r="E687">
        <v>3</v>
      </c>
      <c r="H687">
        <v>166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409"/>
        <v>14:50:57.531</v>
      </c>
      <c r="T687" t="str">
        <f t="shared" si="409"/>
        <v>14:50:57.531</v>
      </c>
      <c r="U687" t="str">
        <f t="shared" si="391"/>
        <v>ACC530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1</v>
      </c>
      <c r="AH687">
        <v>0</v>
      </c>
      <c r="AI687" t="s">
        <v>377</v>
      </c>
      <c r="AJ687">
        <v>34.225202000000003</v>
      </c>
      <c r="AK687" t="s">
        <v>378</v>
      </c>
      <c r="AL687">
        <v>-116.92154600000001</v>
      </c>
      <c r="AM687">
        <v>100</v>
      </c>
      <c r="AN687">
        <v>9100</v>
      </c>
      <c r="AO687" t="s">
        <v>118</v>
      </c>
      <c r="AP687">
        <v>-79</v>
      </c>
      <c r="AQ687">
        <v>-40</v>
      </c>
      <c r="AR687">
        <v>256</v>
      </c>
      <c r="AZ687">
        <v>1200</v>
      </c>
      <c r="BA687">
        <v>1</v>
      </c>
      <c r="BB687" t="str">
        <f t="shared" si="392"/>
        <v xml:space="preserve">N9217B  </v>
      </c>
      <c r="BC687">
        <v>1</v>
      </c>
      <c r="BE687">
        <v>0</v>
      </c>
      <c r="BF687">
        <v>0</v>
      </c>
      <c r="BG687">
        <v>0</v>
      </c>
      <c r="BH687">
        <v>9225</v>
      </c>
      <c r="BI687">
        <v>1</v>
      </c>
      <c r="BJ687">
        <v>0</v>
      </c>
      <c r="BK687">
        <v>0</v>
      </c>
      <c r="BL687">
        <v>0</v>
      </c>
      <c r="BO687">
        <v>0</v>
      </c>
      <c r="BP687">
        <v>0</v>
      </c>
      <c r="BW687" t="str">
        <f t="shared" si="410"/>
        <v>14:50:57.537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293</v>
      </c>
      <c r="CR687">
        <v>1</v>
      </c>
      <c r="CW687">
        <v>15275559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25">
      <c r="A688" t="str">
        <f t="shared" si="408"/>
        <v>06/05/2020 14:50:51.868</v>
      </c>
      <c r="C688" t="str">
        <f t="shared" si="407"/>
        <v>FFDFD3C0</v>
      </c>
      <c r="D688" t="s">
        <v>148</v>
      </c>
      <c r="E688">
        <v>8</v>
      </c>
      <c r="H688">
        <v>50</v>
      </c>
      <c r="I688" t="s">
        <v>149</v>
      </c>
      <c r="J688" t="s">
        <v>150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409"/>
        <v>14:50:57.531</v>
      </c>
      <c r="T688" t="str">
        <f t="shared" si="409"/>
        <v>14:50:57.531</v>
      </c>
      <c r="U688" t="str">
        <f t="shared" si="391"/>
        <v>ACC530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1</v>
      </c>
      <c r="AH688">
        <v>0</v>
      </c>
      <c r="AI688" t="s">
        <v>377</v>
      </c>
      <c r="AJ688">
        <v>34.225202000000003</v>
      </c>
      <c r="AK688" t="s">
        <v>378</v>
      </c>
      <c r="AL688">
        <v>-116.92154600000001</v>
      </c>
      <c r="AM688">
        <v>100</v>
      </c>
      <c r="AN688">
        <v>9100</v>
      </c>
      <c r="AO688" t="s">
        <v>118</v>
      </c>
      <c r="AP688">
        <v>-79</v>
      </c>
      <c r="AQ688">
        <v>-40</v>
      </c>
      <c r="AR688">
        <v>256</v>
      </c>
      <c r="AZ688">
        <v>1200</v>
      </c>
      <c r="BA688">
        <v>1</v>
      </c>
      <c r="BB688" t="str">
        <f t="shared" si="392"/>
        <v xml:space="preserve">N9217B  </v>
      </c>
      <c r="BC688">
        <v>1</v>
      </c>
      <c r="BE688">
        <v>0</v>
      </c>
      <c r="BF688">
        <v>0</v>
      </c>
      <c r="BG688">
        <v>0</v>
      </c>
      <c r="BH688">
        <v>9225</v>
      </c>
      <c r="BI688">
        <v>1</v>
      </c>
      <c r="BJ688">
        <v>0</v>
      </c>
      <c r="BK688">
        <v>0</v>
      </c>
      <c r="BL688">
        <v>0</v>
      </c>
      <c r="BO688">
        <v>0</v>
      </c>
      <c r="BP688">
        <v>0</v>
      </c>
      <c r="BW688" t="str">
        <f t="shared" si="410"/>
        <v>14:50:57.537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293</v>
      </c>
      <c r="CR688">
        <v>1</v>
      </c>
      <c r="CW688">
        <v>15275559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25">
      <c r="A689" t="str">
        <f t="shared" ref="A689:A696" si="411">"06/05/2020 14:50:52.825"</f>
        <v>06/05/2020 14:50:52.825</v>
      </c>
      <c r="C689" t="str">
        <f t="shared" si="407"/>
        <v>FFDFD3C0</v>
      </c>
      <c r="D689" t="s">
        <v>134</v>
      </c>
      <c r="E689">
        <v>7</v>
      </c>
      <c r="F689">
        <v>2007</v>
      </c>
      <c r="G689" t="s">
        <v>135</v>
      </c>
      <c r="J689" t="s">
        <v>136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ref="S689:S696" si="412">"14:50:58.461"</f>
        <v>14:50:58.461</v>
      </c>
      <c r="T689" t="str">
        <f t="shared" ref="T689:T696" si="413">"14:50:58.161"</f>
        <v>14:50:58.161</v>
      </c>
      <c r="U689" t="str">
        <f t="shared" si="391"/>
        <v>ACC530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1</v>
      </c>
      <c r="AH689">
        <v>0</v>
      </c>
      <c r="AI689" t="s">
        <v>379</v>
      </c>
      <c r="AJ689">
        <v>34.225073000000002</v>
      </c>
      <c r="AK689" t="s">
        <v>380</v>
      </c>
      <c r="AL689">
        <v>-116.921933</v>
      </c>
      <c r="AM689">
        <v>100</v>
      </c>
      <c r="AN689">
        <v>9100</v>
      </c>
      <c r="AO689" t="s">
        <v>118</v>
      </c>
      <c r="AP689">
        <v>-79</v>
      </c>
      <c r="AQ689">
        <v>-40</v>
      </c>
      <c r="AR689">
        <v>256</v>
      </c>
      <c r="AZ689">
        <v>1200</v>
      </c>
      <c r="BA689">
        <v>1</v>
      </c>
      <c r="BB689" t="str">
        <f t="shared" si="392"/>
        <v xml:space="preserve">N9217B  </v>
      </c>
      <c r="BC689">
        <v>1</v>
      </c>
      <c r="BE689">
        <v>0</v>
      </c>
      <c r="BF689">
        <v>0</v>
      </c>
      <c r="BG689">
        <v>0</v>
      </c>
      <c r="BH689">
        <v>9225</v>
      </c>
      <c r="BI689">
        <v>1</v>
      </c>
      <c r="BJ689">
        <v>0</v>
      </c>
      <c r="BK689">
        <v>0</v>
      </c>
      <c r="BL689">
        <v>0</v>
      </c>
      <c r="BO689">
        <v>0</v>
      </c>
      <c r="BP689">
        <v>0</v>
      </c>
      <c r="BW689" t="str">
        <f t="shared" ref="BW689:BW696" si="414">"14:50:58.466"</f>
        <v>14:50:58.466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293</v>
      </c>
      <c r="CR689">
        <v>1</v>
      </c>
      <c r="CW689">
        <v>15275661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25">
      <c r="A690" t="str">
        <f t="shared" si="411"/>
        <v>06/05/2020 14:50:52.825</v>
      </c>
      <c r="C690" t="str">
        <f t="shared" si="407"/>
        <v>FFDFD3C0</v>
      </c>
      <c r="D690" t="s">
        <v>141</v>
      </c>
      <c r="E690">
        <v>20</v>
      </c>
      <c r="F690">
        <v>1020</v>
      </c>
      <c r="G690" t="s">
        <v>114</v>
      </c>
      <c r="J690" t="s">
        <v>142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412"/>
        <v>14:50:58.461</v>
      </c>
      <c r="T690" t="str">
        <f t="shared" si="413"/>
        <v>14:50:58.161</v>
      </c>
      <c r="U690" t="str">
        <f t="shared" si="391"/>
        <v>ACC530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1</v>
      </c>
      <c r="AH690">
        <v>0</v>
      </c>
      <c r="AI690" t="s">
        <v>379</v>
      </c>
      <c r="AJ690">
        <v>34.225073000000002</v>
      </c>
      <c r="AK690" t="s">
        <v>380</v>
      </c>
      <c r="AL690">
        <v>-116.921933</v>
      </c>
      <c r="AM690">
        <v>100</v>
      </c>
      <c r="AN690">
        <v>9100</v>
      </c>
      <c r="AO690" t="s">
        <v>118</v>
      </c>
      <c r="AP690">
        <v>-79</v>
      </c>
      <c r="AQ690">
        <v>-40</v>
      </c>
      <c r="AR690">
        <v>256</v>
      </c>
      <c r="AZ690">
        <v>1200</v>
      </c>
      <c r="BA690">
        <v>1</v>
      </c>
      <c r="BB690" t="str">
        <f t="shared" si="392"/>
        <v xml:space="preserve">N9217B  </v>
      </c>
      <c r="BC690">
        <v>1</v>
      </c>
      <c r="BE690">
        <v>0</v>
      </c>
      <c r="BF690">
        <v>0</v>
      </c>
      <c r="BG690">
        <v>0</v>
      </c>
      <c r="BH690">
        <v>9225</v>
      </c>
      <c r="BI690">
        <v>1</v>
      </c>
      <c r="BJ690">
        <v>0</v>
      </c>
      <c r="BK690">
        <v>0</v>
      </c>
      <c r="BL690">
        <v>0</v>
      </c>
      <c r="BO690">
        <v>0</v>
      </c>
      <c r="BP690">
        <v>0</v>
      </c>
      <c r="BW690" t="str">
        <f t="shared" si="414"/>
        <v>14:50:58.466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293</v>
      </c>
      <c r="CR690">
        <v>1</v>
      </c>
      <c r="CW690">
        <v>15275661</v>
      </c>
      <c r="CY690">
        <v>0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25">
      <c r="A691" t="str">
        <f t="shared" si="411"/>
        <v>06/05/2020 14:50:52.825</v>
      </c>
      <c r="C691" t="str">
        <f t="shared" si="407"/>
        <v>FFDFD3C0</v>
      </c>
      <c r="D691" t="s">
        <v>143</v>
      </c>
      <c r="E691">
        <v>10</v>
      </c>
      <c r="F691">
        <v>3010</v>
      </c>
      <c r="G691" t="s">
        <v>144</v>
      </c>
      <c r="J691" t="s">
        <v>145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412"/>
        <v>14:50:58.461</v>
      </c>
      <c r="T691" t="str">
        <f t="shared" si="413"/>
        <v>14:50:58.161</v>
      </c>
      <c r="U691" t="str">
        <f t="shared" si="391"/>
        <v>ACC530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1</v>
      </c>
      <c r="AH691">
        <v>0</v>
      </c>
      <c r="AI691" t="s">
        <v>379</v>
      </c>
      <c r="AJ691">
        <v>34.225073000000002</v>
      </c>
      <c r="AK691" t="s">
        <v>380</v>
      </c>
      <c r="AL691">
        <v>-116.921933</v>
      </c>
      <c r="AM691">
        <v>100</v>
      </c>
      <c r="AN691">
        <v>9100</v>
      </c>
      <c r="AO691" t="s">
        <v>118</v>
      </c>
      <c r="AP691">
        <v>-79</v>
      </c>
      <c r="AQ691">
        <v>-40</v>
      </c>
      <c r="AR691">
        <v>256</v>
      </c>
      <c r="AZ691">
        <v>1200</v>
      </c>
      <c r="BA691">
        <v>1</v>
      </c>
      <c r="BB691" t="str">
        <f t="shared" si="392"/>
        <v xml:space="preserve">N9217B  </v>
      </c>
      <c r="BC691">
        <v>1</v>
      </c>
      <c r="BE691">
        <v>0</v>
      </c>
      <c r="BF691">
        <v>0</v>
      </c>
      <c r="BG691">
        <v>0</v>
      </c>
      <c r="BH691">
        <v>9225</v>
      </c>
      <c r="BI691">
        <v>1</v>
      </c>
      <c r="BJ691">
        <v>0</v>
      </c>
      <c r="BK691">
        <v>0</v>
      </c>
      <c r="BL691">
        <v>0</v>
      </c>
      <c r="BO691">
        <v>0</v>
      </c>
      <c r="BP691">
        <v>0</v>
      </c>
      <c r="BW691" t="str">
        <f t="shared" si="414"/>
        <v>14:50:58.466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293</v>
      </c>
      <c r="CR691">
        <v>1</v>
      </c>
      <c r="CW691">
        <v>15275661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25">
      <c r="A692" t="str">
        <f t="shared" si="411"/>
        <v>06/05/2020 14:50:52.825</v>
      </c>
      <c r="C692" t="str">
        <f t="shared" si="407"/>
        <v>FFDFD3C0</v>
      </c>
      <c r="D692" t="s">
        <v>148</v>
      </c>
      <c r="E692">
        <v>11</v>
      </c>
      <c r="H692">
        <v>53</v>
      </c>
      <c r="I692" t="s">
        <v>364</v>
      </c>
      <c r="J692" t="s">
        <v>150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412"/>
        <v>14:50:58.461</v>
      </c>
      <c r="T692" t="str">
        <f t="shared" si="413"/>
        <v>14:50:58.161</v>
      </c>
      <c r="U692" t="str">
        <f t="shared" si="391"/>
        <v>ACC530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1</v>
      </c>
      <c r="AH692">
        <v>0</v>
      </c>
      <c r="AI692" t="s">
        <v>379</v>
      </c>
      <c r="AJ692">
        <v>34.225073000000002</v>
      </c>
      <c r="AK692" t="s">
        <v>380</v>
      </c>
      <c r="AL692">
        <v>-116.921933</v>
      </c>
      <c r="AM692">
        <v>100</v>
      </c>
      <c r="AN692">
        <v>9100</v>
      </c>
      <c r="AO692" t="s">
        <v>118</v>
      </c>
      <c r="AP692">
        <v>-79</v>
      </c>
      <c r="AQ692">
        <v>-40</v>
      </c>
      <c r="AR692">
        <v>256</v>
      </c>
      <c r="AZ692">
        <v>1200</v>
      </c>
      <c r="BA692">
        <v>1</v>
      </c>
      <c r="BB692" t="str">
        <f t="shared" si="392"/>
        <v xml:space="preserve">N9217B  </v>
      </c>
      <c r="BC692">
        <v>1</v>
      </c>
      <c r="BE692">
        <v>0</v>
      </c>
      <c r="BF692">
        <v>0</v>
      </c>
      <c r="BG692">
        <v>0</v>
      </c>
      <c r="BH692">
        <v>9225</v>
      </c>
      <c r="BI692">
        <v>1</v>
      </c>
      <c r="BJ692">
        <v>0</v>
      </c>
      <c r="BK692">
        <v>0</v>
      </c>
      <c r="BL692">
        <v>0</v>
      </c>
      <c r="BO692">
        <v>0</v>
      </c>
      <c r="BP692">
        <v>0</v>
      </c>
      <c r="BW692" t="str">
        <f t="shared" si="414"/>
        <v>14:50:58.466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293</v>
      </c>
      <c r="CR692">
        <v>1</v>
      </c>
      <c r="CW692">
        <v>15275661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25">
      <c r="A693" t="str">
        <f t="shared" si="411"/>
        <v>06/05/2020 14:50:52.825</v>
      </c>
      <c r="C693" t="str">
        <f t="shared" si="407"/>
        <v>FFDFD3C0</v>
      </c>
      <c r="D693" t="s">
        <v>151</v>
      </c>
      <c r="E693">
        <v>9</v>
      </c>
      <c r="H693">
        <v>226</v>
      </c>
      <c r="I693" t="s">
        <v>152</v>
      </c>
      <c r="J693" t="s">
        <v>150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412"/>
        <v>14:50:58.461</v>
      </c>
      <c r="T693" t="str">
        <f t="shared" si="413"/>
        <v>14:50:58.161</v>
      </c>
      <c r="U693" t="str">
        <f t="shared" si="391"/>
        <v>ACC530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1</v>
      </c>
      <c r="AH693">
        <v>0</v>
      </c>
      <c r="AI693" t="s">
        <v>379</v>
      </c>
      <c r="AJ693">
        <v>34.225073000000002</v>
      </c>
      <c r="AK693" t="s">
        <v>380</v>
      </c>
      <c r="AL693">
        <v>-116.921933</v>
      </c>
      <c r="AM693">
        <v>100</v>
      </c>
      <c r="AN693">
        <v>9100</v>
      </c>
      <c r="AO693" t="s">
        <v>118</v>
      </c>
      <c r="AP693">
        <v>-79</v>
      </c>
      <c r="AQ693">
        <v>-40</v>
      </c>
      <c r="AR693">
        <v>256</v>
      </c>
      <c r="AZ693">
        <v>1200</v>
      </c>
      <c r="BA693">
        <v>1</v>
      </c>
      <c r="BB693" t="str">
        <f t="shared" si="392"/>
        <v xml:space="preserve">N9217B  </v>
      </c>
      <c r="BC693">
        <v>1</v>
      </c>
      <c r="BE693">
        <v>0</v>
      </c>
      <c r="BF693">
        <v>0</v>
      </c>
      <c r="BG693">
        <v>0</v>
      </c>
      <c r="BH693">
        <v>9225</v>
      </c>
      <c r="BI693">
        <v>1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 t="shared" si="414"/>
        <v>14:50:58.466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293</v>
      </c>
      <c r="CR693">
        <v>1</v>
      </c>
      <c r="CW693">
        <v>15275661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25">
      <c r="A694" t="str">
        <f t="shared" si="411"/>
        <v>06/05/2020 14:50:52.825</v>
      </c>
      <c r="C694" t="str">
        <f t="shared" si="407"/>
        <v>FFDFD3C0</v>
      </c>
      <c r="D694" t="s">
        <v>151</v>
      </c>
      <c r="E694">
        <v>8</v>
      </c>
      <c r="H694">
        <v>225</v>
      </c>
      <c r="I694" t="s">
        <v>353</v>
      </c>
      <c r="J694" t="s">
        <v>150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412"/>
        <v>14:50:58.461</v>
      </c>
      <c r="T694" t="str">
        <f t="shared" si="413"/>
        <v>14:50:58.161</v>
      </c>
      <c r="U694" t="str">
        <f t="shared" si="391"/>
        <v>ACC530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1</v>
      </c>
      <c r="AH694">
        <v>0</v>
      </c>
      <c r="AI694" t="s">
        <v>379</v>
      </c>
      <c r="AJ694">
        <v>34.225073000000002</v>
      </c>
      <c r="AK694" t="s">
        <v>380</v>
      </c>
      <c r="AL694">
        <v>-116.921933</v>
      </c>
      <c r="AM694">
        <v>100</v>
      </c>
      <c r="AN694">
        <v>9100</v>
      </c>
      <c r="AO694" t="s">
        <v>118</v>
      </c>
      <c r="AP694">
        <v>-79</v>
      </c>
      <c r="AQ694">
        <v>-40</v>
      </c>
      <c r="AR694">
        <v>256</v>
      </c>
      <c r="AZ694">
        <v>1200</v>
      </c>
      <c r="BA694">
        <v>1</v>
      </c>
      <c r="BB694" t="str">
        <f t="shared" si="392"/>
        <v xml:space="preserve">N9217B  </v>
      </c>
      <c r="BC694">
        <v>1</v>
      </c>
      <c r="BE694">
        <v>0</v>
      </c>
      <c r="BF694">
        <v>0</v>
      </c>
      <c r="BG694">
        <v>0</v>
      </c>
      <c r="BH694">
        <v>9225</v>
      </c>
      <c r="BI694">
        <v>1</v>
      </c>
      <c r="BJ694">
        <v>0</v>
      </c>
      <c r="BK694">
        <v>0</v>
      </c>
      <c r="BL694">
        <v>0</v>
      </c>
      <c r="BO694">
        <v>0</v>
      </c>
      <c r="BP694">
        <v>0</v>
      </c>
      <c r="BW694" t="str">
        <f t="shared" si="414"/>
        <v>14:50:58.466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5</v>
      </c>
      <c r="CP694" t="s">
        <v>119</v>
      </c>
      <c r="CQ694">
        <v>285</v>
      </c>
      <c r="CR694">
        <v>0</v>
      </c>
      <c r="CW694">
        <v>8844484</v>
      </c>
      <c r="CY694">
        <v>0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25">
      <c r="A695" t="str">
        <f t="shared" si="411"/>
        <v>06/05/2020 14:50:52.825</v>
      </c>
      <c r="C695" t="str">
        <f t="shared" si="407"/>
        <v>FFDFD3C0</v>
      </c>
      <c r="D695" t="s">
        <v>113</v>
      </c>
      <c r="E695">
        <v>3</v>
      </c>
      <c r="H695">
        <v>166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412"/>
        <v>14:50:58.461</v>
      </c>
      <c r="T695" t="str">
        <f t="shared" si="413"/>
        <v>14:50:58.161</v>
      </c>
      <c r="U695" t="str">
        <f t="shared" si="391"/>
        <v>ACC530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1</v>
      </c>
      <c r="AH695">
        <v>0</v>
      </c>
      <c r="AI695" t="s">
        <v>379</v>
      </c>
      <c r="AJ695">
        <v>34.225073000000002</v>
      </c>
      <c r="AK695" t="s">
        <v>380</v>
      </c>
      <c r="AL695">
        <v>-116.921933</v>
      </c>
      <c r="AM695">
        <v>100</v>
      </c>
      <c r="AN695">
        <v>9100</v>
      </c>
      <c r="AO695" t="s">
        <v>118</v>
      </c>
      <c r="AP695">
        <v>-79</v>
      </c>
      <c r="AQ695">
        <v>-40</v>
      </c>
      <c r="AR695">
        <v>256</v>
      </c>
      <c r="AZ695">
        <v>1200</v>
      </c>
      <c r="BA695">
        <v>1</v>
      </c>
      <c r="BB695" t="str">
        <f t="shared" si="392"/>
        <v xml:space="preserve">N9217B  </v>
      </c>
      <c r="BC695">
        <v>1</v>
      </c>
      <c r="BE695">
        <v>0</v>
      </c>
      <c r="BF695">
        <v>0</v>
      </c>
      <c r="BG695">
        <v>0</v>
      </c>
      <c r="BH695">
        <v>9225</v>
      </c>
      <c r="BI695">
        <v>1</v>
      </c>
      <c r="BJ695">
        <v>0</v>
      </c>
      <c r="BK695">
        <v>0</v>
      </c>
      <c r="BL695">
        <v>0</v>
      </c>
      <c r="BO695">
        <v>0</v>
      </c>
      <c r="BP695">
        <v>0</v>
      </c>
      <c r="BW695" t="str">
        <f t="shared" si="414"/>
        <v>14:50:58.466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293</v>
      </c>
      <c r="CR695">
        <v>1</v>
      </c>
      <c r="CW695">
        <v>15275661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25">
      <c r="A696" t="str">
        <f t="shared" si="411"/>
        <v>06/05/2020 14:50:52.825</v>
      </c>
      <c r="C696" t="str">
        <f t="shared" si="407"/>
        <v>FFDFD3C0</v>
      </c>
      <c r="D696" t="s">
        <v>148</v>
      </c>
      <c r="E696">
        <v>8</v>
      </c>
      <c r="H696">
        <v>50</v>
      </c>
      <c r="I696" t="s">
        <v>149</v>
      </c>
      <c r="J696" t="s">
        <v>150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412"/>
        <v>14:50:58.461</v>
      </c>
      <c r="T696" t="str">
        <f t="shared" si="413"/>
        <v>14:50:58.161</v>
      </c>
      <c r="U696" t="str">
        <f t="shared" si="391"/>
        <v>ACC530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1</v>
      </c>
      <c r="AH696">
        <v>0</v>
      </c>
      <c r="AI696" t="s">
        <v>379</v>
      </c>
      <c r="AJ696">
        <v>34.225073000000002</v>
      </c>
      <c r="AK696" t="s">
        <v>380</v>
      </c>
      <c r="AL696">
        <v>-116.921933</v>
      </c>
      <c r="AM696">
        <v>100</v>
      </c>
      <c r="AN696">
        <v>9100</v>
      </c>
      <c r="AO696" t="s">
        <v>118</v>
      </c>
      <c r="AP696">
        <v>-79</v>
      </c>
      <c r="AQ696">
        <v>-40</v>
      </c>
      <c r="AR696">
        <v>256</v>
      </c>
      <c r="AZ696">
        <v>1200</v>
      </c>
      <c r="BA696">
        <v>1</v>
      </c>
      <c r="BB696" t="str">
        <f t="shared" si="392"/>
        <v xml:space="preserve">N9217B  </v>
      </c>
      <c r="BC696">
        <v>1</v>
      </c>
      <c r="BE696">
        <v>0</v>
      </c>
      <c r="BF696">
        <v>0</v>
      </c>
      <c r="BG696">
        <v>0</v>
      </c>
      <c r="BH696">
        <v>9225</v>
      </c>
      <c r="BI696">
        <v>1</v>
      </c>
      <c r="BJ696">
        <v>0</v>
      </c>
      <c r="BK696">
        <v>0</v>
      </c>
      <c r="BL696">
        <v>0</v>
      </c>
      <c r="BO696">
        <v>0</v>
      </c>
      <c r="BP696">
        <v>0</v>
      </c>
      <c r="BW696" t="str">
        <f t="shared" si="414"/>
        <v>14:50:58.466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293</v>
      </c>
      <c r="CR696">
        <v>1</v>
      </c>
      <c r="CW696">
        <v>15275661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25">
      <c r="A697" t="str">
        <f t="shared" ref="A697:A704" si="415">"06/05/2020 14:50:53.807"</f>
        <v>06/05/2020 14:50:53.807</v>
      </c>
      <c r="C697" t="str">
        <f t="shared" si="407"/>
        <v>FFDFD3C0</v>
      </c>
      <c r="D697" t="s">
        <v>141</v>
      </c>
      <c r="E697">
        <v>20</v>
      </c>
      <c r="F697">
        <v>1020</v>
      </c>
      <c r="G697" t="s">
        <v>114</v>
      </c>
      <c r="J697" t="s">
        <v>142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ref="S697:T704" si="416">"14:50:59.469"</f>
        <v>14:50:59.469</v>
      </c>
      <c r="T697" t="str">
        <f t="shared" si="416"/>
        <v>14:50:59.469</v>
      </c>
      <c r="U697" t="str">
        <f t="shared" si="391"/>
        <v>ACC530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1</v>
      </c>
      <c r="AH697">
        <v>0</v>
      </c>
      <c r="AI697" t="s">
        <v>381</v>
      </c>
      <c r="AJ697">
        <v>34.224879999999999</v>
      </c>
      <c r="AK697" t="s">
        <v>382</v>
      </c>
      <c r="AL697">
        <v>-116.922405</v>
      </c>
      <c r="AM697">
        <v>100</v>
      </c>
      <c r="AN697">
        <v>9100</v>
      </c>
      <c r="AO697" t="s">
        <v>118</v>
      </c>
      <c r="AP697">
        <v>-80</v>
      </c>
      <c r="AQ697">
        <v>-40</v>
      </c>
      <c r="AR697">
        <v>256</v>
      </c>
      <c r="AZ697">
        <v>1200</v>
      </c>
      <c r="BA697">
        <v>1</v>
      </c>
      <c r="BB697" t="str">
        <f t="shared" si="392"/>
        <v xml:space="preserve">N9217B  </v>
      </c>
      <c r="BC697">
        <v>1</v>
      </c>
      <c r="BE697">
        <v>0</v>
      </c>
      <c r="BF697">
        <v>0</v>
      </c>
      <c r="BG697">
        <v>0</v>
      </c>
      <c r="BH697">
        <v>9225</v>
      </c>
      <c r="BI697">
        <v>1</v>
      </c>
      <c r="BJ697">
        <v>0</v>
      </c>
      <c r="BK697">
        <v>0</v>
      </c>
      <c r="BL697">
        <v>0</v>
      </c>
      <c r="BO697">
        <v>0</v>
      </c>
      <c r="BP697">
        <v>0</v>
      </c>
      <c r="BW697" t="str">
        <f t="shared" ref="BW697:BW704" si="417">"14:50:59.471"</f>
        <v>14:50:59.471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293</v>
      </c>
      <c r="CR697">
        <v>1</v>
      </c>
      <c r="CW697">
        <v>15275787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25">
      <c r="A698" t="str">
        <f t="shared" si="415"/>
        <v>06/05/2020 14:50:53.807</v>
      </c>
      <c r="C698" t="str">
        <f t="shared" si="407"/>
        <v>FFDFD3C0</v>
      </c>
      <c r="D698" t="s">
        <v>143</v>
      </c>
      <c r="E698">
        <v>10</v>
      </c>
      <c r="F698">
        <v>3010</v>
      </c>
      <c r="G698" t="s">
        <v>144</v>
      </c>
      <c r="J698" t="s">
        <v>145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416"/>
        <v>14:50:59.469</v>
      </c>
      <c r="T698" t="str">
        <f t="shared" si="416"/>
        <v>14:50:59.469</v>
      </c>
      <c r="U698" t="str">
        <f t="shared" si="391"/>
        <v>ACC530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1</v>
      </c>
      <c r="AH698">
        <v>0</v>
      </c>
      <c r="AI698" t="s">
        <v>381</v>
      </c>
      <c r="AJ698">
        <v>34.224879999999999</v>
      </c>
      <c r="AK698" t="s">
        <v>382</v>
      </c>
      <c r="AL698">
        <v>-116.922405</v>
      </c>
      <c r="AM698">
        <v>100</v>
      </c>
      <c r="AN698">
        <v>9100</v>
      </c>
      <c r="AO698" t="s">
        <v>118</v>
      </c>
      <c r="AP698">
        <v>-80</v>
      </c>
      <c r="AQ698">
        <v>-40</v>
      </c>
      <c r="AR698">
        <v>256</v>
      </c>
      <c r="AZ698">
        <v>1200</v>
      </c>
      <c r="BA698">
        <v>1</v>
      </c>
      <c r="BB698" t="str">
        <f t="shared" si="392"/>
        <v xml:space="preserve">N9217B  </v>
      </c>
      <c r="BC698">
        <v>1</v>
      </c>
      <c r="BE698">
        <v>0</v>
      </c>
      <c r="BF698">
        <v>0</v>
      </c>
      <c r="BG698">
        <v>0</v>
      </c>
      <c r="BH698">
        <v>9225</v>
      </c>
      <c r="BI698">
        <v>1</v>
      </c>
      <c r="BJ698">
        <v>0</v>
      </c>
      <c r="BK698">
        <v>0</v>
      </c>
      <c r="BL698">
        <v>0</v>
      </c>
      <c r="BO698">
        <v>0</v>
      </c>
      <c r="BP698">
        <v>0</v>
      </c>
      <c r="BW698" t="str">
        <f t="shared" si="417"/>
        <v>14:50:59.471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293</v>
      </c>
      <c r="CR698">
        <v>1</v>
      </c>
      <c r="CW698">
        <v>15275787</v>
      </c>
      <c r="CY698">
        <v>0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25">
      <c r="A699" t="str">
        <f t="shared" si="415"/>
        <v>06/05/2020 14:50:53.807</v>
      </c>
      <c r="C699" t="str">
        <f t="shared" si="407"/>
        <v>FFDFD3C0</v>
      </c>
      <c r="D699" t="s">
        <v>148</v>
      </c>
      <c r="E699">
        <v>11</v>
      </c>
      <c r="H699">
        <v>53</v>
      </c>
      <c r="I699" t="s">
        <v>364</v>
      </c>
      <c r="J699" t="s">
        <v>150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416"/>
        <v>14:50:59.469</v>
      </c>
      <c r="T699" t="str">
        <f t="shared" si="416"/>
        <v>14:50:59.469</v>
      </c>
      <c r="U699" t="str">
        <f t="shared" si="391"/>
        <v>ACC530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1</v>
      </c>
      <c r="AH699">
        <v>0</v>
      </c>
      <c r="AI699" t="s">
        <v>381</v>
      </c>
      <c r="AJ699">
        <v>34.224879999999999</v>
      </c>
      <c r="AK699" t="s">
        <v>382</v>
      </c>
      <c r="AL699">
        <v>-116.922405</v>
      </c>
      <c r="AM699">
        <v>100</v>
      </c>
      <c r="AN699">
        <v>9100</v>
      </c>
      <c r="AO699" t="s">
        <v>118</v>
      </c>
      <c r="AP699">
        <v>-80</v>
      </c>
      <c r="AQ699">
        <v>-40</v>
      </c>
      <c r="AR699">
        <v>256</v>
      </c>
      <c r="AZ699">
        <v>1200</v>
      </c>
      <c r="BA699">
        <v>1</v>
      </c>
      <c r="BB699" t="str">
        <f t="shared" si="392"/>
        <v xml:space="preserve">N9217B  </v>
      </c>
      <c r="BC699">
        <v>1</v>
      </c>
      <c r="BE699">
        <v>0</v>
      </c>
      <c r="BF699">
        <v>0</v>
      </c>
      <c r="BG699">
        <v>0</v>
      </c>
      <c r="BH699">
        <v>9225</v>
      </c>
      <c r="BI699">
        <v>1</v>
      </c>
      <c r="BJ699">
        <v>0</v>
      </c>
      <c r="BK699">
        <v>0</v>
      </c>
      <c r="BL699">
        <v>0</v>
      </c>
      <c r="BO699">
        <v>0</v>
      </c>
      <c r="BP699">
        <v>0</v>
      </c>
      <c r="BW699" t="str">
        <f t="shared" si="417"/>
        <v>14:50:59.471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293</v>
      </c>
      <c r="CR699">
        <v>1</v>
      </c>
      <c r="CW699">
        <v>15275787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25">
      <c r="A700" t="str">
        <f t="shared" si="415"/>
        <v>06/05/2020 14:50:53.807</v>
      </c>
      <c r="C700" t="str">
        <f t="shared" si="407"/>
        <v>FFDFD3C0</v>
      </c>
      <c r="D700" t="s">
        <v>151</v>
      </c>
      <c r="E700">
        <v>9</v>
      </c>
      <c r="H700">
        <v>226</v>
      </c>
      <c r="I700" t="s">
        <v>152</v>
      </c>
      <c r="J700" t="s">
        <v>150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416"/>
        <v>14:50:59.469</v>
      </c>
      <c r="T700" t="str">
        <f t="shared" si="416"/>
        <v>14:50:59.469</v>
      </c>
      <c r="U700" t="str">
        <f t="shared" si="391"/>
        <v>ACC530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1</v>
      </c>
      <c r="AH700">
        <v>0</v>
      </c>
      <c r="AI700" t="s">
        <v>381</v>
      </c>
      <c r="AJ700">
        <v>34.224879999999999</v>
      </c>
      <c r="AK700" t="s">
        <v>382</v>
      </c>
      <c r="AL700">
        <v>-116.922405</v>
      </c>
      <c r="AM700">
        <v>100</v>
      </c>
      <c r="AN700">
        <v>9100</v>
      </c>
      <c r="AO700" t="s">
        <v>118</v>
      </c>
      <c r="AP700">
        <v>-80</v>
      </c>
      <c r="AQ700">
        <v>-40</v>
      </c>
      <c r="AR700">
        <v>256</v>
      </c>
      <c r="AZ700">
        <v>1200</v>
      </c>
      <c r="BA700">
        <v>1</v>
      </c>
      <c r="BB700" t="str">
        <f t="shared" si="392"/>
        <v xml:space="preserve">N9217B  </v>
      </c>
      <c r="BC700">
        <v>1</v>
      </c>
      <c r="BE700">
        <v>0</v>
      </c>
      <c r="BF700">
        <v>0</v>
      </c>
      <c r="BG700">
        <v>0</v>
      </c>
      <c r="BH700">
        <v>9225</v>
      </c>
      <c r="BI700">
        <v>1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 t="shared" si="417"/>
        <v>14:50:59.471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293</v>
      </c>
      <c r="CR700">
        <v>1</v>
      </c>
      <c r="CW700">
        <v>15275787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25">
      <c r="A701" t="str">
        <f t="shared" si="415"/>
        <v>06/05/2020 14:50:53.807</v>
      </c>
      <c r="C701" t="str">
        <f t="shared" si="407"/>
        <v>FFDFD3C0</v>
      </c>
      <c r="D701" t="s">
        <v>113</v>
      </c>
      <c r="E701">
        <v>3</v>
      </c>
      <c r="H701">
        <v>166</v>
      </c>
      <c r="I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416"/>
        <v>14:50:59.469</v>
      </c>
      <c r="T701" t="str">
        <f t="shared" si="416"/>
        <v>14:50:59.469</v>
      </c>
      <c r="U701" t="str">
        <f t="shared" si="391"/>
        <v>ACC530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1</v>
      </c>
      <c r="AH701">
        <v>0</v>
      </c>
      <c r="AI701" t="s">
        <v>381</v>
      </c>
      <c r="AJ701">
        <v>34.224879999999999</v>
      </c>
      <c r="AK701" t="s">
        <v>382</v>
      </c>
      <c r="AL701">
        <v>-116.922405</v>
      </c>
      <c r="AM701">
        <v>100</v>
      </c>
      <c r="AN701">
        <v>9100</v>
      </c>
      <c r="AO701" t="s">
        <v>118</v>
      </c>
      <c r="AP701">
        <v>-80</v>
      </c>
      <c r="AQ701">
        <v>-40</v>
      </c>
      <c r="AR701">
        <v>256</v>
      </c>
      <c r="AZ701">
        <v>1200</v>
      </c>
      <c r="BA701">
        <v>1</v>
      </c>
      <c r="BB701" t="str">
        <f t="shared" si="392"/>
        <v xml:space="preserve">N9217B  </v>
      </c>
      <c r="BC701">
        <v>1</v>
      </c>
      <c r="BE701">
        <v>0</v>
      </c>
      <c r="BF701">
        <v>0</v>
      </c>
      <c r="BG701">
        <v>0</v>
      </c>
      <c r="BH701">
        <v>9225</v>
      </c>
      <c r="BI701">
        <v>1</v>
      </c>
      <c r="BJ701">
        <v>0</v>
      </c>
      <c r="BK701">
        <v>0</v>
      </c>
      <c r="BL701">
        <v>0</v>
      </c>
      <c r="BO701">
        <v>0</v>
      </c>
      <c r="BP701">
        <v>0</v>
      </c>
      <c r="BW701" t="str">
        <f t="shared" si="417"/>
        <v>14:50:59.471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293</v>
      </c>
      <c r="CR701">
        <v>1</v>
      </c>
      <c r="CW701">
        <v>15275787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25">
      <c r="A702" t="str">
        <f t="shared" si="415"/>
        <v>06/05/2020 14:50:53.807</v>
      </c>
      <c r="C702" t="str">
        <f t="shared" si="407"/>
        <v>FFDFD3C0</v>
      </c>
      <c r="D702" t="s">
        <v>151</v>
      </c>
      <c r="E702">
        <v>8</v>
      </c>
      <c r="H702">
        <v>225</v>
      </c>
      <c r="I702" t="s">
        <v>353</v>
      </c>
      <c r="J702" t="s">
        <v>150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416"/>
        <v>14:50:59.469</v>
      </c>
      <c r="T702" t="str">
        <f t="shared" si="416"/>
        <v>14:50:59.469</v>
      </c>
      <c r="U702" t="str">
        <f t="shared" si="391"/>
        <v>ACC530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1</v>
      </c>
      <c r="AH702">
        <v>0</v>
      </c>
      <c r="AI702" t="s">
        <v>381</v>
      </c>
      <c r="AJ702">
        <v>34.224879999999999</v>
      </c>
      <c r="AK702" t="s">
        <v>382</v>
      </c>
      <c r="AL702">
        <v>-116.922405</v>
      </c>
      <c r="AM702">
        <v>100</v>
      </c>
      <c r="AN702">
        <v>9100</v>
      </c>
      <c r="AO702" t="s">
        <v>118</v>
      </c>
      <c r="AP702">
        <v>-80</v>
      </c>
      <c r="AQ702">
        <v>-40</v>
      </c>
      <c r="AR702">
        <v>256</v>
      </c>
      <c r="AZ702">
        <v>1200</v>
      </c>
      <c r="BA702">
        <v>1</v>
      </c>
      <c r="BB702" t="str">
        <f t="shared" si="392"/>
        <v xml:space="preserve">N9217B  </v>
      </c>
      <c r="BC702">
        <v>1</v>
      </c>
      <c r="BE702">
        <v>0</v>
      </c>
      <c r="BF702">
        <v>0</v>
      </c>
      <c r="BG702">
        <v>0</v>
      </c>
      <c r="BH702">
        <v>9225</v>
      </c>
      <c r="BI702">
        <v>1</v>
      </c>
      <c r="BJ702">
        <v>0</v>
      </c>
      <c r="BK702">
        <v>0</v>
      </c>
      <c r="BL702">
        <v>0</v>
      </c>
      <c r="BO702">
        <v>0</v>
      </c>
      <c r="BP702">
        <v>0</v>
      </c>
      <c r="BW702" t="str">
        <f t="shared" si="417"/>
        <v>14:50:59.471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5</v>
      </c>
      <c r="CP702" t="s">
        <v>119</v>
      </c>
      <c r="CQ702">
        <v>285</v>
      </c>
      <c r="CR702">
        <v>0</v>
      </c>
      <c r="CW702">
        <v>8844569</v>
      </c>
      <c r="CY702">
        <v>0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25">
      <c r="A703" t="str">
        <f t="shared" si="415"/>
        <v>06/05/2020 14:50:53.807</v>
      </c>
      <c r="C703" t="str">
        <f t="shared" si="407"/>
        <v>FFDFD3C0</v>
      </c>
      <c r="D703" t="s">
        <v>134</v>
      </c>
      <c r="E703">
        <v>7</v>
      </c>
      <c r="F703">
        <v>2007</v>
      </c>
      <c r="G703" t="s">
        <v>135</v>
      </c>
      <c r="J703" t="s">
        <v>136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416"/>
        <v>14:50:59.469</v>
      </c>
      <c r="T703" t="str">
        <f t="shared" si="416"/>
        <v>14:50:59.469</v>
      </c>
      <c r="U703" t="str">
        <f t="shared" si="391"/>
        <v>ACC530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1</v>
      </c>
      <c r="AH703">
        <v>0</v>
      </c>
      <c r="AI703" t="s">
        <v>381</v>
      </c>
      <c r="AJ703">
        <v>34.224879999999999</v>
      </c>
      <c r="AK703" t="s">
        <v>382</v>
      </c>
      <c r="AL703">
        <v>-116.922405</v>
      </c>
      <c r="AM703">
        <v>100</v>
      </c>
      <c r="AN703">
        <v>9100</v>
      </c>
      <c r="AO703" t="s">
        <v>118</v>
      </c>
      <c r="AP703">
        <v>-80</v>
      </c>
      <c r="AQ703">
        <v>-40</v>
      </c>
      <c r="AR703">
        <v>256</v>
      </c>
      <c r="AZ703">
        <v>1200</v>
      </c>
      <c r="BA703">
        <v>1</v>
      </c>
      <c r="BB703" t="str">
        <f t="shared" si="392"/>
        <v xml:space="preserve">N9217B  </v>
      </c>
      <c r="BC703">
        <v>1</v>
      </c>
      <c r="BE703">
        <v>0</v>
      </c>
      <c r="BF703">
        <v>0</v>
      </c>
      <c r="BG703">
        <v>0</v>
      </c>
      <c r="BH703">
        <v>9225</v>
      </c>
      <c r="BI703">
        <v>1</v>
      </c>
      <c r="BJ703">
        <v>0</v>
      </c>
      <c r="BK703">
        <v>0</v>
      </c>
      <c r="BL703">
        <v>0</v>
      </c>
      <c r="BO703">
        <v>0</v>
      </c>
      <c r="BP703">
        <v>0</v>
      </c>
      <c r="BW703" t="str">
        <f t="shared" si="417"/>
        <v>14:50:59.471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293</v>
      </c>
      <c r="CR703">
        <v>1</v>
      </c>
      <c r="CW703">
        <v>15275787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25">
      <c r="A704" t="str">
        <f t="shared" si="415"/>
        <v>06/05/2020 14:50:53.807</v>
      </c>
      <c r="C704" t="str">
        <f t="shared" si="407"/>
        <v>FFDFD3C0</v>
      </c>
      <c r="D704" t="s">
        <v>148</v>
      </c>
      <c r="E704">
        <v>8</v>
      </c>
      <c r="H704">
        <v>50</v>
      </c>
      <c r="I704" t="s">
        <v>149</v>
      </c>
      <c r="J704" t="s">
        <v>150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416"/>
        <v>14:50:59.469</v>
      </c>
      <c r="T704" t="str">
        <f t="shared" si="416"/>
        <v>14:50:59.469</v>
      </c>
      <c r="U704" t="str">
        <f t="shared" si="391"/>
        <v>ACC530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1</v>
      </c>
      <c r="AH704">
        <v>0</v>
      </c>
      <c r="AI704" t="s">
        <v>381</v>
      </c>
      <c r="AJ704">
        <v>34.224879999999999</v>
      </c>
      <c r="AK704" t="s">
        <v>382</v>
      </c>
      <c r="AL704">
        <v>-116.922405</v>
      </c>
      <c r="AM704">
        <v>100</v>
      </c>
      <c r="AN704">
        <v>9100</v>
      </c>
      <c r="AO704" t="s">
        <v>118</v>
      </c>
      <c r="AP704">
        <v>-80</v>
      </c>
      <c r="AQ704">
        <v>-40</v>
      </c>
      <c r="AR704">
        <v>256</v>
      </c>
      <c r="AZ704">
        <v>1200</v>
      </c>
      <c r="BA704">
        <v>1</v>
      </c>
      <c r="BB704" t="str">
        <f t="shared" si="392"/>
        <v xml:space="preserve">N9217B  </v>
      </c>
      <c r="BC704">
        <v>1</v>
      </c>
      <c r="BE704">
        <v>0</v>
      </c>
      <c r="BF704">
        <v>0</v>
      </c>
      <c r="BG704">
        <v>0</v>
      </c>
      <c r="BH704">
        <v>9225</v>
      </c>
      <c r="BI704">
        <v>1</v>
      </c>
      <c r="BJ704">
        <v>0</v>
      </c>
      <c r="BK704">
        <v>0</v>
      </c>
      <c r="BL704">
        <v>0</v>
      </c>
      <c r="BO704">
        <v>0</v>
      </c>
      <c r="BP704">
        <v>0</v>
      </c>
      <c r="BW704" t="str">
        <f t="shared" si="417"/>
        <v>14:50:59.471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293</v>
      </c>
      <c r="CR704">
        <v>1</v>
      </c>
      <c r="CW704">
        <v>15275787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25">
      <c r="A705" t="str">
        <f t="shared" ref="A705:A712" si="418">"06/05/2020 14:50:54.844"</f>
        <v>06/05/2020 14:50:54.844</v>
      </c>
      <c r="C705" t="str">
        <f t="shared" si="407"/>
        <v>FFDFD3C0</v>
      </c>
      <c r="D705" t="s">
        <v>134</v>
      </c>
      <c r="E705">
        <v>7</v>
      </c>
      <c r="F705">
        <v>2007</v>
      </c>
      <c r="G705" t="s">
        <v>135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ref="S705:S712" si="419">"14:51:00.500"</f>
        <v>14:51:00.500</v>
      </c>
      <c r="T705" t="str">
        <f t="shared" ref="T705:T712" si="420">"14:51:00.400"</f>
        <v>14:51:00.400</v>
      </c>
      <c r="U705" t="str">
        <f t="shared" si="391"/>
        <v>ACC530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1</v>
      </c>
      <c r="AH705">
        <v>0</v>
      </c>
      <c r="AI705" t="s">
        <v>383</v>
      </c>
      <c r="AJ705">
        <v>34.224665000000002</v>
      </c>
      <c r="AK705" t="s">
        <v>384</v>
      </c>
      <c r="AL705">
        <v>-116.92283399999999</v>
      </c>
      <c r="AM705">
        <v>100</v>
      </c>
      <c r="AN705">
        <v>9100</v>
      </c>
      <c r="AO705" t="s">
        <v>118</v>
      </c>
      <c r="AP705">
        <v>-80</v>
      </c>
      <c r="AQ705">
        <v>-41</v>
      </c>
      <c r="AR705">
        <v>256</v>
      </c>
      <c r="AZ705">
        <v>1200</v>
      </c>
      <c r="BA705">
        <v>1</v>
      </c>
      <c r="BB705" t="str">
        <f t="shared" si="392"/>
        <v xml:space="preserve">N9217B  </v>
      </c>
      <c r="BC705">
        <v>1</v>
      </c>
      <c r="BE705">
        <v>0</v>
      </c>
      <c r="BF705">
        <v>0</v>
      </c>
      <c r="BG705">
        <v>0</v>
      </c>
      <c r="BH705">
        <v>9250</v>
      </c>
      <c r="BI705">
        <v>1</v>
      </c>
      <c r="BJ705">
        <v>0</v>
      </c>
      <c r="BK705">
        <v>0</v>
      </c>
      <c r="BL705">
        <v>0</v>
      </c>
      <c r="BO705">
        <v>0</v>
      </c>
      <c r="BP705">
        <v>0</v>
      </c>
      <c r="BW705" t="str">
        <f t="shared" ref="BW705:BW712" si="421">"14:51:00.506"</f>
        <v>14:51:00.506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293</v>
      </c>
      <c r="CR705">
        <v>1</v>
      </c>
      <c r="CW705">
        <v>15275914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25">
      <c r="A706" t="str">
        <f t="shared" si="418"/>
        <v>06/05/2020 14:50:54.844</v>
      </c>
      <c r="C706" t="str">
        <f t="shared" si="407"/>
        <v>FFDFD3C0</v>
      </c>
      <c r="D706" t="s">
        <v>148</v>
      </c>
      <c r="E706">
        <v>8</v>
      </c>
      <c r="H706">
        <v>50</v>
      </c>
      <c r="I706" t="s">
        <v>149</v>
      </c>
      <c r="J706" t="s">
        <v>150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419"/>
        <v>14:51:00.500</v>
      </c>
      <c r="T706" t="str">
        <f t="shared" si="420"/>
        <v>14:51:00.400</v>
      </c>
      <c r="U706" t="str">
        <f t="shared" ref="U706:U769" si="422">"ACC530"</f>
        <v>ACC530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1</v>
      </c>
      <c r="AH706">
        <v>0</v>
      </c>
      <c r="AI706" t="s">
        <v>383</v>
      </c>
      <c r="AJ706">
        <v>34.224665000000002</v>
      </c>
      <c r="AK706" t="s">
        <v>384</v>
      </c>
      <c r="AL706">
        <v>-116.92283399999999</v>
      </c>
      <c r="AM706">
        <v>100</v>
      </c>
      <c r="AN706">
        <v>9100</v>
      </c>
      <c r="AO706" t="s">
        <v>118</v>
      </c>
      <c r="AP706">
        <v>-80</v>
      </c>
      <c r="AQ706">
        <v>-41</v>
      </c>
      <c r="AR706">
        <v>256</v>
      </c>
      <c r="AZ706">
        <v>1200</v>
      </c>
      <c r="BA706">
        <v>1</v>
      </c>
      <c r="BB706" t="str">
        <f t="shared" si="392"/>
        <v xml:space="preserve">N9217B  </v>
      </c>
      <c r="BC706">
        <v>1</v>
      </c>
      <c r="BE706">
        <v>0</v>
      </c>
      <c r="BF706">
        <v>0</v>
      </c>
      <c r="BG706">
        <v>0</v>
      </c>
      <c r="BH706">
        <v>9250</v>
      </c>
      <c r="BI706">
        <v>1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 t="shared" si="421"/>
        <v>14:51:00.506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293</v>
      </c>
      <c r="CR706">
        <v>1</v>
      </c>
      <c r="CW706">
        <v>15275914</v>
      </c>
      <c r="CY706">
        <v>0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25">
      <c r="A707" t="str">
        <f t="shared" si="418"/>
        <v>06/05/2020 14:50:54.844</v>
      </c>
      <c r="C707" t="str">
        <f t="shared" si="407"/>
        <v>FFDFD3C0</v>
      </c>
      <c r="D707" t="s">
        <v>143</v>
      </c>
      <c r="E707">
        <v>10</v>
      </c>
      <c r="F707">
        <v>3010</v>
      </c>
      <c r="G707" t="s">
        <v>144</v>
      </c>
      <c r="J707" t="s">
        <v>145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419"/>
        <v>14:51:00.500</v>
      </c>
      <c r="T707" t="str">
        <f t="shared" si="420"/>
        <v>14:51:00.400</v>
      </c>
      <c r="U707" t="str">
        <f t="shared" si="422"/>
        <v>ACC530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1</v>
      </c>
      <c r="AH707">
        <v>0</v>
      </c>
      <c r="AI707" t="s">
        <v>383</v>
      </c>
      <c r="AJ707">
        <v>34.224665000000002</v>
      </c>
      <c r="AK707" t="s">
        <v>384</v>
      </c>
      <c r="AL707">
        <v>-116.92283399999999</v>
      </c>
      <c r="AM707">
        <v>100</v>
      </c>
      <c r="AN707">
        <v>9100</v>
      </c>
      <c r="AO707" t="s">
        <v>118</v>
      </c>
      <c r="AP707">
        <v>-80</v>
      </c>
      <c r="AQ707">
        <v>-41</v>
      </c>
      <c r="AR707">
        <v>256</v>
      </c>
      <c r="AZ707">
        <v>1200</v>
      </c>
      <c r="BA707">
        <v>1</v>
      </c>
      <c r="BB707" t="str">
        <f t="shared" si="392"/>
        <v xml:space="preserve">N9217B  </v>
      </c>
      <c r="BC707">
        <v>1</v>
      </c>
      <c r="BE707">
        <v>0</v>
      </c>
      <c r="BF707">
        <v>0</v>
      </c>
      <c r="BG707">
        <v>0</v>
      </c>
      <c r="BH707">
        <v>9250</v>
      </c>
      <c r="BI707">
        <v>1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 t="shared" si="421"/>
        <v>14:51:00.506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293</v>
      </c>
      <c r="CR707">
        <v>1</v>
      </c>
      <c r="CW707">
        <v>15275914</v>
      </c>
      <c r="CY707">
        <v>0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25">
      <c r="A708" t="str">
        <f t="shared" si="418"/>
        <v>06/05/2020 14:50:54.844</v>
      </c>
      <c r="C708" t="str">
        <f t="shared" si="407"/>
        <v>FFDFD3C0</v>
      </c>
      <c r="D708" t="s">
        <v>141</v>
      </c>
      <c r="E708">
        <v>20</v>
      </c>
      <c r="F708">
        <v>1020</v>
      </c>
      <c r="G708" t="s">
        <v>114</v>
      </c>
      <c r="J708" t="s">
        <v>142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419"/>
        <v>14:51:00.500</v>
      </c>
      <c r="T708" t="str">
        <f t="shared" si="420"/>
        <v>14:51:00.400</v>
      </c>
      <c r="U708" t="str">
        <f t="shared" si="422"/>
        <v>ACC530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1</v>
      </c>
      <c r="AH708">
        <v>0</v>
      </c>
      <c r="AI708" t="s">
        <v>383</v>
      </c>
      <c r="AJ708">
        <v>34.224665000000002</v>
      </c>
      <c r="AK708" t="s">
        <v>384</v>
      </c>
      <c r="AL708">
        <v>-116.92283399999999</v>
      </c>
      <c r="AM708">
        <v>100</v>
      </c>
      <c r="AN708">
        <v>9100</v>
      </c>
      <c r="AO708" t="s">
        <v>118</v>
      </c>
      <c r="AP708">
        <v>-80</v>
      </c>
      <c r="AQ708">
        <v>-41</v>
      </c>
      <c r="AR708">
        <v>256</v>
      </c>
      <c r="AZ708">
        <v>1200</v>
      </c>
      <c r="BA708">
        <v>1</v>
      </c>
      <c r="BB708" t="str">
        <f t="shared" si="392"/>
        <v xml:space="preserve">N9217B  </v>
      </c>
      <c r="BC708">
        <v>1</v>
      </c>
      <c r="BE708">
        <v>0</v>
      </c>
      <c r="BF708">
        <v>0</v>
      </c>
      <c r="BG708">
        <v>0</v>
      </c>
      <c r="BH708">
        <v>9250</v>
      </c>
      <c r="BI708">
        <v>1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 t="shared" si="421"/>
        <v>14:51:00.506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293</v>
      </c>
      <c r="CR708">
        <v>1</v>
      </c>
      <c r="CW708">
        <v>15275914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25">
      <c r="A709" t="str">
        <f t="shared" si="418"/>
        <v>06/05/2020 14:50:54.844</v>
      </c>
      <c r="C709" t="str">
        <f t="shared" si="407"/>
        <v>FFDFD3C0</v>
      </c>
      <c r="D709" t="s">
        <v>148</v>
      </c>
      <c r="E709">
        <v>11</v>
      </c>
      <c r="H709">
        <v>53</v>
      </c>
      <c r="I709" t="s">
        <v>364</v>
      </c>
      <c r="J709" t="s">
        <v>150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419"/>
        <v>14:51:00.500</v>
      </c>
      <c r="T709" t="str">
        <f t="shared" si="420"/>
        <v>14:51:00.400</v>
      </c>
      <c r="U709" t="str">
        <f t="shared" si="422"/>
        <v>ACC530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1</v>
      </c>
      <c r="AH709">
        <v>0</v>
      </c>
      <c r="AI709" t="s">
        <v>383</v>
      </c>
      <c r="AJ709">
        <v>34.224665000000002</v>
      </c>
      <c r="AK709" t="s">
        <v>384</v>
      </c>
      <c r="AL709">
        <v>-116.92283399999999</v>
      </c>
      <c r="AM709">
        <v>100</v>
      </c>
      <c r="AN709">
        <v>9100</v>
      </c>
      <c r="AO709" t="s">
        <v>118</v>
      </c>
      <c r="AP709">
        <v>-80</v>
      </c>
      <c r="AQ709">
        <v>-41</v>
      </c>
      <c r="AR709">
        <v>256</v>
      </c>
      <c r="AZ709">
        <v>1200</v>
      </c>
      <c r="BA709">
        <v>1</v>
      </c>
      <c r="BB709" t="str">
        <f t="shared" ref="BB709:BB772" si="423">"N9217B  "</f>
        <v xml:space="preserve">N9217B  </v>
      </c>
      <c r="BC709">
        <v>1</v>
      </c>
      <c r="BE709">
        <v>0</v>
      </c>
      <c r="BF709">
        <v>0</v>
      </c>
      <c r="BG709">
        <v>0</v>
      </c>
      <c r="BH709">
        <v>9250</v>
      </c>
      <c r="BI709">
        <v>1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 t="shared" si="421"/>
        <v>14:51:00.506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293</v>
      </c>
      <c r="CR709">
        <v>1</v>
      </c>
      <c r="CW709">
        <v>15275914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25">
      <c r="A710" t="str">
        <f t="shared" si="418"/>
        <v>06/05/2020 14:50:54.844</v>
      </c>
      <c r="C710" t="str">
        <f t="shared" si="407"/>
        <v>FFDFD3C0</v>
      </c>
      <c r="D710" t="s">
        <v>151</v>
      </c>
      <c r="E710">
        <v>9</v>
      </c>
      <c r="H710">
        <v>226</v>
      </c>
      <c r="I710" t="s">
        <v>152</v>
      </c>
      <c r="J710" t="s">
        <v>150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419"/>
        <v>14:51:00.500</v>
      </c>
      <c r="T710" t="str">
        <f t="shared" si="420"/>
        <v>14:51:00.400</v>
      </c>
      <c r="U710" t="str">
        <f t="shared" si="422"/>
        <v>ACC530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1</v>
      </c>
      <c r="AH710">
        <v>0</v>
      </c>
      <c r="AI710" t="s">
        <v>383</v>
      </c>
      <c r="AJ710">
        <v>34.224665000000002</v>
      </c>
      <c r="AK710" t="s">
        <v>384</v>
      </c>
      <c r="AL710">
        <v>-116.92283399999999</v>
      </c>
      <c r="AM710">
        <v>100</v>
      </c>
      <c r="AN710">
        <v>9100</v>
      </c>
      <c r="AO710" t="s">
        <v>118</v>
      </c>
      <c r="AP710">
        <v>-80</v>
      </c>
      <c r="AQ710">
        <v>-41</v>
      </c>
      <c r="AR710">
        <v>256</v>
      </c>
      <c r="AZ710">
        <v>1200</v>
      </c>
      <c r="BA710">
        <v>1</v>
      </c>
      <c r="BB710" t="str">
        <f t="shared" si="423"/>
        <v xml:space="preserve">N9217B  </v>
      </c>
      <c r="BC710">
        <v>1</v>
      </c>
      <c r="BE710">
        <v>0</v>
      </c>
      <c r="BF710">
        <v>0</v>
      </c>
      <c r="BG710">
        <v>0</v>
      </c>
      <c r="BH710">
        <v>9250</v>
      </c>
      <c r="BI710">
        <v>1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 t="shared" si="421"/>
        <v>14:51:00.506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293</v>
      </c>
      <c r="CR710">
        <v>1</v>
      </c>
      <c r="CW710">
        <v>15275914</v>
      </c>
      <c r="CY710">
        <v>0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25">
      <c r="A711" t="str">
        <f t="shared" si="418"/>
        <v>06/05/2020 14:50:54.844</v>
      </c>
      <c r="C711" t="str">
        <f t="shared" si="407"/>
        <v>FFDFD3C0</v>
      </c>
      <c r="D711" t="s">
        <v>113</v>
      </c>
      <c r="E711">
        <v>3</v>
      </c>
      <c r="H711">
        <v>166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419"/>
        <v>14:51:00.500</v>
      </c>
      <c r="T711" t="str">
        <f t="shared" si="420"/>
        <v>14:51:00.400</v>
      </c>
      <c r="U711" t="str">
        <f t="shared" si="422"/>
        <v>ACC530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1</v>
      </c>
      <c r="AH711">
        <v>0</v>
      </c>
      <c r="AI711" t="s">
        <v>383</v>
      </c>
      <c r="AJ711">
        <v>34.224665000000002</v>
      </c>
      <c r="AK711" t="s">
        <v>384</v>
      </c>
      <c r="AL711">
        <v>-116.92283399999999</v>
      </c>
      <c r="AM711">
        <v>100</v>
      </c>
      <c r="AN711">
        <v>9100</v>
      </c>
      <c r="AO711" t="s">
        <v>118</v>
      </c>
      <c r="AP711">
        <v>-80</v>
      </c>
      <c r="AQ711">
        <v>-41</v>
      </c>
      <c r="AR711">
        <v>256</v>
      </c>
      <c r="AZ711">
        <v>1200</v>
      </c>
      <c r="BA711">
        <v>1</v>
      </c>
      <c r="BB711" t="str">
        <f t="shared" si="423"/>
        <v xml:space="preserve">N9217B  </v>
      </c>
      <c r="BC711">
        <v>1</v>
      </c>
      <c r="BE711">
        <v>0</v>
      </c>
      <c r="BF711">
        <v>0</v>
      </c>
      <c r="BG711">
        <v>0</v>
      </c>
      <c r="BH711">
        <v>9250</v>
      </c>
      <c r="BI711">
        <v>1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 t="shared" si="421"/>
        <v>14:51:00.506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293</v>
      </c>
      <c r="CR711">
        <v>1</v>
      </c>
      <c r="CW711">
        <v>15275914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25">
      <c r="A712" t="str">
        <f t="shared" si="418"/>
        <v>06/05/2020 14:50:54.844</v>
      </c>
      <c r="C712" t="str">
        <f t="shared" si="407"/>
        <v>FFDFD3C0</v>
      </c>
      <c r="D712" t="s">
        <v>151</v>
      </c>
      <c r="E712">
        <v>8</v>
      </c>
      <c r="H712">
        <v>225</v>
      </c>
      <c r="I712" t="s">
        <v>353</v>
      </c>
      <c r="J712" t="s">
        <v>150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419"/>
        <v>14:51:00.500</v>
      </c>
      <c r="T712" t="str">
        <f t="shared" si="420"/>
        <v>14:51:00.400</v>
      </c>
      <c r="U712" t="str">
        <f t="shared" si="422"/>
        <v>ACC530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1</v>
      </c>
      <c r="AH712">
        <v>0</v>
      </c>
      <c r="AI712" t="s">
        <v>383</v>
      </c>
      <c r="AJ712">
        <v>34.224665000000002</v>
      </c>
      <c r="AK712" t="s">
        <v>384</v>
      </c>
      <c r="AL712">
        <v>-116.92283399999999</v>
      </c>
      <c r="AM712">
        <v>100</v>
      </c>
      <c r="AN712">
        <v>9100</v>
      </c>
      <c r="AO712" t="s">
        <v>118</v>
      </c>
      <c r="AP712">
        <v>-80</v>
      </c>
      <c r="AQ712">
        <v>-41</v>
      </c>
      <c r="AR712">
        <v>256</v>
      </c>
      <c r="AZ712">
        <v>1200</v>
      </c>
      <c r="BA712">
        <v>1</v>
      </c>
      <c r="BB712" t="str">
        <f t="shared" si="423"/>
        <v xml:space="preserve">N9217B  </v>
      </c>
      <c r="BC712">
        <v>1</v>
      </c>
      <c r="BE712">
        <v>0</v>
      </c>
      <c r="BF712">
        <v>0</v>
      </c>
      <c r="BG712">
        <v>0</v>
      </c>
      <c r="BH712">
        <v>9250</v>
      </c>
      <c r="BI712">
        <v>1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 t="shared" si="421"/>
        <v>14:51:00.506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5</v>
      </c>
      <c r="CP712" t="s">
        <v>119</v>
      </c>
      <c r="CQ712">
        <v>285</v>
      </c>
      <c r="CR712">
        <v>0</v>
      </c>
      <c r="CW712">
        <v>8844654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25">
      <c r="A713" t="str">
        <f t="shared" ref="A713:A720" si="424">"06/05/2020 14:50:55.870"</f>
        <v>06/05/2020 14:50:55.870</v>
      </c>
      <c r="C713" t="str">
        <f t="shared" si="407"/>
        <v>FFDFD3C0</v>
      </c>
      <c r="D713" t="s">
        <v>143</v>
      </c>
      <c r="E713">
        <v>10</v>
      </c>
      <c r="F713">
        <v>3010</v>
      </c>
      <c r="G713" t="s">
        <v>144</v>
      </c>
      <c r="J713" t="s">
        <v>145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ref="S713:S720" si="425">"14:51:01.508"</f>
        <v>14:51:01.508</v>
      </c>
      <c r="T713" t="str">
        <f t="shared" ref="T713:T720" si="426">"14:51:01.008"</f>
        <v>14:51:01.008</v>
      </c>
      <c r="U713" t="str">
        <f t="shared" si="422"/>
        <v>ACC530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1</v>
      </c>
      <c r="AH713">
        <v>0</v>
      </c>
      <c r="AI713" t="s">
        <v>385</v>
      </c>
      <c r="AJ713">
        <v>34.224514999999997</v>
      </c>
      <c r="AK713" t="s">
        <v>386</v>
      </c>
      <c r="AL713">
        <v>-116.923306</v>
      </c>
      <c r="AM713">
        <v>100</v>
      </c>
      <c r="AN713">
        <v>9100</v>
      </c>
      <c r="AO713" t="s">
        <v>118</v>
      </c>
      <c r="AP713">
        <v>-80</v>
      </c>
      <c r="AQ713">
        <v>-41</v>
      </c>
      <c r="AR713">
        <v>256</v>
      </c>
      <c r="AZ713">
        <v>1200</v>
      </c>
      <c r="BA713">
        <v>1</v>
      </c>
      <c r="BB713" t="str">
        <f t="shared" si="423"/>
        <v xml:space="preserve">N9217B  </v>
      </c>
      <c r="BC713">
        <v>1</v>
      </c>
      <c r="BE713">
        <v>0</v>
      </c>
      <c r="BF713">
        <v>0</v>
      </c>
      <c r="BG713">
        <v>0</v>
      </c>
      <c r="BH713">
        <v>9250</v>
      </c>
      <c r="BI713">
        <v>1</v>
      </c>
      <c r="BJ713">
        <v>0</v>
      </c>
      <c r="BK713">
        <v>0</v>
      </c>
      <c r="BL713">
        <v>0</v>
      </c>
      <c r="BO713">
        <v>0</v>
      </c>
      <c r="BP713">
        <v>0</v>
      </c>
      <c r="BW713" t="str">
        <f t="shared" ref="BW713:BW720" si="427">"14:51:01.511"</f>
        <v>14:51:01.511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293</v>
      </c>
      <c r="CR713">
        <v>1</v>
      </c>
      <c r="CW713">
        <v>15276035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25">
      <c r="A714" t="str">
        <f t="shared" si="424"/>
        <v>06/05/2020 14:50:55.870</v>
      </c>
      <c r="C714" t="str">
        <f t="shared" si="407"/>
        <v>FFDFD3C0</v>
      </c>
      <c r="D714" t="s">
        <v>141</v>
      </c>
      <c r="E714">
        <v>20</v>
      </c>
      <c r="F714">
        <v>1020</v>
      </c>
      <c r="G714" t="s">
        <v>114</v>
      </c>
      <c r="J714" t="s">
        <v>142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425"/>
        <v>14:51:01.508</v>
      </c>
      <c r="T714" t="str">
        <f t="shared" si="426"/>
        <v>14:51:01.008</v>
      </c>
      <c r="U714" t="str">
        <f t="shared" si="422"/>
        <v>ACC530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1</v>
      </c>
      <c r="AH714">
        <v>0</v>
      </c>
      <c r="AI714" t="s">
        <v>385</v>
      </c>
      <c r="AJ714">
        <v>34.224514999999997</v>
      </c>
      <c r="AK714" t="s">
        <v>386</v>
      </c>
      <c r="AL714">
        <v>-116.923306</v>
      </c>
      <c r="AM714">
        <v>100</v>
      </c>
      <c r="AN714">
        <v>9100</v>
      </c>
      <c r="AO714" t="s">
        <v>118</v>
      </c>
      <c r="AP714">
        <v>-80</v>
      </c>
      <c r="AQ714">
        <v>-41</v>
      </c>
      <c r="AR714">
        <v>256</v>
      </c>
      <c r="AZ714">
        <v>1200</v>
      </c>
      <c r="BA714">
        <v>1</v>
      </c>
      <c r="BB714" t="str">
        <f t="shared" si="423"/>
        <v xml:space="preserve">N9217B  </v>
      </c>
      <c r="BC714">
        <v>1</v>
      </c>
      <c r="BE714">
        <v>0</v>
      </c>
      <c r="BF714">
        <v>0</v>
      </c>
      <c r="BG714">
        <v>0</v>
      </c>
      <c r="BH714">
        <v>9250</v>
      </c>
      <c r="BI714">
        <v>1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 t="shared" si="427"/>
        <v>14:51:01.511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293</v>
      </c>
      <c r="CR714">
        <v>1</v>
      </c>
      <c r="CW714">
        <v>15276035</v>
      </c>
      <c r="CY714">
        <v>0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25">
      <c r="A715" t="str">
        <f t="shared" si="424"/>
        <v>06/05/2020 14:50:55.870</v>
      </c>
      <c r="C715" t="str">
        <f t="shared" si="407"/>
        <v>FFDFD3C0</v>
      </c>
      <c r="D715" t="s">
        <v>148</v>
      </c>
      <c r="E715">
        <v>11</v>
      </c>
      <c r="H715">
        <v>53</v>
      </c>
      <c r="I715" t="s">
        <v>364</v>
      </c>
      <c r="J715" t="s">
        <v>150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425"/>
        <v>14:51:01.508</v>
      </c>
      <c r="T715" t="str">
        <f t="shared" si="426"/>
        <v>14:51:01.008</v>
      </c>
      <c r="U715" t="str">
        <f t="shared" si="422"/>
        <v>ACC530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1</v>
      </c>
      <c r="AH715">
        <v>0</v>
      </c>
      <c r="AI715" t="s">
        <v>385</v>
      </c>
      <c r="AJ715">
        <v>34.224514999999997</v>
      </c>
      <c r="AK715" t="s">
        <v>386</v>
      </c>
      <c r="AL715">
        <v>-116.923306</v>
      </c>
      <c r="AM715">
        <v>100</v>
      </c>
      <c r="AN715">
        <v>9100</v>
      </c>
      <c r="AO715" t="s">
        <v>118</v>
      </c>
      <c r="AP715">
        <v>-80</v>
      </c>
      <c r="AQ715">
        <v>-41</v>
      </c>
      <c r="AR715">
        <v>256</v>
      </c>
      <c r="AZ715">
        <v>1200</v>
      </c>
      <c r="BA715">
        <v>1</v>
      </c>
      <c r="BB715" t="str">
        <f t="shared" si="423"/>
        <v xml:space="preserve">N9217B  </v>
      </c>
      <c r="BC715">
        <v>1</v>
      </c>
      <c r="BE715">
        <v>0</v>
      </c>
      <c r="BF715">
        <v>0</v>
      </c>
      <c r="BG715">
        <v>0</v>
      </c>
      <c r="BH715">
        <v>9250</v>
      </c>
      <c r="BI715">
        <v>1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 t="shared" si="427"/>
        <v>14:51:01.511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293</v>
      </c>
      <c r="CR715">
        <v>1</v>
      </c>
      <c r="CW715">
        <v>15276035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25">
      <c r="A716" t="str">
        <f t="shared" si="424"/>
        <v>06/05/2020 14:50:55.870</v>
      </c>
      <c r="C716" t="str">
        <f t="shared" si="407"/>
        <v>FFDFD3C0</v>
      </c>
      <c r="D716" t="s">
        <v>113</v>
      </c>
      <c r="E716">
        <v>3</v>
      </c>
      <c r="H716">
        <v>166</v>
      </c>
      <c r="I716" t="s">
        <v>114</v>
      </c>
      <c r="J716" t="s">
        <v>115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425"/>
        <v>14:51:01.508</v>
      </c>
      <c r="T716" t="str">
        <f t="shared" si="426"/>
        <v>14:51:01.008</v>
      </c>
      <c r="U716" t="str">
        <f t="shared" si="422"/>
        <v>ACC530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1</v>
      </c>
      <c r="AH716">
        <v>0</v>
      </c>
      <c r="AI716" t="s">
        <v>385</v>
      </c>
      <c r="AJ716">
        <v>34.224514999999997</v>
      </c>
      <c r="AK716" t="s">
        <v>386</v>
      </c>
      <c r="AL716">
        <v>-116.923306</v>
      </c>
      <c r="AM716">
        <v>100</v>
      </c>
      <c r="AN716">
        <v>9100</v>
      </c>
      <c r="AO716" t="s">
        <v>118</v>
      </c>
      <c r="AP716">
        <v>-80</v>
      </c>
      <c r="AQ716">
        <v>-41</v>
      </c>
      <c r="AR716">
        <v>256</v>
      </c>
      <c r="AZ716">
        <v>1200</v>
      </c>
      <c r="BA716">
        <v>1</v>
      </c>
      <c r="BB716" t="str">
        <f t="shared" si="423"/>
        <v xml:space="preserve">N9217B  </v>
      </c>
      <c r="BC716">
        <v>1</v>
      </c>
      <c r="BE716">
        <v>0</v>
      </c>
      <c r="BF716">
        <v>0</v>
      </c>
      <c r="BG716">
        <v>0</v>
      </c>
      <c r="BH716">
        <v>9250</v>
      </c>
      <c r="BI716">
        <v>1</v>
      </c>
      <c r="BJ716">
        <v>0</v>
      </c>
      <c r="BK716">
        <v>0</v>
      </c>
      <c r="BL716">
        <v>0</v>
      </c>
      <c r="BO716">
        <v>0</v>
      </c>
      <c r="BP716">
        <v>0</v>
      </c>
      <c r="BW716" t="str">
        <f t="shared" si="427"/>
        <v>14:51:01.511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293</v>
      </c>
      <c r="CR716">
        <v>1</v>
      </c>
      <c r="CW716">
        <v>15276035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25">
      <c r="A717" t="str">
        <f t="shared" si="424"/>
        <v>06/05/2020 14:50:55.870</v>
      </c>
      <c r="C717" t="str">
        <f t="shared" si="407"/>
        <v>FFDFD3C0</v>
      </c>
      <c r="D717" t="s">
        <v>151</v>
      </c>
      <c r="E717">
        <v>8</v>
      </c>
      <c r="H717">
        <v>225</v>
      </c>
      <c r="I717" t="s">
        <v>353</v>
      </c>
      <c r="J717" t="s">
        <v>150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425"/>
        <v>14:51:01.508</v>
      </c>
      <c r="T717" t="str">
        <f t="shared" si="426"/>
        <v>14:51:01.008</v>
      </c>
      <c r="U717" t="str">
        <f t="shared" si="422"/>
        <v>ACC530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1</v>
      </c>
      <c r="AH717">
        <v>0</v>
      </c>
      <c r="AI717" t="s">
        <v>385</v>
      </c>
      <c r="AJ717">
        <v>34.224514999999997</v>
      </c>
      <c r="AK717" t="s">
        <v>386</v>
      </c>
      <c r="AL717">
        <v>-116.923306</v>
      </c>
      <c r="AM717">
        <v>100</v>
      </c>
      <c r="AN717">
        <v>9100</v>
      </c>
      <c r="AO717" t="s">
        <v>118</v>
      </c>
      <c r="AP717">
        <v>-80</v>
      </c>
      <c r="AQ717">
        <v>-41</v>
      </c>
      <c r="AR717">
        <v>256</v>
      </c>
      <c r="AZ717">
        <v>1200</v>
      </c>
      <c r="BA717">
        <v>1</v>
      </c>
      <c r="BB717" t="str">
        <f t="shared" si="423"/>
        <v xml:space="preserve">N9217B  </v>
      </c>
      <c r="BC717">
        <v>1</v>
      </c>
      <c r="BE717">
        <v>0</v>
      </c>
      <c r="BF717">
        <v>0</v>
      </c>
      <c r="BG717">
        <v>0</v>
      </c>
      <c r="BH717">
        <v>9250</v>
      </c>
      <c r="BI717">
        <v>1</v>
      </c>
      <c r="BJ717">
        <v>0</v>
      </c>
      <c r="BK717">
        <v>0</v>
      </c>
      <c r="BL717">
        <v>0</v>
      </c>
      <c r="BO717">
        <v>0</v>
      </c>
      <c r="BP717">
        <v>0</v>
      </c>
      <c r="BW717" t="str">
        <f t="shared" si="427"/>
        <v>14:51:01.511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5</v>
      </c>
      <c r="CP717" t="s">
        <v>119</v>
      </c>
      <c r="CQ717">
        <v>285</v>
      </c>
      <c r="CR717">
        <v>0</v>
      </c>
      <c r="CW717">
        <v>8844740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25">
      <c r="A718" t="str">
        <f t="shared" si="424"/>
        <v>06/05/2020 14:50:55.870</v>
      </c>
      <c r="C718" t="str">
        <f t="shared" si="407"/>
        <v>FFDFD3C0</v>
      </c>
      <c r="D718" t="s">
        <v>151</v>
      </c>
      <c r="E718">
        <v>9</v>
      </c>
      <c r="H718">
        <v>226</v>
      </c>
      <c r="I718" t="s">
        <v>152</v>
      </c>
      <c r="J718" t="s">
        <v>150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425"/>
        <v>14:51:01.508</v>
      </c>
      <c r="T718" t="str">
        <f t="shared" si="426"/>
        <v>14:51:01.008</v>
      </c>
      <c r="U718" t="str">
        <f t="shared" si="422"/>
        <v>ACC530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1</v>
      </c>
      <c r="AH718">
        <v>0</v>
      </c>
      <c r="AI718" t="s">
        <v>385</v>
      </c>
      <c r="AJ718">
        <v>34.224514999999997</v>
      </c>
      <c r="AK718" t="s">
        <v>386</v>
      </c>
      <c r="AL718">
        <v>-116.923306</v>
      </c>
      <c r="AM718">
        <v>100</v>
      </c>
      <c r="AN718">
        <v>9100</v>
      </c>
      <c r="AO718" t="s">
        <v>118</v>
      </c>
      <c r="AP718">
        <v>-80</v>
      </c>
      <c r="AQ718">
        <v>-41</v>
      </c>
      <c r="AR718">
        <v>256</v>
      </c>
      <c r="AZ718">
        <v>1200</v>
      </c>
      <c r="BA718">
        <v>1</v>
      </c>
      <c r="BB718" t="str">
        <f t="shared" si="423"/>
        <v xml:space="preserve">N9217B  </v>
      </c>
      <c r="BC718">
        <v>1</v>
      </c>
      <c r="BE718">
        <v>0</v>
      </c>
      <c r="BF718">
        <v>0</v>
      </c>
      <c r="BG718">
        <v>0</v>
      </c>
      <c r="BH718">
        <v>9250</v>
      </c>
      <c r="BI718">
        <v>1</v>
      </c>
      <c r="BJ718">
        <v>0</v>
      </c>
      <c r="BK718">
        <v>0</v>
      </c>
      <c r="BL718">
        <v>0</v>
      </c>
      <c r="BO718">
        <v>0</v>
      </c>
      <c r="BP718">
        <v>0</v>
      </c>
      <c r="BW718" t="str">
        <f t="shared" si="427"/>
        <v>14:51:01.511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293</v>
      </c>
      <c r="CR718">
        <v>1</v>
      </c>
      <c r="CW718">
        <v>15276035</v>
      </c>
      <c r="CY718">
        <v>0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25">
      <c r="A719" t="str">
        <f t="shared" si="424"/>
        <v>06/05/2020 14:50:55.870</v>
      </c>
      <c r="C719" t="str">
        <f t="shared" si="407"/>
        <v>FFDFD3C0</v>
      </c>
      <c r="D719" t="s">
        <v>134</v>
      </c>
      <c r="E719">
        <v>7</v>
      </c>
      <c r="F719">
        <v>2007</v>
      </c>
      <c r="G719" t="s">
        <v>135</v>
      </c>
      <c r="J719" t="s">
        <v>136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425"/>
        <v>14:51:01.508</v>
      </c>
      <c r="T719" t="str">
        <f t="shared" si="426"/>
        <v>14:51:01.008</v>
      </c>
      <c r="U719" t="str">
        <f t="shared" si="422"/>
        <v>ACC530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1</v>
      </c>
      <c r="AH719">
        <v>0</v>
      </c>
      <c r="AI719" t="s">
        <v>385</v>
      </c>
      <c r="AJ719">
        <v>34.224514999999997</v>
      </c>
      <c r="AK719" t="s">
        <v>386</v>
      </c>
      <c r="AL719">
        <v>-116.923306</v>
      </c>
      <c r="AM719">
        <v>100</v>
      </c>
      <c r="AN719">
        <v>9100</v>
      </c>
      <c r="AO719" t="s">
        <v>118</v>
      </c>
      <c r="AP719">
        <v>-80</v>
      </c>
      <c r="AQ719">
        <v>-41</v>
      </c>
      <c r="AR719">
        <v>256</v>
      </c>
      <c r="AZ719">
        <v>1200</v>
      </c>
      <c r="BA719">
        <v>1</v>
      </c>
      <c r="BB719" t="str">
        <f t="shared" si="423"/>
        <v xml:space="preserve">N9217B  </v>
      </c>
      <c r="BC719">
        <v>1</v>
      </c>
      <c r="BE719">
        <v>0</v>
      </c>
      <c r="BF719">
        <v>0</v>
      </c>
      <c r="BG719">
        <v>0</v>
      </c>
      <c r="BH719">
        <v>9250</v>
      </c>
      <c r="BI719">
        <v>1</v>
      </c>
      <c r="BJ719">
        <v>0</v>
      </c>
      <c r="BK719">
        <v>0</v>
      </c>
      <c r="BL719">
        <v>0</v>
      </c>
      <c r="BO719">
        <v>0</v>
      </c>
      <c r="BP719">
        <v>0</v>
      </c>
      <c r="BW719" t="str">
        <f t="shared" si="427"/>
        <v>14:51:01.511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293</v>
      </c>
      <c r="CR719">
        <v>1</v>
      </c>
      <c r="CW719">
        <v>15276035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25">
      <c r="A720" t="str">
        <f t="shared" si="424"/>
        <v>06/05/2020 14:50:55.870</v>
      </c>
      <c r="C720" t="str">
        <f t="shared" si="407"/>
        <v>FFDFD3C0</v>
      </c>
      <c r="D720" t="s">
        <v>148</v>
      </c>
      <c r="E720">
        <v>8</v>
      </c>
      <c r="H720">
        <v>50</v>
      </c>
      <c r="I720" t="s">
        <v>149</v>
      </c>
      <c r="J720" t="s">
        <v>150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425"/>
        <v>14:51:01.508</v>
      </c>
      <c r="T720" t="str">
        <f t="shared" si="426"/>
        <v>14:51:01.008</v>
      </c>
      <c r="U720" t="str">
        <f t="shared" si="422"/>
        <v>ACC530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1</v>
      </c>
      <c r="AH720">
        <v>0</v>
      </c>
      <c r="AI720" t="s">
        <v>385</v>
      </c>
      <c r="AJ720">
        <v>34.224514999999997</v>
      </c>
      <c r="AK720" t="s">
        <v>386</v>
      </c>
      <c r="AL720">
        <v>-116.923306</v>
      </c>
      <c r="AM720">
        <v>100</v>
      </c>
      <c r="AN720">
        <v>9100</v>
      </c>
      <c r="AO720" t="s">
        <v>118</v>
      </c>
      <c r="AP720">
        <v>-80</v>
      </c>
      <c r="AQ720">
        <v>-41</v>
      </c>
      <c r="AR720">
        <v>256</v>
      </c>
      <c r="AZ720">
        <v>1200</v>
      </c>
      <c r="BA720">
        <v>1</v>
      </c>
      <c r="BB720" t="str">
        <f t="shared" si="423"/>
        <v xml:space="preserve">N9217B  </v>
      </c>
      <c r="BC720">
        <v>1</v>
      </c>
      <c r="BE720">
        <v>0</v>
      </c>
      <c r="BF720">
        <v>0</v>
      </c>
      <c r="BG720">
        <v>0</v>
      </c>
      <c r="BH720">
        <v>9250</v>
      </c>
      <c r="BI720">
        <v>1</v>
      </c>
      <c r="BJ720">
        <v>0</v>
      </c>
      <c r="BK720">
        <v>0</v>
      </c>
      <c r="BL720">
        <v>0</v>
      </c>
      <c r="BO720">
        <v>0</v>
      </c>
      <c r="BP720">
        <v>0</v>
      </c>
      <c r="BW720" t="str">
        <f t="shared" si="427"/>
        <v>14:51:01.511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293</v>
      </c>
      <c r="CR720">
        <v>1</v>
      </c>
      <c r="CW720">
        <v>15276035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25">
      <c r="A721" t="str">
        <f t="shared" ref="A721:A728" si="428">"06/05/2020 14:50:56.753"</f>
        <v>06/05/2020 14:50:56.753</v>
      </c>
      <c r="C721" t="str">
        <f t="shared" si="407"/>
        <v>FFDFD3C0</v>
      </c>
      <c r="D721" t="s">
        <v>148</v>
      </c>
      <c r="E721">
        <v>11</v>
      </c>
      <c r="H721">
        <v>53</v>
      </c>
      <c r="I721" t="s">
        <v>364</v>
      </c>
      <c r="J721" t="s">
        <v>150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ref="S721:S728" si="429">"14:51:02.422"</f>
        <v>14:51:02.422</v>
      </c>
      <c r="T721" t="str">
        <f>"14:51:02.022"</f>
        <v>14:51:02.022</v>
      </c>
      <c r="U721" t="str">
        <f t="shared" si="422"/>
        <v>ACC530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1</v>
      </c>
      <c r="AH721">
        <v>0</v>
      </c>
      <c r="AI721" t="s">
        <v>387</v>
      </c>
      <c r="AJ721">
        <v>34.224279000000003</v>
      </c>
      <c r="AK721" t="s">
        <v>388</v>
      </c>
      <c r="AL721">
        <v>-116.92373499999999</v>
      </c>
      <c r="AM721">
        <v>100</v>
      </c>
      <c r="AN721">
        <v>9100</v>
      </c>
      <c r="AO721" t="s">
        <v>118</v>
      </c>
      <c r="AP721">
        <v>-80</v>
      </c>
      <c r="AQ721">
        <v>-41</v>
      </c>
      <c r="AR721">
        <v>256</v>
      </c>
      <c r="AZ721">
        <v>1200</v>
      </c>
      <c r="BA721">
        <v>1</v>
      </c>
      <c r="BB721" t="str">
        <f t="shared" si="423"/>
        <v xml:space="preserve">N9217B  </v>
      </c>
      <c r="BC721">
        <v>1</v>
      </c>
      <c r="BE721">
        <v>0</v>
      </c>
      <c r="BF721">
        <v>0</v>
      </c>
      <c r="BG721">
        <v>0</v>
      </c>
      <c r="BH721">
        <v>9250</v>
      </c>
      <c r="BI721">
        <v>1</v>
      </c>
      <c r="BJ721">
        <v>0</v>
      </c>
      <c r="BK721">
        <v>0</v>
      </c>
      <c r="BL721">
        <v>0</v>
      </c>
      <c r="BO721">
        <v>0</v>
      </c>
      <c r="BP721">
        <v>0</v>
      </c>
      <c r="BW721" t="str">
        <f t="shared" ref="BW721:BW728" si="430">"14:51:02.426"</f>
        <v>14:51:02.426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293</v>
      </c>
      <c r="CR721">
        <v>1</v>
      </c>
      <c r="CW721">
        <v>15276154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25">
      <c r="A722" t="str">
        <f t="shared" si="428"/>
        <v>06/05/2020 14:50:56.753</v>
      </c>
      <c r="C722" t="str">
        <f t="shared" si="407"/>
        <v>FFDFD3C0</v>
      </c>
      <c r="D722" t="s">
        <v>113</v>
      </c>
      <c r="E722">
        <v>3</v>
      </c>
      <c r="H722">
        <v>166</v>
      </c>
      <c r="I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429"/>
        <v>14:51:02.422</v>
      </c>
      <c r="T722" t="str">
        <f>"14:51:02.022"</f>
        <v>14:51:02.022</v>
      </c>
      <c r="U722" t="str">
        <f t="shared" si="422"/>
        <v>ACC530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1</v>
      </c>
      <c r="AH722">
        <v>0</v>
      </c>
      <c r="AI722" t="s">
        <v>387</v>
      </c>
      <c r="AJ722">
        <v>34.224279000000003</v>
      </c>
      <c r="AK722" t="s">
        <v>388</v>
      </c>
      <c r="AL722">
        <v>-116.92373499999999</v>
      </c>
      <c r="AM722">
        <v>100</v>
      </c>
      <c r="AN722">
        <v>9100</v>
      </c>
      <c r="AO722" t="s">
        <v>118</v>
      </c>
      <c r="AP722">
        <v>-80</v>
      </c>
      <c r="AQ722">
        <v>-41</v>
      </c>
      <c r="AR722">
        <v>256</v>
      </c>
      <c r="AZ722">
        <v>1200</v>
      </c>
      <c r="BA722">
        <v>1</v>
      </c>
      <c r="BB722" t="str">
        <f t="shared" si="423"/>
        <v xml:space="preserve">N9217B  </v>
      </c>
      <c r="BC722">
        <v>1</v>
      </c>
      <c r="BE722">
        <v>0</v>
      </c>
      <c r="BF722">
        <v>0</v>
      </c>
      <c r="BG722">
        <v>0</v>
      </c>
      <c r="BH722">
        <v>9250</v>
      </c>
      <c r="BI722">
        <v>1</v>
      </c>
      <c r="BJ722">
        <v>0</v>
      </c>
      <c r="BK722">
        <v>0</v>
      </c>
      <c r="BL722">
        <v>0</v>
      </c>
      <c r="BO722">
        <v>0</v>
      </c>
      <c r="BP722">
        <v>0</v>
      </c>
      <c r="BW722" t="str">
        <f t="shared" si="430"/>
        <v>14:51:02.426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293</v>
      </c>
      <c r="CR722">
        <v>1</v>
      </c>
      <c r="CW722">
        <v>15276154</v>
      </c>
      <c r="CY722">
        <v>0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25">
      <c r="A723" t="str">
        <f t="shared" si="428"/>
        <v>06/05/2020 14:50:56.753</v>
      </c>
      <c r="C723" t="str">
        <f t="shared" si="407"/>
        <v>FFDFD3C0</v>
      </c>
      <c r="D723" t="s">
        <v>151</v>
      </c>
      <c r="E723">
        <v>8</v>
      </c>
      <c r="H723">
        <v>225</v>
      </c>
      <c r="I723" t="s">
        <v>353</v>
      </c>
      <c r="J723" t="s">
        <v>150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429"/>
        <v>14:51:02.422</v>
      </c>
      <c r="T723" t="str">
        <f>"14:51:01.522"</f>
        <v>14:51:01.522</v>
      </c>
      <c r="U723" t="str">
        <f t="shared" si="422"/>
        <v>ACC530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1</v>
      </c>
      <c r="AH723">
        <v>0</v>
      </c>
      <c r="AI723" t="s">
        <v>387</v>
      </c>
      <c r="AJ723">
        <v>34.224279000000003</v>
      </c>
      <c r="AK723" t="s">
        <v>388</v>
      </c>
      <c r="AL723">
        <v>-116.92373499999999</v>
      </c>
      <c r="AM723">
        <v>100</v>
      </c>
      <c r="AN723">
        <v>9100</v>
      </c>
      <c r="AO723" t="s">
        <v>118</v>
      </c>
      <c r="AP723">
        <v>-80</v>
      </c>
      <c r="AQ723">
        <v>-41</v>
      </c>
      <c r="AR723">
        <v>256</v>
      </c>
      <c r="AZ723">
        <v>1200</v>
      </c>
      <c r="BA723">
        <v>1</v>
      </c>
      <c r="BB723" t="str">
        <f t="shared" si="423"/>
        <v xml:space="preserve">N9217B  </v>
      </c>
      <c r="BC723">
        <v>1</v>
      </c>
      <c r="BE723">
        <v>0</v>
      </c>
      <c r="BF723">
        <v>0</v>
      </c>
      <c r="BG723">
        <v>0</v>
      </c>
      <c r="BH723">
        <v>9250</v>
      </c>
      <c r="BI723">
        <v>1</v>
      </c>
      <c r="BJ723">
        <v>0</v>
      </c>
      <c r="BK723">
        <v>0</v>
      </c>
      <c r="BL723">
        <v>0</v>
      </c>
      <c r="BO723">
        <v>0</v>
      </c>
      <c r="BP723">
        <v>0</v>
      </c>
      <c r="BW723" t="str">
        <f t="shared" si="430"/>
        <v>14:51:02.426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5</v>
      </c>
      <c r="CP723" t="s">
        <v>119</v>
      </c>
      <c r="CQ723">
        <v>285</v>
      </c>
      <c r="CR723">
        <v>0</v>
      </c>
      <c r="CW723">
        <v>8844816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25">
      <c r="A724" t="str">
        <f t="shared" si="428"/>
        <v>06/05/2020 14:50:56.753</v>
      </c>
      <c r="C724" t="str">
        <f t="shared" si="407"/>
        <v>FFDFD3C0</v>
      </c>
      <c r="D724" t="s">
        <v>151</v>
      </c>
      <c r="E724">
        <v>9</v>
      </c>
      <c r="H724">
        <v>226</v>
      </c>
      <c r="I724" t="s">
        <v>152</v>
      </c>
      <c r="J724" t="s">
        <v>150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429"/>
        <v>14:51:02.422</v>
      </c>
      <c r="T724" t="str">
        <f>"14:51:02.022"</f>
        <v>14:51:02.022</v>
      </c>
      <c r="U724" t="str">
        <f t="shared" si="422"/>
        <v>ACC530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1</v>
      </c>
      <c r="AH724">
        <v>0</v>
      </c>
      <c r="AI724" t="s">
        <v>387</v>
      </c>
      <c r="AJ724">
        <v>34.224279000000003</v>
      </c>
      <c r="AK724" t="s">
        <v>388</v>
      </c>
      <c r="AL724">
        <v>-116.92373499999999</v>
      </c>
      <c r="AM724">
        <v>100</v>
      </c>
      <c r="AN724">
        <v>9100</v>
      </c>
      <c r="AO724" t="s">
        <v>118</v>
      </c>
      <c r="AP724">
        <v>-80</v>
      </c>
      <c r="AQ724">
        <v>-41</v>
      </c>
      <c r="AR724">
        <v>256</v>
      </c>
      <c r="AZ724">
        <v>1200</v>
      </c>
      <c r="BA724">
        <v>1</v>
      </c>
      <c r="BB724" t="str">
        <f t="shared" si="423"/>
        <v xml:space="preserve">N9217B  </v>
      </c>
      <c r="BC724">
        <v>1</v>
      </c>
      <c r="BE724">
        <v>0</v>
      </c>
      <c r="BF724">
        <v>0</v>
      </c>
      <c r="BG724">
        <v>0</v>
      </c>
      <c r="BH724">
        <v>9250</v>
      </c>
      <c r="BI724">
        <v>1</v>
      </c>
      <c r="BJ724">
        <v>0</v>
      </c>
      <c r="BK724">
        <v>0</v>
      </c>
      <c r="BL724">
        <v>0</v>
      </c>
      <c r="BO724">
        <v>0</v>
      </c>
      <c r="BP724">
        <v>0</v>
      </c>
      <c r="BW724" t="str">
        <f t="shared" si="430"/>
        <v>14:51:02.426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293</v>
      </c>
      <c r="CR724">
        <v>1</v>
      </c>
      <c r="CW724">
        <v>15276154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25">
      <c r="A725" t="str">
        <f t="shared" si="428"/>
        <v>06/05/2020 14:50:56.753</v>
      </c>
      <c r="C725" t="str">
        <f t="shared" si="407"/>
        <v>FFDFD3C0</v>
      </c>
      <c r="D725" t="s">
        <v>134</v>
      </c>
      <c r="E725">
        <v>7</v>
      </c>
      <c r="F725">
        <v>2007</v>
      </c>
      <c r="G725" t="s">
        <v>135</v>
      </c>
      <c r="J725" t="s">
        <v>136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429"/>
        <v>14:51:02.422</v>
      </c>
      <c r="T725" t="str">
        <f>"14:51:02.022"</f>
        <v>14:51:02.022</v>
      </c>
      <c r="U725" t="str">
        <f t="shared" si="422"/>
        <v>ACC530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1</v>
      </c>
      <c r="AH725">
        <v>0</v>
      </c>
      <c r="AI725" t="s">
        <v>387</v>
      </c>
      <c r="AJ725">
        <v>34.224279000000003</v>
      </c>
      <c r="AK725" t="s">
        <v>388</v>
      </c>
      <c r="AL725">
        <v>-116.92373499999999</v>
      </c>
      <c r="AM725">
        <v>100</v>
      </c>
      <c r="AN725">
        <v>9100</v>
      </c>
      <c r="AO725" t="s">
        <v>118</v>
      </c>
      <c r="AP725">
        <v>-80</v>
      </c>
      <c r="AQ725">
        <v>-41</v>
      </c>
      <c r="AR725">
        <v>256</v>
      </c>
      <c r="AZ725">
        <v>1200</v>
      </c>
      <c r="BA725">
        <v>1</v>
      </c>
      <c r="BB725" t="str">
        <f t="shared" si="423"/>
        <v xml:space="preserve">N9217B  </v>
      </c>
      <c r="BC725">
        <v>1</v>
      </c>
      <c r="BE725">
        <v>0</v>
      </c>
      <c r="BF725">
        <v>0</v>
      </c>
      <c r="BG725">
        <v>0</v>
      </c>
      <c r="BH725">
        <v>9250</v>
      </c>
      <c r="BI725">
        <v>1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 t="shared" si="430"/>
        <v>14:51:02.426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293</v>
      </c>
      <c r="CR725">
        <v>1</v>
      </c>
      <c r="CW725">
        <v>15276154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25">
      <c r="A726" t="str">
        <f t="shared" si="428"/>
        <v>06/05/2020 14:50:56.753</v>
      </c>
      <c r="C726" t="str">
        <f t="shared" si="407"/>
        <v>FFDFD3C0</v>
      </c>
      <c r="D726" t="s">
        <v>148</v>
      </c>
      <c r="E726">
        <v>8</v>
      </c>
      <c r="H726">
        <v>50</v>
      </c>
      <c r="I726" t="s">
        <v>149</v>
      </c>
      <c r="J726" t="s">
        <v>150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429"/>
        <v>14:51:02.422</v>
      </c>
      <c r="T726" t="str">
        <f>"14:51:02.022"</f>
        <v>14:51:02.022</v>
      </c>
      <c r="U726" t="str">
        <f t="shared" si="422"/>
        <v>ACC530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1</v>
      </c>
      <c r="AH726">
        <v>0</v>
      </c>
      <c r="AI726" t="s">
        <v>387</v>
      </c>
      <c r="AJ726">
        <v>34.224279000000003</v>
      </c>
      <c r="AK726" t="s">
        <v>388</v>
      </c>
      <c r="AL726">
        <v>-116.92373499999999</v>
      </c>
      <c r="AM726">
        <v>100</v>
      </c>
      <c r="AN726">
        <v>9100</v>
      </c>
      <c r="AO726" t="s">
        <v>118</v>
      </c>
      <c r="AP726">
        <v>-80</v>
      </c>
      <c r="AQ726">
        <v>-41</v>
      </c>
      <c r="AR726">
        <v>256</v>
      </c>
      <c r="AZ726">
        <v>1200</v>
      </c>
      <c r="BA726">
        <v>1</v>
      </c>
      <c r="BB726" t="str">
        <f t="shared" si="423"/>
        <v xml:space="preserve">N9217B  </v>
      </c>
      <c r="BC726">
        <v>1</v>
      </c>
      <c r="BE726">
        <v>0</v>
      </c>
      <c r="BF726">
        <v>0</v>
      </c>
      <c r="BG726">
        <v>0</v>
      </c>
      <c r="BH726">
        <v>9250</v>
      </c>
      <c r="BI726">
        <v>1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 t="shared" si="430"/>
        <v>14:51:02.426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293</v>
      </c>
      <c r="CR726">
        <v>1</v>
      </c>
      <c r="CW726">
        <v>15276154</v>
      </c>
      <c r="CY726">
        <v>0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25">
      <c r="A727" t="str">
        <f t="shared" si="428"/>
        <v>06/05/2020 14:50:56.753</v>
      </c>
      <c r="C727" t="str">
        <f t="shared" si="407"/>
        <v>FFDFD3C0</v>
      </c>
      <c r="D727" t="s">
        <v>143</v>
      </c>
      <c r="E727">
        <v>10</v>
      </c>
      <c r="F727">
        <v>3010</v>
      </c>
      <c r="G727" t="s">
        <v>144</v>
      </c>
      <c r="J727" t="s">
        <v>145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429"/>
        <v>14:51:02.422</v>
      </c>
      <c r="T727" t="str">
        <f>"14:51:02.022"</f>
        <v>14:51:02.022</v>
      </c>
      <c r="U727" t="str">
        <f t="shared" si="422"/>
        <v>ACC530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1</v>
      </c>
      <c r="AH727">
        <v>0</v>
      </c>
      <c r="AI727" t="s">
        <v>387</v>
      </c>
      <c r="AJ727">
        <v>34.224279000000003</v>
      </c>
      <c r="AK727" t="s">
        <v>388</v>
      </c>
      <c r="AL727">
        <v>-116.92373499999999</v>
      </c>
      <c r="AM727">
        <v>100</v>
      </c>
      <c r="AN727">
        <v>9100</v>
      </c>
      <c r="AO727" t="s">
        <v>118</v>
      </c>
      <c r="AP727">
        <v>-80</v>
      </c>
      <c r="AQ727">
        <v>-41</v>
      </c>
      <c r="AR727">
        <v>256</v>
      </c>
      <c r="AZ727">
        <v>1200</v>
      </c>
      <c r="BA727">
        <v>1</v>
      </c>
      <c r="BB727" t="str">
        <f t="shared" si="423"/>
        <v xml:space="preserve">N9217B  </v>
      </c>
      <c r="BC727">
        <v>1</v>
      </c>
      <c r="BE727">
        <v>0</v>
      </c>
      <c r="BF727">
        <v>0</v>
      </c>
      <c r="BG727">
        <v>0</v>
      </c>
      <c r="BH727">
        <v>9250</v>
      </c>
      <c r="BI727">
        <v>1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 t="shared" si="430"/>
        <v>14:51:02.426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293</v>
      </c>
      <c r="CR727">
        <v>1</v>
      </c>
      <c r="CW727">
        <v>15276154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25">
      <c r="A728" t="str">
        <f t="shared" si="428"/>
        <v>06/05/2020 14:50:56.753</v>
      </c>
      <c r="C728" t="str">
        <f t="shared" si="407"/>
        <v>FFDFD3C0</v>
      </c>
      <c r="D728" t="s">
        <v>141</v>
      </c>
      <c r="E728">
        <v>20</v>
      </c>
      <c r="F728">
        <v>1020</v>
      </c>
      <c r="G728" t="s">
        <v>114</v>
      </c>
      <c r="J728" t="s">
        <v>142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429"/>
        <v>14:51:02.422</v>
      </c>
      <c r="T728" t="str">
        <f>"14:51:02.022"</f>
        <v>14:51:02.022</v>
      </c>
      <c r="U728" t="str">
        <f t="shared" si="422"/>
        <v>ACC530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1</v>
      </c>
      <c r="AH728">
        <v>0</v>
      </c>
      <c r="AI728" t="s">
        <v>387</v>
      </c>
      <c r="AJ728">
        <v>34.224279000000003</v>
      </c>
      <c r="AK728" t="s">
        <v>388</v>
      </c>
      <c r="AL728">
        <v>-116.92373499999999</v>
      </c>
      <c r="AM728">
        <v>100</v>
      </c>
      <c r="AN728">
        <v>9100</v>
      </c>
      <c r="AO728" t="s">
        <v>118</v>
      </c>
      <c r="AP728">
        <v>-80</v>
      </c>
      <c r="AQ728">
        <v>-41</v>
      </c>
      <c r="AR728">
        <v>256</v>
      </c>
      <c r="AZ728">
        <v>1200</v>
      </c>
      <c r="BA728">
        <v>1</v>
      </c>
      <c r="BB728" t="str">
        <f t="shared" si="423"/>
        <v xml:space="preserve">N9217B  </v>
      </c>
      <c r="BC728">
        <v>1</v>
      </c>
      <c r="BE728">
        <v>0</v>
      </c>
      <c r="BF728">
        <v>0</v>
      </c>
      <c r="BG728">
        <v>0</v>
      </c>
      <c r="BH728">
        <v>9250</v>
      </c>
      <c r="BI728">
        <v>1</v>
      </c>
      <c r="BJ728">
        <v>0</v>
      </c>
      <c r="BK728">
        <v>0</v>
      </c>
      <c r="BL728">
        <v>0</v>
      </c>
      <c r="BO728">
        <v>0</v>
      </c>
      <c r="BP728">
        <v>0</v>
      </c>
      <c r="BW728" t="str">
        <f t="shared" si="430"/>
        <v>14:51:02.426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293</v>
      </c>
      <c r="CR728">
        <v>1</v>
      </c>
      <c r="CW728">
        <v>15276154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25">
      <c r="A729" t="str">
        <f t="shared" ref="A729:A736" si="431">"06/05/2020 14:50:57.720"</f>
        <v>06/05/2020 14:50:57.720</v>
      </c>
      <c r="C729" t="str">
        <f t="shared" si="407"/>
        <v>FFDFD3C0</v>
      </c>
      <c r="D729" t="s">
        <v>134</v>
      </c>
      <c r="E729">
        <v>7</v>
      </c>
      <c r="F729">
        <v>2007</v>
      </c>
      <c r="G729" t="s">
        <v>135</v>
      </c>
      <c r="J729" t="s">
        <v>136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ref="S729:S736" si="432">"14:51:03.383"</f>
        <v>14:51:03.383</v>
      </c>
      <c r="T729" t="str">
        <f t="shared" ref="T729:T736" si="433">"14:51:03.083"</f>
        <v>14:51:03.083</v>
      </c>
      <c r="U729" t="str">
        <f t="shared" si="422"/>
        <v>ACC530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1</v>
      </c>
      <c r="AH729">
        <v>0</v>
      </c>
      <c r="AI729" t="s">
        <v>389</v>
      </c>
      <c r="AJ729">
        <v>34.224128999999998</v>
      </c>
      <c r="AK729" t="s">
        <v>390</v>
      </c>
      <c r="AL729">
        <v>-116.924164</v>
      </c>
      <c r="AM729">
        <v>100</v>
      </c>
      <c r="AN729">
        <v>9100</v>
      </c>
      <c r="AO729" t="s">
        <v>118</v>
      </c>
      <c r="AP729">
        <v>-81</v>
      </c>
      <c r="AQ729">
        <v>-41</v>
      </c>
      <c r="AR729">
        <v>384</v>
      </c>
      <c r="AZ729">
        <v>1200</v>
      </c>
      <c r="BA729">
        <v>1</v>
      </c>
      <c r="BB729" t="str">
        <f t="shared" si="423"/>
        <v xml:space="preserve">N9217B  </v>
      </c>
      <c r="BC729">
        <v>1</v>
      </c>
      <c r="BE729">
        <v>0</v>
      </c>
      <c r="BF729">
        <v>0</v>
      </c>
      <c r="BG729">
        <v>0</v>
      </c>
      <c r="BH729">
        <v>9250</v>
      </c>
      <c r="BI729">
        <v>1</v>
      </c>
      <c r="BJ729">
        <v>0</v>
      </c>
      <c r="BK729">
        <v>0</v>
      </c>
      <c r="BL729">
        <v>0</v>
      </c>
      <c r="BO729">
        <v>0</v>
      </c>
      <c r="BP729">
        <v>0</v>
      </c>
      <c r="BW729" t="str">
        <f t="shared" ref="BW729:BW736" si="434">"14:51:03.386"</f>
        <v>14:51:03.386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293</v>
      </c>
      <c r="CR729">
        <v>1</v>
      </c>
      <c r="CW729">
        <v>15276267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25">
      <c r="A730" t="str">
        <f t="shared" si="431"/>
        <v>06/05/2020 14:50:57.720</v>
      </c>
      <c r="C730" t="str">
        <f t="shared" si="407"/>
        <v>FFDFD3C0</v>
      </c>
      <c r="D730" t="s">
        <v>151</v>
      </c>
      <c r="E730">
        <v>8</v>
      </c>
      <c r="H730">
        <v>225</v>
      </c>
      <c r="I730" t="s">
        <v>353</v>
      </c>
      <c r="J730" t="s">
        <v>150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432"/>
        <v>14:51:03.383</v>
      </c>
      <c r="T730" t="str">
        <f t="shared" si="433"/>
        <v>14:51:03.083</v>
      </c>
      <c r="U730" t="str">
        <f t="shared" si="422"/>
        <v>ACC530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1</v>
      </c>
      <c r="AH730">
        <v>0</v>
      </c>
      <c r="AI730" t="s">
        <v>389</v>
      </c>
      <c r="AJ730">
        <v>34.224128999999998</v>
      </c>
      <c r="AK730" t="s">
        <v>390</v>
      </c>
      <c r="AL730">
        <v>-116.924164</v>
      </c>
      <c r="AM730">
        <v>100</v>
      </c>
      <c r="AN730">
        <v>9100</v>
      </c>
      <c r="AO730" t="s">
        <v>118</v>
      </c>
      <c r="AP730">
        <v>-81</v>
      </c>
      <c r="AQ730">
        <v>-41</v>
      </c>
      <c r="AR730">
        <v>384</v>
      </c>
      <c r="AZ730">
        <v>1200</v>
      </c>
      <c r="BA730">
        <v>1</v>
      </c>
      <c r="BB730" t="str">
        <f t="shared" si="423"/>
        <v xml:space="preserve">N9217B  </v>
      </c>
      <c r="BC730">
        <v>1</v>
      </c>
      <c r="BE730">
        <v>0</v>
      </c>
      <c r="BF730">
        <v>0</v>
      </c>
      <c r="BG730">
        <v>0</v>
      </c>
      <c r="BH730">
        <v>9250</v>
      </c>
      <c r="BI730">
        <v>1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 t="shared" si="434"/>
        <v>14:51:03.386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6</v>
      </c>
      <c r="CP730" t="s">
        <v>119</v>
      </c>
      <c r="CQ730">
        <v>285</v>
      </c>
      <c r="CR730">
        <v>0</v>
      </c>
      <c r="CW730">
        <v>8844900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25">
      <c r="A731" t="str">
        <f t="shared" si="431"/>
        <v>06/05/2020 14:50:57.720</v>
      </c>
      <c r="C731" t="str">
        <f t="shared" si="407"/>
        <v>FFDFD3C0</v>
      </c>
      <c r="D731" t="s">
        <v>151</v>
      </c>
      <c r="E731">
        <v>9</v>
      </c>
      <c r="H731">
        <v>226</v>
      </c>
      <c r="I731" t="s">
        <v>152</v>
      </c>
      <c r="J731" t="s">
        <v>150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432"/>
        <v>14:51:03.383</v>
      </c>
      <c r="T731" t="str">
        <f t="shared" si="433"/>
        <v>14:51:03.083</v>
      </c>
      <c r="U731" t="str">
        <f t="shared" si="422"/>
        <v>ACC530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1</v>
      </c>
      <c r="AH731">
        <v>0</v>
      </c>
      <c r="AI731" t="s">
        <v>389</v>
      </c>
      <c r="AJ731">
        <v>34.224128999999998</v>
      </c>
      <c r="AK731" t="s">
        <v>390</v>
      </c>
      <c r="AL731">
        <v>-116.924164</v>
      </c>
      <c r="AM731">
        <v>100</v>
      </c>
      <c r="AN731">
        <v>9100</v>
      </c>
      <c r="AO731" t="s">
        <v>118</v>
      </c>
      <c r="AP731">
        <v>-81</v>
      </c>
      <c r="AQ731">
        <v>-41</v>
      </c>
      <c r="AR731">
        <v>384</v>
      </c>
      <c r="AZ731">
        <v>1200</v>
      </c>
      <c r="BA731">
        <v>1</v>
      </c>
      <c r="BB731" t="str">
        <f t="shared" si="423"/>
        <v xml:space="preserve">N9217B  </v>
      </c>
      <c r="BC731">
        <v>1</v>
      </c>
      <c r="BE731">
        <v>0</v>
      </c>
      <c r="BF731">
        <v>0</v>
      </c>
      <c r="BG731">
        <v>0</v>
      </c>
      <c r="BH731">
        <v>9250</v>
      </c>
      <c r="BI731">
        <v>1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 t="shared" si="434"/>
        <v>14:51:03.386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293</v>
      </c>
      <c r="CR731">
        <v>1</v>
      </c>
      <c r="CW731">
        <v>15276267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25">
      <c r="A732" t="str">
        <f t="shared" si="431"/>
        <v>06/05/2020 14:50:57.720</v>
      </c>
      <c r="C732" t="str">
        <f t="shared" si="407"/>
        <v>FFDFD3C0</v>
      </c>
      <c r="D732" t="s">
        <v>143</v>
      </c>
      <c r="E732">
        <v>10</v>
      </c>
      <c r="F732">
        <v>3010</v>
      </c>
      <c r="G732" t="s">
        <v>144</v>
      </c>
      <c r="J732" t="s">
        <v>145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432"/>
        <v>14:51:03.383</v>
      </c>
      <c r="T732" t="str">
        <f t="shared" si="433"/>
        <v>14:51:03.083</v>
      </c>
      <c r="U732" t="str">
        <f t="shared" si="422"/>
        <v>ACC530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1</v>
      </c>
      <c r="AH732">
        <v>0</v>
      </c>
      <c r="AI732" t="s">
        <v>389</v>
      </c>
      <c r="AJ732">
        <v>34.224128999999998</v>
      </c>
      <c r="AK732" t="s">
        <v>390</v>
      </c>
      <c r="AL732">
        <v>-116.924164</v>
      </c>
      <c r="AM732">
        <v>100</v>
      </c>
      <c r="AN732">
        <v>9100</v>
      </c>
      <c r="AO732" t="s">
        <v>118</v>
      </c>
      <c r="AP732">
        <v>-81</v>
      </c>
      <c r="AQ732">
        <v>-41</v>
      </c>
      <c r="AR732">
        <v>384</v>
      </c>
      <c r="AZ732">
        <v>1200</v>
      </c>
      <c r="BA732">
        <v>1</v>
      </c>
      <c r="BB732" t="str">
        <f t="shared" si="423"/>
        <v xml:space="preserve">N9217B  </v>
      </c>
      <c r="BC732">
        <v>1</v>
      </c>
      <c r="BE732">
        <v>0</v>
      </c>
      <c r="BF732">
        <v>0</v>
      </c>
      <c r="BG732">
        <v>0</v>
      </c>
      <c r="BH732">
        <v>9250</v>
      </c>
      <c r="BI732">
        <v>1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 t="shared" si="434"/>
        <v>14:51:03.386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293</v>
      </c>
      <c r="CR732">
        <v>1</v>
      </c>
      <c r="CW732">
        <v>15276267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25">
      <c r="A733" t="str">
        <f t="shared" si="431"/>
        <v>06/05/2020 14:50:57.720</v>
      </c>
      <c r="C733" t="str">
        <f t="shared" si="407"/>
        <v>FFDFD3C0</v>
      </c>
      <c r="D733" t="s">
        <v>148</v>
      </c>
      <c r="E733">
        <v>8</v>
      </c>
      <c r="H733">
        <v>50</v>
      </c>
      <c r="I733" t="s">
        <v>149</v>
      </c>
      <c r="J733" t="s">
        <v>150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432"/>
        <v>14:51:03.383</v>
      </c>
      <c r="T733" t="str">
        <f t="shared" si="433"/>
        <v>14:51:03.083</v>
      </c>
      <c r="U733" t="str">
        <f t="shared" si="422"/>
        <v>ACC530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1</v>
      </c>
      <c r="AH733">
        <v>0</v>
      </c>
      <c r="AI733" t="s">
        <v>389</v>
      </c>
      <c r="AJ733">
        <v>34.224128999999998</v>
      </c>
      <c r="AK733" t="s">
        <v>390</v>
      </c>
      <c r="AL733">
        <v>-116.924164</v>
      </c>
      <c r="AM733">
        <v>100</v>
      </c>
      <c r="AN733">
        <v>9100</v>
      </c>
      <c r="AO733" t="s">
        <v>118</v>
      </c>
      <c r="AP733">
        <v>-81</v>
      </c>
      <c r="AQ733">
        <v>-41</v>
      </c>
      <c r="AR733">
        <v>384</v>
      </c>
      <c r="AZ733">
        <v>1200</v>
      </c>
      <c r="BA733">
        <v>1</v>
      </c>
      <c r="BB733" t="str">
        <f t="shared" si="423"/>
        <v xml:space="preserve">N9217B  </v>
      </c>
      <c r="BC733">
        <v>1</v>
      </c>
      <c r="BE733">
        <v>0</v>
      </c>
      <c r="BF733">
        <v>0</v>
      </c>
      <c r="BG733">
        <v>0</v>
      </c>
      <c r="BH733">
        <v>9250</v>
      </c>
      <c r="BI733">
        <v>1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 t="shared" si="434"/>
        <v>14:51:03.386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293</v>
      </c>
      <c r="CR733">
        <v>1</v>
      </c>
      <c r="CW733">
        <v>15276267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25">
      <c r="A734" t="str">
        <f t="shared" si="431"/>
        <v>06/05/2020 14:50:57.720</v>
      </c>
      <c r="C734" t="str">
        <f t="shared" si="407"/>
        <v>FFDFD3C0</v>
      </c>
      <c r="D734" t="s">
        <v>141</v>
      </c>
      <c r="E734">
        <v>20</v>
      </c>
      <c r="F734">
        <v>1020</v>
      </c>
      <c r="G734" t="s">
        <v>114</v>
      </c>
      <c r="J734" t="s">
        <v>142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432"/>
        <v>14:51:03.383</v>
      </c>
      <c r="T734" t="str">
        <f t="shared" si="433"/>
        <v>14:51:03.083</v>
      </c>
      <c r="U734" t="str">
        <f t="shared" si="422"/>
        <v>ACC530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1</v>
      </c>
      <c r="AH734">
        <v>0</v>
      </c>
      <c r="AI734" t="s">
        <v>389</v>
      </c>
      <c r="AJ734">
        <v>34.224128999999998</v>
      </c>
      <c r="AK734" t="s">
        <v>390</v>
      </c>
      <c r="AL734">
        <v>-116.924164</v>
      </c>
      <c r="AM734">
        <v>100</v>
      </c>
      <c r="AN734">
        <v>9100</v>
      </c>
      <c r="AO734" t="s">
        <v>118</v>
      </c>
      <c r="AP734">
        <v>-81</v>
      </c>
      <c r="AQ734">
        <v>-41</v>
      </c>
      <c r="AR734">
        <v>384</v>
      </c>
      <c r="AZ734">
        <v>1200</v>
      </c>
      <c r="BA734">
        <v>1</v>
      </c>
      <c r="BB734" t="str">
        <f t="shared" si="423"/>
        <v xml:space="preserve">N9217B  </v>
      </c>
      <c r="BC734">
        <v>1</v>
      </c>
      <c r="BE734">
        <v>0</v>
      </c>
      <c r="BF734">
        <v>0</v>
      </c>
      <c r="BG734">
        <v>0</v>
      </c>
      <c r="BH734">
        <v>9250</v>
      </c>
      <c r="BI734">
        <v>1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 t="shared" si="434"/>
        <v>14:51:03.386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293</v>
      </c>
      <c r="CR734">
        <v>1</v>
      </c>
      <c r="CW734">
        <v>15276267</v>
      </c>
      <c r="CY734">
        <v>0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25">
      <c r="A735" t="str">
        <f t="shared" si="431"/>
        <v>06/05/2020 14:50:57.720</v>
      </c>
      <c r="C735" t="str">
        <f t="shared" si="407"/>
        <v>FFDFD3C0</v>
      </c>
      <c r="D735" t="s">
        <v>148</v>
      </c>
      <c r="E735">
        <v>11</v>
      </c>
      <c r="H735">
        <v>53</v>
      </c>
      <c r="I735" t="s">
        <v>364</v>
      </c>
      <c r="J735" t="s">
        <v>150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432"/>
        <v>14:51:03.383</v>
      </c>
      <c r="T735" t="str">
        <f t="shared" si="433"/>
        <v>14:51:03.083</v>
      </c>
      <c r="U735" t="str">
        <f t="shared" si="422"/>
        <v>ACC530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1</v>
      </c>
      <c r="AH735">
        <v>0</v>
      </c>
      <c r="AI735" t="s">
        <v>389</v>
      </c>
      <c r="AJ735">
        <v>34.224128999999998</v>
      </c>
      <c r="AK735" t="s">
        <v>390</v>
      </c>
      <c r="AL735">
        <v>-116.924164</v>
      </c>
      <c r="AM735">
        <v>100</v>
      </c>
      <c r="AN735">
        <v>9100</v>
      </c>
      <c r="AO735" t="s">
        <v>118</v>
      </c>
      <c r="AP735">
        <v>-81</v>
      </c>
      <c r="AQ735">
        <v>-41</v>
      </c>
      <c r="AR735">
        <v>384</v>
      </c>
      <c r="AZ735">
        <v>1200</v>
      </c>
      <c r="BA735">
        <v>1</v>
      </c>
      <c r="BB735" t="str">
        <f t="shared" si="423"/>
        <v xml:space="preserve">N9217B  </v>
      </c>
      <c r="BC735">
        <v>1</v>
      </c>
      <c r="BE735">
        <v>0</v>
      </c>
      <c r="BF735">
        <v>0</v>
      </c>
      <c r="BG735">
        <v>0</v>
      </c>
      <c r="BH735">
        <v>9250</v>
      </c>
      <c r="BI735">
        <v>1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 t="shared" si="434"/>
        <v>14:51:03.386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293</v>
      </c>
      <c r="CR735">
        <v>1</v>
      </c>
      <c r="CW735">
        <v>15276267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25">
      <c r="A736" t="str">
        <f t="shared" si="431"/>
        <v>06/05/2020 14:50:57.720</v>
      </c>
      <c r="C736" t="str">
        <f t="shared" si="407"/>
        <v>FFDFD3C0</v>
      </c>
      <c r="D736" t="s">
        <v>113</v>
      </c>
      <c r="E736">
        <v>3</v>
      </c>
      <c r="H736">
        <v>166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432"/>
        <v>14:51:03.383</v>
      </c>
      <c r="T736" t="str">
        <f t="shared" si="433"/>
        <v>14:51:03.083</v>
      </c>
      <c r="U736" t="str">
        <f t="shared" si="422"/>
        <v>ACC530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1</v>
      </c>
      <c r="AH736">
        <v>0</v>
      </c>
      <c r="AI736" t="s">
        <v>389</v>
      </c>
      <c r="AJ736">
        <v>34.224128999999998</v>
      </c>
      <c r="AK736" t="s">
        <v>390</v>
      </c>
      <c r="AL736">
        <v>-116.924164</v>
      </c>
      <c r="AM736">
        <v>100</v>
      </c>
      <c r="AN736">
        <v>9100</v>
      </c>
      <c r="AO736" t="s">
        <v>118</v>
      </c>
      <c r="AP736">
        <v>-81</v>
      </c>
      <c r="AQ736">
        <v>-41</v>
      </c>
      <c r="AR736">
        <v>384</v>
      </c>
      <c r="AZ736">
        <v>1200</v>
      </c>
      <c r="BA736">
        <v>1</v>
      </c>
      <c r="BB736" t="str">
        <f t="shared" si="423"/>
        <v xml:space="preserve">N9217B  </v>
      </c>
      <c r="BC736">
        <v>1</v>
      </c>
      <c r="BE736">
        <v>0</v>
      </c>
      <c r="BF736">
        <v>0</v>
      </c>
      <c r="BG736">
        <v>0</v>
      </c>
      <c r="BH736">
        <v>9250</v>
      </c>
      <c r="BI736">
        <v>1</v>
      </c>
      <c r="BJ736">
        <v>0</v>
      </c>
      <c r="BK736">
        <v>0</v>
      </c>
      <c r="BL736">
        <v>0</v>
      </c>
      <c r="BO736">
        <v>0</v>
      </c>
      <c r="BP736">
        <v>0</v>
      </c>
      <c r="BW736" t="str">
        <f t="shared" si="434"/>
        <v>14:51:03.386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293</v>
      </c>
      <c r="CR736">
        <v>1</v>
      </c>
      <c r="CW736">
        <v>15276267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25">
      <c r="A737" t="str">
        <f t="shared" ref="A737:A744" si="435">"06/05/2020 14:50:58.903"</f>
        <v>06/05/2020 14:50:58.903</v>
      </c>
      <c r="C737" t="str">
        <f t="shared" si="407"/>
        <v>FFDFD3C0</v>
      </c>
      <c r="D737" t="s">
        <v>141</v>
      </c>
      <c r="E737">
        <v>20</v>
      </c>
      <c r="F737">
        <v>1020</v>
      </c>
      <c r="G737" t="s">
        <v>114</v>
      </c>
      <c r="J737" t="s">
        <v>142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ref="S737:T744" si="436">"14:51:04.570"</f>
        <v>14:51:04.570</v>
      </c>
      <c r="T737" t="str">
        <f t="shared" si="436"/>
        <v>14:51:04.570</v>
      </c>
      <c r="U737" t="str">
        <f t="shared" si="422"/>
        <v>ACC530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1</v>
      </c>
      <c r="AH737">
        <v>0</v>
      </c>
      <c r="AI737" t="s">
        <v>391</v>
      </c>
      <c r="AJ737">
        <v>34.223892999999997</v>
      </c>
      <c r="AK737" t="s">
        <v>392</v>
      </c>
      <c r="AL737">
        <v>-116.924679</v>
      </c>
      <c r="AM737">
        <v>100</v>
      </c>
      <c r="AN737">
        <v>9200</v>
      </c>
      <c r="AO737" t="s">
        <v>118</v>
      </c>
      <c r="AP737">
        <v>-81</v>
      </c>
      <c r="AQ737">
        <v>-40</v>
      </c>
      <c r="AR737">
        <v>448</v>
      </c>
      <c r="AZ737">
        <v>1200</v>
      </c>
      <c r="BA737">
        <v>1</v>
      </c>
      <c r="BB737" t="str">
        <f t="shared" si="423"/>
        <v xml:space="preserve">N9217B  </v>
      </c>
      <c r="BC737">
        <v>1</v>
      </c>
      <c r="BE737">
        <v>0</v>
      </c>
      <c r="BF737">
        <v>0</v>
      </c>
      <c r="BG737">
        <v>0</v>
      </c>
      <c r="BH737">
        <v>9250</v>
      </c>
      <c r="BI737">
        <v>1</v>
      </c>
      <c r="BJ737">
        <v>0</v>
      </c>
      <c r="BK737">
        <v>0</v>
      </c>
      <c r="BL737">
        <v>0</v>
      </c>
      <c r="BO737">
        <v>0</v>
      </c>
      <c r="BP737">
        <v>0</v>
      </c>
      <c r="BW737" t="str">
        <f t="shared" ref="BW737:BW744" si="437">"14:51:04.571"</f>
        <v>14:51:04.571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293</v>
      </c>
      <c r="CR737">
        <v>1</v>
      </c>
      <c r="CW737">
        <v>15276408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25">
      <c r="A738" t="str">
        <f t="shared" si="435"/>
        <v>06/05/2020 14:50:58.903</v>
      </c>
      <c r="C738" t="str">
        <f t="shared" si="407"/>
        <v>FFDFD3C0</v>
      </c>
      <c r="D738" t="s">
        <v>148</v>
      </c>
      <c r="E738">
        <v>11</v>
      </c>
      <c r="H738">
        <v>53</v>
      </c>
      <c r="I738" t="s">
        <v>364</v>
      </c>
      <c r="J738" t="s">
        <v>150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436"/>
        <v>14:51:04.570</v>
      </c>
      <c r="T738" t="str">
        <f t="shared" si="436"/>
        <v>14:51:04.570</v>
      </c>
      <c r="U738" t="str">
        <f t="shared" si="422"/>
        <v>ACC530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1</v>
      </c>
      <c r="AH738">
        <v>0</v>
      </c>
      <c r="AI738" t="s">
        <v>391</v>
      </c>
      <c r="AJ738">
        <v>34.223892999999997</v>
      </c>
      <c r="AK738" t="s">
        <v>392</v>
      </c>
      <c r="AL738">
        <v>-116.924679</v>
      </c>
      <c r="AM738">
        <v>100</v>
      </c>
      <c r="AN738">
        <v>9200</v>
      </c>
      <c r="AO738" t="s">
        <v>118</v>
      </c>
      <c r="AP738">
        <v>-81</v>
      </c>
      <c r="AQ738">
        <v>-40</v>
      </c>
      <c r="AR738">
        <v>448</v>
      </c>
      <c r="AZ738">
        <v>1200</v>
      </c>
      <c r="BA738">
        <v>1</v>
      </c>
      <c r="BB738" t="str">
        <f t="shared" si="423"/>
        <v xml:space="preserve">N9217B  </v>
      </c>
      <c r="BC738">
        <v>1</v>
      </c>
      <c r="BE738">
        <v>0</v>
      </c>
      <c r="BF738">
        <v>0</v>
      </c>
      <c r="BG738">
        <v>0</v>
      </c>
      <c r="BH738">
        <v>9250</v>
      </c>
      <c r="BI738">
        <v>1</v>
      </c>
      <c r="BJ738">
        <v>0</v>
      </c>
      <c r="BK738">
        <v>0</v>
      </c>
      <c r="BL738">
        <v>0</v>
      </c>
      <c r="BO738">
        <v>0</v>
      </c>
      <c r="BP738">
        <v>0</v>
      </c>
      <c r="BW738" t="str">
        <f t="shared" si="437"/>
        <v>14:51:04.571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293</v>
      </c>
      <c r="CR738">
        <v>1</v>
      </c>
      <c r="CW738">
        <v>15276408</v>
      </c>
      <c r="CY738">
        <v>0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25">
      <c r="A739" t="str">
        <f t="shared" si="435"/>
        <v>06/05/2020 14:50:58.903</v>
      </c>
      <c r="C739" t="str">
        <f t="shared" ref="C739:C802" si="438">"FFDFD3C0"</f>
        <v>FFDFD3C0</v>
      </c>
      <c r="D739" t="s">
        <v>113</v>
      </c>
      <c r="E739">
        <v>3</v>
      </c>
      <c r="H739">
        <v>166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436"/>
        <v>14:51:04.570</v>
      </c>
      <c r="T739" t="str">
        <f t="shared" si="436"/>
        <v>14:51:04.570</v>
      </c>
      <c r="U739" t="str">
        <f t="shared" si="422"/>
        <v>ACC530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1</v>
      </c>
      <c r="AH739">
        <v>0</v>
      </c>
      <c r="AI739" t="s">
        <v>391</v>
      </c>
      <c r="AJ739">
        <v>34.223892999999997</v>
      </c>
      <c r="AK739" t="s">
        <v>392</v>
      </c>
      <c r="AL739">
        <v>-116.924679</v>
      </c>
      <c r="AM739">
        <v>100</v>
      </c>
      <c r="AN739">
        <v>9200</v>
      </c>
      <c r="AO739" t="s">
        <v>118</v>
      </c>
      <c r="AP739">
        <v>-81</v>
      </c>
      <c r="AQ739">
        <v>-40</v>
      </c>
      <c r="AR739">
        <v>448</v>
      </c>
      <c r="AZ739">
        <v>1200</v>
      </c>
      <c r="BA739">
        <v>1</v>
      </c>
      <c r="BB739" t="str">
        <f t="shared" si="423"/>
        <v xml:space="preserve">N9217B  </v>
      </c>
      <c r="BC739">
        <v>1</v>
      </c>
      <c r="BE739">
        <v>0</v>
      </c>
      <c r="BF739">
        <v>0</v>
      </c>
      <c r="BG739">
        <v>0</v>
      </c>
      <c r="BH739">
        <v>9250</v>
      </c>
      <c r="BI739">
        <v>1</v>
      </c>
      <c r="BJ739">
        <v>0</v>
      </c>
      <c r="BK739">
        <v>0</v>
      </c>
      <c r="BL739">
        <v>0</v>
      </c>
      <c r="BO739">
        <v>0</v>
      </c>
      <c r="BP739">
        <v>0</v>
      </c>
      <c r="BW739" t="str">
        <f t="shared" si="437"/>
        <v>14:51:04.571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293</v>
      </c>
      <c r="CR739">
        <v>1</v>
      </c>
      <c r="CW739">
        <v>15276408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25">
      <c r="A740" t="str">
        <f t="shared" si="435"/>
        <v>06/05/2020 14:50:58.903</v>
      </c>
      <c r="C740" t="str">
        <f t="shared" si="438"/>
        <v>FFDFD3C0</v>
      </c>
      <c r="D740" t="s">
        <v>134</v>
      </c>
      <c r="E740">
        <v>7</v>
      </c>
      <c r="F740">
        <v>2007</v>
      </c>
      <c r="G740" t="s">
        <v>135</v>
      </c>
      <c r="J740" t="s">
        <v>136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436"/>
        <v>14:51:04.570</v>
      </c>
      <c r="T740" t="str">
        <f t="shared" si="436"/>
        <v>14:51:04.570</v>
      </c>
      <c r="U740" t="str">
        <f t="shared" si="422"/>
        <v>ACC530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1</v>
      </c>
      <c r="AH740">
        <v>0</v>
      </c>
      <c r="AI740" t="s">
        <v>391</v>
      </c>
      <c r="AJ740">
        <v>34.223892999999997</v>
      </c>
      <c r="AK740" t="s">
        <v>392</v>
      </c>
      <c r="AL740">
        <v>-116.924679</v>
      </c>
      <c r="AM740">
        <v>100</v>
      </c>
      <c r="AN740">
        <v>9200</v>
      </c>
      <c r="AO740" t="s">
        <v>118</v>
      </c>
      <c r="AP740">
        <v>-81</v>
      </c>
      <c r="AQ740">
        <v>-40</v>
      </c>
      <c r="AR740">
        <v>448</v>
      </c>
      <c r="AZ740">
        <v>1200</v>
      </c>
      <c r="BA740">
        <v>1</v>
      </c>
      <c r="BB740" t="str">
        <f t="shared" si="423"/>
        <v xml:space="preserve">N9217B  </v>
      </c>
      <c r="BC740">
        <v>1</v>
      </c>
      <c r="BE740">
        <v>0</v>
      </c>
      <c r="BF740">
        <v>0</v>
      </c>
      <c r="BG740">
        <v>0</v>
      </c>
      <c r="BH740">
        <v>9250</v>
      </c>
      <c r="BI740">
        <v>1</v>
      </c>
      <c r="BJ740">
        <v>0</v>
      </c>
      <c r="BK740">
        <v>0</v>
      </c>
      <c r="BL740">
        <v>0</v>
      </c>
      <c r="BO740">
        <v>0</v>
      </c>
      <c r="BP740">
        <v>0</v>
      </c>
      <c r="BW740" t="str">
        <f t="shared" si="437"/>
        <v>14:51:04.571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293</v>
      </c>
      <c r="CR740">
        <v>1</v>
      </c>
      <c r="CW740">
        <v>15276408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25">
      <c r="A741" t="str">
        <f t="shared" si="435"/>
        <v>06/05/2020 14:50:58.903</v>
      </c>
      <c r="C741" t="str">
        <f t="shared" si="438"/>
        <v>FFDFD3C0</v>
      </c>
      <c r="D741" t="s">
        <v>143</v>
      </c>
      <c r="E741">
        <v>10</v>
      </c>
      <c r="F741">
        <v>3010</v>
      </c>
      <c r="G741" t="s">
        <v>144</v>
      </c>
      <c r="J741" t="s">
        <v>145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436"/>
        <v>14:51:04.570</v>
      </c>
      <c r="T741" t="str">
        <f t="shared" si="436"/>
        <v>14:51:04.570</v>
      </c>
      <c r="U741" t="str">
        <f t="shared" si="422"/>
        <v>ACC530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1</v>
      </c>
      <c r="AH741">
        <v>0</v>
      </c>
      <c r="AI741" t="s">
        <v>391</v>
      </c>
      <c r="AJ741">
        <v>34.223892999999997</v>
      </c>
      <c r="AK741" t="s">
        <v>392</v>
      </c>
      <c r="AL741">
        <v>-116.924679</v>
      </c>
      <c r="AM741">
        <v>100</v>
      </c>
      <c r="AN741">
        <v>9200</v>
      </c>
      <c r="AO741" t="s">
        <v>118</v>
      </c>
      <c r="AP741">
        <v>-81</v>
      </c>
      <c r="AQ741">
        <v>-40</v>
      </c>
      <c r="AR741">
        <v>448</v>
      </c>
      <c r="AZ741">
        <v>1200</v>
      </c>
      <c r="BA741">
        <v>1</v>
      </c>
      <c r="BB741" t="str">
        <f t="shared" si="423"/>
        <v xml:space="preserve">N9217B  </v>
      </c>
      <c r="BC741">
        <v>1</v>
      </c>
      <c r="BE741">
        <v>0</v>
      </c>
      <c r="BF741">
        <v>0</v>
      </c>
      <c r="BG741">
        <v>0</v>
      </c>
      <c r="BH741">
        <v>9250</v>
      </c>
      <c r="BI741">
        <v>1</v>
      </c>
      <c r="BJ741">
        <v>0</v>
      </c>
      <c r="BK741">
        <v>0</v>
      </c>
      <c r="BL741">
        <v>0</v>
      </c>
      <c r="BO741">
        <v>0</v>
      </c>
      <c r="BP741">
        <v>0</v>
      </c>
      <c r="BW741" t="str">
        <f t="shared" si="437"/>
        <v>14:51:04.571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293</v>
      </c>
      <c r="CR741">
        <v>1</v>
      </c>
      <c r="CW741">
        <v>15276408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25">
      <c r="A742" t="str">
        <f t="shared" si="435"/>
        <v>06/05/2020 14:50:58.903</v>
      </c>
      <c r="C742" t="str">
        <f t="shared" si="438"/>
        <v>FFDFD3C0</v>
      </c>
      <c r="D742" t="s">
        <v>151</v>
      </c>
      <c r="E742">
        <v>8</v>
      </c>
      <c r="H742">
        <v>225</v>
      </c>
      <c r="I742" t="s">
        <v>353</v>
      </c>
      <c r="J742" t="s">
        <v>150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436"/>
        <v>14:51:04.570</v>
      </c>
      <c r="T742" t="str">
        <f t="shared" si="436"/>
        <v>14:51:04.570</v>
      </c>
      <c r="U742" t="str">
        <f t="shared" si="422"/>
        <v>ACC530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1</v>
      </c>
      <c r="AH742">
        <v>0</v>
      </c>
      <c r="AI742" t="s">
        <v>391</v>
      </c>
      <c r="AJ742">
        <v>34.223892999999997</v>
      </c>
      <c r="AK742" t="s">
        <v>392</v>
      </c>
      <c r="AL742">
        <v>-116.924679</v>
      </c>
      <c r="AM742">
        <v>100</v>
      </c>
      <c r="AN742">
        <v>9200</v>
      </c>
      <c r="AO742" t="s">
        <v>118</v>
      </c>
      <c r="AP742">
        <v>-81</v>
      </c>
      <c r="AQ742">
        <v>-40</v>
      </c>
      <c r="AR742">
        <v>448</v>
      </c>
      <c r="AZ742">
        <v>1200</v>
      </c>
      <c r="BA742">
        <v>1</v>
      </c>
      <c r="BB742" t="str">
        <f t="shared" si="423"/>
        <v xml:space="preserve">N9217B  </v>
      </c>
      <c r="BC742">
        <v>1</v>
      </c>
      <c r="BE742">
        <v>0</v>
      </c>
      <c r="BF742">
        <v>0</v>
      </c>
      <c r="BG742">
        <v>0</v>
      </c>
      <c r="BH742">
        <v>9250</v>
      </c>
      <c r="BI742">
        <v>1</v>
      </c>
      <c r="BJ742">
        <v>0</v>
      </c>
      <c r="BK742">
        <v>0</v>
      </c>
      <c r="BL742">
        <v>0</v>
      </c>
      <c r="BO742">
        <v>0</v>
      </c>
      <c r="BP742">
        <v>0</v>
      </c>
      <c r="BW742" t="str">
        <f t="shared" si="437"/>
        <v>14:51:04.571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5</v>
      </c>
      <c r="CP742" t="s">
        <v>119</v>
      </c>
      <c r="CQ742">
        <v>285</v>
      </c>
      <c r="CR742">
        <v>0</v>
      </c>
      <c r="CW742">
        <v>8845000</v>
      </c>
      <c r="CY742">
        <v>0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25">
      <c r="A743" t="str">
        <f t="shared" si="435"/>
        <v>06/05/2020 14:50:58.903</v>
      </c>
      <c r="C743" t="str">
        <f t="shared" si="438"/>
        <v>FFDFD3C0</v>
      </c>
      <c r="D743" t="s">
        <v>151</v>
      </c>
      <c r="E743">
        <v>9</v>
      </c>
      <c r="H743">
        <v>226</v>
      </c>
      <c r="I743" t="s">
        <v>152</v>
      </c>
      <c r="J743" t="s">
        <v>150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436"/>
        <v>14:51:04.570</v>
      </c>
      <c r="T743" t="str">
        <f t="shared" si="436"/>
        <v>14:51:04.570</v>
      </c>
      <c r="U743" t="str">
        <f t="shared" si="422"/>
        <v>ACC530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1</v>
      </c>
      <c r="AH743">
        <v>0</v>
      </c>
      <c r="AI743" t="s">
        <v>391</v>
      </c>
      <c r="AJ743">
        <v>34.223892999999997</v>
      </c>
      <c r="AK743" t="s">
        <v>392</v>
      </c>
      <c r="AL743">
        <v>-116.924679</v>
      </c>
      <c r="AM743">
        <v>100</v>
      </c>
      <c r="AN743">
        <v>9200</v>
      </c>
      <c r="AO743" t="s">
        <v>118</v>
      </c>
      <c r="AP743">
        <v>-81</v>
      </c>
      <c r="AQ743">
        <v>-40</v>
      </c>
      <c r="AR743">
        <v>448</v>
      </c>
      <c r="AZ743">
        <v>1200</v>
      </c>
      <c r="BA743">
        <v>1</v>
      </c>
      <c r="BB743" t="str">
        <f t="shared" si="423"/>
        <v xml:space="preserve">N9217B  </v>
      </c>
      <c r="BC743">
        <v>1</v>
      </c>
      <c r="BE743">
        <v>0</v>
      </c>
      <c r="BF743">
        <v>0</v>
      </c>
      <c r="BG743">
        <v>0</v>
      </c>
      <c r="BH743">
        <v>9250</v>
      </c>
      <c r="BI743">
        <v>1</v>
      </c>
      <c r="BJ743">
        <v>0</v>
      </c>
      <c r="BK743">
        <v>0</v>
      </c>
      <c r="BL743">
        <v>0</v>
      </c>
      <c r="BO743">
        <v>0</v>
      </c>
      <c r="BP743">
        <v>0</v>
      </c>
      <c r="BW743" t="str">
        <f t="shared" si="437"/>
        <v>14:51:04.571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293</v>
      </c>
      <c r="CR743">
        <v>1</v>
      </c>
      <c r="CW743">
        <v>15276408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25">
      <c r="A744" t="str">
        <f t="shared" si="435"/>
        <v>06/05/2020 14:50:58.903</v>
      </c>
      <c r="C744" t="str">
        <f t="shared" si="438"/>
        <v>FFDFD3C0</v>
      </c>
      <c r="D744" t="s">
        <v>148</v>
      </c>
      <c r="E744">
        <v>8</v>
      </c>
      <c r="H744">
        <v>50</v>
      </c>
      <c r="I744" t="s">
        <v>149</v>
      </c>
      <c r="J744" t="s">
        <v>150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436"/>
        <v>14:51:04.570</v>
      </c>
      <c r="T744" t="str">
        <f t="shared" si="436"/>
        <v>14:51:04.570</v>
      </c>
      <c r="U744" t="str">
        <f t="shared" si="422"/>
        <v>ACC530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1</v>
      </c>
      <c r="AH744">
        <v>0</v>
      </c>
      <c r="AI744" t="s">
        <v>391</v>
      </c>
      <c r="AJ744">
        <v>34.223892999999997</v>
      </c>
      <c r="AK744" t="s">
        <v>392</v>
      </c>
      <c r="AL744">
        <v>-116.924679</v>
      </c>
      <c r="AM744">
        <v>100</v>
      </c>
      <c r="AN744">
        <v>9200</v>
      </c>
      <c r="AO744" t="s">
        <v>118</v>
      </c>
      <c r="AP744">
        <v>-81</v>
      </c>
      <c r="AQ744">
        <v>-40</v>
      </c>
      <c r="AR744">
        <v>448</v>
      </c>
      <c r="AZ744">
        <v>1200</v>
      </c>
      <c r="BA744">
        <v>1</v>
      </c>
      <c r="BB744" t="str">
        <f t="shared" si="423"/>
        <v xml:space="preserve">N9217B  </v>
      </c>
      <c r="BC744">
        <v>1</v>
      </c>
      <c r="BE744">
        <v>0</v>
      </c>
      <c r="BF744">
        <v>0</v>
      </c>
      <c r="BG744">
        <v>0</v>
      </c>
      <c r="BH744">
        <v>9250</v>
      </c>
      <c r="BI744">
        <v>1</v>
      </c>
      <c r="BJ744">
        <v>0</v>
      </c>
      <c r="BK744">
        <v>0</v>
      </c>
      <c r="BL744">
        <v>0</v>
      </c>
      <c r="BO744">
        <v>0</v>
      </c>
      <c r="BP744">
        <v>0</v>
      </c>
      <c r="BW744" t="str">
        <f t="shared" si="437"/>
        <v>14:51:04.571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293</v>
      </c>
      <c r="CR744">
        <v>1</v>
      </c>
      <c r="CW744">
        <v>15276408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25">
      <c r="A745" t="str">
        <f t="shared" ref="A745:A752" si="439">"06/05/2020 14:50:59.957"</f>
        <v>06/05/2020 14:50:59.957</v>
      </c>
      <c r="C745" t="str">
        <f t="shared" si="438"/>
        <v>FFDFD3C0</v>
      </c>
      <c r="D745" t="s">
        <v>148</v>
      </c>
      <c r="E745">
        <v>8</v>
      </c>
      <c r="H745">
        <v>50</v>
      </c>
      <c r="I745" t="s">
        <v>149</v>
      </c>
      <c r="J745" t="s">
        <v>150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ref="S745:S752" si="440">"14:51:05.617"</f>
        <v>14:51:05.617</v>
      </c>
      <c r="T745" t="str">
        <f t="shared" ref="T745:T752" si="441">"14:51:05.517"</f>
        <v>14:51:05.517</v>
      </c>
      <c r="U745" t="str">
        <f t="shared" si="422"/>
        <v>ACC530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1</v>
      </c>
      <c r="AH745">
        <v>0</v>
      </c>
      <c r="AI745" t="s">
        <v>393</v>
      </c>
      <c r="AJ745">
        <v>34.223700000000001</v>
      </c>
      <c r="AK745" t="s">
        <v>394</v>
      </c>
      <c r="AL745">
        <v>-116.92513</v>
      </c>
      <c r="AM745">
        <v>100</v>
      </c>
      <c r="AN745">
        <v>9200</v>
      </c>
      <c r="AO745" t="s">
        <v>118</v>
      </c>
      <c r="AP745">
        <v>-81</v>
      </c>
      <c r="AQ745">
        <v>-40</v>
      </c>
      <c r="AR745">
        <v>576</v>
      </c>
      <c r="AZ745">
        <v>1200</v>
      </c>
      <c r="BA745">
        <v>1</v>
      </c>
      <c r="BB745" t="str">
        <f t="shared" si="423"/>
        <v xml:space="preserve">N9217B  </v>
      </c>
      <c r="BC745">
        <v>1</v>
      </c>
      <c r="BE745">
        <v>0</v>
      </c>
      <c r="BF745">
        <v>0</v>
      </c>
      <c r="BG745">
        <v>0</v>
      </c>
      <c r="BH745">
        <v>9275</v>
      </c>
      <c r="BI745">
        <v>1</v>
      </c>
      <c r="BJ745">
        <v>0</v>
      </c>
      <c r="BK745">
        <v>0</v>
      </c>
      <c r="BL745">
        <v>0</v>
      </c>
      <c r="BO745">
        <v>0</v>
      </c>
      <c r="BP745">
        <v>0</v>
      </c>
      <c r="BW745" t="str">
        <f t="shared" ref="BW745:BW752" si="442">"14:51:05.621"</f>
        <v>14:51:05.621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293</v>
      </c>
      <c r="CR745">
        <v>1</v>
      </c>
      <c r="CW745">
        <v>15276534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25">
      <c r="A746" t="str">
        <f t="shared" si="439"/>
        <v>06/05/2020 14:50:59.957</v>
      </c>
      <c r="C746" t="str">
        <f t="shared" si="438"/>
        <v>FFDFD3C0</v>
      </c>
      <c r="D746" t="s">
        <v>141</v>
      </c>
      <c r="E746">
        <v>20</v>
      </c>
      <c r="F746">
        <v>1020</v>
      </c>
      <c r="G746" t="s">
        <v>114</v>
      </c>
      <c r="J746" t="s">
        <v>142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440"/>
        <v>14:51:05.617</v>
      </c>
      <c r="T746" t="str">
        <f t="shared" si="441"/>
        <v>14:51:05.517</v>
      </c>
      <c r="U746" t="str">
        <f t="shared" si="422"/>
        <v>ACC530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1</v>
      </c>
      <c r="AH746">
        <v>0</v>
      </c>
      <c r="AI746" t="s">
        <v>393</v>
      </c>
      <c r="AJ746">
        <v>34.223700000000001</v>
      </c>
      <c r="AK746" t="s">
        <v>394</v>
      </c>
      <c r="AL746">
        <v>-116.92513</v>
      </c>
      <c r="AM746">
        <v>100</v>
      </c>
      <c r="AN746">
        <v>9200</v>
      </c>
      <c r="AO746" t="s">
        <v>118</v>
      </c>
      <c r="AP746">
        <v>-81</v>
      </c>
      <c r="AQ746">
        <v>-40</v>
      </c>
      <c r="AR746">
        <v>576</v>
      </c>
      <c r="AZ746">
        <v>1200</v>
      </c>
      <c r="BA746">
        <v>1</v>
      </c>
      <c r="BB746" t="str">
        <f t="shared" si="423"/>
        <v xml:space="preserve">N9217B  </v>
      </c>
      <c r="BC746">
        <v>1</v>
      </c>
      <c r="BE746">
        <v>0</v>
      </c>
      <c r="BF746">
        <v>0</v>
      </c>
      <c r="BG746">
        <v>0</v>
      </c>
      <c r="BH746">
        <v>9275</v>
      </c>
      <c r="BI746">
        <v>1</v>
      </c>
      <c r="BJ746">
        <v>0</v>
      </c>
      <c r="BK746">
        <v>0</v>
      </c>
      <c r="BL746">
        <v>0</v>
      </c>
      <c r="BO746">
        <v>0</v>
      </c>
      <c r="BP746">
        <v>0</v>
      </c>
      <c r="BW746" t="str">
        <f t="shared" si="442"/>
        <v>14:51:05.621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293</v>
      </c>
      <c r="CR746">
        <v>1</v>
      </c>
      <c r="CW746">
        <v>15276534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25">
      <c r="A747" t="str">
        <f t="shared" si="439"/>
        <v>06/05/2020 14:50:59.957</v>
      </c>
      <c r="C747" t="str">
        <f t="shared" si="438"/>
        <v>FFDFD3C0</v>
      </c>
      <c r="D747" t="s">
        <v>134</v>
      </c>
      <c r="E747">
        <v>7</v>
      </c>
      <c r="F747">
        <v>2007</v>
      </c>
      <c r="G747" t="s">
        <v>135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440"/>
        <v>14:51:05.617</v>
      </c>
      <c r="T747" t="str">
        <f t="shared" si="441"/>
        <v>14:51:05.517</v>
      </c>
      <c r="U747" t="str">
        <f t="shared" si="422"/>
        <v>ACC530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1</v>
      </c>
      <c r="AH747">
        <v>0</v>
      </c>
      <c r="AI747" t="s">
        <v>393</v>
      </c>
      <c r="AJ747">
        <v>34.223700000000001</v>
      </c>
      <c r="AK747" t="s">
        <v>394</v>
      </c>
      <c r="AL747">
        <v>-116.92513</v>
      </c>
      <c r="AM747">
        <v>100</v>
      </c>
      <c r="AN747">
        <v>9200</v>
      </c>
      <c r="AO747" t="s">
        <v>118</v>
      </c>
      <c r="AP747">
        <v>-81</v>
      </c>
      <c r="AQ747">
        <v>-40</v>
      </c>
      <c r="AR747">
        <v>576</v>
      </c>
      <c r="AZ747">
        <v>1200</v>
      </c>
      <c r="BA747">
        <v>1</v>
      </c>
      <c r="BB747" t="str">
        <f t="shared" si="423"/>
        <v xml:space="preserve">N9217B  </v>
      </c>
      <c r="BC747">
        <v>1</v>
      </c>
      <c r="BE747">
        <v>0</v>
      </c>
      <c r="BF747">
        <v>0</v>
      </c>
      <c r="BG747">
        <v>0</v>
      </c>
      <c r="BH747">
        <v>9275</v>
      </c>
      <c r="BI747">
        <v>1</v>
      </c>
      <c r="BJ747">
        <v>0</v>
      </c>
      <c r="BK747">
        <v>0</v>
      </c>
      <c r="BL747">
        <v>0</v>
      </c>
      <c r="BO747">
        <v>0</v>
      </c>
      <c r="BP747">
        <v>0</v>
      </c>
      <c r="BW747" t="str">
        <f t="shared" si="442"/>
        <v>14:51:05.621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293</v>
      </c>
      <c r="CR747">
        <v>1</v>
      </c>
      <c r="CW747">
        <v>15276534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25">
      <c r="A748" t="str">
        <f t="shared" si="439"/>
        <v>06/05/2020 14:50:59.957</v>
      </c>
      <c r="C748" t="str">
        <f t="shared" si="438"/>
        <v>FFDFD3C0</v>
      </c>
      <c r="D748" t="s">
        <v>148</v>
      </c>
      <c r="E748">
        <v>11</v>
      </c>
      <c r="H748">
        <v>53</v>
      </c>
      <c r="I748" t="s">
        <v>364</v>
      </c>
      <c r="J748" t="s">
        <v>150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440"/>
        <v>14:51:05.617</v>
      </c>
      <c r="T748" t="str">
        <f t="shared" si="441"/>
        <v>14:51:05.517</v>
      </c>
      <c r="U748" t="str">
        <f t="shared" si="422"/>
        <v>ACC530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1</v>
      </c>
      <c r="AH748">
        <v>0</v>
      </c>
      <c r="AI748" t="s">
        <v>393</v>
      </c>
      <c r="AJ748">
        <v>34.223700000000001</v>
      </c>
      <c r="AK748" t="s">
        <v>394</v>
      </c>
      <c r="AL748">
        <v>-116.92513</v>
      </c>
      <c r="AM748">
        <v>100</v>
      </c>
      <c r="AN748">
        <v>9200</v>
      </c>
      <c r="AO748" t="s">
        <v>118</v>
      </c>
      <c r="AP748">
        <v>-81</v>
      </c>
      <c r="AQ748">
        <v>-40</v>
      </c>
      <c r="AR748">
        <v>576</v>
      </c>
      <c r="AZ748">
        <v>1200</v>
      </c>
      <c r="BA748">
        <v>1</v>
      </c>
      <c r="BB748" t="str">
        <f t="shared" si="423"/>
        <v xml:space="preserve">N9217B  </v>
      </c>
      <c r="BC748">
        <v>1</v>
      </c>
      <c r="BE748">
        <v>0</v>
      </c>
      <c r="BF748">
        <v>0</v>
      </c>
      <c r="BG748">
        <v>0</v>
      </c>
      <c r="BH748">
        <v>9275</v>
      </c>
      <c r="BI748">
        <v>1</v>
      </c>
      <c r="BJ748">
        <v>0</v>
      </c>
      <c r="BK748">
        <v>0</v>
      </c>
      <c r="BL748">
        <v>0</v>
      </c>
      <c r="BO748">
        <v>0</v>
      </c>
      <c r="BP748">
        <v>0</v>
      </c>
      <c r="BW748" t="str">
        <f t="shared" si="442"/>
        <v>14:51:05.621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293</v>
      </c>
      <c r="CR748">
        <v>1</v>
      </c>
      <c r="CW748">
        <v>15276534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25">
      <c r="A749" t="str">
        <f t="shared" si="439"/>
        <v>06/05/2020 14:50:59.957</v>
      </c>
      <c r="C749" t="str">
        <f t="shared" si="438"/>
        <v>FFDFD3C0</v>
      </c>
      <c r="D749" t="s">
        <v>143</v>
      </c>
      <c r="E749">
        <v>10</v>
      </c>
      <c r="F749">
        <v>3010</v>
      </c>
      <c r="G749" t="s">
        <v>144</v>
      </c>
      <c r="J749" t="s">
        <v>145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440"/>
        <v>14:51:05.617</v>
      </c>
      <c r="T749" t="str">
        <f t="shared" si="441"/>
        <v>14:51:05.517</v>
      </c>
      <c r="U749" t="str">
        <f t="shared" si="422"/>
        <v>ACC530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1</v>
      </c>
      <c r="AH749">
        <v>0</v>
      </c>
      <c r="AI749" t="s">
        <v>393</v>
      </c>
      <c r="AJ749">
        <v>34.223700000000001</v>
      </c>
      <c r="AK749" t="s">
        <v>394</v>
      </c>
      <c r="AL749">
        <v>-116.92513</v>
      </c>
      <c r="AM749">
        <v>100</v>
      </c>
      <c r="AN749">
        <v>9200</v>
      </c>
      <c r="AO749" t="s">
        <v>118</v>
      </c>
      <c r="AP749">
        <v>-81</v>
      </c>
      <c r="AQ749">
        <v>-40</v>
      </c>
      <c r="AR749">
        <v>576</v>
      </c>
      <c r="AZ749">
        <v>1200</v>
      </c>
      <c r="BA749">
        <v>1</v>
      </c>
      <c r="BB749" t="str">
        <f t="shared" si="423"/>
        <v xml:space="preserve">N9217B  </v>
      </c>
      <c r="BC749">
        <v>1</v>
      </c>
      <c r="BE749">
        <v>0</v>
      </c>
      <c r="BF749">
        <v>0</v>
      </c>
      <c r="BG749">
        <v>0</v>
      </c>
      <c r="BH749">
        <v>9275</v>
      </c>
      <c r="BI749">
        <v>1</v>
      </c>
      <c r="BJ749">
        <v>0</v>
      </c>
      <c r="BK749">
        <v>0</v>
      </c>
      <c r="BL749">
        <v>0</v>
      </c>
      <c r="BO749">
        <v>0</v>
      </c>
      <c r="BP749">
        <v>0</v>
      </c>
      <c r="BW749" t="str">
        <f t="shared" si="442"/>
        <v>14:51:05.621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293</v>
      </c>
      <c r="CR749">
        <v>1</v>
      </c>
      <c r="CW749">
        <v>15276534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25">
      <c r="A750" t="str">
        <f t="shared" si="439"/>
        <v>06/05/2020 14:50:59.957</v>
      </c>
      <c r="C750" t="str">
        <f t="shared" si="438"/>
        <v>FFDFD3C0</v>
      </c>
      <c r="D750" t="s">
        <v>113</v>
      </c>
      <c r="E750">
        <v>3</v>
      </c>
      <c r="H750">
        <v>166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440"/>
        <v>14:51:05.617</v>
      </c>
      <c r="T750" t="str">
        <f t="shared" si="441"/>
        <v>14:51:05.517</v>
      </c>
      <c r="U750" t="str">
        <f t="shared" si="422"/>
        <v>ACC530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1</v>
      </c>
      <c r="AH750">
        <v>0</v>
      </c>
      <c r="AI750" t="s">
        <v>393</v>
      </c>
      <c r="AJ750">
        <v>34.223700000000001</v>
      </c>
      <c r="AK750" t="s">
        <v>394</v>
      </c>
      <c r="AL750">
        <v>-116.92513</v>
      </c>
      <c r="AM750">
        <v>100</v>
      </c>
      <c r="AN750">
        <v>9200</v>
      </c>
      <c r="AO750" t="s">
        <v>118</v>
      </c>
      <c r="AP750">
        <v>-81</v>
      </c>
      <c r="AQ750">
        <v>-40</v>
      </c>
      <c r="AR750">
        <v>576</v>
      </c>
      <c r="AZ750">
        <v>1200</v>
      </c>
      <c r="BA750">
        <v>1</v>
      </c>
      <c r="BB750" t="str">
        <f t="shared" si="423"/>
        <v xml:space="preserve">N9217B  </v>
      </c>
      <c r="BC750">
        <v>1</v>
      </c>
      <c r="BE750">
        <v>0</v>
      </c>
      <c r="BF750">
        <v>0</v>
      </c>
      <c r="BG750">
        <v>0</v>
      </c>
      <c r="BH750">
        <v>9275</v>
      </c>
      <c r="BI750">
        <v>1</v>
      </c>
      <c r="BJ750">
        <v>0</v>
      </c>
      <c r="BK750">
        <v>0</v>
      </c>
      <c r="BL750">
        <v>0</v>
      </c>
      <c r="BO750">
        <v>0</v>
      </c>
      <c r="BP750">
        <v>0</v>
      </c>
      <c r="BW750" t="str">
        <f t="shared" si="442"/>
        <v>14:51:05.621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293</v>
      </c>
      <c r="CR750">
        <v>1</v>
      </c>
      <c r="CW750">
        <v>15276534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25">
      <c r="A751" t="str">
        <f t="shared" si="439"/>
        <v>06/05/2020 14:50:59.957</v>
      </c>
      <c r="C751" t="str">
        <f t="shared" si="438"/>
        <v>FFDFD3C0</v>
      </c>
      <c r="D751" t="s">
        <v>151</v>
      </c>
      <c r="E751">
        <v>8</v>
      </c>
      <c r="H751">
        <v>225</v>
      </c>
      <c r="I751" t="s">
        <v>353</v>
      </c>
      <c r="J751" t="s">
        <v>150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440"/>
        <v>14:51:05.617</v>
      </c>
      <c r="T751" t="str">
        <f t="shared" si="441"/>
        <v>14:51:05.517</v>
      </c>
      <c r="U751" t="str">
        <f t="shared" si="422"/>
        <v>ACC530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1</v>
      </c>
      <c r="AH751">
        <v>0</v>
      </c>
      <c r="AI751" t="s">
        <v>393</v>
      </c>
      <c r="AJ751">
        <v>34.223700000000001</v>
      </c>
      <c r="AK751" t="s">
        <v>394</v>
      </c>
      <c r="AL751">
        <v>-116.92513</v>
      </c>
      <c r="AM751">
        <v>100</v>
      </c>
      <c r="AN751">
        <v>9200</v>
      </c>
      <c r="AO751" t="s">
        <v>118</v>
      </c>
      <c r="AP751">
        <v>-81</v>
      </c>
      <c r="AQ751">
        <v>-40</v>
      </c>
      <c r="AR751">
        <v>576</v>
      </c>
      <c r="AZ751">
        <v>1200</v>
      </c>
      <c r="BA751">
        <v>1</v>
      </c>
      <c r="BB751" t="str">
        <f t="shared" si="423"/>
        <v xml:space="preserve">N9217B  </v>
      </c>
      <c r="BC751">
        <v>1</v>
      </c>
      <c r="BE751">
        <v>0</v>
      </c>
      <c r="BF751">
        <v>0</v>
      </c>
      <c r="BG751">
        <v>0</v>
      </c>
      <c r="BH751">
        <v>9275</v>
      </c>
      <c r="BI751">
        <v>1</v>
      </c>
      <c r="BJ751">
        <v>0</v>
      </c>
      <c r="BK751">
        <v>0</v>
      </c>
      <c r="BL751">
        <v>0</v>
      </c>
      <c r="BO751">
        <v>0</v>
      </c>
      <c r="BP751">
        <v>0</v>
      </c>
      <c r="BW751" t="str">
        <f t="shared" si="442"/>
        <v>14:51:05.621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6</v>
      </c>
      <c r="CP751" t="s">
        <v>119</v>
      </c>
      <c r="CQ751">
        <v>285</v>
      </c>
      <c r="CR751">
        <v>0</v>
      </c>
      <c r="CW751">
        <v>8845089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25">
      <c r="A752" t="str">
        <f t="shared" si="439"/>
        <v>06/05/2020 14:50:59.957</v>
      </c>
      <c r="C752" t="str">
        <f t="shared" si="438"/>
        <v>FFDFD3C0</v>
      </c>
      <c r="D752" t="s">
        <v>151</v>
      </c>
      <c r="E752">
        <v>9</v>
      </c>
      <c r="H752">
        <v>226</v>
      </c>
      <c r="I752" t="s">
        <v>152</v>
      </c>
      <c r="J752" t="s">
        <v>150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440"/>
        <v>14:51:05.617</v>
      </c>
      <c r="T752" t="str">
        <f t="shared" si="441"/>
        <v>14:51:05.517</v>
      </c>
      <c r="U752" t="str">
        <f t="shared" si="422"/>
        <v>ACC530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1</v>
      </c>
      <c r="AH752">
        <v>0</v>
      </c>
      <c r="AI752" t="s">
        <v>393</v>
      </c>
      <c r="AJ752">
        <v>34.223700000000001</v>
      </c>
      <c r="AK752" t="s">
        <v>394</v>
      </c>
      <c r="AL752">
        <v>-116.92513</v>
      </c>
      <c r="AM752">
        <v>100</v>
      </c>
      <c r="AN752">
        <v>9200</v>
      </c>
      <c r="AO752" t="s">
        <v>118</v>
      </c>
      <c r="AP752">
        <v>-81</v>
      </c>
      <c r="AQ752">
        <v>-40</v>
      </c>
      <c r="AR752">
        <v>576</v>
      </c>
      <c r="AZ752">
        <v>1200</v>
      </c>
      <c r="BA752">
        <v>1</v>
      </c>
      <c r="BB752" t="str">
        <f t="shared" si="423"/>
        <v xml:space="preserve">N9217B  </v>
      </c>
      <c r="BC752">
        <v>1</v>
      </c>
      <c r="BE752">
        <v>0</v>
      </c>
      <c r="BF752">
        <v>0</v>
      </c>
      <c r="BG752">
        <v>0</v>
      </c>
      <c r="BH752">
        <v>9275</v>
      </c>
      <c r="BI752">
        <v>1</v>
      </c>
      <c r="BJ752">
        <v>0</v>
      </c>
      <c r="BK752">
        <v>0</v>
      </c>
      <c r="BL752">
        <v>0</v>
      </c>
      <c r="BO752">
        <v>0</v>
      </c>
      <c r="BP752">
        <v>0</v>
      </c>
      <c r="BW752" t="str">
        <f t="shared" si="442"/>
        <v>14:51:05.621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293</v>
      </c>
      <c r="CR752">
        <v>1</v>
      </c>
      <c r="CW752">
        <v>15276534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25">
      <c r="A753" t="str">
        <f t="shared" ref="A753:A760" si="443">"06/05/2020 14:51:00.944"</f>
        <v>06/05/2020 14:51:00.944</v>
      </c>
      <c r="C753" t="str">
        <f t="shared" si="438"/>
        <v>FFDFD3C0</v>
      </c>
      <c r="D753" t="s">
        <v>143</v>
      </c>
      <c r="E753">
        <v>10</v>
      </c>
      <c r="F753">
        <v>3010</v>
      </c>
      <c r="G753" t="s">
        <v>144</v>
      </c>
      <c r="J753" t="s">
        <v>145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S760" si="444">"14:51:06.594"</f>
        <v>14:51:06.594</v>
      </c>
      <c r="T753" t="str">
        <f t="shared" ref="T753:T760" si="445">"14:51:06.394"</f>
        <v>14:51:06.394</v>
      </c>
      <c r="U753" t="str">
        <f t="shared" si="422"/>
        <v>ACC530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1</v>
      </c>
      <c r="AH753">
        <v>0</v>
      </c>
      <c r="AI753" t="s">
        <v>395</v>
      </c>
      <c r="AJ753">
        <v>34.223528000000002</v>
      </c>
      <c r="AK753" t="s">
        <v>396</v>
      </c>
      <c r="AL753">
        <v>-116.925602</v>
      </c>
      <c r="AM753">
        <v>100</v>
      </c>
      <c r="AN753">
        <v>9200</v>
      </c>
      <c r="AO753" t="s">
        <v>118</v>
      </c>
      <c r="AP753">
        <v>-81</v>
      </c>
      <c r="AQ753">
        <v>-40</v>
      </c>
      <c r="AR753">
        <v>576</v>
      </c>
      <c r="AZ753">
        <v>1200</v>
      </c>
      <c r="BA753">
        <v>1</v>
      </c>
      <c r="BB753" t="str">
        <f t="shared" si="423"/>
        <v xml:space="preserve">N9217B  </v>
      </c>
      <c r="BC753">
        <v>1</v>
      </c>
      <c r="BE753">
        <v>0</v>
      </c>
      <c r="BF753">
        <v>0</v>
      </c>
      <c r="BG753">
        <v>0</v>
      </c>
      <c r="BH753">
        <v>9275</v>
      </c>
      <c r="BI753">
        <v>1</v>
      </c>
      <c r="BJ753">
        <v>0</v>
      </c>
      <c r="BK753">
        <v>0</v>
      </c>
      <c r="BL753">
        <v>0</v>
      </c>
      <c r="BO753">
        <v>0</v>
      </c>
      <c r="BP753">
        <v>0</v>
      </c>
      <c r="BW753" t="str">
        <f t="shared" ref="BW753:BW760" si="446">"14:51:06.596"</f>
        <v>14:51:06.596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293</v>
      </c>
      <c r="CR753">
        <v>1</v>
      </c>
      <c r="CW753">
        <v>15276649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25">
      <c r="A754" t="str">
        <f t="shared" si="443"/>
        <v>06/05/2020 14:51:00.944</v>
      </c>
      <c r="C754" t="str">
        <f t="shared" si="438"/>
        <v>FFDFD3C0</v>
      </c>
      <c r="D754" t="s">
        <v>134</v>
      </c>
      <c r="E754">
        <v>7</v>
      </c>
      <c r="F754">
        <v>2007</v>
      </c>
      <c r="G754" t="s">
        <v>135</v>
      </c>
      <c r="J754" t="s">
        <v>136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444"/>
        <v>14:51:06.594</v>
      </c>
      <c r="T754" t="str">
        <f t="shared" si="445"/>
        <v>14:51:06.394</v>
      </c>
      <c r="U754" t="str">
        <f t="shared" si="422"/>
        <v>ACC530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1</v>
      </c>
      <c r="AH754">
        <v>0</v>
      </c>
      <c r="AI754" t="s">
        <v>395</v>
      </c>
      <c r="AJ754">
        <v>34.223528000000002</v>
      </c>
      <c r="AK754" t="s">
        <v>396</v>
      </c>
      <c r="AL754">
        <v>-116.925602</v>
      </c>
      <c r="AM754">
        <v>100</v>
      </c>
      <c r="AN754">
        <v>9200</v>
      </c>
      <c r="AO754" t="s">
        <v>118</v>
      </c>
      <c r="AP754">
        <v>-81</v>
      </c>
      <c r="AQ754">
        <v>-40</v>
      </c>
      <c r="AR754">
        <v>576</v>
      </c>
      <c r="AZ754">
        <v>1200</v>
      </c>
      <c r="BA754">
        <v>1</v>
      </c>
      <c r="BB754" t="str">
        <f t="shared" si="423"/>
        <v xml:space="preserve">N9217B  </v>
      </c>
      <c r="BC754">
        <v>1</v>
      </c>
      <c r="BE754">
        <v>0</v>
      </c>
      <c r="BF754">
        <v>0</v>
      </c>
      <c r="BG754">
        <v>0</v>
      </c>
      <c r="BH754">
        <v>9275</v>
      </c>
      <c r="BI754">
        <v>1</v>
      </c>
      <c r="BJ754">
        <v>0</v>
      </c>
      <c r="BK754">
        <v>0</v>
      </c>
      <c r="BL754">
        <v>0</v>
      </c>
      <c r="BO754">
        <v>0</v>
      </c>
      <c r="BP754">
        <v>0</v>
      </c>
      <c r="BW754" t="str">
        <f t="shared" si="446"/>
        <v>14:51:06.596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293</v>
      </c>
      <c r="CR754">
        <v>1</v>
      </c>
      <c r="CW754">
        <v>15276649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25">
      <c r="A755" t="str">
        <f t="shared" si="443"/>
        <v>06/05/2020 14:51:00.944</v>
      </c>
      <c r="C755" t="str">
        <f t="shared" si="438"/>
        <v>FFDFD3C0</v>
      </c>
      <c r="D755" t="s">
        <v>148</v>
      </c>
      <c r="E755">
        <v>11</v>
      </c>
      <c r="H755">
        <v>53</v>
      </c>
      <c r="I755" t="s">
        <v>364</v>
      </c>
      <c r="J755" t="s">
        <v>150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444"/>
        <v>14:51:06.594</v>
      </c>
      <c r="T755" t="str">
        <f t="shared" si="445"/>
        <v>14:51:06.394</v>
      </c>
      <c r="U755" t="str">
        <f t="shared" si="422"/>
        <v>ACC530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1</v>
      </c>
      <c r="AH755">
        <v>0</v>
      </c>
      <c r="AI755" t="s">
        <v>395</v>
      </c>
      <c r="AJ755">
        <v>34.223528000000002</v>
      </c>
      <c r="AK755" t="s">
        <v>396</v>
      </c>
      <c r="AL755">
        <v>-116.925602</v>
      </c>
      <c r="AM755">
        <v>100</v>
      </c>
      <c r="AN755">
        <v>9200</v>
      </c>
      <c r="AO755" t="s">
        <v>118</v>
      </c>
      <c r="AP755">
        <v>-81</v>
      </c>
      <c r="AQ755">
        <v>-40</v>
      </c>
      <c r="AR755">
        <v>576</v>
      </c>
      <c r="AZ755">
        <v>1200</v>
      </c>
      <c r="BA755">
        <v>1</v>
      </c>
      <c r="BB755" t="str">
        <f t="shared" si="423"/>
        <v xml:space="preserve">N9217B  </v>
      </c>
      <c r="BC755">
        <v>1</v>
      </c>
      <c r="BE755">
        <v>0</v>
      </c>
      <c r="BF755">
        <v>0</v>
      </c>
      <c r="BG755">
        <v>0</v>
      </c>
      <c r="BH755">
        <v>9275</v>
      </c>
      <c r="BI755">
        <v>1</v>
      </c>
      <c r="BJ755">
        <v>0</v>
      </c>
      <c r="BK755">
        <v>0</v>
      </c>
      <c r="BL755">
        <v>0</v>
      </c>
      <c r="BO755">
        <v>0</v>
      </c>
      <c r="BP755">
        <v>0</v>
      </c>
      <c r="BW755" t="str">
        <f t="shared" si="446"/>
        <v>14:51:06.596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293</v>
      </c>
      <c r="CR755">
        <v>1</v>
      </c>
      <c r="CW755">
        <v>15276649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25">
      <c r="A756" t="str">
        <f t="shared" si="443"/>
        <v>06/05/2020 14:51:00.944</v>
      </c>
      <c r="C756" t="str">
        <f t="shared" si="438"/>
        <v>FFDFD3C0</v>
      </c>
      <c r="D756" t="s">
        <v>113</v>
      </c>
      <c r="E756">
        <v>3</v>
      </c>
      <c r="H756">
        <v>166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444"/>
        <v>14:51:06.594</v>
      </c>
      <c r="T756" t="str">
        <f t="shared" si="445"/>
        <v>14:51:06.394</v>
      </c>
      <c r="U756" t="str">
        <f t="shared" si="422"/>
        <v>ACC530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1</v>
      </c>
      <c r="AH756">
        <v>0</v>
      </c>
      <c r="AI756" t="s">
        <v>395</v>
      </c>
      <c r="AJ756">
        <v>34.223528000000002</v>
      </c>
      <c r="AK756" t="s">
        <v>396</v>
      </c>
      <c r="AL756">
        <v>-116.925602</v>
      </c>
      <c r="AM756">
        <v>100</v>
      </c>
      <c r="AN756">
        <v>9200</v>
      </c>
      <c r="AO756" t="s">
        <v>118</v>
      </c>
      <c r="AP756">
        <v>-81</v>
      </c>
      <c r="AQ756">
        <v>-40</v>
      </c>
      <c r="AR756">
        <v>576</v>
      </c>
      <c r="AZ756">
        <v>1200</v>
      </c>
      <c r="BA756">
        <v>1</v>
      </c>
      <c r="BB756" t="str">
        <f t="shared" si="423"/>
        <v xml:space="preserve">N9217B  </v>
      </c>
      <c r="BC756">
        <v>1</v>
      </c>
      <c r="BE756">
        <v>0</v>
      </c>
      <c r="BF756">
        <v>0</v>
      </c>
      <c r="BG756">
        <v>0</v>
      </c>
      <c r="BH756">
        <v>9275</v>
      </c>
      <c r="BI756">
        <v>1</v>
      </c>
      <c r="BJ756">
        <v>0</v>
      </c>
      <c r="BK756">
        <v>0</v>
      </c>
      <c r="BL756">
        <v>0</v>
      </c>
      <c r="BO756">
        <v>0</v>
      </c>
      <c r="BP756">
        <v>0</v>
      </c>
      <c r="BW756" t="str">
        <f t="shared" si="446"/>
        <v>14:51:06.596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293</v>
      </c>
      <c r="CR756">
        <v>1</v>
      </c>
      <c r="CW756">
        <v>15276649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25">
      <c r="A757" t="str">
        <f t="shared" si="443"/>
        <v>06/05/2020 14:51:00.944</v>
      </c>
      <c r="C757" t="str">
        <f t="shared" si="438"/>
        <v>FFDFD3C0</v>
      </c>
      <c r="D757" t="s">
        <v>151</v>
      </c>
      <c r="E757">
        <v>8</v>
      </c>
      <c r="H757">
        <v>225</v>
      </c>
      <c r="I757" t="s">
        <v>353</v>
      </c>
      <c r="J757" t="s">
        <v>150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444"/>
        <v>14:51:06.594</v>
      </c>
      <c r="T757" t="str">
        <f t="shared" si="445"/>
        <v>14:51:06.394</v>
      </c>
      <c r="U757" t="str">
        <f t="shared" si="422"/>
        <v>ACC530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1</v>
      </c>
      <c r="AH757">
        <v>0</v>
      </c>
      <c r="AI757" t="s">
        <v>395</v>
      </c>
      <c r="AJ757">
        <v>34.223528000000002</v>
      </c>
      <c r="AK757" t="s">
        <v>396</v>
      </c>
      <c r="AL757">
        <v>-116.925602</v>
      </c>
      <c r="AM757">
        <v>100</v>
      </c>
      <c r="AN757">
        <v>9200</v>
      </c>
      <c r="AO757" t="s">
        <v>118</v>
      </c>
      <c r="AP757">
        <v>-81</v>
      </c>
      <c r="AQ757">
        <v>-40</v>
      </c>
      <c r="AR757">
        <v>576</v>
      </c>
      <c r="AZ757">
        <v>1200</v>
      </c>
      <c r="BA757">
        <v>1</v>
      </c>
      <c r="BB757" t="str">
        <f t="shared" si="423"/>
        <v xml:space="preserve">N9217B  </v>
      </c>
      <c r="BC757">
        <v>1</v>
      </c>
      <c r="BE757">
        <v>0</v>
      </c>
      <c r="BF757">
        <v>0</v>
      </c>
      <c r="BG757">
        <v>0</v>
      </c>
      <c r="BH757">
        <v>9275</v>
      </c>
      <c r="BI757">
        <v>1</v>
      </c>
      <c r="BJ757">
        <v>0</v>
      </c>
      <c r="BK757">
        <v>0</v>
      </c>
      <c r="BL757">
        <v>0</v>
      </c>
      <c r="BO757">
        <v>0</v>
      </c>
      <c r="BP757">
        <v>0</v>
      </c>
      <c r="BW757" t="str">
        <f t="shared" si="446"/>
        <v>14:51:06.596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285</v>
      </c>
      <c r="CR757">
        <v>0</v>
      </c>
      <c r="CW757">
        <v>8845171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25">
      <c r="A758" t="str">
        <f t="shared" si="443"/>
        <v>06/05/2020 14:51:00.944</v>
      </c>
      <c r="C758" t="str">
        <f t="shared" si="438"/>
        <v>FFDFD3C0</v>
      </c>
      <c r="D758" t="s">
        <v>151</v>
      </c>
      <c r="E758">
        <v>9</v>
      </c>
      <c r="H758">
        <v>226</v>
      </c>
      <c r="I758" t="s">
        <v>152</v>
      </c>
      <c r="J758" t="s">
        <v>150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444"/>
        <v>14:51:06.594</v>
      </c>
      <c r="T758" t="str">
        <f t="shared" si="445"/>
        <v>14:51:06.394</v>
      </c>
      <c r="U758" t="str">
        <f t="shared" si="422"/>
        <v>ACC530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1</v>
      </c>
      <c r="AH758">
        <v>0</v>
      </c>
      <c r="AI758" t="s">
        <v>395</v>
      </c>
      <c r="AJ758">
        <v>34.223528000000002</v>
      </c>
      <c r="AK758" t="s">
        <v>396</v>
      </c>
      <c r="AL758">
        <v>-116.925602</v>
      </c>
      <c r="AM758">
        <v>100</v>
      </c>
      <c r="AN758">
        <v>9200</v>
      </c>
      <c r="AO758" t="s">
        <v>118</v>
      </c>
      <c r="AP758">
        <v>-81</v>
      </c>
      <c r="AQ758">
        <v>-40</v>
      </c>
      <c r="AR758">
        <v>576</v>
      </c>
      <c r="AZ758">
        <v>1200</v>
      </c>
      <c r="BA758">
        <v>1</v>
      </c>
      <c r="BB758" t="str">
        <f t="shared" si="423"/>
        <v xml:space="preserve">N9217B  </v>
      </c>
      <c r="BC758">
        <v>1</v>
      </c>
      <c r="BE758">
        <v>0</v>
      </c>
      <c r="BF758">
        <v>0</v>
      </c>
      <c r="BG758">
        <v>0</v>
      </c>
      <c r="BH758">
        <v>9275</v>
      </c>
      <c r="BI758">
        <v>1</v>
      </c>
      <c r="BJ758">
        <v>0</v>
      </c>
      <c r="BK758">
        <v>0</v>
      </c>
      <c r="BL758">
        <v>0</v>
      </c>
      <c r="BO758">
        <v>0</v>
      </c>
      <c r="BP758">
        <v>0</v>
      </c>
      <c r="BW758" t="str">
        <f t="shared" si="446"/>
        <v>14:51:06.596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293</v>
      </c>
      <c r="CR758">
        <v>1</v>
      </c>
      <c r="CW758">
        <v>15276649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25">
      <c r="A759" t="str">
        <f t="shared" si="443"/>
        <v>06/05/2020 14:51:00.944</v>
      </c>
      <c r="C759" t="str">
        <f t="shared" si="438"/>
        <v>FFDFD3C0</v>
      </c>
      <c r="D759" t="s">
        <v>148</v>
      </c>
      <c r="E759">
        <v>8</v>
      </c>
      <c r="H759">
        <v>50</v>
      </c>
      <c r="I759" t="s">
        <v>149</v>
      </c>
      <c r="J759" t="s">
        <v>150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444"/>
        <v>14:51:06.594</v>
      </c>
      <c r="T759" t="str">
        <f t="shared" si="445"/>
        <v>14:51:06.394</v>
      </c>
      <c r="U759" t="str">
        <f t="shared" si="422"/>
        <v>ACC530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1</v>
      </c>
      <c r="AH759">
        <v>0</v>
      </c>
      <c r="AI759" t="s">
        <v>395</v>
      </c>
      <c r="AJ759">
        <v>34.223528000000002</v>
      </c>
      <c r="AK759" t="s">
        <v>396</v>
      </c>
      <c r="AL759">
        <v>-116.925602</v>
      </c>
      <c r="AM759">
        <v>100</v>
      </c>
      <c r="AN759">
        <v>9200</v>
      </c>
      <c r="AO759" t="s">
        <v>118</v>
      </c>
      <c r="AP759">
        <v>-81</v>
      </c>
      <c r="AQ759">
        <v>-40</v>
      </c>
      <c r="AR759">
        <v>576</v>
      </c>
      <c r="AZ759">
        <v>1200</v>
      </c>
      <c r="BA759">
        <v>1</v>
      </c>
      <c r="BB759" t="str">
        <f t="shared" si="423"/>
        <v xml:space="preserve">N9217B  </v>
      </c>
      <c r="BC759">
        <v>1</v>
      </c>
      <c r="BE759">
        <v>0</v>
      </c>
      <c r="BF759">
        <v>0</v>
      </c>
      <c r="BG759">
        <v>0</v>
      </c>
      <c r="BH759">
        <v>9275</v>
      </c>
      <c r="BI759">
        <v>1</v>
      </c>
      <c r="BJ759">
        <v>0</v>
      </c>
      <c r="BK759">
        <v>0</v>
      </c>
      <c r="BL759">
        <v>0</v>
      </c>
      <c r="BO759">
        <v>0</v>
      </c>
      <c r="BP759">
        <v>0</v>
      </c>
      <c r="BW759" t="str">
        <f t="shared" si="446"/>
        <v>14:51:06.596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293</v>
      </c>
      <c r="CR759">
        <v>1</v>
      </c>
      <c r="CW759">
        <v>15276649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25">
      <c r="A760" t="str">
        <f t="shared" si="443"/>
        <v>06/05/2020 14:51:00.944</v>
      </c>
      <c r="C760" t="str">
        <f t="shared" si="438"/>
        <v>FFDFD3C0</v>
      </c>
      <c r="D760" t="s">
        <v>141</v>
      </c>
      <c r="E760">
        <v>20</v>
      </c>
      <c r="F760">
        <v>1020</v>
      </c>
      <c r="G760" t="s">
        <v>114</v>
      </c>
      <c r="J760" t="s">
        <v>142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444"/>
        <v>14:51:06.594</v>
      </c>
      <c r="T760" t="str">
        <f t="shared" si="445"/>
        <v>14:51:06.394</v>
      </c>
      <c r="U760" t="str">
        <f t="shared" si="422"/>
        <v>ACC530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1</v>
      </c>
      <c r="AH760">
        <v>0</v>
      </c>
      <c r="AI760" t="s">
        <v>395</v>
      </c>
      <c r="AJ760">
        <v>34.223528000000002</v>
      </c>
      <c r="AK760" t="s">
        <v>396</v>
      </c>
      <c r="AL760">
        <v>-116.925602</v>
      </c>
      <c r="AM760">
        <v>100</v>
      </c>
      <c r="AN760">
        <v>9200</v>
      </c>
      <c r="AO760" t="s">
        <v>118</v>
      </c>
      <c r="AP760">
        <v>-81</v>
      </c>
      <c r="AQ760">
        <v>-40</v>
      </c>
      <c r="AR760">
        <v>576</v>
      </c>
      <c r="AZ760">
        <v>1200</v>
      </c>
      <c r="BA760">
        <v>1</v>
      </c>
      <c r="BB760" t="str">
        <f t="shared" si="423"/>
        <v xml:space="preserve">N9217B  </v>
      </c>
      <c r="BC760">
        <v>1</v>
      </c>
      <c r="BE760">
        <v>0</v>
      </c>
      <c r="BF760">
        <v>0</v>
      </c>
      <c r="BG760">
        <v>0</v>
      </c>
      <c r="BH760">
        <v>9275</v>
      </c>
      <c r="BI760">
        <v>1</v>
      </c>
      <c r="BJ760">
        <v>0</v>
      </c>
      <c r="BK760">
        <v>0</v>
      </c>
      <c r="BL760">
        <v>0</v>
      </c>
      <c r="BO760">
        <v>0</v>
      </c>
      <c r="BP760">
        <v>0</v>
      </c>
      <c r="BW760" t="str">
        <f t="shared" si="446"/>
        <v>14:51:06.596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293</v>
      </c>
      <c r="CR760">
        <v>1</v>
      </c>
      <c r="CW760">
        <v>15276649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25">
      <c r="A761" t="str">
        <f t="shared" ref="A761:A768" si="447">"06/05/2020 14:51:01.897"</f>
        <v>06/05/2020 14:51:01.897</v>
      </c>
      <c r="C761" t="str">
        <f t="shared" si="438"/>
        <v>FFDFD3C0</v>
      </c>
      <c r="D761" t="s">
        <v>143</v>
      </c>
      <c r="E761">
        <v>10</v>
      </c>
      <c r="F761">
        <v>3010</v>
      </c>
      <c r="G761" t="s">
        <v>144</v>
      </c>
      <c r="J761" t="s">
        <v>145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ref="S761:S768" si="448">"14:51:07.539"</f>
        <v>14:51:07.539</v>
      </c>
      <c r="T761" t="str">
        <f t="shared" ref="T761:T768" si="449">"14:51:07.439"</f>
        <v>14:51:07.439</v>
      </c>
      <c r="U761" t="str">
        <f t="shared" si="422"/>
        <v>ACC530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1</v>
      </c>
      <c r="AH761">
        <v>0</v>
      </c>
      <c r="AI761" t="s">
        <v>397</v>
      </c>
      <c r="AJ761">
        <v>34.223334999999999</v>
      </c>
      <c r="AK761" t="s">
        <v>398</v>
      </c>
      <c r="AL761">
        <v>-116.92601000000001</v>
      </c>
      <c r="AM761">
        <v>100</v>
      </c>
      <c r="AN761">
        <v>9200</v>
      </c>
      <c r="AO761" t="s">
        <v>118</v>
      </c>
      <c r="AP761">
        <v>-80</v>
      </c>
      <c r="AQ761">
        <v>-41</v>
      </c>
      <c r="AR761">
        <v>384</v>
      </c>
      <c r="AZ761">
        <v>1200</v>
      </c>
      <c r="BA761">
        <v>1</v>
      </c>
      <c r="BB761" t="str">
        <f t="shared" si="423"/>
        <v xml:space="preserve">N9217B  </v>
      </c>
      <c r="BC761">
        <v>1</v>
      </c>
      <c r="BE761">
        <v>0</v>
      </c>
      <c r="BF761">
        <v>0</v>
      </c>
      <c r="BG761">
        <v>0</v>
      </c>
      <c r="BH761">
        <v>9300</v>
      </c>
      <c r="BI761">
        <v>1</v>
      </c>
      <c r="BJ761">
        <v>0</v>
      </c>
      <c r="BK761">
        <v>0</v>
      </c>
      <c r="BL761">
        <v>0</v>
      </c>
      <c r="BO761">
        <v>0</v>
      </c>
      <c r="BP761">
        <v>0</v>
      </c>
      <c r="BW761" t="str">
        <f t="shared" ref="BW761:BW768" si="450">"14:51:07.541"</f>
        <v>14:51:07.541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293</v>
      </c>
      <c r="CR761">
        <v>1</v>
      </c>
      <c r="CW761">
        <v>15276755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25">
      <c r="A762" t="str">
        <f t="shared" si="447"/>
        <v>06/05/2020 14:51:01.897</v>
      </c>
      <c r="C762" t="str">
        <f t="shared" si="438"/>
        <v>FFDFD3C0</v>
      </c>
      <c r="D762" t="s">
        <v>134</v>
      </c>
      <c r="E762">
        <v>7</v>
      </c>
      <c r="F762">
        <v>2007</v>
      </c>
      <c r="G762" t="s">
        <v>135</v>
      </c>
      <c r="J762" t="s">
        <v>136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448"/>
        <v>14:51:07.539</v>
      </c>
      <c r="T762" t="str">
        <f t="shared" si="449"/>
        <v>14:51:07.439</v>
      </c>
      <c r="U762" t="str">
        <f t="shared" si="422"/>
        <v>ACC530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1</v>
      </c>
      <c r="AH762">
        <v>0</v>
      </c>
      <c r="AI762" t="s">
        <v>397</v>
      </c>
      <c r="AJ762">
        <v>34.223334999999999</v>
      </c>
      <c r="AK762" t="s">
        <v>398</v>
      </c>
      <c r="AL762">
        <v>-116.92601000000001</v>
      </c>
      <c r="AM762">
        <v>100</v>
      </c>
      <c r="AN762">
        <v>9200</v>
      </c>
      <c r="AO762" t="s">
        <v>118</v>
      </c>
      <c r="AP762">
        <v>-80</v>
      </c>
      <c r="AQ762">
        <v>-41</v>
      </c>
      <c r="AR762">
        <v>384</v>
      </c>
      <c r="AZ762">
        <v>1200</v>
      </c>
      <c r="BA762">
        <v>1</v>
      </c>
      <c r="BB762" t="str">
        <f t="shared" si="423"/>
        <v xml:space="preserve">N9217B  </v>
      </c>
      <c r="BC762">
        <v>1</v>
      </c>
      <c r="BE762">
        <v>0</v>
      </c>
      <c r="BF762">
        <v>0</v>
      </c>
      <c r="BG762">
        <v>0</v>
      </c>
      <c r="BH762">
        <v>9300</v>
      </c>
      <c r="BI762">
        <v>1</v>
      </c>
      <c r="BJ762">
        <v>0</v>
      </c>
      <c r="BK762">
        <v>0</v>
      </c>
      <c r="BL762">
        <v>0</v>
      </c>
      <c r="BO762">
        <v>0</v>
      </c>
      <c r="BP762">
        <v>0</v>
      </c>
      <c r="BW762" t="str">
        <f t="shared" si="450"/>
        <v>14:51:07.541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293</v>
      </c>
      <c r="CR762">
        <v>1</v>
      </c>
      <c r="CW762">
        <v>15276755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25">
      <c r="A763" t="str">
        <f t="shared" si="447"/>
        <v>06/05/2020 14:51:01.897</v>
      </c>
      <c r="C763" t="str">
        <f t="shared" si="438"/>
        <v>FFDFD3C0</v>
      </c>
      <c r="D763" t="s">
        <v>113</v>
      </c>
      <c r="E763">
        <v>3</v>
      </c>
      <c r="H763">
        <v>166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448"/>
        <v>14:51:07.539</v>
      </c>
      <c r="T763" t="str">
        <f t="shared" si="449"/>
        <v>14:51:07.439</v>
      </c>
      <c r="U763" t="str">
        <f t="shared" si="422"/>
        <v>ACC530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1</v>
      </c>
      <c r="AH763">
        <v>0</v>
      </c>
      <c r="AI763" t="s">
        <v>397</v>
      </c>
      <c r="AJ763">
        <v>34.223334999999999</v>
      </c>
      <c r="AK763" t="s">
        <v>398</v>
      </c>
      <c r="AL763">
        <v>-116.92601000000001</v>
      </c>
      <c r="AM763">
        <v>100</v>
      </c>
      <c r="AN763">
        <v>9200</v>
      </c>
      <c r="AO763" t="s">
        <v>118</v>
      </c>
      <c r="AP763">
        <v>-80</v>
      </c>
      <c r="AQ763">
        <v>-41</v>
      </c>
      <c r="AR763">
        <v>384</v>
      </c>
      <c r="AZ763">
        <v>1200</v>
      </c>
      <c r="BA763">
        <v>1</v>
      </c>
      <c r="BB763" t="str">
        <f t="shared" si="423"/>
        <v xml:space="preserve">N9217B  </v>
      </c>
      <c r="BC763">
        <v>1</v>
      </c>
      <c r="BE763">
        <v>0</v>
      </c>
      <c r="BF763">
        <v>0</v>
      </c>
      <c r="BG763">
        <v>0</v>
      </c>
      <c r="BH763">
        <v>9300</v>
      </c>
      <c r="BI763">
        <v>1</v>
      </c>
      <c r="BJ763">
        <v>0</v>
      </c>
      <c r="BK763">
        <v>0</v>
      </c>
      <c r="BL763">
        <v>0</v>
      </c>
      <c r="BO763">
        <v>0</v>
      </c>
      <c r="BP763">
        <v>0</v>
      </c>
      <c r="BW763" t="str">
        <f t="shared" si="450"/>
        <v>14:51:07.541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293</v>
      </c>
      <c r="CR763">
        <v>1</v>
      </c>
      <c r="CW763">
        <v>15276755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25">
      <c r="A764" t="str">
        <f t="shared" si="447"/>
        <v>06/05/2020 14:51:01.897</v>
      </c>
      <c r="C764" t="str">
        <f t="shared" si="438"/>
        <v>FFDFD3C0</v>
      </c>
      <c r="D764" t="s">
        <v>148</v>
      </c>
      <c r="E764">
        <v>11</v>
      </c>
      <c r="H764">
        <v>53</v>
      </c>
      <c r="I764" t="s">
        <v>364</v>
      </c>
      <c r="J764" t="s">
        <v>150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448"/>
        <v>14:51:07.539</v>
      </c>
      <c r="T764" t="str">
        <f t="shared" si="449"/>
        <v>14:51:07.439</v>
      </c>
      <c r="U764" t="str">
        <f t="shared" si="422"/>
        <v>ACC530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1</v>
      </c>
      <c r="AH764">
        <v>0</v>
      </c>
      <c r="AI764" t="s">
        <v>397</v>
      </c>
      <c r="AJ764">
        <v>34.223334999999999</v>
      </c>
      <c r="AK764" t="s">
        <v>398</v>
      </c>
      <c r="AL764">
        <v>-116.92601000000001</v>
      </c>
      <c r="AM764">
        <v>100</v>
      </c>
      <c r="AN764">
        <v>9200</v>
      </c>
      <c r="AO764" t="s">
        <v>118</v>
      </c>
      <c r="AP764">
        <v>-80</v>
      </c>
      <c r="AQ764">
        <v>-41</v>
      </c>
      <c r="AR764">
        <v>384</v>
      </c>
      <c r="AZ764">
        <v>1200</v>
      </c>
      <c r="BA764">
        <v>1</v>
      </c>
      <c r="BB764" t="str">
        <f t="shared" si="423"/>
        <v xml:space="preserve">N9217B  </v>
      </c>
      <c r="BC764">
        <v>1</v>
      </c>
      <c r="BE764">
        <v>0</v>
      </c>
      <c r="BF764">
        <v>0</v>
      </c>
      <c r="BG764">
        <v>0</v>
      </c>
      <c r="BH764">
        <v>9300</v>
      </c>
      <c r="BI764">
        <v>1</v>
      </c>
      <c r="BJ764">
        <v>0</v>
      </c>
      <c r="BK764">
        <v>0</v>
      </c>
      <c r="BL764">
        <v>0</v>
      </c>
      <c r="BO764">
        <v>0</v>
      </c>
      <c r="BP764">
        <v>0</v>
      </c>
      <c r="BW764" t="str">
        <f t="shared" si="450"/>
        <v>14:51:07.541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293</v>
      </c>
      <c r="CR764">
        <v>1</v>
      </c>
      <c r="CW764">
        <v>15276755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25">
      <c r="A765" t="str">
        <f t="shared" si="447"/>
        <v>06/05/2020 14:51:01.897</v>
      </c>
      <c r="C765" t="str">
        <f t="shared" si="438"/>
        <v>FFDFD3C0</v>
      </c>
      <c r="D765" t="s">
        <v>151</v>
      </c>
      <c r="E765">
        <v>8</v>
      </c>
      <c r="H765">
        <v>225</v>
      </c>
      <c r="I765" t="s">
        <v>353</v>
      </c>
      <c r="J765" t="s">
        <v>150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448"/>
        <v>14:51:07.539</v>
      </c>
      <c r="T765" t="str">
        <f t="shared" si="449"/>
        <v>14:51:07.439</v>
      </c>
      <c r="U765" t="str">
        <f t="shared" si="422"/>
        <v>ACC530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1</v>
      </c>
      <c r="AH765">
        <v>0</v>
      </c>
      <c r="AI765" t="s">
        <v>397</v>
      </c>
      <c r="AJ765">
        <v>34.223334999999999</v>
      </c>
      <c r="AK765" t="s">
        <v>398</v>
      </c>
      <c r="AL765">
        <v>-116.92601000000001</v>
      </c>
      <c r="AM765">
        <v>100</v>
      </c>
      <c r="AN765">
        <v>9200</v>
      </c>
      <c r="AO765" t="s">
        <v>118</v>
      </c>
      <c r="AP765">
        <v>-80</v>
      </c>
      <c r="AQ765">
        <v>-41</v>
      </c>
      <c r="AR765">
        <v>384</v>
      </c>
      <c r="AZ765">
        <v>1200</v>
      </c>
      <c r="BA765">
        <v>1</v>
      </c>
      <c r="BB765" t="str">
        <f t="shared" si="423"/>
        <v xml:space="preserve">N9217B  </v>
      </c>
      <c r="BC765">
        <v>1</v>
      </c>
      <c r="BE765">
        <v>0</v>
      </c>
      <c r="BF765">
        <v>0</v>
      </c>
      <c r="BG765">
        <v>0</v>
      </c>
      <c r="BH765">
        <v>9300</v>
      </c>
      <c r="BI765">
        <v>1</v>
      </c>
      <c r="BJ765">
        <v>0</v>
      </c>
      <c r="BK765">
        <v>0</v>
      </c>
      <c r="BL765">
        <v>0</v>
      </c>
      <c r="BO765">
        <v>0</v>
      </c>
      <c r="BP765">
        <v>0</v>
      </c>
      <c r="BW765" t="str">
        <f t="shared" si="450"/>
        <v>14:51:07.541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119</v>
      </c>
      <c r="CQ765">
        <v>285</v>
      </c>
      <c r="CR765">
        <v>0</v>
      </c>
      <c r="CW765">
        <v>8845248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25">
      <c r="A766" t="str">
        <f t="shared" si="447"/>
        <v>06/05/2020 14:51:01.897</v>
      </c>
      <c r="C766" t="str">
        <f t="shared" si="438"/>
        <v>FFDFD3C0</v>
      </c>
      <c r="D766" t="s">
        <v>151</v>
      </c>
      <c r="E766">
        <v>9</v>
      </c>
      <c r="H766">
        <v>226</v>
      </c>
      <c r="I766" t="s">
        <v>152</v>
      </c>
      <c r="J766" t="s">
        <v>150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448"/>
        <v>14:51:07.539</v>
      </c>
      <c r="T766" t="str">
        <f t="shared" si="449"/>
        <v>14:51:07.439</v>
      </c>
      <c r="U766" t="str">
        <f t="shared" si="422"/>
        <v>ACC530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1</v>
      </c>
      <c r="AH766">
        <v>0</v>
      </c>
      <c r="AI766" t="s">
        <v>397</v>
      </c>
      <c r="AJ766">
        <v>34.223334999999999</v>
      </c>
      <c r="AK766" t="s">
        <v>398</v>
      </c>
      <c r="AL766">
        <v>-116.92601000000001</v>
      </c>
      <c r="AM766">
        <v>100</v>
      </c>
      <c r="AN766">
        <v>9200</v>
      </c>
      <c r="AO766" t="s">
        <v>118</v>
      </c>
      <c r="AP766">
        <v>-80</v>
      </c>
      <c r="AQ766">
        <v>-41</v>
      </c>
      <c r="AR766">
        <v>384</v>
      </c>
      <c r="AZ766">
        <v>1200</v>
      </c>
      <c r="BA766">
        <v>1</v>
      </c>
      <c r="BB766" t="str">
        <f t="shared" si="423"/>
        <v xml:space="preserve">N9217B  </v>
      </c>
      <c r="BC766">
        <v>1</v>
      </c>
      <c r="BE766">
        <v>0</v>
      </c>
      <c r="BF766">
        <v>0</v>
      </c>
      <c r="BG766">
        <v>0</v>
      </c>
      <c r="BH766">
        <v>9300</v>
      </c>
      <c r="BI766">
        <v>1</v>
      </c>
      <c r="BJ766">
        <v>0</v>
      </c>
      <c r="BK766">
        <v>0</v>
      </c>
      <c r="BL766">
        <v>0</v>
      </c>
      <c r="BO766">
        <v>0</v>
      </c>
      <c r="BP766">
        <v>0</v>
      </c>
      <c r="BW766" t="str">
        <f t="shared" si="450"/>
        <v>14:51:07.541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293</v>
      </c>
      <c r="CR766">
        <v>1</v>
      </c>
      <c r="CW766">
        <v>15276755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25">
      <c r="A767" t="str">
        <f t="shared" si="447"/>
        <v>06/05/2020 14:51:01.897</v>
      </c>
      <c r="C767" t="str">
        <f t="shared" si="438"/>
        <v>FFDFD3C0</v>
      </c>
      <c r="D767" t="s">
        <v>141</v>
      </c>
      <c r="E767">
        <v>20</v>
      </c>
      <c r="F767">
        <v>1020</v>
      </c>
      <c r="G767" t="s">
        <v>114</v>
      </c>
      <c r="J767" t="s">
        <v>142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448"/>
        <v>14:51:07.539</v>
      </c>
      <c r="T767" t="str">
        <f t="shared" si="449"/>
        <v>14:51:07.439</v>
      </c>
      <c r="U767" t="str">
        <f t="shared" si="422"/>
        <v>ACC530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1</v>
      </c>
      <c r="AH767">
        <v>0</v>
      </c>
      <c r="AI767" t="s">
        <v>397</v>
      </c>
      <c r="AJ767">
        <v>34.223334999999999</v>
      </c>
      <c r="AK767" t="s">
        <v>398</v>
      </c>
      <c r="AL767">
        <v>-116.92601000000001</v>
      </c>
      <c r="AM767">
        <v>100</v>
      </c>
      <c r="AN767">
        <v>9200</v>
      </c>
      <c r="AO767" t="s">
        <v>118</v>
      </c>
      <c r="AP767">
        <v>-80</v>
      </c>
      <c r="AQ767">
        <v>-41</v>
      </c>
      <c r="AR767">
        <v>384</v>
      </c>
      <c r="AZ767">
        <v>1200</v>
      </c>
      <c r="BA767">
        <v>1</v>
      </c>
      <c r="BB767" t="str">
        <f t="shared" si="423"/>
        <v xml:space="preserve">N9217B  </v>
      </c>
      <c r="BC767">
        <v>1</v>
      </c>
      <c r="BE767">
        <v>0</v>
      </c>
      <c r="BF767">
        <v>0</v>
      </c>
      <c r="BG767">
        <v>0</v>
      </c>
      <c r="BH767">
        <v>9300</v>
      </c>
      <c r="BI767">
        <v>1</v>
      </c>
      <c r="BJ767">
        <v>0</v>
      </c>
      <c r="BK767">
        <v>0</v>
      </c>
      <c r="BL767">
        <v>0</v>
      </c>
      <c r="BO767">
        <v>0</v>
      </c>
      <c r="BP767">
        <v>0</v>
      </c>
      <c r="BW767" t="str">
        <f t="shared" si="450"/>
        <v>14:51:07.541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293</v>
      </c>
      <c r="CR767">
        <v>1</v>
      </c>
      <c r="CW767">
        <v>15276755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25">
      <c r="A768" t="str">
        <f t="shared" si="447"/>
        <v>06/05/2020 14:51:01.897</v>
      </c>
      <c r="C768" t="str">
        <f t="shared" si="438"/>
        <v>FFDFD3C0</v>
      </c>
      <c r="D768" t="s">
        <v>148</v>
      </c>
      <c r="E768">
        <v>8</v>
      </c>
      <c r="H768">
        <v>50</v>
      </c>
      <c r="I768" t="s">
        <v>149</v>
      </c>
      <c r="J768" t="s">
        <v>150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448"/>
        <v>14:51:07.539</v>
      </c>
      <c r="T768" t="str">
        <f t="shared" si="449"/>
        <v>14:51:07.439</v>
      </c>
      <c r="U768" t="str">
        <f t="shared" si="422"/>
        <v>ACC530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1</v>
      </c>
      <c r="AH768">
        <v>0</v>
      </c>
      <c r="AI768" t="s">
        <v>397</v>
      </c>
      <c r="AJ768">
        <v>34.223334999999999</v>
      </c>
      <c r="AK768" t="s">
        <v>398</v>
      </c>
      <c r="AL768">
        <v>-116.92601000000001</v>
      </c>
      <c r="AM768">
        <v>100</v>
      </c>
      <c r="AN768">
        <v>9200</v>
      </c>
      <c r="AO768" t="s">
        <v>118</v>
      </c>
      <c r="AP768">
        <v>-80</v>
      </c>
      <c r="AQ768">
        <v>-41</v>
      </c>
      <c r="AR768">
        <v>384</v>
      </c>
      <c r="AZ768">
        <v>1200</v>
      </c>
      <c r="BA768">
        <v>1</v>
      </c>
      <c r="BB768" t="str">
        <f t="shared" si="423"/>
        <v xml:space="preserve">N9217B  </v>
      </c>
      <c r="BC768">
        <v>1</v>
      </c>
      <c r="BE768">
        <v>0</v>
      </c>
      <c r="BF768">
        <v>0</v>
      </c>
      <c r="BG768">
        <v>0</v>
      </c>
      <c r="BH768">
        <v>9300</v>
      </c>
      <c r="BI768">
        <v>1</v>
      </c>
      <c r="BJ768">
        <v>0</v>
      </c>
      <c r="BK768">
        <v>0</v>
      </c>
      <c r="BL768">
        <v>0</v>
      </c>
      <c r="BO768">
        <v>0</v>
      </c>
      <c r="BP768">
        <v>0</v>
      </c>
      <c r="BW768" t="str">
        <f t="shared" si="450"/>
        <v>14:51:07.541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293</v>
      </c>
      <c r="CR768">
        <v>1</v>
      </c>
      <c r="CW768">
        <v>15276755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25">
      <c r="A769" t="str">
        <f t="shared" ref="A769:A776" si="451">"06/05/2020 14:51:03.035"</f>
        <v>06/05/2020 14:51:03.035</v>
      </c>
      <c r="C769" t="str">
        <f t="shared" si="438"/>
        <v>FFDFD3C0</v>
      </c>
      <c r="D769" t="s">
        <v>141</v>
      </c>
      <c r="E769">
        <v>20</v>
      </c>
      <c r="F769">
        <v>1020</v>
      </c>
      <c r="G769" t="s">
        <v>114</v>
      </c>
      <c r="J769" t="s">
        <v>142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ref="S769:S776" si="452">"14:51:08.695"</f>
        <v>14:51:08.695</v>
      </c>
      <c r="T769" t="str">
        <f t="shared" ref="T769:T776" si="453">"14:51:08.495"</f>
        <v>14:51:08.495</v>
      </c>
      <c r="U769" t="str">
        <f t="shared" si="422"/>
        <v>ACC530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1</v>
      </c>
      <c r="AH769">
        <v>0</v>
      </c>
      <c r="AI769" t="s">
        <v>399</v>
      </c>
      <c r="AJ769">
        <v>34.223120000000002</v>
      </c>
      <c r="AK769" t="s">
        <v>400</v>
      </c>
      <c r="AL769">
        <v>-116.926525</v>
      </c>
      <c r="AM769">
        <v>100</v>
      </c>
      <c r="AN769">
        <v>9200</v>
      </c>
      <c r="AO769" t="s">
        <v>118</v>
      </c>
      <c r="AP769">
        <v>-81</v>
      </c>
      <c r="AQ769">
        <v>-41</v>
      </c>
      <c r="AR769">
        <v>320</v>
      </c>
      <c r="AZ769">
        <v>1200</v>
      </c>
      <c r="BA769">
        <v>1</v>
      </c>
      <c r="BB769" t="str">
        <f t="shared" si="423"/>
        <v xml:space="preserve">N9217B  </v>
      </c>
      <c r="BC769">
        <v>1</v>
      </c>
      <c r="BE769">
        <v>0</v>
      </c>
      <c r="BF769">
        <v>0</v>
      </c>
      <c r="BG769">
        <v>0</v>
      </c>
      <c r="BH769">
        <v>9300</v>
      </c>
      <c r="BI769">
        <v>1</v>
      </c>
      <c r="BJ769">
        <v>0</v>
      </c>
      <c r="BK769">
        <v>0</v>
      </c>
      <c r="BL769">
        <v>0</v>
      </c>
      <c r="BO769">
        <v>0</v>
      </c>
      <c r="BP769">
        <v>0</v>
      </c>
      <c r="BW769" t="str">
        <f t="shared" ref="BW769:BW776" si="454">"14:51:08.695"</f>
        <v>14:51:08.695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293</v>
      </c>
      <c r="CR769">
        <v>2</v>
      </c>
      <c r="CW769">
        <v>15276893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25">
      <c r="A770" t="str">
        <f t="shared" si="451"/>
        <v>06/05/2020 14:51:03.035</v>
      </c>
      <c r="C770" t="str">
        <f t="shared" si="438"/>
        <v>FFDFD3C0</v>
      </c>
      <c r="D770" t="s">
        <v>151</v>
      </c>
      <c r="E770">
        <v>9</v>
      </c>
      <c r="H770">
        <v>226</v>
      </c>
      <c r="I770" t="s">
        <v>152</v>
      </c>
      <c r="J770" t="s">
        <v>150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452"/>
        <v>14:51:08.695</v>
      </c>
      <c r="T770" t="str">
        <f t="shared" si="453"/>
        <v>14:51:08.495</v>
      </c>
      <c r="U770" t="str">
        <f t="shared" ref="U770:U833" si="455">"ACC530"</f>
        <v>ACC530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1</v>
      </c>
      <c r="AH770">
        <v>0</v>
      </c>
      <c r="AI770" t="s">
        <v>399</v>
      </c>
      <c r="AJ770">
        <v>34.223120000000002</v>
      </c>
      <c r="AK770" t="s">
        <v>400</v>
      </c>
      <c r="AL770">
        <v>-116.926525</v>
      </c>
      <c r="AM770">
        <v>100</v>
      </c>
      <c r="AN770">
        <v>9200</v>
      </c>
      <c r="AO770" t="s">
        <v>118</v>
      </c>
      <c r="AP770">
        <v>-81</v>
      </c>
      <c r="AQ770">
        <v>-41</v>
      </c>
      <c r="AR770">
        <v>320</v>
      </c>
      <c r="AZ770">
        <v>1200</v>
      </c>
      <c r="BA770">
        <v>1</v>
      </c>
      <c r="BB770" t="str">
        <f t="shared" si="423"/>
        <v xml:space="preserve">N9217B  </v>
      </c>
      <c r="BC770">
        <v>1</v>
      </c>
      <c r="BE770">
        <v>0</v>
      </c>
      <c r="BF770">
        <v>0</v>
      </c>
      <c r="BG770">
        <v>0</v>
      </c>
      <c r="BH770">
        <v>9300</v>
      </c>
      <c r="BI770">
        <v>1</v>
      </c>
      <c r="BJ770">
        <v>0</v>
      </c>
      <c r="BK770">
        <v>0</v>
      </c>
      <c r="BL770">
        <v>0</v>
      </c>
      <c r="BO770">
        <v>0</v>
      </c>
      <c r="BP770">
        <v>0</v>
      </c>
      <c r="BW770" t="str">
        <f t="shared" si="454"/>
        <v>14:51:08.695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6</v>
      </c>
      <c r="CP770" t="s">
        <v>119</v>
      </c>
      <c r="CQ770">
        <v>293</v>
      </c>
      <c r="CR770">
        <v>2</v>
      </c>
      <c r="CW770">
        <v>15276893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25">
      <c r="A771" t="str">
        <f t="shared" si="451"/>
        <v>06/05/2020 14:51:03.035</v>
      </c>
      <c r="C771" t="str">
        <f t="shared" si="438"/>
        <v>FFDFD3C0</v>
      </c>
      <c r="D771" t="s">
        <v>151</v>
      </c>
      <c r="E771">
        <v>8</v>
      </c>
      <c r="H771">
        <v>225</v>
      </c>
      <c r="I771" t="s">
        <v>353</v>
      </c>
      <c r="J771" t="s">
        <v>150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452"/>
        <v>14:51:08.695</v>
      </c>
      <c r="T771" t="str">
        <f t="shared" si="453"/>
        <v>14:51:08.495</v>
      </c>
      <c r="U771" t="str">
        <f t="shared" si="455"/>
        <v>ACC530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1</v>
      </c>
      <c r="AH771">
        <v>0</v>
      </c>
      <c r="AI771" t="s">
        <v>399</v>
      </c>
      <c r="AJ771">
        <v>34.223120000000002</v>
      </c>
      <c r="AK771" t="s">
        <v>400</v>
      </c>
      <c r="AL771">
        <v>-116.926525</v>
      </c>
      <c r="AM771">
        <v>100</v>
      </c>
      <c r="AN771">
        <v>9200</v>
      </c>
      <c r="AO771" t="s">
        <v>118</v>
      </c>
      <c r="AP771">
        <v>-81</v>
      </c>
      <c r="AQ771">
        <v>-41</v>
      </c>
      <c r="AR771">
        <v>320</v>
      </c>
      <c r="AZ771">
        <v>1200</v>
      </c>
      <c r="BA771">
        <v>1</v>
      </c>
      <c r="BB771" t="str">
        <f t="shared" si="423"/>
        <v xml:space="preserve">N9217B  </v>
      </c>
      <c r="BC771">
        <v>1</v>
      </c>
      <c r="BE771">
        <v>0</v>
      </c>
      <c r="BF771">
        <v>0</v>
      </c>
      <c r="BG771">
        <v>0</v>
      </c>
      <c r="BH771">
        <v>9300</v>
      </c>
      <c r="BI771">
        <v>1</v>
      </c>
      <c r="BJ771">
        <v>0</v>
      </c>
      <c r="BK771">
        <v>0</v>
      </c>
      <c r="BL771">
        <v>0</v>
      </c>
      <c r="BO771">
        <v>0</v>
      </c>
      <c r="BP771">
        <v>0</v>
      </c>
      <c r="BW771" t="str">
        <f t="shared" si="454"/>
        <v>14:51:08.695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6</v>
      </c>
      <c r="CP771" t="s">
        <v>119</v>
      </c>
      <c r="CQ771">
        <v>285</v>
      </c>
      <c r="CR771">
        <v>0</v>
      </c>
      <c r="CW771">
        <v>8845342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25">
      <c r="A772" t="str">
        <f t="shared" si="451"/>
        <v>06/05/2020 14:51:03.035</v>
      </c>
      <c r="C772" t="str">
        <f t="shared" si="438"/>
        <v>FFDFD3C0</v>
      </c>
      <c r="D772" t="s">
        <v>148</v>
      </c>
      <c r="E772">
        <v>8</v>
      </c>
      <c r="H772">
        <v>50</v>
      </c>
      <c r="I772" t="s">
        <v>149</v>
      </c>
      <c r="J772" t="s">
        <v>150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452"/>
        <v>14:51:08.695</v>
      </c>
      <c r="T772" t="str">
        <f t="shared" si="453"/>
        <v>14:51:08.495</v>
      </c>
      <c r="U772" t="str">
        <f t="shared" si="455"/>
        <v>ACC530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1</v>
      </c>
      <c r="AH772">
        <v>0</v>
      </c>
      <c r="AI772" t="s">
        <v>399</v>
      </c>
      <c r="AJ772">
        <v>34.223120000000002</v>
      </c>
      <c r="AK772" t="s">
        <v>400</v>
      </c>
      <c r="AL772">
        <v>-116.926525</v>
      </c>
      <c r="AM772">
        <v>100</v>
      </c>
      <c r="AN772">
        <v>9200</v>
      </c>
      <c r="AO772" t="s">
        <v>118</v>
      </c>
      <c r="AP772">
        <v>-81</v>
      </c>
      <c r="AQ772">
        <v>-41</v>
      </c>
      <c r="AR772">
        <v>320</v>
      </c>
      <c r="AZ772">
        <v>1200</v>
      </c>
      <c r="BA772">
        <v>1</v>
      </c>
      <c r="BB772" t="str">
        <f t="shared" si="423"/>
        <v xml:space="preserve">N9217B  </v>
      </c>
      <c r="BC772">
        <v>1</v>
      </c>
      <c r="BE772">
        <v>0</v>
      </c>
      <c r="BF772">
        <v>0</v>
      </c>
      <c r="BG772">
        <v>0</v>
      </c>
      <c r="BH772">
        <v>9300</v>
      </c>
      <c r="BI772">
        <v>1</v>
      </c>
      <c r="BJ772">
        <v>0</v>
      </c>
      <c r="BK772">
        <v>0</v>
      </c>
      <c r="BL772">
        <v>0</v>
      </c>
      <c r="BO772">
        <v>0</v>
      </c>
      <c r="BP772">
        <v>0</v>
      </c>
      <c r="BW772" t="str">
        <f t="shared" si="454"/>
        <v>14:51:08.695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6</v>
      </c>
      <c r="CP772" t="s">
        <v>119</v>
      </c>
      <c r="CQ772">
        <v>293</v>
      </c>
      <c r="CR772">
        <v>2</v>
      </c>
      <c r="CW772">
        <v>15276893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25">
      <c r="A773" t="str">
        <f t="shared" si="451"/>
        <v>06/05/2020 14:51:03.035</v>
      </c>
      <c r="C773" t="str">
        <f t="shared" si="438"/>
        <v>FFDFD3C0</v>
      </c>
      <c r="D773" t="s">
        <v>143</v>
      </c>
      <c r="E773">
        <v>10</v>
      </c>
      <c r="F773">
        <v>3010</v>
      </c>
      <c r="G773" t="s">
        <v>144</v>
      </c>
      <c r="J773" t="s">
        <v>145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452"/>
        <v>14:51:08.695</v>
      </c>
      <c r="T773" t="str">
        <f t="shared" si="453"/>
        <v>14:51:08.495</v>
      </c>
      <c r="U773" t="str">
        <f t="shared" si="455"/>
        <v>ACC530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1</v>
      </c>
      <c r="AH773">
        <v>0</v>
      </c>
      <c r="AI773" t="s">
        <v>399</v>
      </c>
      <c r="AJ773">
        <v>34.223120000000002</v>
      </c>
      <c r="AK773" t="s">
        <v>400</v>
      </c>
      <c r="AL773">
        <v>-116.926525</v>
      </c>
      <c r="AM773">
        <v>100</v>
      </c>
      <c r="AN773">
        <v>9200</v>
      </c>
      <c r="AO773" t="s">
        <v>118</v>
      </c>
      <c r="AP773">
        <v>-81</v>
      </c>
      <c r="AQ773">
        <v>-41</v>
      </c>
      <c r="AR773">
        <v>320</v>
      </c>
      <c r="AZ773">
        <v>1200</v>
      </c>
      <c r="BA773">
        <v>1</v>
      </c>
      <c r="BB773" t="str">
        <f t="shared" ref="BB773:BB836" si="456">"N9217B  "</f>
        <v xml:space="preserve">N9217B  </v>
      </c>
      <c r="BC773">
        <v>1</v>
      </c>
      <c r="BE773">
        <v>0</v>
      </c>
      <c r="BF773">
        <v>0</v>
      </c>
      <c r="BG773">
        <v>0</v>
      </c>
      <c r="BH773">
        <v>9300</v>
      </c>
      <c r="BI773">
        <v>1</v>
      </c>
      <c r="BJ773">
        <v>0</v>
      </c>
      <c r="BK773">
        <v>0</v>
      </c>
      <c r="BL773">
        <v>0</v>
      </c>
      <c r="BO773">
        <v>0</v>
      </c>
      <c r="BP773">
        <v>0</v>
      </c>
      <c r="BW773" t="str">
        <f t="shared" si="454"/>
        <v>14:51:08.695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6</v>
      </c>
      <c r="CP773" t="s">
        <v>119</v>
      </c>
      <c r="CQ773">
        <v>293</v>
      </c>
      <c r="CR773">
        <v>2</v>
      </c>
      <c r="CW773">
        <v>15276893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25">
      <c r="A774" t="str">
        <f t="shared" si="451"/>
        <v>06/05/2020 14:51:03.035</v>
      </c>
      <c r="C774" t="str">
        <f t="shared" si="438"/>
        <v>FFDFD3C0</v>
      </c>
      <c r="D774" t="s">
        <v>134</v>
      </c>
      <c r="E774">
        <v>7</v>
      </c>
      <c r="F774">
        <v>2007</v>
      </c>
      <c r="G774" t="s">
        <v>135</v>
      </c>
      <c r="J774" t="s">
        <v>136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452"/>
        <v>14:51:08.695</v>
      </c>
      <c r="T774" t="str">
        <f t="shared" si="453"/>
        <v>14:51:08.495</v>
      </c>
      <c r="U774" t="str">
        <f t="shared" si="455"/>
        <v>ACC530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1</v>
      </c>
      <c r="AH774">
        <v>0</v>
      </c>
      <c r="AI774" t="s">
        <v>399</v>
      </c>
      <c r="AJ774">
        <v>34.223120000000002</v>
      </c>
      <c r="AK774" t="s">
        <v>400</v>
      </c>
      <c r="AL774">
        <v>-116.926525</v>
      </c>
      <c r="AM774">
        <v>100</v>
      </c>
      <c r="AN774">
        <v>9200</v>
      </c>
      <c r="AO774" t="s">
        <v>118</v>
      </c>
      <c r="AP774">
        <v>-81</v>
      </c>
      <c r="AQ774">
        <v>-41</v>
      </c>
      <c r="AR774">
        <v>320</v>
      </c>
      <c r="AZ774">
        <v>1200</v>
      </c>
      <c r="BA774">
        <v>1</v>
      </c>
      <c r="BB774" t="str">
        <f t="shared" si="456"/>
        <v xml:space="preserve">N9217B  </v>
      </c>
      <c r="BC774">
        <v>1</v>
      </c>
      <c r="BE774">
        <v>0</v>
      </c>
      <c r="BF774">
        <v>0</v>
      </c>
      <c r="BG774">
        <v>0</v>
      </c>
      <c r="BH774">
        <v>9300</v>
      </c>
      <c r="BI774">
        <v>1</v>
      </c>
      <c r="BJ774">
        <v>0</v>
      </c>
      <c r="BK774">
        <v>0</v>
      </c>
      <c r="BL774">
        <v>0</v>
      </c>
      <c r="BO774">
        <v>0</v>
      </c>
      <c r="BP774">
        <v>0</v>
      </c>
      <c r="BW774" t="str">
        <f t="shared" si="454"/>
        <v>14:51:08.695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6</v>
      </c>
      <c r="CP774" t="s">
        <v>119</v>
      </c>
      <c r="CQ774">
        <v>293</v>
      </c>
      <c r="CR774">
        <v>2</v>
      </c>
      <c r="CW774">
        <v>15276893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25">
      <c r="A775" t="str">
        <f t="shared" si="451"/>
        <v>06/05/2020 14:51:03.035</v>
      </c>
      <c r="C775" t="str">
        <f t="shared" si="438"/>
        <v>FFDFD3C0</v>
      </c>
      <c r="D775" t="s">
        <v>113</v>
      </c>
      <c r="E775">
        <v>3</v>
      </c>
      <c r="H775">
        <v>166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452"/>
        <v>14:51:08.695</v>
      </c>
      <c r="T775" t="str">
        <f t="shared" si="453"/>
        <v>14:51:08.495</v>
      </c>
      <c r="U775" t="str">
        <f t="shared" si="455"/>
        <v>ACC530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1</v>
      </c>
      <c r="AH775">
        <v>0</v>
      </c>
      <c r="AI775" t="s">
        <v>399</v>
      </c>
      <c r="AJ775">
        <v>34.223120000000002</v>
      </c>
      <c r="AK775" t="s">
        <v>400</v>
      </c>
      <c r="AL775">
        <v>-116.926525</v>
      </c>
      <c r="AM775">
        <v>100</v>
      </c>
      <c r="AN775">
        <v>9200</v>
      </c>
      <c r="AO775" t="s">
        <v>118</v>
      </c>
      <c r="AP775">
        <v>-81</v>
      </c>
      <c r="AQ775">
        <v>-41</v>
      </c>
      <c r="AR775">
        <v>320</v>
      </c>
      <c r="AZ775">
        <v>1200</v>
      </c>
      <c r="BA775">
        <v>1</v>
      </c>
      <c r="BB775" t="str">
        <f t="shared" si="456"/>
        <v xml:space="preserve">N9217B  </v>
      </c>
      <c r="BC775">
        <v>1</v>
      </c>
      <c r="BE775">
        <v>0</v>
      </c>
      <c r="BF775">
        <v>0</v>
      </c>
      <c r="BG775">
        <v>0</v>
      </c>
      <c r="BH775">
        <v>9300</v>
      </c>
      <c r="BI775">
        <v>1</v>
      </c>
      <c r="BJ775">
        <v>0</v>
      </c>
      <c r="BK775">
        <v>0</v>
      </c>
      <c r="BL775">
        <v>0</v>
      </c>
      <c r="BO775">
        <v>0</v>
      </c>
      <c r="BP775">
        <v>0</v>
      </c>
      <c r="BW775" t="str">
        <f t="shared" si="454"/>
        <v>14:51:08.695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6</v>
      </c>
      <c r="CP775" t="s">
        <v>119</v>
      </c>
      <c r="CQ775">
        <v>293</v>
      </c>
      <c r="CR775">
        <v>2</v>
      </c>
      <c r="CW775">
        <v>15276893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25">
      <c r="A776" t="str">
        <f t="shared" si="451"/>
        <v>06/05/2020 14:51:03.035</v>
      </c>
      <c r="C776" t="str">
        <f t="shared" si="438"/>
        <v>FFDFD3C0</v>
      </c>
      <c r="D776" t="s">
        <v>148</v>
      </c>
      <c r="E776">
        <v>11</v>
      </c>
      <c r="H776">
        <v>53</v>
      </c>
      <c r="I776" t="s">
        <v>364</v>
      </c>
      <c r="J776" t="s">
        <v>150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452"/>
        <v>14:51:08.695</v>
      </c>
      <c r="T776" t="str">
        <f t="shared" si="453"/>
        <v>14:51:08.495</v>
      </c>
      <c r="U776" t="str">
        <f t="shared" si="455"/>
        <v>ACC530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1</v>
      </c>
      <c r="AH776">
        <v>0</v>
      </c>
      <c r="AI776" t="s">
        <v>399</v>
      </c>
      <c r="AJ776">
        <v>34.223120000000002</v>
      </c>
      <c r="AK776" t="s">
        <v>400</v>
      </c>
      <c r="AL776">
        <v>-116.926525</v>
      </c>
      <c r="AM776">
        <v>100</v>
      </c>
      <c r="AN776">
        <v>9200</v>
      </c>
      <c r="AO776" t="s">
        <v>118</v>
      </c>
      <c r="AP776">
        <v>-81</v>
      </c>
      <c r="AQ776">
        <v>-41</v>
      </c>
      <c r="AR776">
        <v>320</v>
      </c>
      <c r="AZ776">
        <v>1200</v>
      </c>
      <c r="BA776">
        <v>1</v>
      </c>
      <c r="BB776" t="str">
        <f t="shared" si="456"/>
        <v xml:space="preserve">N9217B  </v>
      </c>
      <c r="BC776">
        <v>1</v>
      </c>
      <c r="BE776">
        <v>0</v>
      </c>
      <c r="BF776">
        <v>0</v>
      </c>
      <c r="BG776">
        <v>0</v>
      </c>
      <c r="BH776">
        <v>9300</v>
      </c>
      <c r="BI776">
        <v>1</v>
      </c>
      <c r="BJ776">
        <v>0</v>
      </c>
      <c r="BK776">
        <v>0</v>
      </c>
      <c r="BL776">
        <v>0</v>
      </c>
      <c r="BO776">
        <v>0</v>
      </c>
      <c r="BP776">
        <v>0</v>
      </c>
      <c r="BW776" t="str">
        <f t="shared" si="454"/>
        <v>14:51:08.695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6</v>
      </c>
      <c r="CP776" t="s">
        <v>119</v>
      </c>
      <c r="CQ776">
        <v>293</v>
      </c>
      <c r="CR776">
        <v>2</v>
      </c>
      <c r="CW776">
        <v>15276893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25">
      <c r="A777" t="str">
        <f t="shared" ref="A777:A784" si="457">"06/05/2020 14:51:04.073"</f>
        <v>06/05/2020 14:51:04.073</v>
      </c>
      <c r="C777" t="str">
        <f t="shared" si="438"/>
        <v>FFDFD3C0</v>
      </c>
      <c r="D777" t="s">
        <v>134</v>
      </c>
      <c r="E777">
        <v>7</v>
      </c>
      <c r="F777">
        <v>2007</v>
      </c>
      <c r="G777" t="s">
        <v>135</v>
      </c>
      <c r="J777" t="s">
        <v>136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ref="S777:S784" si="458">"14:51:09.711"</f>
        <v>14:51:09.711</v>
      </c>
      <c r="T777" t="str">
        <f t="shared" ref="T777:T784" si="459">"14:51:09.511"</f>
        <v>14:51:09.511</v>
      </c>
      <c r="U777" t="str">
        <f t="shared" si="455"/>
        <v>ACC530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1</v>
      </c>
      <c r="AH777">
        <v>0</v>
      </c>
      <c r="AI777" t="s">
        <v>401</v>
      </c>
      <c r="AJ777">
        <v>34.222969999999997</v>
      </c>
      <c r="AK777" t="s">
        <v>402</v>
      </c>
      <c r="AL777">
        <v>-116.926975</v>
      </c>
      <c r="AM777">
        <v>100</v>
      </c>
      <c r="AN777">
        <v>9200</v>
      </c>
      <c r="AO777" t="s">
        <v>118</v>
      </c>
      <c r="AP777">
        <v>-81</v>
      </c>
      <c r="AQ777">
        <v>-40</v>
      </c>
      <c r="AR777">
        <v>256</v>
      </c>
      <c r="AZ777">
        <v>1200</v>
      </c>
      <c r="BA777">
        <v>1</v>
      </c>
      <c r="BB777" t="str">
        <f t="shared" si="456"/>
        <v xml:space="preserve">N9217B  </v>
      </c>
      <c r="BC777">
        <v>1</v>
      </c>
      <c r="BE777">
        <v>0</v>
      </c>
      <c r="BF777">
        <v>0</v>
      </c>
      <c r="BG777">
        <v>0</v>
      </c>
      <c r="BH777">
        <v>9300</v>
      </c>
      <c r="BI777">
        <v>1</v>
      </c>
      <c r="BJ777">
        <v>0</v>
      </c>
      <c r="BK777">
        <v>0</v>
      </c>
      <c r="BL777">
        <v>0</v>
      </c>
      <c r="BO777">
        <v>0</v>
      </c>
      <c r="BP777">
        <v>0</v>
      </c>
      <c r="BW777" t="str">
        <f t="shared" ref="BW777:BW784" si="460">"14:51:09.715"</f>
        <v>14:51:09.715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293</v>
      </c>
      <c r="CR777">
        <v>1</v>
      </c>
      <c r="CW777">
        <v>15277006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25">
      <c r="A778" t="str">
        <f t="shared" si="457"/>
        <v>06/05/2020 14:51:04.073</v>
      </c>
      <c r="C778" t="str">
        <f t="shared" si="438"/>
        <v>FFDFD3C0</v>
      </c>
      <c r="D778" t="s">
        <v>113</v>
      </c>
      <c r="E778">
        <v>3</v>
      </c>
      <c r="H778">
        <v>166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458"/>
        <v>14:51:09.711</v>
      </c>
      <c r="T778" t="str">
        <f t="shared" si="459"/>
        <v>14:51:09.511</v>
      </c>
      <c r="U778" t="str">
        <f t="shared" si="455"/>
        <v>ACC530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1</v>
      </c>
      <c r="AH778">
        <v>0</v>
      </c>
      <c r="AI778" t="s">
        <v>401</v>
      </c>
      <c r="AJ778">
        <v>34.222969999999997</v>
      </c>
      <c r="AK778" t="s">
        <v>402</v>
      </c>
      <c r="AL778">
        <v>-116.926975</v>
      </c>
      <c r="AM778">
        <v>100</v>
      </c>
      <c r="AN778">
        <v>9200</v>
      </c>
      <c r="AO778" t="s">
        <v>118</v>
      </c>
      <c r="AP778">
        <v>-81</v>
      </c>
      <c r="AQ778">
        <v>-40</v>
      </c>
      <c r="AR778">
        <v>256</v>
      </c>
      <c r="AZ778">
        <v>1200</v>
      </c>
      <c r="BA778">
        <v>1</v>
      </c>
      <c r="BB778" t="str">
        <f t="shared" si="456"/>
        <v xml:space="preserve">N9217B  </v>
      </c>
      <c r="BC778">
        <v>1</v>
      </c>
      <c r="BE778">
        <v>0</v>
      </c>
      <c r="BF778">
        <v>0</v>
      </c>
      <c r="BG778">
        <v>0</v>
      </c>
      <c r="BH778">
        <v>9300</v>
      </c>
      <c r="BI778">
        <v>1</v>
      </c>
      <c r="BJ778">
        <v>0</v>
      </c>
      <c r="BK778">
        <v>0</v>
      </c>
      <c r="BL778">
        <v>0</v>
      </c>
      <c r="BO778">
        <v>0</v>
      </c>
      <c r="BP778">
        <v>0</v>
      </c>
      <c r="BW778" t="str">
        <f t="shared" si="460"/>
        <v>14:51:09.715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293</v>
      </c>
      <c r="CR778">
        <v>1</v>
      </c>
      <c r="CW778">
        <v>15277006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25">
      <c r="A779" t="str">
        <f t="shared" si="457"/>
        <v>06/05/2020 14:51:04.073</v>
      </c>
      <c r="C779" t="str">
        <f t="shared" si="438"/>
        <v>FFDFD3C0</v>
      </c>
      <c r="D779" t="s">
        <v>148</v>
      </c>
      <c r="E779">
        <v>11</v>
      </c>
      <c r="H779">
        <v>53</v>
      </c>
      <c r="I779" t="s">
        <v>364</v>
      </c>
      <c r="J779" t="s">
        <v>150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458"/>
        <v>14:51:09.711</v>
      </c>
      <c r="T779" t="str">
        <f t="shared" si="459"/>
        <v>14:51:09.511</v>
      </c>
      <c r="U779" t="str">
        <f t="shared" si="455"/>
        <v>ACC530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1</v>
      </c>
      <c r="AH779">
        <v>0</v>
      </c>
      <c r="AI779" t="s">
        <v>401</v>
      </c>
      <c r="AJ779">
        <v>34.222969999999997</v>
      </c>
      <c r="AK779" t="s">
        <v>402</v>
      </c>
      <c r="AL779">
        <v>-116.926975</v>
      </c>
      <c r="AM779">
        <v>100</v>
      </c>
      <c r="AN779">
        <v>9200</v>
      </c>
      <c r="AO779" t="s">
        <v>118</v>
      </c>
      <c r="AP779">
        <v>-81</v>
      </c>
      <c r="AQ779">
        <v>-40</v>
      </c>
      <c r="AR779">
        <v>256</v>
      </c>
      <c r="AZ779">
        <v>1200</v>
      </c>
      <c r="BA779">
        <v>1</v>
      </c>
      <c r="BB779" t="str">
        <f t="shared" si="456"/>
        <v xml:space="preserve">N9217B  </v>
      </c>
      <c r="BC779">
        <v>1</v>
      </c>
      <c r="BE779">
        <v>0</v>
      </c>
      <c r="BF779">
        <v>0</v>
      </c>
      <c r="BG779">
        <v>0</v>
      </c>
      <c r="BH779">
        <v>9300</v>
      </c>
      <c r="BI779">
        <v>1</v>
      </c>
      <c r="BJ779">
        <v>0</v>
      </c>
      <c r="BK779">
        <v>0</v>
      </c>
      <c r="BL779">
        <v>0</v>
      </c>
      <c r="BO779">
        <v>0</v>
      </c>
      <c r="BP779">
        <v>0</v>
      </c>
      <c r="BW779" t="str">
        <f t="shared" si="460"/>
        <v>14:51:09.715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293</v>
      </c>
      <c r="CR779">
        <v>1</v>
      </c>
      <c r="CW779">
        <v>15277006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25">
      <c r="A780" t="str">
        <f t="shared" si="457"/>
        <v>06/05/2020 14:51:04.073</v>
      </c>
      <c r="C780" t="str">
        <f t="shared" si="438"/>
        <v>FFDFD3C0</v>
      </c>
      <c r="D780" t="s">
        <v>141</v>
      </c>
      <c r="E780">
        <v>20</v>
      </c>
      <c r="F780">
        <v>1020</v>
      </c>
      <c r="G780" t="s">
        <v>114</v>
      </c>
      <c r="J780" t="s">
        <v>142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458"/>
        <v>14:51:09.711</v>
      </c>
      <c r="T780" t="str">
        <f t="shared" si="459"/>
        <v>14:51:09.511</v>
      </c>
      <c r="U780" t="str">
        <f t="shared" si="455"/>
        <v>ACC530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1</v>
      </c>
      <c r="AH780">
        <v>0</v>
      </c>
      <c r="AI780" t="s">
        <v>401</v>
      </c>
      <c r="AJ780">
        <v>34.222969999999997</v>
      </c>
      <c r="AK780" t="s">
        <v>402</v>
      </c>
      <c r="AL780">
        <v>-116.926975</v>
      </c>
      <c r="AM780">
        <v>100</v>
      </c>
      <c r="AN780">
        <v>9200</v>
      </c>
      <c r="AO780" t="s">
        <v>118</v>
      </c>
      <c r="AP780">
        <v>-81</v>
      </c>
      <c r="AQ780">
        <v>-40</v>
      </c>
      <c r="AR780">
        <v>256</v>
      </c>
      <c r="AZ780">
        <v>1200</v>
      </c>
      <c r="BA780">
        <v>1</v>
      </c>
      <c r="BB780" t="str">
        <f t="shared" si="456"/>
        <v xml:space="preserve">N9217B  </v>
      </c>
      <c r="BC780">
        <v>1</v>
      </c>
      <c r="BE780">
        <v>0</v>
      </c>
      <c r="BF780">
        <v>0</v>
      </c>
      <c r="BG780">
        <v>0</v>
      </c>
      <c r="BH780">
        <v>9300</v>
      </c>
      <c r="BI780">
        <v>1</v>
      </c>
      <c r="BJ780">
        <v>0</v>
      </c>
      <c r="BK780">
        <v>0</v>
      </c>
      <c r="BL780">
        <v>0</v>
      </c>
      <c r="BO780">
        <v>0</v>
      </c>
      <c r="BP780">
        <v>0</v>
      </c>
      <c r="BW780" t="str">
        <f t="shared" si="460"/>
        <v>14:51:09.715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293</v>
      </c>
      <c r="CR780">
        <v>1</v>
      </c>
      <c r="CW780">
        <v>15277006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25">
      <c r="A781" t="str">
        <f t="shared" si="457"/>
        <v>06/05/2020 14:51:04.073</v>
      </c>
      <c r="C781" t="str">
        <f t="shared" si="438"/>
        <v>FFDFD3C0</v>
      </c>
      <c r="D781" t="s">
        <v>151</v>
      </c>
      <c r="E781">
        <v>8</v>
      </c>
      <c r="H781">
        <v>225</v>
      </c>
      <c r="I781" t="s">
        <v>353</v>
      </c>
      <c r="J781" t="s">
        <v>150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458"/>
        <v>14:51:09.711</v>
      </c>
      <c r="T781" t="str">
        <f t="shared" si="459"/>
        <v>14:51:09.511</v>
      </c>
      <c r="U781" t="str">
        <f t="shared" si="455"/>
        <v>ACC530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1</v>
      </c>
      <c r="AH781">
        <v>0</v>
      </c>
      <c r="AI781" t="s">
        <v>401</v>
      </c>
      <c r="AJ781">
        <v>34.222969999999997</v>
      </c>
      <c r="AK781" t="s">
        <v>402</v>
      </c>
      <c r="AL781">
        <v>-116.926975</v>
      </c>
      <c r="AM781">
        <v>100</v>
      </c>
      <c r="AN781">
        <v>9200</v>
      </c>
      <c r="AO781" t="s">
        <v>118</v>
      </c>
      <c r="AP781">
        <v>-81</v>
      </c>
      <c r="AQ781">
        <v>-40</v>
      </c>
      <c r="AR781">
        <v>256</v>
      </c>
      <c r="AZ781">
        <v>1200</v>
      </c>
      <c r="BA781">
        <v>1</v>
      </c>
      <c r="BB781" t="str">
        <f t="shared" si="456"/>
        <v xml:space="preserve">N9217B  </v>
      </c>
      <c r="BC781">
        <v>1</v>
      </c>
      <c r="BE781">
        <v>0</v>
      </c>
      <c r="BF781">
        <v>0</v>
      </c>
      <c r="BG781">
        <v>0</v>
      </c>
      <c r="BH781">
        <v>9300</v>
      </c>
      <c r="BI781">
        <v>1</v>
      </c>
      <c r="BJ781">
        <v>0</v>
      </c>
      <c r="BK781">
        <v>0</v>
      </c>
      <c r="BL781">
        <v>0</v>
      </c>
      <c r="BO781">
        <v>0</v>
      </c>
      <c r="BP781">
        <v>0</v>
      </c>
      <c r="BW781" t="str">
        <f t="shared" si="460"/>
        <v>14:51:09.715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285</v>
      </c>
      <c r="CR781">
        <v>0</v>
      </c>
      <c r="CW781">
        <v>8845431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25">
      <c r="A782" t="str">
        <f t="shared" si="457"/>
        <v>06/05/2020 14:51:04.073</v>
      </c>
      <c r="C782" t="str">
        <f t="shared" si="438"/>
        <v>FFDFD3C0</v>
      </c>
      <c r="D782" t="s">
        <v>151</v>
      </c>
      <c r="E782">
        <v>9</v>
      </c>
      <c r="H782">
        <v>226</v>
      </c>
      <c r="I782" t="s">
        <v>152</v>
      </c>
      <c r="J782" t="s">
        <v>150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458"/>
        <v>14:51:09.711</v>
      </c>
      <c r="T782" t="str">
        <f t="shared" si="459"/>
        <v>14:51:09.511</v>
      </c>
      <c r="U782" t="str">
        <f t="shared" si="455"/>
        <v>ACC530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1</v>
      </c>
      <c r="AH782">
        <v>0</v>
      </c>
      <c r="AI782" t="s">
        <v>401</v>
      </c>
      <c r="AJ782">
        <v>34.222969999999997</v>
      </c>
      <c r="AK782" t="s">
        <v>402</v>
      </c>
      <c r="AL782">
        <v>-116.926975</v>
      </c>
      <c r="AM782">
        <v>100</v>
      </c>
      <c r="AN782">
        <v>9200</v>
      </c>
      <c r="AO782" t="s">
        <v>118</v>
      </c>
      <c r="AP782">
        <v>-81</v>
      </c>
      <c r="AQ782">
        <v>-40</v>
      </c>
      <c r="AR782">
        <v>256</v>
      </c>
      <c r="AZ782">
        <v>1200</v>
      </c>
      <c r="BA782">
        <v>1</v>
      </c>
      <c r="BB782" t="str">
        <f t="shared" si="456"/>
        <v xml:space="preserve">N9217B  </v>
      </c>
      <c r="BC782">
        <v>1</v>
      </c>
      <c r="BE782">
        <v>0</v>
      </c>
      <c r="BF782">
        <v>0</v>
      </c>
      <c r="BG782">
        <v>0</v>
      </c>
      <c r="BH782">
        <v>9300</v>
      </c>
      <c r="BI782">
        <v>1</v>
      </c>
      <c r="BJ782">
        <v>0</v>
      </c>
      <c r="BK782">
        <v>0</v>
      </c>
      <c r="BL782">
        <v>0</v>
      </c>
      <c r="BO782">
        <v>0</v>
      </c>
      <c r="BP782">
        <v>0</v>
      </c>
      <c r="BW782" t="str">
        <f t="shared" si="460"/>
        <v>14:51:09.715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293</v>
      </c>
      <c r="CR782">
        <v>1</v>
      </c>
      <c r="CW782">
        <v>15277006</v>
      </c>
      <c r="CY782">
        <v>0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25">
      <c r="A783" t="str">
        <f t="shared" si="457"/>
        <v>06/05/2020 14:51:04.073</v>
      </c>
      <c r="C783" t="str">
        <f t="shared" si="438"/>
        <v>FFDFD3C0</v>
      </c>
      <c r="D783" t="s">
        <v>148</v>
      </c>
      <c r="E783">
        <v>8</v>
      </c>
      <c r="H783">
        <v>50</v>
      </c>
      <c r="I783" t="s">
        <v>149</v>
      </c>
      <c r="J783" t="s">
        <v>150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458"/>
        <v>14:51:09.711</v>
      </c>
      <c r="T783" t="str">
        <f t="shared" si="459"/>
        <v>14:51:09.511</v>
      </c>
      <c r="U783" t="str">
        <f t="shared" si="455"/>
        <v>ACC530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1</v>
      </c>
      <c r="AH783">
        <v>0</v>
      </c>
      <c r="AI783" t="s">
        <v>401</v>
      </c>
      <c r="AJ783">
        <v>34.222969999999997</v>
      </c>
      <c r="AK783" t="s">
        <v>402</v>
      </c>
      <c r="AL783">
        <v>-116.926975</v>
      </c>
      <c r="AM783">
        <v>100</v>
      </c>
      <c r="AN783">
        <v>9200</v>
      </c>
      <c r="AO783" t="s">
        <v>118</v>
      </c>
      <c r="AP783">
        <v>-81</v>
      </c>
      <c r="AQ783">
        <v>-40</v>
      </c>
      <c r="AR783">
        <v>256</v>
      </c>
      <c r="AZ783">
        <v>1200</v>
      </c>
      <c r="BA783">
        <v>1</v>
      </c>
      <c r="BB783" t="str">
        <f t="shared" si="456"/>
        <v xml:space="preserve">N9217B  </v>
      </c>
      <c r="BC783">
        <v>1</v>
      </c>
      <c r="BE783">
        <v>0</v>
      </c>
      <c r="BF783">
        <v>0</v>
      </c>
      <c r="BG783">
        <v>0</v>
      </c>
      <c r="BH783">
        <v>9300</v>
      </c>
      <c r="BI783">
        <v>1</v>
      </c>
      <c r="BJ783">
        <v>0</v>
      </c>
      <c r="BK783">
        <v>0</v>
      </c>
      <c r="BL783">
        <v>0</v>
      </c>
      <c r="BO783">
        <v>0</v>
      </c>
      <c r="BP783">
        <v>0</v>
      </c>
      <c r="BW783" t="str">
        <f t="shared" si="460"/>
        <v>14:51:09.715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293</v>
      </c>
      <c r="CR783">
        <v>1</v>
      </c>
      <c r="CW783">
        <v>15277006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25">
      <c r="A784" t="str">
        <f t="shared" si="457"/>
        <v>06/05/2020 14:51:04.073</v>
      </c>
      <c r="C784" t="str">
        <f t="shared" si="438"/>
        <v>FFDFD3C0</v>
      </c>
      <c r="D784" t="s">
        <v>143</v>
      </c>
      <c r="E784">
        <v>10</v>
      </c>
      <c r="F784">
        <v>3010</v>
      </c>
      <c r="G784" t="s">
        <v>144</v>
      </c>
      <c r="J784" t="s">
        <v>145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458"/>
        <v>14:51:09.711</v>
      </c>
      <c r="T784" t="str">
        <f t="shared" si="459"/>
        <v>14:51:09.511</v>
      </c>
      <c r="U784" t="str">
        <f t="shared" si="455"/>
        <v>ACC530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1</v>
      </c>
      <c r="AH784">
        <v>0</v>
      </c>
      <c r="AI784" t="s">
        <v>401</v>
      </c>
      <c r="AJ784">
        <v>34.222969999999997</v>
      </c>
      <c r="AK784" t="s">
        <v>402</v>
      </c>
      <c r="AL784">
        <v>-116.926975</v>
      </c>
      <c r="AM784">
        <v>100</v>
      </c>
      <c r="AN784">
        <v>9200</v>
      </c>
      <c r="AO784" t="s">
        <v>118</v>
      </c>
      <c r="AP784">
        <v>-81</v>
      </c>
      <c r="AQ784">
        <v>-40</v>
      </c>
      <c r="AR784">
        <v>256</v>
      </c>
      <c r="AZ784">
        <v>1200</v>
      </c>
      <c r="BA784">
        <v>1</v>
      </c>
      <c r="BB784" t="str">
        <f t="shared" si="456"/>
        <v xml:space="preserve">N9217B  </v>
      </c>
      <c r="BC784">
        <v>1</v>
      </c>
      <c r="BE784">
        <v>0</v>
      </c>
      <c r="BF784">
        <v>0</v>
      </c>
      <c r="BG784">
        <v>0</v>
      </c>
      <c r="BH784">
        <v>9300</v>
      </c>
      <c r="BI784">
        <v>1</v>
      </c>
      <c r="BJ784">
        <v>0</v>
      </c>
      <c r="BK784">
        <v>0</v>
      </c>
      <c r="BL784">
        <v>0</v>
      </c>
      <c r="BO784">
        <v>0</v>
      </c>
      <c r="BP784">
        <v>0</v>
      </c>
      <c r="BW784" t="str">
        <f t="shared" si="460"/>
        <v>14:51:09.715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293</v>
      </c>
      <c r="CR784">
        <v>1</v>
      </c>
      <c r="CW784">
        <v>15277006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25">
      <c r="A785" t="str">
        <f t="shared" ref="A785:A792" si="461">"06/05/2020 14:51:04.933"</f>
        <v>06/05/2020 14:51:04.933</v>
      </c>
      <c r="C785" t="str">
        <f t="shared" si="438"/>
        <v>FFDFD3C0</v>
      </c>
      <c r="D785" t="s">
        <v>134</v>
      </c>
      <c r="E785">
        <v>7</v>
      </c>
      <c r="F785">
        <v>2007</v>
      </c>
      <c r="G785" t="s">
        <v>135</v>
      </c>
      <c r="J785" t="s">
        <v>136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ref="S785:T792" si="462">"14:51:10.578"</f>
        <v>14:51:10.578</v>
      </c>
      <c r="T785" t="str">
        <f t="shared" si="462"/>
        <v>14:51:10.578</v>
      </c>
      <c r="U785" t="str">
        <f t="shared" si="455"/>
        <v>ACC530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1</v>
      </c>
      <c r="AH785">
        <v>0</v>
      </c>
      <c r="AI785" t="s">
        <v>403</v>
      </c>
      <c r="AJ785">
        <v>34.222777000000001</v>
      </c>
      <c r="AK785" t="s">
        <v>404</v>
      </c>
      <c r="AL785">
        <v>-116.92738300000001</v>
      </c>
      <c r="AM785">
        <v>100</v>
      </c>
      <c r="AN785">
        <v>9200</v>
      </c>
      <c r="AO785" t="s">
        <v>118</v>
      </c>
      <c r="AP785">
        <v>-81</v>
      </c>
      <c r="AQ785">
        <v>-41</v>
      </c>
      <c r="AR785">
        <v>192</v>
      </c>
      <c r="AZ785">
        <v>1200</v>
      </c>
      <c r="BA785">
        <v>1</v>
      </c>
      <c r="BB785" t="str">
        <f t="shared" si="456"/>
        <v xml:space="preserve">N9217B  </v>
      </c>
      <c r="BC785">
        <v>1</v>
      </c>
      <c r="BE785">
        <v>0</v>
      </c>
      <c r="BF785">
        <v>0</v>
      </c>
      <c r="BG785">
        <v>0</v>
      </c>
      <c r="BH785">
        <v>9300</v>
      </c>
      <c r="BI785">
        <v>1</v>
      </c>
      <c r="BJ785">
        <v>0</v>
      </c>
      <c r="BK785">
        <v>0</v>
      </c>
      <c r="BL785">
        <v>0</v>
      </c>
      <c r="BO785">
        <v>0</v>
      </c>
      <c r="BP785">
        <v>0</v>
      </c>
      <c r="BW785" t="str">
        <f t="shared" ref="BW785:BW792" si="463">"14:51:10.585"</f>
        <v>14:51:10.585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293</v>
      </c>
      <c r="CR785">
        <v>1</v>
      </c>
      <c r="CW785">
        <v>15277114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25">
      <c r="A786" t="str">
        <f t="shared" si="461"/>
        <v>06/05/2020 14:51:04.933</v>
      </c>
      <c r="C786" t="str">
        <f t="shared" si="438"/>
        <v>FFDFD3C0</v>
      </c>
      <c r="D786" t="s">
        <v>113</v>
      </c>
      <c r="E786">
        <v>3</v>
      </c>
      <c r="H786">
        <v>166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462"/>
        <v>14:51:10.578</v>
      </c>
      <c r="T786" t="str">
        <f t="shared" si="462"/>
        <v>14:51:10.578</v>
      </c>
      <c r="U786" t="str">
        <f t="shared" si="455"/>
        <v>ACC530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1</v>
      </c>
      <c r="AH786">
        <v>0</v>
      </c>
      <c r="AI786" t="s">
        <v>403</v>
      </c>
      <c r="AJ786">
        <v>34.222777000000001</v>
      </c>
      <c r="AK786" t="s">
        <v>404</v>
      </c>
      <c r="AL786">
        <v>-116.92738300000001</v>
      </c>
      <c r="AM786">
        <v>100</v>
      </c>
      <c r="AN786">
        <v>9200</v>
      </c>
      <c r="AO786" t="s">
        <v>118</v>
      </c>
      <c r="AP786">
        <v>-81</v>
      </c>
      <c r="AQ786">
        <v>-41</v>
      </c>
      <c r="AR786">
        <v>192</v>
      </c>
      <c r="AZ786">
        <v>1200</v>
      </c>
      <c r="BA786">
        <v>1</v>
      </c>
      <c r="BB786" t="str">
        <f t="shared" si="456"/>
        <v xml:space="preserve">N9217B  </v>
      </c>
      <c r="BC786">
        <v>1</v>
      </c>
      <c r="BE786">
        <v>0</v>
      </c>
      <c r="BF786">
        <v>0</v>
      </c>
      <c r="BG786">
        <v>0</v>
      </c>
      <c r="BH786">
        <v>9300</v>
      </c>
      <c r="BI786">
        <v>1</v>
      </c>
      <c r="BJ786">
        <v>0</v>
      </c>
      <c r="BK786">
        <v>0</v>
      </c>
      <c r="BL786">
        <v>0</v>
      </c>
      <c r="BO786">
        <v>0</v>
      </c>
      <c r="BP786">
        <v>0</v>
      </c>
      <c r="BW786" t="str">
        <f t="shared" si="463"/>
        <v>14:51:10.585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293</v>
      </c>
      <c r="CR786">
        <v>1</v>
      </c>
      <c r="CW786">
        <v>15277114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25">
      <c r="A787" t="str">
        <f t="shared" si="461"/>
        <v>06/05/2020 14:51:04.933</v>
      </c>
      <c r="C787" t="str">
        <f t="shared" si="438"/>
        <v>FFDFD3C0</v>
      </c>
      <c r="D787" t="s">
        <v>148</v>
      </c>
      <c r="E787">
        <v>11</v>
      </c>
      <c r="H787">
        <v>53</v>
      </c>
      <c r="I787" t="s">
        <v>364</v>
      </c>
      <c r="J787" t="s">
        <v>150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462"/>
        <v>14:51:10.578</v>
      </c>
      <c r="T787" t="str">
        <f t="shared" si="462"/>
        <v>14:51:10.578</v>
      </c>
      <c r="U787" t="str">
        <f t="shared" si="455"/>
        <v>ACC530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1</v>
      </c>
      <c r="AH787">
        <v>0</v>
      </c>
      <c r="AI787" t="s">
        <v>403</v>
      </c>
      <c r="AJ787">
        <v>34.222777000000001</v>
      </c>
      <c r="AK787" t="s">
        <v>404</v>
      </c>
      <c r="AL787">
        <v>-116.92738300000001</v>
      </c>
      <c r="AM787">
        <v>100</v>
      </c>
      <c r="AN787">
        <v>9200</v>
      </c>
      <c r="AO787" t="s">
        <v>118</v>
      </c>
      <c r="AP787">
        <v>-81</v>
      </c>
      <c r="AQ787">
        <v>-41</v>
      </c>
      <c r="AR787">
        <v>192</v>
      </c>
      <c r="AZ787">
        <v>1200</v>
      </c>
      <c r="BA787">
        <v>1</v>
      </c>
      <c r="BB787" t="str">
        <f t="shared" si="456"/>
        <v xml:space="preserve">N9217B  </v>
      </c>
      <c r="BC787">
        <v>1</v>
      </c>
      <c r="BE787">
        <v>0</v>
      </c>
      <c r="BF787">
        <v>0</v>
      </c>
      <c r="BG787">
        <v>0</v>
      </c>
      <c r="BH787">
        <v>9300</v>
      </c>
      <c r="BI787">
        <v>1</v>
      </c>
      <c r="BJ787">
        <v>0</v>
      </c>
      <c r="BK787">
        <v>0</v>
      </c>
      <c r="BL787">
        <v>0</v>
      </c>
      <c r="BO787">
        <v>0</v>
      </c>
      <c r="BP787">
        <v>0</v>
      </c>
      <c r="BW787" t="str">
        <f t="shared" si="463"/>
        <v>14:51:10.585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293</v>
      </c>
      <c r="CR787">
        <v>1</v>
      </c>
      <c r="CW787">
        <v>15277114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25">
      <c r="A788" t="str">
        <f t="shared" si="461"/>
        <v>06/05/2020 14:51:04.933</v>
      </c>
      <c r="C788" t="str">
        <f t="shared" si="438"/>
        <v>FFDFD3C0</v>
      </c>
      <c r="D788" t="s">
        <v>141</v>
      </c>
      <c r="E788">
        <v>20</v>
      </c>
      <c r="F788">
        <v>1020</v>
      </c>
      <c r="G788" t="s">
        <v>114</v>
      </c>
      <c r="J788" t="s">
        <v>142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462"/>
        <v>14:51:10.578</v>
      </c>
      <c r="T788" t="str">
        <f t="shared" si="462"/>
        <v>14:51:10.578</v>
      </c>
      <c r="U788" t="str">
        <f t="shared" si="455"/>
        <v>ACC530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1</v>
      </c>
      <c r="AH788">
        <v>0</v>
      </c>
      <c r="AI788" t="s">
        <v>403</v>
      </c>
      <c r="AJ788">
        <v>34.222777000000001</v>
      </c>
      <c r="AK788" t="s">
        <v>404</v>
      </c>
      <c r="AL788">
        <v>-116.92738300000001</v>
      </c>
      <c r="AM788">
        <v>100</v>
      </c>
      <c r="AN788">
        <v>9200</v>
      </c>
      <c r="AO788" t="s">
        <v>118</v>
      </c>
      <c r="AP788">
        <v>-81</v>
      </c>
      <c r="AQ788">
        <v>-41</v>
      </c>
      <c r="AR788">
        <v>192</v>
      </c>
      <c r="AZ788">
        <v>1200</v>
      </c>
      <c r="BA788">
        <v>1</v>
      </c>
      <c r="BB788" t="str">
        <f t="shared" si="456"/>
        <v xml:space="preserve">N9217B  </v>
      </c>
      <c r="BC788">
        <v>1</v>
      </c>
      <c r="BE788">
        <v>0</v>
      </c>
      <c r="BF788">
        <v>0</v>
      </c>
      <c r="BG788">
        <v>0</v>
      </c>
      <c r="BH788">
        <v>9300</v>
      </c>
      <c r="BI788">
        <v>1</v>
      </c>
      <c r="BJ788">
        <v>0</v>
      </c>
      <c r="BK788">
        <v>0</v>
      </c>
      <c r="BL788">
        <v>0</v>
      </c>
      <c r="BO788">
        <v>0</v>
      </c>
      <c r="BP788">
        <v>0</v>
      </c>
      <c r="BW788" t="str">
        <f t="shared" si="463"/>
        <v>14:51:10.585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293</v>
      </c>
      <c r="CR788">
        <v>1</v>
      </c>
      <c r="CW788">
        <v>15277114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25">
      <c r="A789" t="str">
        <f t="shared" si="461"/>
        <v>06/05/2020 14:51:04.933</v>
      </c>
      <c r="C789" t="str">
        <f t="shared" si="438"/>
        <v>FFDFD3C0</v>
      </c>
      <c r="D789" t="s">
        <v>151</v>
      </c>
      <c r="E789">
        <v>9</v>
      </c>
      <c r="H789">
        <v>226</v>
      </c>
      <c r="I789" t="s">
        <v>152</v>
      </c>
      <c r="J789" t="s">
        <v>150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462"/>
        <v>14:51:10.578</v>
      </c>
      <c r="T789" t="str">
        <f t="shared" si="462"/>
        <v>14:51:10.578</v>
      </c>
      <c r="U789" t="str">
        <f t="shared" si="455"/>
        <v>ACC530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1</v>
      </c>
      <c r="AH789">
        <v>0</v>
      </c>
      <c r="AI789" t="s">
        <v>403</v>
      </c>
      <c r="AJ789">
        <v>34.222777000000001</v>
      </c>
      <c r="AK789" t="s">
        <v>404</v>
      </c>
      <c r="AL789">
        <v>-116.92738300000001</v>
      </c>
      <c r="AM789">
        <v>100</v>
      </c>
      <c r="AN789">
        <v>9200</v>
      </c>
      <c r="AO789" t="s">
        <v>118</v>
      </c>
      <c r="AP789">
        <v>-81</v>
      </c>
      <c r="AQ789">
        <v>-41</v>
      </c>
      <c r="AR789">
        <v>192</v>
      </c>
      <c r="AZ789">
        <v>1200</v>
      </c>
      <c r="BA789">
        <v>1</v>
      </c>
      <c r="BB789" t="str">
        <f t="shared" si="456"/>
        <v xml:space="preserve">N9217B  </v>
      </c>
      <c r="BC789">
        <v>1</v>
      </c>
      <c r="BE789">
        <v>0</v>
      </c>
      <c r="BF789">
        <v>0</v>
      </c>
      <c r="BG789">
        <v>0</v>
      </c>
      <c r="BH789">
        <v>9300</v>
      </c>
      <c r="BI789">
        <v>1</v>
      </c>
      <c r="BJ789">
        <v>0</v>
      </c>
      <c r="BK789">
        <v>0</v>
      </c>
      <c r="BL789">
        <v>0</v>
      </c>
      <c r="BO789">
        <v>0</v>
      </c>
      <c r="BP789">
        <v>0</v>
      </c>
      <c r="BW789" t="str">
        <f t="shared" si="463"/>
        <v>14:51:10.585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293</v>
      </c>
      <c r="CR789">
        <v>1</v>
      </c>
      <c r="CW789">
        <v>15277114</v>
      </c>
      <c r="CY789">
        <v>0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25">
      <c r="A790" t="str">
        <f t="shared" si="461"/>
        <v>06/05/2020 14:51:04.933</v>
      </c>
      <c r="C790" t="str">
        <f t="shared" si="438"/>
        <v>FFDFD3C0</v>
      </c>
      <c r="D790" t="s">
        <v>151</v>
      </c>
      <c r="E790">
        <v>8</v>
      </c>
      <c r="H790">
        <v>225</v>
      </c>
      <c r="I790" t="s">
        <v>353</v>
      </c>
      <c r="J790" t="s">
        <v>150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462"/>
        <v>14:51:10.578</v>
      </c>
      <c r="T790" t="str">
        <f t="shared" si="462"/>
        <v>14:51:10.578</v>
      </c>
      <c r="U790" t="str">
        <f t="shared" si="455"/>
        <v>ACC530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1</v>
      </c>
      <c r="AH790">
        <v>0</v>
      </c>
      <c r="AI790" t="s">
        <v>403</v>
      </c>
      <c r="AJ790">
        <v>34.222777000000001</v>
      </c>
      <c r="AK790" t="s">
        <v>404</v>
      </c>
      <c r="AL790">
        <v>-116.92738300000001</v>
      </c>
      <c r="AM790">
        <v>100</v>
      </c>
      <c r="AN790">
        <v>9200</v>
      </c>
      <c r="AO790" t="s">
        <v>118</v>
      </c>
      <c r="AP790">
        <v>-81</v>
      </c>
      <c r="AQ790">
        <v>-41</v>
      </c>
      <c r="AR790">
        <v>192</v>
      </c>
      <c r="AZ790">
        <v>1200</v>
      </c>
      <c r="BA790">
        <v>1</v>
      </c>
      <c r="BB790" t="str">
        <f t="shared" si="456"/>
        <v xml:space="preserve">N9217B  </v>
      </c>
      <c r="BC790">
        <v>1</v>
      </c>
      <c r="BE790">
        <v>0</v>
      </c>
      <c r="BF790">
        <v>0</v>
      </c>
      <c r="BG790">
        <v>0</v>
      </c>
      <c r="BH790">
        <v>9300</v>
      </c>
      <c r="BI790">
        <v>1</v>
      </c>
      <c r="BJ790">
        <v>0</v>
      </c>
      <c r="BK790">
        <v>0</v>
      </c>
      <c r="BL790">
        <v>0</v>
      </c>
      <c r="BO790">
        <v>0</v>
      </c>
      <c r="BP790">
        <v>0</v>
      </c>
      <c r="BW790" t="str">
        <f t="shared" si="463"/>
        <v>14:51:10.585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6</v>
      </c>
      <c r="CP790" t="s">
        <v>119</v>
      </c>
      <c r="CQ790">
        <v>285</v>
      </c>
      <c r="CR790">
        <v>0</v>
      </c>
      <c r="CW790">
        <v>8845501</v>
      </c>
      <c r="CY790">
        <v>0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25">
      <c r="A791" t="str">
        <f t="shared" si="461"/>
        <v>06/05/2020 14:51:04.933</v>
      </c>
      <c r="C791" t="str">
        <f t="shared" si="438"/>
        <v>FFDFD3C0</v>
      </c>
      <c r="D791" t="s">
        <v>143</v>
      </c>
      <c r="E791">
        <v>10</v>
      </c>
      <c r="F791">
        <v>3010</v>
      </c>
      <c r="G791" t="s">
        <v>144</v>
      </c>
      <c r="J791" t="s">
        <v>145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462"/>
        <v>14:51:10.578</v>
      </c>
      <c r="T791" t="str">
        <f t="shared" si="462"/>
        <v>14:51:10.578</v>
      </c>
      <c r="U791" t="str">
        <f t="shared" si="455"/>
        <v>ACC530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1</v>
      </c>
      <c r="AH791">
        <v>0</v>
      </c>
      <c r="AI791" t="s">
        <v>403</v>
      </c>
      <c r="AJ791">
        <v>34.222777000000001</v>
      </c>
      <c r="AK791" t="s">
        <v>404</v>
      </c>
      <c r="AL791">
        <v>-116.92738300000001</v>
      </c>
      <c r="AM791">
        <v>100</v>
      </c>
      <c r="AN791">
        <v>9200</v>
      </c>
      <c r="AO791" t="s">
        <v>118</v>
      </c>
      <c r="AP791">
        <v>-81</v>
      </c>
      <c r="AQ791">
        <v>-41</v>
      </c>
      <c r="AR791">
        <v>192</v>
      </c>
      <c r="AZ791">
        <v>1200</v>
      </c>
      <c r="BA791">
        <v>1</v>
      </c>
      <c r="BB791" t="str">
        <f t="shared" si="456"/>
        <v xml:space="preserve">N9217B  </v>
      </c>
      <c r="BC791">
        <v>1</v>
      </c>
      <c r="BE791">
        <v>0</v>
      </c>
      <c r="BF791">
        <v>0</v>
      </c>
      <c r="BG791">
        <v>0</v>
      </c>
      <c r="BH791">
        <v>9300</v>
      </c>
      <c r="BI791">
        <v>1</v>
      </c>
      <c r="BJ791">
        <v>0</v>
      </c>
      <c r="BK791">
        <v>0</v>
      </c>
      <c r="BL791">
        <v>0</v>
      </c>
      <c r="BO791">
        <v>0</v>
      </c>
      <c r="BP791">
        <v>0</v>
      </c>
      <c r="BW791" t="str">
        <f t="shared" si="463"/>
        <v>14:51:10.585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293</v>
      </c>
      <c r="CR791">
        <v>1</v>
      </c>
      <c r="CW791">
        <v>15277114</v>
      </c>
      <c r="CY791">
        <v>0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25">
      <c r="A792" t="str">
        <f t="shared" si="461"/>
        <v>06/05/2020 14:51:04.933</v>
      </c>
      <c r="C792" t="str">
        <f t="shared" si="438"/>
        <v>FFDFD3C0</v>
      </c>
      <c r="D792" t="s">
        <v>148</v>
      </c>
      <c r="E792">
        <v>8</v>
      </c>
      <c r="H792">
        <v>50</v>
      </c>
      <c r="I792" t="s">
        <v>149</v>
      </c>
      <c r="J792" t="s">
        <v>150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462"/>
        <v>14:51:10.578</v>
      </c>
      <c r="T792" t="str">
        <f t="shared" si="462"/>
        <v>14:51:10.578</v>
      </c>
      <c r="U792" t="str">
        <f t="shared" si="455"/>
        <v>ACC530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1</v>
      </c>
      <c r="AH792">
        <v>0</v>
      </c>
      <c r="AI792" t="s">
        <v>403</v>
      </c>
      <c r="AJ792">
        <v>34.222777000000001</v>
      </c>
      <c r="AK792" t="s">
        <v>404</v>
      </c>
      <c r="AL792">
        <v>-116.92738300000001</v>
      </c>
      <c r="AM792">
        <v>100</v>
      </c>
      <c r="AN792">
        <v>9200</v>
      </c>
      <c r="AO792" t="s">
        <v>118</v>
      </c>
      <c r="AP792">
        <v>-81</v>
      </c>
      <c r="AQ792">
        <v>-41</v>
      </c>
      <c r="AR792">
        <v>192</v>
      </c>
      <c r="AZ792">
        <v>1200</v>
      </c>
      <c r="BA792">
        <v>1</v>
      </c>
      <c r="BB792" t="str">
        <f t="shared" si="456"/>
        <v xml:space="preserve">N9217B  </v>
      </c>
      <c r="BC792">
        <v>1</v>
      </c>
      <c r="BE792">
        <v>0</v>
      </c>
      <c r="BF792">
        <v>0</v>
      </c>
      <c r="BG792">
        <v>0</v>
      </c>
      <c r="BH792">
        <v>9300</v>
      </c>
      <c r="BI792">
        <v>1</v>
      </c>
      <c r="BJ792">
        <v>0</v>
      </c>
      <c r="BK792">
        <v>0</v>
      </c>
      <c r="BL792">
        <v>0</v>
      </c>
      <c r="BO792">
        <v>0</v>
      </c>
      <c r="BP792">
        <v>0</v>
      </c>
      <c r="BW792" t="str">
        <f t="shared" si="463"/>
        <v>14:51:10.585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293</v>
      </c>
      <c r="CR792">
        <v>1</v>
      </c>
      <c r="CW792">
        <v>15277114</v>
      </c>
      <c r="CY792">
        <v>0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25">
      <c r="A793" t="str">
        <f t="shared" ref="A793:A800" si="464">"06/05/2020 14:51:05.956"</f>
        <v>06/05/2020 14:51:05.956</v>
      </c>
      <c r="C793" t="str">
        <f t="shared" si="438"/>
        <v>FFDFD3C0</v>
      </c>
      <c r="D793" t="s">
        <v>148</v>
      </c>
      <c r="E793">
        <v>11</v>
      </c>
      <c r="H793">
        <v>53</v>
      </c>
      <c r="I793" t="s">
        <v>364</v>
      </c>
      <c r="J793" t="s">
        <v>150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ref="S793:T800" si="465">"14:51:11.602"</f>
        <v>14:51:11.602</v>
      </c>
      <c r="T793" t="str">
        <f t="shared" si="465"/>
        <v>14:51:11.602</v>
      </c>
      <c r="U793" t="str">
        <f t="shared" si="455"/>
        <v>ACC530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1</v>
      </c>
      <c r="AH793">
        <v>0</v>
      </c>
      <c r="AI793" t="s">
        <v>405</v>
      </c>
      <c r="AJ793">
        <v>34.222605000000001</v>
      </c>
      <c r="AK793" t="s">
        <v>406</v>
      </c>
      <c r="AL793">
        <v>-116.927876</v>
      </c>
      <c r="AM793">
        <v>100</v>
      </c>
      <c r="AN793">
        <v>9200</v>
      </c>
      <c r="AO793" t="s">
        <v>118</v>
      </c>
      <c r="AP793">
        <v>-81</v>
      </c>
      <c r="AQ793">
        <v>-41</v>
      </c>
      <c r="AR793">
        <v>128</v>
      </c>
      <c r="AZ793">
        <v>1200</v>
      </c>
      <c r="BA793">
        <v>1</v>
      </c>
      <c r="BB793" t="str">
        <f t="shared" si="456"/>
        <v xml:space="preserve">N9217B  </v>
      </c>
      <c r="BC793">
        <v>1</v>
      </c>
      <c r="BE793">
        <v>0</v>
      </c>
      <c r="BF793">
        <v>0</v>
      </c>
      <c r="BG793">
        <v>0</v>
      </c>
      <c r="BH793">
        <v>9300</v>
      </c>
      <c r="BI793">
        <v>1</v>
      </c>
      <c r="BJ793">
        <v>0</v>
      </c>
      <c r="BK793">
        <v>0</v>
      </c>
      <c r="BL793">
        <v>0</v>
      </c>
      <c r="BO793">
        <v>0</v>
      </c>
      <c r="BP793">
        <v>0</v>
      </c>
      <c r="BW793" t="str">
        <f>"14:51:11.605"</f>
        <v>14:51:11.605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293</v>
      </c>
      <c r="CR793">
        <v>1</v>
      </c>
      <c r="CW793">
        <v>15277237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25">
      <c r="A794" t="str">
        <f t="shared" si="464"/>
        <v>06/05/2020 14:51:05.956</v>
      </c>
      <c r="C794" t="str">
        <f t="shared" si="438"/>
        <v>FFDFD3C0</v>
      </c>
      <c r="D794" t="s">
        <v>141</v>
      </c>
      <c r="E794">
        <v>20</v>
      </c>
      <c r="F794">
        <v>1020</v>
      </c>
      <c r="G794" t="s">
        <v>114</v>
      </c>
      <c r="J794" t="s">
        <v>142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465"/>
        <v>14:51:11.602</v>
      </c>
      <c r="T794" t="str">
        <f t="shared" si="465"/>
        <v>14:51:11.602</v>
      </c>
      <c r="U794" t="str">
        <f t="shared" si="455"/>
        <v>ACC530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1</v>
      </c>
      <c r="AH794">
        <v>0</v>
      </c>
      <c r="AI794" t="s">
        <v>405</v>
      </c>
      <c r="AJ794">
        <v>34.222605000000001</v>
      </c>
      <c r="AK794" t="s">
        <v>406</v>
      </c>
      <c r="AL794">
        <v>-116.927876</v>
      </c>
      <c r="AM794">
        <v>100</v>
      </c>
      <c r="AN794">
        <v>9200</v>
      </c>
      <c r="AO794" t="s">
        <v>118</v>
      </c>
      <c r="AP794">
        <v>-81</v>
      </c>
      <c r="AQ794">
        <v>-41</v>
      </c>
      <c r="AR794">
        <v>128</v>
      </c>
      <c r="AZ794">
        <v>1200</v>
      </c>
      <c r="BA794">
        <v>1</v>
      </c>
      <c r="BB794" t="str">
        <f t="shared" si="456"/>
        <v xml:space="preserve">N9217B  </v>
      </c>
      <c r="BC794">
        <v>1</v>
      </c>
      <c r="BE794">
        <v>0</v>
      </c>
      <c r="BF794">
        <v>0</v>
      </c>
      <c r="BG794">
        <v>0</v>
      </c>
      <c r="BH794">
        <v>9300</v>
      </c>
      <c r="BI794">
        <v>1</v>
      </c>
      <c r="BJ794">
        <v>0</v>
      </c>
      <c r="BK794">
        <v>0</v>
      </c>
      <c r="BL794">
        <v>0</v>
      </c>
      <c r="BO794">
        <v>0</v>
      </c>
      <c r="BP794">
        <v>0</v>
      </c>
      <c r="BW794" t="str">
        <f>"14:51:11.605"</f>
        <v>14:51:11.605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293</v>
      </c>
      <c r="CR794">
        <v>1</v>
      </c>
      <c r="CW794">
        <v>15277237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25">
      <c r="A795" t="str">
        <f t="shared" si="464"/>
        <v>06/05/2020 14:51:05.956</v>
      </c>
      <c r="C795" t="str">
        <f t="shared" si="438"/>
        <v>FFDFD3C0</v>
      </c>
      <c r="D795" t="s">
        <v>143</v>
      </c>
      <c r="E795">
        <v>10</v>
      </c>
      <c r="F795">
        <v>3010</v>
      </c>
      <c r="G795" t="s">
        <v>144</v>
      </c>
      <c r="J795" t="s">
        <v>145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465"/>
        <v>14:51:11.602</v>
      </c>
      <c r="T795" t="str">
        <f t="shared" si="465"/>
        <v>14:51:11.602</v>
      </c>
      <c r="U795" t="str">
        <f t="shared" si="455"/>
        <v>ACC530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1</v>
      </c>
      <c r="AH795">
        <v>0</v>
      </c>
      <c r="AI795" t="s">
        <v>405</v>
      </c>
      <c r="AJ795">
        <v>34.222605000000001</v>
      </c>
      <c r="AK795" t="s">
        <v>406</v>
      </c>
      <c r="AL795">
        <v>-116.927876</v>
      </c>
      <c r="AM795">
        <v>100</v>
      </c>
      <c r="AN795">
        <v>9200</v>
      </c>
      <c r="AO795" t="s">
        <v>118</v>
      </c>
      <c r="AP795">
        <v>-81</v>
      </c>
      <c r="AQ795">
        <v>-41</v>
      </c>
      <c r="AR795">
        <v>128</v>
      </c>
      <c r="AZ795">
        <v>1200</v>
      </c>
      <c r="BA795">
        <v>1</v>
      </c>
      <c r="BB795" t="str">
        <f t="shared" si="456"/>
        <v xml:space="preserve">N9217B  </v>
      </c>
      <c r="BC795">
        <v>1</v>
      </c>
      <c r="BE795">
        <v>0</v>
      </c>
      <c r="BF795">
        <v>0</v>
      </c>
      <c r="BG795">
        <v>0</v>
      </c>
      <c r="BH795">
        <v>9300</v>
      </c>
      <c r="BI795">
        <v>1</v>
      </c>
      <c r="BJ795">
        <v>0</v>
      </c>
      <c r="BK795">
        <v>0</v>
      </c>
      <c r="BL795">
        <v>0</v>
      </c>
      <c r="BO795">
        <v>0</v>
      </c>
      <c r="BP795">
        <v>0</v>
      </c>
      <c r="BW795" t="str">
        <f>"14:51:11.605"</f>
        <v>14:51:11.605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293</v>
      </c>
      <c r="CR795">
        <v>1</v>
      </c>
      <c r="CW795">
        <v>15277237</v>
      </c>
      <c r="CY795">
        <v>0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25">
      <c r="A796" t="str">
        <f t="shared" si="464"/>
        <v>06/05/2020 14:51:05.956</v>
      </c>
      <c r="C796" t="str">
        <f t="shared" si="438"/>
        <v>FFDFD3C0</v>
      </c>
      <c r="D796" t="s">
        <v>151</v>
      </c>
      <c r="E796">
        <v>8</v>
      </c>
      <c r="H796">
        <v>225</v>
      </c>
      <c r="I796" t="s">
        <v>353</v>
      </c>
      <c r="J796" t="s">
        <v>150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465"/>
        <v>14:51:11.602</v>
      </c>
      <c r="T796" t="str">
        <f t="shared" si="465"/>
        <v>14:51:11.602</v>
      </c>
      <c r="U796" t="str">
        <f t="shared" si="455"/>
        <v>ACC530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1</v>
      </c>
      <c r="AH796">
        <v>0</v>
      </c>
      <c r="AI796" t="s">
        <v>405</v>
      </c>
      <c r="AJ796">
        <v>34.222605000000001</v>
      </c>
      <c r="AK796" t="s">
        <v>406</v>
      </c>
      <c r="AL796">
        <v>-116.927876</v>
      </c>
      <c r="AM796">
        <v>100</v>
      </c>
      <c r="AN796">
        <v>9200</v>
      </c>
      <c r="AO796" t="s">
        <v>118</v>
      </c>
      <c r="AP796">
        <v>-81</v>
      </c>
      <c r="AQ796">
        <v>-41</v>
      </c>
      <c r="AR796">
        <v>128</v>
      </c>
      <c r="AZ796">
        <v>1200</v>
      </c>
      <c r="BA796">
        <v>1</v>
      </c>
      <c r="BB796" t="str">
        <f t="shared" si="456"/>
        <v xml:space="preserve">N9217B  </v>
      </c>
      <c r="BC796">
        <v>1</v>
      </c>
      <c r="BE796">
        <v>0</v>
      </c>
      <c r="BF796">
        <v>0</v>
      </c>
      <c r="BG796">
        <v>0</v>
      </c>
      <c r="BH796">
        <v>9300</v>
      </c>
      <c r="BI796">
        <v>1</v>
      </c>
      <c r="BJ796">
        <v>0</v>
      </c>
      <c r="BK796">
        <v>0</v>
      </c>
      <c r="BL796">
        <v>0</v>
      </c>
      <c r="BO796">
        <v>0</v>
      </c>
      <c r="BP796">
        <v>0</v>
      </c>
      <c r="BW796" t="str">
        <f>"14:51:11.606"</f>
        <v>14:51:11.606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1</v>
      </c>
      <c r="CP796" t="s">
        <v>119</v>
      </c>
      <c r="CQ796">
        <v>296</v>
      </c>
      <c r="CR796">
        <v>0</v>
      </c>
      <c r="CW796">
        <v>14722520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25">
      <c r="A797" t="str">
        <f t="shared" si="464"/>
        <v>06/05/2020 14:51:05.956</v>
      </c>
      <c r="C797" t="str">
        <f t="shared" si="438"/>
        <v>FFDFD3C0</v>
      </c>
      <c r="D797" t="s">
        <v>151</v>
      </c>
      <c r="E797">
        <v>9</v>
      </c>
      <c r="H797">
        <v>226</v>
      </c>
      <c r="I797" t="s">
        <v>152</v>
      </c>
      <c r="J797" t="s">
        <v>150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465"/>
        <v>14:51:11.602</v>
      </c>
      <c r="T797" t="str">
        <f t="shared" si="465"/>
        <v>14:51:11.602</v>
      </c>
      <c r="U797" t="str">
        <f t="shared" si="455"/>
        <v>ACC530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1</v>
      </c>
      <c r="AH797">
        <v>0</v>
      </c>
      <c r="AI797" t="s">
        <v>405</v>
      </c>
      <c r="AJ797">
        <v>34.222605000000001</v>
      </c>
      <c r="AK797" t="s">
        <v>406</v>
      </c>
      <c r="AL797">
        <v>-116.927876</v>
      </c>
      <c r="AM797">
        <v>100</v>
      </c>
      <c r="AN797">
        <v>9200</v>
      </c>
      <c r="AO797" t="s">
        <v>118</v>
      </c>
      <c r="AP797">
        <v>-81</v>
      </c>
      <c r="AQ797">
        <v>-41</v>
      </c>
      <c r="AR797">
        <v>128</v>
      </c>
      <c r="AZ797">
        <v>1200</v>
      </c>
      <c r="BA797">
        <v>1</v>
      </c>
      <c r="BB797" t="str">
        <f t="shared" si="456"/>
        <v xml:space="preserve">N9217B  </v>
      </c>
      <c r="BC797">
        <v>1</v>
      </c>
      <c r="BE797">
        <v>0</v>
      </c>
      <c r="BF797">
        <v>0</v>
      </c>
      <c r="BG797">
        <v>0</v>
      </c>
      <c r="BH797">
        <v>9300</v>
      </c>
      <c r="BI797">
        <v>1</v>
      </c>
      <c r="BJ797">
        <v>0</v>
      </c>
      <c r="BK797">
        <v>0</v>
      </c>
      <c r="BL797">
        <v>0</v>
      </c>
      <c r="BO797">
        <v>0</v>
      </c>
      <c r="BP797">
        <v>0</v>
      </c>
      <c r="BW797" t="str">
        <f>"14:51:11.605"</f>
        <v>14:51:11.605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293</v>
      </c>
      <c r="CR797">
        <v>1</v>
      </c>
      <c r="CW797">
        <v>15277237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25">
      <c r="A798" t="str">
        <f t="shared" si="464"/>
        <v>06/05/2020 14:51:05.956</v>
      </c>
      <c r="C798" t="str">
        <f t="shared" si="438"/>
        <v>FFDFD3C0</v>
      </c>
      <c r="D798" t="s">
        <v>148</v>
      </c>
      <c r="E798">
        <v>8</v>
      </c>
      <c r="H798">
        <v>50</v>
      </c>
      <c r="I798" t="s">
        <v>149</v>
      </c>
      <c r="J798" t="s">
        <v>150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465"/>
        <v>14:51:11.602</v>
      </c>
      <c r="T798" t="str">
        <f t="shared" si="465"/>
        <v>14:51:11.602</v>
      </c>
      <c r="U798" t="str">
        <f t="shared" si="455"/>
        <v>ACC530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1</v>
      </c>
      <c r="AH798">
        <v>0</v>
      </c>
      <c r="AI798" t="s">
        <v>405</v>
      </c>
      <c r="AJ798">
        <v>34.222605000000001</v>
      </c>
      <c r="AK798" t="s">
        <v>406</v>
      </c>
      <c r="AL798">
        <v>-116.927876</v>
      </c>
      <c r="AM798">
        <v>100</v>
      </c>
      <c r="AN798">
        <v>9200</v>
      </c>
      <c r="AO798" t="s">
        <v>118</v>
      </c>
      <c r="AP798">
        <v>-81</v>
      </c>
      <c r="AQ798">
        <v>-41</v>
      </c>
      <c r="AR798">
        <v>128</v>
      </c>
      <c r="AZ798">
        <v>1200</v>
      </c>
      <c r="BA798">
        <v>1</v>
      </c>
      <c r="BB798" t="str">
        <f t="shared" si="456"/>
        <v xml:space="preserve">N9217B  </v>
      </c>
      <c r="BC798">
        <v>1</v>
      </c>
      <c r="BE798">
        <v>0</v>
      </c>
      <c r="BF798">
        <v>0</v>
      </c>
      <c r="BG798">
        <v>0</v>
      </c>
      <c r="BH798">
        <v>9300</v>
      </c>
      <c r="BI798">
        <v>1</v>
      </c>
      <c r="BJ798">
        <v>0</v>
      </c>
      <c r="BK798">
        <v>0</v>
      </c>
      <c r="BL798">
        <v>0</v>
      </c>
      <c r="BO798">
        <v>0</v>
      </c>
      <c r="BP798">
        <v>0</v>
      </c>
      <c r="BW798" t="str">
        <f>"14:51:11.605"</f>
        <v>14:51:11.605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293</v>
      </c>
      <c r="CR798">
        <v>1</v>
      </c>
      <c r="CW798">
        <v>15277237</v>
      </c>
      <c r="CY798">
        <v>0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25">
      <c r="A799" t="str">
        <f t="shared" si="464"/>
        <v>06/05/2020 14:51:05.956</v>
      </c>
      <c r="C799" t="str">
        <f t="shared" si="438"/>
        <v>FFDFD3C0</v>
      </c>
      <c r="D799" t="s">
        <v>134</v>
      </c>
      <c r="E799">
        <v>7</v>
      </c>
      <c r="F799">
        <v>2007</v>
      </c>
      <c r="G799" t="s">
        <v>135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465"/>
        <v>14:51:11.602</v>
      </c>
      <c r="T799" t="str">
        <f t="shared" si="465"/>
        <v>14:51:11.602</v>
      </c>
      <c r="U799" t="str">
        <f t="shared" si="455"/>
        <v>ACC530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1</v>
      </c>
      <c r="AH799">
        <v>0</v>
      </c>
      <c r="AI799" t="s">
        <v>405</v>
      </c>
      <c r="AJ799">
        <v>34.222605000000001</v>
      </c>
      <c r="AK799" t="s">
        <v>406</v>
      </c>
      <c r="AL799">
        <v>-116.927876</v>
      </c>
      <c r="AM799">
        <v>100</v>
      </c>
      <c r="AN799">
        <v>9200</v>
      </c>
      <c r="AO799" t="s">
        <v>118</v>
      </c>
      <c r="AP799">
        <v>-81</v>
      </c>
      <c r="AQ799">
        <v>-41</v>
      </c>
      <c r="AR799">
        <v>128</v>
      </c>
      <c r="AZ799">
        <v>1200</v>
      </c>
      <c r="BA799">
        <v>1</v>
      </c>
      <c r="BB799" t="str">
        <f t="shared" si="456"/>
        <v xml:space="preserve">N9217B  </v>
      </c>
      <c r="BC799">
        <v>1</v>
      </c>
      <c r="BE799">
        <v>0</v>
      </c>
      <c r="BF799">
        <v>0</v>
      </c>
      <c r="BG799">
        <v>0</v>
      </c>
      <c r="BH799">
        <v>9300</v>
      </c>
      <c r="BI799">
        <v>1</v>
      </c>
      <c r="BJ799">
        <v>0</v>
      </c>
      <c r="BK799">
        <v>0</v>
      </c>
      <c r="BL799">
        <v>0</v>
      </c>
      <c r="BO799">
        <v>0</v>
      </c>
      <c r="BP799">
        <v>0</v>
      </c>
      <c r="BW799" t="str">
        <f>"14:51:11.605"</f>
        <v>14:51:11.605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293</v>
      </c>
      <c r="CR799">
        <v>1</v>
      </c>
      <c r="CW799">
        <v>15277237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25">
      <c r="A800" t="str">
        <f t="shared" si="464"/>
        <v>06/05/2020 14:51:05.956</v>
      </c>
      <c r="C800" t="str">
        <f t="shared" si="438"/>
        <v>FFDFD3C0</v>
      </c>
      <c r="D800" t="s">
        <v>113</v>
      </c>
      <c r="E800">
        <v>3</v>
      </c>
      <c r="H800">
        <v>166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465"/>
        <v>14:51:11.602</v>
      </c>
      <c r="T800" t="str">
        <f t="shared" si="465"/>
        <v>14:51:11.602</v>
      </c>
      <c r="U800" t="str">
        <f t="shared" si="455"/>
        <v>ACC530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1</v>
      </c>
      <c r="AH800">
        <v>0</v>
      </c>
      <c r="AI800" t="s">
        <v>405</v>
      </c>
      <c r="AJ800">
        <v>34.222605000000001</v>
      </c>
      <c r="AK800" t="s">
        <v>406</v>
      </c>
      <c r="AL800">
        <v>-116.927876</v>
      </c>
      <c r="AM800">
        <v>100</v>
      </c>
      <c r="AN800">
        <v>9200</v>
      </c>
      <c r="AO800" t="s">
        <v>118</v>
      </c>
      <c r="AP800">
        <v>-81</v>
      </c>
      <c r="AQ800">
        <v>-41</v>
      </c>
      <c r="AR800">
        <v>128</v>
      </c>
      <c r="AZ800">
        <v>1200</v>
      </c>
      <c r="BA800">
        <v>1</v>
      </c>
      <c r="BB800" t="str">
        <f t="shared" si="456"/>
        <v xml:space="preserve">N9217B  </v>
      </c>
      <c r="BC800">
        <v>1</v>
      </c>
      <c r="BE800">
        <v>0</v>
      </c>
      <c r="BF800">
        <v>0</v>
      </c>
      <c r="BG800">
        <v>0</v>
      </c>
      <c r="BH800">
        <v>9300</v>
      </c>
      <c r="BI800">
        <v>1</v>
      </c>
      <c r="BJ800">
        <v>0</v>
      </c>
      <c r="BK800">
        <v>0</v>
      </c>
      <c r="BL800">
        <v>0</v>
      </c>
      <c r="BO800">
        <v>0</v>
      </c>
      <c r="BP800">
        <v>0</v>
      </c>
      <c r="BW800" t="str">
        <f>"14:51:11.605"</f>
        <v>14:51:11.605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293</v>
      </c>
      <c r="CR800">
        <v>1</v>
      </c>
      <c r="CW800">
        <v>15277237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25">
      <c r="A801" t="str">
        <f t="shared" ref="A801:A808" si="466">"06/05/2020 14:51:06.948"</f>
        <v>06/05/2020 14:51:06.948</v>
      </c>
      <c r="C801" t="str">
        <f t="shared" si="438"/>
        <v>FFDFD3C0</v>
      </c>
      <c r="D801" t="s">
        <v>134</v>
      </c>
      <c r="E801">
        <v>7</v>
      </c>
      <c r="F801">
        <v>2007</v>
      </c>
      <c r="G801" t="s">
        <v>135</v>
      </c>
      <c r="J801" t="s">
        <v>136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ref="S801:S808" si="467">"14:51:12.609"</f>
        <v>14:51:12.609</v>
      </c>
      <c r="T801" t="str">
        <f t="shared" ref="T801:T808" si="468">"14:51:12.209"</f>
        <v>14:51:12.209</v>
      </c>
      <c r="U801" t="str">
        <f t="shared" si="455"/>
        <v>ACC530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1</v>
      </c>
      <c r="AH801">
        <v>0</v>
      </c>
      <c r="AI801" t="s">
        <v>407</v>
      </c>
      <c r="AJ801">
        <v>34.222369</v>
      </c>
      <c r="AK801" t="s">
        <v>408</v>
      </c>
      <c r="AL801">
        <v>-116.928349</v>
      </c>
      <c r="AM801">
        <v>100</v>
      </c>
      <c r="AN801">
        <v>9200</v>
      </c>
      <c r="AO801" t="s">
        <v>118</v>
      </c>
      <c r="AP801">
        <v>-81</v>
      </c>
      <c r="AQ801">
        <v>-41</v>
      </c>
      <c r="AR801">
        <v>64</v>
      </c>
      <c r="AZ801">
        <v>1200</v>
      </c>
      <c r="BA801">
        <v>1</v>
      </c>
      <c r="BB801" t="str">
        <f t="shared" si="456"/>
        <v xml:space="preserve">N9217B  </v>
      </c>
      <c r="BC801">
        <v>1</v>
      </c>
      <c r="BE801">
        <v>0</v>
      </c>
      <c r="BF801">
        <v>0</v>
      </c>
      <c r="BG801">
        <v>0</v>
      </c>
      <c r="BH801">
        <v>9300</v>
      </c>
      <c r="BI801">
        <v>1</v>
      </c>
      <c r="BJ801">
        <v>0</v>
      </c>
      <c r="BK801">
        <v>0</v>
      </c>
      <c r="BL801">
        <v>0</v>
      </c>
      <c r="BO801">
        <v>0</v>
      </c>
      <c r="BP801">
        <v>0</v>
      </c>
      <c r="BW801" t="str">
        <f t="shared" ref="BW801:BW808" si="469">"14:51:12.610"</f>
        <v>14:51:12.610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293</v>
      </c>
      <c r="CR801">
        <v>1</v>
      </c>
      <c r="CW801">
        <v>15277364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25">
      <c r="A802" t="str">
        <f t="shared" si="466"/>
        <v>06/05/2020 14:51:06.948</v>
      </c>
      <c r="C802" t="str">
        <f t="shared" si="438"/>
        <v>FFDFD3C0</v>
      </c>
      <c r="D802" t="s">
        <v>113</v>
      </c>
      <c r="E802">
        <v>3</v>
      </c>
      <c r="H802">
        <v>166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467"/>
        <v>14:51:12.609</v>
      </c>
      <c r="T802" t="str">
        <f t="shared" si="468"/>
        <v>14:51:12.209</v>
      </c>
      <c r="U802" t="str">
        <f t="shared" si="455"/>
        <v>ACC530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1</v>
      </c>
      <c r="AH802">
        <v>0</v>
      </c>
      <c r="AI802" t="s">
        <v>407</v>
      </c>
      <c r="AJ802">
        <v>34.222369</v>
      </c>
      <c r="AK802" t="s">
        <v>408</v>
      </c>
      <c r="AL802">
        <v>-116.928349</v>
      </c>
      <c r="AM802">
        <v>100</v>
      </c>
      <c r="AN802">
        <v>9200</v>
      </c>
      <c r="AO802" t="s">
        <v>118</v>
      </c>
      <c r="AP802">
        <v>-81</v>
      </c>
      <c r="AQ802">
        <v>-41</v>
      </c>
      <c r="AR802">
        <v>64</v>
      </c>
      <c r="AZ802">
        <v>1200</v>
      </c>
      <c r="BA802">
        <v>1</v>
      </c>
      <c r="BB802" t="str">
        <f t="shared" si="456"/>
        <v xml:space="preserve">N9217B  </v>
      </c>
      <c r="BC802">
        <v>1</v>
      </c>
      <c r="BE802">
        <v>0</v>
      </c>
      <c r="BF802">
        <v>0</v>
      </c>
      <c r="BG802">
        <v>0</v>
      </c>
      <c r="BH802">
        <v>9300</v>
      </c>
      <c r="BI802">
        <v>1</v>
      </c>
      <c r="BJ802">
        <v>0</v>
      </c>
      <c r="BK802">
        <v>0</v>
      </c>
      <c r="BL802">
        <v>0</v>
      </c>
      <c r="BO802">
        <v>0</v>
      </c>
      <c r="BP802">
        <v>0</v>
      </c>
      <c r="BW802" t="str">
        <f t="shared" si="469"/>
        <v>14:51:12.610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293</v>
      </c>
      <c r="CR802">
        <v>1</v>
      </c>
      <c r="CW802">
        <v>15277364</v>
      </c>
      <c r="CY802">
        <v>0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25">
      <c r="A803" t="str">
        <f t="shared" si="466"/>
        <v>06/05/2020 14:51:06.948</v>
      </c>
      <c r="C803" t="str">
        <f t="shared" ref="C803:C866" si="470">"FFDFD3C0"</f>
        <v>FFDFD3C0</v>
      </c>
      <c r="D803" t="s">
        <v>148</v>
      </c>
      <c r="E803">
        <v>11</v>
      </c>
      <c r="H803">
        <v>53</v>
      </c>
      <c r="I803" t="s">
        <v>364</v>
      </c>
      <c r="J803" t="s">
        <v>150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467"/>
        <v>14:51:12.609</v>
      </c>
      <c r="T803" t="str">
        <f t="shared" si="468"/>
        <v>14:51:12.209</v>
      </c>
      <c r="U803" t="str">
        <f t="shared" si="455"/>
        <v>ACC530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1</v>
      </c>
      <c r="AH803">
        <v>0</v>
      </c>
      <c r="AI803" t="s">
        <v>407</v>
      </c>
      <c r="AJ803">
        <v>34.222369</v>
      </c>
      <c r="AK803" t="s">
        <v>408</v>
      </c>
      <c r="AL803">
        <v>-116.928349</v>
      </c>
      <c r="AM803">
        <v>100</v>
      </c>
      <c r="AN803">
        <v>9200</v>
      </c>
      <c r="AO803" t="s">
        <v>118</v>
      </c>
      <c r="AP803">
        <v>-81</v>
      </c>
      <c r="AQ803">
        <v>-41</v>
      </c>
      <c r="AR803">
        <v>64</v>
      </c>
      <c r="AZ803">
        <v>1200</v>
      </c>
      <c r="BA803">
        <v>1</v>
      </c>
      <c r="BB803" t="str">
        <f t="shared" si="456"/>
        <v xml:space="preserve">N9217B  </v>
      </c>
      <c r="BC803">
        <v>1</v>
      </c>
      <c r="BE803">
        <v>0</v>
      </c>
      <c r="BF803">
        <v>0</v>
      </c>
      <c r="BG803">
        <v>0</v>
      </c>
      <c r="BH803">
        <v>9300</v>
      </c>
      <c r="BI803">
        <v>1</v>
      </c>
      <c r="BJ803">
        <v>0</v>
      </c>
      <c r="BK803">
        <v>0</v>
      </c>
      <c r="BL803">
        <v>0</v>
      </c>
      <c r="BO803">
        <v>0</v>
      </c>
      <c r="BP803">
        <v>0</v>
      </c>
      <c r="BW803" t="str">
        <f t="shared" si="469"/>
        <v>14:51:12.610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293</v>
      </c>
      <c r="CR803">
        <v>1</v>
      </c>
      <c r="CW803">
        <v>15277364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25">
      <c r="A804" t="str">
        <f t="shared" si="466"/>
        <v>06/05/2020 14:51:06.948</v>
      </c>
      <c r="C804" t="str">
        <f t="shared" si="470"/>
        <v>FFDFD3C0</v>
      </c>
      <c r="D804" t="s">
        <v>143</v>
      </c>
      <c r="E804">
        <v>10</v>
      </c>
      <c r="F804">
        <v>3010</v>
      </c>
      <c r="G804" t="s">
        <v>144</v>
      </c>
      <c r="J804" t="s">
        <v>145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467"/>
        <v>14:51:12.609</v>
      </c>
      <c r="T804" t="str">
        <f t="shared" si="468"/>
        <v>14:51:12.209</v>
      </c>
      <c r="U804" t="str">
        <f t="shared" si="455"/>
        <v>ACC530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1</v>
      </c>
      <c r="AH804">
        <v>0</v>
      </c>
      <c r="AI804" t="s">
        <v>407</v>
      </c>
      <c r="AJ804">
        <v>34.222369</v>
      </c>
      <c r="AK804" t="s">
        <v>408</v>
      </c>
      <c r="AL804">
        <v>-116.928349</v>
      </c>
      <c r="AM804">
        <v>100</v>
      </c>
      <c r="AN804">
        <v>9200</v>
      </c>
      <c r="AO804" t="s">
        <v>118</v>
      </c>
      <c r="AP804">
        <v>-81</v>
      </c>
      <c r="AQ804">
        <v>-41</v>
      </c>
      <c r="AR804">
        <v>64</v>
      </c>
      <c r="AZ804">
        <v>1200</v>
      </c>
      <c r="BA804">
        <v>1</v>
      </c>
      <c r="BB804" t="str">
        <f t="shared" si="456"/>
        <v xml:space="preserve">N9217B  </v>
      </c>
      <c r="BC804">
        <v>1</v>
      </c>
      <c r="BE804">
        <v>0</v>
      </c>
      <c r="BF804">
        <v>0</v>
      </c>
      <c r="BG804">
        <v>0</v>
      </c>
      <c r="BH804">
        <v>9300</v>
      </c>
      <c r="BI804">
        <v>1</v>
      </c>
      <c r="BJ804">
        <v>0</v>
      </c>
      <c r="BK804">
        <v>0</v>
      </c>
      <c r="BL804">
        <v>0</v>
      </c>
      <c r="BO804">
        <v>0</v>
      </c>
      <c r="BP804">
        <v>0</v>
      </c>
      <c r="BW804" t="str">
        <f t="shared" si="469"/>
        <v>14:51:12.610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293</v>
      </c>
      <c r="CR804">
        <v>1</v>
      </c>
      <c r="CW804">
        <v>15277364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25">
      <c r="A805" t="str">
        <f t="shared" si="466"/>
        <v>06/05/2020 14:51:06.948</v>
      </c>
      <c r="C805" t="str">
        <f t="shared" si="470"/>
        <v>FFDFD3C0</v>
      </c>
      <c r="D805" t="s">
        <v>141</v>
      </c>
      <c r="E805">
        <v>20</v>
      </c>
      <c r="F805">
        <v>1020</v>
      </c>
      <c r="G805" t="s">
        <v>114</v>
      </c>
      <c r="J805" t="s">
        <v>142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467"/>
        <v>14:51:12.609</v>
      </c>
      <c r="T805" t="str">
        <f t="shared" si="468"/>
        <v>14:51:12.209</v>
      </c>
      <c r="U805" t="str">
        <f t="shared" si="455"/>
        <v>ACC530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1</v>
      </c>
      <c r="AH805">
        <v>0</v>
      </c>
      <c r="AI805" t="s">
        <v>407</v>
      </c>
      <c r="AJ805">
        <v>34.222369</v>
      </c>
      <c r="AK805" t="s">
        <v>408</v>
      </c>
      <c r="AL805">
        <v>-116.928349</v>
      </c>
      <c r="AM805">
        <v>100</v>
      </c>
      <c r="AN805">
        <v>9200</v>
      </c>
      <c r="AO805" t="s">
        <v>118</v>
      </c>
      <c r="AP805">
        <v>-81</v>
      </c>
      <c r="AQ805">
        <v>-41</v>
      </c>
      <c r="AR805">
        <v>64</v>
      </c>
      <c r="AZ805">
        <v>1200</v>
      </c>
      <c r="BA805">
        <v>1</v>
      </c>
      <c r="BB805" t="str">
        <f t="shared" si="456"/>
        <v xml:space="preserve">N9217B  </v>
      </c>
      <c r="BC805">
        <v>1</v>
      </c>
      <c r="BE805">
        <v>0</v>
      </c>
      <c r="BF805">
        <v>0</v>
      </c>
      <c r="BG805">
        <v>0</v>
      </c>
      <c r="BH805">
        <v>9300</v>
      </c>
      <c r="BI805">
        <v>1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 t="shared" si="469"/>
        <v>14:51:12.610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293</v>
      </c>
      <c r="CR805">
        <v>1</v>
      </c>
      <c r="CW805">
        <v>15277364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25">
      <c r="A806" t="str">
        <f t="shared" si="466"/>
        <v>06/05/2020 14:51:06.948</v>
      </c>
      <c r="C806" t="str">
        <f t="shared" si="470"/>
        <v>FFDFD3C0</v>
      </c>
      <c r="D806" t="s">
        <v>151</v>
      </c>
      <c r="E806">
        <v>8</v>
      </c>
      <c r="H806">
        <v>225</v>
      </c>
      <c r="I806" t="s">
        <v>353</v>
      </c>
      <c r="J806" t="s">
        <v>150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467"/>
        <v>14:51:12.609</v>
      </c>
      <c r="T806" t="str">
        <f t="shared" si="468"/>
        <v>14:51:12.209</v>
      </c>
      <c r="U806" t="str">
        <f t="shared" si="455"/>
        <v>ACC530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1</v>
      </c>
      <c r="AH806">
        <v>0</v>
      </c>
      <c r="AI806" t="s">
        <v>407</v>
      </c>
      <c r="AJ806">
        <v>34.222369</v>
      </c>
      <c r="AK806" t="s">
        <v>408</v>
      </c>
      <c r="AL806">
        <v>-116.928349</v>
      </c>
      <c r="AM806">
        <v>100</v>
      </c>
      <c r="AN806">
        <v>9200</v>
      </c>
      <c r="AO806" t="s">
        <v>118</v>
      </c>
      <c r="AP806">
        <v>-81</v>
      </c>
      <c r="AQ806">
        <v>-41</v>
      </c>
      <c r="AR806">
        <v>64</v>
      </c>
      <c r="AZ806">
        <v>1200</v>
      </c>
      <c r="BA806">
        <v>1</v>
      </c>
      <c r="BB806" t="str">
        <f t="shared" si="456"/>
        <v xml:space="preserve">N9217B  </v>
      </c>
      <c r="BC806">
        <v>1</v>
      </c>
      <c r="BE806">
        <v>0</v>
      </c>
      <c r="BF806">
        <v>0</v>
      </c>
      <c r="BG806">
        <v>0</v>
      </c>
      <c r="BH806">
        <v>9300</v>
      </c>
      <c r="BI806">
        <v>1</v>
      </c>
      <c r="BJ806">
        <v>0</v>
      </c>
      <c r="BK806">
        <v>0</v>
      </c>
      <c r="BL806">
        <v>0</v>
      </c>
      <c r="BO806">
        <v>0</v>
      </c>
      <c r="BP806">
        <v>0</v>
      </c>
      <c r="BW806" t="str">
        <f t="shared" si="469"/>
        <v>14:51:12.610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6</v>
      </c>
      <c r="CP806" t="s">
        <v>119</v>
      </c>
      <c r="CQ806">
        <v>285</v>
      </c>
      <c r="CR806">
        <v>0</v>
      </c>
      <c r="CW806">
        <v>8845677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25">
      <c r="A807" t="str">
        <f t="shared" si="466"/>
        <v>06/05/2020 14:51:06.948</v>
      </c>
      <c r="C807" t="str">
        <f t="shared" si="470"/>
        <v>FFDFD3C0</v>
      </c>
      <c r="D807" t="s">
        <v>151</v>
      </c>
      <c r="E807">
        <v>9</v>
      </c>
      <c r="H807">
        <v>226</v>
      </c>
      <c r="I807" t="s">
        <v>152</v>
      </c>
      <c r="J807" t="s">
        <v>150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467"/>
        <v>14:51:12.609</v>
      </c>
      <c r="T807" t="str">
        <f t="shared" si="468"/>
        <v>14:51:12.209</v>
      </c>
      <c r="U807" t="str">
        <f t="shared" si="455"/>
        <v>ACC530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1</v>
      </c>
      <c r="AH807">
        <v>0</v>
      </c>
      <c r="AI807" t="s">
        <v>407</v>
      </c>
      <c r="AJ807">
        <v>34.222369</v>
      </c>
      <c r="AK807" t="s">
        <v>408</v>
      </c>
      <c r="AL807">
        <v>-116.928349</v>
      </c>
      <c r="AM807">
        <v>100</v>
      </c>
      <c r="AN807">
        <v>9200</v>
      </c>
      <c r="AO807" t="s">
        <v>118</v>
      </c>
      <c r="AP807">
        <v>-81</v>
      </c>
      <c r="AQ807">
        <v>-41</v>
      </c>
      <c r="AR807">
        <v>64</v>
      </c>
      <c r="AZ807">
        <v>1200</v>
      </c>
      <c r="BA807">
        <v>1</v>
      </c>
      <c r="BB807" t="str">
        <f t="shared" si="456"/>
        <v xml:space="preserve">N9217B  </v>
      </c>
      <c r="BC807">
        <v>1</v>
      </c>
      <c r="BE807">
        <v>0</v>
      </c>
      <c r="BF807">
        <v>0</v>
      </c>
      <c r="BG807">
        <v>0</v>
      </c>
      <c r="BH807">
        <v>9300</v>
      </c>
      <c r="BI807">
        <v>1</v>
      </c>
      <c r="BJ807">
        <v>0</v>
      </c>
      <c r="BK807">
        <v>0</v>
      </c>
      <c r="BL807">
        <v>0</v>
      </c>
      <c r="BO807">
        <v>0</v>
      </c>
      <c r="BP807">
        <v>0</v>
      </c>
      <c r="BW807" t="str">
        <f t="shared" si="469"/>
        <v>14:51:12.610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293</v>
      </c>
      <c r="CR807">
        <v>1</v>
      </c>
      <c r="CW807">
        <v>15277364</v>
      </c>
      <c r="CY807">
        <v>0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25">
      <c r="A808" t="str">
        <f t="shared" si="466"/>
        <v>06/05/2020 14:51:06.948</v>
      </c>
      <c r="C808" t="str">
        <f t="shared" si="470"/>
        <v>FFDFD3C0</v>
      </c>
      <c r="D808" t="s">
        <v>148</v>
      </c>
      <c r="E808">
        <v>8</v>
      </c>
      <c r="H808">
        <v>50</v>
      </c>
      <c r="I808" t="s">
        <v>149</v>
      </c>
      <c r="J808" t="s">
        <v>150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67"/>
        <v>14:51:12.609</v>
      </c>
      <c r="T808" t="str">
        <f t="shared" si="468"/>
        <v>14:51:12.209</v>
      </c>
      <c r="U808" t="str">
        <f t="shared" si="455"/>
        <v>ACC530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1</v>
      </c>
      <c r="AH808">
        <v>0</v>
      </c>
      <c r="AI808" t="s">
        <v>407</v>
      </c>
      <c r="AJ808">
        <v>34.222369</v>
      </c>
      <c r="AK808" t="s">
        <v>408</v>
      </c>
      <c r="AL808">
        <v>-116.928349</v>
      </c>
      <c r="AM808">
        <v>100</v>
      </c>
      <c r="AN808">
        <v>9200</v>
      </c>
      <c r="AO808" t="s">
        <v>118</v>
      </c>
      <c r="AP808">
        <v>-81</v>
      </c>
      <c r="AQ808">
        <v>-41</v>
      </c>
      <c r="AR808">
        <v>64</v>
      </c>
      <c r="AZ808">
        <v>1200</v>
      </c>
      <c r="BA808">
        <v>1</v>
      </c>
      <c r="BB808" t="str">
        <f t="shared" si="456"/>
        <v xml:space="preserve">N9217B  </v>
      </c>
      <c r="BC808">
        <v>1</v>
      </c>
      <c r="BE808">
        <v>0</v>
      </c>
      <c r="BF808">
        <v>0</v>
      </c>
      <c r="BG808">
        <v>0</v>
      </c>
      <c r="BH808">
        <v>9300</v>
      </c>
      <c r="BI808">
        <v>1</v>
      </c>
      <c r="BJ808">
        <v>0</v>
      </c>
      <c r="BK808">
        <v>0</v>
      </c>
      <c r="BL808">
        <v>0</v>
      </c>
      <c r="BO808">
        <v>0</v>
      </c>
      <c r="BP808">
        <v>0</v>
      </c>
      <c r="BW808" t="str">
        <f t="shared" si="469"/>
        <v>14:51:12.610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293</v>
      </c>
      <c r="CR808">
        <v>1</v>
      </c>
      <c r="CW808">
        <v>15277364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25">
      <c r="A809" t="str">
        <f t="shared" ref="A809:A816" si="471">"06/05/2020 14:51:07.915"</f>
        <v>06/05/2020 14:51:07.915</v>
      </c>
      <c r="C809" t="str">
        <f t="shared" si="470"/>
        <v>FFDFD3C0</v>
      </c>
      <c r="D809" t="s">
        <v>113</v>
      </c>
      <c r="E809">
        <v>3</v>
      </c>
      <c r="H809">
        <v>166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ref="S809:S816" si="472">"14:51:13.563"</f>
        <v>14:51:13.563</v>
      </c>
      <c r="T809" t="str">
        <f>"14:51:13.063"</f>
        <v>14:51:13.063</v>
      </c>
      <c r="U809" t="str">
        <f t="shared" si="455"/>
        <v>ACC530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1</v>
      </c>
      <c r="AH809">
        <v>0</v>
      </c>
      <c r="AI809" t="s">
        <v>409</v>
      </c>
      <c r="AJ809">
        <v>34.222219000000003</v>
      </c>
      <c r="AK809" t="s">
        <v>410</v>
      </c>
      <c r="AL809">
        <v>-116.92877799999999</v>
      </c>
      <c r="AM809">
        <v>100</v>
      </c>
      <c r="AN809">
        <v>9200</v>
      </c>
      <c r="AO809" t="s">
        <v>118</v>
      </c>
      <c r="AP809">
        <v>-82</v>
      </c>
      <c r="AQ809">
        <v>-42</v>
      </c>
      <c r="AR809">
        <v>-64</v>
      </c>
      <c r="AZ809">
        <v>1200</v>
      </c>
      <c r="BA809">
        <v>1</v>
      </c>
      <c r="BB809" t="str">
        <f t="shared" si="456"/>
        <v xml:space="preserve">N9217B  </v>
      </c>
      <c r="BC809">
        <v>1</v>
      </c>
      <c r="BE809">
        <v>0</v>
      </c>
      <c r="BF809">
        <v>0</v>
      </c>
      <c r="BG809">
        <v>0</v>
      </c>
      <c r="BH809">
        <v>9300</v>
      </c>
      <c r="BI809">
        <v>1</v>
      </c>
      <c r="BJ809">
        <v>0</v>
      </c>
      <c r="BK809">
        <v>0</v>
      </c>
      <c r="BL809">
        <v>0</v>
      </c>
      <c r="BO809">
        <v>0</v>
      </c>
      <c r="BP809">
        <v>0</v>
      </c>
      <c r="BW809" t="str">
        <f t="shared" ref="BW809:BW816" si="473">"14:51:13.570"</f>
        <v>14:51:13.570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6</v>
      </c>
      <c r="CP809" t="s">
        <v>119</v>
      </c>
      <c r="CQ809">
        <v>295</v>
      </c>
      <c r="CR809">
        <v>1</v>
      </c>
      <c r="CW809">
        <v>12427993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25">
      <c r="A810" t="str">
        <f t="shared" si="471"/>
        <v>06/05/2020 14:51:07.915</v>
      </c>
      <c r="C810" t="str">
        <f t="shared" si="470"/>
        <v>FFDFD3C0</v>
      </c>
      <c r="D810" t="s">
        <v>143</v>
      </c>
      <c r="E810">
        <v>10</v>
      </c>
      <c r="F810">
        <v>3010</v>
      </c>
      <c r="G810" t="s">
        <v>144</v>
      </c>
      <c r="J810" t="s">
        <v>145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72"/>
        <v>14:51:13.563</v>
      </c>
      <c r="T810" t="str">
        <f>"14:51:13.063"</f>
        <v>14:51:13.063</v>
      </c>
      <c r="U810" t="str">
        <f t="shared" si="455"/>
        <v>ACC530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1</v>
      </c>
      <c r="AH810">
        <v>0</v>
      </c>
      <c r="AI810" t="s">
        <v>409</v>
      </c>
      <c r="AJ810">
        <v>34.222219000000003</v>
      </c>
      <c r="AK810" t="s">
        <v>410</v>
      </c>
      <c r="AL810">
        <v>-116.92877799999999</v>
      </c>
      <c r="AM810">
        <v>100</v>
      </c>
      <c r="AN810">
        <v>9200</v>
      </c>
      <c r="AO810" t="s">
        <v>118</v>
      </c>
      <c r="AP810">
        <v>-82</v>
      </c>
      <c r="AQ810">
        <v>-42</v>
      </c>
      <c r="AR810">
        <v>-64</v>
      </c>
      <c r="AZ810">
        <v>1200</v>
      </c>
      <c r="BA810">
        <v>1</v>
      </c>
      <c r="BB810" t="str">
        <f t="shared" si="456"/>
        <v xml:space="preserve">N9217B  </v>
      </c>
      <c r="BC810">
        <v>1</v>
      </c>
      <c r="BE810">
        <v>0</v>
      </c>
      <c r="BF810">
        <v>0</v>
      </c>
      <c r="BG810">
        <v>0</v>
      </c>
      <c r="BH810">
        <v>9300</v>
      </c>
      <c r="BI810">
        <v>1</v>
      </c>
      <c r="BJ810">
        <v>0</v>
      </c>
      <c r="BK810">
        <v>0</v>
      </c>
      <c r="BL810">
        <v>0</v>
      </c>
      <c r="BO810">
        <v>0</v>
      </c>
      <c r="BP810">
        <v>0</v>
      </c>
      <c r="BW810" t="str">
        <f t="shared" si="473"/>
        <v>14:51:13.570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6</v>
      </c>
      <c r="CP810" t="s">
        <v>119</v>
      </c>
      <c r="CQ810">
        <v>295</v>
      </c>
      <c r="CR810">
        <v>1</v>
      </c>
      <c r="CW810">
        <v>12427993</v>
      </c>
      <c r="CY810">
        <v>0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25">
      <c r="A811" t="str">
        <f t="shared" si="471"/>
        <v>06/05/2020 14:51:07.915</v>
      </c>
      <c r="C811" t="str">
        <f t="shared" si="470"/>
        <v>FFDFD3C0</v>
      </c>
      <c r="D811" t="s">
        <v>148</v>
      </c>
      <c r="E811">
        <v>11</v>
      </c>
      <c r="H811">
        <v>53</v>
      </c>
      <c r="I811" t="s">
        <v>364</v>
      </c>
      <c r="J811" t="s">
        <v>150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72"/>
        <v>14:51:13.563</v>
      </c>
      <c r="T811" t="str">
        <f>"14:51:13.063"</f>
        <v>14:51:13.063</v>
      </c>
      <c r="U811" t="str">
        <f t="shared" si="455"/>
        <v>ACC530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1</v>
      </c>
      <c r="AH811">
        <v>0</v>
      </c>
      <c r="AI811" t="s">
        <v>409</v>
      </c>
      <c r="AJ811">
        <v>34.222219000000003</v>
      </c>
      <c r="AK811" t="s">
        <v>410</v>
      </c>
      <c r="AL811">
        <v>-116.92877799999999</v>
      </c>
      <c r="AM811">
        <v>100</v>
      </c>
      <c r="AN811">
        <v>9200</v>
      </c>
      <c r="AO811" t="s">
        <v>118</v>
      </c>
      <c r="AP811">
        <v>-82</v>
      </c>
      <c r="AQ811">
        <v>-42</v>
      </c>
      <c r="AR811">
        <v>-64</v>
      </c>
      <c r="AZ811">
        <v>1200</v>
      </c>
      <c r="BA811">
        <v>1</v>
      </c>
      <c r="BB811" t="str">
        <f t="shared" si="456"/>
        <v xml:space="preserve">N9217B  </v>
      </c>
      <c r="BC811">
        <v>1</v>
      </c>
      <c r="BE811">
        <v>0</v>
      </c>
      <c r="BF811">
        <v>0</v>
      </c>
      <c r="BG811">
        <v>0</v>
      </c>
      <c r="BH811">
        <v>9300</v>
      </c>
      <c r="BI811">
        <v>1</v>
      </c>
      <c r="BJ811">
        <v>0</v>
      </c>
      <c r="BK811">
        <v>0</v>
      </c>
      <c r="BL811">
        <v>0</v>
      </c>
      <c r="BO811">
        <v>0</v>
      </c>
      <c r="BP811">
        <v>0</v>
      </c>
      <c r="BW811" t="str">
        <f t="shared" si="473"/>
        <v>14:51:13.570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6</v>
      </c>
      <c r="CP811" t="s">
        <v>119</v>
      </c>
      <c r="CQ811">
        <v>293</v>
      </c>
      <c r="CR811">
        <v>2</v>
      </c>
      <c r="CW811">
        <v>15277478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25">
      <c r="A812" t="str">
        <f t="shared" si="471"/>
        <v>06/05/2020 14:51:07.915</v>
      </c>
      <c r="C812" t="str">
        <f t="shared" si="470"/>
        <v>FFDFD3C0</v>
      </c>
      <c r="D812" t="s">
        <v>141</v>
      </c>
      <c r="E812">
        <v>20</v>
      </c>
      <c r="F812">
        <v>1020</v>
      </c>
      <c r="G812" t="s">
        <v>114</v>
      </c>
      <c r="J812" t="s">
        <v>142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472"/>
        <v>14:51:13.563</v>
      </c>
      <c r="T812" t="str">
        <f>"14:51:13.063"</f>
        <v>14:51:13.063</v>
      </c>
      <c r="U812" t="str">
        <f t="shared" si="455"/>
        <v>ACC530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1</v>
      </c>
      <c r="AH812">
        <v>0</v>
      </c>
      <c r="AI812" t="s">
        <v>409</v>
      </c>
      <c r="AJ812">
        <v>34.222219000000003</v>
      </c>
      <c r="AK812" t="s">
        <v>410</v>
      </c>
      <c r="AL812">
        <v>-116.92877799999999</v>
      </c>
      <c r="AM812">
        <v>100</v>
      </c>
      <c r="AN812">
        <v>9200</v>
      </c>
      <c r="AO812" t="s">
        <v>118</v>
      </c>
      <c r="AP812">
        <v>-82</v>
      </c>
      <c r="AQ812">
        <v>-42</v>
      </c>
      <c r="AR812">
        <v>-64</v>
      </c>
      <c r="AZ812">
        <v>1200</v>
      </c>
      <c r="BA812">
        <v>1</v>
      </c>
      <c r="BB812" t="str">
        <f t="shared" si="456"/>
        <v xml:space="preserve">N9217B  </v>
      </c>
      <c r="BC812">
        <v>1</v>
      </c>
      <c r="BE812">
        <v>0</v>
      </c>
      <c r="BF812">
        <v>0</v>
      </c>
      <c r="BG812">
        <v>0</v>
      </c>
      <c r="BH812">
        <v>9300</v>
      </c>
      <c r="BI812">
        <v>1</v>
      </c>
      <c r="BJ812">
        <v>0</v>
      </c>
      <c r="BK812">
        <v>0</v>
      </c>
      <c r="BL812">
        <v>0</v>
      </c>
      <c r="BO812">
        <v>0</v>
      </c>
      <c r="BP812">
        <v>0</v>
      </c>
      <c r="BW812" t="str">
        <f t="shared" si="473"/>
        <v>14:51:13.570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6</v>
      </c>
      <c r="CP812" t="s">
        <v>119</v>
      </c>
      <c r="CQ812">
        <v>295</v>
      </c>
      <c r="CR812">
        <v>1</v>
      </c>
      <c r="CW812">
        <v>12427993</v>
      </c>
      <c r="CY812">
        <v>0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25">
      <c r="A813" t="str">
        <f t="shared" si="471"/>
        <v>06/05/2020 14:51:07.915</v>
      </c>
      <c r="C813" t="str">
        <f t="shared" si="470"/>
        <v>FFDFD3C0</v>
      </c>
      <c r="D813" t="s">
        <v>151</v>
      </c>
      <c r="E813">
        <v>8</v>
      </c>
      <c r="H813">
        <v>225</v>
      </c>
      <c r="I813" t="s">
        <v>353</v>
      </c>
      <c r="J813" t="s">
        <v>150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472"/>
        <v>14:51:13.563</v>
      </c>
      <c r="T813" t="str">
        <f>"14:51:12.663"</f>
        <v>14:51:12.663</v>
      </c>
      <c r="U813" t="str">
        <f t="shared" si="455"/>
        <v>ACC530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1</v>
      </c>
      <c r="AH813">
        <v>0</v>
      </c>
      <c r="AI813" t="s">
        <v>409</v>
      </c>
      <c r="AJ813">
        <v>34.222219000000003</v>
      </c>
      <c r="AK813" t="s">
        <v>410</v>
      </c>
      <c r="AL813">
        <v>-116.92877799999999</v>
      </c>
      <c r="AM813">
        <v>100</v>
      </c>
      <c r="AN813">
        <v>9200</v>
      </c>
      <c r="AO813" t="s">
        <v>118</v>
      </c>
      <c r="AP813">
        <v>-82</v>
      </c>
      <c r="AQ813">
        <v>-42</v>
      </c>
      <c r="AR813">
        <v>0</v>
      </c>
      <c r="AZ813">
        <v>1200</v>
      </c>
      <c r="BA813">
        <v>1</v>
      </c>
      <c r="BB813" t="str">
        <f t="shared" si="456"/>
        <v xml:space="preserve">N9217B  </v>
      </c>
      <c r="BC813">
        <v>1</v>
      </c>
      <c r="BE813">
        <v>0</v>
      </c>
      <c r="BF813">
        <v>0</v>
      </c>
      <c r="BG813">
        <v>0</v>
      </c>
      <c r="BH813">
        <v>9300</v>
      </c>
      <c r="BI813">
        <v>1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 t="shared" si="473"/>
        <v>14:51:13.570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5</v>
      </c>
      <c r="CP813" t="s">
        <v>119</v>
      </c>
      <c r="CQ813">
        <v>285</v>
      </c>
      <c r="CR813">
        <v>0</v>
      </c>
      <c r="CW813">
        <v>8845761</v>
      </c>
      <c r="CY813">
        <v>0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25">
      <c r="A814" t="str">
        <f t="shared" si="471"/>
        <v>06/05/2020 14:51:07.915</v>
      </c>
      <c r="C814" t="str">
        <f t="shared" si="470"/>
        <v>FFDFD3C0</v>
      </c>
      <c r="D814" t="s">
        <v>151</v>
      </c>
      <c r="E814">
        <v>9</v>
      </c>
      <c r="H814">
        <v>226</v>
      </c>
      <c r="I814" t="s">
        <v>152</v>
      </c>
      <c r="J814" t="s">
        <v>150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472"/>
        <v>14:51:13.563</v>
      </c>
      <c r="T814" t="str">
        <f>"14:51:13.063"</f>
        <v>14:51:13.063</v>
      </c>
      <c r="U814" t="str">
        <f t="shared" si="455"/>
        <v>ACC530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1</v>
      </c>
      <c r="AH814">
        <v>0</v>
      </c>
      <c r="AI814" t="s">
        <v>409</v>
      </c>
      <c r="AJ814">
        <v>34.222219000000003</v>
      </c>
      <c r="AK814" t="s">
        <v>410</v>
      </c>
      <c r="AL814">
        <v>-116.92877799999999</v>
      </c>
      <c r="AM814">
        <v>100</v>
      </c>
      <c r="AN814">
        <v>9200</v>
      </c>
      <c r="AO814" t="s">
        <v>118</v>
      </c>
      <c r="AP814">
        <v>-82</v>
      </c>
      <c r="AQ814">
        <v>-42</v>
      </c>
      <c r="AR814">
        <v>-64</v>
      </c>
      <c r="AZ814">
        <v>1200</v>
      </c>
      <c r="BA814">
        <v>1</v>
      </c>
      <c r="BB814" t="str">
        <f t="shared" si="456"/>
        <v xml:space="preserve">N9217B  </v>
      </c>
      <c r="BC814">
        <v>1</v>
      </c>
      <c r="BE814">
        <v>0</v>
      </c>
      <c r="BF814">
        <v>0</v>
      </c>
      <c r="BG814">
        <v>0</v>
      </c>
      <c r="BH814">
        <v>9300</v>
      </c>
      <c r="BI814">
        <v>1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 t="shared" si="473"/>
        <v>14:51:13.570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6</v>
      </c>
      <c r="CP814" t="s">
        <v>119</v>
      </c>
      <c r="CQ814">
        <v>293</v>
      </c>
      <c r="CR814">
        <v>2</v>
      </c>
      <c r="CW814">
        <v>15277478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25">
      <c r="A815" t="str">
        <f t="shared" si="471"/>
        <v>06/05/2020 14:51:07.915</v>
      </c>
      <c r="C815" t="str">
        <f t="shared" si="470"/>
        <v>FFDFD3C0</v>
      </c>
      <c r="D815" t="s">
        <v>148</v>
      </c>
      <c r="E815">
        <v>8</v>
      </c>
      <c r="H815">
        <v>50</v>
      </c>
      <c r="I815" t="s">
        <v>149</v>
      </c>
      <c r="J815" t="s">
        <v>150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72"/>
        <v>14:51:13.563</v>
      </c>
      <c r="T815" t="str">
        <f>"14:51:13.063"</f>
        <v>14:51:13.063</v>
      </c>
      <c r="U815" t="str">
        <f t="shared" si="455"/>
        <v>ACC530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1</v>
      </c>
      <c r="AH815">
        <v>0</v>
      </c>
      <c r="AI815" t="s">
        <v>409</v>
      </c>
      <c r="AJ815">
        <v>34.222219000000003</v>
      </c>
      <c r="AK815" t="s">
        <v>410</v>
      </c>
      <c r="AL815">
        <v>-116.92877799999999</v>
      </c>
      <c r="AM815">
        <v>100</v>
      </c>
      <c r="AN815">
        <v>9200</v>
      </c>
      <c r="AO815" t="s">
        <v>118</v>
      </c>
      <c r="AP815">
        <v>-82</v>
      </c>
      <c r="AQ815">
        <v>-42</v>
      </c>
      <c r="AR815">
        <v>-64</v>
      </c>
      <c r="AZ815">
        <v>1200</v>
      </c>
      <c r="BA815">
        <v>1</v>
      </c>
      <c r="BB815" t="str">
        <f t="shared" si="456"/>
        <v xml:space="preserve">N9217B  </v>
      </c>
      <c r="BC815">
        <v>1</v>
      </c>
      <c r="BE815">
        <v>0</v>
      </c>
      <c r="BF815">
        <v>0</v>
      </c>
      <c r="BG815">
        <v>0</v>
      </c>
      <c r="BH815">
        <v>9300</v>
      </c>
      <c r="BI815">
        <v>1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 t="shared" si="473"/>
        <v>14:51:13.570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6</v>
      </c>
      <c r="CP815" t="s">
        <v>119</v>
      </c>
      <c r="CQ815">
        <v>295</v>
      </c>
      <c r="CR815">
        <v>1</v>
      </c>
      <c r="CW815">
        <v>12427993</v>
      </c>
      <c r="CY815">
        <v>0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25">
      <c r="A816" t="str">
        <f t="shared" si="471"/>
        <v>06/05/2020 14:51:07.915</v>
      </c>
      <c r="C816" t="str">
        <f t="shared" si="470"/>
        <v>FFDFD3C0</v>
      </c>
      <c r="D816" t="s">
        <v>134</v>
      </c>
      <c r="E816">
        <v>7</v>
      </c>
      <c r="F816">
        <v>2007</v>
      </c>
      <c r="G816" t="s">
        <v>135</v>
      </c>
      <c r="J816" t="s">
        <v>136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472"/>
        <v>14:51:13.563</v>
      </c>
      <c r="T816" t="str">
        <f>"14:51:13.063"</f>
        <v>14:51:13.063</v>
      </c>
      <c r="U816" t="str">
        <f t="shared" si="455"/>
        <v>ACC530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1</v>
      </c>
      <c r="AH816">
        <v>0</v>
      </c>
      <c r="AI816" t="s">
        <v>409</v>
      </c>
      <c r="AJ816">
        <v>34.222219000000003</v>
      </c>
      <c r="AK816" t="s">
        <v>410</v>
      </c>
      <c r="AL816">
        <v>-116.92877799999999</v>
      </c>
      <c r="AM816">
        <v>100</v>
      </c>
      <c r="AN816">
        <v>9200</v>
      </c>
      <c r="AO816" t="s">
        <v>118</v>
      </c>
      <c r="AP816">
        <v>-82</v>
      </c>
      <c r="AQ816">
        <v>-42</v>
      </c>
      <c r="AR816">
        <v>-64</v>
      </c>
      <c r="AZ816">
        <v>1200</v>
      </c>
      <c r="BA816">
        <v>1</v>
      </c>
      <c r="BB816" t="str">
        <f t="shared" si="456"/>
        <v xml:space="preserve">N9217B  </v>
      </c>
      <c r="BC816">
        <v>1</v>
      </c>
      <c r="BE816">
        <v>0</v>
      </c>
      <c r="BF816">
        <v>0</v>
      </c>
      <c r="BG816">
        <v>0</v>
      </c>
      <c r="BH816">
        <v>9300</v>
      </c>
      <c r="BI816">
        <v>1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 t="shared" si="473"/>
        <v>14:51:13.570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6</v>
      </c>
      <c r="CP816" t="s">
        <v>119</v>
      </c>
      <c r="CQ816">
        <v>295</v>
      </c>
      <c r="CR816">
        <v>1</v>
      </c>
      <c r="CW816">
        <v>12427993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25">
      <c r="A817" t="str">
        <f t="shared" ref="A817:A824" si="474">"06/05/2020 14:51:08.909"</f>
        <v>06/05/2020 14:51:08.909</v>
      </c>
      <c r="C817" t="str">
        <f t="shared" si="470"/>
        <v>FFDFD3C0</v>
      </c>
      <c r="D817" t="s">
        <v>151</v>
      </c>
      <c r="E817">
        <v>9</v>
      </c>
      <c r="H817">
        <v>226</v>
      </c>
      <c r="I817" t="s">
        <v>152</v>
      </c>
      <c r="J817" t="s">
        <v>150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ref="S817:S824" si="475">"14:51:14.508"</f>
        <v>14:51:14.508</v>
      </c>
      <c r="T817" t="str">
        <f t="shared" ref="T817:T824" si="476">"14:51:14.208"</f>
        <v>14:51:14.208</v>
      </c>
      <c r="U817" t="str">
        <f t="shared" si="455"/>
        <v>ACC530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1</v>
      </c>
      <c r="AH817">
        <v>0</v>
      </c>
      <c r="AI817" t="s">
        <v>411</v>
      </c>
      <c r="AJ817">
        <v>34.222003999999998</v>
      </c>
      <c r="AK817" t="s">
        <v>412</v>
      </c>
      <c r="AL817">
        <v>-116.929164</v>
      </c>
      <c r="AM817">
        <v>100</v>
      </c>
      <c r="AN817">
        <v>9200</v>
      </c>
      <c r="AO817" t="s">
        <v>118</v>
      </c>
      <c r="AP817">
        <v>-83</v>
      </c>
      <c r="AQ817">
        <v>-42</v>
      </c>
      <c r="AR817">
        <v>-128</v>
      </c>
      <c r="AZ817">
        <v>1200</v>
      </c>
      <c r="BA817">
        <v>1</v>
      </c>
      <c r="BB817" t="str">
        <f t="shared" si="456"/>
        <v xml:space="preserve">N9217B  </v>
      </c>
      <c r="BC817">
        <v>1</v>
      </c>
      <c r="BE817">
        <v>0</v>
      </c>
      <c r="BF817">
        <v>0</v>
      </c>
      <c r="BG817">
        <v>0</v>
      </c>
      <c r="BH817">
        <v>9300</v>
      </c>
      <c r="BI817">
        <v>1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 t="shared" ref="BW817:BW824" si="477">"14:51:14.515"</f>
        <v>14:51:14.515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293</v>
      </c>
      <c r="CR817">
        <v>1</v>
      </c>
      <c r="CW817">
        <v>15277581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25">
      <c r="A818" t="str">
        <f t="shared" si="474"/>
        <v>06/05/2020 14:51:08.909</v>
      </c>
      <c r="C818" t="str">
        <f t="shared" si="470"/>
        <v>FFDFD3C0</v>
      </c>
      <c r="D818" t="s">
        <v>151</v>
      </c>
      <c r="E818">
        <v>8</v>
      </c>
      <c r="H818">
        <v>225</v>
      </c>
      <c r="I818" t="s">
        <v>353</v>
      </c>
      <c r="J818" t="s">
        <v>150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475"/>
        <v>14:51:14.508</v>
      </c>
      <c r="T818" t="str">
        <f t="shared" si="476"/>
        <v>14:51:14.208</v>
      </c>
      <c r="U818" t="str">
        <f t="shared" si="455"/>
        <v>ACC530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1</v>
      </c>
      <c r="AH818">
        <v>0</v>
      </c>
      <c r="AI818" t="s">
        <v>411</v>
      </c>
      <c r="AJ818">
        <v>34.222003999999998</v>
      </c>
      <c r="AK818" t="s">
        <v>412</v>
      </c>
      <c r="AL818">
        <v>-116.929164</v>
      </c>
      <c r="AM818">
        <v>100</v>
      </c>
      <c r="AN818">
        <v>9200</v>
      </c>
      <c r="AO818" t="s">
        <v>118</v>
      </c>
      <c r="AP818">
        <v>-83</v>
      </c>
      <c r="AQ818">
        <v>-42</v>
      </c>
      <c r="AR818">
        <v>-128</v>
      </c>
      <c r="AZ818">
        <v>1200</v>
      </c>
      <c r="BA818">
        <v>1</v>
      </c>
      <c r="BB818" t="str">
        <f t="shared" si="456"/>
        <v xml:space="preserve">N9217B  </v>
      </c>
      <c r="BC818">
        <v>1</v>
      </c>
      <c r="BE818">
        <v>0</v>
      </c>
      <c r="BF818">
        <v>0</v>
      </c>
      <c r="BG818">
        <v>0</v>
      </c>
      <c r="BH818">
        <v>9300</v>
      </c>
      <c r="BI818">
        <v>1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 t="shared" si="477"/>
        <v>14:51:14.515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5</v>
      </c>
      <c r="CP818" t="s">
        <v>119</v>
      </c>
      <c r="CQ818">
        <v>285</v>
      </c>
      <c r="CR818">
        <v>0</v>
      </c>
      <c r="CW818">
        <v>8845843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25">
      <c r="A819" t="str">
        <f t="shared" si="474"/>
        <v>06/05/2020 14:51:08.909</v>
      </c>
      <c r="C819" t="str">
        <f t="shared" si="470"/>
        <v>FFDFD3C0</v>
      </c>
      <c r="D819" t="s">
        <v>134</v>
      </c>
      <c r="E819">
        <v>7</v>
      </c>
      <c r="F819">
        <v>2007</v>
      </c>
      <c r="G819" t="s">
        <v>135</v>
      </c>
      <c r="J819" t="s">
        <v>136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475"/>
        <v>14:51:14.508</v>
      </c>
      <c r="T819" t="str">
        <f t="shared" si="476"/>
        <v>14:51:14.208</v>
      </c>
      <c r="U819" t="str">
        <f t="shared" si="455"/>
        <v>ACC530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1</v>
      </c>
      <c r="AH819">
        <v>0</v>
      </c>
      <c r="AI819" t="s">
        <v>411</v>
      </c>
      <c r="AJ819">
        <v>34.222003999999998</v>
      </c>
      <c r="AK819" t="s">
        <v>412</v>
      </c>
      <c r="AL819">
        <v>-116.929164</v>
      </c>
      <c r="AM819">
        <v>100</v>
      </c>
      <c r="AN819">
        <v>9200</v>
      </c>
      <c r="AO819" t="s">
        <v>118</v>
      </c>
      <c r="AP819">
        <v>-83</v>
      </c>
      <c r="AQ819">
        <v>-42</v>
      </c>
      <c r="AR819">
        <v>-128</v>
      </c>
      <c r="AZ819">
        <v>1200</v>
      </c>
      <c r="BA819">
        <v>1</v>
      </c>
      <c r="BB819" t="str">
        <f t="shared" si="456"/>
        <v xml:space="preserve">N9217B  </v>
      </c>
      <c r="BC819">
        <v>1</v>
      </c>
      <c r="BE819">
        <v>0</v>
      </c>
      <c r="BF819">
        <v>0</v>
      </c>
      <c r="BG819">
        <v>0</v>
      </c>
      <c r="BH819">
        <v>9300</v>
      </c>
      <c r="BI819">
        <v>1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 t="shared" si="477"/>
        <v>14:51:14.515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293</v>
      </c>
      <c r="CR819">
        <v>1</v>
      </c>
      <c r="CW819">
        <v>15277581</v>
      </c>
      <c r="CY819">
        <v>0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25">
      <c r="A820" t="str">
        <f t="shared" si="474"/>
        <v>06/05/2020 14:51:08.909</v>
      </c>
      <c r="C820" t="str">
        <f t="shared" si="470"/>
        <v>FFDFD3C0</v>
      </c>
      <c r="D820" t="s">
        <v>148</v>
      </c>
      <c r="E820">
        <v>8</v>
      </c>
      <c r="H820">
        <v>50</v>
      </c>
      <c r="I820" t="s">
        <v>149</v>
      </c>
      <c r="J820" t="s">
        <v>150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475"/>
        <v>14:51:14.508</v>
      </c>
      <c r="T820" t="str">
        <f t="shared" si="476"/>
        <v>14:51:14.208</v>
      </c>
      <c r="U820" t="str">
        <f t="shared" si="455"/>
        <v>ACC530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1</v>
      </c>
      <c r="AH820">
        <v>0</v>
      </c>
      <c r="AI820" t="s">
        <v>411</v>
      </c>
      <c r="AJ820">
        <v>34.222003999999998</v>
      </c>
      <c r="AK820" t="s">
        <v>412</v>
      </c>
      <c r="AL820">
        <v>-116.929164</v>
      </c>
      <c r="AM820">
        <v>100</v>
      </c>
      <c r="AN820">
        <v>9200</v>
      </c>
      <c r="AO820" t="s">
        <v>118</v>
      </c>
      <c r="AP820">
        <v>-83</v>
      </c>
      <c r="AQ820">
        <v>-42</v>
      </c>
      <c r="AR820">
        <v>-128</v>
      </c>
      <c r="AZ820">
        <v>1200</v>
      </c>
      <c r="BA820">
        <v>1</v>
      </c>
      <c r="BB820" t="str">
        <f t="shared" si="456"/>
        <v xml:space="preserve">N9217B  </v>
      </c>
      <c r="BC820">
        <v>1</v>
      </c>
      <c r="BE820">
        <v>0</v>
      </c>
      <c r="BF820">
        <v>0</v>
      </c>
      <c r="BG820">
        <v>0</v>
      </c>
      <c r="BH820">
        <v>9300</v>
      </c>
      <c r="BI820">
        <v>1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 t="shared" si="477"/>
        <v>14:51:14.515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293</v>
      </c>
      <c r="CR820">
        <v>1</v>
      </c>
      <c r="CW820">
        <v>15277581</v>
      </c>
      <c r="CY820">
        <v>0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25">
      <c r="A821" t="str">
        <f t="shared" si="474"/>
        <v>06/05/2020 14:51:08.909</v>
      </c>
      <c r="C821" t="str">
        <f t="shared" si="470"/>
        <v>FFDFD3C0</v>
      </c>
      <c r="D821" t="s">
        <v>113</v>
      </c>
      <c r="E821">
        <v>3</v>
      </c>
      <c r="H821">
        <v>166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475"/>
        <v>14:51:14.508</v>
      </c>
      <c r="T821" t="str">
        <f t="shared" si="476"/>
        <v>14:51:14.208</v>
      </c>
      <c r="U821" t="str">
        <f t="shared" si="455"/>
        <v>ACC530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1</v>
      </c>
      <c r="AH821">
        <v>0</v>
      </c>
      <c r="AI821" t="s">
        <v>411</v>
      </c>
      <c r="AJ821">
        <v>34.222003999999998</v>
      </c>
      <c r="AK821" t="s">
        <v>412</v>
      </c>
      <c r="AL821">
        <v>-116.929164</v>
      </c>
      <c r="AM821">
        <v>100</v>
      </c>
      <c r="AN821">
        <v>9200</v>
      </c>
      <c r="AO821" t="s">
        <v>118</v>
      </c>
      <c r="AP821">
        <v>-83</v>
      </c>
      <c r="AQ821">
        <v>-42</v>
      </c>
      <c r="AR821">
        <v>-128</v>
      </c>
      <c r="AZ821">
        <v>1200</v>
      </c>
      <c r="BA821">
        <v>1</v>
      </c>
      <c r="BB821" t="str">
        <f t="shared" si="456"/>
        <v xml:space="preserve">N9217B  </v>
      </c>
      <c r="BC821">
        <v>1</v>
      </c>
      <c r="BE821">
        <v>0</v>
      </c>
      <c r="BF821">
        <v>0</v>
      </c>
      <c r="BG821">
        <v>0</v>
      </c>
      <c r="BH821">
        <v>9300</v>
      </c>
      <c r="BI821">
        <v>1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 t="shared" si="477"/>
        <v>14:51:14.515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293</v>
      </c>
      <c r="CR821">
        <v>1</v>
      </c>
      <c r="CW821">
        <v>15277581</v>
      </c>
      <c r="CY821">
        <v>0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25">
      <c r="A822" t="str">
        <f t="shared" si="474"/>
        <v>06/05/2020 14:51:08.909</v>
      </c>
      <c r="C822" t="str">
        <f t="shared" si="470"/>
        <v>FFDFD3C0</v>
      </c>
      <c r="D822" t="s">
        <v>143</v>
      </c>
      <c r="E822">
        <v>10</v>
      </c>
      <c r="F822">
        <v>3010</v>
      </c>
      <c r="G822" t="s">
        <v>144</v>
      </c>
      <c r="J822" t="s">
        <v>145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475"/>
        <v>14:51:14.508</v>
      </c>
      <c r="T822" t="str">
        <f t="shared" si="476"/>
        <v>14:51:14.208</v>
      </c>
      <c r="U822" t="str">
        <f t="shared" si="455"/>
        <v>ACC530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1</v>
      </c>
      <c r="AH822">
        <v>0</v>
      </c>
      <c r="AI822" t="s">
        <v>411</v>
      </c>
      <c r="AJ822">
        <v>34.222003999999998</v>
      </c>
      <c r="AK822" t="s">
        <v>412</v>
      </c>
      <c r="AL822">
        <v>-116.929164</v>
      </c>
      <c r="AM822">
        <v>100</v>
      </c>
      <c r="AN822">
        <v>9200</v>
      </c>
      <c r="AO822" t="s">
        <v>118</v>
      </c>
      <c r="AP822">
        <v>-83</v>
      </c>
      <c r="AQ822">
        <v>-42</v>
      </c>
      <c r="AR822">
        <v>-128</v>
      </c>
      <c r="AZ822">
        <v>1200</v>
      </c>
      <c r="BA822">
        <v>1</v>
      </c>
      <c r="BB822" t="str">
        <f t="shared" si="456"/>
        <v xml:space="preserve">N9217B  </v>
      </c>
      <c r="BC822">
        <v>1</v>
      </c>
      <c r="BE822">
        <v>0</v>
      </c>
      <c r="BF822">
        <v>0</v>
      </c>
      <c r="BG822">
        <v>0</v>
      </c>
      <c r="BH822">
        <v>9300</v>
      </c>
      <c r="BI822">
        <v>1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 t="shared" si="477"/>
        <v>14:51:14.515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293</v>
      </c>
      <c r="CR822">
        <v>1</v>
      </c>
      <c r="CW822">
        <v>15277581</v>
      </c>
      <c r="CY822">
        <v>0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25">
      <c r="A823" t="str">
        <f t="shared" si="474"/>
        <v>06/05/2020 14:51:08.909</v>
      </c>
      <c r="C823" t="str">
        <f t="shared" si="470"/>
        <v>FFDFD3C0</v>
      </c>
      <c r="D823" t="s">
        <v>141</v>
      </c>
      <c r="E823">
        <v>20</v>
      </c>
      <c r="F823">
        <v>1020</v>
      </c>
      <c r="G823" t="s">
        <v>114</v>
      </c>
      <c r="J823" t="s">
        <v>142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475"/>
        <v>14:51:14.508</v>
      </c>
      <c r="T823" t="str">
        <f t="shared" si="476"/>
        <v>14:51:14.208</v>
      </c>
      <c r="U823" t="str">
        <f t="shared" si="455"/>
        <v>ACC530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1</v>
      </c>
      <c r="AH823">
        <v>0</v>
      </c>
      <c r="AI823" t="s">
        <v>411</v>
      </c>
      <c r="AJ823">
        <v>34.222003999999998</v>
      </c>
      <c r="AK823" t="s">
        <v>412</v>
      </c>
      <c r="AL823">
        <v>-116.929164</v>
      </c>
      <c r="AM823">
        <v>100</v>
      </c>
      <c r="AN823">
        <v>9200</v>
      </c>
      <c r="AO823" t="s">
        <v>118</v>
      </c>
      <c r="AP823">
        <v>-83</v>
      </c>
      <c r="AQ823">
        <v>-42</v>
      </c>
      <c r="AR823">
        <v>-128</v>
      </c>
      <c r="AZ823">
        <v>1200</v>
      </c>
      <c r="BA823">
        <v>1</v>
      </c>
      <c r="BB823" t="str">
        <f t="shared" si="456"/>
        <v xml:space="preserve">N9217B  </v>
      </c>
      <c r="BC823">
        <v>1</v>
      </c>
      <c r="BE823">
        <v>0</v>
      </c>
      <c r="BF823">
        <v>0</v>
      </c>
      <c r="BG823">
        <v>0</v>
      </c>
      <c r="BH823">
        <v>9300</v>
      </c>
      <c r="BI823">
        <v>1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 t="shared" si="477"/>
        <v>14:51:14.515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293</v>
      </c>
      <c r="CR823">
        <v>1</v>
      </c>
      <c r="CW823">
        <v>15277581</v>
      </c>
      <c r="CY823">
        <v>0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25">
      <c r="A824" t="str">
        <f t="shared" si="474"/>
        <v>06/05/2020 14:51:08.909</v>
      </c>
      <c r="C824" t="str">
        <f t="shared" si="470"/>
        <v>FFDFD3C0</v>
      </c>
      <c r="D824" t="s">
        <v>148</v>
      </c>
      <c r="E824">
        <v>11</v>
      </c>
      <c r="H824">
        <v>53</v>
      </c>
      <c r="I824" t="s">
        <v>364</v>
      </c>
      <c r="J824" t="s">
        <v>150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475"/>
        <v>14:51:14.508</v>
      </c>
      <c r="T824" t="str">
        <f t="shared" si="476"/>
        <v>14:51:14.208</v>
      </c>
      <c r="U824" t="str">
        <f t="shared" si="455"/>
        <v>ACC530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1</v>
      </c>
      <c r="AH824">
        <v>0</v>
      </c>
      <c r="AI824" t="s">
        <v>411</v>
      </c>
      <c r="AJ824">
        <v>34.222003999999998</v>
      </c>
      <c r="AK824" t="s">
        <v>412</v>
      </c>
      <c r="AL824">
        <v>-116.929164</v>
      </c>
      <c r="AM824">
        <v>100</v>
      </c>
      <c r="AN824">
        <v>9200</v>
      </c>
      <c r="AO824" t="s">
        <v>118</v>
      </c>
      <c r="AP824">
        <v>-83</v>
      </c>
      <c r="AQ824">
        <v>-42</v>
      </c>
      <c r="AR824">
        <v>-128</v>
      </c>
      <c r="AZ824">
        <v>1200</v>
      </c>
      <c r="BA824">
        <v>1</v>
      </c>
      <c r="BB824" t="str">
        <f t="shared" si="456"/>
        <v xml:space="preserve">N9217B  </v>
      </c>
      <c r="BC824">
        <v>1</v>
      </c>
      <c r="BE824">
        <v>0</v>
      </c>
      <c r="BF824">
        <v>0</v>
      </c>
      <c r="BG824">
        <v>0</v>
      </c>
      <c r="BH824">
        <v>9300</v>
      </c>
      <c r="BI824">
        <v>1</v>
      </c>
      <c r="BJ824">
        <v>0</v>
      </c>
      <c r="BK824">
        <v>0</v>
      </c>
      <c r="BL824">
        <v>0</v>
      </c>
      <c r="BO824">
        <v>0</v>
      </c>
      <c r="BP824">
        <v>0</v>
      </c>
      <c r="BW824" t="str">
        <f t="shared" si="477"/>
        <v>14:51:14.515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293</v>
      </c>
      <c r="CR824">
        <v>1</v>
      </c>
      <c r="CW824">
        <v>15277581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25">
      <c r="A825" t="str">
        <f t="shared" ref="A825:A832" si="478">"06/05/2020 14:51:09.817"</f>
        <v>06/05/2020 14:51:09.817</v>
      </c>
      <c r="C825" t="str">
        <f t="shared" si="470"/>
        <v>FFDFD3C0</v>
      </c>
      <c r="D825" t="s">
        <v>151</v>
      </c>
      <c r="E825">
        <v>9</v>
      </c>
      <c r="H825">
        <v>226</v>
      </c>
      <c r="I825" t="s">
        <v>152</v>
      </c>
      <c r="J825" t="s">
        <v>150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ref="S825:S832" si="479">"14:51:15.453"</f>
        <v>14:51:15.453</v>
      </c>
      <c r="T825" t="str">
        <f t="shared" ref="T825:T832" si="480">"14:51:15.153"</f>
        <v>14:51:15.153</v>
      </c>
      <c r="U825" t="str">
        <f t="shared" si="455"/>
        <v>ACC530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9</v>
      </c>
      <c r="AE825">
        <v>0</v>
      </c>
      <c r="AF825">
        <v>3</v>
      </c>
      <c r="AG825">
        <v>1</v>
      </c>
      <c r="AH825">
        <v>0</v>
      </c>
      <c r="AI825" t="s">
        <v>413</v>
      </c>
      <c r="AJ825">
        <v>34.221854</v>
      </c>
      <c r="AK825" t="s">
        <v>414</v>
      </c>
      <c r="AL825">
        <v>-116.929615</v>
      </c>
      <c r="AM825">
        <v>100</v>
      </c>
      <c r="AN825">
        <v>9200</v>
      </c>
      <c r="AO825" t="s">
        <v>118</v>
      </c>
      <c r="AP825">
        <v>-84</v>
      </c>
      <c r="AQ825">
        <v>-43</v>
      </c>
      <c r="AR825">
        <v>-256</v>
      </c>
      <c r="AZ825">
        <v>1200</v>
      </c>
      <c r="BA825">
        <v>1</v>
      </c>
      <c r="BB825" t="str">
        <f t="shared" si="456"/>
        <v xml:space="preserve">N9217B  </v>
      </c>
      <c r="BC825">
        <v>1</v>
      </c>
      <c r="BE825">
        <v>0</v>
      </c>
      <c r="BF825">
        <v>0</v>
      </c>
      <c r="BG825">
        <v>0</v>
      </c>
      <c r="BH825">
        <v>9300</v>
      </c>
      <c r="BI825">
        <v>1</v>
      </c>
      <c r="BJ825">
        <v>0</v>
      </c>
      <c r="BK825">
        <v>0</v>
      </c>
      <c r="BL825">
        <v>0</v>
      </c>
      <c r="BO825">
        <v>0</v>
      </c>
      <c r="BP825">
        <v>0</v>
      </c>
      <c r="BW825" t="str">
        <f t="shared" ref="BW825:BW832" si="481">"14:51:15.460"</f>
        <v>14:51:15.460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293</v>
      </c>
      <c r="CR825">
        <v>1</v>
      </c>
      <c r="CW825">
        <v>15277694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25">
      <c r="A826" t="str">
        <f t="shared" si="478"/>
        <v>06/05/2020 14:51:09.817</v>
      </c>
      <c r="C826" t="str">
        <f t="shared" si="470"/>
        <v>FFDFD3C0</v>
      </c>
      <c r="D826" t="s">
        <v>151</v>
      </c>
      <c r="E826">
        <v>8</v>
      </c>
      <c r="H826">
        <v>225</v>
      </c>
      <c r="I826" t="s">
        <v>353</v>
      </c>
      <c r="J826" t="s">
        <v>150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79"/>
        <v>14:51:15.453</v>
      </c>
      <c r="T826" t="str">
        <f t="shared" si="480"/>
        <v>14:51:15.153</v>
      </c>
      <c r="U826" t="str">
        <f t="shared" si="455"/>
        <v>ACC530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1</v>
      </c>
      <c r="AH826">
        <v>0</v>
      </c>
      <c r="AI826" t="s">
        <v>413</v>
      </c>
      <c r="AJ826">
        <v>34.221854</v>
      </c>
      <c r="AK826" t="s">
        <v>414</v>
      </c>
      <c r="AL826">
        <v>-116.929615</v>
      </c>
      <c r="AM826">
        <v>100</v>
      </c>
      <c r="AN826">
        <v>9200</v>
      </c>
      <c r="AO826" t="s">
        <v>118</v>
      </c>
      <c r="AP826">
        <v>-84</v>
      </c>
      <c r="AQ826">
        <v>-43</v>
      </c>
      <c r="AR826">
        <v>-256</v>
      </c>
      <c r="AZ826">
        <v>1200</v>
      </c>
      <c r="BA826">
        <v>1</v>
      </c>
      <c r="BB826" t="str">
        <f t="shared" si="456"/>
        <v xml:space="preserve">N9217B  </v>
      </c>
      <c r="BC826">
        <v>1</v>
      </c>
      <c r="BE826">
        <v>0</v>
      </c>
      <c r="BF826">
        <v>0</v>
      </c>
      <c r="BG826">
        <v>0</v>
      </c>
      <c r="BH826">
        <v>9300</v>
      </c>
      <c r="BI826">
        <v>1</v>
      </c>
      <c r="BJ826">
        <v>0</v>
      </c>
      <c r="BK826">
        <v>0</v>
      </c>
      <c r="BL826">
        <v>0</v>
      </c>
      <c r="BO826">
        <v>0</v>
      </c>
      <c r="BP826">
        <v>0</v>
      </c>
      <c r="BW826" t="str">
        <f t="shared" si="481"/>
        <v>14:51:15.460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5</v>
      </c>
      <c r="CP826" t="s">
        <v>119</v>
      </c>
      <c r="CQ826">
        <v>285</v>
      </c>
      <c r="CR826">
        <v>0</v>
      </c>
      <c r="CW826">
        <v>8845923</v>
      </c>
      <c r="CY826">
        <v>0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25">
      <c r="A827" t="str">
        <f t="shared" si="478"/>
        <v>06/05/2020 14:51:09.817</v>
      </c>
      <c r="C827" t="str">
        <f t="shared" si="470"/>
        <v>FFDFD3C0</v>
      </c>
      <c r="D827" t="s">
        <v>134</v>
      </c>
      <c r="E827">
        <v>7</v>
      </c>
      <c r="F827">
        <v>2007</v>
      </c>
      <c r="G827" t="s">
        <v>135</v>
      </c>
      <c r="J827" t="s">
        <v>136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79"/>
        <v>14:51:15.453</v>
      </c>
      <c r="T827" t="str">
        <f t="shared" si="480"/>
        <v>14:51:15.153</v>
      </c>
      <c r="U827" t="str">
        <f t="shared" si="455"/>
        <v>ACC530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1</v>
      </c>
      <c r="AH827">
        <v>0</v>
      </c>
      <c r="AI827" t="s">
        <v>413</v>
      </c>
      <c r="AJ827">
        <v>34.221854</v>
      </c>
      <c r="AK827" t="s">
        <v>414</v>
      </c>
      <c r="AL827">
        <v>-116.929615</v>
      </c>
      <c r="AM827">
        <v>100</v>
      </c>
      <c r="AN827">
        <v>9200</v>
      </c>
      <c r="AO827" t="s">
        <v>118</v>
      </c>
      <c r="AP827">
        <v>-84</v>
      </c>
      <c r="AQ827">
        <v>-43</v>
      </c>
      <c r="AR827">
        <v>-256</v>
      </c>
      <c r="AZ827">
        <v>1200</v>
      </c>
      <c r="BA827">
        <v>1</v>
      </c>
      <c r="BB827" t="str">
        <f t="shared" si="456"/>
        <v xml:space="preserve">N9217B  </v>
      </c>
      <c r="BC827">
        <v>1</v>
      </c>
      <c r="BE827">
        <v>0</v>
      </c>
      <c r="BF827">
        <v>0</v>
      </c>
      <c r="BG827">
        <v>0</v>
      </c>
      <c r="BH827">
        <v>9300</v>
      </c>
      <c r="BI827">
        <v>1</v>
      </c>
      <c r="BJ827">
        <v>0</v>
      </c>
      <c r="BK827">
        <v>0</v>
      </c>
      <c r="BL827">
        <v>0</v>
      </c>
      <c r="BO827">
        <v>0</v>
      </c>
      <c r="BP827">
        <v>0</v>
      </c>
      <c r="BW827" t="str">
        <f t="shared" si="481"/>
        <v>14:51:15.460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293</v>
      </c>
      <c r="CR827">
        <v>1</v>
      </c>
      <c r="CW827">
        <v>15277694</v>
      </c>
      <c r="CY827">
        <v>0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25">
      <c r="A828" t="str">
        <f t="shared" si="478"/>
        <v>06/05/2020 14:51:09.817</v>
      </c>
      <c r="C828" t="str">
        <f t="shared" si="470"/>
        <v>FFDFD3C0</v>
      </c>
      <c r="D828" t="s">
        <v>148</v>
      </c>
      <c r="E828">
        <v>8</v>
      </c>
      <c r="H828">
        <v>50</v>
      </c>
      <c r="I828" t="s">
        <v>149</v>
      </c>
      <c r="J828" t="s">
        <v>150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479"/>
        <v>14:51:15.453</v>
      </c>
      <c r="T828" t="str">
        <f t="shared" si="480"/>
        <v>14:51:15.153</v>
      </c>
      <c r="U828" t="str">
        <f t="shared" si="455"/>
        <v>ACC530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1</v>
      </c>
      <c r="AH828">
        <v>0</v>
      </c>
      <c r="AI828" t="s">
        <v>413</v>
      </c>
      <c r="AJ828">
        <v>34.221854</v>
      </c>
      <c r="AK828" t="s">
        <v>414</v>
      </c>
      <c r="AL828">
        <v>-116.929615</v>
      </c>
      <c r="AM828">
        <v>100</v>
      </c>
      <c r="AN828">
        <v>9200</v>
      </c>
      <c r="AO828" t="s">
        <v>118</v>
      </c>
      <c r="AP828">
        <v>-84</v>
      </c>
      <c r="AQ828">
        <v>-43</v>
      </c>
      <c r="AR828">
        <v>-256</v>
      </c>
      <c r="AZ828">
        <v>1200</v>
      </c>
      <c r="BA828">
        <v>1</v>
      </c>
      <c r="BB828" t="str">
        <f t="shared" si="456"/>
        <v xml:space="preserve">N9217B  </v>
      </c>
      <c r="BC828">
        <v>1</v>
      </c>
      <c r="BE828">
        <v>0</v>
      </c>
      <c r="BF828">
        <v>0</v>
      </c>
      <c r="BG828">
        <v>0</v>
      </c>
      <c r="BH828">
        <v>9300</v>
      </c>
      <c r="BI828">
        <v>1</v>
      </c>
      <c r="BJ828">
        <v>0</v>
      </c>
      <c r="BK828">
        <v>0</v>
      </c>
      <c r="BL828">
        <v>0</v>
      </c>
      <c r="BO828">
        <v>0</v>
      </c>
      <c r="BP828">
        <v>0</v>
      </c>
      <c r="BW828" t="str">
        <f t="shared" si="481"/>
        <v>14:51:15.460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293</v>
      </c>
      <c r="CR828">
        <v>1</v>
      </c>
      <c r="CW828">
        <v>15277694</v>
      </c>
      <c r="CY828">
        <v>0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25">
      <c r="A829" t="str">
        <f t="shared" si="478"/>
        <v>06/05/2020 14:51:09.817</v>
      </c>
      <c r="C829" t="str">
        <f t="shared" si="470"/>
        <v>FFDFD3C0</v>
      </c>
      <c r="D829" t="s">
        <v>113</v>
      </c>
      <c r="E829">
        <v>3</v>
      </c>
      <c r="H829">
        <v>166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79"/>
        <v>14:51:15.453</v>
      </c>
      <c r="T829" t="str">
        <f t="shared" si="480"/>
        <v>14:51:15.153</v>
      </c>
      <c r="U829" t="str">
        <f t="shared" si="455"/>
        <v>ACC530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1</v>
      </c>
      <c r="AH829">
        <v>0</v>
      </c>
      <c r="AI829" t="s">
        <v>413</v>
      </c>
      <c r="AJ829">
        <v>34.221854</v>
      </c>
      <c r="AK829" t="s">
        <v>414</v>
      </c>
      <c r="AL829">
        <v>-116.929615</v>
      </c>
      <c r="AM829">
        <v>100</v>
      </c>
      <c r="AN829">
        <v>9200</v>
      </c>
      <c r="AO829" t="s">
        <v>118</v>
      </c>
      <c r="AP829">
        <v>-84</v>
      </c>
      <c r="AQ829">
        <v>-43</v>
      </c>
      <c r="AR829">
        <v>-256</v>
      </c>
      <c r="AZ829">
        <v>1200</v>
      </c>
      <c r="BA829">
        <v>1</v>
      </c>
      <c r="BB829" t="str">
        <f t="shared" si="456"/>
        <v xml:space="preserve">N9217B  </v>
      </c>
      <c r="BC829">
        <v>1</v>
      </c>
      <c r="BE829">
        <v>0</v>
      </c>
      <c r="BF829">
        <v>0</v>
      </c>
      <c r="BG829">
        <v>0</v>
      </c>
      <c r="BH829">
        <v>9300</v>
      </c>
      <c r="BI829">
        <v>1</v>
      </c>
      <c r="BJ829">
        <v>0</v>
      </c>
      <c r="BK829">
        <v>0</v>
      </c>
      <c r="BL829">
        <v>0</v>
      </c>
      <c r="BO829">
        <v>0</v>
      </c>
      <c r="BP829">
        <v>0</v>
      </c>
      <c r="BW829" t="str">
        <f t="shared" si="481"/>
        <v>14:51:15.460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293</v>
      </c>
      <c r="CR829">
        <v>1</v>
      </c>
      <c r="CW829">
        <v>15277694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25">
      <c r="A830" t="str">
        <f t="shared" si="478"/>
        <v>06/05/2020 14:51:09.817</v>
      </c>
      <c r="C830" t="str">
        <f t="shared" si="470"/>
        <v>FFDFD3C0</v>
      </c>
      <c r="D830" t="s">
        <v>143</v>
      </c>
      <c r="E830">
        <v>10</v>
      </c>
      <c r="F830">
        <v>3010</v>
      </c>
      <c r="G830" t="s">
        <v>144</v>
      </c>
      <c r="J830" t="s">
        <v>145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479"/>
        <v>14:51:15.453</v>
      </c>
      <c r="T830" t="str">
        <f t="shared" si="480"/>
        <v>14:51:15.153</v>
      </c>
      <c r="U830" t="str">
        <f t="shared" si="455"/>
        <v>ACC530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1</v>
      </c>
      <c r="AH830">
        <v>0</v>
      </c>
      <c r="AI830" t="s">
        <v>413</v>
      </c>
      <c r="AJ830">
        <v>34.221854</v>
      </c>
      <c r="AK830" t="s">
        <v>414</v>
      </c>
      <c r="AL830">
        <v>-116.929615</v>
      </c>
      <c r="AM830">
        <v>100</v>
      </c>
      <c r="AN830">
        <v>9200</v>
      </c>
      <c r="AO830" t="s">
        <v>118</v>
      </c>
      <c r="AP830">
        <v>-84</v>
      </c>
      <c r="AQ830">
        <v>-43</v>
      </c>
      <c r="AR830">
        <v>-256</v>
      </c>
      <c r="AZ830">
        <v>1200</v>
      </c>
      <c r="BA830">
        <v>1</v>
      </c>
      <c r="BB830" t="str">
        <f t="shared" si="456"/>
        <v xml:space="preserve">N9217B  </v>
      </c>
      <c r="BC830">
        <v>1</v>
      </c>
      <c r="BE830">
        <v>0</v>
      </c>
      <c r="BF830">
        <v>0</v>
      </c>
      <c r="BG830">
        <v>0</v>
      </c>
      <c r="BH830">
        <v>9300</v>
      </c>
      <c r="BI830">
        <v>1</v>
      </c>
      <c r="BJ830">
        <v>0</v>
      </c>
      <c r="BK830">
        <v>0</v>
      </c>
      <c r="BL830">
        <v>0</v>
      </c>
      <c r="BO830">
        <v>0</v>
      </c>
      <c r="BP830">
        <v>0</v>
      </c>
      <c r="BW830" t="str">
        <f t="shared" si="481"/>
        <v>14:51:15.460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293</v>
      </c>
      <c r="CR830">
        <v>1</v>
      </c>
      <c r="CW830">
        <v>15277694</v>
      </c>
      <c r="CY830">
        <v>0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25">
      <c r="A831" t="str">
        <f t="shared" si="478"/>
        <v>06/05/2020 14:51:09.817</v>
      </c>
      <c r="C831" t="str">
        <f t="shared" si="470"/>
        <v>FFDFD3C0</v>
      </c>
      <c r="D831" t="s">
        <v>141</v>
      </c>
      <c r="E831">
        <v>20</v>
      </c>
      <c r="F831">
        <v>1020</v>
      </c>
      <c r="G831" t="s">
        <v>114</v>
      </c>
      <c r="J831" t="s">
        <v>142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79"/>
        <v>14:51:15.453</v>
      </c>
      <c r="T831" t="str">
        <f t="shared" si="480"/>
        <v>14:51:15.153</v>
      </c>
      <c r="U831" t="str">
        <f t="shared" si="455"/>
        <v>ACC530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1</v>
      </c>
      <c r="AH831">
        <v>0</v>
      </c>
      <c r="AI831" t="s">
        <v>413</v>
      </c>
      <c r="AJ831">
        <v>34.221854</v>
      </c>
      <c r="AK831" t="s">
        <v>414</v>
      </c>
      <c r="AL831">
        <v>-116.929615</v>
      </c>
      <c r="AM831">
        <v>100</v>
      </c>
      <c r="AN831">
        <v>9200</v>
      </c>
      <c r="AO831" t="s">
        <v>118</v>
      </c>
      <c r="AP831">
        <v>-84</v>
      </c>
      <c r="AQ831">
        <v>-43</v>
      </c>
      <c r="AR831">
        <v>-256</v>
      </c>
      <c r="AZ831">
        <v>1200</v>
      </c>
      <c r="BA831">
        <v>1</v>
      </c>
      <c r="BB831" t="str">
        <f t="shared" si="456"/>
        <v xml:space="preserve">N9217B  </v>
      </c>
      <c r="BC831">
        <v>1</v>
      </c>
      <c r="BE831">
        <v>0</v>
      </c>
      <c r="BF831">
        <v>0</v>
      </c>
      <c r="BG831">
        <v>0</v>
      </c>
      <c r="BH831">
        <v>9300</v>
      </c>
      <c r="BI831">
        <v>1</v>
      </c>
      <c r="BJ831">
        <v>0</v>
      </c>
      <c r="BK831">
        <v>0</v>
      </c>
      <c r="BL831">
        <v>0</v>
      </c>
      <c r="BO831">
        <v>0</v>
      </c>
      <c r="BP831">
        <v>0</v>
      </c>
      <c r="BW831" t="str">
        <f t="shared" si="481"/>
        <v>14:51:15.460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293</v>
      </c>
      <c r="CR831">
        <v>1</v>
      </c>
      <c r="CW831">
        <v>15277694</v>
      </c>
      <c r="CY831">
        <v>0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25">
      <c r="A832" t="str">
        <f t="shared" si="478"/>
        <v>06/05/2020 14:51:09.817</v>
      </c>
      <c r="C832" t="str">
        <f t="shared" si="470"/>
        <v>FFDFD3C0</v>
      </c>
      <c r="D832" t="s">
        <v>148</v>
      </c>
      <c r="E832">
        <v>11</v>
      </c>
      <c r="H832">
        <v>53</v>
      </c>
      <c r="I832" t="s">
        <v>364</v>
      </c>
      <c r="J832" t="s">
        <v>150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479"/>
        <v>14:51:15.453</v>
      </c>
      <c r="T832" t="str">
        <f t="shared" si="480"/>
        <v>14:51:15.153</v>
      </c>
      <c r="U832" t="str">
        <f t="shared" si="455"/>
        <v>ACC530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1</v>
      </c>
      <c r="AH832">
        <v>0</v>
      </c>
      <c r="AI832" t="s">
        <v>413</v>
      </c>
      <c r="AJ832">
        <v>34.221854</v>
      </c>
      <c r="AK832" t="s">
        <v>414</v>
      </c>
      <c r="AL832">
        <v>-116.929615</v>
      </c>
      <c r="AM832">
        <v>100</v>
      </c>
      <c r="AN832">
        <v>9200</v>
      </c>
      <c r="AO832" t="s">
        <v>118</v>
      </c>
      <c r="AP832">
        <v>-84</v>
      </c>
      <c r="AQ832">
        <v>-43</v>
      </c>
      <c r="AR832">
        <v>-256</v>
      </c>
      <c r="AZ832">
        <v>1200</v>
      </c>
      <c r="BA832">
        <v>1</v>
      </c>
      <c r="BB832" t="str">
        <f t="shared" si="456"/>
        <v xml:space="preserve">N9217B  </v>
      </c>
      <c r="BC832">
        <v>1</v>
      </c>
      <c r="BE832">
        <v>0</v>
      </c>
      <c r="BF832">
        <v>0</v>
      </c>
      <c r="BG832">
        <v>0</v>
      </c>
      <c r="BH832">
        <v>9300</v>
      </c>
      <c r="BI832">
        <v>1</v>
      </c>
      <c r="BJ832">
        <v>0</v>
      </c>
      <c r="BK832">
        <v>0</v>
      </c>
      <c r="BL832">
        <v>0</v>
      </c>
      <c r="BO832">
        <v>0</v>
      </c>
      <c r="BP832">
        <v>0</v>
      </c>
      <c r="BW832" t="str">
        <f t="shared" si="481"/>
        <v>14:51:15.460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293</v>
      </c>
      <c r="CR832">
        <v>1</v>
      </c>
      <c r="CW832">
        <v>15277694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25">
      <c r="A833" t="str">
        <f t="shared" ref="A833:A839" si="482">"06/05/2020 14:51:10.811"</f>
        <v>06/05/2020 14:51:10.811</v>
      </c>
      <c r="C833" t="str">
        <f t="shared" si="470"/>
        <v>FFDFD3C0</v>
      </c>
      <c r="D833" t="s">
        <v>148</v>
      </c>
      <c r="E833">
        <v>11</v>
      </c>
      <c r="H833">
        <v>53</v>
      </c>
      <c r="I833" t="s">
        <v>364</v>
      </c>
      <c r="J833" t="s">
        <v>150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ref="S833:S839" si="483">"14:51:16.477"</f>
        <v>14:51:16.477</v>
      </c>
      <c r="T833" t="str">
        <f t="shared" ref="T833:T839" si="484">"14:51:16.177"</f>
        <v>14:51:16.177</v>
      </c>
      <c r="U833" t="str">
        <f t="shared" si="455"/>
        <v>ACC530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1</v>
      </c>
      <c r="AH833">
        <v>0</v>
      </c>
      <c r="AI833" t="s">
        <v>415</v>
      </c>
      <c r="AJ833">
        <v>34.221640000000001</v>
      </c>
      <c r="AK833" t="s">
        <v>416</v>
      </c>
      <c r="AL833">
        <v>-116.93013000000001</v>
      </c>
      <c r="AM833">
        <v>100</v>
      </c>
      <c r="AN833">
        <v>9200</v>
      </c>
      <c r="AO833" t="s">
        <v>118</v>
      </c>
      <c r="AP833">
        <v>-85</v>
      </c>
      <c r="AQ833">
        <v>-43</v>
      </c>
      <c r="AR833">
        <v>-320</v>
      </c>
      <c r="AZ833">
        <v>1200</v>
      </c>
      <c r="BA833">
        <v>1</v>
      </c>
      <c r="BB833" t="str">
        <f t="shared" si="456"/>
        <v xml:space="preserve">N9217B  </v>
      </c>
      <c r="BC833">
        <v>1</v>
      </c>
      <c r="BE833">
        <v>0</v>
      </c>
      <c r="BF833">
        <v>0</v>
      </c>
      <c r="BG833">
        <v>0</v>
      </c>
      <c r="BH833">
        <v>9300</v>
      </c>
      <c r="BI833">
        <v>1</v>
      </c>
      <c r="BJ833">
        <v>0</v>
      </c>
      <c r="BK833">
        <v>0</v>
      </c>
      <c r="BL833">
        <v>0</v>
      </c>
      <c r="BO833">
        <v>0</v>
      </c>
      <c r="BP833">
        <v>0</v>
      </c>
      <c r="BW833" t="str">
        <f t="shared" ref="BW833:BW839" si="485">"14:51:16.480"</f>
        <v>14:51:16.480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293</v>
      </c>
      <c r="CR833">
        <v>1</v>
      </c>
      <c r="CW833">
        <v>15277811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25">
      <c r="A834" t="str">
        <f t="shared" si="482"/>
        <v>06/05/2020 14:51:10.811</v>
      </c>
      <c r="C834" t="str">
        <f t="shared" si="470"/>
        <v>FFDFD3C0</v>
      </c>
      <c r="D834" t="s">
        <v>151</v>
      </c>
      <c r="E834">
        <v>9</v>
      </c>
      <c r="H834">
        <v>226</v>
      </c>
      <c r="I834" t="s">
        <v>152</v>
      </c>
      <c r="J834" t="s">
        <v>150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483"/>
        <v>14:51:16.477</v>
      </c>
      <c r="T834" t="str">
        <f t="shared" si="484"/>
        <v>14:51:16.177</v>
      </c>
      <c r="U834" t="str">
        <f t="shared" ref="U834:U897" si="486">"ACC530"</f>
        <v>ACC530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1</v>
      </c>
      <c r="AH834">
        <v>0</v>
      </c>
      <c r="AI834" t="s">
        <v>415</v>
      </c>
      <c r="AJ834">
        <v>34.221640000000001</v>
      </c>
      <c r="AK834" t="s">
        <v>416</v>
      </c>
      <c r="AL834">
        <v>-116.93013000000001</v>
      </c>
      <c r="AM834">
        <v>100</v>
      </c>
      <c r="AN834">
        <v>9200</v>
      </c>
      <c r="AO834" t="s">
        <v>118</v>
      </c>
      <c r="AP834">
        <v>-85</v>
      </c>
      <c r="AQ834">
        <v>-43</v>
      </c>
      <c r="AR834">
        <v>-320</v>
      </c>
      <c r="AZ834">
        <v>1200</v>
      </c>
      <c r="BA834">
        <v>1</v>
      </c>
      <c r="BB834" t="str">
        <f t="shared" si="456"/>
        <v xml:space="preserve">N9217B  </v>
      </c>
      <c r="BC834">
        <v>1</v>
      </c>
      <c r="BE834">
        <v>0</v>
      </c>
      <c r="BF834">
        <v>0</v>
      </c>
      <c r="BG834">
        <v>0</v>
      </c>
      <c r="BH834">
        <v>9300</v>
      </c>
      <c r="BI834">
        <v>1</v>
      </c>
      <c r="BJ834">
        <v>0</v>
      </c>
      <c r="BK834">
        <v>0</v>
      </c>
      <c r="BL834">
        <v>0</v>
      </c>
      <c r="BO834">
        <v>0</v>
      </c>
      <c r="BP834">
        <v>0</v>
      </c>
      <c r="BW834" t="str">
        <f t="shared" si="485"/>
        <v>14:51:16.480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293</v>
      </c>
      <c r="CR834">
        <v>1</v>
      </c>
      <c r="CW834">
        <v>15277811</v>
      </c>
      <c r="CY834">
        <v>0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25">
      <c r="A835" t="str">
        <f t="shared" si="482"/>
        <v>06/05/2020 14:51:10.811</v>
      </c>
      <c r="C835" t="str">
        <f t="shared" si="470"/>
        <v>FFDFD3C0</v>
      </c>
      <c r="D835" t="s">
        <v>134</v>
      </c>
      <c r="E835">
        <v>7</v>
      </c>
      <c r="F835">
        <v>2007</v>
      </c>
      <c r="G835" t="s">
        <v>135</v>
      </c>
      <c r="J835" t="s">
        <v>136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483"/>
        <v>14:51:16.477</v>
      </c>
      <c r="T835" t="str">
        <f t="shared" si="484"/>
        <v>14:51:16.177</v>
      </c>
      <c r="U835" t="str">
        <f t="shared" si="486"/>
        <v>ACC530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1</v>
      </c>
      <c r="AH835">
        <v>0</v>
      </c>
      <c r="AI835" t="s">
        <v>415</v>
      </c>
      <c r="AJ835">
        <v>34.221640000000001</v>
      </c>
      <c r="AK835" t="s">
        <v>416</v>
      </c>
      <c r="AL835">
        <v>-116.93013000000001</v>
      </c>
      <c r="AM835">
        <v>100</v>
      </c>
      <c r="AN835">
        <v>9200</v>
      </c>
      <c r="AO835" t="s">
        <v>118</v>
      </c>
      <c r="AP835">
        <v>-85</v>
      </c>
      <c r="AQ835">
        <v>-43</v>
      </c>
      <c r="AR835">
        <v>-320</v>
      </c>
      <c r="AZ835">
        <v>1200</v>
      </c>
      <c r="BA835">
        <v>1</v>
      </c>
      <c r="BB835" t="str">
        <f t="shared" si="456"/>
        <v xml:space="preserve">N9217B  </v>
      </c>
      <c r="BC835">
        <v>1</v>
      </c>
      <c r="BE835">
        <v>0</v>
      </c>
      <c r="BF835">
        <v>0</v>
      </c>
      <c r="BG835">
        <v>0</v>
      </c>
      <c r="BH835">
        <v>9300</v>
      </c>
      <c r="BI835">
        <v>1</v>
      </c>
      <c r="BJ835">
        <v>0</v>
      </c>
      <c r="BK835">
        <v>0</v>
      </c>
      <c r="BL835">
        <v>0</v>
      </c>
      <c r="BO835">
        <v>0</v>
      </c>
      <c r="BP835">
        <v>0</v>
      </c>
      <c r="BW835" t="str">
        <f t="shared" si="485"/>
        <v>14:51:16.480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293</v>
      </c>
      <c r="CR835">
        <v>1</v>
      </c>
      <c r="CW835">
        <v>15277811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25">
      <c r="A836" t="str">
        <f t="shared" si="482"/>
        <v>06/05/2020 14:51:10.811</v>
      </c>
      <c r="C836" t="str">
        <f t="shared" si="470"/>
        <v>FFDFD3C0</v>
      </c>
      <c r="D836" t="s">
        <v>148</v>
      </c>
      <c r="E836">
        <v>8</v>
      </c>
      <c r="H836">
        <v>50</v>
      </c>
      <c r="I836" t="s">
        <v>149</v>
      </c>
      <c r="J836" t="s">
        <v>150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483"/>
        <v>14:51:16.477</v>
      </c>
      <c r="T836" t="str">
        <f t="shared" si="484"/>
        <v>14:51:16.177</v>
      </c>
      <c r="U836" t="str">
        <f t="shared" si="486"/>
        <v>ACC530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1</v>
      </c>
      <c r="AH836">
        <v>0</v>
      </c>
      <c r="AI836" t="s">
        <v>415</v>
      </c>
      <c r="AJ836">
        <v>34.221640000000001</v>
      </c>
      <c r="AK836" t="s">
        <v>416</v>
      </c>
      <c r="AL836">
        <v>-116.93013000000001</v>
      </c>
      <c r="AM836">
        <v>100</v>
      </c>
      <c r="AN836">
        <v>9200</v>
      </c>
      <c r="AO836" t="s">
        <v>118</v>
      </c>
      <c r="AP836">
        <v>-85</v>
      </c>
      <c r="AQ836">
        <v>-43</v>
      </c>
      <c r="AR836">
        <v>-320</v>
      </c>
      <c r="AZ836">
        <v>1200</v>
      </c>
      <c r="BA836">
        <v>1</v>
      </c>
      <c r="BB836" t="str">
        <f t="shared" si="456"/>
        <v xml:space="preserve">N9217B  </v>
      </c>
      <c r="BC836">
        <v>1</v>
      </c>
      <c r="BE836">
        <v>0</v>
      </c>
      <c r="BF836">
        <v>0</v>
      </c>
      <c r="BG836">
        <v>0</v>
      </c>
      <c r="BH836">
        <v>9300</v>
      </c>
      <c r="BI836">
        <v>1</v>
      </c>
      <c r="BJ836">
        <v>0</v>
      </c>
      <c r="BK836">
        <v>0</v>
      </c>
      <c r="BL836">
        <v>0</v>
      </c>
      <c r="BO836">
        <v>0</v>
      </c>
      <c r="BP836">
        <v>0</v>
      </c>
      <c r="BW836" t="str">
        <f t="shared" si="485"/>
        <v>14:51:16.480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293</v>
      </c>
      <c r="CR836">
        <v>1</v>
      </c>
      <c r="CW836">
        <v>15277811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25">
      <c r="A837" t="str">
        <f t="shared" si="482"/>
        <v>06/05/2020 14:51:10.811</v>
      </c>
      <c r="C837" t="str">
        <f t="shared" si="470"/>
        <v>FFDFD3C0</v>
      </c>
      <c r="D837" t="s">
        <v>143</v>
      </c>
      <c r="E837">
        <v>10</v>
      </c>
      <c r="F837">
        <v>3010</v>
      </c>
      <c r="G837" t="s">
        <v>144</v>
      </c>
      <c r="J837" t="s">
        <v>145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83"/>
        <v>14:51:16.477</v>
      </c>
      <c r="T837" t="str">
        <f t="shared" si="484"/>
        <v>14:51:16.177</v>
      </c>
      <c r="U837" t="str">
        <f t="shared" si="486"/>
        <v>ACC530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9</v>
      </c>
      <c r="AE837">
        <v>0</v>
      </c>
      <c r="AF837">
        <v>3</v>
      </c>
      <c r="AG837">
        <v>1</v>
      </c>
      <c r="AH837">
        <v>0</v>
      </c>
      <c r="AI837" t="s">
        <v>415</v>
      </c>
      <c r="AJ837">
        <v>34.221640000000001</v>
      </c>
      <c r="AK837" t="s">
        <v>416</v>
      </c>
      <c r="AL837">
        <v>-116.93013000000001</v>
      </c>
      <c r="AM837">
        <v>100</v>
      </c>
      <c r="AN837">
        <v>9200</v>
      </c>
      <c r="AO837" t="s">
        <v>118</v>
      </c>
      <c r="AP837">
        <v>-85</v>
      </c>
      <c r="AQ837">
        <v>-43</v>
      </c>
      <c r="AR837">
        <v>-320</v>
      </c>
      <c r="AZ837">
        <v>1200</v>
      </c>
      <c r="BA837">
        <v>1</v>
      </c>
      <c r="BB837" t="str">
        <f t="shared" ref="BB837:BB900" si="487">"N9217B  "</f>
        <v xml:space="preserve">N9217B  </v>
      </c>
      <c r="BC837">
        <v>1</v>
      </c>
      <c r="BE837">
        <v>0</v>
      </c>
      <c r="BF837">
        <v>0</v>
      </c>
      <c r="BG837">
        <v>0</v>
      </c>
      <c r="BH837">
        <v>9300</v>
      </c>
      <c r="BI837">
        <v>1</v>
      </c>
      <c r="BJ837">
        <v>0</v>
      </c>
      <c r="BK837">
        <v>0</v>
      </c>
      <c r="BL837">
        <v>0</v>
      </c>
      <c r="BO837">
        <v>0</v>
      </c>
      <c r="BP837">
        <v>0</v>
      </c>
      <c r="BW837" t="str">
        <f t="shared" si="485"/>
        <v>14:51:16.480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293</v>
      </c>
      <c r="CR837">
        <v>1</v>
      </c>
      <c r="CW837">
        <v>15277811</v>
      </c>
      <c r="CY837">
        <v>0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25">
      <c r="A838" t="str">
        <f t="shared" si="482"/>
        <v>06/05/2020 14:51:10.811</v>
      </c>
      <c r="C838" t="str">
        <f t="shared" si="470"/>
        <v>FFDFD3C0</v>
      </c>
      <c r="D838" t="s">
        <v>113</v>
      </c>
      <c r="E838">
        <v>3</v>
      </c>
      <c r="H838">
        <v>166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83"/>
        <v>14:51:16.477</v>
      </c>
      <c r="T838" t="str">
        <f t="shared" si="484"/>
        <v>14:51:16.177</v>
      </c>
      <c r="U838" t="str">
        <f t="shared" si="486"/>
        <v>ACC530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1</v>
      </c>
      <c r="AH838">
        <v>0</v>
      </c>
      <c r="AI838" t="s">
        <v>415</v>
      </c>
      <c r="AJ838">
        <v>34.221640000000001</v>
      </c>
      <c r="AK838" t="s">
        <v>416</v>
      </c>
      <c r="AL838">
        <v>-116.93013000000001</v>
      </c>
      <c r="AM838">
        <v>100</v>
      </c>
      <c r="AN838">
        <v>9200</v>
      </c>
      <c r="AO838" t="s">
        <v>118</v>
      </c>
      <c r="AP838">
        <v>-85</v>
      </c>
      <c r="AQ838">
        <v>-43</v>
      </c>
      <c r="AR838">
        <v>-320</v>
      </c>
      <c r="AZ838">
        <v>1200</v>
      </c>
      <c r="BA838">
        <v>1</v>
      </c>
      <c r="BB838" t="str">
        <f t="shared" si="487"/>
        <v xml:space="preserve">N9217B  </v>
      </c>
      <c r="BC838">
        <v>1</v>
      </c>
      <c r="BE838">
        <v>0</v>
      </c>
      <c r="BF838">
        <v>0</v>
      </c>
      <c r="BG838">
        <v>0</v>
      </c>
      <c r="BH838">
        <v>9300</v>
      </c>
      <c r="BI838">
        <v>1</v>
      </c>
      <c r="BJ838">
        <v>0</v>
      </c>
      <c r="BK838">
        <v>0</v>
      </c>
      <c r="BL838">
        <v>0</v>
      </c>
      <c r="BO838">
        <v>0</v>
      </c>
      <c r="BP838">
        <v>0</v>
      </c>
      <c r="BW838" t="str">
        <f t="shared" si="485"/>
        <v>14:51:16.480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293</v>
      </c>
      <c r="CR838">
        <v>1</v>
      </c>
      <c r="CW838">
        <v>15277811</v>
      </c>
      <c r="CY838">
        <v>0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25">
      <c r="A839" t="str">
        <f t="shared" si="482"/>
        <v>06/05/2020 14:51:10.811</v>
      </c>
      <c r="C839" t="str">
        <f t="shared" si="470"/>
        <v>FFDFD3C0</v>
      </c>
      <c r="D839" t="s">
        <v>141</v>
      </c>
      <c r="E839">
        <v>20</v>
      </c>
      <c r="F839">
        <v>1020</v>
      </c>
      <c r="G839" t="s">
        <v>114</v>
      </c>
      <c r="J839" t="s">
        <v>142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83"/>
        <v>14:51:16.477</v>
      </c>
      <c r="T839" t="str">
        <f t="shared" si="484"/>
        <v>14:51:16.177</v>
      </c>
      <c r="U839" t="str">
        <f t="shared" si="486"/>
        <v>ACC530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1</v>
      </c>
      <c r="AH839">
        <v>0</v>
      </c>
      <c r="AI839" t="s">
        <v>415</v>
      </c>
      <c r="AJ839">
        <v>34.221640000000001</v>
      </c>
      <c r="AK839" t="s">
        <v>416</v>
      </c>
      <c r="AL839">
        <v>-116.93013000000001</v>
      </c>
      <c r="AM839">
        <v>100</v>
      </c>
      <c r="AN839">
        <v>9200</v>
      </c>
      <c r="AO839" t="s">
        <v>118</v>
      </c>
      <c r="AP839">
        <v>-85</v>
      </c>
      <c r="AQ839">
        <v>-43</v>
      </c>
      <c r="AR839">
        <v>-320</v>
      </c>
      <c r="AZ839">
        <v>1200</v>
      </c>
      <c r="BA839">
        <v>1</v>
      </c>
      <c r="BB839" t="str">
        <f t="shared" si="487"/>
        <v xml:space="preserve">N9217B  </v>
      </c>
      <c r="BC839">
        <v>1</v>
      </c>
      <c r="BE839">
        <v>0</v>
      </c>
      <c r="BF839">
        <v>0</v>
      </c>
      <c r="BG839">
        <v>0</v>
      </c>
      <c r="BH839">
        <v>9300</v>
      </c>
      <c r="BI839">
        <v>1</v>
      </c>
      <c r="BJ839">
        <v>0</v>
      </c>
      <c r="BK839">
        <v>0</v>
      </c>
      <c r="BL839">
        <v>0</v>
      </c>
      <c r="BO839">
        <v>0</v>
      </c>
      <c r="BP839">
        <v>0</v>
      </c>
      <c r="BW839" t="str">
        <f t="shared" si="485"/>
        <v>14:51:16.480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293</v>
      </c>
      <c r="CR839">
        <v>1</v>
      </c>
      <c r="CW839">
        <v>15277811</v>
      </c>
      <c r="CY839">
        <v>0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25">
      <c r="A840" t="str">
        <f t="shared" ref="A840:A847" si="488">"06/05/2020 14:51:11.840"</f>
        <v>06/05/2020 14:51:11.840</v>
      </c>
      <c r="C840" t="str">
        <f t="shared" si="470"/>
        <v>FFDFD3C0</v>
      </c>
      <c r="D840" t="s">
        <v>134</v>
      </c>
      <c r="E840">
        <v>7</v>
      </c>
      <c r="F840">
        <v>2007</v>
      </c>
      <c r="G840" t="s">
        <v>135</v>
      </c>
      <c r="J840" t="s">
        <v>136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ref="S840:S847" si="489">"14:51:17.469"</f>
        <v>14:51:17.469</v>
      </c>
      <c r="T840" t="str">
        <f>"14:51:17.069"</f>
        <v>14:51:17.069</v>
      </c>
      <c r="U840" t="str">
        <f t="shared" si="486"/>
        <v>ACC530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1</v>
      </c>
      <c r="AH840">
        <v>0</v>
      </c>
      <c r="AI840" t="s">
        <v>417</v>
      </c>
      <c r="AJ840">
        <v>34.221425000000004</v>
      </c>
      <c r="AK840" t="s">
        <v>418</v>
      </c>
      <c r="AL840">
        <v>-116.93058000000001</v>
      </c>
      <c r="AM840">
        <v>100</v>
      </c>
      <c r="AN840">
        <v>9200</v>
      </c>
      <c r="AO840" t="s">
        <v>118</v>
      </c>
      <c r="AP840">
        <v>-85</v>
      </c>
      <c r="AQ840">
        <v>-44</v>
      </c>
      <c r="AR840">
        <v>-384</v>
      </c>
      <c r="AZ840">
        <v>1200</v>
      </c>
      <c r="BA840">
        <v>1</v>
      </c>
      <c r="BB840" t="str">
        <f t="shared" si="487"/>
        <v xml:space="preserve">N9217B  </v>
      </c>
      <c r="BC840">
        <v>1</v>
      </c>
      <c r="BE840">
        <v>0</v>
      </c>
      <c r="BF840">
        <v>0</v>
      </c>
      <c r="BG840">
        <v>0</v>
      </c>
      <c r="BH840">
        <v>9300</v>
      </c>
      <c r="BI840">
        <v>1</v>
      </c>
      <c r="BJ840">
        <v>0</v>
      </c>
      <c r="BK840">
        <v>0</v>
      </c>
      <c r="BL840">
        <v>0</v>
      </c>
      <c r="BO840">
        <v>0</v>
      </c>
      <c r="BP840">
        <v>0</v>
      </c>
      <c r="BW840" t="str">
        <f t="shared" ref="BW840:BW847" si="490">"14:51:17.470"</f>
        <v>14:51:17.470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293</v>
      </c>
      <c r="CR840">
        <v>1</v>
      </c>
      <c r="CW840">
        <v>15277928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25">
      <c r="A841" t="str">
        <f t="shared" si="488"/>
        <v>06/05/2020 14:51:11.840</v>
      </c>
      <c r="C841" t="str">
        <f t="shared" si="470"/>
        <v>FFDFD3C0</v>
      </c>
      <c r="D841" t="s">
        <v>151</v>
      </c>
      <c r="E841">
        <v>8</v>
      </c>
      <c r="H841">
        <v>225</v>
      </c>
      <c r="I841" t="s">
        <v>353</v>
      </c>
      <c r="J841" t="s">
        <v>150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89"/>
        <v>14:51:17.469</v>
      </c>
      <c r="T841" t="str">
        <f>"14:51:16.669"</f>
        <v>14:51:16.669</v>
      </c>
      <c r="U841" t="str">
        <f t="shared" si="486"/>
        <v>ACC530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1</v>
      </c>
      <c r="AH841">
        <v>0</v>
      </c>
      <c r="AI841" t="s">
        <v>417</v>
      </c>
      <c r="AJ841">
        <v>34.221425000000004</v>
      </c>
      <c r="AK841" t="s">
        <v>418</v>
      </c>
      <c r="AL841">
        <v>-116.93058000000001</v>
      </c>
      <c r="AM841">
        <v>100</v>
      </c>
      <c r="AN841">
        <v>9200</v>
      </c>
      <c r="AO841" t="s">
        <v>118</v>
      </c>
      <c r="AP841">
        <v>-85</v>
      </c>
      <c r="AQ841">
        <v>-44</v>
      </c>
      <c r="AR841">
        <v>-384</v>
      </c>
      <c r="AZ841">
        <v>1200</v>
      </c>
      <c r="BA841">
        <v>1</v>
      </c>
      <c r="BB841" t="str">
        <f t="shared" si="487"/>
        <v xml:space="preserve">N9217B  </v>
      </c>
      <c r="BC841">
        <v>1</v>
      </c>
      <c r="BE841">
        <v>0</v>
      </c>
      <c r="BF841">
        <v>0</v>
      </c>
      <c r="BG841">
        <v>0</v>
      </c>
      <c r="BH841">
        <v>9300</v>
      </c>
      <c r="BI841">
        <v>1</v>
      </c>
      <c r="BJ841">
        <v>0</v>
      </c>
      <c r="BK841">
        <v>0</v>
      </c>
      <c r="BL841">
        <v>0</v>
      </c>
      <c r="BO841">
        <v>0</v>
      </c>
      <c r="BP841">
        <v>0</v>
      </c>
      <c r="BW841" t="str">
        <f t="shared" si="490"/>
        <v>14:51:17.470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6</v>
      </c>
      <c r="CP841" t="s">
        <v>119</v>
      </c>
      <c r="CQ841">
        <v>285</v>
      </c>
      <c r="CR841">
        <v>0</v>
      </c>
      <c r="CW841">
        <v>8846090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25">
      <c r="A842" t="str">
        <f t="shared" si="488"/>
        <v>06/05/2020 14:51:11.840</v>
      </c>
      <c r="C842" t="str">
        <f t="shared" si="470"/>
        <v>FFDFD3C0</v>
      </c>
      <c r="D842" t="s">
        <v>151</v>
      </c>
      <c r="E842">
        <v>9</v>
      </c>
      <c r="H842">
        <v>226</v>
      </c>
      <c r="I842" t="s">
        <v>152</v>
      </c>
      <c r="J842" t="s">
        <v>150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489"/>
        <v>14:51:17.469</v>
      </c>
      <c r="T842" t="str">
        <f t="shared" ref="T842:T847" si="491">"14:51:17.069"</f>
        <v>14:51:17.069</v>
      </c>
      <c r="U842" t="str">
        <f t="shared" si="486"/>
        <v>ACC530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1</v>
      </c>
      <c r="AH842">
        <v>0</v>
      </c>
      <c r="AI842" t="s">
        <v>417</v>
      </c>
      <c r="AJ842">
        <v>34.221425000000004</v>
      </c>
      <c r="AK842" t="s">
        <v>418</v>
      </c>
      <c r="AL842">
        <v>-116.93058000000001</v>
      </c>
      <c r="AM842">
        <v>100</v>
      </c>
      <c r="AN842">
        <v>9200</v>
      </c>
      <c r="AO842" t="s">
        <v>118</v>
      </c>
      <c r="AP842">
        <v>-85</v>
      </c>
      <c r="AQ842">
        <v>-44</v>
      </c>
      <c r="AR842">
        <v>-384</v>
      </c>
      <c r="AZ842">
        <v>1200</v>
      </c>
      <c r="BA842">
        <v>1</v>
      </c>
      <c r="BB842" t="str">
        <f t="shared" si="487"/>
        <v xml:space="preserve">N9217B  </v>
      </c>
      <c r="BC842">
        <v>1</v>
      </c>
      <c r="BE842">
        <v>0</v>
      </c>
      <c r="BF842">
        <v>0</v>
      </c>
      <c r="BG842">
        <v>0</v>
      </c>
      <c r="BH842">
        <v>9300</v>
      </c>
      <c r="BI842">
        <v>1</v>
      </c>
      <c r="BJ842">
        <v>0</v>
      </c>
      <c r="BK842">
        <v>0</v>
      </c>
      <c r="BL842">
        <v>0</v>
      </c>
      <c r="BO842">
        <v>0</v>
      </c>
      <c r="BP842">
        <v>0</v>
      </c>
      <c r="BW842" t="str">
        <f t="shared" si="490"/>
        <v>14:51:17.470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293</v>
      </c>
      <c r="CR842">
        <v>1</v>
      </c>
      <c r="CW842">
        <v>15277928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25">
      <c r="A843" t="str">
        <f t="shared" si="488"/>
        <v>06/05/2020 14:51:11.840</v>
      </c>
      <c r="C843" t="str">
        <f t="shared" si="470"/>
        <v>FFDFD3C0</v>
      </c>
      <c r="D843" t="s">
        <v>143</v>
      </c>
      <c r="E843">
        <v>10</v>
      </c>
      <c r="F843">
        <v>3010</v>
      </c>
      <c r="G843" t="s">
        <v>144</v>
      </c>
      <c r="J843" t="s">
        <v>145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89"/>
        <v>14:51:17.469</v>
      </c>
      <c r="T843" t="str">
        <f t="shared" si="491"/>
        <v>14:51:17.069</v>
      </c>
      <c r="U843" t="str">
        <f t="shared" si="486"/>
        <v>ACC530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1</v>
      </c>
      <c r="AH843">
        <v>0</v>
      </c>
      <c r="AI843" t="s">
        <v>417</v>
      </c>
      <c r="AJ843">
        <v>34.221425000000004</v>
      </c>
      <c r="AK843" t="s">
        <v>418</v>
      </c>
      <c r="AL843">
        <v>-116.93058000000001</v>
      </c>
      <c r="AM843">
        <v>100</v>
      </c>
      <c r="AN843">
        <v>9200</v>
      </c>
      <c r="AO843" t="s">
        <v>118</v>
      </c>
      <c r="AP843">
        <v>-85</v>
      </c>
      <c r="AQ843">
        <v>-44</v>
      </c>
      <c r="AR843">
        <v>-384</v>
      </c>
      <c r="AZ843">
        <v>1200</v>
      </c>
      <c r="BA843">
        <v>1</v>
      </c>
      <c r="BB843" t="str">
        <f t="shared" si="487"/>
        <v xml:space="preserve">N9217B  </v>
      </c>
      <c r="BC843">
        <v>1</v>
      </c>
      <c r="BE843">
        <v>0</v>
      </c>
      <c r="BF843">
        <v>0</v>
      </c>
      <c r="BG843">
        <v>0</v>
      </c>
      <c r="BH843">
        <v>9300</v>
      </c>
      <c r="BI843">
        <v>1</v>
      </c>
      <c r="BJ843">
        <v>0</v>
      </c>
      <c r="BK843">
        <v>0</v>
      </c>
      <c r="BL843">
        <v>0</v>
      </c>
      <c r="BO843">
        <v>0</v>
      </c>
      <c r="BP843">
        <v>0</v>
      </c>
      <c r="BW843" t="str">
        <f t="shared" si="490"/>
        <v>14:51:17.470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293</v>
      </c>
      <c r="CR843">
        <v>1</v>
      </c>
      <c r="CW843">
        <v>15277928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25">
      <c r="A844" t="str">
        <f t="shared" si="488"/>
        <v>06/05/2020 14:51:11.840</v>
      </c>
      <c r="C844" t="str">
        <f t="shared" si="470"/>
        <v>FFDFD3C0</v>
      </c>
      <c r="D844" t="s">
        <v>148</v>
      </c>
      <c r="E844">
        <v>8</v>
      </c>
      <c r="H844">
        <v>50</v>
      </c>
      <c r="I844" t="s">
        <v>149</v>
      </c>
      <c r="J844" t="s">
        <v>150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89"/>
        <v>14:51:17.469</v>
      </c>
      <c r="T844" t="str">
        <f t="shared" si="491"/>
        <v>14:51:17.069</v>
      </c>
      <c r="U844" t="str">
        <f t="shared" si="486"/>
        <v>ACC530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1</v>
      </c>
      <c r="AH844">
        <v>0</v>
      </c>
      <c r="AI844" t="s">
        <v>417</v>
      </c>
      <c r="AJ844">
        <v>34.221425000000004</v>
      </c>
      <c r="AK844" t="s">
        <v>418</v>
      </c>
      <c r="AL844">
        <v>-116.93058000000001</v>
      </c>
      <c r="AM844">
        <v>100</v>
      </c>
      <c r="AN844">
        <v>9200</v>
      </c>
      <c r="AO844" t="s">
        <v>118</v>
      </c>
      <c r="AP844">
        <v>-85</v>
      </c>
      <c r="AQ844">
        <v>-44</v>
      </c>
      <c r="AR844">
        <v>-384</v>
      </c>
      <c r="AZ844">
        <v>1200</v>
      </c>
      <c r="BA844">
        <v>1</v>
      </c>
      <c r="BB844" t="str">
        <f t="shared" si="487"/>
        <v xml:space="preserve">N9217B  </v>
      </c>
      <c r="BC844">
        <v>1</v>
      </c>
      <c r="BE844">
        <v>0</v>
      </c>
      <c r="BF844">
        <v>0</v>
      </c>
      <c r="BG844">
        <v>0</v>
      </c>
      <c r="BH844">
        <v>9300</v>
      </c>
      <c r="BI844">
        <v>1</v>
      </c>
      <c r="BJ844">
        <v>0</v>
      </c>
      <c r="BK844">
        <v>0</v>
      </c>
      <c r="BL844">
        <v>0</v>
      </c>
      <c r="BO844">
        <v>0</v>
      </c>
      <c r="BP844">
        <v>0</v>
      </c>
      <c r="BW844" t="str">
        <f t="shared" si="490"/>
        <v>14:51:17.470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293</v>
      </c>
      <c r="CR844">
        <v>1</v>
      </c>
      <c r="CW844">
        <v>15277928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25">
      <c r="A845" t="str">
        <f t="shared" si="488"/>
        <v>06/05/2020 14:51:11.840</v>
      </c>
      <c r="C845" t="str">
        <f t="shared" si="470"/>
        <v>FFDFD3C0</v>
      </c>
      <c r="D845" t="s">
        <v>113</v>
      </c>
      <c r="E845">
        <v>3</v>
      </c>
      <c r="H845">
        <v>166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89"/>
        <v>14:51:17.469</v>
      </c>
      <c r="T845" t="str">
        <f t="shared" si="491"/>
        <v>14:51:17.069</v>
      </c>
      <c r="U845" t="str">
        <f t="shared" si="486"/>
        <v>ACC530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1</v>
      </c>
      <c r="AH845">
        <v>0</v>
      </c>
      <c r="AI845" t="s">
        <v>417</v>
      </c>
      <c r="AJ845">
        <v>34.221425000000004</v>
      </c>
      <c r="AK845" t="s">
        <v>418</v>
      </c>
      <c r="AL845">
        <v>-116.93058000000001</v>
      </c>
      <c r="AM845">
        <v>100</v>
      </c>
      <c r="AN845">
        <v>9200</v>
      </c>
      <c r="AO845" t="s">
        <v>118</v>
      </c>
      <c r="AP845">
        <v>-85</v>
      </c>
      <c r="AQ845">
        <v>-44</v>
      </c>
      <c r="AR845">
        <v>-384</v>
      </c>
      <c r="AZ845">
        <v>1200</v>
      </c>
      <c r="BA845">
        <v>1</v>
      </c>
      <c r="BB845" t="str">
        <f t="shared" si="487"/>
        <v xml:space="preserve">N9217B  </v>
      </c>
      <c r="BC845">
        <v>1</v>
      </c>
      <c r="BE845">
        <v>0</v>
      </c>
      <c r="BF845">
        <v>0</v>
      </c>
      <c r="BG845">
        <v>0</v>
      </c>
      <c r="BH845">
        <v>9300</v>
      </c>
      <c r="BI845">
        <v>1</v>
      </c>
      <c r="BJ845">
        <v>0</v>
      </c>
      <c r="BK845">
        <v>0</v>
      </c>
      <c r="BL845">
        <v>0</v>
      </c>
      <c r="BO845">
        <v>0</v>
      </c>
      <c r="BP845">
        <v>0</v>
      </c>
      <c r="BW845" t="str">
        <f t="shared" si="490"/>
        <v>14:51:17.470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293</v>
      </c>
      <c r="CR845">
        <v>1</v>
      </c>
      <c r="CW845">
        <v>15277928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25">
      <c r="A846" t="str">
        <f t="shared" si="488"/>
        <v>06/05/2020 14:51:11.840</v>
      </c>
      <c r="C846" t="str">
        <f t="shared" si="470"/>
        <v>FFDFD3C0</v>
      </c>
      <c r="D846" t="s">
        <v>141</v>
      </c>
      <c r="E846">
        <v>20</v>
      </c>
      <c r="F846">
        <v>1020</v>
      </c>
      <c r="G846" t="s">
        <v>114</v>
      </c>
      <c r="J846" t="s">
        <v>142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89"/>
        <v>14:51:17.469</v>
      </c>
      <c r="T846" t="str">
        <f t="shared" si="491"/>
        <v>14:51:17.069</v>
      </c>
      <c r="U846" t="str">
        <f t="shared" si="486"/>
        <v>ACC530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1</v>
      </c>
      <c r="AH846">
        <v>0</v>
      </c>
      <c r="AI846" t="s">
        <v>417</v>
      </c>
      <c r="AJ846">
        <v>34.221425000000004</v>
      </c>
      <c r="AK846" t="s">
        <v>418</v>
      </c>
      <c r="AL846">
        <v>-116.93058000000001</v>
      </c>
      <c r="AM846">
        <v>100</v>
      </c>
      <c r="AN846">
        <v>9200</v>
      </c>
      <c r="AO846" t="s">
        <v>118</v>
      </c>
      <c r="AP846">
        <v>-85</v>
      </c>
      <c r="AQ846">
        <v>-44</v>
      </c>
      <c r="AR846">
        <v>-384</v>
      </c>
      <c r="AZ846">
        <v>1200</v>
      </c>
      <c r="BA846">
        <v>1</v>
      </c>
      <c r="BB846" t="str">
        <f t="shared" si="487"/>
        <v xml:space="preserve">N9217B  </v>
      </c>
      <c r="BC846">
        <v>1</v>
      </c>
      <c r="BE846">
        <v>0</v>
      </c>
      <c r="BF846">
        <v>0</v>
      </c>
      <c r="BG846">
        <v>0</v>
      </c>
      <c r="BH846">
        <v>9300</v>
      </c>
      <c r="BI846">
        <v>1</v>
      </c>
      <c r="BJ846">
        <v>0</v>
      </c>
      <c r="BK846">
        <v>0</v>
      </c>
      <c r="BL846">
        <v>0</v>
      </c>
      <c r="BO846">
        <v>0</v>
      </c>
      <c r="BP846">
        <v>0</v>
      </c>
      <c r="BW846" t="str">
        <f t="shared" si="490"/>
        <v>14:51:17.470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293</v>
      </c>
      <c r="CR846">
        <v>1</v>
      </c>
      <c r="CW846">
        <v>15277928</v>
      </c>
      <c r="CY846">
        <v>0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25">
      <c r="A847" t="str">
        <f t="shared" si="488"/>
        <v>06/05/2020 14:51:11.840</v>
      </c>
      <c r="C847" t="str">
        <f t="shared" si="470"/>
        <v>FFDFD3C0</v>
      </c>
      <c r="D847" t="s">
        <v>148</v>
      </c>
      <c r="E847">
        <v>11</v>
      </c>
      <c r="H847">
        <v>53</v>
      </c>
      <c r="I847" t="s">
        <v>364</v>
      </c>
      <c r="J847" t="s">
        <v>150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89"/>
        <v>14:51:17.469</v>
      </c>
      <c r="T847" t="str">
        <f t="shared" si="491"/>
        <v>14:51:17.069</v>
      </c>
      <c r="U847" t="str">
        <f t="shared" si="486"/>
        <v>ACC530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9</v>
      </c>
      <c r="AE847">
        <v>0</v>
      </c>
      <c r="AF847">
        <v>3</v>
      </c>
      <c r="AG847">
        <v>1</v>
      </c>
      <c r="AH847">
        <v>0</v>
      </c>
      <c r="AI847" t="s">
        <v>417</v>
      </c>
      <c r="AJ847">
        <v>34.221425000000004</v>
      </c>
      <c r="AK847" t="s">
        <v>418</v>
      </c>
      <c r="AL847">
        <v>-116.93058000000001</v>
      </c>
      <c r="AM847">
        <v>100</v>
      </c>
      <c r="AN847">
        <v>9200</v>
      </c>
      <c r="AO847" t="s">
        <v>118</v>
      </c>
      <c r="AP847">
        <v>-85</v>
      </c>
      <c r="AQ847">
        <v>-44</v>
      </c>
      <c r="AR847">
        <v>-384</v>
      </c>
      <c r="AZ847">
        <v>1200</v>
      </c>
      <c r="BA847">
        <v>1</v>
      </c>
      <c r="BB847" t="str">
        <f t="shared" si="487"/>
        <v xml:space="preserve">N9217B  </v>
      </c>
      <c r="BC847">
        <v>1</v>
      </c>
      <c r="BE847">
        <v>0</v>
      </c>
      <c r="BF847">
        <v>0</v>
      </c>
      <c r="BG847">
        <v>0</v>
      </c>
      <c r="BH847">
        <v>9300</v>
      </c>
      <c r="BI847">
        <v>1</v>
      </c>
      <c r="BJ847">
        <v>0</v>
      </c>
      <c r="BK847">
        <v>0</v>
      </c>
      <c r="BL847">
        <v>0</v>
      </c>
      <c r="BO847">
        <v>0</v>
      </c>
      <c r="BP847">
        <v>0</v>
      </c>
      <c r="BW847" t="str">
        <f t="shared" si="490"/>
        <v>14:51:17.470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293</v>
      </c>
      <c r="CR847">
        <v>1</v>
      </c>
      <c r="CW847">
        <v>15277928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25">
      <c r="A848" t="str">
        <f t="shared" ref="A848:A855" si="492">"06/05/2020 14:51:12.999"</f>
        <v>06/05/2020 14:51:12.999</v>
      </c>
      <c r="C848" t="str">
        <f t="shared" si="470"/>
        <v>FFDFD3C0</v>
      </c>
      <c r="D848" t="s">
        <v>143</v>
      </c>
      <c r="E848">
        <v>10</v>
      </c>
      <c r="F848">
        <v>3010</v>
      </c>
      <c r="G848" t="s">
        <v>144</v>
      </c>
      <c r="J848" t="s">
        <v>145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ref="S848:T855" si="493">"14:51:18.633"</f>
        <v>14:51:18.633</v>
      </c>
      <c r="T848" t="str">
        <f t="shared" si="493"/>
        <v>14:51:18.633</v>
      </c>
      <c r="U848" t="str">
        <f t="shared" si="486"/>
        <v>ACC530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1</v>
      </c>
      <c r="AH848">
        <v>0</v>
      </c>
      <c r="AI848" t="s">
        <v>419</v>
      </c>
      <c r="AJ848">
        <v>34.221145999999997</v>
      </c>
      <c r="AK848" t="s">
        <v>420</v>
      </c>
      <c r="AL848">
        <v>-116.93115899999999</v>
      </c>
      <c r="AM848">
        <v>100</v>
      </c>
      <c r="AN848">
        <v>9200</v>
      </c>
      <c r="AO848" t="s">
        <v>118</v>
      </c>
      <c r="AP848">
        <v>-86</v>
      </c>
      <c r="AQ848">
        <v>-46</v>
      </c>
      <c r="AR848">
        <v>-384</v>
      </c>
      <c r="AZ848">
        <v>1200</v>
      </c>
      <c r="BA848">
        <v>1</v>
      </c>
      <c r="BB848" t="str">
        <f t="shared" si="487"/>
        <v xml:space="preserve">N9217B  </v>
      </c>
      <c r="BC848">
        <v>1</v>
      </c>
      <c r="BE848">
        <v>0</v>
      </c>
      <c r="BF848">
        <v>0</v>
      </c>
      <c r="BG848">
        <v>0</v>
      </c>
      <c r="BH848">
        <v>9275</v>
      </c>
      <c r="BI848">
        <v>1</v>
      </c>
      <c r="BJ848">
        <v>0</v>
      </c>
      <c r="BK848">
        <v>0</v>
      </c>
      <c r="BL848">
        <v>0</v>
      </c>
      <c r="BO848">
        <v>0</v>
      </c>
      <c r="BP848">
        <v>0</v>
      </c>
      <c r="BW848" t="str">
        <f t="shared" ref="BW848:BW855" si="494">"14:51:18.639"</f>
        <v>14:51:18.639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293</v>
      </c>
      <c r="CR848">
        <v>1</v>
      </c>
      <c r="CW848">
        <v>15278069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25">
      <c r="A849" t="str">
        <f t="shared" si="492"/>
        <v>06/05/2020 14:51:12.999</v>
      </c>
      <c r="C849" t="str">
        <f t="shared" si="470"/>
        <v>FFDFD3C0</v>
      </c>
      <c r="D849" t="s">
        <v>134</v>
      </c>
      <c r="E849">
        <v>7</v>
      </c>
      <c r="F849">
        <v>2007</v>
      </c>
      <c r="G849" t="s">
        <v>135</v>
      </c>
      <c r="J849" t="s">
        <v>136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93"/>
        <v>14:51:18.633</v>
      </c>
      <c r="T849" t="str">
        <f t="shared" si="493"/>
        <v>14:51:18.633</v>
      </c>
      <c r="U849" t="str">
        <f t="shared" si="486"/>
        <v>ACC530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1</v>
      </c>
      <c r="AH849">
        <v>0</v>
      </c>
      <c r="AI849" t="s">
        <v>419</v>
      </c>
      <c r="AJ849">
        <v>34.221145999999997</v>
      </c>
      <c r="AK849" t="s">
        <v>420</v>
      </c>
      <c r="AL849">
        <v>-116.93115899999999</v>
      </c>
      <c r="AM849">
        <v>100</v>
      </c>
      <c r="AN849">
        <v>9200</v>
      </c>
      <c r="AO849" t="s">
        <v>118</v>
      </c>
      <c r="AP849">
        <v>-86</v>
      </c>
      <c r="AQ849">
        <v>-46</v>
      </c>
      <c r="AR849">
        <v>-384</v>
      </c>
      <c r="AZ849">
        <v>1200</v>
      </c>
      <c r="BA849">
        <v>1</v>
      </c>
      <c r="BB849" t="str">
        <f t="shared" si="487"/>
        <v xml:space="preserve">N9217B  </v>
      </c>
      <c r="BC849">
        <v>1</v>
      </c>
      <c r="BE849">
        <v>0</v>
      </c>
      <c r="BF849">
        <v>0</v>
      </c>
      <c r="BG849">
        <v>0</v>
      </c>
      <c r="BH849">
        <v>9275</v>
      </c>
      <c r="BI849">
        <v>1</v>
      </c>
      <c r="BJ849">
        <v>0</v>
      </c>
      <c r="BK849">
        <v>0</v>
      </c>
      <c r="BL849">
        <v>0</v>
      </c>
      <c r="BO849">
        <v>0</v>
      </c>
      <c r="BP849">
        <v>0</v>
      </c>
      <c r="BW849" t="str">
        <f t="shared" si="494"/>
        <v>14:51:18.639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293</v>
      </c>
      <c r="CR849">
        <v>1</v>
      </c>
      <c r="CW849">
        <v>15278069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25">
      <c r="A850" t="str">
        <f t="shared" si="492"/>
        <v>06/05/2020 14:51:12.999</v>
      </c>
      <c r="C850" t="str">
        <f t="shared" si="470"/>
        <v>FFDFD3C0</v>
      </c>
      <c r="D850" t="s">
        <v>151</v>
      </c>
      <c r="E850">
        <v>8</v>
      </c>
      <c r="H850">
        <v>225</v>
      </c>
      <c r="I850" t="s">
        <v>353</v>
      </c>
      <c r="J850" t="s">
        <v>150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93"/>
        <v>14:51:18.633</v>
      </c>
      <c r="T850" t="str">
        <f t="shared" si="493"/>
        <v>14:51:18.633</v>
      </c>
      <c r="U850" t="str">
        <f t="shared" si="486"/>
        <v>ACC530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1</v>
      </c>
      <c r="AH850">
        <v>0</v>
      </c>
      <c r="AI850" t="s">
        <v>419</v>
      </c>
      <c r="AJ850">
        <v>34.221145999999997</v>
      </c>
      <c r="AK850" t="s">
        <v>420</v>
      </c>
      <c r="AL850">
        <v>-116.93115899999999</v>
      </c>
      <c r="AM850">
        <v>100</v>
      </c>
      <c r="AN850">
        <v>9200</v>
      </c>
      <c r="AO850" t="s">
        <v>118</v>
      </c>
      <c r="AP850">
        <v>-86</v>
      </c>
      <c r="AQ850">
        <v>-46</v>
      </c>
      <c r="AR850">
        <v>-384</v>
      </c>
      <c r="AZ850">
        <v>1200</v>
      </c>
      <c r="BA850">
        <v>1</v>
      </c>
      <c r="BB850" t="str">
        <f t="shared" si="487"/>
        <v xml:space="preserve">N9217B  </v>
      </c>
      <c r="BC850">
        <v>1</v>
      </c>
      <c r="BE850">
        <v>0</v>
      </c>
      <c r="BF850">
        <v>0</v>
      </c>
      <c r="BG850">
        <v>0</v>
      </c>
      <c r="BH850">
        <v>9275</v>
      </c>
      <c r="BI850">
        <v>1</v>
      </c>
      <c r="BJ850">
        <v>0</v>
      </c>
      <c r="BK850">
        <v>0</v>
      </c>
      <c r="BL850">
        <v>0</v>
      </c>
      <c r="BO850">
        <v>0</v>
      </c>
      <c r="BP850">
        <v>0</v>
      </c>
      <c r="BW850" t="str">
        <f t="shared" si="494"/>
        <v>14:51:18.639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6</v>
      </c>
      <c r="CP850" t="s">
        <v>119</v>
      </c>
      <c r="CQ850">
        <v>285</v>
      </c>
      <c r="CR850">
        <v>0</v>
      </c>
      <c r="CW850">
        <v>8846189</v>
      </c>
      <c r="CY850">
        <v>0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25">
      <c r="A851" t="str">
        <f t="shared" si="492"/>
        <v>06/05/2020 14:51:12.999</v>
      </c>
      <c r="C851" t="str">
        <f t="shared" si="470"/>
        <v>FFDFD3C0</v>
      </c>
      <c r="D851" t="s">
        <v>151</v>
      </c>
      <c r="E851">
        <v>9</v>
      </c>
      <c r="H851">
        <v>226</v>
      </c>
      <c r="I851" t="s">
        <v>152</v>
      </c>
      <c r="J851" t="s">
        <v>150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493"/>
        <v>14:51:18.633</v>
      </c>
      <c r="T851" t="str">
        <f t="shared" si="493"/>
        <v>14:51:18.633</v>
      </c>
      <c r="U851" t="str">
        <f t="shared" si="486"/>
        <v>ACC530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1</v>
      </c>
      <c r="AH851">
        <v>0</v>
      </c>
      <c r="AI851" t="s">
        <v>419</v>
      </c>
      <c r="AJ851">
        <v>34.221145999999997</v>
      </c>
      <c r="AK851" t="s">
        <v>420</v>
      </c>
      <c r="AL851">
        <v>-116.93115899999999</v>
      </c>
      <c r="AM851">
        <v>100</v>
      </c>
      <c r="AN851">
        <v>9200</v>
      </c>
      <c r="AO851" t="s">
        <v>118</v>
      </c>
      <c r="AP851">
        <v>-86</v>
      </c>
      <c r="AQ851">
        <v>-46</v>
      </c>
      <c r="AR851">
        <v>-384</v>
      </c>
      <c r="AZ851">
        <v>1200</v>
      </c>
      <c r="BA851">
        <v>1</v>
      </c>
      <c r="BB851" t="str">
        <f t="shared" si="487"/>
        <v xml:space="preserve">N9217B  </v>
      </c>
      <c r="BC851">
        <v>1</v>
      </c>
      <c r="BE851">
        <v>0</v>
      </c>
      <c r="BF851">
        <v>0</v>
      </c>
      <c r="BG851">
        <v>0</v>
      </c>
      <c r="BH851">
        <v>9275</v>
      </c>
      <c r="BI851">
        <v>1</v>
      </c>
      <c r="BJ851">
        <v>0</v>
      </c>
      <c r="BK851">
        <v>0</v>
      </c>
      <c r="BL851">
        <v>0</v>
      </c>
      <c r="BO851">
        <v>0</v>
      </c>
      <c r="BP851">
        <v>0</v>
      </c>
      <c r="BW851" t="str">
        <f t="shared" si="494"/>
        <v>14:51:18.639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293</v>
      </c>
      <c r="CR851">
        <v>1</v>
      </c>
      <c r="CW851">
        <v>15278069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25">
      <c r="A852" t="str">
        <f t="shared" si="492"/>
        <v>06/05/2020 14:51:12.999</v>
      </c>
      <c r="C852" t="str">
        <f t="shared" si="470"/>
        <v>FFDFD3C0</v>
      </c>
      <c r="D852" t="s">
        <v>148</v>
      </c>
      <c r="E852">
        <v>8</v>
      </c>
      <c r="H852">
        <v>50</v>
      </c>
      <c r="I852" t="s">
        <v>149</v>
      </c>
      <c r="J852" t="s">
        <v>150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93"/>
        <v>14:51:18.633</v>
      </c>
      <c r="T852" t="str">
        <f t="shared" si="493"/>
        <v>14:51:18.633</v>
      </c>
      <c r="U852" t="str">
        <f t="shared" si="486"/>
        <v>ACC530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1</v>
      </c>
      <c r="AH852">
        <v>0</v>
      </c>
      <c r="AI852" t="s">
        <v>419</v>
      </c>
      <c r="AJ852">
        <v>34.221145999999997</v>
      </c>
      <c r="AK852" t="s">
        <v>420</v>
      </c>
      <c r="AL852">
        <v>-116.93115899999999</v>
      </c>
      <c r="AM852">
        <v>100</v>
      </c>
      <c r="AN852">
        <v>9200</v>
      </c>
      <c r="AO852" t="s">
        <v>118</v>
      </c>
      <c r="AP852">
        <v>-86</v>
      </c>
      <c r="AQ852">
        <v>-46</v>
      </c>
      <c r="AR852">
        <v>-384</v>
      </c>
      <c r="AZ852">
        <v>1200</v>
      </c>
      <c r="BA852">
        <v>1</v>
      </c>
      <c r="BB852" t="str">
        <f t="shared" si="487"/>
        <v xml:space="preserve">N9217B  </v>
      </c>
      <c r="BC852">
        <v>1</v>
      </c>
      <c r="BE852">
        <v>0</v>
      </c>
      <c r="BF852">
        <v>0</v>
      </c>
      <c r="BG852">
        <v>0</v>
      </c>
      <c r="BH852">
        <v>9275</v>
      </c>
      <c r="BI852">
        <v>1</v>
      </c>
      <c r="BJ852">
        <v>0</v>
      </c>
      <c r="BK852">
        <v>0</v>
      </c>
      <c r="BL852">
        <v>0</v>
      </c>
      <c r="BO852">
        <v>0</v>
      </c>
      <c r="BP852">
        <v>0</v>
      </c>
      <c r="BW852" t="str">
        <f t="shared" si="494"/>
        <v>14:51:18.639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293</v>
      </c>
      <c r="CR852">
        <v>1</v>
      </c>
      <c r="CW852">
        <v>15278069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25">
      <c r="A853" t="str">
        <f t="shared" si="492"/>
        <v>06/05/2020 14:51:12.999</v>
      </c>
      <c r="C853" t="str">
        <f t="shared" si="470"/>
        <v>FFDFD3C0</v>
      </c>
      <c r="D853" t="s">
        <v>113</v>
      </c>
      <c r="E853">
        <v>3</v>
      </c>
      <c r="H853">
        <v>166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93"/>
        <v>14:51:18.633</v>
      </c>
      <c r="T853" t="str">
        <f t="shared" si="493"/>
        <v>14:51:18.633</v>
      </c>
      <c r="U853" t="str">
        <f t="shared" si="486"/>
        <v>ACC530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1</v>
      </c>
      <c r="AH853">
        <v>0</v>
      </c>
      <c r="AI853" t="s">
        <v>419</v>
      </c>
      <c r="AJ853">
        <v>34.221145999999997</v>
      </c>
      <c r="AK853" t="s">
        <v>420</v>
      </c>
      <c r="AL853">
        <v>-116.93115899999999</v>
      </c>
      <c r="AM853">
        <v>100</v>
      </c>
      <c r="AN853">
        <v>9200</v>
      </c>
      <c r="AO853" t="s">
        <v>118</v>
      </c>
      <c r="AP853">
        <v>-86</v>
      </c>
      <c r="AQ853">
        <v>-46</v>
      </c>
      <c r="AR853">
        <v>-384</v>
      </c>
      <c r="AZ853">
        <v>1200</v>
      </c>
      <c r="BA853">
        <v>1</v>
      </c>
      <c r="BB853" t="str">
        <f t="shared" si="487"/>
        <v xml:space="preserve">N9217B  </v>
      </c>
      <c r="BC853">
        <v>1</v>
      </c>
      <c r="BE853">
        <v>0</v>
      </c>
      <c r="BF853">
        <v>0</v>
      </c>
      <c r="BG853">
        <v>0</v>
      </c>
      <c r="BH853">
        <v>9275</v>
      </c>
      <c r="BI853">
        <v>1</v>
      </c>
      <c r="BJ853">
        <v>0</v>
      </c>
      <c r="BK853">
        <v>0</v>
      </c>
      <c r="BL853">
        <v>0</v>
      </c>
      <c r="BO853">
        <v>0</v>
      </c>
      <c r="BP853">
        <v>0</v>
      </c>
      <c r="BW853" t="str">
        <f t="shared" si="494"/>
        <v>14:51:18.639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293</v>
      </c>
      <c r="CR853">
        <v>1</v>
      </c>
      <c r="CW853">
        <v>15278069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25">
      <c r="A854" t="str">
        <f t="shared" si="492"/>
        <v>06/05/2020 14:51:12.999</v>
      </c>
      <c r="C854" t="str">
        <f t="shared" si="470"/>
        <v>FFDFD3C0</v>
      </c>
      <c r="D854" t="s">
        <v>141</v>
      </c>
      <c r="E854">
        <v>20</v>
      </c>
      <c r="F854">
        <v>1020</v>
      </c>
      <c r="G854" t="s">
        <v>114</v>
      </c>
      <c r="J854" t="s">
        <v>142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93"/>
        <v>14:51:18.633</v>
      </c>
      <c r="T854" t="str">
        <f t="shared" si="493"/>
        <v>14:51:18.633</v>
      </c>
      <c r="U854" t="str">
        <f t="shared" si="486"/>
        <v>ACC530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1</v>
      </c>
      <c r="AH854">
        <v>0</v>
      </c>
      <c r="AI854" t="s">
        <v>419</v>
      </c>
      <c r="AJ854">
        <v>34.221145999999997</v>
      </c>
      <c r="AK854" t="s">
        <v>420</v>
      </c>
      <c r="AL854">
        <v>-116.93115899999999</v>
      </c>
      <c r="AM854">
        <v>100</v>
      </c>
      <c r="AN854">
        <v>9200</v>
      </c>
      <c r="AO854" t="s">
        <v>118</v>
      </c>
      <c r="AP854">
        <v>-86</v>
      </c>
      <c r="AQ854">
        <v>-46</v>
      </c>
      <c r="AR854">
        <v>-384</v>
      </c>
      <c r="AZ854">
        <v>1200</v>
      </c>
      <c r="BA854">
        <v>1</v>
      </c>
      <c r="BB854" t="str">
        <f t="shared" si="487"/>
        <v xml:space="preserve">N9217B  </v>
      </c>
      <c r="BC854">
        <v>1</v>
      </c>
      <c r="BE854">
        <v>0</v>
      </c>
      <c r="BF854">
        <v>0</v>
      </c>
      <c r="BG854">
        <v>0</v>
      </c>
      <c r="BH854">
        <v>9275</v>
      </c>
      <c r="BI854">
        <v>1</v>
      </c>
      <c r="BJ854">
        <v>0</v>
      </c>
      <c r="BK854">
        <v>0</v>
      </c>
      <c r="BL854">
        <v>0</v>
      </c>
      <c r="BO854">
        <v>0</v>
      </c>
      <c r="BP854">
        <v>0</v>
      </c>
      <c r="BW854" t="str">
        <f t="shared" si="494"/>
        <v>14:51:18.639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293</v>
      </c>
      <c r="CR854">
        <v>1</v>
      </c>
      <c r="CW854">
        <v>15278069</v>
      </c>
      <c r="CY854">
        <v>0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25">
      <c r="A855" t="str">
        <f t="shared" si="492"/>
        <v>06/05/2020 14:51:12.999</v>
      </c>
      <c r="C855" t="str">
        <f t="shared" si="470"/>
        <v>FFDFD3C0</v>
      </c>
      <c r="D855" t="s">
        <v>148</v>
      </c>
      <c r="E855">
        <v>11</v>
      </c>
      <c r="H855">
        <v>53</v>
      </c>
      <c r="I855" t="s">
        <v>364</v>
      </c>
      <c r="J855" t="s">
        <v>150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93"/>
        <v>14:51:18.633</v>
      </c>
      <c r="T855" t="str">
        <f t="shared" si="493"/>
        <v>14:51:18.633</v>
      </c>
      <c r="U855" t="str">
        <f t="shared" si="486"/>
        <v>ACC530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1</v>
      </c>
      <c r="AH855">
        <v>0</v>
      </c>
      <c r="AI855" t="s">
        <v>419</v>
      </c>
      <c r="AJ855">
        <v>34.221145999999997</v>
      </c>
      <c r="AK855" t="s">
        <v>420</v>
      </c>
      <c r="AL855">
        <v>-116.93115899999999</v>
      </c>
      <c r="AM855">
        <v>100</v>
      </c>
      <c r="AN855">
        <v>9200</v>
      </c>
      <c r="AO855" t="s">
        <v>118</v>
      </c>
      <c r="AP855">
        <v>-86</v>
      </c>
      <c r="AQ855">
        <v>-46</v>
      </c>
      <c r="AR855">
        <v>-384</v>
      </c>
      <c r="AZ855">
        <v>1200</v>
      </c>
      <c r="BA855">
        <v>1</v>
      </c>
      <c r="BB855" t="str">
        <f t="shared" si="487"/>
        <v xml:space="preserve">N9217B  </v>
      </c>
      <c r="BC855">
        <v>1</v>
      </c>
      <c r="BE855">
        <v>0</v>
      </c>
      <c r="BF855">
        <v>0</v>
      </c>
      <c r="BG855">
        <v>0</v>
      </c>
      <c r="BH855">
        <v>9275</v>
      </c>
      <c r="BI855">
        <v>1</v>
      </c>
      <c r="BJ855">
        <v>0</v>
      </c>
      <c r="BK855">
        <v>0</v>
      </c>
      <c r="BL855">
        <v>0</v>
      </c>
      <c r="BO855">
        <v>0</v>
      </c>
      <c r="BP855">
        <v>0</v>
      </c>
      <c r="BW855" t="str">
        <f t="shared" si="494"/>
        <v>14:51:18.639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293</v>
      </c>
      <c r="CR855">
        <v>1</v>
      </c>
      <c r="CW855">
        <v>15278069</v>
      </c>
      <c r="CY855">
        <v>0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25">
      <c r="A856" t="str">
        <f t="shared" ref="A856:A863" si="495">"06/05/2020 14:51:13.897"</f>
        <v>06/05/2020 14:51:13.897</v>
      </c>
      <c r="C856" t="str">
        <f t="shared" si="470"/>
        <v>FFDFD3C0</v>
      </c>
      <c r="D856" t="s">
        <v>148</v>
      </c>
      <c r="E856">
        <v>11</v>
      </c>
      <c r="H856">
        <v>53</v>
      </c>
      <c r="I856" t="s">
        <v>364</v>
      </c>
      <c r="J856" t="s">
        <v>150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ref="S856:S863" si="496">"14:51:19.547"</f>
        <v>14:51:19.547</v>
      </c>
      <c r="T856" t="str">
        <f t="shared" ref="T856:T863" si="497">"14:51:19.147"</f>
        <v>14:51:19.147</v>
      </c>
      <c r="U856" t="str">
        <f t="shared" si="486"/>
        <v>ACC530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1</v>
      </c>
      <c r="AH856">
        <v>0</v>
      </c>
      <c r="AI856" t="s">
        <v>421</v>
      </c>
      <c r="AJ856">
        <v>34.220973999999998</v>
      </c>
      <c r="AK856" t="s">
        <v>422</v>
      </c>
      <c r="AL856">
        <v>-116.931546</v>
      </c>
      <c r="AM856">
        <v>100</v>
      </c>
      <c r="AN856">
        <v>9200</v>
      </c>
      <c r="AO856" t="s">
        <v>118</v>
      </c>
      <c r="AP856">
        <v>-86</v>
      </c>
      <c r="AQ856">
        <v>-47</v>
      </c>
      <c r="AR856">
        <v>-384</v>
      </c>
      <c r="AZ856">
        <v>1200</v>
      </c>
      <c r="BA856">
        <v>1</v>
      </c>
      <c r="BB856" t="str">
        <f t="shared" si="487"/>
        <v xml:space="preserve">N9217B  </v>
      </c>
      <c r="BC856">
        <v>1</v>
      </c>
      <c r="BE856">
        <v>0</v>
      </c>
      <c r="BF856">
        <v>0</v>
      </c>
      <c r="BG856">
        <v>0</v>
      </c>
      <c r="BH856">
        <v>9275</v>
      </c>
      <c r="BI856">
        <v>1</v>
      </c>
      <c r="BJ856">
        <v>0</v>
      </c>
      <c r="BK856">
        <v>0</v>
      </c>
      <c r="BL856">
        <v>0</v>
      </c>
      <c r="BO856">
        <v>0</v>
      </c>
      <c r="BP856">
        <v>0</v>
      </c>
      <c r="BW856" t="str">
        <f t="shared" ref="BW856:BW863" si="498">"14:51:19.554"</f>
        <v>14:51:19.554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293</v>
      </c>
      <c r="CR856">
        <v>1</v>
      </c>
      <c r="CW856">
        <v>15278182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25">
      <c r="A857" t="str">
        <f t="shared" si="495"/>
        <v>06/05/2020 14:51:13.897</v>
      </c>
      <c r="C857" t="str">
        <f t="shared" si="470"/>
        <v>FFDFD3C0</v>
      </c>
      <c r="D857" t="s">
        <v>143</v>
      </c>
      <c r="E857">
        <v>10</v>
      </c>
      <c r="F857">
        <v>3010</v>
      </c>
      <c r="G857" t="s">
        <v>144</v>
      </c>
      <c r="J857" t="s">
        <v>145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96"/>
        <v>14:51:19.547</v>
      </c>
      <c r="T857" t="str">
        <f t="shared" si="497"/>
        <v>14:51:19.147</v>
      </c>
      <c r="U857" t="str">
        <f t="shared" si="486"/>
        <v>ACC530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1</v>
      </c>
      <c r="AH857">
        <v>0</v>
      </c>
      <c r="AI857" t="s">
        <v>421</v>
      </c>
      <c r="AJ857">
        <v>34.220973999999998</v>
      </c>
      <c r="AK857" t="s">
        <v>422</v>
      </c>
      <c r="AL857">
        <v>-116.931546</v>
      </c>
      <c r="AM857">
        <v>100</v>
      </c>
      <c r="AN857">
        <v>9200</v>
      </c>
      <c r="AO857" t="s">
        <v>118</v>
      </c>
      <c r="AP857">
        <v>-86</v>
      </c>
      <c r="AQ857">
        <v>-47</v>
      </c>
      <c r="AR857">
        <v>-384</v>
      </c>
      <c r="AZ857">
        <v>1200</v>
      </c>
      <c r="BA857">
        <v>1</v>
      </c>
      <c r="BB857" t="str">
        <f t="shared" si="487"/>
        <v xml:space="preserve">N9217B  </v>
      </c>
      <c r="BC857">
        <v>1</v>
      </c>
      <c r="BE857">
        <v>0</v>
      </c>
      <c r="BF857">
        <v>0</v>
      </c>
      <c r="BG857">
        <v>0</v>
      </c>
      <c r="BH857">
        <v>9275</v>
      </c>
      <c r="BI857">
        <v>1</v>
      </c>
      <c r="BJ857">
        <v>0</v>
      </c>
      <c r="BK857">
        <v>0</v>
      </c>
      <c r="BL857">
        <v>0</v>
      </c>
      <c r="BO857">
        <v>0</v>
      </c>
      <c r="BP857">
        <v>0</v>
      </c>
      <c r="BW857" t="str">
        <f t="shared" si="498"/>
        <v>14:51:19.554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293</v>
      </c>
      <c r="CR857">
        <v>1</v>
      </c>
      <c r="CW857">
        <v>15278182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25">
      <c r="A858" t="str">
        <f t="shared" si="495"/>
        <v>06/05/2020 14:51:13.897</v>
      </c>
      <c r="C858" t="str">
        <f t="shared" si="470"/>
        <v>FFDFD3C0</v>
      </c>
      <c r="D858" t="s">
        <v>134</v>
      </c>
      <c r="E858">
        <v>7</v>
      </c>
      <c r="F858">
        <v>2007</v>
      </c>
      <c r="G858" t="s">
        <v>135</v>
      </c>
      <c r="J858" t="s">
        <v>136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496"/>
        <v>14:51:19.547</v>
      </c>
      <c r="T858" t="str">
        <f t="shared" si="497"/>
        <v>14:51:19.147</v>
      </c>
      <c r="U858" t="str">
        <f t="shared" si="486"/>
        <v>ACC530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1</v>
      </c>
      <c r="AH858">
        <v>0</v>
      </c>
      <c r="AI858" t="s">
        <v>421</v>
      </c>
      <c r="AJ858">
        <v>34.220973999999998</v>
      </c>
      <c r="AK858" t="s">
        <v>422</v>
      </c>
      <c r="AL858">
        <v>-116.931546</v>
      </c>
      <c r="AM858">
        <v>100</v>
      </c>
      <c r="AN858">
        <v>9200</v>
      </c>
      <c r="AO858" t="s">
        <v>118</v>
      </c>
      <c r="AP858">
        <v>-86</v>
      </c>
      <c r="AQ858">
        <v>-47</v>
      </c>
      <c r="AR858">
        <v>-384</v>
      </c>
      <c r="AZ858">
        <v>1200</v>
      </c>
      <c r="BA858">
        <v>1</v>
      </c>
      <c r="BB858" t="str">
        <f t="shared" si="487"/>
        <v xml:space="preserve">N9217B  </v>
      </c>
      <c r="BC858">
        <v>1</v>
      </c>
      <c r="BE858">
        <v>0</v>
      </c>
      <c r="BF858">
        <v>0</v>
      </c>
      <c r="BG858">
        <v>0</v>
      </c>
      <c r="BH858">
        <v>9275</v>
      </c>
      <c r="BI858">
        <v>1</v>
      </c>
      <c r="BJ858">
        <v>0</v>
      </c>
      <c r="BK858">
        <v>0</v>
      </c>
      <c r="BL858">
        <v>0</v>
      </c>
      <c r="BO858">
        <v>0</v>
      </c>
      <c r="BP858">
        <v>0</v>
      </c>
      <c r="BW858" t="str">
        <f t="shared" si="498"/>
        <v>14:51:19.554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293</v>
      </c>
      <c r="CR858">
        <v>1</v>
      </c>
      <c r="CW858">
        <v>15278182</v>
      </c>
      <c r="CY858">
        <v>0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25">
      <c r="A859" t="str">
        <f t="shared" si="495"/>
        <v>06/05/2020 14:51:13.897</v>
      </c>
      <c r="C859" t="str">
        <f t="shared" si="470"/>
        <v>FFDFD3C0</v>
      </c>
      <c r="D859" t="s">
        <v>151</v>
      </c>
      <c r="E859">
        <v>8</v>
      </c>
      <c r="H859">
        <v>225</v>
      </c>
      <c r="I859" t="s">
        <v>353</v>
      </c>
      <c r="J859" t="s">
        <v>150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96"/>
        <v>14:51:19.547</v>
      </c>
      <c r="T859" t="str">
        <f t="shared" si="497"/>
        <v>14:51:19.147</v>
      </c>
      <c r="U859" t="str">
        <f t="shared" si="486"/>
        <v>ACC530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1</v>
      </c>
      <c r="AH859">
        <v>0</v>
      </c>
      <c r="AI859" t="s">
        <v>421</v>
      </c>
      <c r="AJ859">
        <v>34.220973999999998</v>
      </c>
      <c r="AK859" t="s">
        <v>422</v>
      </c>
      <c r="AL859">
        <v>-116.931546</v>
      </c>
      <c r="AM859">
        <v>100</v>
      </c>
      <c r="AN859">
        <v>9200</v>
      </c>
      <c r="AO859" t="s">
        <v>118</v>
      </c>
      <c r="AP859">
        <v>-86</v>
      </c>
      <c r="AQ859">
        <v>-47</v>
      </c>
      <c r="AR859">
        <v>-384</v>
      </c>
      <c r="AZ859">
        <v>1200</v>
      </c>
      <c r="BA859">
        <v>1</v>
      </c>
      <c r="BB859" t="str">
        <f t="shared" si="487"/>
        <v xml:space="preserve">N9217B  </v>
      </c>
      <c r="BC859">
        <v>1</v>
      </c>
      <c r="BE859">
        <v>0</v>
      </c>
      <c r="BF859">
        <v>0</v>
      </c>
      <c r="BG859">
        <v>0</v>
      </c>
      <c r="BH859">
        <v>9275</v>
      </c>
      <c r="BI859">
        <v>1</v>
      </c>
      <c r="BJ859">
        <v>0</v>
      </c>
      <c r="BK859">
        <v>0</v>
      </c>
      <c r="BL859">
        <v>0</v>
      </c>
      <c r="BO859">
        <v>0</v>
      </c>
      <c r="BP859">
        <v>0</v>
      </c>
      <c r="BW859" t="str">
        <f t="shared" si="498"/>
        <v>14:51:19.554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6</v>
      </c>
      <c r="CP859" t="s">
        <v>119</v>
      </c>
      <c r="CQ859">
        <v>285</v>
      </c>
      <c r="CR859">
        <v>0</v>
      </c>
      <c r="CW859">
        <v>8846273</v>
      </c>
      <c r="CY859">
        <v>0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25">
      <c r="A860" t="str">
        <f t="shared" si="495"/>
        <v>06/05/2020 14:51:13.897</v>
      </c>
      <c r="C860" t="str">
        <f t="shared" si="470"/>
        <v>FFDFD3C0</v>
      </c>
      <c r="D860" t="s">
        <v>151</v>
      </c>
      <c r="E860">
        <v>9</v>
      </c>
      <c r="H860">
        <v>226</v>
      </c>
      <c r="I860" t="s">
        <v>152</v>
      </c>
      <c r="J860" t="s">
        <v>150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96"/>
        <v>14:51:19.547</v>
      </c>
      <c r="T860" t="str">
        <f t="shared" si="497"/>
        <v>14:51:19.147</v>
      </c>
      <c r="U860" t="str">
        <f t="shared" si="486"/>
        <v>ACC530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9</v>
      </c>
      <c r="AE860">
        <v>0</v>
      </c>
      <c r="AF860">
        <v>3</v>
      </c>
      <c r="AG860">
        <v>1</v>
      </c>
      <c r="AH860">
        <v>0</v>
      </c>
      <c r="AI860" t="s">
        <v>421</v>
      </c>
      <c r="AJ860">
        <v>34.220973999999998</v>
      </c>
      <c r="AK860" t="s">
        <v>422</v>
      </c>
      <c r="AL860">
        <v>-116.931546</v>
      </c>
      <c r="AM860">
        <v>100</v>
      </c>
      <c r="AN860">
        <v>9200</v>
      </c>
      <c r="AO860" t="s">
        <v>118</v>
      </c>
      <c r="AP860">
        <v>-86</v>
      </c>
      <c r="AQ860">
        <v>-47</v>
      </c>
      <c r="AR860">
        <v>-384</v>
      </c>
      <c r="AZ860">
        <v>1200</v>
      </c>
      <c r="BA860">
        <v>1</v>
      </c>
      <c r="BB860" t="str">
        <f t="shared" si="487"/>
        <v xml:space="preserve">N9217B  </v>
      </c>
      <c r="BC860">
        <v>1</v>
      </c>
      <c r="BE860">
        <v>0</v>
      </c>
      <c r="BF860">
        <v>0</v>
      </c>
      <c r="BG860">
        <v>0</v>
      </c>
      <c r="BH860">
        <v>9275</v>
      </c>
      <c r="BI860">
        <v>1</v>
      </c>
      <c r="BJ860">
        <v>0</v>
      </c>
      <c r="BK860">
        <v>0</v>
      </c>
      <c r="BL860">
        <v>0</v>
      </c>
      <c r="BO860">
        <v>0</v>
      </c>
      <c r="BP860">
        <v>0</v>
      </c>
      <c r="BW860" t="str">
        <f t="shared" si="498"/>
        <v>14:51:19.554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293</v>
      </c>
      <c r="CR860">
        <v>1</v>
      </c>
      <c r="CW860">
        <v>15278182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25">
      <c r="A861" t="str">
        <f t="shared" si="495"/>
        <v>06/05/2020 14:51:13.897</v>
      </c>
      <c r="C861" t="str">
        <f t="shared" si="470"/>
        <v>FFDFD3C0</v>
      </c>
      <c r="D861" t="s">
        <v>148</v>
      </c>
      <c r="E861">
        <v>8</v>
      </c>
      <c r="H861">
        <v>50</v>
      </c>
      <c r="I861" t="s">
        <v>149</v>
      </c>
      <c r="J861" t="s">
        <v>150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96"/>
        <v>14:51:19.547</v>
      </c>
      <c r="T861" t="str">
        <f t="shared" si="497"/>
        <v>14:51:19.147</v>
      </c>
      <c r="U861" t="str">
        <f t="shared" si="486"/>
        <v>ACC530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1</v>
      </c>
      <c r="AH861">
        <v>0</v>
      </c>
      <c r="AI861" t="s">
        <v>421</v>
      </c>
      <c r="AJ861">
        <v>34.220973999999998</v>
      </c>
      <c r="AK861" t="s">
        <v>422</v>
      </c>
      <c r="AL861">
        <v>-116.931546</v>
      </c>
      <c r="AM861">
        <v>100</v>
      </c>
      <c r="AN861">
        <v>9200</v>
      </c>
      <c r="AO861" t="s">
        <v>118</v>
      </c>
      <c r="AP861">
        <v>-86</v>
      </c>
      <c r="AQ861">
        <v>-47</v>
      </c>
      <c r="AR861">
        <v>-384</v>
      </c>
      <c r="AZ861">
        <v>1200</v>
      </c>
      <c r="BA861">
        <v>1</v>
      </c>
      <c r="BB861" t="str">
        <f t="shared" si="487"/>
        <v xml:space="preserve">N9217B  </v>
      </c>
      <c r="BC861">
        <v>1</v>
      </c>
      <c r="BE861">
        <v>0</v>
      </c>
      <c r="BF861">
        <v>0</v>
      </c>
      <c r="BG861">
        <v>0</v>
      </c>
      <c r="BH861">
        <v>9275</v>
      </c>
      <c r="BI861">
        <v>1</v>
      </c>
      <c r="BJ861">
        <v>0</v>
      </c>
      <c r="BK861">
        <v>0</v>
      </c>
      <c r="BL861">
        <v>0</v>
      </c>
      <c r="BO861">
        <v>0</v>
      </c>
      <c r="BP861">
        <v>0</v>
      </c>
      <c r="BW861" t="str">
        <f t="shared" si="498"/>
        <v>14:51:19.554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293</v>
      </c>
      <c r="CR861">
        <v>1</v>
      </c>
      <c r="CW861">
        <v>15278182</v>
      </c>
      <c r="CY861">
        <v>0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25">
      <c r="A862" t="str">
        <f t="shared" si="495"/>
        <v>06/05/2020 14:51:13.897</v>
      </c>
      <c r="C862" t="str">
        <f t="shared" si="470"/>
        <v>FFDFD3C0</v>
      </c>
      <c r="D862" t="s">
        <v>113</v>
      </c>
      <c r="E862">
        <v>3</v>
      </c>
      <c r="H862">
        <v>166</v>
      </c>
      <c r="I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96"/>
        <v>14:51:19.547</v>
      </c>
      <c r="T862" t="str">
        <f t="shared" si="497"/>
        <v>14:51:19.147</v>
      </c>
      <c r="U862" t="str">
        <f t="shared" si="486"/>
        <v>ACC530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1</v>
      </c>
      <c r="AH862">
        <v>0</v>
      </c>
      <c r="AI862" t="s">
        <v>421</v>
      </c>
      <c r="AJ862">
        <v>34.220973999999998</v>
      </c>
      <c r="AK862" t="s">
        <v>422</v>
      </c>
      <c r="AL862">
        <v>-116.931546</v>
      </c>
      <c r="AM862">
        <v>100</v>
      </c>
      <c r="AN862">
        <v>9200</v>
      </c>
      <c r="AO862" t="s">
        <v>118</v>
      </c>
      <c r="AP862">
        <v>-86</v>
      </c>
      <c r="AQ862">
        <v>-47</v>
      </c>
      <c r="AR862">
        <v>-384</v>
      </c>
      <c r="AZ862">
        <v>1200</v>
      </c>
      <c r="BA862">
        <v>1</v>
      </c>
      <c r="BB862" t="str">
        <f t="shared" si="487"/>
        <v xml:space="preserve">N9217B  </v>
      </c>
      <c r="BC862">
        <v>1</v>
      </c>
      <c r="BE862">
        <v>0</v>
      </c>
      <c r="BF862">
        <v>0</v>
      </c>
      <c r="BG862">
        <v>0</v>
      </c>
      <c r="BH862">
        <v>9275</v>
      </c>
      <c r="BI862">
        <v>1</v>
      </c>
      <c r="BJ862">
        <v>0</v>
      </c>
      <c r="BK862">
        <v>0</v>
      </c>
      <c r="BL862">
        <v>0</v>
      </c>
      <c r="BO862">
        <v>0</v>
      </c>
      <c r="BP862">
        <v>0</v>
      </c>
      <c r="BW862" t="str">
        <f t="shared" si="498"/>
        <v>14:51:19.554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293</v>
      </c>
      <c r="CR862">
        <v>1</v>
      </c>
      <c r="CW862">
        <v>15278182</v>
      </c>
      <c r="CY862">
        <v>0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25">
      <c r="A863" t="str">
        <f t="shared" si="495"/>
        <v>06/05/2020 14:51:13.897</v>
      </c>
      <c r="C863" t="str">
        <f t="shared" si="470"/>
        <v>FFDFD3C0</v>
      </c>
      <c r="D863" t="s">
        <v>141</v>
      </c>
      <c r="E863">
        <v>20</v>
      </c>
      <c r="F863">
        <v>1020</v>
      </c>
      <c r="G863" t="s">
        <v>114</v>
      </c>
      <c r="J863" t="s">
        <v>142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96"/>
        <v>14:51:19.547</v>
      </c>
      <c r="T863" t="str">
        <f t="shared" si="497"/>
        <v>14:51:19.147</v>
      </c>
      <c r="U863" t="str">
        <f t="shared" si="486"/>
        <v>ACC530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9</v>
      </c>
      <c r="AE863">
        <v>0</v>
      </c>
      <c r="AF863">
        <v>3</v>
      </c>
      <c r="AG863">
        <v>1</v>
      </c>
      <c r="AH863">
        <v>0</v>
      </c>
      <c r="AI863" t="s">
        <v>421</v>
      </c>
      <c r="AJ863">
        <v>34.220973999999998</v>
      </c>
      <c r="AK863" t="s">
        <v>422</v>
      </c>
      <c r="AL863">
        <v>-116.931546</v>
      </c>
      <c r="AM863">
        <v>100</v>
      </c>
      <c r="AN863">
        <v>9200</v>
      </c>
      <c r="AO863" t="s">
        <v>118</v>
      </c>
      <c r="AP863">
        <v>-86</v>
      </c>
      <c r="AQ863">
        <v>-47</v>
      </c>
      <c r="AR863">
        <v>-384</v>
      </c>
      <c r="AZ863">
        <v>1200</v>
      </c>
      <c r="BA863">
        <v>1</v>
      </c>
      <c r="BB863" t="str">
        <f t="shared" si="487"/>
        <v xml:space="preserve">N9217B  </v>
      </c>
      <c r="BC863">
        <v>1</v>
      </c>
      <c r="BE863">
        <v>0</v>
      </c>
      <c r="BF863">
        <v>0</v>
      </c>
      <c r="BG863">
        <v>0</v>
      </c>
      <c r="BH863">
        <v>9275</v>
      </c>
      <c r="BI863">
        <v>1</v>
      </c>
      <c r="BJ863">
        <v>0</v>
      </c>
      <c r="BK863">
        <v>0</v>
      </c>
      <c r="BL863">
        <v>0</v>
      </c>
      <c r="BO863">
        <v>0</v>
      </c>
      <c r="BP863">
        <v>0</v>
      </c>
      <c r="BW863" t="str">
        <f t="shared" si="498"/>
        <v>14:51:19.554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293</v>
      </c>
      <c r="CR863">
        <v>1</v>
      </c>
      <c r="CW863">
        <v>15278182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25">
      <c r="A864" t="str">
        <f t="shared" ref="A864:A871" si="499">"06/05/2020 14:51:14.981"</f>
        <v>06/05/2020 14:51:14.981</v>
      </c>
      <c r="C864" t="str">
        <f t="shared" si="470"/>
        <v>FFDFD3C0</v>
      </c>
      <c r="D864" t="s">
        <v>148</v>
      </c>
      <c r="E864">
        <v>8</v>
      </c>
      <c r="H864">
        <v>50</v>
      </c>
      <c r="I864" t="s">
        <v>149</v>
      </c>
      <c r="J864" t="s">
        <v>150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ref="S864:S871" si="500">"14:51:20.633"</f>
        <v>14:51:20.633</v>
      </c>
      <c r="T864" t="str">
        <f t="shared" ref="T864:T871" si="501">"14:51:20.533"</f>
        <v>14:51:20.533</v>
      </c>
      <c r="U864" t="str">
        <f t="shared" si="486"/>
        <v>ACC530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1</v>
      </c>
      <c r="AH864">
        <v>0</v>
      </c>
      <c r="AI864" t="s">
        <v>423</v>
      </c>
      <c r="AJ864">
        <v>34.220737999999997</v>
      </c>
      <c r="AK864" t="s">
        <v>424</v>
      </c>
      <c r="AL864">
        <v>-116.932125</v>
      </c>
      <c r="AM864">
        <v>100</v>
      </c>
      <c r="AN864">
        <v>9200</v>
      </c>
      <c r="AO864" t="s">
        <v>118</v>
      </c>
      <c r="AP864">
        <v>-87</v>
      </c>
      <c r="AQ864">
        <v>-48</v>
      </c>
      <c r="AR864">
        <v>-192</v>
      </c>
      <c r="AZ864">
        <v>1200</v>
      </c>
      <c r="BA864">
        <v>1</v>
      </c>
      <c r="BB864" t="str">
        <f t="shared" si="487"/>
        <v xml:space="preserve">N9217B  </v>
      </c>
      <c r="BC864">
        <v>1</v>
      </c>
      <c r="BE864">
        <v>0</v>
      </c>
      <c r="BF864">
        <v>0</v>
      </c>
      <c r="BG864">
        <v>0</v>
      </c>
      <c r="BH864">
        <v>9275</v>
      </c>
      <c r="BI864">
        <v>1</v>
      </c>
      <c r="BJ864">
        <v>0</v>
      </c>
      <c r="BK864">
        <v>0</v>
      </c>
      <c r="BL864">
        <v>0</v>
      </c>
      <c r="BO864">
        <v>0</v>
      </c>
      <c r="BP864">
        <v>0</v>
      </c>
      <c r="BW864" t="str">
        <f t="shared" ref="BW864:BW871" si="502">"14:51:20.634"</f>
        <v>14:51:20.634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293</v>
      </c>
      <c r="CR864">
        <v>1</v>
      </c>
      <c r="CW864">
        <v>15278303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25">
      <c r="A865" t="str">
        <f t="shared" si="499"/>
        <v>06/05/2020 14:51:14.981</v>
      </c>
      <c r="C865" t="str">
        <f t="shared" si="470"/>
        <v>FFDFD3C0</v>
      </c>
      <c r="D865" t="s">
        <v>141</v>
      </c>
      <c r="E865">
        <v>20</v>
      </c>
      <c r="F865">
        <v>1020</v>
      </c>
      <c r="G865" t="s">
        <v>114</v>
      </c>
      <c r="J865" t="s">
        <v>142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500"/>
        <v>14:51:20.633</v>
      </c>
      <c r="T865" t="str">
        <f t="shared" si="501"/>
        <v>14:51:20.533</v>
      </c>
      <c r="U865" t="str">
        <f t="shared" si="486"/>
        <v>ACC530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1</v>
      </c>
      <c r="AH865">
        <v>0</v>
      </c>
      <c r="AI865" t="s">
        <v>423</v>
      </c>
      <c r="AJ865">
        <v>34.220737999999997</v>
      </c>
      <c r="AK865" t="s">
        <v>424</v>
      </c>
      <c r="AL865">
        <v>-116.932125</v>
      </c>
      <c r="AM865">
        <v>100</v>
      </c>
      <c r="AN865">
        <v>9200</v>
      </c>
      <c r="AO865" t="s">
        <v>118</v>
      </c>
      <c r="AP865">
        <v>-87</v>
      </c>
      <c r="AQ865">
        <v>-48</v>
      </c>
      <c r="AR865">
        <v>-192</v>
      </c>
      <c r="AZ865">
        <v>1200</v>
      </c>
      <c r="BA865">
        <v>1</v>
      </c>
      <c r="BB865" t="str">
        <f t="shared" si="487"/>
        <v xml:space="preserve">N9217B  </v>
      </c>
      <c r="BC865">
        <v>1</v>
      </c>
      <c r="BE865">
        <v>0</v>
      </c>
      <c r="BF865">
        <v>0</v>
      </c>
      <c r="BG865">
        <v>0</v>
      </c>
      <c r="BH865">
        <v>9275</v>
      </c>
      <c r="BI865">
        <v>1</v>
      </c>
      <c r="BJ865">
        <v>0</v>
      </c>
      <c r="BK865">
        <v>0</v>
      </c>
      <c r="BL865">
        <v>0</v>
      </c>
      <c r="BO865">
        <v>0</v>
      </c>
      <c r="BP865">
        <v>0</v>
      </c>
      <c r="BW865" t="str">
        <f t="shared" si="502"/>
        <v>14:51:20.634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293</v>
      </c>
      <c r="CR865">
        <v>1</v>
      </c>
      <c r="CW865">
        <v>15278303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25">
      <c r="A866" t="str">
        <f t="shared" si="499"/>
        <v>06/05/2020 14:51:14.981</v>
      </c>
      <c r="C866" t="str">
        <f t="shared" si="470"/>
        <v>FFDFD3C0</v>
      </c>
      <c r="D866" t="s">
        <v>143</v>
      </c>
      <c r="E866">
        <v>10</v>
      </c>
      <c r="F866">
        <v>3010</v>
      </c>
      <c r="G866" t="s">
        <v>144</v>
      </c>
      <c r="J866" t="s">
        <v>145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500"/>
        <v>14:51:20.633</v>
      </c>
      <c r="T866" t="str">
        <f t="shared" si="501"/>
        <v>14:51:20.533</v>
      </c>
      <c r="U866" t="str">
        <f t="shared" si="486"/>
        <v>ACC530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1</v>
      </c>
      <c r="AH866">
        <v>0</v>
      </c>
      <c r="AI866" t="s">
        <v>423</v>
      </c>
      <c r="AJ866">
        <v>34.220737999999997</v>
      </c>
      <c r="AK866" t="s">
        <v>424</v>
      </c>
      <c r="AL866">
        <v>-116.932125</v>
      </c>
      <c r="AM866">
        <v>100</v>
      </c>
      <c r="AN866">
        <v>9200</v>
      </c>
      <c r="AO866" t="s">
        <v>118</v>
      </c>
      <c r="AP866">
        <v>-87</v>
      </c>
      <c r="AQ866">
        <v>-48</v>
      </c>
      <c r="AR866">
        <v>-192</v>
      </c>
      <c r="AZ866">
        <v>1200</v>
      </c>
      <c r="BA866">
        <v>1</v>
      </c>
      <c r="BB866" t="str">
        <f t="shared" si="487"/>
        <v xml:space="preserve">N9217B  </v>
      </c>
      <c r="BC866">
        <v>1</v>
      </c>
      <c r="BE866">
        <v>0</v>
      </c>
      <c r="BF866">
        <v>0</v>
      </c>
      <c r="BG866">
        <v>0</v>
      </c>
      <c r="BH866">
        <v>9275</v>
      </c>
      <c r="BI866">
        <v>1</v>
      </c>
      <c r="BJ866">
        <v>0</v>
      </c>
      <c r="BK866">
        <v>0</v>
      </c>
      <c r="BL866">
        <v>0</v>
      </c>
      <c r="BO866">
        <v>0</v>
      </c>
      <c r="BP866">
        <v>0</v>
      </c>
      <c r="BW866" t="str">
        <f t="shared" si="502"/>
        <v>14:51:20.634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6</v>
      </c>
      <c r="CP866" t="s">
        <v>119</v>
      </c>
      <c r="CQ866">
        <v>293</v>
      </c>
      <c r="CR866">
        <v>1</v>
      </c>
      <c r="CW866">
        <v>15278303</v>
      </c>
      <c r="CY866">
        <v>0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25">
      <c r="A867" t="str">
        <f t="shared" si="499"/>
        <v>06/05/2020 14:51:14.981</v>
      </c>
      <c r="C867" t="str">
        <f t="shared" ref="C867:C930" si="503">"FFDFD3C0"</f>
        <v>FFDFD3C0</v>
      </c>
      <c r="D867" t="s">
        <v>148</v>
      </c>
      <c r="E867">
        <v>11</v>
      </c>
      <c r="H867">
        <v>53</v>
      </c>
      <c r="I867" t="s">
        <v>364</v>
      </c>
      <c r="J867" t="s">
        <v>150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500"/>
        <v>14:51:20.633</v>
      </c>
      <c r="T867" t="str">
        <f t="shared" si="501"/>
        <v>14:51:20.533</v>
      </c>
      <c r="U867" t="str">
        <f t="shared" si="486"/>
        <v>ACC530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1</v>
      </c>
      <c r="AH867">
        <v>0</v>
      </c>
      <c r="AI867" t="s">
        <v>423</v>
      </c>
      <c r="AJ867">
        <v>34.220737999999997</v>
      </c>
      <c r="AK867" t="s">
        <v>424</v>
      </c>
      <c r="AL867">
        <v>-116.932125</v>
      </c>
      <c r="AM867">
        <v>100</v>
      </c>
      <c r="AN867">
        <v>9200</v>
      </c>
      <c r="AO867" t="s">
        <v>118</v>
      </c>
      <c r="AP867">
        <v>-87</v>
      </c>
      <c r="AQ867">
        <v>-48</v>
      </c>
      <c r="AR867">
        <v>-192</v>
      </c>
      <c r="AZ867">
        <v>1200</v>
      </c>
      <c r="BA867">
        <v>1</v>
      </c>
      <c r="BB867" t="str">
        <f t="shared" si="487"/>
        <v xml:space="preserve">N9217B  </v>
      </c>
      <c r="BC867">
        <v>1</v>
      </c>
      <c r="BE867">
        <v>0</v>
      </c>
      <c r="BF867">
        <v>0</v>
      </c>
      <c r="BG867">
        <v>0</v>
      </c>
      <c r="BH867">
        <v>9275</v>
      </c>
      <c r="BI867">
        <v>1</v>
      </c>
      <c r="BJ867">
        <v>0</v>
      </c>
      <c r="BK867">
        <v>0</v>
      </c>
      <c r="BL867">
        <v>0</v>
      </c>
      <c r="BO867">
        <v>0</v>
      </c>
      <c r="BP867">
        <v>0</v>
      </c>
      <c r="BW867" t="str">
        <f t="shared" si="502"/>
        <v>14:51:20.634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6</v>
      </c>
      <c r="CP867" t="s">
        <v>119</v>
      </c>
      <c r="CQ867">
        <v>293</v>
      </c>
      <c r="CR867">
        <v>1</v>
      </c>
      <c r="CW867">
        <v>15278303</v>
      </c>
      <c r="CY867">
        <v>0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25">
      <c r="A868" t="str">
        <f t="shared" si="499"/>
        <v>06/05/2020 14:51:14.981</v>
      </c>
      <c r="C868" t="str">
        <f t="shared" si="503"/>
        <v>FFDFD3C0</v>
      </c>
      <c r="D868" t="s">
        <v>134</v>
      </c>
      <c r="E868">
        <v>7</v>
      </c>
      <c r="F868">
        <v>2007</v>
      </c>
      <c r="G868" t="s">
        <v>135</v>
      </c>
      <c r="J868" t="s">
        <v>136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500"/>
        <v>14:51:20.633</v>
      </c>
      <c r="T868" t="str">
        <f t="shared" si="501"/>
        <v>14:51:20.533</v>
      </c>
      <c r="U868" t="str">
        <f t="shared" si="486"/>
        <v>ACC530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1</v>
      </c>
      <c r="AH868">
        <v>0</v>
      </c>
      <c r="AI868" t="s">
        <v>423</v>
      </c>
      <c r="AJ868">
        <v>34.220737999999997</v>
      </c>
      <c r="AK868" t="s">
        <v>424</v>
      </c>
      <c r="AL868">
        <v>-116.932125</v>
      </c>
      <c r="AM868">
        <v>100</v>
      </c>
      <c r="AN868">
        <v>9200</v>
      </c>
      <c r="AO868" t="s">
        <v>118</v>
      </c>
      <c r="AP868">
        <v>-87</v>
      </c>
      <c r="AQ868">
        <v>-48</v>
      </c>
      <c r="AR868">
        <v>-192</v>
      </c>
      <c r="AZ868">
        <v>1200</v>
      </c>
      <c r="BA868">
        <v>1</v>
      </c>
      <c r="BB868" t="str">
        <f t="shared" si="487"/>
        <v xml:space="preserve">N9217B  </v>
      </c>
      <c r="BC868">
        <v>1</v>
      </c>
      <c r="BE868">
        <v>0</v>
      </c>
      <c r="BF868">
        <v>0</v>
      </c>
      <c r="BG868">
        <v>0</v>
      </c>
      <c r="BH868">
        <v>9275</v>
      </c>
      <c r="BI868">
        <v>1</v>
      </c>
      <c r="BJ868">
        <v>0</v>
      </c>
      <c r="BK868">
        <v>0</v>
      </c>
      <c r="BL868">
        <v>0</v>
      </c>
      <c r="BO868">
        <v>0</v>
      </c>
      <c r="BP868">
        <v>0</v>
      </c>
      <c r="BW868" t="str">
        <f t="shared" si="502"/>
        <v>14:51:20.634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6</v>
      </c>
      <c r="CP868" t="s">
        <v>119</v>
      </c>
      <c r="CQ868">
        <v>293</v>
      </c>
      <c r="CR868">
        <v>1</v>
      </c>
      <c r="CW868">
        <v>15278303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25">
      <c r="A869" t="str">
        <f t="shared" si="499"/>
        <v>06/05/2020 14:51:14.981</v>
      </c>
      <c r="C869" t="str">
        <f t="shared" si="503"/>
        <v>FFDFD3C0</v>
      </c>
      <c r="D869" t="s">
        <v>151</v>
      </c>
      <c r="E869">
        <v>8</v>
      </c>
      <c r="H869">
        <v>225</v>
      </c>
      <c r="I869" t="s">
        <v>353</v>
      </c>
      <c r="J869" t="s">
        <v>150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500"/>
        <v>14:51:20.633</v>
      </c>
      <c r="T869" t="str">
        <f t="shared" si="501"/>
        <v>14:51:20.533</v>
      </c>
      <c r="U869" t="str">
        <f t="shared" si="486"/>
        <v>ACC530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1</v>
      </c>
      <c r="AH869">
        <v>0</v>
      </c>
      <c r="AI869" t="s">
        <v>423</v>
      </c>
      <c r="AJ869">
        <v>34.220737999999997</v>
      </c>
      <c r="AK869" t="s">
        <v>424</v>
      </c>
      <c r="AL869">
        <v>-116.932125</v>
      </c>
      <c r="AM869">
        <v>100</v>
      </c>
      <c r="AN869">
        <v>9200</v>
      </c>
      <c r="AO869" t="s">
        <v>118</v>
      </c>
      <c r="AP869">
        <v>-87</v>
      </c>
      <c r="AQ869">
        <v>-48</v>
      </c>
      <c r="AR869">
        <v>-192</v>
      </c>
      <c r="AZ869">
        <v>1200</v>
      </c>
      <c r="BA869">
        <v>1</v>
      </c>
      <c r="BB869" t="str">
        <f t="shared" si="487"/>
        <v xml:space="preserve">N9217B  </v>
      </c>
      <c r="BC869">
        <v>1</v>
      </c>
      <c r="BE869">
        <v>0</v>
      </c>
      <c r="BF869">
        <v>0</v>
      </c>
      <c r="BG869">
        <v>0</v>
      </c>
      <c r="BH869">
        <v>9275</v>
      </c>
      <c r="BI869">
        <v>1</v>
      </c>
      <c r="BJ869">
        <v>0</v>
      </c>
      <c r="BK869">
        <v>0</v>
      </c>
      <c r="BL869">
        <v>0</v>
      </c>
      <c r="BO869">
        <v>0</v>
      </c>
      <c r="BP869">
        <v>0</v>
      </c>
      <c r="BW869" t="str">
        <f t="shared" si="502"/>
        <v>14:51:20.634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6</v>
      </c>
      <c r="CP869" t="s">
        <v>119</v>
      </c>
      <c r="CQ869">
        <v>285</v>
      </c>
      <c r="CR869">
        <v>0</v>
      </c>
      <c r="CW869">
        <v>8846364</v>
      </c>
      <c r="CY869">
        <v>0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25">
      <c r="A870" t="str">
        <f t="shared" si="499"/>
        <v>06/05/2020 14:51:14.981</v>
      </c>
      <c r="C870" t="str">
        <f t="shared" si="503"/>
        <v>FFDFD3C0</v>
      </c>
      <c r="D870" t="s">
        <v>113</v>
      </c>
      <c r="E870">
        <v>3</v>
      </c>
      <c r="H870">
        <v>166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500"/>
        <v>14:51:20.633</v>
      </c>
      <c r="T870" t="str">
        <f t="shared" si="501"/>
        <v>14:51:20.533</v>
      </c>
      <c r="U870" t="str">
        <f t="shared" si="486"/>
        <v>ACC530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1</v>
      </c>
      <c r="AH870">
        <v>0</v>
      </c>
      <c r="AI870" t="s">
        <v>423</v>
      </c>
      <c r="AJ870">
        <v>34.220737999999997</v>
      </c>
      <c r="AK870" t="s">
        <v>424</v>
      </c>
      <c r="AL870">
        <v>-116.932125</v>
      </c>
      <c r="AM870">
        <v>100</v>
      </c>
      <c r="AN870">
        <v>9200</v>
      </c>
      <c r="AO870" t="s">
        <v>118</v>
      </c>
      <c r="AP870">
        <v>-87</v>
      </c>
      <c r="AQ870">
        <v>-48</v>
      </c>
      <c r="AR870">
        <v>-192</v>
      </c>
      <c r="AZ870">
        <v>1200</v>
      </c>
      <c r="BA870">
        <v>1</v>
      </c>
      <c r="BB870" t="str">
        <f t="shared" si="487"/>
        <v xml:space="preserve">N9217B  </v>
      </c>
      <c r="BC870">
        <v>1</v>
      </c>
      <c r="BE870">
        <v>0</v>
      </c>
      <c r="BF870">
        <v>0</v>
      </c>
      <c r="BG870">
        <v>0</v>
      </c>
      <c r="BH870">
        <v>9275</v>
      </c>
      <c r="BI870">
        <v>1</v>
      </c>
      <c r="BJ870">
        <v>0</v>
      </c>
      <c r="BK870">
        <v>0</v>
      </c>
      <c r="BL870">
        <v>0</v>
      </c>
      <c r="BO870">
        <v>0</v>
      </c>
      <c r="BP870">
        <v>0</v>
      </c>
      <c r="BW870" t="str">
        <f t="shared" si="502"/>
        <v>14:51:20.634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6</v>
      </c>
      <c r="CP870" t="s">
        <v>119</v>
      </c>
      <c r="CQ870">
        <v>293</v>
      </c>
      <c r="CR870">
        <v>1</v>
      </c>
      <c r="CW870">
        <v>15278303</v>
      </c>
      <c r="CY870">
        <v>0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25">
      <c r="A871" t="str">
        <f t="shared" si="499"/>
        <v>06/05/2020 14:51:14.981</v>
      </c>
      <c r="C871" t="str">
        <f t="shared" si="503"/>
        <v>FFDFD3C0</v>
      </c>
      <c r="D871" t="s">
        <v>151</v>
      </c>
      <c r="E871">
        <v>9</v>
      </c>
      <c r="H871">
        <v>226</v>
      </c>
      <c r="I871" t="s">
        <v>152</v>
      </c>
      <c r="J871" t="s">
        <v>150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500"/>
        <v>14:51:20.633</v>
      </c>
      <c r="T871" t="str">
        <f t="shared" si="501"/>
        <v>14:51:20.533</v>
      </c>
      <c r="U871" t="str">
        <f t="shared" si="486"/>
        <v>ACC530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1</v>
      </c>
      <c r="AH871">
        <v>0</v>
      </c>
      <c r="AI871" t="s">
        <v>423</v>
      </c>
      <c r="AJ871">
        <v>34.220737999999997</v>
      </c>
      <c r="AK871" t="s">
        <v>424</v>
      </c>
      <c r="AL871">
        <v>-116.932125</v>
      </c>
      <c r="AM871">
        <v>100</v>
      </c>
      <c r="AN871">
        <v>9200</v>
      </c>
      <c r="AO871" t="s">
        <v>118</v>
      </c>
      <c r="AP871">
        <v>-87</v>
      </c>
      <c r="AQ871">
        <v>-48</v>
      </c>
      <c r="AR871">
        <v>-192</v>
      </c>
      <c r="AZ871">
        <v>1200</v>
      </c>
      <c r="BA871">
        <v>1</v>
      </c>
      <c r="BB871" t="str">
        <f t="shared" si="487"/>
        <v xml:space="preserve">N9217B  </v>
      </c>
      <c r="BC871">
        <v>1</v>
      </c>
      <c r="BE871">
        <v>0</v>
      </c>
      <c r="BF871">
        <v>0</v>
      </c>
      <c r="BG871">
        <v>0</v>
      </c>
      <c r="BH871">
        <v>9275</v>
      </c>
      <c r="BI871">
        <v>1</v>
      </c>
      <c r="BJ871">
        <v>0</v>
      </c>
      <c r="BK871">
        <v>0</v>
      </c>
      <c r="BL871">
        <v>0</v>
      </c>
      <c r="BO871">
        <v>0</v>
      </c>
      <c r="BP871">
        <v>0</v>
      </c>
      <c r="BW871" t="str">
        <f t="shared" si="502"/>
        <v>14:51:20.634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293</v>
      </c>
      <c r="CR871">
        <v>1</v>
      </c>
      <c r="CW871">
        <v>15278303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25">
      <c r="A872" t="str">
        <f t="shared" ref="A872:A879" si="504">"06/05/2020 14:51:15.847"</f>
        <v>06/05/2020 14:51:15.847</v>
      </c>
      <c r="C872" t="str">
        <f t="shared" si="503"/>
        <v>FFDFD3C0</v>
      </c>
      <c r="D872" t="s">
        <v>141</v>
      </c>
      <c r="E872">
        <v>20</v>
      </c>
      <c r="F872">
        <v>1020</v>
      </c>
      <c r="G872" t="s">
        <v>114</v>
      </c>
      <c r="J872" t="s">
        <v>142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9" si="505">"14:51:21.500"</f>
        <v>14:51:21.500</v>
      </c>
      <c r="T872" t="str">
        <f t="shared" ref="T872:T879" si="506">"14:51:21.100"</f>
        <v>14:51:21.100</v>
      </c>
      <c r="U872" t="str">
        <f t="shared" si="486"/>
        <v>ACC530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1</v>
      </c>
      <c r="AH872">
        <v>0</v>
      </c>
      <c r="AI872" t="s">
        <v>425</v>
      </c>
      <c r="AJ872">
        <v>34.220502000000003</v>
      </c>
      <c r="AK872" t="s">
        <v>426</v>
      </c>
      <c r="AL872">
        <v>-116.93253300000001</v>
      </c>
      <c r="AM872">
        <v>100</v>
      </c>
      <c r="AN872">
        <v>9200</v>
      </c>
      <c r="AO872" t="s">
        <v>118</v>
      </c>
      <c r="AP872">
        <v>-88</v>
      </c>
      <c r="AQ872">
        <v>-49</v>
      </c>
      <c r="AR872">
        <v>-128</v>
      </c>
      <c r="AZ872">
        <v>1200</v>
      </c>
      <c r="BA872">
        <v>1</v>
      </c>
      <c r="BB872" t="str">
        <f t="shared" si="487"/>
        <v xml:space="preserve">N9217B  </v>
      </c>
      <c r="BC872">
        <v>1</v>
      </c>
      <c r="BE872">
        <v>0</v>
      </c>
      <c r="BF872">
        <v>0</v>
      </c>
      <c r="BG872">
        <v>0</v>
      </c>
      <c r="BH872">
        <v>9275</v>
      </c>
      <c r="BI872">
        <v>1</v>
      </c>
      <c r="BJ872">
        <v>0</v>
      </c>
      <c r="BK872">
        <v>0</v>
      </c>
      <c r="BL872">
        <v>0</v>
      </c>
      <c r="BO872">
        <v>0</v>
      </c>
      <c r="BP872">
        <v>0</v>
      </c>
      <c r="BW872" t="str">
        <f t="shared" ref="BW872:BW879" si="507">"14:51:21.504"</f>
        <v>14:51:21.504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293</v>
      </c>
      <c r="CR872">
        <v>1</v>
      </c>
      <c r="CW872">
        <v>15278409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25">
      <c r="A873" t="str">
        <f t="shared" si="504"/>
        <v>06/05/2020 14:51:15.847</v>
      </c>
      <c r="C873" t="str">
        <f t="shared" si="503"/>
        <v>FFDFD3C0</v>
      </c>
      <c r="D873" t="s">
        <v>143</v>
      </c>
      <c r="E873">
        <v>10</v>
      </c>
      <c r="F873">
        <v>3010</v>
      </c>
      <c r="G873" t="s">
        <v>144</v>
      </c>
      <c r="J873" t="s">
        <v>145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505"/>
        <v>14:51:21.500</v>
      </c>
      <c r="T873" t="str">
        <f t="shared" si="506"/>
        <v>14:51:21.100</v>
      </c>
      <c r="U873" t="str">
        <f t="shared" si="486"/>
        <v>ACC530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1</v>
      </c>
      <c r="AH873">
        <v>0</v>
      </c>
      <c r="AI873" t="s">
        <v>425</v>
      </c>
      <c r="AJ873">
        <v>34.220502000000003</v>
      </c>
      <c r="AK873" t="s">
        <v>426</v>
      </c>
      <c r="AL873">
        <v>-116.93253300000001</v>
      </c>
      <c r="AM873">
        <v>100</v>
      </c>
      <c r="AN873">
        <v>9200</v>
      </c>
      <c r="AO873" t="s">
        <v>118</v>
      </c>
      <c r="AP873">
        <v>-88</v>
      </c>
      <c r="AQ873">
        <v>-49</v>
      </c>
      <c r="AR873">
        <v>-128</v>
      </c>
      <c r="AZ873">
        <v>1200</v>
      </c>
      <c r="BA873">
        <v>1</v>
      </c>
      <c r="BB873" t="str">
        <f t="shared" si="487"/>
        <v xml:space="preserve">N9217B  </v>
      </c>
      <c r="BC873">
        <v>1</v>
      </c>
      <c r="BE873">
        <v>0</v>
      </c>
      <c r="BF873">
        <v>0</v>
      </c>
      <c r="BG873">
        <v>0</v>
      </c>
      <c r="BH873">
        <v>9275</v>
      </c>
      <c r="BI873">
        <v>1</v>
      </c>
      <c r="BJ873">
        <v>0</v>
      </c>
      <c r="BK873">
        <v>0</v>
      </c>
      <c r="BL873">
        <v>0</v>
      </c>
      <c r="BO873">
        <v>0</v>
      </c>
      <c r="BP873">
        <v>0</v>
      </c>
      <c r="BW873" t="str">
        <f t="shared" si="507"/>
        <v>14:51:21.504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293</v>
      </c>
      <c r="CR873">
        <v>1</v>
      </c>
      <c r="CW873">
        <v>15278409</v>
      </c>
      <c r="CY873">
        <v>0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25">
      <c r="A874" t="str">
        <f t="shared" si="504"/>
        <v>06/05/2020 14:51:15.847</v>
      </c>
      <c r="C874" t="str">
        <f t="shared" si="503"/>
        <v>FFDFD3C0</v>
      </c>
      <c r="D874" t="s">
        <v>148</v>
      </c>
      <c r="E874">
        <v>11</v>
      </c>
      <c r="H874">
        <v>53</v>
      </c>
      <c r="I874" t="s">
        <v>364</v>
      </c>
      <c r="J874" t="s">
        <v>150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505"/>
        <v>14:51:21.500</v>
      </c>
      <c r="T874" t="str">
        <f t="shared" si="506"/>
        <v>14:51:21.100</v>
      </c>
      <c r="U874" t="str">
        <f t="shared" si="486"/>
        <v>ACC530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1</v>
      </c>
      <c r="AH874">
        <v>0</v>
      </c>
      <c r="AI874" t="s">
        <v>425</v>
      </c>
      <c r="AJ874">
        <v>34.220502000000003</v>
      </c>
      <c r="AK874" t="s">
        <v>426</v>
      </c>
      <c r="AL874">
        <v>-116.93253300000001</v>
      </c>
      <c r="AM874">
        <v>100</v>
      </c>
      <c r="AN874">
        <v>9200</v>
      </c>
      <c r="AO874" t="s">
        <v>118</v>
      </c>
      <c r="AP874">
        <v>-88</v>
      </c>
      <c r="AQ874">
        <v>-49</v>
      </c>
      <c r="AR874">
        <v>-128</v>
      </c>
      <c r="AZ874">
        <v>1200</v>
      </c>
      <c r="BA874">
        <v>1</v>
      </c>
      <c r="BB874" t="str">
        <f t="shared" si="487"/>
        <v xml:space="preserve">N9217B  </v>
      </c>
      <c r="BC874">
        <v>1</v>
      </c>
      <c r="BE874">
        <v>0</v>
      </c>
      <c r="BF874">
        <v>0</v>
      </c>
      <c r="BG874">
        <v>0</v>
      </c>
      <c r="BH874">
        <v>9275</v>
      </c>
      <c r="BI874">
        <v>1</v>
      </c>
      <c r="BJ874">
        <v>0</v>
      </c>
      <c r="BK874">
        <v>0</v>
      </c>
      <c r="BL874">
        <v>0</v>
      </c>
      <c r="BO874">
        <v>0</v>
      </c>
      <c r="BP874">
        <v>0</v>
      </c>
      <c r="BW874" t="str">
        <f t="shared" si="507"/>
        <v>14:51:21.504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293</v>
      </c>
      <c r="CR874">
        <v>1</v>
      </c>
      <c r="CW874">
        <v>15278409</v>
      </c>
      <c r="CY874">
        <v>0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25">
      <c r="A875" t="str">
        <f t="shared" si="504"/>
        <v>06/05/2020 14:51:15.847</v>
      </c>
      <c r="C875" t="str">
        <f t="shared" si="503"/>
        <v>FFDFD3C0</v>
      </c>
      <c r="D875" t="s">
        <v>134</v>
      </c>
      <c r="E875">
        <v>7</v>
      </c>
      <c r="F875">
        <v>2007</v>
      </c>
      <c r="G875" t="s">
        <v>135</v>
      </c>
      <c r="J875" t="s">
        <v>136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505"/>
        <v>14:51:21.500</v>
      </c>
      <c r="T875" t="str">
        <f t="shared" si="506"/>
        <v>14:51:21.100</v>
      </c>
      <c r="U875" t="str">
        <f t="shared" si="486"/>
        <v>ACC530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1</v>
      </c>
      <c r="AH875">
        <v>0</v>
      </c>
      <c r="AI875" t="s">
        <v>425</v>
      </c>
      <c r="AJ875">
        <v>34.220502000000003</v>
      </c>
      <c r="AK875" t="s">
        <v>426</v>
      </c>
      <c r="AL875">
        <v>-116.93253300000001</v>
      </c>
      <c r="AM875">
        <v>100</v>
      </c>
      <c r="AN875">
        <v>9200</v>
      </c>
      <c r="AO875" t="s">
        <v>118</v>
      </c>
      <c r="AP875">
        <v>-88</v>
      </c>
      <c r="AQ875">
        <v>-49</v>
      </c>
      <c r="AR875">
        <v>-128</v>
      </c>
      <c r="AZ875">
        <v>1200</v>
      </c>
      <c r="BA875">
        <v>1</v>
      </c>
      <c r="BB875" t="str">
        <f t="shared" si="487"/>
        <v xml:space="preserve">N9217B  </v>
      </c>
      <c r="BC875">
        <v>1</v>
      </c>
      <c r="BE875">
        <v>0</v>
      </c>
      <c r="BF875">
        <v>0</v>
      </c>
      <c r="BG875">
        <v>0</v>
      </c>
      <c r="BH875">
        <v>9275</v>
      </c>
      <c r="BI875">
        <v>1</v>
      </c>
      <c r="BJ875">
        <v>0</v>
      </c>
      <c r="BK875">
        <v>0</v>
      </c>
      <c r="BL875">
        <v>0</v>
      </c>
      <c r="BO875">
        <v>0</v>
      </c>
      <c r="BP875">
        <v>0</v>
      </c>
      <c r="BW875" t="str">
        <f t="shared" si="507"/>
        <v>14:51:21.504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293</v>
      </c>
      <c r="CR875">
        <v>1</v>
      </c>
      <c r="CW875">
        <v>15278409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25">
      <c r="A876" t="str">
        <f t="shared" si="504"/>
        <v>06/05/2020 14:51:15.847</v>
      </c>
      <c r="C876" t="str">
        <f t="shared" si="503"/>
        <v>FFDFD3C0</v>
      </c>
      <c r="D876" t="s">
        <v>151</v>
      </c>
      <c r="E876">
        <v>8</v>
      </c>
      <c r="H876">
        <v>225</v>
      </c>
      <c r="I876" t="s">
        <v>353</v>
      </c>
      <c r="J876" t="s">
        <v>150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505"/>
        <v>14:51:21.500</v>
      </c>
      <c r="T876" t="str">
        <f t="shared" si="506"/>
        <v>14:51:21.100</v>
      </c>
      <c r="U876" t="str">
        <f t="shared" si="486"/>
        <v>ACC530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1</v>
      </c>
      <c r="AH876">
        <v>0</v>
      </c>
      <c r="AI876" t="s">
        <v>425</v>
      </c>
      <c r="AJ876">
        <v>34.220502000000003</v>
      </c>
      <c r="AK876" t="s">
        <v>426</v>
      </c>
      <c r="AL876">
        <v>-116.93253300000001</v>
      </c>
      <c r="AM876">
        <v>100</v>
      </c>
      <c r="AN876">
        <v>9200</v>
      </c>
      <c r="AO876" t="s">
        <v>118</v>
      </c>
      <c r="AP876">
        <v>-88</v>
      </c>
      <c r="AQ876">
        <v>-49</v>
      </c>
      <c r="AR876">
        <v>-128</v>
      </c>
      <c r="AZ876">
        <v>1200</v>
      </c>
      <c r="BA876">
        <v>1</v>
      </c>
      <c r="BB876" t="str">
        <f t="shared" si="487"/>
        <v xml:space="preserve">N9217B  </v>
      </c>
      <c r="BC876">
        <v>1</v>
      </c>
      <c r="BE876">
        <v>0</v>
      </c>
      <c r="BF876">
        <v>0</v>
      </c>
      <c r="BG876">
        <v>0</v>
      </c>
      <c r="BH876">
        <v>9275</v>
      </c>
      <c r="BI876">
        <v>1</v>
      </c>
      <c r="BJ876">
        <v>0</v>
      </c>
      <c r="BK876">
        <v>0</v>
      </c>
      <c r="BL876">
        <v>0</v>
      </c>
      <c r="BO876">
        <v>0</v>
      </c>
      <c r="BP876">
        <v>0</v>
      </c>
      <c r="BW876" t="str">
        <f t="shared" si="507"/>
        <v>14:51:21.504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6</v>
      </c>
      <c r="CP876" t="s">
        <v>119</v>
      </c>
      <c r="CQ876">
        <v>285</v>
      </c>
      <c r="CR876">
        <v>0</v>
      </c>
      <c r="CW876">
        <v>8846441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25">
      <c r="A877" t="str">
        <f t="shared" si="504"/>
        <v>06/05/2020 14:51:15.847</v>
      </c>
      <c r="C877" t="str">
        <f t="shared" si="503"/>
        <v>FFDFD3C0</v>
      </c>
      <c r="D877" t="s">
        <v>113</v>
      </c>
      <c r="E877">
        <v>3</v>
      </c>
      <c r="H877">
        <v>166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505"/>
        <v>14:51:21.500</v>
      </c>
      <c r="T877" t="str">
        <f t="shared" si="506"/>
        <v>14:51:21.100</v>
      </c>
      <c r="U877" t="str">
        <f t="shared" si="486"/>
        <v>ACC530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1</v>
      </c>
      <c r="AH877">
        <v>0</v>
      </c>
      <c r="AI877" t="s">
        <v>425</v>
      </c>
      <c r="AJ877">
        <v>34.220502000000003</v>
      </c>
      <c r="AK877" t="s">
        <v>426</v>
      </c>
      <c r="AL877">
        <v>-116.93253300000001</v>
      </c>
      <c r="AM877">
        <v>100</v>
      </c>
      <c r="AN877">
        <v>9200</v>
      </c>
      <c r="AO877" t="s">
        <v>118</v>
      </c>
      <c r="AP877">
        <v>-88</v>
      </c>
      <c r="AQ877">
        <v>-49</v>
      </c>
      <c r="AR877">
        <v>-128</v>
      </c>
      <c r="AZ877">
        <v>1200</v>
      </c>
      <c r="BA877">
        <v>1</v>
      </c>
      <c r="BB877" t="str">
        <f t="shared" si="487"/>
        <v xml:space="preserve">N9217B  </v>
      </c>
      <c r="BC877">
        <v>1</v>
      </c>
      <c r="BE877">
        <v>0</v>
      </c>
      <c r="BF877">
        <v>0</v>
      </c>
      <c r="BG877">
        <v>0</v>
      </c>
      <c r="BH877">
        <v>9275</v>
      </c>
      <c r="BI877">
        <v>1</v>
      </c>
      <c r="BJ877">
        <v>0</v>
      </c>
      <c r="BK877">
        <v>0</v>
      </c>
      <c r="BL877">
        <v>0</v>
      </c>
      <c r="BO877">
        <v>0</v>
      </c>
      <c r="BP877">
        <v>0</v>
      </c>
      <c r="BW877" t="str">
        <f t="shared" si="507"/>
        <v>14:51:21.504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293</v>
      </c>
      <c r="CR877">
        <v>1</v>
      </c>
      <c r="CW877">
        <v>15278409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25">
      <c r="A878" t="str">
        <f t="shared" si="504"/>
        <v>06/05/2020 14:51:15.847</v>
      </c>
      <c r="C878" t="str">
        <f t="shared" si="503"/>
        <v>FFDFD3C0</v>
      </c>
      <c r="D878" t="s">
        <v>151</v>
      </c>
      <c r="E878">
        <v>9</v>
      </c>
      <c r="H878">
        <v>226</v>
      </c>
      <c r="I878" t="s">
        <v>152</v>
      </c>
      <c r="J878" t="s">
        <v>150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505"/>
        <v>14:51:21.500</v>
      </c>
      <c r="T878" t="str">
        <f t="shared" si="506"/>
        <v>14:51:21.100</v>
      </c>
      <c r="U878" t="str">
        <f t="shared" si="486"/>
        <v>ACC530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1</v>
      </c>
      <c r="AH878">
        <v>0</v>
      </c>
      <c r="AI878" t="s">
        <v>425</v>
      </c>
      <c r="AJ878">
        <v>34.220502000000003</v>
      </c>
      <c r="AK878" t="s">
        <v>426</v>
      </c>
      <c r="AL878">
        <v>-116.93253300000001</v>
      </c>
      <c r="AM878">
        <v>100</v>
      </c>
      <c r="AN878">
        <v>9200</v>
      </c>
      <c r="AO878" t="s">
        <v>118</v>
      </c>
      <c r="AP878">
        <v>-88</v>
      </c>
      <c r="AQ878">
        <v>-49</v>
      </c>
      <c r="AR878">
        <v>-128</v>
      </c>
      <c r="AZ878">
        <v>1200</v>
      </c>
      <c r="BA878">
        <v>1</v>
      </c>
      <c r="BB878" t="str">
        <f t="shared" si="487"/>
        <v xml:space="preserve">N9217B  </v>
      </c>
      <c r="BC878">
        <v>1</v>
      </c>
      <c r="BE878">
        <v>0</v>
      </c>
      <c r="BF878">
        <v>0</v>
      </c>
      <c r="BG878">
        <v>0</v>
      </c>
      <c r="BH878">
        <v>9275</v>
      </c>
      <c r="BI878">
        <v>1</v>
      </c>
      <c r="BJ878">
        <v>0</v>
      </c>
      <c r="BK878">
        <v>0</v>
      </c>
      <c r="BL878">
        <v>0</v>
      </c>
      <c r="BO878">
        <v>0</v>
      </c>
      <c r="BP878">
        <v>0</v>
      </c>
      <c r="BW878" t="str">
        <f t="shared" si="507"/>
        <v>14:51:21.504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293</v>
      </c>
      <c r="CR878">
        <v>1</v>
      </c>
      <c r="CW878">
        <v>15278409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25">
      <c r="A879" t="str">
        <f t="shared" si="504"/>
        <v>06/05/2020 14:51:15.847</v>
      </c>
      <c r="C879" t="str">
        <f t="shared" si="503"/>
        <v>FFDFD3C0</v>
      </c>
      <c r="D879" t="s">
        <v>148</v>
      </c>
      <c r="E879">
        <v>8</v>
      </c>
      <c r="H879">
        <v>50</v>
      </c>
      <c r="I879" t="s">
        <v>149</v>
      </c>
      <c r="J879" t="s">
        <v>150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505"/>
        <v>14:51:21.500</v>
      </c>
      <c r="T879" t="str">
        <f t="shared" si="506"/>
        <v>14:51:21.100</v>
      </c>
      <c r="U879" t="str">
        <f t="shared" si="486"/>
        <v>ACC530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1</v>
      </c>
      <c r="AH879">
        <v>0</v>
      </c>
      <c r="AI879" t="s">
        <v>425</v>
      </c>
      <c r="AJ879">
        <v>34.220502000000003</v>
      </c>
      <c r="AK879" t="s">
        <v>426</v>
      </c>
      <c r="AL879">
        <v>-116.93253300000001</v>
      </c>
      <c r="AM879">
        <v>100</v>
      </c>
      <c r="AN879">
        <v>9200</v>
      </c>
      <c r="AO879" t="s">
        <v>118</v>
      </c>
      <c r="AP879">
        <v>-88</v>
      </c>
      <c r="AQ879">
        <v>-49</v>
      </c>
      <c r="AR879">
        <v>-128</v>
      </c>
      <c r="AZ879">
        <v>1200</v>
      </c>
      <c r="BA879">
        <v>1</v>
      </c>
      <c r="BB879" t="str">
        <f t="shared" si="487"/>
        <v xml:space="preserve">N9217B  </v>
      </c>
      <c r="BC879">
        <v>1</v>
      </c>
      <c r="BE879">
        <v>0</v>
      </c>
      <c r="BF879">
        <v>0</v>
      </c>
      <c r="BG879">
        <v>0</v>
      </c>
      <c r="BH879">
        <v>9275</v>
      </c>
      <c r="BI879">
        <v>1</v>
      </c>
      <c r="BJ879">
        <v>0</v>
      </c>
      <c r="BK879">
        <v>0</v>
      </c>
      <c r="BL879">
        <v>0</v>
      </c>
      <c r="BO879">
        <v>0</v>
      </c>
      <c r="BP879">
        <v>0</v>
      </c>
      <c r="BW879" t="str">
        <f t="shared" si="507"/>
        <v>14:51:21.504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293</v>
      </c>
      <c r="CR879">
        <v>1</v>
      </c>
      <c r="CW879">
        <v>15278409</v>
      </c>
      <c r="CY879">
        <v>0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25">
      <c r="A880" t="str">
        <f t="shared" ref="A880:A887" si="508">"06/05/2020 14:51:16.880"</f>
        <v>06/05/2020 14:51:16.880</v>
      </c>
      <c r="C880" t="str">
        <f t="shared" si="503"/>
        <v>FFDFD3C0</v>
      </c>
      <c r="D880" t="s">
        <v>148</v>
      </c>
      <c r="E880">
        <v>11</v>
      </c>
      <c r="H880">
        <v>53</v>
      </c>
      <c r="I880" t="s">
        <v>364</v>
      </c>
      <c r="J880" t="s">
        <v>150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ref="S880:S887" si="509">"14:51:22.523"</f>
        <v>14:51:22.523</v>
      </c>
      <c r="T880" t="str">
        <f t="shared" ref="T880:T887" si="510">"14:51:22.123"</f>
        <v>14:51:22.123</v>
      </c>
      <c r="U880" t="str">
        <f t="shared" si="486"/>
        <v>ACC530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1</v>
      </c>
      <c r="AH880">
        <v>0</v>
      </c>
      <c r="AI880" t="s">
        <v>427</v>
      </c>
      <c r="AJ880">
        <v>34.220309</v>
      </c>
      <c r="AK880" t="s">
        <v>428</v>
      </c>
      <c r="AL880">
        <v>-116.933048</v>
      </c>
      <c r="AM880">
        <v>100</v>
      </c>
      <c r="AN880">
        <v>9200</v>
      </c>
      <c r="AO880" t="s">
        <v>118</v>
      </c>
      <c r="AP880">
        <v>-89</v>
      </c>
      <c r="AQ880">
        <v>-49</v>
      </c>
      <c r="AR880">
        <v>0</v>
      </c>
      <c r="AZ880">
        <v>1200</v>
      </c>
      <c r="BA880">
        <v>1</v>
      </c>
      <c r="BB880" t="str">
        <f t="shared" si="487"/>
        <v xml:space="preserve">N9217B  </v>
      </c>
      <c r="BC880">
        <v>1</v>
      </c>
      <c r="BE880">
        <v>0</v>
      </c>
      <c r="BF880">
        <v>0</v>
      </c>
      <c r="BG880">
        <v>0</v>
      </c>
      <c r="BH880">
        <v>9275</v>
      </c>
      <c r="BI880">
        <v>1</v>
      </c>
      <c r="BJ880">
        <v>0</v>
      </c>
      <c r="BK880">
        <v>0</v>
      </c>
      <c r="BL880">
        <v>0</v>
      </c>
      <c r="BO880">
        <v>0</v>
      </c>
      <c r="BP880">
        <v>0</v>
      </c>
      <c r="BW880" t="str">
        <f t="shared" ref="BW880:BW887" si="511">"14:51:22.524"</f>
        <v>14:51:22.524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293</v>
      </c>
      <c r="CR880">
        <v>1</v>
      </c>
      <c r="CW880">
        <v>15278529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25">
      <c r="A881" t="str">
        <f t="shared" si="508"/>
        <v>06/05/2020 14:51:16.880</v>
      </c>
      <c r="C881" t="str">
        <f t="shared" si="503"/>
        <v>FFDFD3C0</v>
      </c>
      <c r="D881" t="s">
        <v>134</v>
      </c>
      <c r="E881">
        <v>7</v>
      </c>
      <c r="F881">
        <v>2007</v>
      </c>
      <c r="G881" t="s">
        <v>135</v>
      </c>
      <c r="J881" t="s">
        <v>136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509"/>
        <v>14:51:22.523</v>
      </c>
      <c r="T881" t="str">
        <f t="shared" si="510"/>
        <v>14:51:22.123</v>
      </c>
      <c r="U881" t="str">
        <f t="shared" si="486"/>
        <v>ACC530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1</v>
      </c>
      <c r="AH881">
        <v>0</v>
      </c>
      <c r="AI881" t="s">
        <v>427</v>
      </c>
      <c r="AJ881">
        <v>34.220309</v>
      </c>
      <c r="AK881" t="s">
        <v>428</v>
      </c>
      <c r="AL881">
        <v>-116.933048</v>
      </c>
      <c r="AM881">
        <v>100</v>
      </c>
      <c r="AN881">
        <v>9200</v>
      </c>
      <c r="AO881" t="s">
        <v>118</v>
      </c>
      <c r="AP881">
        <v>-89</v>
      </c>
      <c r="AQ881">
        <v>-49</v>
      </c>
      <c r="AR881">
        <v>0</v>
      </c>
      <c r="AZ881">
        <v>1200</v>
      </c>
      <c r="BA881">
        <v>1</v>
      </c>
      <c r="BB881" t="str">
        <f t="shared" si="487"/>
        <v xml:space="preserve">N9217B  </v>
      </c>
      <c r="BC881">
        <v>1</v>
      </c>
      <c r="BE881">
        <v>0</v>
      </c>
      <c r="BF881">
        <v>0</v>
      </c>
      <c r="BG881">
        <v>0</v>
      </c>
      <c r="BH881">
        <v>9275</v>
      </c>
      <c r="BI881">
        <v>1</v>
      </c>
      <c r="BJ881">
        <v>0</v>
      </c>
      <c r="BK881">
        <v>0</v>
      </c>
      <c r="BL881">
        <v>0</v>
      </c>
      <c r="BO881">
        <v>0</v>
      </c>
      <c r="BP881">
        <v>0</v>
      </c>
      <c r="BW881" t="str">
        <f t="shared" si="511"/>
        <v>14:51:22.524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293</v>
      </c>
      <c r="CR881">
        <v>1</v>
      </c>
      <c r="CW881">
        <v>15278529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25">
      <c r="A882" t="str">
        <f t="shared" si="508"/>
        <v>06/05/2020 14:51:16.880</v>
      </c>
      <c r="C882" t="str">
        <f t="shared" si="503"/>
        <v>FFDFD3C0</v>
      </c>
      <c r="D882" t="s">
        <v>151</v>
      </c>
      <c r="E882">
        <v>8</v>
      </c>
      <c r="H882">
        <v>225</v>
      </c>
      <c r="I882" t="s">
        <v>353</v>
      </c>
      <c r="J882" t="s">
        <v>150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509"/>
        <v>14:51:22.523</v>
      </c>
      <c r="T882" t="str">
        <f t="shared" si="510"/>
        <v>14:51:22.123</v>
      </c>
      <c r="U882" t="str">
        <f t="shared" si="486"/>
        <v>ACC530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1</v>
      </c>
      <c r="AH882">
        <v>0</v>
      </c>
      <c r="AI882" t="s">
        <v>427</v>
      </c>
      <c r="AJ882">
        <v>34.220309</v>
      </c>
      <c r="AK882" t="s">
        <v>428</v>
      </c>
      <c r="AL882">
        <v>-116.933048</v>
      </c>
      <c r="AM882">
        <v>100</v>
      </c>
      <c r="AN882">
        <v>9200</v>
      </c>
      <c r="AO882" t="s">
        <v>118</v>
      </c>
      <c r="AP882">
        <v>-89</v>
      </c>
      <c r="AQ882">
        <v>-49</v>
      </c>
      <c r="AR882">
        <v>0</v>
      </c>
      <c r="AZ882">
        <v>1200</v>
      </c>
      <c r="BA882">
        <v>1</v>
      </c>
      <c r="BB882" t="str">
        <f t="shared" si="487"/>
        <v xml:space="preserve">N9217B  </v>
      </c>
      <c r="BC882">
        <v>1</v>
      </c>
      <c r="BE882">
        <v>0</v>
      </c>
      <c r="BF882">
        <v>0</v>
      </c>
      <c r="BG882">
        <v>0</v>
      </c>
      <c r="BH882">
        <v>9275</v>
      </c>
      <c r="BI882">
        <v>1</v>
      </c>
      <c r="BJ882">
        <v>0</v>
      </c>
      <c r="BK882">
        <v>0</v>
      </c>
      <c r="BL882">
        <v>0</v>
      </c>
      <c r="BO882">
        <v>0</v>
      </c>
      <c r="BP882">
        <v>0</v>
      </c>
      <c r="BW882" t="str">
        <f t="shared" si="511"/>
        <v>14:51:22.524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6</v>
      </c>
      <c r="CP882" t="s">
        <v>119</v>
      </c>
      <c r="CQ882">
        <v>285</v>
      </c>
      <c r="CR882">
        <v>0</v>
      </c>
      <c r="CW882">
        <v>8846531</v>
      </c>
      <c r="CY882">
        <v>0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25">
      <c r="A883" t="str">
        <f t="shared" si="508"/>
        <v>06/05/2020 14:51:16.880</v>
      </c>
      <c r="C883" t="str">
        <f t="shared" si="503"/>
        <v>FFDFD3C0</v>
      </c>
      <c r="D883" t="s">
        <v>113</v>
      </c>
      <c r="E883">
        <v>3</v>
      </c>
      <c r="H883">
        <v>166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509"/>
        <v>14:51:22.523</v>
      </c>
      <c r="T883" t="str">
        <f t="shared" si="510"/>
        <v>14:51:22.123</v>
      </c>
      <c r="U883" t="str">
        <f t="shared" si="486"/>
        <v>ACC530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1</v>
      </c>
      <c r="AH883">
        <v>0</v>
      </c>
      <c r="AI883" t="s">
        <v>427</v>
      </c>
      <c r="AJ883">
        <v>34.220309</v>
      </c>
      <c r="AK883" t="s">
        <v>428</v>
      </c>
      <c r="AL883">
        <v>-116.933048</v>
      </c>
      <c r="AM883">
        <v>100</v>
      </c>
      <c r="AN883">
        <v>9200</v>
      </c>
      <c r="AO883" t="s">
        <v>118</v>
      </c>
      <c r="AP883">
        <v>-89</v>
      </c>
      <c r="AQ883">
        <v>-49</v>
      </c>
      <c r="AR883">
        <v>0</v>
      </c>
      <c r="AZ883">
        <v>1200</v>
      </c>
      <c r="BA883">
        <v>1</v>
      </c>
      <c r="BB883" t="str">
        <f t="shared" si="487"/>
        <v xml:space="preserve">N9217B  </v>
      </c>
      <c r="BC883">
        <v>1</v>
      </c>
      <c r="BE883">
        <v>0</v>
      </c>
      <c r="BF883">
        <v>0</v>
      </c>
      <c r="BG883">
        <v>0</v>
      </c>
      <c r="BH883">
        <v>9275</v>
      </c>
      <c r="BI883">
        <v>1</v>
      </c>
      <c r="BJ883">
        <v>0</v>
      </c>
      <c r="BK883">
        <v>0</v>
      </c>
      <c r="BL883">
        <v>0</v>
      </c>
      <c r="BO883">
        <v>0</v>
      </c>
      <c r="BP883">
        <v>0</v>
      </c>
      <c r="BW883" t="str">
        <f t="shared" si="511"/>
        <v>14:51:22.524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293</v>
      </c>
      <c r="CR883">
        <v>1</v>
      </c>
      <c r="CW883">
        <v>15278529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25">
      <c r="A884" t="str">
        <f t="shared" si="508"/>
        <v>06/05/2020 14:51:16.880</v>
      </c>
      <c r="C884" t="str">
        <f t="shared" si="503"/>
        <v>FFDFD3C0</v>
      </c>
      <c r="D884" t="s">
        <v>151</v>
      </c>
      <c r="E884">
        <v>9</v>
      </c>
      <c r="H884">
        <v>226</v>
      </c>
      <c r="I884" t="s">
        <v>152</v>
      </c>
      <c r="J884" t="s">
        <v>150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509"/>
        <v>14:51:22.523</v>
      </c>
      <c r="T884" t="str">
        <f t="shared" si="510"/>
        <v>14:51:22.123</v>
      </c>
      <c r="U884" t="str">
        <f t="shared" si="486"/>
        <v>ACC530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1</v>
      </c>
      <c r="AH884">
        <v>0</v>
      </c>
      <c r="AI884" t="s">
        <v>427</v>
      </c>
      <c r="AJ884">
        <v>34.220309</v>
      </c>
      <c r="AK884" t="s">
        <v>428</v>
      </c>
      <c r="AL884">
        <v>-116.933048</v>
      </c>
      <c r="AM884">
        <v>100</v>
      </c>
      <c r="AN884">
        <v>9200</v>
      </c>
      <c r="AO884" t="s">
        <v>118</v>
      </c>
      <c r="AP884">
        <v>-89</v>
      </c>
      <c r="AQ884">
        <v>-49</v>
      </c>
      <c r="AR884">
        <v>0</v>
      </c>
      <c r="AZ884">
        <v>1200</v>
      </c>
      <c r="BA884">
        <v>1</v>
      </c>
      <c r="BB884" t="str">
        <f t="shared" si="487"/>
        <v xml:space="preserve">N9217B  </v>
      </c>
      <c r="BC884">
        <v>1</v>
      </c>
      <c r="BE884">
        <v>0</v>
      </c>
      <c r="BF884">
        <v>0</v>
      </c>
      <c r="BG884">
        <v>0</v>
      </c>
      <c r="BH884">
        <v>9275</v>
      </c>
      <c r="BI884">
        <v>1</v>
      </c>
      <c r="BJ884">
        <v>0</v>
      </c>
      <c r="BK884">
        <v>0</v>
      </c>
      <c r="BL884">
        <v>0</v>
      </c>
      <c r="BO884">
        <v>0</v>
      </c>
      <c r="BP884">
        <v>0</v>
      </c>
      <c r="BW884" t="str">
        <f t="shared" si="511"/>
        <v>14:51:22.524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293</v>
      </c>
      <c r="CR884">
        <v>1</v>
      </c>
      <c r="CW884">
        <v>15278529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25">
      <c r="A885" t="str">
        <f t="shared" si="508"/>
        <v>06/05/2020 14:51:16.880</v>
      </c>
      <c r="C885" t="str">
        <f t="shared" si="503"/>
        <v>FFDFD3C0</v>
      </c>
      <c r="D885" t="s">
        <v>148</v>
      </c>
      <c r="E885">
        <v>8</v>
      </c>
      <c r="H885">
        <v>50</v>
      </c>
      <c r="I885" t="s">
        <v>149</v>
      </c>
      <c r="J885" t="s">
        <v>150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509"/>
        <v>14:51:22.523</v>
      </c>
      <c r="T885" t="str">
        <f t="shared" si="510"/>
        <v>14:51:22.123</v>
      </c>
      <c r="U885" t="str">
        <f t="shared" si="486"/>
        <v>ACC530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1</v>
      </c>
      <c r="AH885">
        <v>0</v>
      </c>
      <c r="AI885" t="s">
        <v>427</v>
      </c>
      <c r="AJ885">
        <v>34.220309</v>
      </c>
      <c r="AK885" t="s">
        <v>428</v>
      </c>
      <c r="AL885">
        <v>-116.933048</v>
      </c>
      <c r="AM885">
        <v>100</v>
      </c>
      <c r="AN885">
        <v>9200</v>
      </c>
      <c r="AO885" t="s">
        <v>118</v>
      </c>
      <c r="AP885">
        <v>-89</v>
      </c>
      <c r="AQ885">
        <v>-49</v>
      </c>
      <c r="AR885">
        <v>0</v>
      </c>
      <c r="AZ885">
        <v>1200</v>
      </c>
      <c r="BA885">
        <v>1</v>
      </c>
      <c r="BB885" t="str">
        <f t="shared" si="487"/>
        <v xml:space="preserve">N9217B  </v>
      </c>
      <c r="BC885">
        <v>1</v>
      </c>
      <c r="BE885">
        <v>0</v>
      </c>
      <c r="BF885">
        <v>0</v>
      </c>
      <c r="BG885">
        <v>0</v>
      </c>
      <c r="BH885">
        <v>9275</v>
      </c>
      <c r="BI885">
        <v>1</v>
      </c>
      <c r="BJ885">
        <v>0</v>
      </c>
      <c r="BK885">
        <v>0</v>
      </c>
      <c r="BL885">
        <v>0</v>
      </c>
      <c r="BO885">
        <v>0</v>
      </c>
      <c r="BP885">
        <v>0</v>
      </c>
      <c r="BW885" t="str">
        <f t="shared" si="511"/>
        <v>14:51:22.524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293</v>
      </c>
      <c r="CR885">
        <v>1</v>
      </c>
      <c r="CW885">
        <v>15278529</v>
      </c>
      <c r="CY885">
        <v>0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25">
      <c r="A886" t="str">
        <f t="shared" si="508"/>
        <v>06/05/2020 14:51:16.880</v>
      </c>
      <c r="C886" t="str">
        <f t="shared" si="503"/>
        <v>FFDFD3C0</v>
      </c>
      <c r="D886" t="s">
        <v>141</v>
      </c>
      <c r="E886">
        <v>20</v>
      </c>
      <c r="F886">
        <v>1020</v>
      </c>
      <c r="G886" t="s">
        <v>114</v>
      </c>
      <c r="J886" t="s">
        <v>142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509"/>
        <v>14:51:22.523</v>
      </c>
      <c r="T886" t="str">
        <f t="shared" si="510"/>
        <v>14:51:22.123</v>
      </c>
      <c r="U886" t="str">
        <f t="shared" si="486"/>
        <v>ACC530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1</v>
      </c>
      <c r="AH886">
        <v>0</v>
      </c>
      <c r="AI886" t="s">
        <v>427</v>
      </c>
      <c r="AJ886">
        <v>34.220309</v>
      </c>
      <c r="AK886" t="s">
        <v>428</v>
      </c>
      <c r="AL886">
        <v>-116.933048</v>
      </c>
      <c r="AM886">
        <v>100</v>
      </c>
      <c r="AN886">
        <v>9200</v>
      </c>
      <c r="AO886" t="s">
        <v>118</v>
      </c>
      <c r="AP886">
        <v>-89</v>
      </c>
      <c r="AQ886">
        <v>-49</v>
      </c>
      <c r="AR886">
        <v>0</v>
      </c>
      <c r="AZ886">
        <v>1200</v>
      </c>
      <c r="BA886">
        <v>1</v>
      </c>
      <c r="BB886" t="str">
        <f t="shared" si="487"/>
        <v xml:space="preserve">N9217B  </v>
      </c>
      <c r="BC886">
        <v>1</v>
      </c>
      <c r="BE886">
        <v>0</v>
      </c>
      <c r="BF886">
        <v>0</v>
      </c>
      <c r="BG886">
        <v>0</v>
      </c>
      <c r="BH886">
        <v>9275</v>
      </c>
      <c r="BI886">
        <v>1</v>
      </c>
      <c r="BJ886">
        <v>0</v>
      </c>
      <c r="BK886">
        <v>0</v>
      </c>
      <c r="BL886">
        <v>0</v>
      </c>
      <c r="BO886">
        <v>0</v>
      </c>
      <c r="BP886">
        <v>0</v>
      </c>
      <c r="BW886" t="str">
        <f t="shared" si="511"/>
        <v>14:51:22.524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293</v>
      </c>
      <c r="CR886">
        <v>1</v>
      </c>
      <c r="CW886">
        <v>15278529</v>
      </c>
      <c r="CY886">
        <v>0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25">
      <c r="A887" t="str">
        <f t="shared" si="508"/>
        <v>06/05/2020 14:51:16.880</v>
      </c>
      <c r="C887" t="str">
        <f t="shared" si="503"/>
        <v>FFDFD3C0</v>
      </c>
      <c r="D887" t="s">
        <v>143</v>
      </c>
      <c r="E887">
        <v>10</v>
      </c>
      <c r="F887">
        <v>3010</v>
      </c>
      <c r="G887" t="s">
        <v>144</v>
      </c>
      <c r="J887" t="s">
        <v>145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509"/>
        <v>14:51:22.523</v>
      </c>
      <c r="T887" t="str">
        <f t="shared" si="510"/>
        <v>14:51:22.123</v>
      </c>
      <c r="U887" t="str">
        <f t="shared" si="486"/>
        <v>ACC530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1</v>
      </c>
      <c r="AH887">
        <v>0</v>
      </c>
      <c r="AI887" t="s">
        <v>427</v>
      </c>
      <c r="AJ887">
        <v>34.220309</v>
      </c>
      <c r="AK887" t="s">
        <v>428</v>
      </c>
      <c r="AL887">
        <v>-116.933048</v>
      </c>
      <c r="AM887">
        <v>100</v>
      </c>
      <c r="AN887">
        <v>9200</v>
      </c>
      <c r="AO887" t="s">
        <v>118</v>
      </c>
      <c r="AP887">
        <v>-89</v>
      </c>
      <c r="AQ887">
        <v>-49</v>
      </c>
      <c r="AR887">
        <v>0</v>
      </c>
      <c r="AZ887">
        <v>1200</v>
      </c>
      <c r="BA887">
        <v>1</v>
      </c>
      <c r="BB887" t="str">
        <f t="shared" si="487"/>
        <v xml:space="preserve">N9217B  </v>
      </c>
      <c r="BC887">
        <v>1</v>
      </c>
      <c r="BE887">
        <v>0</v>
      </c>
      <c r="BF887">
        <v>0</v>
      </c>
      <c r="BG887">
        <v>0</v>
      </c>
      <c r="BH887">
        <v>9275</v>
      </c>
      <c r="BI887">
        <v>1</v>
      </c>
      <c r="BJ887">
        <v>0</v>
      </c>
      <c r="BK887">
        <v>0</v>
      </c>
      <c r="BL887">
        <v>0</v>
      </c>
      <c r="BO887">
        <v>0</v>
      </c>
      <c r="BP887">
        <v>0</v>
      </c>
      <c r="BW887" t="str">
        <f t="shared" si="511"/>
        <v>14:51:22.524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293</v>
      </c>
      <c r="CR887">
        <v>1</v>
      </c>
      <c r="CW887">
        <v>15278529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25">
      <c r="A888" t="str">
        <f t="shared" ref="A888:A895" si="512">"06/05/2020 14:51:18.010"</f>
        <v>06/05/2020 14:51:18.010</v>
      </c>
      <c r="C888" t="str">
        <f t="shared" si="503"/>
        <v>FFDFD3C0</v>
      </c>
      <c r="D888" t="s">
        <v>113</v>
      </c>
      <c r="E888">
        <v>3</v>
      </c>
      <c r="H888">
        <v>166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ref="S888:T895" si="513">"14:51:23.648"</f>
        <v>14:51:23.648</v>
      </c>
      <c r="T888" t="str">
        <f t="shared" si="513"/>
        <v>14:51:23.648</v>
      </c>
      <c r="U888" t="str">
        <f t="shared" si="486"/>
        <v>ACC530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1</v>
      </c>
      <c r="AH888">
        <v>0</v>
      </c>
      <c r="AI888" t="s">
        <v>429</v>
      </c>
      <c r="AJ888">
        <v>34.220030000000001</v>
      </c>
      <c r="AK888" t="s">
        <v>430</v>
      </c>
      <c r="AL888">
        <v>-116.933606</v>
      </c>
      <c r="AM888">
        <v>100</v>
      </c>
      <c r="AN888">
        <v>9200</v>
      </c>
      <c r="AO888" t="s">
        <v>118</v>
      </c>
      <c r="AP888">
        <v>-89</v>
      </c>
      <c r="AQ888">
        <v>-49</v>
      </c>
      <c r="AR888">
        <v>128</v>
      </c>
      <c r="AZ888">
        <v>1200</v>
      </c>
      <c r="BA888">
        <v>1</v>
      </c>
      <c r="BB888" t="str">
        <f t="shared" si="487"/>
        <v xml:space="preserve">N9217B  </v>
      </c>
      <c r="BC888">
        <v>1</v>
      </c>
      <c r="BE888">
        <v>0</v>
      </c>
      <c r="BF888">
        <v>0</v>
      </c>
      <c r="BG888">
        <v>0</v>
      </c>
      <c r="BH888">
        <v>9275</v>
      </c>
      <c r="BI888">
        <v>1</v>
      </c>
      <c r="BJ888">
        <v>0</v>
      </c>
      <c r="BK888">
        <v>0</v>
      </c>
      <c r="BL888">
        <v>0</v>
      </c>
      <c r="BO888">
        <v>0</v>
      </c>
      <c r="BP888">
        <v>0</v>
      </c>
      <c r="BW888" t="str">
        <f t="shared" ref="BW888:BW895" si="514">"14:51:23.649"</f>
        <v>14:51:23.649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293</v>
      </c>
      <c r="CR888">
        <v>1</v>
      </c>
      <c r="CW888">
        <v>15278664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25">
      <c r="A889" t="str">
        <f t="shared" si="512"/>
        <v>06/05/2020 14:51:18.010</v>
      </c>
      <c r="C889" t="str">
        <f t="shared" si="503"/>
        <v>FFDFD3C0</v>
      </c>
      <c r="D889" t="s">
        <v>151</v>
      </c>
      <c r="E889">
        <v>8</v>
      </c>
      <c r="H889">
        <v>225</v>
      </c>
      <c r="I889" t="s">
        <v>353</v>
      </c>
      <c r="J889" t="s">
        <v>150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513"/>
        <v>14:51:23.648</v>
      </c>
      <c r="T889" t="str">
        <f t="shared" si="513"/>
        <v>14:51:23.648</v>
      </c>
      <c r="U889" t="str">
        <f t="shared" si="486"/>
        <v>ACC530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1</v>
      </c>
      <c r="AH889">
        <v>0</v>
      </c>
      <c r="AI889" t="s">
        <v>429</v>
      </c>
      <c r="AJ889">
        <v>34.220030000000001</v>
      </c>
      <c r="AK889" t="s">
        <v>430</v>
      </c>
      <c r="AL889">
        <v>-116.933606</v>
      </c>
      <c r="AM889">
        <v>100</v>
      </c>
      <c r="AN889">
        <v>9200</v>
      </c>
      <c r="AO889" t="s">
        <v>118</v>
      </c>
      <c r="AP889">
        <v>-89</v>
      </c>
      <c r="AQ889">
        <v>-49</v>
      </c>
      <c r="AR889">
        <v>128</v>
      </c>
      <c r="AZ889">
        <v>1200</v>
      </c>
      <c r="BA889">
        <v>1</v>
      </c>
      <c r="BB889" t="str">
        <f t="shared" si="487"/>
        <v xml:space="preserve">N9217B  </v>
      </c>
      <c r="BC889">
        <v>1</v>
      </c>
      <c r="BE889">
        <v>0</v>
      </c>
      <c r="BF889">
        <v>0</v>
      </c>
      <c r="BG889">
        <v>0</v>
      </c>
      <c r="BH889">
        <v>9275</v>
      </c>
      <c r="BI889">
        <v>1</v>
      </c>
      <c r="BJ889">
        <v>0</v>
      </c>
      <c r="BK889">
        <v>0</v>
      </c>
      <c r="BL889">
        <v>0</v>
      </c>
      <c r="BO889">
        <v>0</v>
      </c>
      <c r="BP889">
        <v>0</v>
      </c>
      <c r="BW889" t="str">
        <f t="shared" si="514"/>
        <v>14:51:23.649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6</v>
      </c>
      <c r="CP889" t="s">
        <v>119</v>
      </c>
      <c r="CQ889">
        <v>285</v>
      </c>
      <c r="CR889">
        <v>0</v>
      </c>
      <c r="CW889">
        <v>8846620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25">
      <c r="A890" t="str">
        <f t="shared" si="512"/>
        <v>06/05/2020 14:51:18.010</v>
      </c>
      <c r="C890" t="str">
        <f t="shared" si="503"/>
        <v>FFDFD3C0</v>
      </c>
      <c r="D890" t="s">
        <v>151</v>
      </c>
      <c r="E890">
        <v>9</v>
      </c>
      <c r="H890">
        <v>226</v>
      </c>
      <c r="I890" t="s">
        <v>152</v>
      </c>
      <c r="J890" t="s">
        <v>150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513"/>
        <v>14:51:23.648</v>
      </c>
      <c r="T890" t="str">
        <f t="shared" si="513"/>
        <v>14:51:23.648</v>
      </c>
      <c r="U890" t="str">
        <f t="shared" si="486"/>
        <v>ACC530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1</v>
      </c>
      <c r="AH890">
        <v>0</v>
      </c>
      <c r="AI890" t="s">
        <v>429</v>
      </c>
      <c r="AJ890">
        <v>34.220030000000001</v>
      </c>
      <c r="AK890" t="s">
        <v>430</v>
      </c>
      <c r="AL890">
        <v>-116.933606</v>
      </c>
      <c r="AM890">
        <v>100</v>
      </c>
      <c r="AN890">
        <v>9200</v>
      </c>
      <c r="AO890" t="s">
        <v>118</v>
      </c>
      <c r="AP890">
        <v>-89</v>
      </c>
      <c r="AQ890">
        <v>-49</v>
      </c>
      <c r="AR890">
        <v>128</v>
      </c>
      <c r="AZ890">
        <v>1200</v>
      </c>
      <c r="BA890">
        <v>1</v>
      </c>
      <c r="BB890" t="str">
        <f t="shared" si="487"/>
        <v xml:space="preserve">N9217B  </v>
      </c>
      <c r="BC890">
        <v>1</v>
      </c>
      <c r="BE890">
        <v>0</v>
      </c>
      <c r="BF890">
        <v>0</v>
      </c>
      <c r="BG890">
        <v>0</v>
      </c>
      <c r="BH890">
        <v>9275</v>
      </c>
      <c r="BI890">
        <v>1</v>
      </c>
      <c r="BJ890">
        <v>0</v>
      </c>
      <c r="BK890">
        <v>0</v>
      </c>
      <c r="BL890">
        <v>0</v>
      </c>
      <c r="BO890">
        <v>0</v>
      </c>
      <c r="BP890">
        <v>0</v>
      </c>
      <c r="BW890" t="str">
        <f t="shared" si="514"/>
        <v>14:51:23.649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293</v>
      </c>
      <c r="CR890">
        <v>1</v>
      </c>
      <c r="CW890">
        <v>15278664</v>
      </c>
      <c r="CY890">
        <v>0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25">
      <c r="A891" t="str">
        <f t="shared" si="512"/>
        <v>06/05/2020 14:51:18.010</v>
      </c>
      <c r="C891" t="str">
        <f t="shared" si="503"/>
        <v>FFDFD3C0</v>
      </c>
      <c r="D891" t="s">
        <v>141</v>
      </c>
      <c r="E891">
        <v>20</v>
      </c>
      <c r="F891">
        <v>1020</v>
      </c>
      <c r="G891" t="s">
        <v>114</v>
      </c>
      <c r="J891" t="s">
        <v>142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513"/>
        <v>14:51:23.648</v>
      </c>
      <c r="T891" t="str">
        <f t="shared" si="513"/>
        <v>14:51:23.648</v>
      </c>
      <c r="U891" t="str">
        <f t="shared" si="486"/>
        <v>ACC530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1</v>
      </c>
      <c r="AH891">
        <v>0</v>
      </c>
      <c r="AI891" t="s">
        <v>429</v>
      </c>
      <c r="AJ891">
        <v>34.220030000000001</v>
      </c>
      <c r="AK891" t="s">
        <v>430</v>
      </c>
      <c r="AL891">
        <v>-116.933606</v>
      </c>
      <c r="AM891">
        <v>100</v>
      </c>
      <c r="AN891">
        <v>9200</v>
      </c>
      <c r="AO891" t="s">
        <v>118</v>
      </c>
      <c r="AP891">
        <v>-89</v>
      </c>
      <c r="AQ891">
        <v>-49</v>
      </c>
      <c r="AR891">
        <v>128</v>
      </c>
      <c r="AZ891">
        <v>1200</v>
      </c>
      <c r="BA891">
        <v>1</v>
      </c>
      <c r="BB891" t="str">
        <f t="shared" si="487"/>
        <v xml:space="preserve">N9217B  </v>
      </c>
      <c r="BC891">
        <v>1</v>
      </c>
      <c r="BE891">
        <v>0</v>
      </c>
      <c r="BF891">
        <v>0</v>
      </c>
      <c r="BG891">
        <v>0</v>
      </c>
      <c r="BH891">
        <v>9275</v>
      </c>
      <c r="BI891">
        <v>1</v>
      </c>
      <c r="BJ891">
        <v>0</v>
      </c>
      <c r="BK891">
        <v>0</v>
      </c>
      <c r="BL891">
        <v>0</v>
      </c>
      <c r="BO891">
        <v>0</v>
      </c>
      <c r="BP891">
        <v>0</v>
      </c>
      <c r="BW891" t="str">
        <f t="shared" si="514"/>
        <v>14:51:23.649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293</v>
      </c>
      <c r="CR891">
        <v>1</v>
      </c>
      <c r="CW891">
        <v>15278664</v>
      </c>
      <c r="CY891">
        <v>0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25">
      <c r="A892" t="str">
        <f t="shared" si="512"/>
        <v>06/05/2020 14:51:18.010</v>
      </c>
      <c r="C892" t="str">
        <f t="shared" si="503"/>
        <v>FFDFD3C0</v>
      </c>
      <c r="D892" t="s">
        <v>143</v>
      </c>
      <c r="E892">
        <v>10</v>
      </c>
      <c r="F892">
        <v>3010</v>
      </c>
      <c r="G892" t="s">
        <v>144</v>
      </c>
      <c r="J892" t="s">
        <v>145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513"/>
        <v>14:51:23.648</v>
      </c>
      <c r="T892" t="str">
        <f t="shared" si="513"/>
        <v>14:51:23.648</v>
      </c>
      <c r="U892" t="str">
        <f t="shared" si="486"/>
        <v>ACC530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1</v>
      </c>
      <c r="AH892">
        <v>0</v>
      </c>
      <c r="AI892" t="s">
        <v>429</v>
      </c>
      <c r="AJ892">
        <v>34.220030000000001</v>
      </c>
      <c r="AK892" t="s">
        <v>430</v>
      </c>
      <c r="AL892">
        <v>-116.933606</v>
      </c>
      <c r="AM892">
        <v>100</v>
      </c>
      <c r="AN892">
        <v>9200</v>
      </c>
      <c r="AO892" t="s">
        <v>118</v>
      </c>
      <c r="AP892">
        <v>-89</v>
      </c>
      <c r="AQ892">
        <v>-49</v>
      </c>
      <c r="AR892">
        <v>128</v>
      </c>
      <c r="AZ892">
        <v>1200</v>
      </c>
      <c r="BA892">
        <v>1</v>
      </c>
      <c r="BB892" t="str">
        <f t="shared" si="487"/>
        <v xml:space="preserve">N9217B  </v>
      </c>
      <c r="BC892">
        <v>1</v>
      </c>
      <c r="BE892">
        <v>0</v>
      </c>
      <c r="BF892">
        <v>0</v>
      </c>
      <c r="BG892">
        <v>0</v>
      </c>
      <c r="BH892">
        <v>9275</v>
      </c>
      <c r="BI892">
        <v>1</v>
      </c>
      <c r="BJ892">
        <v>0</v>
      </c>
      <c r="BK892">
        <v>0</v>
      </c>
      <c r="BL892">
        <v>0</v>
      </c>
      <c r="BO892">
        <v>0</v>
      </c>
      <c r="BP892">
        <v>0</v>
      </c>
      <c r="BW892" t="str">
        <f t="shared" si="514"/>
        <v>14:51:23.649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293</v>
      </c>
      <c r="CR892">
        <v>1</v>
      </c>
      <c r="CW892">
        <v>15278664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25">
      <c r="A893" t="str">
        <f t="shared" si="512"/>
        <v>06/05/2020 14:51:18.010</v>
      </c>
      <c r="C893" t="str">
        <f t="shared" si="503"/>
        <v>FFDFD3C0</v>
      </c>
      <c r="D893" t="s">
        <v>148</v>
      </c>
      <c r="E893">
        <v>8</v>
      </c>
      <c r="H893">
        <v>50</v>
      </c>
      <c r="I893" t="s">
        <v>149</v>
      </c>
      <c r="J893" t="s">
        <v>150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513"/>
        <v>14:51:23.648</v>
      </c>
      <c r="T893" t="str">
        <f t="shared" si="513"/>
        <v>14:51:23.648</v>
      </c>
      <c r="U893" t="str">
        <f t="shared" si="486"/>
        <v>ACC530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1</v>
      </c>
      <c r="AH893">
        <v>0</v>
      </c>
      <c r="AI893" t="s">
        <v>429</v>
      </c>
      <c r="AJ893">
        <v>34.220030000000001</v>
      </c>
      <c r="AK893" t="s">
        <v>430</v>
      </c>
      <c r="AL893">
        <v>-116.933606</v>
      </c>
      <c r="AM893">
        <v>100</v>
      </c>
      <c r="AN893">
        <v>9200</v>
      </c>
      <c r="AO893" t="s">
        <v>118</v>
      </c>
      <c r="AP893">
        <v>-89</v>
      </c>
      <c r="AQ893">
        <v>-49</v>
      </c>
      <c r="AR893">
        <v>128</v>
      </c>
      <c r="AZ893">
        <v>1200</v>
      </c>
      <c r="BA893">
        <v>1</v>
      </c>
      <c r="BB893" t="str">
        <f t="shared" si="487"/>
        <v xml:space="preserve">N9217B  </v>
      </c>
      <c r="BC893">
        <v>1</v>
      </c>
      <c r="BE893">
        <v>0</v>
      </c>
      <c r="BF893">
        <v>0</v>
      </c>
      <c r="BG893">
        <v>0</v>
      </c>
      <c r="BH893">
        <v>9275</v>
      </c>
      <c r="BI893">
        <v>1</v>
      </c>
      <c r="BJ893">
        <v>0</v>
      </c>
      <c r="BK893">
        <v>0</v>
      </c>
      <c r="BL893">
        <v>0</v>
      </c>
      <c r="BO893">
        <v>0</v>
      </c>
      <c r="BP893">
        <v>0</v>
      </c>
      <c r="BW893" t="str">
        <f t="shared" si="514"/>
        <v>14:51:23.649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293</v>
      </c>
      <c r="CR893">
        <v>1</v>
      </c>
      <c r="CW893">
        <v>15278664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25">
      <c r="A894" t="str">
        <f t="shared" si="512"/>
        <v>06/05/2020 14:51:18.010</v>
      </c>
      <c r="C894" t="str">
        <f t="shared" si="503"/>
        <v>FFDFD3C0</v>
      </c>
      <c r="D894" t="s">
        <v>148</v>
      </c>
      <c r="E894">
        <v>11</v>
      </c>
      <c r="H894">
        <v>53</v>
      </c>
      <c r="I894" t="s">
        <v>364</v>
      </c>
      <c r="J894" t="s">
        <v>150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513"/>
        <v>14:51:23.648</v>
      </c>
      <c r="T894" t="str">
        <f t="shared" si="513"/>
        <v>14:51:23.648</v>
      </c>
      <c r="U894" t="str">
        <f t="shared" si="486"/>
        <v>ACC530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1</v>
      </c>
      <c r="AH894">
        <v>0</v>
      </c>
      <c r="AI894" t="s">
        <v>429</v>
      </c>
      <c r="AJ894">
        <v>34.220030000000001</v>
      </c>
      <c r="AK894" t="s">
        <v>430</v>
      </c>
      <c r="AL894">
        <v>-116.933606</v>
      </c>
      <c r="AM894">
        <v>100</v>
      </c>
      <c r="AN894">
        <v>9200</v>
      </c>
      <c r="AO894" t="s">
        <v>118</v>
      </c>
      <c r="AP894">
        <v>-89</v>
      </c>
      <c r="AQ894">
        <v>-49</v>
      </c>
      <c r="AR894">
        <v>128</v>
      </c>
      <c r="AZ894">
        <v>1200</v>
      </c>
      <c r="BA894">
        <v>1</v>
      </c>
      <c r="BB894" t="str">
        <f t="shared" si="487"/>
        <v xml:space="preserve">N9217B  </v>
      </c>
      <c r="BC894">
        <v>1</v>
      </c>
      <c r="BE894">
        <v>0</v>
      </c>
      <c r="BF894">
        <v>0</v>
      </c>
      <c r="BG894">
        <v>0</v>
      </c>
      <c r="BH894">
        <v>9275</v>
      </c>
      <c r="BI894">
        <v>1</v>
      </c>
      <c r="BJ894">
        <v>0</v>
      </c>
      <c r="BK894">
        <v>0</v>
      </c>
      <c r="BL894">
        <v>0</v>
      </c>
      <c r="BO894">
        <v>0</v>
      </c>
      <c r="BP894">
        <v>0</v>
      </c>
      <c r="BW894" t="str">
        <f t="shared" si="514"/>
        <v>14:51:23.649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293</v>
      </c>
      <c r="CR894">
        <v>1</v>
      </c>
      <c r="CW894">
        <v>15278664</v>
      </c>
      <c r="CY894">
        <v>0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25">
      <c r="A895" t="str">
        <f t="shared" si="512"/>
        <v>06/05/2020 14:51:18.010</v>
      </c>
      <c r="C895" t="str">
        <f t="shared" si="503"/>
        <v>FFDFD3C0</v>
      </c>
      <c r="D895" t="s">
        <v>134</v>
      </c>
      <c r="E895">
        <v>7</v>
      </c>
      <c r="F895">
        <v>2007</v>
      </c>
      <c r="G895" t="s">
        <v>135</v>
      </c>
      <c r="J895" t="s">
        <v>136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513"/>
        <v>14:51:23.648</v>
      </c>
      <c r="T895" t="str">
        <f t="shared" si="513"/>
        <v>14:51:23.648</v>
      </c>
      <c r="U895" t="str">
        <f t="shared" si="486"/>
        <v>ACC530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1</v>
      </c>
      <c r="AH895">
        <v>0</v>
      </c>
      <c r="AI895" t="s">
        <v>429</v>
      </c>
      <c r="AJ895">
        <v>34.220030000000001</v>
      </c>
      <c r="AK895" t="s">
        <v>430</v>
      </c>
      <c r="AL895">
        <v>-116.933606</v>
      </c>
      <c r="AM895">
        <v>100</v>
      </c>
      <c r="AN895">
        <v>9200</v>
      </c>
      <c r="AO895" t="s">
        <v>118</v>
      </c>
      <c r="AP895">
        <v>-89</v>
      </c>
      <c r="AQ895">
        <v>-49</v>
      </c>
      <c r="AR895">
        <v>128</v>
      </c>
      <c r="AZ895">
        <v>1200</v>
      </c>
      <c r="BA895">
        <v>1</v>
      </c>
      <c r="BB895" t="str">
        <f t="shared" si="487"/>
        <v xml:space="preserve">N9217B  </v>
      </c>
      <c r="BC895">
        <v>1</v>
      </c>
      <c r="BE895">
        <v>0</v>
      </c>
      <c r="BF895">
        <v>0</v>
      </c>
      <c r="BG895">
        <v>0</v>
      </c>
      <c r="BH895">
        <v>9275</v>
      </c>
      <c r="BI895">
        <v>1</v>
      </c>
      <c r="BJ895">
        <v>0</v>
      </c>
      <c r="BK895">
        <v>0</v>
      </c>
      <c r="BL895">
        <v>0</v>
      </c>
      <c r="BO895">
        <v>0</v>
      </c>
      <c r="BP895">
        <v>0</v>
      </c>
      <c r="BW895" t="str">
        <f t="shared" si="514"/>
        <v>14:51:23.649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293</v>
      </c>
      <c r="CR895">
        <v>1</v>
      </c>
      <c r="CW895">
        <v>15278664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25">
      <c r="A896" t="str">
        <f t="shared" ref="A896:A903" si="515">"06/05/2020 14:51:18.902"</f>
        <v>06/05/2020 14:51:18.902</v>
      </c>
      <c r="C896" t="str">
        <f t="shared" si="503"/>
        <v>FFDFD3C0</v>
      </c>
      <c r="D896" t="s">
        <v>134</v>
      </c>
      <c r="E896">
        <v>7</v>
      </c>
      <c r="F896">
        <v>2007</v>
      </c>
      <c r="G896" t="s">
        <v>135</v>
      </c>
      <c r="J896" t="s">
        <v>136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ref="S896:S903" si="516">"14:51:24.547"</f>
        <v>14:51:24.547</v>
      </c>
      <c r="T896" t="str">
        <f t="shared" ref="T896:T903" si="517">"14:51:24.047"</f>
        <v>14:51:24.047</v>
      </c>
      <c r="U896" t="str">
        <f t="shared" si="486"/>
        <v>ACC530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1</v>
      </c>
      <c r="AH896">
        <v>0</v>
      </c>
      <c r="AI896" t="s">
        <v>431</v>
      </c>
      <c r="AJ896">
        <v>34.219859</v>
      </c>
      <c r="AK896" t="s">
        <v>432</v>
      </c>
      <c r="AL896">
        <v>-116.934056</v>
      </c>
      <c r="AM896">
        <v>100</v>
      </c>
      <c r="AN896">
        <v>9200</v>
      </c>
      <c r="AO896" t="s">
        <v>118</v>
      </c>
      <c r="AP896">
        <v>-89</v>
      </c>
      <c r="AQ896">
        <v>-49</v>
      </c>
      <c r="AR896">
        <v>256</v>
      </c>
      <c r="AZ896">
        <v>1200</v>
      </c>
      <c r="BA896">
        <v>1</v>
      </c>
      <c r="BB896" t="str">
        <f t="shared" si="487"/>
        <v xml:space="preserve">N9217B  </v>
      </c>
      <c r="BC896">
        <v>1</v>
      </c>
      <c r="BE896">
        <v>0</v>
      </c>
      <c r="BF896">
        <v>0</v>
      </c>
      <c r="BG896">
        <v>0</v>
      </c>
      <c r="BH896">
        <v>9275</v>
      </c>
      <c r="BI896">
        <v>1</v>
      </c>
      <c r="BJ896">
        <v>0</v>
      </c>
      <c r="BK896">
        <v>0</v>
      </c>
      <c r="BL896">
        <v>0</v>
      </c>
      <c r="BO896">
        <v>0</v>
      </c>
      <c r="BP896">
        <v>0</v>
      </c>
      <c r="BW896" t="str">
        <f t="shared" ref="BW896:BW903" si="518">"14:51:24.549"</f>
        <v>14:51:24.549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293</v>
      </c>
      <c r="CR896">
        <v>1</v>
      </c>
      <c r="CW896">
        <v>15278769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25">
      <c r="A897" t="str">
        <f t="shared" si="515"/>
        <v>06/05/2020 14:51:18.902</v>
      </c>
      <c r="C897" t="str">
        <f t="shared" si="503"/>
        <v>FFDFD3C0</v>
      </c>
      <c r="D897" t="s">
        <v>148</v>
      </c>
      <c r="E897">
        <v>11</v>
      </c>
      <c r="H897">
        <v>53</v>
      </c>
      <c r="I897" t="s">
        <v>364</v>
      </c>
      <c r="J897" t="s">
        <v>150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516"/>
        <v>14:51:24.547</v>
      </c>
      <c r="T897" t="str">
        <f t="shared" si="517"/>
        <v>14:51:24.047</v>
      </c>
      <c r="U897" t="str">
        <f t="shared" si="486"/>
        <v>ACC530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1</v>
      </c>
      <c r="AH897">
        <v>0</v>
      </c>
      <c r="AI897" t="s">
        <v>431</v>
      </c>
      <c r="AJ897">
        <v>34.219859</v>
      </c>
      <c r="AK897" t="s">
        <v>432</v>
      </c>
      <c r="AL897">
        <v>-116.934056</v>
      </c>
      <c r="AM897">
        <v>100</v>
      </c>
      <c r="AN897">
        <v>9200</v>
      </c>
      <c r="AO897" t="s">
        <v>118</v>
      </c>
      <c r="AP897">
        <v>-89</v>
      </c>
      <c r="AQ897">
        <v>-49</v>
      </c>
      <c r="AR897">
        <v>256</v>
      </c>
      <c r="AZ897">
        <v>1200</v>
      </c>
      <c r="BA897">
        <v>1</v>
      </c>
      <c r="BB897" t="str">
        <f t="shared" si="487"/>
        <v xml:space="preserve">N9217B  </v>
      </c>
      <c r="BC897">
        <v>1</v>
      </c>
      <c r="BE897">
        <v>0</v>
      </c>
      <c r="BF897">
        <v>0</v>
      </c>
      <c r="BG897">
        <v>0</v>
      </c>
      <c r="BH897">
        <v>9275</v>
      </c>
      <c r="BI897">
        <v>1</v>
      </c>
      <c r="BJ897">
        <v>0</v>
      </c>
      <c r="BK897">
        <v>0</v>
      </c>
      <c r="BL897">
        <v>0</v>
      </c>
      <c r="BO897">
        <v>0</v>
      </c>
      <c r="BP897">
        <v>0</v>
      </c>
      <c r="BW897" t="str">
        <f t="shared" si="518"/>
        <v>14:51:24.549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293</v>
      </c>
      <c r="CR897">
        <v>1</v>
      </c>
      <c r="CW897">
        <v>15278769</v>
      </c>
      <c r="CY897">
        <v>0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25">
      <c r="A898" t="str">
        <f t="shared" si="515"/>
        <v>06/05/2020 14:51:18.902</v>
      </c>
      <c r="C898" t="str">
        <f t="shared" si="503"/>
        <v>FFDFD3C0</v>
      </c>
      <c r="D898" t="s">
        <v>151</v>
      </c>
      <c r="E898">
        <v>8</v>
      </c>
      <c r="H898">
        <v>225</v>
      </c>
      <c r="I898" t="s">
        <v>353</v>
      </c>
      <c r="J898" t="s">
        <v>150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516"/>
        <v>14:51:24.547</v>
      </c>
      <c r="T898" t="str">
        <f t="shared" si="517"/>
        <v>14:51:24.047</v>
      </c>
      <c r="U898" t="str">
        <f t="shared" ref="U898:U961" si="519">"ACC530"</f>
        <v>ACC530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1</v>
      </c>
      <c r="AH898">
        <v>0</v>
      </c>
      <c r="AI898" t="s">
        <v>431</v>
      </c>
      <c r="AJ898">
        <v>34.219859</v>
      </c>
      <c r="AK898" t="s">
        <v>432</v>
      </c>
      <c r="AL898">
        <v>-116.934056</v>
      </c>
      <c r="AM898">
        <v>100</v>
      </c>
      <c r="AN898">
        <v>9200</v>
      </c>
      <c r="AO898" t="s">
        <v>118</v>
      </c>
      <c r="AP898">
        <v>-89</v>
      </c>
      <c r="AQ898">
        <v>-49</v>
      </c>
      <c r="AR898">
        <v>256</v>
      </c>
      <c r="AZ898">
        <v>1200</v>
      </c>
      <c r="BA898">
        <v>1</v>
      </c>
      <c r="BB898" t="str">
        <f t="shared" si="487"/>
        <v xml:space="preserve">N9217B  </v>
      </c>
      <c r="BC898">
        <v>1</v>
      </c>
      <c r="BE898">
        <v>0</v>
      </c>
      <c r="BF898">
        <v>0</v>
      </c>
      <c r="BG898">
        <v>0</v>
      </c>
      <c r="BH898">
        <v>9275</v>
      </c>
      <c r="BI898">
        <v>1</v>
      </c>
      <c r="BJ898">
        <v>0</v>
      </c>
      <c r="BK898">
        <v>0</v>
      </c>
      <c r="BL898">
        <v>0</v>
      </c>
      <c r="BO898">
        <v>0</v>
      </c>
      <c r="BP898">
        <v>0</v>
      </c>
      <c r="BW898" t="str">
        <f t="shared" si="518"/>
        <v>14:51:24.549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6</v>
      </c>
      <c r="CP898" t="s">
        <v>119</v>
      </c>
      <c r="CQ898">
        <v>285</v>
      </c>
      <c r="CR898">
        <v>0</v>
      </c>
      <c r="CW898">
        <v>8846702</v>
      </c>
      <c r="CY898">
        <v>0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25">
      <c r="A899" t="str">
        <f t="shared" si="515"/>
        <v>06/05/2020 14:51:18.902</v>
      </c>
      <c r="C899" t="str">
        <f t="shared" si="503"/>
        <v>FFDFD3C0</v>
      </c>
      <c r="D899" t="s">
        <v>141</v>
      </c>
      <c r="E899">
        <v>20</v>
      </c>
      <c r="F899">
        <v>1020</v>
      </c>
      <c r="G899" t="s">
        <v>114</v>
      </c>
      <c r="J899" t="s">
        <v>142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516"/>
        <v>14:51:24.547</v>
      </c>
      <c r="T899" t="str">
        <f t="shared" si="517"/>
        <v>14:51:24.047</v>
      </c>
      <c r="U899" t="str">
        <f t="shared" si="519"/>
        <v>ACC530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1</v>
      </c>
      <c r="AH899">
        <v>0</v>
      </c>
      <c r="AI899" t="s">
        <v>431</v>
      </c>
      <c r="AJ899">
        <v>34.219859</v>
      </c>
      <c r="AK899" t="s">
        <v>432</v>
      </c>
      <c r="AL899">
        <v>-116.934056</v>
      </c>
      <c r="AM899">
        <v>100</v>
      </c>
      <c r="AN899">
        <v>9200</v>
      </c>
      <c r="AO899" t="s">
        <v>118</v>
      </c>
      <c r="AP899">
        <v>-89</v>
      </c>
      <c r="AQ899">
        <v>-49</v>
      </c>
      <c r="AR899">
        <v>256</v>
      </c>
      <c r="AZ899">
        <v>1200</v>
      </c>
      <c r="BA899">
        <v>1</v>
      </c>
      <c r="BB899" t="str">
        <f t="shared" si="487"/>
        <v xml:space="preserve">N9217B  </v>
      </c>
      <c r="BC899">
        <v>1</v>
      </c>
      <c r="BE899">
        <v>0</v>
      </c>
      <c r="BF899">
        <v>0</v>
      </c>
      <c r="BG899">
        <v>0</v>
      </c>
      <c r="BH899">
        <v>9275</v>
      </c>
      <c r="BI899">
        <v>1</v>
      </c>
      <c r="BJ899">
        <v>0</v>
      </c>
      <c r="BK899">
        <v>0</v>
      </c>
      <c r="BL899">
        <v>0</v>
      </c>
      <c r="BO899">
        <v>0</v>
      </c>
      <c r="BP899">
        <v>0</v>
      </c>
      <c r="BW899" t="str">
        <f t="shared" si="518"/>
        <v>14:51:24.549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293</v>
      </c>
      <c r="CR899">
        <v>1</v>
      </c>
      <c r="CW899">
        <v>15278769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25">
      <c r="A900" t="str">
        <f t="shared" si="515"/>
        <v>06/05/2020 14:51:18.902</v>
      </c>
      <c r="C900" t="str">
        <f t="shared" si="503"/>
        <v>FFDFD3C0</v>
      </c>
      <c r="D900" t="s">
        <v>113</v>
      </c>
      <c r="E900">
        <v>3</v>
      </c>
      <c r="H900">
        <v>166</v>
      </c>
      <c r="I900" t="s">
        <v>114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516"/>
        <v>14:51:24.547</v>
      </c>
      <c r="T900" t="str">
        <f t="shared" si="517"/>
        <v>14:51:24.047</v>
      </c>
      <c r="U900" t="str">
        <f t="shared" si="519"/>
        <v>ACC530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1</v>
      </c>
      <c r="AH900">
        <v>0</v>
      </c>
      <c r="AI900" t="s">
        <v>431</v>
      </c>
      <c r="AJ900">
        <v>34.219859</v>
      </c>
      <c r="AK900" t="s">
        <v>432</v>
      </c>
      <c r="AL900">
        <v>-116.934056</v>
      </c>
      <c r="AM900">
        <v>100</v>
      </c>
      <c r="AN900">
        <v>9200</v>
      </c>
      <c r="AO900" t="s">
        <v>118</v>
      </c>
      <c r="AP900">
        <v>-89</v>
      </c>
      <c r="AQ900">
        <v>-49</v>
      </c>
      <c r="AR900">
        <v>256</v>
      </c>
      <c r="AZ900">
        <v>1200</v>
      </c>
      <c r="BA900">
        <v>1</v>
      </c>
      <c r="BB900" t="str">
        <f t="shared" si="487"/>
        <v xml:space="preserve">N9217B  </v>
      </c>
      <c r="BC900">
        <v>1</v>
      </c>
      <c r="BE900">
        <v>0</v>
      </c>
      <c r="BF900">
        <v>0</v>
      </c>
      <c r="BG900">
        <v>0</v>
      </c>
      <c r="BH900">
        <v>9275</v>
      </c>
      <c r="BI900">
        <v>1</v>
      </c>
      <c r="BJ900">
        <v>0</v>
      </c>
      <c r="BK900">
        <v>0</v>
      </c>
      <c r="BL900">
        <v>0</v>
      </c>
      <c r="BO900">
        <v>0</v>
      </c>
      <c r="BP900">
        <v>0</v>
      </c>
      <c r="BW900" t="str">
        <f t="shared" si="518"/>
        <v>14:51:24.549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293</v>
      </c>
      <c r="CR900">
        <v>1</v>
      </c>
      <c r="CW900">
        <v>15278769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25">
      <c r="A901" t="str">
        <f t="shared" si="515"/>
        <v>06/05/2020 14:51:18.902</v>
      </c>
      <c r="C901" t="str">
        <f t="shared" si="503"/>
        <v>FFDFD3C0</v>
      </c>
      <c r="D901" t="s">
        <v>151</v>
      </c>
      <c r="E901">
        <v>9</v>
      </c>
      <c r="H901">
        <v>226</v>
      </c>
      <c r="I901" t="s">
        <v>152</v>
      </c>
      <c r="J901" t="s">
        <v>150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516"/>
        <v>14:51:24.547</v>
      </c>
      <c r="T901" t="str">
        <f t="shared" si="517"/>
        <v>14:51:24.047</v>
      </c>
      <c r="U901" t="str">
        <f t="shared" si="519"/>
        <v>ACC530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1</v>
      </c>
      <c r="AH901">
        <v>0</v>
      </c>
      <c r="AI901" t="s">
        <v>431</v>
      </c>
      <c r="AJ901">
        <v>34.219859</v>
      </c>
      <c r="AK901" t="s">
        <v>432</v>
      </c>
      <c r="AL901">
        <v>-116.934056</v>
      </c>
      <c r="AM901">
        <v>100</v>
      </c>
      <c r="AN901">
        <v>9200</v>
      </c>
      <c r="AO901" t="s">
        <v>118</v>
      </c>
      <c r="AP901">
        <v>-89</v>
      </c>
      <c r="AQ901">
        <v>-49</v>
      </c>
      <c r="AR901">
        <v>256</v>
      </c>
      <c r="AZ901">
        <v>1200</v>
      </c>
      <c r="BA901">
        <v>1</v>
      </c>
      <c r="BB901" t="str">
        <f t="shared" ref="BB901:BB964" si="520">"N9217B  "</f>
        <v xml:space="preserve">N9217B  </v>
      </c>
      <c r="BC901">
        <v>1</v>
      </c>
      <c r="BE901">
        <v>0</v>
      </c>
      <c r="BF901">
        <v>0</v>
      </c>
      <c r="BG901">
        <v>0</v>
      </c>
      <c r="BH901">
        <v>9275</v>
      </c>
      <c r="BI901">
        <v>1</v>
      </c>
      <c r="BJ901">
        <v>0</v>
      </c>
      <c r="BK901">
        <v>0</v>
      </c>
      <c r="BL901">
        <v>0</v>
      </c>
      <c r="BO901">
        <v>0</v>
      </c>
      <c r="BP901">
        <v>0</v>
      </c>
      <c r="BW901" t="str">
        <f t="shared" si="518"/>
        <v>14:51:24.549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293</v>
      </c>
      <c r="CR901">
        <v>1</v>
      </c>
      <c r="CW901">
        <v>15278769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25">
      <c r="A902" t="str">
        <f t="shared" si="515"/>
        <v>06/05/2020 14:51:18.902</v>
      </c>
      <c r="C902" t="str">
        <f t="shared" si="503"/>
        <v>FFDFD3C0</v>
      </c>
      <c r="D902" t="s">
        <v>148</v>
      </c>
      <c r="E902">
        <v>8</v>
      </c>
      <c r="H902">
        <v>50</v>
      </c>
      <c r="I902" t="s">
        <v>149</v>
      </c>
      <c r="J902" t="s">
        <v>150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516"/>
        <v>14:51:24.547</v>
      </c>
      <c r="T902" t="str">
        <f t="shared" si="517"/>
        <v>14:51:24.047</v>
      </c>
      <c r="U902" t="str">
        <f t="shared" si="519"/>
        <v>ACC530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1</v>
      </c>
      <c r="AH902">
        <v>0</v>
      </c>
      <c r="AI902" t="s">
        <v>431</v>
      </c>
      <c r="AJ902">
        <v>34.219859</v>
      </c>
      <c r="AK902" t="s">
        <v>432</v>
      </c>
      <c r="AL902">
        <v>-116.934056</v>
      </c>
      <c r="AM902">
        <v>100</v>
      </c>
      <c r="AN902">
        <v>9200</v>
      </c>
      <c r="AO902" t="s">
        <v>118</v>
      </c>
      <c r="AP902">
        <v>-89</v>
      </c>
      <c r="AQ902">
        <v>-49</v>
      </c>
      <c r="AR902">
        <v>256</v>
      </c>
      <c r="AZ902">
        <v>1200</v>
      </c>
      <c r="BA902">
        <v>1</v>
      </c>
      <c r="BB902" t="str">
        <f t="shared" si="520"/>
        <v xml:space="preserve">N9217B  </v>
      </c>
      <c r="BC902">
        <v>1</v>
      </c>
      <c r="BE902">
        <v>0</v>
      </c>
      <c r="BF902">
        <v>0</v>
      </c>
      <c r="BG902">
        <v>0</v>
      </c>
      <c r="BH902">
        <v>9275</v>
      </c>
      <c r="BI902">
        <v>1</v>
      </c>
      <c r="BJ902">
        <v>0</v>
      </c>
      <c r="BK902">
        <v>0</v>
      </c>
      <c r="BL902">
        <v>0</v>
      </c>
      <c r="BO902">
        <v>0</v>
      </c>
      <c r="BP902">
        <v>0</v>
      </c>
      <c r="BW902" t="str">
        <f t="shared" si="518"/>
        <v>14:51:24.549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293</v>
      </c>
      <c r="CR902">
        <v>1</v>
      </c>
      <c r="CW902">
        <v>15278769</v>
      </c>
      <c r="CY902">
        <v>0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25">
      <c r="A903" t="str">
        <f t="shared" si="515"/>
        <v>06/05/2020 14:51:18.902</v>
      </c>
      <c r="C903" t="str">
        <f t="shared" si="503"/>
        <v>FFDFD3C0</v>
      </c>
      <c r="D903" t="s">
        <v>143</v>
      </c>
      <c r="E903">
        <v>10</v>
      </c>
      <c r="F903">
        <v>3010</v>
      </c>
      <c r="G903" t="s">
        <v>144</v>
      </c>
      <c r="J903" t="s">
        <v>145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516"/>
        <v>14:51:24.547</v>
      </c>
      <c r="T903" t="str">
        <f t="shared" si="517"/>
        <v>14:51:24.047</v>
      </c>
      <c r="U903" t="str">
        <f t="shared" si="519"/>
        <v>ACC530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1</v>
      </c>
      <c r="AH903">
        <v>0</v>
      </c>
      <c r="AI903" t="s">
        <v>431</v>
      </c>
      <c r="AJ903">
        <v>34.219859</v>
      </c>
      <c r="AK903" t="s">
        <v>432</v>
      </c>
      <c r="AL903">
        <v>-116.934056</v>
      </c>
      <c r="AM903">
        <v>100</v>
      </c>
      <c r="AN903">
        <v>9200</v>
      </c>
      <c r="AO903" t="s">
        <v>118</v>
      </c>
      <c r="AP903">
        <v>-89</v>
      </c>
      <c r="AQ903">
        <v>-49</v>
      </c>
      <c r="AR903">
        <v>256</v>
      </c>
      <c r="AZ903">
        <v>1200</v>
      </c>
      <c r="BA903">
        <v>1</v>
      </c>
      <c r="BB903" t="str">
        <f t="shared" si="520"/>
        <v xml:space="preserve">N9217B  </v>
      </c>
      <c r="BC903">
        <v>1</v>
      </c>
      <c r="BE903">
        <v>0</v>
      </c>
      <c r="BF903">
        <v>0</v>
      </c>
      <c r="BG903">
        <v>0</v>
      </c>
      <c r="BH903">
        <v>9275</v>
      </c>
      <c r="BI903">
        <v>1</v>
      </c>
      <c r="BJ903">
        <v>0</v>
      </c>
      <c r="BK903">
        <v>0</v>
      </c>
      <c r="BL903">
        <v>0</v>
      </c>
      <c r="BO903">
        <v>0</v>
      </c>
      <c r="BP903">
        <v>0</v>
      </c>
      <c r="BW903" t="str">
        <f t="shared" si="518"/>
        <v>14:51:24.549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293</v>
      </c>
      <c r="CR903">
        <v>1</v>
      </c>
      <c r="CW903">
        <v>15278769</v>
      </c>
      <c r="CY903">
        <v>0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25">
      <c r="A904" t="str">
        <f t="shared" ref="A904:A911" si="521">"06/05/2020 14:51:20.026"</f>
        <v>06/05/2020 14:51:20.026</v>
      </c>
      <c r="C904" t="str">
        <f t="shared" si="503"/>
        <v>FFDFD3C0</v>
      </c>
      <c r="D904" t="s">
        <v>141</v>
      </c>
      <c r="E904">
        <v>20</v>
      </c>
      <c r="F904">
        <v>1020</v>
      </c>
      <c r="G904" t="s">
        <v>114</v>
      </c>
      <c r="J904" t="s">
        <v>142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ref="S904:T911" si="522">"14:51:25.672"</f>
        <v>14:51:25.672</v>
      </c>
      <c r="T904" t="str">
        <f t="shared" si="522"/>
        <v>14:51:25.672</v>
      </c>
      <c r="U904" t="str">
        <f t="shared" si="519"/>
        <v>ACC530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1</v>
      </c>
      <c r="AH904">
        <v>0</v>
      </c>
      <c r="AI904" t="s">
        <v>433</v>
      </c>
      <c r="AJ904">
        <v>34.219580000000001</v>
      </c>
      <c r="AK904" t="s">
        <v>434</v>
      </c>
      <c r="AL904">
        <v>-116.934614</v>
      </c>
      <c r="AM904">
        <v>100</v>
      </c>
      <c r="AN904">
        <v>9200</v>
      </c>
      <c r="AO904" t="s">
        <v>118</v>
      </c>
      <c r="AP904">
        <v>-91</v>
      </c>
      <c r="AQ904">
        <v>-47</v>
      </c>
      <c r="AR904">
        <v>320</v>
      </c>
      <c r="AZ904">
        <v>1200</v>
      </c>
      <c r="BA904">
        <v>1</v>
      </c>
      <c r="BB904" t="str">
        <f t="shared" si="520"/>
        <v xml:space="preserve">N9217B  </v>
      </c>
      <c r="BC904">
        <v>1</v>
      </c>
      <c r="BE904">
        <v>0</v>
      </c>
      <c r="BF904">
        <v>0</v>
      </c>
      <c r="BG904">
        <v>0</v>
      </c>
      <c r="BH904">
        <v>9275</v>
      </c>
      <c r="BI904">
        <v>1</v>
      </c>
      <c r="BJ904">
        <v>0</v>
      </c>
      <c r="BK904">
        <v>0</v>
      </c>
      <c r="BL904">
        <v>0</v>
      </c>
      <c r="BO904">
        <v>0</v>
      </c>
      <c r="BP904">
        <v>0</v>
      </c>
      <c r="BW904" t="str">
        <f t="shared" ref="BW904:BW911" si="523">"14:51:25.674"</f>
        <v>14:51:25.674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293</v>
      </c>
      <c r="CR904">
        <v>1</v>
      </c>
      <c r="CW904">
        <v>15278906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25">
      <c r="A905" t="str">
        <f t="shared" si="521"/>
        <v>06/05/2020 14:51:20.026</v>
      </c>
      <c r="C905" t="str">
        <f t="shared" si="503"/>
        <v>FFDFD3C0</v>
      </c>
      <c r="D905" t="s">
        <v>151</v>
      </c>
      <c r="E905">
        <v>8</v>
      </c>
      <c r="H905">
        <v>225</v>
      </c>
      <c r="I905" t="s">
        <v>353</v>
      </c>
      <c r="J905" t="s">
        <v>150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522"/>
        <v>14:51:25.672</v>
      </c>
      <c r="T905" t="str">
        <f t="shared" si="522"/>
        <v>14:51:25.672</v>
      </c>
      <c r="U905" t="str">
        <f t="shared" si="519"/>
        <v>ACC530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1</v>
      </c>
      <c r="AH905">
        <v>0</v>
      </c>
      <c r="AI905" t="s">
        <v>433</v>
      </c>
      <c r="AJ905">
        <v>34.219580000000001</v>
      </c>
      <c r="AK905" t="s">
        <v>434</v>
      </c>
      <c r="AL905">
        <v>-116.934614</v>
      </c>
      <c r="AM905">
        <v>100</v>
      </c>
      <c r="AN905">
        <v>9200</v>
      </c>
      <c r="AO905" t="s">
        <v>118</v>
      </c>
      <c r="AP905">
        <v>-91</v>
      </c>
      <c r="AQ905">
        <v>-47</v>
      </c>
      <c r="AR905">
        <v>320</v>
      </c>
      <c r="AZ905">
        <v>1200</v>
      </c>
      <c r="BA905">
        <v>1</v>
      </c>
      <c r="BB905" t="str">
        <f t="shared" si="520"/>
        <v xml:space="preserve">N9217B  </v>
      </c>
      <c r="BC905">
        <v>1</v>
      </c>
      <c r="BE905">
        <v>0</v>
      </c>
      <c r="BF905">
        <v>0</v>
      </c>
      <c r="BG905">
        <v>0</v>
      </c>
      <c r="BH905">
        <v>9275</v>
      </c>
      <c r="BI905">
        <v>1</v>
      </c>
      <c r="BJ905">
        <v>0</v>
      </c>
      <c r="BK905">
        <v>0</v>
      </c>
      <c r="BL905">
        <v>0</v>
      </c>
      <c r="BO905">
        <v>0</v>
      </c>
      <c r="BP905">
        <v>0</v>
      </c>
      <c r="BW905" t="str">
        <f t="shared" si="523"/>
        <v>14:51:25.674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285</v>
      </c>
      <c r="CR905">
        <v>0</v>
      </c>
      <c r="CW905">
        <v>8846795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25">
      <c r="A906" t="str">
        <f t="shared" si="521"/>
        <v>06/05/2020 14:51:20.026</v>
      </c>
      <c r="C906" t="str">
        <f t="shared" si="503"/>
        <v>FFDFD3C0</v>
      </c>
      <c r="D906" t="s">
        <v>113</v>
      </c>
      <c r="E906">
        <v>3</v>
      </c>
      <c r="H906">
        <v>166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522"/>
        <v>14:51:25.672</v>
      </c>
      <c r="T906" t="str">
        <f t="shared" si="522"/>
        <v>14:51:25.672</v>
      </c>
      <c r="U906" t="str">
        <f t="shared" si="519"/>
        <v>ACC530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1</v>
      </c>
      <c r="AH906">
        <v>0</v>
      </c>
      <c r="AI906" t="s">
        <v>433</v>
      </c>
      <c r="AJ906">
        <v>34.219580000000001</v>
      </c>
      <c r="AK906" t="s">
        <v>434</v>
      </c>
      <c r="AL906">
        <v>-116.934614</v>
      </c>
      <c r="AM906">
        <v>100</v>
      </c>
      <c r="AN906">
        <v>9200</v>
      </c>
      <c r="AO906" t="s">
        <v>118</v>
      </c>
      <c r="AP906">
        <v>-91</v>
      </c>
      <c r="AQ906">
        <v>-47</v>
      </c>
      <c r="AR906">
        <v>320</v>
      </c>
      <c r="AZ906">
        <v>1200</v>
      </c>
      <c r="BA906">
        <v>1</v>
      </c>
      <c r="BB906" t="str">
        <f t="shared" si="520"/>
        <v xml:space="preserve">N9217B  </v>
      </c>
      <c r="BC906">
        <v>1</v>
      </c>
      <c r="BE906">
        <v>0</v>
      </c>
      <c r="BF906">
        <v>0</v>
      </c>
      <c r="BG906">
        <v>0</v>
      </c>
      <c r="BH906">
        <v>9275</v>
      </c>
      <c r="BI906">
        <v>1</v>
      </c>
      <c r="BJ906">
        <v>0</v>
      </c>
      <c r="BK906">
        <v>0</v>
      </c>
      <c r="BL906">
        <v>0</v>
      </c>
      <c r="BO906">
        <v>0</v>
      </c>
      <c r="BP906">
        <v>0</v>
      </c>
      <c r="BW906" t="str">
        <f t="shared" si="523"/>
        <v>14:51:25.674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293</v>
      </c>
      <c r="CR906">
        <v>1</v>
      </c>
      <c r="CW906">
        <v>15278906</v>
      </c>
      <c r="CY906">
        <v>0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25">
      <c r="A907" t="str">
        <f t="shared" si="521"/>
        <v>06/05/2020 14:51:20.026</v>
      </c>
      <c r="C907" t="str">
        <f t="shared" si="503"/>
        <v>FFDFD3C0</v>
      </c>
      <c r="D907" t="s">
        <v>143</v>
      </c>
      <c r="E907">
        <v>10</v>
      </c>
      <c r="F907">
        <v>3010</v>
      </c>
      <c r="G907" t="s">
        <v>144</v>
      </c>
      <c r="J907" t="s">
        <v>145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522"/>
        <v>14:51:25.672</v>
      </c>
      <c r="T907" t="str">
        <f t="shared" si="522"/>
        <v>14:51:25.672</v>
      </c>
      <c r="U907" t="str">
        <f t="shared" si="519"/>
        <v>ACC530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1</v>
      </c>
      <c r="AH907">
        <v>0</v>
      </c>
      <c r="AI907" t="s">
        <v>433</v>
      </c>
      <c r="AJ907">
        <v>34.219580000000001</v>
      </c>
      <c r="AK907" t="s">
        <v>434</v>
      </c>
      <c r="AL907">
        <v>-116.934614</v>
      </c>
      <c r="AM907">
        <v>100</v>
      </c>
      <c r="AN907">
        <v>9200</v>
      </c>
      <c r="AO907" t="s">
        <v>118</v>
      </c>
      <c r="AP907">
        <v>-91</v>
      </c>
      <c r="AQ907">
        <v>-47</v>
      </c>
      <c r="AR907">
        <v>320</v>
      </c>
      <c r="AZ907">
        <v>1200</v>
      </c>
      <c r="BA907">
        <v>1</v>
      </c>
      <c r="BB907" t="str">
        <f t="shared" si="520"/>
        <v xml:space="preserve">N9217B  </v>
      </c>
      <c r="BC907">
        <v>1</v>
      </c>
      <c r="BE907">
        <v>0</v>
      </c>
      <c r="BF907">
        <v>0</v>
      </c>
      <c r="BG907">
        <v>0</v>
      </c>
      <c r="BH907">
        <v>9275</v>
      </c>
      <c r="BI907">
        <v>1</v>
      </c>
      <c r="BJ907">
        <v>0</v>
      </c>
      <c r="BK907">
        <v>0</v>
      </c>
      <c r="BL907">
        <v>0</v>
      </c>
      <c r="BO907">
        <v>0</v>
      </c>
      <c r="BP907">
        <v>0</v>
      </c>
      <c r="BW907" t="str">
        <f t="shared" si="523"/>
        <v>14:51:25.674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293</v>
      </c>
      <c r="CR907">
        <v>1</v>
      </c>
      <c r="CW907">
        <v>15278906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25">
      <c r="A908" t="str">
        <f t="shared" si="521"/>
        <v>06/05/2020 14:51:20.026</v>
      </c>
      <c r="C908" t="str">
        <f t="shared" si="503"/>
        <v>FFDFD3C0</v>
      </c>
      <c r="D908" t="s">
        <v>151</v>
      </c>
      <c r="E908">
        <v>9</v>
      </c>
      <c r="H908">
        <v>226</v>
      </c>
      <c r="I908" t="s">
        <v>152</v>
      </c>
      <c r="J908" t="s">
        <v>150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522"/>
        <v>14:51:25.672</v>
      </c>
      <c r="T908" t="str">
        <f t="shared" si="522"/>
        <v>14:51:25.672</v>
      </c>
      <c r="U908" t="str">
        <f t="shared" si="519"/>
        <v>ACC530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1</v>
      </c>
      <c r="AH908">
        <v>0</v>
      </c>
      <c r="AI908" t="s">
        <v>433</v>
      </c>
      <c r="AJ908">
        <v>34.219580000000001</v>
      </c>
      <c r="AK908" t="s">
        <v>434</v>
      </c>
      <c r="AL908">
        <v>-116.934614</v>
      </c>
      <c r="AM908">
        <v>100</v>
      </c>
      <c r="AN908">
        <v>9200</v>
      </c>
      <c r="AO908" t="s">
        <v>118</v>
      </c>
      <c r="AP908">
        <v>-91</v>
      </c>
      <c r="AQ908">
        <v>-47</v>
      </c>
      <c r="AR908">
        <v>320</v>
      </c>
      <c r="AZ908">
        <v>1200</v>
      </c>
      <c r="BA908">
        <v>1</v>
      </c>
      <c r="BB908" t="str">
        <f t="shared" si="520"/>
        <v xml:space="preserve">N9217B  </v>
      </c>
      <c r="BC908">
        <v>1</v>
      </c>
      <c r="BE908">
        <v>0</v>
      </c>
      <c r="BF908">
        <v>0</v>
      </c>
      <c r="BG908">
        <v>0</v>
      </c>
      <c r="BH908">
        <v>9275</v>
      </c>
      <c r="BI908">
        <v>1</v>
      </c>
      <c r="BJ908">
        <v>0</v>
      </c>
      <c r="BK908">
        <v>0</v>
      </c>
      <c r="BL908">
        <v>0</v>
      </c>
      <c r="BO908">
        <v>0</v>
      </c>
      <c r="BP908">
        <v>0</v>
      </c>
      <c r="BW908" t="str">
        <f t="shared" si="523"/>
        <v>14:51:25.674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293</v>
      </c>
      <c r="CR908">
        <v>1</v>
      </c>
      <c r="CW908">
        <v>15278906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25">
      <c r="A909" t="str">
        <f t="shared" si="521"/>
        <v>06/05/2020 14:51:20.026</v>
      </c>
      <c r="C909" t="str">
        <f t="shared" si="503"/>
        <v>FFDFD3C0</v>
      </c>
      <c r="D909" t="s">
        <v>148</v>
      </c>
      <c r="E909">
        <v>8</v>
      </c>
      <c r="H909">
        <v>50</v>
      </c>
      <c r="I909" t="s">
        <v>149</v>
      </c>
      <c r="J909" t="s">
        <v>150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522"/>
        <v>14:51:25.672</v>
      </c>
      <c r="T909" t="str">
        <f t="shared" si="522"/>
        <v>14:51:25.672</v>
      </c>
      <c r="U909" t="str">
        <f t="shared" si="519"/>
        <v>ACC530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1</v>
      </c>
      <c r="AH909">
        <v>0</v>
      </c>
      <c r="AI909" t="s">
        <v>433</v>
      </c>
      <c r="AJ909">
        <v>34.219580000000001</v>
      </c>
      <c r="AK909" t="s">
        <v>434</v>
      </c>
      <c r="AL909">
        <v>-116.934614</v>
      </c>
      <c r="AM909">
        <v>100</v>
      </c>
      <c r="AN909">
        <v>9200</v>
      </c>
      <c r="AO909" t="s">
        <v>118</v>
      </c>
      <c r="AP909">
        <v>-91</v>
      </c>
      <c r="AQ909">
        <v>-47</v>
      </c>
      <c r="AR909">
        <v>320</v>
      </c>
      <c r="AZ909">
        <v>1200</v>
      </c>
      <c r="BA909">
        <v>1</v>
      </c>
      <c r="BB909" t="str">
        <f t="shared" si="520"/>
        <v xml:space="preserve">N9217B  </v>
      </c>
      <c r="BC909">
        <v>1</v>
      </c>
      <c r="BE909">
        <v>0</v>
      </c>
      <c r="BF909">
        <v>0</v>
      </c>
      <c r="BG909">
        <v>0</v>
      </c>
      <c r="BH909">
        <v>9275</v>
      </c>
      <c r="BI909">
        <v>1</v>
      </c>
      <c r="BJ909">
        <v>0</v>
      </c>
      <c r="BK909">
        <v>0</v>
      </c>
      <c r="BL909">
        <v>0</v>
      </c>
      <c r="BO909">
        <v>0</v>
      </c>
      <c r="BP909">
        <v>0</v>
      </c>
      <c r="BW909" t="str">
        <f t="shared" si="523"/>
        <v>14:51:25.674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293</v>
      </c>
      <c r="CR909">
        <v>1</v>
      </c>
      <c r="CW909">
        <v>15278906</v>
      </c>
      <c r="CY909">
        <v>0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25">
      <c r="A910" t="str">
        <f t="shared" si="521"/>
        <v>06/05/2020 14:51:20.026</v>
      </c>
      <c r="C910" t="str">
        <f t="shared" si="503"/>
        <v>FFDFD3C0</v>
      </c>
      <c r="D910" t="s">
        <v>134</v>
      </c>
      <c r="E910">
        <v>7</v>
      </c>
      <c r="F910">
        <v>2007</v>
      </c>
      <c r="G910" t="s">
        <v>135</v>
      </c>
      <c r="J910" t="s">
        <v>136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522"/>
        <v>14:51:25.672</v>
      </c>
      <c r="T910" t="str">
        <f t="shared" si="522"/>
        <v>14:51:25.672</v>
      </c>
      <c r="U910" t="str">
        <f t="shared" si="519"/>
        <v>ACC530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1</v>
      </c>
      <c r="AH910">
        <v>0</v>
      </c>
      <c r="AI910" t="s">
        <v>433</v>
      </c>
      <c r="AJ910">
        <v>34.219580000000001</v>
      </c>
      <c r="AK910" t="s">
        <v>434</v>
      </c>
      <c r="AL910">
        <v>-116.934614</v>
      </c>
      <c r="AM910">
        <v>100</v>
      </c>
      <c r="AN910">
        <v>9200</v>
      </c>
      <c r="AO910" t="s">
        <v>118</v>
      </c>
      <c r="AP910">
        <v>-91</v>
      </c>
      <c r="AQ910">
        <v>-47</v>
      </c>
      <c r="AR910">
        <v>320</v>
      </c>
      <c r="AZ910">
        <v>1200</v>
      </c>
      <c r="BA910">
        <v>1</v>
      </c>
      <c r="BB910" t="str">
        <f t="shared" si="520"/>
        <v xml:space="preserve">N9217B  </v>
      </c>
      <c r="BC910">
        <v>1</v>
      </c>
      <c r="BE910">
        <v>0</v>
      </c>
      <c r="BF910">
        <v>0</v>
      </c>
      <c r="BG910">
        <v>0</v>
      </c>
      <c r="BH910">
        <v>9275</v>
      </c>
      <c r="BI910">
        <v>1</v>
      </c>
      <c r="BJ910">
        <v>0</v>
      </c>
      <c r="BK910">
        <v>0</v>
      </c>
      <c r="BL910">
        <v>0</v>
      </c>
      <c r="BO910">
        <v>0</v>
      </c>
      <c r="BP910">
        <v>0</v>
      </c>
      <c r="BW910" t="str">
        <f t="shared" si="523"/>
        <v>14:51:25.674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293</v>
      </c>
      <c r="CR910">
        <v>1</v>
      </c>
      <c r="CW910">
        <v>15278906</v>
      </c>
      <c r="CY910">
        <v>0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25">
      <c r="A911" t="str">
        <f t="shared" si="521"/>
        <v>06/05/2020 14:51:20.026</v>
      </c>
      <c r="C911" t="str">
        <f t="shared" si="503"/>
        <v>FFDFD3C0</v>
      </c>
      <c r="D911" t="s">
        <v>148</v>
      </c>
      <c r="E911">
        <v>11</v>
      </c>
      <c r="H911">
        <v>53</v>
      </c>
      <c r="I911" t="s">
        <v>364</v>
      </c>
      <c r="J911" t="s">
        <v>150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522"/>
        <v>14:51:25.672</v>
      </c>
      <c r="T911" t="str">
        <f t="shared" si="522"/>
        <v>14:51:25.672</v>
      </c>
      <c r="U911" t="str">
        <f t="shared" si="519"/>
        <v>ACC530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1</v>
      </c>
      <c r="AH911">
        <v>0</v>
      </c>
      <c r="AI911" t="s">
        <v>433</v>
      </c>
      <c r="AJ911">
        <v>34.219580000000001</v>
      </c>
      <c r="AK911" t="s">
        <v>434</v>
      </c>
      <c r="AL911">
        <v>-116.934614</v>
      </c>
      <c r="AM911">
        <v>100</v>
      </c>
      <c r="AN911">
        <v>9200</v>
      </c>
      <c r="AO911" t="s">
        <v>118</v>
      </c>
      <c r="AP911">
        <v>-91</v>
      </c>
      <c r="AQ911">
        <v>-47</v>
      </c>
      <c r="AR911">
        <v>320</v>
      </c>
      <c r="AZ911">
        <v>1200</v>
      </c>
      <c r="BA911">
        <v>1</v>
      </c>
      <c r="BB911" t="str">
        <f t="shared" si="520"/>
        <v xml:space="preserve">N9217B  </v>
      </c>
      <c r="BC911">
        <v>1</v>
      </c>
      <c r="BE911">
        <v>0</v>
      </c>
      <c r="BF911">
        <v>0</v>
      </c>
      <c r="BG911">
        <v>0</v>
      </c>
      <c r="BH911">
        <v>9275</v>
      </c>
      <c r="BI911">
        <v>1</v>
      </c>
      <c r="BJ911">
        <v>0</v>
      </c>
      <c r="BK911">
        <v>0</v>
      </c>
      <c r="BL911">
        <v>0</v>
      </c>
      <c r="BO911">
        <v>0</v>
      </c>
      <c r="BP911">
        <v>0</v>
      </c>
      <c r="BW911" t="str">
        <f t="shared" si="523"/>
        <v>14:51:25.674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293</v>
      </c>
      <c r="CR911">
        <v>1</v>
      </c>
      <c r="CW911">
        <v>15278906</v>
      </c>
      <c r="CY911">
        <v>0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25">
      <c r="A912" t="str">
        <f t="shared" ref="A912:A919" si="524">"06/05/2020 14:51:20.898"</f>
        <v>06/05/2020 14:51:20.898</v>
      </c>
      <c r="C912" t="str">
        <f t="shared" si="503"/>
        <v>FFDFD3C0</v>
      </c>
      <c r="D912" t="s">
        <v>148</v>
      </c>
      <c r="E912">
        <v>8</v>
      </c>
      <c r="H912">
        <v>50</v>
      </c>
      <c r="I912" t="s">
        <v>149</v>
      </c>
      <c r="J912" t="s">
        <v>150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ref="S912:S919" si="525">"14:51:26.555"</f>
        <v>14:51:26.555</v>
      </c>
      <c r="T912" t="str">
        <f t="shared" ref="T912:T919" si="526">"14:51:26.155"</f>
        <v>14:51:26.155</v>
      </c>
      <c r="U912" t="str">
        <f t="shared" si="519"/>
        <v>ACC530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1</v>
      </c>
      <c r="AH912">
        <v>0</v>
      </c>
      <c r="AI912" t="s">
        <v>435</v>
      </c>
      <c r="AJ912">
        <v>34.219386999999998</v>
      </c>
      <c r="AK912" t="s">
        <v>436</v>
      </c>
      <c r="AL912">
        <v>-116.935108</v>
      </c>
      <c r="AM912">
        <v>100</v>
      </c>
      <c r="AN912">
        <v>9200</v>
      </c>
      <c r="AO912" t="s">
        <v>118</v>
      </c>
      <c r="AP912">
        <v>-91</v>
      </c>
      <c r="AQ912">
        <v>-47</v>
      </c>
      <c r="AR912">
        <v>448</v>
      </c>
      <c r="AZ912">
        <v>1200</v>
      </c>
      <c r="BA912">
        <v>1</v>
      </c>
      <c r="BB912" t="str">
        <f t="shared" si="520"/>
        <v xml:space="preserve">N9217B  </v>
      </c>
      <c r="BC912">
        <v>1</v>
      </c>
      <c r="BE912">
        <v>0</v>
      </c>
      <c r="BF912">
        <v>0</v>
      </c>
      <c r="BG912">
        <v>0</v>
      </c>
      <c r="BH912">
        <v>9275</v>
      </c>
      <c r="BI912">
        <v>1</v>
      </c>
      <c r="BJ912">
        <v>0</v>
      </c>
      <c r="BK912">
        <v>0</v>
      </c>
      <c r="BL912">
        <v>0</v>
      </c>
      <c r="BO912">
        <v>0</v>
      </c>
      <c r="BP912">
        <v>0</v>
      </c>
      <c r="BW912" t="str">
        <f t="shared" ref="BW912:BW919" si="527">"14:51:26.559"</f>
        <v>14:51:26.559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293</v>
      </c>
      <c r="CR912">
        <v>1</v>
      </c>
      <c r="CW912">
        <v>15279002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25">
      <c r="A913" t="str">
        <f t="shared" si="524"/>
        <v>06/05/2020 14:51:20.898</v>
      </c>
      <c r="C913" t="str">
        <f t="shared" si="503"/>
        <v>FFDFD3C0</v>
      </c>
      <c r="D913" t="s">
        <v>134</v>
      </c>
      <c r="E913">
        <v>7</v>
      </c>
      <c r="F913">
        <v>2007</v>
      </c>
      <c r="G913" t="s">
        <v>135</v>
      </c>
      <c r="J913" t="s">
        <v>136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525"/>
        <v>14:51:26.555</v>
      </c>
      <c r="T913" t="str">
        <f t="shared" si="526"/>
        <v>14:51:26.155</v>
      </c>
      <c r="U913" t="str">
        <f t="shared" si="519"/>
        <v>ACC530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9</v>
      </c>
      <c r="AE913">
        <v>0</v>
      </c>
      <c r="AF913">
        <v>3</v>
      </c>
      <c r="AG913">
        <v>1</v>
      </c>
      <c r="AH913">
        <v>0</v>
      </c>
      <c r="AI913" t="s">
        <v>435</v>
      </c>
      <c r="AJ913">
        <v>34.219386999999998</v>
      </c>
      <c r="AK913" t="s">
        <v>436</v>
      </c>
      <c r="AL913">
        <v>-116.935108</v>
      </c>
      <c r="AM913">
        <v>100</v>
      </c>
      <c r="AN913">
        <v>9200</v>
      </c>
      <c r="AO913" t="s">
        <v>118</v>
      </c>
      <c r="AP913">
        <v>-91</v>
      </c>
      <c r="AQ913">
        <v>-47</v>
      </c>
      <c r="AR913">
        <v>448</v>
      </c>
      <c r="AZ913">
        <v>1200</v>
      </c>
      <c r="BA913">
        <v>1</v>
      </c>
      <c r="BB913" t="str">
        <f t="shared" si="520"/>
        <v xml:space="preserve">N9217B  </v>
      </c>
      <c r="BC913">
        <v>1</v>
      </c>
      <c r="BE913">
        <v>0</v>
      </c>
      <c r="BF913">
        <v>0</v>
      </c>
      <c r="BG913">
        <v>0</v>
      </c>
      <c r="BH913">
        <v>9275</v>
      </c>
      <c r="BI913">
        <v>1</v>
      </c>
      <c r="BJ913">
        <v>0</v>
      </c>
      <c r="BK913">
        <v>0</v>
      </c>
      <c r="BL913">
        <v>0</v>
      </c>
      <c r="BO913">
        <v>0</v>
      </c>
      <c r="BP913">
        <v>0</v>
      </c>
      <c r="BW913" t="str">
        <f t="shared" si="527"/>
        <v>14:51:26.559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293</v>
      </c>
      <c r="CR913">
        <v>1</v>
      </c>
      <c r="CW913">
        <v>15279002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25">
      <c r="A914" t="str">
        <f t="shared" si="524"/>
        <v>06/05/2020 14:51:20.898</v>
      </c>
      <c r="C914" t="str">
        <f t="shared" si="503"/>
        <v>FFDFD3C0</v>
      </c>
      <c r="D914" t="s">
        <v>148</v>
      </c>
      <c r="E914">
        <v>11</v>
      </c>
      <c r="H914">
        <v>53</v>
      </c>
      <c r="I914" t="s">
        <v>364</v>
      </c>
      <c r="J914" t="s">
        <v>150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525"/>
        <v>14:51:26.555</v>
      </c>
      <c r="T914" t="str">
        <f t="shared" si="526"/>
        <v>14:51:26.155</v>
      </c>
      <c r="U914" t="str">
        <f t="shared" si="519"/>
        <v>ACC530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1</v>
      </c>
      <c r="AH914">
        <v>0</v>
      </c>
      <c r="AI914" t="s">
        <v>435</v>
      </c>
      <c r="AJ914">
        <v>34.219386999999998</v>
      </c>
      <c r="AK914" t="s">
        <v>436</v>
      </c>
      <c r="AL914">
        <v>-116.935108</v>
      </c>
      <c r="AM914">
        <v>100</v>
      </c>
      <c r="AN914">
        <v>9200</v>
      </c>
      <c r="AO914" t="s">
        <v>118</v>
      </c>
      <c r="AP914">
        <v>-91</v>
      </c>
      <c r="AQ914">
        <v>-47</v>
      </c>
      <c r="AR914">
        <v>448</v>
      </c>
      <c r="AZ914">
        <v>1200</v>
      </c>
      <c r="BA914">
        <v>1</v>
      </c>
      <c r="BB914" t="str">
        <f t="shared" si="520"/>
        <v xml:space="preserve">N9217B  </v>
      </c>
      <c r="BC914">
        <v>1</v>
      </c>
      <c r="BE914">
        <v>0</v>
      </c>
      <c r="BF914">
        <v>0</v>
      </c>
      <c r="BG914">
        <v>0</v>
      </c>
      <c r="BH914">
        <v>9275</v>
      </c>
      <c r="BI914">
        <v>1</v>
      </c>
      <c r="BJ914">
        <v>0</v>
      </c>
      <c r="BK914">
        <v>0</v>
      </c>
      <c r="BL914">
        <v>0</v>
      </c>
      <c r="BO914">
        <v>0</v>
      </c>
      <c r="BP914">
        <v>0</v>
      </c>
      <c r="BW914" t="str">
        <f t="shared" si="527"/>
        <v>14:51:26.559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293</v>
      </c>
      <c r="CR914">
        <v>1</v>
      </c>
      <c r="CW914">
        <v>15279002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25">
      <c r="A915" t="str">
        <f t="shared" si="524"/>
        <v>06/05/2020 14:51:20.898</v>
      </c>
      <c r="C915" t="str">
        <f t="shared" si="503"/>
        <v>FFDFD3C0</v>
      </c>
      <c r="D915" t="s">
        <v>141</v>
      </c>
      <c r="E915">
        <v>20</v>
      </c>
      <c r="F915">
        <v>1020</v>
      </c>
      <c r="G915" t="s">
        <v>114</v>
      </c>
      <c r="J915" t="s">
        <v>142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525"/>
        <v>14:51:26.555</v>
      </c>
      <c r="T915" t="str">
        <f t="shared" si="526"/>
        <v>14:51:26.155</v>
      </c>
      <c r="U915" t="str">
        <f t="shared" si="519"/>
        <v>ACC530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1</v>
      </c>
      <c r="AH915">
        <v>0</v>
      </c>
      <c r="AI915" t="s">
        <v>435</v>
      </c>
      <c r="AJ915">
        <v>34.219386999999998</v>
      </c>
      <c r="AK915" t="s">
        <v>436</v>
      </c>
      <c r="AL915">
        <v>-116.935108</v>
      </c>
      <c r="AM915">
        <v>100</v>
      </c>
      <c r="AN915">
        <v>9200</v>
      </c>
      <c r="AO915" t="s">
        <v>118</v>
      </c>
      <c r="AP915">
        <v>-91</v>
      </c>
      <c r="AQ915">
        <v>-47</v>
      </c>
      <c r="AR915">
        <v>448</v>
      </c>
      <c r="AZ915">
        <v>1200</v>
      </c>
      <c r="BA915">
        <v>1</v>
      </c>
      <c r="BB915" t="str">
        <f t="shared" si="520"/>
        <v xml:space="preserve">N9217B  </v>
      </c>
      <c r="BC915">
        <v>1</v>
      </c>
      <c r="BE915">
        <v>0</v>
      </c>
      <c r="BF915">
        <v>0</v>
      </c>
      <c r="BG915">
        <v>0</v>
      </c>
      <c r="BH915">
        <v>9275</v>
      </c>
      <c r="BI915">
        <v>1</v>
      </c>
      <c r="BJ915">
        <v>0</v>
      </c>
      <c r="BK915">
        <v>0</v>
      </c>
      <c r="BL915">
        <v>0</v>
      </c>
      <c r="BO915">
        <v>0</v>
      </c>
      <c r="BP915">
        <v>0</v>
      </c>
      <c r="BW915" t="str">
        <f t="shared" si="527"/>
        <v>14:51:26.559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293</v>
      </c>
      <c r="CR915">
        <v>1</v>
      </c>
      <c r="CW915">
        <v>15279002</v>
      </c>
      <c r="CY915">
        <v>0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25">
      <c r="A916" t="str">
        <f t="shared" si="524"/>
        <v>06/05/2020 14:51:20.898</v>
      </c>
      <c r="C916" t="str">
        <f t="shared" si="503"/>
        <v>FFDFD3C0</v>
      </c>
      <c r="D916" t="s">
        <v>143</v>
      </c>
      <c r="E916">
        <v>10</v>
      </c>
      <c r="F916">
        <v>3010</v>
      </c>
      <c r="G916" t="s">
        <v>144</v>
      </c>
      <c r="J916" t="s">
        <v>145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525"/>
        <v>14:51:26.555</v>
      </c>
      <c r="T916" t="str">
        <f t="shared" si="526"/>
        <v>14:51:26.155</v>
      </c>
      <c r="U916" t="str">
        <f t="shared" si="519"/>
        <v>ACC530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1</v>
      </c>
      <c r="AH916">
        <v>0</v>
      </c>
      <c r="AI916" t="s">
        <v>435</v>
      </c>
      <c r="AJ916">
        <v>34.219386999999998</v>
      </c>
      <c r="AK916" t="s">
        <v>436</v>
      </c>
      <c r="AL916">
        <v>-116.935108</v>
      </c>
      <c r="AM916">
        <v>100</v>
      </c>
      <c r="AN916">
        <v>9200</v>
      </c>
      <c r="AO916" t="s">
        <v>118</v>
      </c>
      <c r="AP916">
        <v>-91</v>
      </c>
      <c r="AQ916">
        <v>-47</v>
      </c>
      <c r="AR916">
        <v>448</v>
      </c>
      <c r="AZ916">
        <v>1200</v>
      </c>
      <c r="BA916">
        <v>1</v>
      </c>
      <c r="BB916" t="str">
        <f t="shared" si="520"/>
        <v xml:space="preserve">N9217B  </v>
      </c>
      <c r="BC916">
        <v>1</v>
      </c>
      <c r="BE916">
        <v>0</v>
      </c>
      <c r="BF916">
        <v>0</v>
      </c>
      <c r="BG916">
        <v>0</v>
      </c>
      <c r="BH916">
        <v>9275</v>
      </c>
      <c r="BI916">
        <v>1</v>
      </c>
      <c r="BJ916">
        <v>0</v>
      </c>
      <c r="BK916">
        <v>0</v>
      </c>
      <c r="BL916">
        <v>0</v>
      </c>
      <c r="BO916">
        <v>0</v>
      </c>
      <c r="BP916">
        <v>0</v>
      </c>
      <c r="BW916" t="str">
        <f t="shared" si="527"/>
        <v>14:51:26.559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293</v>
      </c>
      <c r="CR916">
        <v>1</v>
      </c>
      <c r="CW916">
        <v>15279002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25">
      <c r="A917" t="str">
        <f t="shared" si="524"/>
        <v>06/05/2020 14:51:20.898</v>
      </c>
      <c r="C917" t="str">
        <f t="shared" si="503"/>
        <v>FFDFD3C0</v>
      </c>
      <c r="D917" t="s">
        <v>113</v>
      </c>
      <c r="E917">
        <v>3</v>
      </c>
      <c r="H917">
        <v>166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525"/>
        <v>14:51:26.555</v>
      </c>
      <c r="T917" t="str">
        <f t="shared" si="526"/>
        <v>14:51:26.155</v>
      </c>
      <c r="U917" t="str">
        <f t="shared" si="519"/>
        <v>ACC530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1</v>
      </c>
      <c r="AH917">
        <v>0</v>
      </c>
      <c r="AI917" t="s">
        <v>435</v>
      </c>
      <c r="AJ917">
        <v>34.219386999999998</v>
      </c>
      <c r="AK917" t="s">
        <v>436</v>
      </c>
      <c r="AL917">
        <v>-116.935108</v>
      </c>
      <c r="AM917">
        <v>100</v>
      </c>
      <c r="AN917">
        <v>9200</v>
      </c>
      <c r="AO917" t="s">
        <v>118</v>
      </c>
      <c r="AP917">
        <v>-91</v>
      </c>
      <c r="AQ917">
        <v>-47</v>
      </c>
      <c r="AR917">
        <v>448</v>
      </c>
      <c r="AZ917">
        <v>1200</v>
      </c>
      <c r="BA917">
        <v>1</v>
      </c>
      <c r="BB917" t="str">
        <f t="shared" si="520"/>
        <v xml:space="preserve">N9217B  </v>
      </c>
      <c r="BC917">
        <v>1</v>
      </c>
      <c r="BE917">
        <v>0</v>
      </c>
      <c r="BF917">
        <v>0</v>
      </c>
      <c r="BG917">
        <v>0</v>
      </c>
      <c r="BH917">
        <v>9275</v>
      </c>
      <c r="BI917">
        <v>1</v>
      </c>
      <c r="BJ917">
        <v>0</v>
      </c>
      <c r="BK917">
        <v>0</v>
      </c>
      <c r="BL917">
        <v>0</v>
      </c>
      <c r="BO917">
        <v>0</v>
      </c>
      <c r="BP917">
        <v>0</v>
      </c>
      <c r="BW917" t="str">
        <f t="shared" si="527"/>
        <v>14:51:26.559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293</v>
      </c>
      <c r="CR917">
        <v>1</v>
      </c>
      <c r="CW917">
        <v>15279002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25">
      <c r="A918" t="str">
        <f t="shared" si="524"/>
        <v>06/05/2020 14:51:20.898</v>
      </c>
      <c r="C918" t="str">
        <f t="shared" si="503"/>
        <v>FFDFD3C0</v>
      </c>
      <c r="D918" t="s">
        <v>151</v>
      </c>
      <c r="E918">
        <v>8</v>
      </c>
      <c r="H918">
        <v>225</v>
      </c>
      <c r="I918" t="s">
        <v>353</v>
      </c>
      <c r="J918" t="s">
        <v>150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525"/>
        <v>14:51:26.555</v>
      </c>
      <c r="T918" t="str">
        <f t="shared" si="526"/>
        <v>14:51:26.155</v>
      </c>
      <c r="U918" t="str">
        <f t="shared" si="519"/>
        <v>ACC530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1</v>
      </c>
      <c r="AH918">
        <v>0</v>
      </c>
      <c r="AI918" t="s">
        <v>435</v>
      </c>
      <c r="AJ918">
        <v>34.219386999999998</v>
      </c>
      <c r="AK918" t="s">
        <v>436</v>
      </c>
      <c r="AL918">
        <v>-116.935108</v>
      </c>
      <c r="AM918">
        <v>100</v>
      </c>
      <c r="AN918">
        <v>9200</v>
      </c>
      <c r="AO918" t="s">
        <v>118</v>
      </c>
      <c r="AP918">
        <v>-91</v>
      </c>
      <c r="AQ918">
        <v>-47</v>
      </c>
      <c r="AR918">
        <v>448</v>
      </c>
      <c r="AZ918">
        <v>1200</v>
      </c>
      <c r="BA918">
        <v>1</v>
      </c>
      <c r="BB918" t="str">
        <f t="shared" si="520"/>
        <v xml:space="preserve">N9217B  </v>
      </c>
      <c r="BC918">
        <v>1</v>
      </c>
      <c r="BE918">
        <v>0</v>
      </c>
      <c r="BF918">
        <v>0</v>
      </c>
      <c r="BG918">
        <v>0</v>
      </c>
      <c r="BH918">
        <v>9275</v>
      </c>
      <c r="BI918">
        <v>1</v>
      </c>
      <c r="BJ918">
        <v>0</v>
      </c>
      <c r="BK918">
        <v>0</v>
      </c>
      <c r="BL918">
        <v>0</v>
      </c>
      <c r="BO918">
        <v>0</v>
      </c>
      <c r="BP918">
        <v>0</v>
      </c>
      <c r="BW918" t="str">
        <f t="shared" si="527"/>
        <v>14:51:26.559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6</v>
      </c>
      <c r="CP918" t="s">
        <v>119</v>
      </c>
      <c r="CQ918">
        <v>285</v>
      </c>
      <c r="CR918">
        <v>0</v>
      </c>
      <c r="CW918">
        <v>8846877</v>
      </c>
      <c r="CY918">
        <v>0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25">
      <c r="A919" t="str">
        <f t="shared" si="524"/>
        <v>06/05/2020 14:51:20.898</v>
      </c>
      <c r="C919" t="str">
        <f t="shared" si="503"/>
        <v>FFDFD3C0</v>
      </c>
      <c r="D919" t="s">
        <v>151</v>
      </c>
      <c r="E919">
        <v>9</v>
      </c>
      <c r="H919">
        <v>226</v>
      </c>
      <c r="I919" t="s">
        <v>152</v>
      </c>
      <c r="J919" t="s">
        <v>150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525"/>
        <v>14:51:26.555</v>
      </c>
      <c r="T919" t="str">
        <f t="shared" si="526"/>
        <v>14:51:26.155</v>
      </c>
      <c r="U919" t="str">
        <f t="shared" si="519"/>
        <v>ACC530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1</v>
      </c>
      <c r="AH919">
        <v>0</v>
      </c>
      <c r="AI919" t="s">
        <v>435</v>
      </c>
      <c r="AJ919">
        <v>34.219386999999998</v>
      </c>
      <c r="AK919" t="s">
        <v>436</v>
      </c>
      <c r="AL919">
        <v>-116.935108</v>
      </c>
      <c r="AM919">
        <v>100</v>
      </c>
      <c r="AN919">
        <v>9200</v>
      </c>
      <c r="AO919" t="s">
        <v>118</v>
      </c>
      <c r="AP919">
        <v>-91</v>
      </c>
      <c r="AQ919">
        <v>-47</v>
      </c>
      <c r="AR919">
        <v>448</v>
      </c>
      <c r="AZ919">
        <v>1200</v>
      </c>
      <c r="BA919">
        <v>1</v>
      </c>
      <c r="BB919" t="str">
        <f t="shared" si="520"/>
        <v xml:space="preserve">N9217B  </v>
      </c>
      <c r="BC919">
        <v>1</v>
      </c>
      <c r="BE919">
        <v>0</v>
      </c>
      <c r="BF919">
        <v>0</v>
      </c>
      <c r="BG919">
        <v>0</v>
      </c>
      <c r="BH919">
        <v>9275</v>
      </c>
      <c r="BI919">
        <v>1</v>
      </c>
      <c r="BJ919">
        <v>0</v>
      </c>
      <c r="BK919">
        <v>0</v>
      </c>
      <c r="BL919">
        <v>0</v>
      </c>
      <c r="BO919">
        <v>0</v>
      </c>
      <c r="BP919">
        <v>0</v>
      </c>
      <c r="BW919" t="str">
        <f t="shared" si="527"/>
        <v>14:51:26.559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293</v>
      </c>
      <c r="CR919">
        <v>1</v>
      </c>
      <c r="CW919">
        <v>15279002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25">
      <c r="A920" t="str">
        <f t="shared" ref="A920:A927" si="528">"06/05/2020 14:51:21.935"</f>
        <v>06/05/2020 14:51:21.935</v>
      </c>
      <c r="C920" t="str">
        <f t="shared" si="503"/>
        <v>FFDFD3C0</v>
      </c>
      <c r="D920" t="s">
        <v>148</v>
      </c>
      <c r="E920">
        <v>11</v>
      </c>
      <c r="H920">
        <v>53</v>
      </c>
      <c r="I920" t="s">
        <v>364</v>
      </c>
      <c r="J920" t="s">
        <v>150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ref="S920:S927" si="529">"14:51:27.578"</f>
        <v>14:51:27.578</v>
      </c>
      <c r="T920" t="str">
        <f t="shared" ref="T920:T927" si="530">"14:51:27.178"</f>
        <v>14:51:27.178</v>
      </c>
      <c r="U920" t="str">
        <f t="shared" si="519"/>
        <v>ACC530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1</v>
      </c>
      <c r="AH920">
        <v>0</v>
      </c>
      <c r="AI920" t="s">
        <v>437</v>
      </c>
      <c r="AJ920">
        <v>34.219172</v>
      </c>
      <c r="AK920" t="s">
        <v>438</v>
      </c>
      <c r="AL920">
        <v>-116.93562300000001</v>
      </c>
      <c r="AM920">
        <v>100</v>
      </c>
      <c r="AN920">
        <v>9200</v>
      </c>
      <c r="AO920" t="s">
        <v>118</v>
      </c>
      <c r="AP920">
        <v>-91</v>
      </c>
      <c r="AQ920">
        <v>-47</v>
      </c>
      <c r="AR920">
        <v>448</v>
      </c>
      <c r="AZ920">
        <v>1200</v>
      </c>
      <c r="BA920">
        <v>1</v>
      </c>
      <c r="BB920" t="str">
        <f t="shared" si="520"/>
        <v xml:space="preserve">N9217B  </v>
      </c>
      <c r="BC920">
        <v>1</v>
      </c>
      <c r="BE920">
        <v>0</v>
      </c>
      <c r="BF920">
        <v>0</v>
      </c>
      <c r="BG920">
        <v>0</v>
      </c>
      <c r="BH920">
        <v>9300</v>
      </c>
      <c r="BI920">
        <v>1</v>
      </c>
      <c r="BJ920">
        <v>0</v>
      </c>
      <c r="BK920">
        <v>0</v>
      </c>
      <c r="BL920">
        <v>0</v>
      </c>
      <c r="BO920">
        <v>0</v>
      </c>
      <c r="BP920">
        <v>0</v>
      </c>
      <c r="BW920" t="str">
        <f t="shared" ref="BW920:BW927" si="531">"14:51:27.579"</f>
        <v>14:51:27.579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293</v>
      </c>
      <c r="CR920">
        <v>1</v>
      </c>
      <c r="CW920">
        <v>15279114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25">
      <c r="A921" t="str">
        <f t="shared" si="528"/>
        <v>06/05/2020 14:51:21.935</v>
      </c>
      <c r="C921" t="str">
        <f t="shared" si="503"/>
        <v>FFDFD3C0</v>
      </c>
      <c r="D921" t="s">
        <v>143</v>
      </c>
      <c r="E921">
        <v>10</v>
      </c>
      <c r="F921">
        <v>3010</v>
      </c>
      <c r="G921" t="s">
        <v>144</v>
      </c>
      <c r="J921" t="s">
        <v>145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529"/>
        <v>14:51:27.578</v>
      </c>
      <c r="T921" t="str">
        <f t="shared" si="530"/>
        <v>14:51:27.178</v>
      </c>
      <c r="U921" t="str">
        <f t="shared" si="519"/>
        <v>ACC530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9</v>
      </c>
      <c r="AE921">
        <v>0</v>
      </c>
      <c r="AF921">
        <v>3</v>
      </c>
      <c r="AG921">
        <v>1</v>
      </c>
      <c r="AH921">
        <v>0</v>
      </c>
      <c r="AI921" t="s">
        <v>437</v>
      </c>
      <c r="AJ921">
        <v>34.219172</v>
      </c>
      <c r="AK921" t="s">
        <v>438</v>
      </c>
      <c r="AL921">
        <v>-116.93562300000001</v>
      </c>
      <c r="AM921">
        <v>100</v>
      </c>
      <c r="AN921">
        <v>9200</v>
      </c>
      <c r="AO921" t="s">
        <v>118</v>
      </c>
      <c r="AP921">
        <v>-91</v>
      </c>
      <c r="AQ921">
        <v>-47</v>
      </c>
      <c r="AR921">
        <v>448</v>
      </c>
      <c r="AZ921">
        <v>1200</v>
      </c>
      <c r="BA921">
        <v>1</v>
      </c>
      <c r="BB921" t="str">
        <f t="shared" si="520"/>
        <v xml:space="preserve">N9217B  </v>
      </c>
      <c r="BC921">
        <v>1</v>
      </c>
      <c r="BE921">
        <v>0</v>
      </c>
      <c r="BF921">
        <v>0</v>
      </c>
      <c r="BG921">
        <v>0</v>
      </c>
      <c r="BH921">
        <v>9300</v>
      </c>
      <c r="BI921">
        <v>1</v>
      </c>
      <c r="BJ921">
        <v>0</v>
      </c>
      <c r="BK921">
        <v>0</v>
      </c>
      <c r="BL921">
        <v>0</v>
      </c>
      <c r="BO921">
        <v>0</v>
      </c>
      <c r="BP921">
        <v>0</v>
      </c>
      <c r="BW921" t="str">
        <f t="shared" si="531"/>
        <v>14:51:27.579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293</v>
      </c>
      <c r="CR921">
        <v>1</v>
      </c>
      <c r="CW921">
        <v>15279114</v>
      </c>
      <c r="CY921">
        <v>0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25">
      <c r="A922" t="str">
        <f t="shared" si="528"/>
        <v>06/05/2020 14:51:21.935</v>
      </c>
      <c r="C922" t="str">
        <f t="shared" si="503"/>
        <v>FFDFD3C0</v>
      </c>
      <c r="D922" t="s">
        <v>141</v>
      </c>
      <c r="E922">
        <v>20</v>
      </c>
      <c r="F922">
        <v>1020</v>
      </c>
      <c r="G922" t="s">
        <v>114</v>
      </c>
      <c r="J922" t="s">
        <v>142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529"/>
        <v>14:51:27.578</v>
      </c>
      <c r="T922" t="str">
        <f t="shared" si="530"/>
        <v>14:51:27.178</v>
      </c>
      <c r="U922" t="str">
        <f t="shared" si="519"/>
        <v>ACC530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1</v>
      </c>
      <c r="AH922">
        <v>0</v>
      </c>
      <c r="AI922" t="s">
        <v>437</v>
      </c>
      <c r="AJ922">
        <v>34.219172</v>
      </c>
      <c r="AK922" t="s">
        <v>438</v>
      </c>
      <c r="AL922">
        <v>-116.93562300000001</v>
      </c>
      <c r="AM922">
        <v>100</v>
      </c>
      <c r="AN922">
        <v>9200</v>
      </c>
      <c r="AO922" t="s">
        <v>118</v>
      </c>
      <c r="AP922">
        <v>-91</v>
      </c>
      <c r="AQ922">
        <v>-47</v>
      </c>
      <c r="AR922">
        <v>448</v>
      </c>
      <c r="AZ922">
        <v>1200</v>
      </c>
      <c r="BA922">
        <v>1</v>
      </c>
      <c r="BB922" t="str">
        <f t="shared" si="520"/>
        <v xml:space="preserve">N9217B  </v>
      </c>
      <c r="BC922">
        <v>1</v>
      </c>
      <c r="BE922">
        <v>0</v>
      </c>
      <c r="BF922">
        <v>0</v>
      </c>
      <c r="BG922">
        <v>0</v>
      </c>
      <c r="BH922">
        <v>9300</v>
      </c>
      <c r="BI922">
        <v>1</v>
      </c>
      <c r="BJ922">
        <v>0</v>
      </c>
      <c r="BK922">
        <v>0</v>
      </c>
      <c r="BL922">
        <v>0</v>
      </c>
      <c r="BO922">
        <v>0</v>
      </c>
      <c r="BP922">
        <v>0</v>
      </c>
      <c r="BW922" t="str">
        <f t="shared" si="531"/>
        <v>14:51:27.579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293</v>
      </c>
      <c r="CR922">
        <v>1</v>
      </c>
      <c r="CW922">
        <v>15279114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25">
      <c r="A923" t="str">
        <f t="shared" si="528"/>
        <v>06/05/2020 14:51:21.935</v>
      </c>
      <c r="C923" t="str">
        <f t="shared" si="503"/>
        <v>FFDFD3C0</v>
      </c>
      <c r="D923" t="s">
        <v>113</v>
      </c>
      <c r="E923">
        <v>3</v>
      </c>
      <c r="H923">
        <v>166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529"/>
        <v>14:51:27.578</v>
      </c>
      <c r="T923" t="str">
        <f t="shared" si="530"/>
        <v>14:51:27.178</v>
      </c>
      <c r="U923" t="str">
        <f t="shared" si="519"/>
        <v>ACC530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1</v>
      </c>
      <c r="AH923">
        <v>0</v>
      </c>
      <c r="AI923" t="s">
        <v>437</v>
      </c>
      <c r="AJ923">
        <v>34.219172</v>
      </c>
      <c r="AK923" t="s">
        <v>438</v>
      </c>
      <c r="AL923">
        <v>-116.93562300000001</v>
      </c>
      <c r="AM923">
        <v>100</v>
      </c>
      <c r="AN923">
        <v>9200</v>
      </c>
      <c r="AO923" t="s">
        <v>118</v>
      </c>
      <c r="AP923">
        <v>-91</v>
      </c>
      <c r="AQ923">
        <v>-47</v>
      </c>
      <c r="AR923">
        <v>448</v>
      </c>
      <c r="AZ923">
        <v>1200</v>
      </c>
      <c r="BA923">
        <v>1</v>
      </c>
      <c r="BB923" t="str">
        <f t="shared" si="520"/>
        <v xml:space="preserve">N9217B  </v>
      </c>
      <c r="BC923">
        <v>1</v>
      </c>
      <c r="BE923">
        <v>0</v>
      </c>
      <c r="BF923">
        <v>0</v>
      </c>
      <c r="BG923">
        <v>0</v>
      </c>
      <c r="BH923">
        <v>9300</v>
      </c>
      <c r="BI923">
        <v>1</v>
      </c>
      <c r="BJ923">
        <v>0</v>
      </c>
      <c r="BK923">
        <v>0</v>
      </c>
      <c r="BL923">
        <v>0</v>
      </c>
      <c r="BO923">
        <v>0</v>
      </c>
      <c r="BP923">
        <v>0</v>
      </c>
      <c r="BW923" t="str">
        <f t="shared" si="531"/>
        <v>14:51:27.579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293</v>
      </c>
      <c r="CR923">
        <v>1</v>
      </c>
      <c r="CW923">
        <v>15279114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25">
      <c r="A924" t="str">
        <f t="shared" si="528"/>
        <v>06/05/2020 14:51:21.935</v>
      </c>
      <c r="C924" t="str">
        <f t="shared" si="503"/>
        <v>FFDFD3C0</v>
      </c>
      <c r="D924" t="s">
        <v>151</v>
      </c>
      <c r="E924">
        <v>8</v>
      </c>
      <c r="H924">
        <v>225</v>
      </c>
      <c r="I924" t="s">
        <v>353</v>
      </c>
      <c r="J924" t="s">
        <v>150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529"/>
        <v>14:51:27.578</v>
      </c>
      <c r="T924" t="str">
        <f t="shared" si="530"/>
        <v>14:51:27.178</v>
      </c>
      <c r="U924" t="str">
        <f t="shared" si="519"/>
        <v>ACC530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1</v>
      </c>
      <c r="AH924">
        <v>0</v>
      </c>
      <c r="AI924" t="s">
        <v>437</v>
      </c>
      <c r="AJ924">
        <v>34.219172</v>
      </c>
      <c r="AK924" t="s">
        <v>438</v>
      </c>
      <c r="AL924">
        <v>-116.93562300000001</v>
      </c>
      <c r="AM924">
        <v>100</v>
      </c>
      <c r="AN924">
        <v>9200</v>
      </c>
      <c r="AO924" t="s">
        <v>118</v>
      </c>
      <c r="AP924">
        <v>-91</v>
      </c>
      <c r="AQ924">
        <v>-47</v>
      </c>
      <c r="AR924">
        <v>448</v>
      </c>
      <c r="AZ924">
        <v>1200</v>
      </c>
      <c r="BA924">
        <v>1</v>
      </c>
      <c r="BB924" t="str">
        <f t="shared" si="520"/>
        <v xml:space="preserve">N9217B  </v>
      </c>
      <c r="BC924">
        <v>1</v>
      </c>
      <c r="BE924">
        <v>0</v>
      </c>
      <c r="BF924">
        <v>0</v>
      </c>
      <c r="BG924">
        <v>0</v>
      </c>
      <c r="BH924">
        <v>9300</v>
      </c>
      <c r="BI924">
        <v>1</v>
      </c>
      <c r="BJ924">
        <v>0</v>
      </c>
      <c r="BK924">
        <v>0</v>
      </c>
      <c r="BL924">
        <v>0</v>
      </c>
      <c r="BO924">
        <v>0</v>
      </c>
      <c r="BP924">
        <v>0</v>
      </c>
      <c r="BW924" t="str">
        <f t="shared" si="531"/>
        <v>14:51:27.579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6</v>
      </c>
      <c r="CP924" t="s">
        <v>119</v>
      </c>
      <c r="CQ924">
        <v>285</v>
      </c>
      <c r="CR924">
        <v>0</v>
      </c>
      <c r="CW924">
        <v>8846962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25">
      <c r="A925" t="str">
        <f t="shared" si="528"/>
        <v>06/05/2020 14:51:21.935</v>
      </c>
      <c r="C925" t="str">
        <f t="shared" si="503"/>
        <v>FFDFD3C0</v>
      </c>
      <c r="D925" t="s">
        <v>148</v>
      </c>
      <c r="E925">
        <v>8</v>
      </c>
      <c r="H925">
        <v>50</v>
      </c>
      <c r="I925" t="s">
        <v>149</v>
      </c>
      <c r="J925" t="s">
        <v>150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529"/>
        <v>14:51:27.578</v>
      </c>
      <c r="T925" t="str">
        <f t="shared" si="530"/>
        <v>14:51:27.178</v>
      </c>
      <c r="U925" t="str">
        <f t="shared" si="519"/>
        <v>ACC530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1</v>
      </c>
      <c r="AH925">
        <v>0</v>
      </c>
      <c r="AI925" t="s">
        <v>437</v>
      </c>
      <c r="AJ925">
        <v>34.219172</v>
      </c>
      <c r="AK925" t="s">
        <v>438</v>
      </c>
      <c r="AL925">
        <v>-116.93562300000001</v>
      </c>
      <c r="AM925">
        <v>100</v>
      </c>
      <c r="AN925">
        <v>9200</v>
      </c>
      <c r="AO925" t="s">
        <v>118</v>
      </c>
      <c r="AP925">
        <v>-91</v>
      </c>
      <c r="AQ925">
        <v>-47</v>
      </c>
      <c r="AR925">
        <v>448</v>
      </c>
      <c r="AZ925">
        <v>1200</v>
      </c>
      <c r="BA925">
        <v>1</v>
      </c>
      <c r="BB925" t="str">
        <f t="shared" si="520"/>
        <v xml:space="preserve">N9217B  </v>
      </c>
      <c r="BC925">
        <v>1</v>
      </c>
      <c r="BE925">
        <v>0</v>
      </c>
      <c r="BF925">
        <v>0</v>
      </c>
      <c r="BG925">
        <v>0</v>
      </c>
      <c r="BH925">
        <v>9300</v>
      </c>
      <c r="BI925">
        <v>1</v>
      </c>
      <c r="BJ925">
        <v>0</v>
      </c>
      <c r="BK925">
        <v>0</v>
      </c>
      <c r="BL925">
        <v>0</v>
      </c>
      <c r="BO925">
        <v>0</v>
      </c>
      <c r="BP925">
        <v>0</v>
      </c>
      <c r="BW925" t="str">
        <f t="shared" si="531"/>
        <v>14:51:27.579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293</v>
      </c>
      <c r="CR925">
        <v>1</v>
      </c>
      <c r="CW925">
        <v>15279114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25">
      <c r="A926" t="str">
        <f t="shared" si="528"/>
        <v>06/05/2020 14:51:21.935</v>
      </c>
      <c r="C926" t="str">
        <f t="shared" si="503"/>
        <v>FFDFD3C0</v>
      </c>
      <c r="D926" t="s">
        <v>151</v>
      </c>
      <c r="E926">
        <v>9</v>
      </c>
      <c r="H926">
        <v>226</v>
      </c>
      <c r="I926" t="s">
        <v>152</v>
      </c>
      <c r="J926" t="s">
        <v>150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529"/>
        <v>14:51:27.578</v>
      </c>
      <c r="T926" t="str">
        <f t="shared" si="530"/>
        <v>14:51:27.178</v>
      </c>
      <c r="U926" t="str">
        <f t="shared" si="519"/>
        <v>ACC530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1</v>
      </c>
      <c r="AH926">
        <v>0</v>
      </c>
      <c r="AI926" t="s">
        <v>437</v>
      </c>
      <c r="AJ926">
        <v>34.219172</v>
      </c>
      <c r="AK926" t="s">
        <v>438</v>
      </c>
      <c r="AL926">
        <v>-116.93562300000001</v>
      </c>
      <c r="AM926">
        <v>100</v>
      </c>
      <c r="AN926">
        <v>9200</v>
      </c>
      <c r="AO926" t="s">
        <v>118</v>
      </c>
      <c r="AP926">
        <v>-91</v>
      </c>
      <c r="AQ926">
        <v>-47</v>
      </c>
      <c r="AR926">
        <v>448</v>
      </c>
      <c r="AZ926">
        <v>1200</v>
      </c>
      <c r="BA926">
        <v>1</v>
      </c>
      <c r="BB926" t="str">
        <f t="shared" si="520"/>
        <v xml:space="preserve">N9217B  </v>
      </c>
      <c r="BC926">
        <v>1</v>
      </c>
      <c r="BE926">
        <v>0</v>
      </c>
      <c r="BF926">
        <v>0</v>
      </c>
      <c r="BG926">
        <v>0</v>
      </c>
      <c r="BH926">
        <v>9300</v>
      </c>
      <c r="BI926">
        <v>1</v>
      </c>
      <c r="BJ926">
        <v>0</v>
      </c>
      <c r="BK926">
        <v>0</v>
      </c>
      <c r="BL926">
        <v>0</v>
      </c>
      <c r="BO926">
        <v>0</v>
      </c>
      <c r="BP926">
        <v>0</v>
      </c>
      <c r="BW926" t="str">
        <f t="shared" si="531"/>
        <v>14:51:27.579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293</v>
      </c>
      <c r="CR926">
        <v>1</v>
      </c>
      <c r="CW926">
        <v>15279114</v>
      </c>
      <c r="CY926">
        <v>0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25">
      <c r="A927" t="str">
        <f t="shared" si="528"/>
        <v>06/05/2020 14:51:21.935</v>
      </c>
      <c r="C927" t="str">
        <f t="shared" si="503"/>
        <v>FFDFD3C0</v>
      </c>
      <c r="D927" t="s">
        <v>134</v>
      </c>
      <c r="E927">
        <v>7</v>
      </c>
      <c r="F927">
        <v>2007</v>
      </c>
      <c r="G927" t="s">
        <v>135</v>
      </c>
      <c r="J927" t="s">
        <v>136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529"/>
        <v>14:51:27.578</v>
      </c>
      <c r="T927" t="str">
        <f t="shared" si="530"/>
        <v>14:51:27.178</v>
      </c>
      <c r="U927" t="str">
        <f t="shared" si="519"/>
        <v>ACC530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1</v>
      </c>
      <c r="AH927">
        <v>0</v>
      </c>
      <c r="AI927" t="s">
        <v>437</v>
      </c>
      <c r="AJ927">
        <v>34.219172</v>
      </c>
      <c r="AK927" t="s">
        <v>438</v>
      </c>
      <c r="AL927">
        <v>-116.93562300000001</v>
      </c>
      <c r="AM927">
        <v>100</v>
      </c>
      <c r="AN927">
        <v>9200</v>
      </c>
      <c r="AO927" t="s">
        <v>118</v>
      </c>
      <c r="AP927">
        <v>-91</v>
      </c>
      <c r="AQ927">
        <v>-47</v>
      </c>
      <c r="AR927">
        <v>448</v>
      </c>
      <c r="AZ927">
        <v>1200</v>
      </c>
      <c r="BA927">
        <v>1</v>
      </c>
      <c r="BB927" t="str">
        <f t="shared" si="520"/>
        <v xml:space="preserve">N9217B  </v>
      </c>
      <c r="BC927">
        <v>1</v>
      </c>
      <c r="BE927">
        <v>0</v>
      </c>
      <c r="BF927">
        <v>0</v>
      </c>
      <c r="BG927">
        <v>0</v>
      </c>
      <c r="BH927">
        <v>9300</v>
      </c>
      <c r="BI927">
        <v>1</v>
      </c>
      <c r="BJ927">
        <v>0</v>
      </c>
      <c r="BK927">
        <v>0</v>
      </c>
      <c r="BL927">
        <v>0</v>
      </c>
      <c r="BO927">
        <v>0</v>
      </c>
      <c r="BP927">
        <v>0</v>
      </c>
      <c r="BW927" t="str">
        <f t="shared" si="531"/>
        <v>14:51:27.579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293</v>
      </c>
      <c r="CR927">
        <v>1</v>
      </c>
      <c r="CW927">
        <v>15279114</v>
      </c>
      <c r="CY927">
        <v>0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25">
      <c r="A928" t="str">
        <f t="shared" ref="A928:A935" si="532">"06/05/2020 14:51:22.960"</f>
        <v>06/05/2020 14:51:22.960</v>
      </c>
      <c r="C928" t="str">
        <f t="shared" si="503"/>
        <v>FFDFD3C0</v>
      </c>
      <c r="D928" t="s">
        <v>113</v>
      </c>
      <c r="E928">
        <v>3</v>
      </c>
      <c r="H928">
        <v>166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ref="S928:T935" si="533">"14:51:28.609"</f>
        <v>14:51:28.609</v>
      </c>
      <c r="T928" t="str">
        <f t="shared" si="533"/>
        <v>14:51:28.609</v>
      </c>
      <c r="U928" t="str">
        <f t="shared" si="519"/>
        <v>ACC530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1</v>
      </c>
      <c r="AH928">
        <v>0</v>
      </c>
      <c r="AI928" t="s">
        <v>439</v>
      </c>
      <c r="AJ928">
        <v>34.218957000000003</v>
      </c>
      <c r="AK928" t="s">
        <v>440</v>
      </c>
      <c r="AL928">
        <v>-116.936138</v>
      </c>
      <c r="AM928">
        <v>100</v>
      </c>
      <c r="AN928">
        <v>9200</v>
      </c>
      <c r="AO928" t="s">
        <v>118</v>
      </c>
      <c r="AP928">
        <v>-90</v>
      </c>
      <c r="AQ928">
        <v>-48</v>
      </c>
      <c r="AR928">
        <v>448</v>
      </c>
      <c r="AZ928">
        <v>1200</v>
      </c>
      <c r="BA928">
        <v>1</v>
      </c>
      <c r="BB928" t="str">
        <f t="shared" si="520"/>
        <v xml:space="preserve">N9217B  </v>
      </c>
      <c r="BC928">
        <v>1</v>
      </c>
      <c r="BE928">
        <v>0</v>
      </c>
      <c r="BF928">
        <v>0</v>
      </c>
      <c r="BG928">
        <v>0</v>
      </c>
      <c r="BH928">
        <v>9300</v>
      </c>
      <c r="BI928">
        <v>1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 t="shared" ref="BW928:BW935" si="534">"14:51:28.613"</f>
        <v>14:51:28.613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293</v>
      </c>
      <c r="CR928">
        <v>1</v>
      </c>
      <c r="CW928">
        <v>15279237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25">
      <c r="A929" t="str">
        <f t="shared" si="532"/>
        <v>06/05/2020 14:51:22.960</v>
      </c>
      <c r="C929" t="str">
        <f t="shared" si="503"/>
        <v>FFDFD3C0</v>
      </c>
      <c r="D929" t="s">
        <v>151</v>
      </c>
      <c r="E929">
        <v>8</v>
      </c>
      <c r="H929">
        <v>225</v>
      </c>
      <c r="I929" t="s">
        <v>353</v>
      </c>
      <c r="J929" t="s">
        <v>150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533"/>
        <v>14:51:28.609</v>
      </c>
      <c r="T929" t="str">
        <f t="shared" si="533"/>
        <v>14:51:28.609</v>
      </c>
      <c r="U929" t="str">
        <f t="shared" si="519"/>
        <v>ACC530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1</v>
      </c>
      <c r="AH929">
        <v>0</v>
      </c>
      <c r="AI929" t="s">
        <v>439</v>
      </c>
      <c r="AJ929">
        <v>34.218957000000003</v>
      </c>
      <c r="AK929" t="s">
        <v>440</v>
      </c>
      <c r="AL929">
        <v>-116.936138</v>
      </c>
      <c r="AM929">
        <v>100</v>
      </c>
      <c r="AN929">
        <v>9200</v>
      </c>
      <c r="AO929" t="s">
        <v>118</v>
      </c>
      <c r="AP929">
        <v>-90</v>
      </c>
      <c r="AQ929">
        <v>-48</v>
      </c>
      <c r="AR929">
        <v>448</v>
      </c>
      <c r="AZ929">
        <v>1200</v>
      </c>
      <c r="BA929">
        <v>1</v>
      </c>
      <c r="BB929" t="str">
        <f t="shared" si="520"/>
        <v xml:space="preserve">N9217B  </v>
      </c>
      <c r="BC929">
        <v>1</v>
      </c>
      <c r="BE929">
        <v>0</v>
      </c>
      <c r="BF929">
        <v>0</v>
      </c>
      <c r="BG929">
        <v>0</v>
      </c>
      <c r="BH929">
        <v>9300</v>
      </c>
      <c r="BI929">
        <v>1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 t="shared" si="534"/>
        <v>14:51:28.613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6</v>
      </c>
      <c r="CP929" t="s">
        <v>119</v>
      </c>
      <c r="CQ929">
        <v>285</v>
      </c>
      <c r="CR929">
        <v>0</v>
      </c>
      <c r="CW929">
        <v>8847051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25">
      <c r="A930" t="str">
        <f t="shared" si="532"/>
        <v>06/05/2020 14:51:22.960</v>
      </c>
      <c r="C930" t="str">
        <f t="shared" si="503"/>
        <v>FFDFD3C0</v>
      </c>
      <c r="D930" t="s">
        <v>151</v>
      </c>
      <c r="E930">
        <v>9</v>
      </c>
      <c r="H930">
        <v>226</v>
      </c>
      <c r="I930" t="s">
        <v>152</v>
      </c>
      <c r="J930" t="s">
        <v>150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533"/>
        <v>14:51:28.609</v>
      </c>
      <c r="T930" t="str">
        <f t="shared" si="533"/>
        <v>14:51:28.609</v>
      </c>
      <c r="U930" t="str">
        <f t="shared" si="519"/>
        <v>ACC530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1</v>
      </c>
      <c r="AH930">
        <v>0</v>
      </c>
      <c r="AI930" t="s">
        <v>439</v>
      </c>
      <c r="AJ930">
        <v>34.218957000000003</v>
      </c>
      <c r="AK930" t="s">
        <v>440</v>
      </c>
      <c r="AL930">
        <v>-116.936138</v>
      </c>
      <c r="AM930">
        <v>100</v>
      </c>
      <c r="AN930">
        <v>9200</v>
      </c>
      <c r="AO930" t="s">
        <v>118</v>
      </c>
      <c r="AP930">
        <v>-90</v>
      </c>
      <c r="AQ930">
        <v>-48</v>
      </c>
      <c r="AR930">
        <v>448</v>
      </c>
      <c r="AZ930">
        <v>1200</v>
      </c>
      <c r="BA930">
        <v>1</v>
      </c>
      <c r="BB930" t="str">
        <f t="shared" si="520"/>
        <v xml:space="preserve">N9217B  </v>
      </c>
      <c r="BC930">
        <v>1</v>
      </c>
      <c r="BE930">
        <v>0</v>
      </c>
      <c r="BF930">
        <v>0</v>
      </c>
      <c r="BG930">
        <v>0</v>
      </c>
      <c r="BH930">
        <v>9300</v>
      </c>
      <c r="BI930">
        <v>1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 t="shared" si="534"/>
        <v>14:51:28.613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293</v>
      </c>
      <c r="CR930">
        <v>1</v>
      </c>
      <c r="CW930">
        <v>15279237</v>
      </c>
      <c r="CY930">
        <v>0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25">
      <c r="A931" t="str">
        <f t="shared" si="532"/>
        <v>06/05/2020 14:51:22.960</v>
      </c>
      <c r="C931" t="str">
        <f t="shared" ref="C931:C994" si="535">"FFDFD3C0"</f>
        <v>FFDFD3C0</v>
      </c>
      <c r="D931" t="s">
        <v>148</v>
      </c>
      <c r="E931">
        <v>8</v>
      </c>
      <c r="H931">
        <v>50</v>
      </c>
      <c r="I931" t="s">
        <v>149</v>
      </c>
      <c r="J931" t="s">
        <v>150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533"/>
        <v>14:51:28.609</v>
      </c>
      <c r="T931" t="str">
        <f t="shared" si="533"/>
        <v>14:51:28.609</v>
      </c>
      <c r="U931" t="str">
        <f t="shared" si="519"/>
        <v>ACC530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1</v>
      </c>
      <c r="AH931">
        <v>0</v>
      </c>
      <c r="AI931" t="s">
        <v>439</v>
      </c>
      <c r="AJ931">
        <v>34.218957000000003</v>
      </c>
      <c r="AK931" t="s">
        <v>440</v>
      </c>
      <c r="AL931">
        <v>-116.936138</v>
      </c>
      <c r="AM931">
        <v>100</v>
      </c>
      <c r="AN931">
        <v>9200</v>
      </c>
      <c r="AO931" t="s">
        <v>118</v>
      </c>
      <c r="AP931">
        <v>-90</v>
      </c>
      <c r="AQ931">
        <v>-48</v>
      </c>
      <c r="AR931">
        <v>448</v>
      </c>
      <c r="AZ931">
        <v>1200</v>
      </c>
      <c r="BA931">
        <v>1</v>
      </c>
      <c r="BB931" t="str">
        <f t="shared" si="520"/>
        <v xml:space="preserve">N9217B  </v>
      </c>
      <c r="BC931">
        <v>1</v>
      </c>
      <c r="BE931">
        <v>0</v>
      </c>
      <c r="BF931">
        <v>0</v>
      </c>
      <c r="BG931">
        <v>0</v>
      </c>
      <c r="BH931">
        <v>9300</v>
      </c>
      <c r="BI931">
        <v>1</v>
      </c>
      <c r="BJ931">
        <v>0</v>
      </c>
      <c r="BK931">
        <v>0</v>
      </c>
      <c r="BL931">
        <v>0</v>
      </c>
      <c r="BO931">
        <v>0</v>
      </c>
      <c r="BP931">
        <v>0</v>
      </c>
      <c r="BW931" t="str">
        <f t="shared" si="534"/>
        <v>14:51:28.613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293</v>
      </c>
      <c r="CR931">
        <v>1</v>
      </c>
      <c r="CW931">
        <v>15279237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25">
      <c r="A932" t="str">
        <f t="shared" si="532"/>
        <v>06/05/2020 14:51:22.960</v>
      </c>
      <c r="C932" t="str">
        <f t="shared" si="535"/>
        <v>FFDFD3C0</v>
      </c>
      <c r="D932" t="s">
        <v>134</v>
      </c>
      <c r="E932">
        <v>7</v>
      </c>
      <c r="F932">
        <v>2007</v>
      </c>
      <c r="G932" t="s">
        <v>135</v>
      </c>
      <c r="J932" t="s">
        <v>136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533"/>
        <v>14:51:28.609</v>
      </c>
      <c r="T932" t="str">
        <f t="shared" si="533"/>
        <v>14:51:28.609</v>
      </c>
      <c r="U932" t="str">
        <f t="shared" si="519"/>
        <v>ACC530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1</v>
      </c>
      <c r="AH932">
        <v>0</v>
      </c>
      <c r="AI932" t="s">
        <v>439</v>
      </c>
      <c r="AJ932">
        <v>34.218957000000003</v>
      </c>
      <c r="AK932" t="s">
        <v>440</v>
      </c>
      <c r="AL932">
        <v>-116.936138</v>
      </c>
      <c r="AM932">
        <v>100</v>
      </c>
      <c r="AN932">
        <v>9200</v>
      </c>
      <c r="AO932" t="s">
        <v>118</v>
      </c>
      <c r="AP932">
        <v>-90</v>
      </c>
      <c r="AQ932">
        <v>-48</v>
      </c>
      <c r="AR932">
        <v>448</v>
      </c>
      <c r="AZ932">
        <v>1200</v>
      </c>
      <c r="BA932">
        <v>1</v>
      </c>
      <c r="BB932" t="str">
        <f t="shared" si="520"/>
        <v xml:space="preserve">N9217B  </v>
      </c>
      <c r="BC932">
        <v>1</v>
      </c>
      <c r="BE932">
        <v>0</v>
      </c>
      <c r="BF932">
        <v>0</v>
      </c>
      <c r="BG932">
        <v>0</v>
      </c>
      <c r="BH932">
        <v>9300</v>
      </c>
      <c r="BI932">
        <v>1</v>
      </c>
      <c r="BJ932">
        <v>0</v>
      </c>
      <c r="BK932">
        <v>0</v>
      </c>
      <c r="BL932">
        <v>0</v>
      </c>
      <c r="BO932">
        <v>0</v>
      </c>
      <c r="BP932">
        <v>0</v>
      </c>
      <c r="BW932" t="str">
        <f t="shared" si="534"/>
        <v>14:51:28.613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293</v>
      </c>
      <c r="CR932">
        <v>1</v>
      </c>
      <c r="CW932">
        <v>15279237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25">
      <c r="A933" t="str">
        <f t="shared" si="532"/>
        <v>06/05/2020 14:51:22.960</v>
      </c>
      <c r="C933" t="str">
        <f t="shared" si="535"/>
        <v>FFDFD3C0</v>
      </c>
      <c r="D933" t="s">
        <v>148</v>
      </c>
      <c r="E933">
        <v>11</v>
      </c>
      <c r="H933">
        <v>53</v>
      </c>
      <c r="I933" t="s">
        <v>364</v>
      </c>
      <c r="J933" t="s">
        <v>150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533"/>
        <v>14:51:28.609</v>
      </c>
      <c r="T933" t="str">
        <f t="shared" si="533"/>
        <v>14:51:28.609</v>
      </c>
      <c r="U933" t="str">
        <f t="shared" si="519"/>
        <v>ACC530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1</v>
      </c>
      <c r="AH933">
        <v>0</v>
      </c>
      <c r="AI933" t="s">
        <v>439</v>
      </c>
      <c r="AJ933">
        <v>34.218957000000003</v>
      </c>
      <c r="AK933" t="s">
        <v>440</v>
      </c>
      <c r="AL933">
        <v>-116.936138</v>
      </c>
      <c r="AM933">
        <v>100</v>
      </c>
      <c r="AN933">
        <v>9200</v>
      </c>
      <c r="AO933" t="s">
        <v>118</v>
      </c>
      <c r="AP933">
        <v>-90</v>
      </c>
      <c r="AQ933">
        <v>-48</v>
      </c>
      <c r="AR933">
        <v>448</v>
      </c>
      <c r="AZ933">
        <v>1200</v>
      </c>
      <c r="BA933">
        <v>1</v>
      </c>
      <c r="BB933" t="str">
        <f t="shared" si="520"/>
        <v xml:space="preserve">N9217B  </v>
      </c>
      <c r="BC933">
        <v>1</v>
      </c>
      <c r="BE933">
        <v>0</v>
      </c>
      <c r="BF933">
        <v>0</v>
      </c>
      <c r="BG933">
        <v>0</v>
      </c>
      <c r="BH933">
        <v>9300</v>
      </c>
      <c r="BI933">
        <v>1</v>
      </c>
      <c r="BJ933">
        <v>0</v>
      </c>
      <c r="BK933">
        <v>0</v>
      </c>
      <c r="BL933">
        <v>0</v>
      </c>
      <c r="BO933">
        <v>0</v>
      </c>
      <c r="BP933">
        <v>0</v>
      </c>
      <c r="BW933" t="str">
        <f t="shared" si="534"/>
        <v>14:51:28.613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293</v>
      </c>
      <c r="CR933">
        <v>1</v>
      </c>
      <c r="CW933">
        <v>15279237</v>
      </c>
      <c r="CY933">
        <v>0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25">
      <c r="A934" t="str">
        <f t="shared" si="532"/>
        <v>06/05/2020 14:51:22.960</v>
      </c>
      <c r="C934" t="str">
        <f t="shared" si="535"/>
        <v>FFDFD3C0</v>
      </c>
      <c r="D934" t="s">
        <v>143</v>
      </c>
      <c r="E934">
        <v>10</v>
      </c>
      <c r="F934">
        <v>3010</v>
      </c>
      <c r="G934" t="s">
        <v>144</v>
      </c>
      <c r="J934" t="s">
        <v>145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533"/>
        <v>14:51:28.609</v>
      </c>
      <c r="T934" t="str">
        <f t="shared" si="533"/>
        <v>14:51:28.609</v>
      </c>
      <c r="U934" t="str">
        <f t="shared" si="519"/>
        <v>ACC530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1</v>
      </c>
      <c r="AH934">
        <v>0</v>
      </c>
      <c r="AI934" t="s">
        <v>439</v>
      </c>
      <c r="AJ934">
        <v>34.218957000000003</v>
      </c>
      <c r="AK934" t="s">
        <v>440</v>
      </c>
      <c r="AL934">
        <v>-116.936138</v>
      </c>
      <c r="AM934">
        <v>100</v>
      </c>
      <c r="AN934">
        <v>9200</v>
      </c>
      <c r="AO934" t="s">
        <v>118</v>
      </c>
      <c r="AP934">
        <v>-90</v>
      </c>
      <c r="AQ934">
        <v>-48</v>
      </c>
      <c r="AR934">
        <v>448</v>
      </c>
      <c r="AZ934">
        <v>1200</v>
      </c>
      <c r="BA934">
        <v>1</v>
      </c>
      <c r="BB934" t="str">
        <f t="shared" si="520"/>
        <v xml:space="preserve">N9217B  </v>
      </c>
      <c r="BC934">
        <v>1</v>
      </c>
      <c r="BE934">
        <v>0</v>
      </c>
      <c r="BF934">
        <v>0</v>
      </c>
      <c r="BG934">
        <v>0</v>
      </c>
      <c r="BH934">
        <v>9300</v>
      </c>
      <c r="BI934">
        <v>1</v>
      </c>
      <c r="BJ934">
        <v>0</v>
      </c>
      <c r="BK934">
        <v>0</v>
      </c>
      <c r="BL934">
        <v>0</v>
      </c>
      <c r="BO934">
        <v>0</v>
      </c>
      <c r="BP934">
        <v>0</v>
      </c>
      <c r="BW934" t="str">
        <f t="shared" si="534"/>
        <v>14:51:28.613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293</v>
      </c>
      <c r="CR934">
        <v>1</v>
      </c>
      <c r="CW934">
        <v>15279237</v>
      </c>
      <c r="CY934">
        <v>0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25">
      <c r="A935" t="str">
        <f t="shared" si="532"/>
        <v>06/05/2020 14:51:22.960</v>
      </c>
      <c r="C935" t="str">
        <f t="shared" si="535"/>
        <v>FFDFD3C0</v>
      </c>
      <c r="D935" t="s">
        <v>141</v>
      </c>
      <c r="E935">
        <v>20</v>
      </c>
      <c r="F935">
        <v>1020</v>
      </c>
      <c r="G935" t="s">
        <v>114</v>
      </c>
      <c r="J935" t="s">
        <v>142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533"/>
        <v>14:51:28.609</v>
      </c>
      <c r="T935" t="str">
        <f t="shared" si="533"/>
        <v>14:51:28.609</v>
      </c>
      <c r="U935" t="str">
        <f t="shared" si="519"/>
        <v>ACC530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1</v>
      </c>
      <c r="AH935">
        <v>0</v>
      </c>
      <c r="AI935" t="s">
        <v>439</v>
      </c>
      <c r="AJ935">
        <v>34.218957000000003</v>
      </c>
      <c r="AK935" t="s">
        <v>440</v>
      </c>
      <c r="AL935">
        <v>-116.936138</v>
      </c>
      <c r="AM935">
        <v>100</v>
      </c>
      <c r="AN935">
        <v>9200</v>
      </c>
      <c r="AO935" t="s">
        <v>118</v>
      </c>
      <c r="AP935">
        <v>-90</v>
      </c>
      <c r="AQ935">
        <v>-48</v>
      </c>
      <c r="AR935">
        <v>448</v>
      </c>
      <c r="AZ935">
        <v>1200</v>
      </c>
      <c r="BA935">
        <v>1</v>
      </c>
      <c r="BB935" t="str">
        <f t="shared" si="520"/>
        <v xml:space="preserve">N9217B  </v>
      </c>
      <c r="BC935">
        <v>1</v>
      </c>
      <c r="BE935">
        <v>0</v>
      </c>
      <c r="BF935">
        <v>0</v>
      </c>
      <c r="BG935">
        <v>0</v>
      </c>
      <c r="BH935">
        <v>9300</v>
      </c>
      <c r="BI935">
        <v>1</v>
      </c>
      <c r="BJ935">
        <v>0</v>
      </c>
      <c r="BK935">
        <v>0</v>
      </c>
      <c r="BL935">
        <v>0</v>
      </c>
      <c r="BO935">
        <v>0</v>
      </c>
      <c r="BP935">
        <v>0</v>
      </c>
      <c r="BW935" t="str">
        <f t="shared" si="534"/>
        <v>14:51:28.613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293</v>
      </c>
      <c r="CR935">
        <v>1</v>
      </c>
      <c r="CW935">
        <v>15279237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25">
      <c r="A936" t="str">
        <f t="shared" ref="A936:A943" si="536">"06/05/2020 14:51:24.059"</f>
        <v>06/05/2020 14:51:24.059</v>
      </c>
      <c r="C936" t="str">
        <f t="shared" si="535"/>
        <v>FFDFD3C0</v>
      </c>
      <c r="D936" t="s">
        <v>148</v>
      </c>
      <c r="E936">
        <v>11</v>
      </c>
      <c r="H936">
        <v>53</v>
      </c>
      <c r="I936" t="s">
        <v>364</v>
      </c>
      <c r="J936" t="s">
        <v>150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ref="S936:S943" si="537">"14:51:29.703"</f>
        <v>14:51:29.703</v>
      </c>
      <c r="T936" t="str">
        <f>"14:51:29.503"</f>
        <v>14:51:29.503</v>
      </c>
      <c r="U936" t="str">
        <f t="shared" si="519"/>
        <v>ACC530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1</v>
      </c>
      <c r="AH936">
        <v>0</v>
      </c>
      <c r="AI936" t="s">
        <v>441</v>
      </c>
      <c r="AJ936">
        <v>34.218699999999998</v>
      </c>
      <c r="AK936" t="s">
        <v>442</v>
      </c>
      <c r="AL936">
        <v>-116.936674</v>
      </c>
      <c r="AM936">
        <v>100</v>
      </c>
      <c r="AN936">
        <v>9200</v>
      </c>
      <c r="AO936" t="s">
        <v>118</v>
      </c>
      <c r="AP936">
        <v>-90</v>
      </c>
      <c r="AQ936">
        <v>-48</v>
      </c>
      <c r="AR936">
        <v>320</v>
      </c>
      <c r="AZ936">
        <v>1200</v>
      </c>
      <c r="BA936">
        <v>1</v>
      </c>
      <c r="BB936" t="str">
        <f t="shared" si="520"/>
        <v xml:space="preserve">N9217B  </v>
      </c>
      <c r="BC936">
        <v>1</v>
      </c>
      <c r="BE936">
        <v>0</v>
      </c>
      <c r="BF936">
        <v>0</v>
      </c>
      <c r="BG936">
        <v>0</v>
      </c>
      <c r="BH936">
        <v>9300</v>
      </c>
      <c r="BI936">
        <v>1</v>
      </c>
      <c r="BJ936">
        <v>0</v>
      </c>
      <c r="BK936">
        <v>0</v>
      </c>
      <c r="BL936">
        <v>0</v>
      </c>
      <c r="BO936">
        <v>0</v>
      </c>
      <c r="BP936">
        <v>0</v>
      </c>
      <c r="BW936" t="str">
        <f t="shared" ref="BW936:BW943" si="538">"14:51:29.708"</f>
        <v>14:51:29.708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293</v>
      </c>
      <c r="CR936">
        <v>2</v>
      </c>
      <c r="CW936">
        <v>15279353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25">
      <c r="A937" t="str">
        <f t="shared" si="536"/>
        <v>06/05/2020 14:51:24.059</v>
      </c>
      <c r="C937" t="str">
        <f t="shared" si="535"/>
        <v>FFDFD3C0</v>
      </c>
      <c r="D937" t="s">
        <v>113</v>
      </c>
      <c r="E937">
        <v>3</v>
      </c>
      <c r="H937">
        <v>166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537"/>
        <v>14:51:29.703</v>
      </c>
      <c r="T937" t="str">
        <f>"14:51:29.503"</f>
        <v>14:51:29.503</v>
      </c>
      <c r="U937" t="str">
        <f t="shared" si="519"/>
        <v>ACC530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1</v>
      </c>
      <c r="AH937">
        <v>0</v>
      </c>
      <c r="AI937" t="s">
        <v>441</v>
      </c>
      <c r="AJ937">
        <v>34.218699999999998</v>
      </c>
      <c r="AK937" t="s">
        <v>442</v>
      </c>
      <c r="AL937">
        <v>-116.936674</v>
      </c>
      <c r="AM937">
        <v>100</v>
      </c>
      <c r="AN937">
        <v>9200</v>
      </c>
      <c r="AO937" t="s">
        <v>118</v>
      </c>
      <c r="AP937">
        <v>-90</v>
      </c>
      <c r="AQ937">
        <v>-48</v>
      </c>
      <c r="AR937">
        <v>320</v>
      </c>
      <c r="AZ937">
        <v>1200</v>
      </c>
      <c r="BA937">
        <v>1</v>
      </c>
      <c r="BB937" t="str">
        <f t="shared" si="520"/>
        <v xml:space="preserve">N9217B  </v>
      </c>
      <c r="BC937">
        <v>1</v>
      </c>
      <c r="BE937">
        <v>0</v>
      </c>
      <c r="BF937">
        <v>0</v>
      </c>
      <c r="BG937">
        <v>0</v>
      </c>
      <c r="BH937">
        <v>9300</v>
      </c>
      <c r="BI937">
        <v>1</v>
      </c>
      <c r="BJ937">
        <v>0</v>
      </c>
      <c r="BK937">
        <v>0</v>
      </c>
      <c r="BL937">
        <v>0</v>
      </c>
      <c r="BO937">
        <v>0</v>
      </c>
      <c r="BP937">
        <v>0</v>
      </c>
      <c r="BW937" t="str">
        <f t="shared" si="538"/>
        <v>14:51:29.708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293</v>
      </c>
      <c r="CR937">
        <v>2</v>
      </c>
      <c r="CW937">
        <v>15279353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25">
      <c r="A938" t="str">
        <f t="shared" si="536"/>
        <v>06/05/2020 14:51:24.059</v>
      </c>
      <c r="C938" t="str">
        <f t="shared" si="535"/>
        <v>FFDFD3C0</v>
      </c>
      <c r="D938" t="s">
        <v>151</v>
      </c>
      <c r="E938">
        <v>8</v>
      </c>
      <c r="H938">
        <v>225</v>
      </c>
      <c r="I938" t="s">
        <v>353</v>
      </c>
      <c r="J938" t="s">
        <v>150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537"/>
        <v>14:51:29.703</v>
      </c>
      <c r="T938" t="str">
        <f>"14:51:29.103"</f>
        <v>14:51:29.103</v>
      </c>
      <c r="U938" t="str">
        <f t="shared" si="519"/>
        <v>ACC530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1</v>
      </c>
      <c r="AH938">
        <v>0</v>
      </c>
      <c r="AI938" t="s">
        <v>441</v>
      </c>
      <c r="AJ938">
        <v>34.218699999999998</v>
      </c>
      <c r="AK938" t="s">
        <v>442</v>
      </c>
      <c r="AL938">
        <v>-116.936674</v>
      </c>
      <c r="AM938">
        <v>100</v>
      </c>
      <c r="AN938">
        <v>9200</v>
      </c>
      <c r="AO938" t="s">
        <v>118</v>
      </c>
      <c r="AP938">
        <v>-90</v>
      </c>
      <c r="AQ938">
        <v>-48</v>
      </c>
      <c r="AR938">
        <v>384</v>
      </c>
      <c r="AZ938">
        <v>1200</v>
      </c>
      <c r="BA938">
        <v>1</v>
      </c>
      <c r="BB938" t="str">
        <f t="shared" si="520"/>
        <v xml:space="preserve">N9217B  </v>
      </c>
      <c r="BC938">
        <v>1</v>
      </c>
      <c r="BE938">
        <v>0</v>
      </c>
      <c r="BF938">
        <v>0</v>
      </c>
      <c r="BG938">
        <v>0</v>
      </c>
      <c r="BH938">
        <v>9300</v>
      </c>
      <c r="BI938">
        <v>1</v>
      </c>
      <c r="BJ938">
        <v>0</v>
      </c>
      <c r="BK938">
        <v>0</v>
      </c>
      <c r="BL938">
        <v>0</v>
      </c>
      <c r="BO938">
        <v>0</v>
      </c>
      <c r="BP938">
        <v>0</v>
      </c>
      <c r="BW938" t="str">
        <f t="shared" si="538"/>
        <v>14:51:29.708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6</v>
      </c>
      <c r="CP938" t="s">
        <v>119</v>
      </c>
      <c r="CQ938">
        <v>285</v>
      </c>
      <c r="CR938">
        <v>0</v>
      </c>
      <c r="CW938">
        <v>8847148</v>
      </c>
      <c r="CY938">
        <v>0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25">
      <c r="A939" t="str">
        <f t="shared" si="536"/>
        <v>06/05/2020 14:51:24.059</v>
      </c>
      <c r="C939" t="str">
        <f t="shared" si="535"/>
        <v>FFDFD3C0</v>
      </c>
      <c r="D939" t="s">
        <v>148</v>
      </c>
      <c r="E939">
        <v>8</v>
      </c>
      <c r="H939">
        <v>50</v>
      </c>
      <c r="I939" t="s">
        <v>149</v>
      </c>
      <c r="J939" t="s">
        <v>150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537"/>
        <v>14:51:29.703</v>
      </c>
      <c r="T939" t="str">
        <f>"14:51:29.503"</f>
        <v>14:51:29.503</v>
      </c>
      <c r="U939" t="str">
        <f t="shared" si="519"/>
        <v>ACC530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1</v>
      </c>
      <c r="AH939">
        <v>0</v>
      </c>
      <c r="AI939" t="s">
        <v>441</v>
      </c>
      <c r="AJ939">
        <v>34.218699999999998</v>
      </c>
      <c r="AK939" t="s">
        <v>442</v>
      </c>
      <c r="AL939">
        <v>-116.936674</v>
      </c>
      <c r="AM939">
        <v>100</v>
      </c>
      <c r="AN939">
        <v>9200</v>
      </c>
      <c r="AO939" t="s">
        <v>118</v>
      </c>
      <c r="AP939">
        <v>-90</v>
      </c>
      <c r="AQ939">
        <v>-48</v>
      </c>
      <c r="AR939">
        <v>320</v>
      </c>
      <c r="AZ939">
        <v>1200</v>
      </c>
      <c r="BA939">
        <v>1</v>
      </c>
      <c r="BB939" t="str">
        <f t="shared" si="520"/>
        <v xml:space="preserve">N9217B  </v>
      </c>
      <c r="BC939">
        <v>1</v>
      </c>
      <c r="BE939">
        <v>0</v>
      </c>
      <c r="BF939">
        <v>0</v>
      </c>
      <c r="BG939">
        <v>0</v>
      </c>
      <c r="BH939">
        <v>9300</v>
      </c>
      <c r="BI939">
        <v>1</v>
      </c>
      <c r="BJ939">
        <v>0</v>
      </c>
      <c r="BK939">
        <v>0</v>
      </c>
      <c r="BL939">
        <v>0</v>
      </c>
      <c r="BO939">
        <v>0</v>
      </c>
      <c r="BP939">
        <v>0</v>
      </c>
      <c r="BW939" t="str">
        <f t="shared" si="538"/>
        <v>14:51:29.708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293</v>
      </c>
      <c r="CR939">
        <v>2</v>
      </c>
      <c r="CW939">
        <v>15279353</v>
      </c>
      <c r="CY939">
        <v>0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25">
      <c r="A940" t="str">
        <f t="shared" si="536"/>
        <v>06/05/2020 14:51:24.059</v>
      </c>
      <c r="C940" t="str">
        <f t="shared" si="535"/>
        <v>FFDFD3C0</v>
      </c>
      <c r="D940" t="s">
        <v>151</v>
      </c>
      <c r="E940">
        <v>9</v>
      </c>
      <c r="H940">
        <v>226</v>
      </c>
      <c r="I940" t="s">
        <v>152</v>
      </c>
      <c r="J940" t="s">
        <v>150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537"/>
        <v>14:51:29.703</v>
      </c>
      <c r="T940" t="str">
        <f>"14:51:29.503"</f>
        <v>14:51:29.503</v>
      </c>
      <c r="U940" t="str">
        <f t="shared" si="519"/>
        <v>ACC530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1</v>
      </c>
      <c r="AH940">
        <v>0</v>
      </c>
      <c r="AI940" t="s">
        <v>441</v>
      </c>
      <c r="AJ940">
        <v>34.218699999999998</v>
      </c>
      <c r="AK940" t="s">
        <v>442</v>
      </c>
      <c r="AL940">
        <v>-116.936674</v>
      </c>
      <c r="AM940">
        <v>100</v>
      </c>
      <c r="AN940">
        <v>9200</v>
      </c>
      <c r="AO940" t="s">
        <v>118</v>
      </c>
      <c r="AP940">
        <v>-90</v>
      </c>
      <c r="AQ940">
        <v>-48</v>
      </c>
      <c r="AR940">
        <v>320</v>
      </c>
      <c r="AZ940">
        <v>1200</v>
      </c>
      <c r="BA940">
        <v>1</v>
      </c>
      <c r="BB940" t="str">
        <f t="shared" si="520"/>
        <v xml:space="preserve">N9217B  </v>
      </c>
      <c r="BC940">
        <v>1</v>
      </c>
      <c r="BE940">
        <v>0</v>
      </c>
      <c r="BF940">
        <v>0</v>
      </c>
      <c r="BG940">
        <v>0</v>
      </c>
      <c r="BH940">
        <v>9300</v>
      </c>
      <c r="BI940">
        <v>1</v>
      </c>
      <c r="BJ940">
        <v>0</v>
      </c>
      <c r="BK940">
        <v>0</v>
      </c>
      <c r="BL940">
        <v>0</v>
      </c>
      <c r="BO940">
        <v>0</v>
      </c>
      <c r="BP940">
        <v>0</v>
      </c>
      <c r="BW940" t="str">
        <f t="shared" si="538"/>
        <v>14:51:29.708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293</v>
      </c>
      <c r="CR940">
        <v>2</v>
      </c>
      <c r="CW940">
        <v>15279353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25">
      <c r="A941" t="str">
        <f t="shared" si="536"/>
        <v>06/05/2020 14:51:24.059</v>
      </c>
      <c r="C941" t="str">
        <f t="shared" si="535"/>
        <v>FFDFD3C0</v>
      </c>
      <c r="D941" t="s">
        <v>134</v>
      </c>
      <c r="E941">
        <v>7</v>
      </c>
      <c r="F941">
        <v>2007</v>
      </c>
      <c r="G941" t="s">
        <v>135</v>
      </c>
      <c r="J941" t="s">
        <v>136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537"/>
        <v>14:51:29.703</v>
      </c>
      <c r="T941" t="str">
        <f>"14:51:29.503"</f>
        <v>14:51:29.503</v>
      </c>
      <c r="U941" t="str">
        <f t="shared" si="519"/>
        <v>ACC530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1</v>
      </c>
      <c r="AH941">
        <v>0</v>
      </c>
      <c r="AI941" t="s">
        <v>441</v>
      </c>
      <c r="AJ941">
        <v>34.218699999999998</v>
      </c>
      <c r="AK941" t="s">
        <v>442</v>
      </c>
      <c r="AL941">
        <v>-116.936674</v>
      </c>
      <c r="AM941">
        <v>100</v>
      </c>
      <c r="AN941">
        <v>9200</v>
      </c>
      <c r="AO941" t="s">
        <v>118</v>
      </c>
      <c r="AP941">
        <v>-90</v>
      </c>
      <c r="AQ941">
        <v>-48</v>
      </c>
      <c r="AR941">
        <v>320</v>
      </c>
      <c r="AZ941">
        <v>1200</v>
      </c>
      <c r="BA941">
        <v>1</v>
      </c>
      <c r="BB941" t="str">
        <f t="shared" si="520"/>
        <v xml:space="preserve">N9217B  </v>
      </c>
      <c r="BC941">
        <v>1</v>
      </c>
      <c r="BE941">
        <v>0</v>
      </c>
      <c r="BF941">
        <v>0</v>
      </c>
      <c r="BG941">
        <v>0</v>
      </c>
      <c r="BH941">
        <v>9300</v>
      </c>
      <c r="BI941">
        <v>1</v>
      </c>
      <c r="BJ941">
        <v>0</v>
      </c>
      <c r="BK941">
        <v>0</v>
      </c>
      <c r="BL941">
        <v>0</v>
      </c>
      <c r="BO941">
        <v>0</v>
      </c>
      <c r="BP941">
        <v>0</v>
      </c>
      <c r="BW941" t="str">
        <f t="shared" si="538"/>
        <v>14:51:29.708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293</v>
      </c>
      <c r="CR941">
        <v>2</v>
      </c>
      <c r="CW941">
        <v>15279353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25">
      <c r="A942" t="str">
        <f t="shared" si="536"/>
        <v>06/05/2020 14:51:24.059</v>
      </c>
      <c r="C942" t="str">
        <f t="shared" si="535"/>
        <v>FFDFD3C0</v>
      </c>
      <c r="D942" t="s">
        <v>143</v>
      </c>
      <c r="E942">
        <v>10</v>
      </c>
      <c r="F942">
        <v>3010</v>
      </c>
      <c r="G942" t="s">
        <v>144</v>
      </c>
      <c r="J942" t="s">
        <v>145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537"/>
        <v>14:51:29.703</v>
      </c>
      <c r="T942" t="str">
        <f>"14:51:29.503"</f>
        <v>14:51:29.503</v>
      </c>
      <c r="U942" t="str">
        <f t="shared" si="519"/>
        <v>ACC530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1</v>
      </c>
      <c r="AH942">
        <v>0</v>
      </c>
      <c r="AI942" t="s">
        <v>441</v>
      </c>
      <c r="AJ942">
        <v>34.218699999999998</v>
      </c>
      <c r="AK942" t="s">
        <v>442</v>
      </c>
      <c r="AL942">
        <v>-116.936674</v>
      </c>
      <c r="AM942">
        <v>100</v>
      </c>
      <c r="AN942">
        <v>9200</v>
      </c>
      <c r="AO942" t="s">
        <v>118</v>
      </c>
      <c r="AP942">
        <v>-90</v>
      </c>
      <c r="AQ942">
        <v>-48</v>
      </c>
      <c r="AR942">
        <v>320</v>
      </c>
      <c r="AZ942">
        <v>1200</v>
      </c>
      <c r="BA942">
        <v>1</v>
      </c>
      <c r="BB942" t="str">
        <f t="shared" si="520"/>
        <v xml:space="preserve">N9217B  </v>
      </c>
      <c r="BC942">
        <v>1</v>
      </c>
      <c r="BE942">
        <v>0</v>
      </c>
      <c r="BF942">
        <v>0</v>
      </c>
      <c r="BG942">
        <v>0</v>
      </c>
      <c r="BH942">
        <v>9300</v>
      </c>
      <c r="BI942">
        <v>1</v>
      </c>
      <c r="BJ942">
        <v>0</v>
      </c>
      <c r="BK942">
        <v>0</v>
      </c>
      <c r="BL942">
        <v>0</v>
      </c>
      <c r="BO942">
        <v>0</v>
      </c>
      <c r="BP942">
        <v>0</v>
      </c>
      <c r="BW942" t="str">
        <f t="shared" si="538"/>
        <v>14:51:29.708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293</v>
      </c>
      <c r="CR942">
        <v>2</v>
      </c>
      <c r="CW942">
        <v>15279353</v>
      </c>
      <c r="CY942">
        <v>0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25">
      <c r="A943" t="str">
        <f t="shared" si="536"/>
        <v>06/05/2020 14:51:24.059</v>
      </c>
      <c r="C943" t="str">
        <f t="shared" si="535"/>
        <v>FFDFD3C0</v>
      </c>
      <c r="D943" t="s">
        <v>141</v>
      </c>
      <c r="E943">
        <v>20</v>
      </c>
      <c r="F943">
        <v>1020</v>
      </c>
      <c r="G943" t="s">
        <v>114</v>
      </c>
      <c r="J943" t="s">
        <v>142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537"/>
        <v>14:51:29.703</v>
      </c>
      <c r="T943" t="str">
        <f>"14:51:29.503"</f>
        <v>14:51:29.503</v>
      </c>
      <c r="U943" t="str">
        <f t="shared" si="519"/>
        <v>ACC530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1</v>
      </c>
      <c r="AH943">
        <v>0</v>
      </c>
      <c r="AI943" t="s">
        <v>441</v>
      </c>
      <c r="AJ943">
        <v>34.218699999999998</v>
      </c>
      <c r="AK943" t="s">
        <v>442</v>
      </c>
      <c r="AL943">
        <v>-116.936674</v>
      </c>
      <c r="AM943">
        <v>100</v>
      </c>
      <c r="AN943">
        <v>9200</v>
      </c>
      <c r="AO943" t="s">
        <v>118</v>
      </c>
      <c r="AP943">
        <v>-90</v>
      </c>
      <c r="AQ943">
        <v>-48</v>
      </c>
      <c r="AR943">
        <v>320</v>
      </c>
      <c r="AZ943">
        <v>1200</v>
      </c>
      <c r="BA943">
        <v>1</v>
      </c>
      <c r="BB943" t="str">
        <f t="shared" si="520"/>
        <v xml:space="preserve">N9217B  </v>
      </c>
      <c r="BC943">
        <v>1</v>
      </c>
      <c r="BE943">
        <v>0</v>
      </c>
      <c r="BF943">
        <v>0</v>
      </c>
      <c r="BG943">
        <v>0</v>
      </c>
      <c r="BH943">
        <v>9300</v>
      </c>
      <c r="BI943">
        <v>1</v>
      </c>
      <c r="BJ943">
        <v>0</v>
      </c>
      <c r="BK943">
        <v>0</v>
      </c>
      <c r="BL943">
        <v>0</v>
      </c>
      <c r="BO943">
        <v>0</v>
      </c>
      <c r="BP943">
        <v>0</v>
      </c>
      <c r="BW943" t="str">
        <f t="shared" si="538"/>
        <v>14:51:29.708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293</v>
      </c>
      <c r="CR943">
        <v>2</v>
      </c>
      <c r="CW943">
        <v>15279353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25">
      <c r="A944" t="str">
        <f t="shared" ref="A944:A951" si="539">"06/05/2020 14:51:25.121"</f>
        <v>06/05/2020 14:51:25.121</v>
      </c>
      <c r="C944" t="str">
        <f t="shared" si="535"/>
        <v>FFDFD3C0</v>
      </c>
      <c r="D944" t="s">
        <v>148</v>
      </c>
      <c r="E944">
        <v>11</v>
      </c>
      <c r="H944">
        <v>53</v>
      </c>
      <c r="I944" t="s">
        <v>364</v>
      </c>
      <c r="J944" t="s">
        <v>150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"14:51:30.766"</f>
        <v>14:51:30.766</v>
      </c>
      <c r="T944" t="str">
        <f>"14:51:30.566"</f>
        <v>14:51:30.566</v>
      </c>
      <c r="U944" t="str">
        <f t="shared" si="519"/>
        <v>ACC530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1</v>
      </c>
      <c r="AH944">
        <v>0</v>
      </c>
      <c r="AI944" t="s">
        <v>443</v>
      </c>
      <c r="AJ944">
        <v>34.218485000000001</v>
      </c>
      <c r="AK944" t="s">
        <v>444</v>
      </c>
      <c r="AL944">
        <v>-116.937189</v>
      </c>
      <c r="AM944">
        <v>100</v>
      </c>
      <c r="AN944">
        <v>9200</v>
      </c>
      <c r="AO944" t="s">
        <v>118</v>
      </c>
      <c r="AP944">
        <v>-91</v>
      </c>
      <c r="AQ944">
        <v>-48</v>
      </c>
      <c r="AR944">
        <v>192</v>
      </c>
      <c r="AZ944">
        <v>1200</v>
      </c>
      <c r="BA944">
        <v>1</v>
      </c>
      <c r="BB944" t="str">
        <f t="shared" si="520"/>
        <v xml:space="preserve">N9217B  </v>
      </c>
      <c r="BC944">
        <v>1</v>
      </c>
      <c r="BE944">
        <v>0</v>
      </c>
      <c r="BF944">
        <v>0</v>
      </c>
      <c r="BG944">
        <v>0</v>
      </c>
      <c r="BH944">
        <v>9325</v>
      </c>
      <c r="BI944">
        <v>1</v>
      </c>
      <c r="BJ944">
        <v>0</v>
      </c>
      <c r="BK944">
        <v>0</v>
      </c>
      <c r="BL944">
        <v>0</v>
      </c>
      <c r="BO944">
        <v>0</v>
      </c>
      <c r="BP944">
        <v>0</v>
      </c>
      <c r="BW944" t="str">
        <f>"14:51:30.773"</f>
        <v>14:51:30.773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6</v>
      </c>
      <c r="CP944" t="s">
        <v>119</v>
      </c>
      <c r="CQ944">
        <v>293</v>
      </c>
      <c r="CR944">
        <v>1</v>
      </c>
      <c r="CW944">
        <v>15279475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25">
      <c r="A945" t="str">
        <f t="shared" si="539"/>
        <v>06/05/2020 14:51:25.121</v>
      </c>
      <c r="C945" t="str">
        <f t="shared" si="535"/>
        <v>FFDFD3C0</v>
      </c>
      <c r="D945" t="s">
        <v>113</v>
      </c>
      <c r="E945">
        <v>3</v>
      </c>
      <c r="H945">
        <v>166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"14:51:30.773"</f>
        <v>14:51:30.773</v>
      </c>
      <c r="T945" t="str">
        <f>"14:51:30.573"</f>
        <v>14:51:30.573</v>
      </c>
      <c r="U945" t="str">
        <f t="shared" si="519"/>
        <v>ACC530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1</v>
      </c>
      <c r="AH945">
        <v>0</v>
      </c>
      <c r="AI945" t="s">
        <v>443</v>
      </c>
      <c r="AJ945">
        <v>34.218485000000001</v>
      </c>
      <c r="AK945" t="s">
        <v>444</v>
      </c>
      <c r="AL945">
        <v>-116.937189</v>
      </c>
      <c r="AM945">
        <v>100</v>
      </c>
      <c r="AN945">
        <v>9200</v>
      </c>
      <c r="AO945" t="s">
        <v>118</v>
      </c>
      <c r="AP945">
        <v>-91</v>
      </c>
      <c r="AQ945">
        <v>-48</v>
      </c>
      <c r="AR945">
        <v>192</v>
      </c>
      <c r="AZ945">
        <v>1200</v>
      </c>
      <c r="BA945">
        <v>1</v>
      </c>
      <c r="BB945" t="str">
        <f t="shared" si="520"/>
        <v xml:space="preserve">N9217B  </v>
      </c>
      <c r="BC945">
        <v>1</v>
      </c>
      <c r="BE945">
        <v>0</v>
      </c>
      <c r="BF945">
        <v>0</v>
      </c>
      <c r="BG945">
        <v>0</v>
      </c>
      <c r="BH945">
        <v>9325</v>
      </c>
      <c r="BI945">
        <v>1</v>
      </c>
      <c r="BJ945">
        <v>0</v>
      </c>
      <c r="BK945">
        <v>0</v>
      </c>
      <c r="BL945">
        <v>0</v>
      </c>
      <c r="BO945">
        <v>0</v>
      </c>
      <c r="BP945">
        <v>0</v>
      </c>
      <c r="BW945" t="str">
        <f>"14:51:30.774"</f>
        <v>14:51:30.774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6</v>
      </c>
      <c r="CP945" t="s">
        <v>119</v>
      </c>
      <c r="CQ945">
        <v>295</v>
      </c>
      <c r="CR945">
        <v>2</v>
      </c>
      <c r="CW945">
        <v>12429624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25">
      <c r="A946" t="str">
        <f t="shared" si="539"/>
        <v>06/05/2020 14:51:25.121</v>
      </c>
      <c r="C946" t="str">
        <f t="shared" si="535"/>
        <v>FFDFD3C0</v>
      </c>
      <c r="D946" t="s">
        <v>151</v>
      </c>
      <c r="E946">
        <v>8</v>
      </c>
      <c r="H946">
        <v>225</v>
      </c>
      <c r="I946" t="s">
        <v>353</v>
      </c>
      <c r="J946" t="s">
        <v>150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"14:51:30.766"</f>
        <v>14:51:30.766</v>
      </c>
      <c r="T946" t="str">
        <f>"14:51:30.566"</f>
        <v>14:51:30.566</v>
      </c>
      <c r="U946" t="str">
        <f t="shared" si="519"/>
        <v>ACC530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1</v>
      </c>
      <c r="AH946">
        <v>0</v>
      </c>
      <c r="AI946" t="s">
        <v>443</v>
      </c>
      <c r="AJ946">
        <v>34.218485000000001</v>
      </c>
      <c r="AK946" t="s">
        <v>444</v>
      </c>
      <c r="AL946">
        <v>-116.937189</v>
      </c>
      <c r="AM946">
        <v>100</v>
      </c>
      <c r="AN946">
        <v>9200</v>
      </c>
      <c r="AO946" t="s">
        <v>118</v>
      </c>
      <c r="AP946">
        <v>-91</v>
      </c>
      <c r="AQ946">
        <v>-48</v>
      </c>
      <c r="AR946">
        <v>192</v>
      </c>
      <c r="AZ946">
        <v>1200</v>
      </c>
      <c r="BA946">
        <v>1</v>
      </c>
      <c r="BB946" t="str">
        <f t="shared" si="520"/>
        <v xml:space="preserve">N9217B  </v>
      </c>
      <c r="BC946">
        <v>1</v>
      </c>
      <c r="BE946">
        <v>0</v>
      </c>
      <c r="BF946">
        <v>0</v>
      </c>
      <c r="BG946">
        <v>0</v>
      </c>
      <c r="BH946">
        <v>9325</v>
      </c>
      <c r="BI946">
        <v>1</v>
      </c>
      <c r="BJ946">
        <v>0</v>
      </c>
      <c r="BK946">
        <v>0</v>
      </c>
      <c r="BL946">
        <v>0</v>
      </c>
      <c r="BO946">
        <v>0</v>
      </c>
      <c r="BP946">
        <v>0</v>
      </c>
      <c r="BW946" t="str">
        <f>"14:51:30.773"</f>
        <v>14:51:30.773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6</v>
      </c>
      <c r="CP946" t="s">
        <v>119</v>
      </c>
      <c r="CQ946">
        <v>285</v>
      </c>
      <c r="CR946">
        <v>0</v>
      </c>
      <c r="CW946">
        <v>8847239</v>
      </c>
      <c r="CY946">
        <v>0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25">
      <c r="A947" t="str">
        <f t="shared" si="539"/>
        <v>06/05/2020 14:51:25.121</v>
      </c>
      <c r="C947" t="str">
        <f t="shared" si="535"/>
        <v>FFDFD3C0</v>
      </c>
      <c r="D947" t="s">
        <v>151</v>
      </c>
      <c r="E947">
        <v>9</v>
      </c>
      <c r="H947">
        <v>226</v>
      </c>
      <c r="I947" t="s">
        <v>152</v>
      </c>
      <c r="J947" t="s">
        <v>150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"14:51:30.766"</f>
        <v>14:51:30.766</v>
      </c>
      <c r="T947" t="str">
        <f>"14:51:30.566"</f>
        <v>14:51:30.566</v>
      </c>
      <c r="U947" t="str">
        <f t="shared" si="519"/>
        <v>ACC530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9</v>
      </c>
      <c r="AE947">
        <v>0</v>
      </c>
      <c r="AF947">
        <v>3</v>
      </c>
      <c r="AG947">
        <v>1</v>
      </c>
      <c r="AH947">
        <v>0</v>
      </c>
      <c r="AI947" t="s">
        <v>443</v>
      </c>
      <c r="AJ947">
        <v>34.218485000000001</v>
      </c>
      <c r="AK947" t="s">
        <v>444</v>
      </c>
      <c r="AL947">
        <v>-116.937189</v>
      </c>
      <c r="AM947">
        <v>100</v>
      </c>
      <c r="AN947">
        <v>9200</v>
      </c>
      <c r="AO947" t="s">
        <v>118</v>
      </c>
      <c r="AP947">
        <v>-91</v>
      </c>
      <c r="AQ947">
        <v>-48</v>
      </c>
      <c r="AR947">
        <v>192</v>
      </c>
      <c r="AZ947">
        <v>1200</v>
      </c>
      <c r="BA947">
        <v>1</v>
      </c>
      <c r="BB947" t="str">
        <f t="shared" si="520"/>
        <v xml:space="preserve">N9217B  </v>
      </c>
      <c r="BC947">
        <v>1</v>
      </c>
      <c r="BE947">
        <v>0</v>
      </c>
      <c r="BF947">
        <v>0</v>
      </c>
      <c r="BG947">
        <v>0</v>
      </c>
      <c r="BH947">
        <v>9325</v>
      </c>
      <c r="BI947">
        <v>1</v>
      </c>
      <c r="BJ947">
        <v>0</v>
      </c>
      <c r="BK947">
        <v>0</v>
      </c>
      <c r="BL947">
        <v>0</v>
      </c>
      <c r="BO947">
        <v>0</v>
      </c>
      <c r="BP947">
        <v>0</v>
      </c>
      <c r="BW947" t="str">
        <f>"14:51:30.773"</f>
        <v>14:51:30.773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6</v>
      </c>
      <c r="CP947" t="s">
        <v>119</v>
      </c>
      <c r="CQ947">
        <v>293</v>
      </c>
      <c r="CR947">
        <v>1</v>
      </c>
      <c r="CW947">
        <v>15279475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25">
      <c r="A948" t="str">
        <f t="shared" si="539"/>
        <v>06/05/2020 14:51:25.121</v>
      </c>
      <c r="C948" t="str">
        <f t="shared" si="535"/>
        <v>FFDFD3C0</v>
      </c>
      <c r="D948" t="s">
        <v>148</v>
      </c>
      <c r="E948">
        <v>8</v>
      </c>
      <c r="H948">
        <v>50</v>
      </c>
      <c r="I948" t="s">
        <v>149</v>
      </c>
      <c r="J948" t="s">
        <v>150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"14:51:30.773"</f>
        <v>14:51:30.773</v>
      </c>
      <c r="T948" t="str">
        <f>"14:51:30.573"</f>
        <v>14:51:30.573</v>
      </c>
      <c r="U948" t="str">
        <f t="shared" si="519"/>
        <v>ACC530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1</v>
      </c>
      <c r="AH948">
        <v>0</v>
      </c>
      <c r="AI948" t="s">
        <v>443</v>
      </c>
      <c r="AJ948">
        <v>34.218485000000001</v>
      </c>
      <c r="AK948" t="s">
        <v>444</v>
      </c>
      <c r="AL948">
        <v>-116.937189</v>
      </c>
      <c r="AM948">
        <v>100</v>
      </c>
      <c r="AN948">
        <v>9200</v>
      </c>
      <c r="AO948" t="s">
        <v>118</v>
      </c>
      <c r="AP948">
        <v>-91</v>
      </c>
      <c r="AQ948">
        <v>-48</v>
      </c>
      <c r="AR948">
        <v>192</v>
      </c>
      <c r="AZ948">
        <v>1200</v>
      </c>
      <c r="BA948">
        <v>1</v>
      </c>
      <c r="BB948" t="str">
        <f t="shared" si="520"/>
        <v xml:space="preserve">N9217B  </v>
      </c>
      <c r="BC948">
        <v>1</v>
      </c>
      <c r="BE948">
        <v>0</v>
      </c>
      <c r="BF948">
        <v>0</v>
      </c>
      <c r="BG948">
        <v>0</v>
      </c>
      <c r="BH948">
        <v>9325</v>
      </c>
      <c r="BI948">
        <v>1</v>
      </c>
      <c r="BJ948">
        <v>0</v>
      </c>
      <c r="BK948">
        <v>0</v>
      </c>
      <c r="BL948">
        <v>0</v>
      </c>
      <c r="BO948">
        <v>0</v>
      </c>
      <c r="BP948">
        <v>0</v>
      </c>
      <c r="BW948" t="str">
        <f>"14:51:30.774"</f>
        <v>14:51:30.774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6</v>
      </c>
      <c r="CP948" t="s">
        <v>119</v>
      </c>
      <c r="CQ948">
        <v>295</v>
      </c>
      <c r="CR948">
        <v>2</v>
      </c>
      <c r="CW948">
        <v>12429624</v>
      </c>
      <c r="CY948">
        <v>0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25">
      <c r="A949" t="str">
        <f t="shared" si="539"/>
        <v>06/05/2020 14:51:25.121</v>
      </c>
      <c r="C949" t="str">
        <f t="shared" si="535"/>
        <v>FFDFD3C0</v>
      </c>
      <c r="D949" t="s">
        <v>134</v>
      </c>
      <c r="E949">
        <v>7</v>
      </c>
      <c r="F949">
        <v>2007</v>
      </c>
      <c r="G949" t="s">
        <v>135</v>
      </c>
      <c r="J949" t="s">
        <v>136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"14:51:30.773"</f>
        <v>14:51:30.773</v>
      </c>
      <c r="T949" t="str">
        <f>"14:51:30.573"</f>
        <v>14:51:30.573</v>
      </c>
      <c r="U949" t="str">
        <f t="shared" si="519"/>
        <v>ACC530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1</v>
      </c>
      <c r="AH949">
        <v>0</v>
      </c>
      <c r="AI949" t="s">
        <v>443</v>
      </c>
      <c r="AJ949">
        <v>34.218485000000001</v>
      </c>
      <c r="AK949" t="s">
        <v>444</v>
      </c>
      <c r="AL949">
        <v>-116.937189</v>
      </c>
      <c r="AM949">
        <v>100</v>
      </c>
      <c r="AN949">
        <v>9200</v>
      </c>
      <c r="AO949" t="s">
        <v>118</v>
      </c>
      <c r="AP949">
        <v>-91</v>
      </c>
      <c r="AQ949">
        <v>-48</v>
      </c>
      <c r="AR949">
        <v>192</v>
      </c>
      <c r="AZ949">
        <v>1200</v>
      </c>
      <c r="BA949">
        <v>1</v>
      </c>
      <c r="BB949" t="str">
        <f t="shared" si="520"/>
        <v xml:space="preserve">N9217B  </v>
      </c>
      <c r="BC949">
        <v>1</v>
      </c>
      <c r="BE949">
        <v>0</v>
      </c>
      <c r="BF949">
        <v>0</v>
      </c>
      <c r="BG949">
        <v>0</v>
      </c>
      <c r="BH949">
        <v>9325</v>
      </c>
      <c r="BI949">
        <v>1</v>
      </c>
      <c r="BJ949">
        <v>0</v>
      </c>
      <c r="BK949">
        <v>0</v>
      </c>
      <c r="BL949">
        <v>0</v>
      </c>
      <c r="BO949">
        <v>0</v>
      </c>
      <c r="BP949">
        <v>0</v>
      </c>
      <c r="BW949" t="str">
        <f>"14:51:30.774"</f>
        <v>14:51:30.774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6</v>
      </c>
      <c r="CP949" t="s">
        <v>119</v>
      </c>
      <c r="CQ949">
        <v>295</v>
      </c>
      <c r="CR949">
        <v>2</v>
      </c>
      <c r="CW949">
        <v>12429624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25">
      <c r="A950" t="str">
        <f t="shared" si="539"/>
        <v>06/05/2020 14:51:25.121</v>
      </c>
      <c r="C950" t="str">
        <f t="shared" si="535"/>
        <v>FFDFD3C0</v>
      </c>
      <c r="D950" t="s">
        <v>143</v>
      </c>
      <c r="E950">
        <v>10</v>
      </c>
      <c r="F950">
        <v>3010</v>
      </c>
      <c r="G950" t="s">
        <v>144</v>
      </c>
      <c r="J950" t="s">
        <v>145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"14:51:30.773"</f>
        <v>14:51:30.773</v>
      </c>
      <c r="T950" t="str">
        <f>"14:51:30.573"</f>
        <v>14:51:30.573</v>
      </c>
      <c r="U950" t="str">
        <f t="shared" si="519"/>
        <v>ACC530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1</v>
      </c>
      <c r="AH950">
        <v>0</v>
      </c>
      <c r="AI950" t="s">
        <v>443</v>
      </c>
      <c r="AJ950">
        <v>34.218485000000001</v>
      </c>
      <c r="AK950" t="s">
        <v>444</v>
      </c>
      <c r="AL950">
        <v>-116.937189</v>
      </c>
      <c r="AM950">
        <v>100</v>
      </c>
      <c r="AN950">
        <v>9200</v>
      </c>
      <c r="AO950" t="s">
        <v>118</v>
      </c>
      <c r="AP950">
        <v>-91</v>
      </c>
      <c r="AQ950">
        <v>-48</v>
      </c>
      <c r="AR950">
        <v>192</v>
      </c>
      <c r="AZ950">
        <v>1200</v>
      </c>
      <c r="BA950">
        <v>1</v>
      </c>
      <c r="BB950" t="str">
        <f t="shared" si="520"/>
        <v xml:space="preserve">N9217B  </v>
      </c>
      <c r="BC950">
        <v>1</v>
      </c>
      <c r="BE950">
        <v>0</v>
      </c>
      <c r="BF950">
        <v>0</v>
      </c>
      <c r="BG950">
        <v>0</v>
      </c>
      <c r="BH950">
        <v>9325</v>
      </c>
      <c r="BI950">
        <v>1</v>
      </c>
      <c r="BJ950">
        <v>0</v>
      </c>
      <c r="BK950">
        <v>0</v>
      </c>
      <c r="BL950">
        <v>0</v>
      </c>
      <c r="BO950">
        <v>0</v>
      </c>
      <c r="BP950">
        <v>0</v>
      </c>
      <c r="BW950" t="str">
        <f>"14:51:30.774"</f>
        <v>14:51:30.774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6</v>
      </c>
      <c r="CP950" t="s">
        <v>119</v>
      </c>
      <c r="CQ950">
        <v>295</v>
      </c>
      <c r="CR950">
        <v>2</v>
      </c>
      <c r="CW950">
        <v>12429624</v>
      </c>
      <c r="CY950">
        <v>0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25">
      <c r="A951" t="str">
        <f t="shared" si="539"/>
        <v>06/05/2020 14:51:25.121</v>
      </c>
      <c r="C951" t="str">
        <f t="shared" si="535"/>
        <v>FFDFD3C0</v>
      </c>
      <c r="D951" t="s">
        <v>141</v>
      </c>
      <c r="E951">
        <v>20</v>
      </c>
      <c r="F951">
        <v>1020</v>
      </c>
      <c r="G951" t="s">
        <v>114</v>
      </c>
      <c r="J951" t="s">
        <v>142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"14:51:30.773"</f>
        <v>14:51:30.773</v>
      </c>
      <c r="T951" t="str">
        <f>"14:51:30.573"</f>
        <v>14:51:30.573</v>
      </c>
      <c r="U951" t="str">
        <f t="shared" si="519"/>
        <v>ACC530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1</v>
      </c>
      <c r="AH951">
        <v>0</v>
      </c>
      <c r="AI951" t="s">
        <v>443</v>
      </c>
      <c r="AJ951">
        <v>34.218485000000001</v>
      </c>
      <c r="AK951" t="s">
        <v>444</v>
      </c>
      <c r="AL951">
        <v>-116.937189</v>
      </c>
      <c r="AM951">
        <v>100</v>
      </c>
      <c r="AN951">
        <v>9200</v>
      </c>
      <c r="AO951" t="s">
        <v>118</v>
      </c>
      <c r="AP951">
        <v>-91</v>
      </c>
      <c r="AQ951">
        <v>-48</v>
      </c>
      <c r="AR951">
        <v>192</v>
      </c>
      <c r="AZ951">
        <v>1200</v>
      </c>
      <c r="BA951">
        <v>1</v>
      </c>
      <c r="BB951" t="str">
        <f t="shared" si="520"/>
        <v xml:space="preserve">N9217B  </v>
      </c>
      <c r="BC951">
        <v>1</v>
      </c>
      <c r="BE951">
        <v>0</v>
      </c>
      <c r="BF951">
        <v>0</v>
      </c>
      <c r="BG951">
        <v>0</v>
      </c>
      <c r="BH951">
        <v>9325</v>
      </c>
      <c r="BI951">
        <v>1</v>
      </c>
      <c r="BJ951">
        <v>0</v>
      </c>
      <c r="BK951">
        <v>0</v>
      </c>
      <c r="BL951">
        <v>0</v>
      </c>
      <c r="BO951">
        <v>0</v>
      </c>
      <c r="BP951">
        <v>0</v>
      </c>
      <c r="BW951" t="str">
        <f>"14:51:30.774"</f>
        <v>14:51:30.774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6</v>
      </c>
      <c r="CP951" t="s">
        <v>119</v>
      </c>
      <c r="CQ951">
        <v>295</v>
      </c>
      <c r="CR951">
        <v>2</v>
      </c>
      <c r="CW951">
        <v>12429624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25">
      <c r="A952" t="str">
        <f t="shared" ref="A952:A959" si="540">"06/05/2020 14:51:26.030"</f>
        <v>06/05/2020 14:51:26.030</v>
      </c>
      <c r="C952" t="str">
        <f t="shared" si="535"/>
        <v>FFDFD3C0</v>
      </c>
      <c r="D952" t="s">
        <v>148</v>
      </c>
      <c r="E952">
        <v>11</v>
      </c>
      <c r="H952">
        <v>53</v>
      </c>
      <c r="I952" t="s">
        <v>364</v>
      </c>
      <c r="J952" t="s">
        <v>150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ref="S952:S959" si="541">"14:51:31.688"</f>
        <v>14:51:31.688</v>
      </c>
      <c r="T952" t="str">
        <f t="shared" ref="T952:T959" si="542">"14:51:31.188"</f>
        <v>14:51:31.188</v>
      </c>
      <c r="U952" t="str">
        <f t="shared" si="519"/>
        <v>ACC530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1</v>
      </c>
      <c r="AH952">
        <v>0</v>
      </c>
      <c r="AI952" t="s">
        <v>445</v>
      </c>
      <c r="AJ952">
        <v>34.218291999999998</v>
      </c>
      <c r="AK952" t="s">
        <v>446</v>
      </c>
      <c r="AL952">
        <v>-116.93764</v>
      </c>
      <c r="AM952">
        <v>100</v>
      </c>
      <c r="AN952">
        <v>9200</v>
      </c>
      <c r="AO952" t="s">
        <v>118</v>
      </c>
      <c r="AP952">
        <v>-91</v>
      </c>
      <c r="AQ952">
        <v>-47</v>
      </c>
      <c r="AR952">
        <v>64</v>
      </c>
      <c r="AZ952">
        <v>1200</v>
      </c>
      <c r="BA952">
        <v>1</v>
      </c>
      <c r="BB952" t="str">
        <f t="shared" si="520"/>
        <v xml:space="preserve">N9217B  </v>
      </c>
      <c r="BC952">
        <v>1</v>
      </c>
      <c r="BE952">
        <v>0</v>
      </c>
      <c r="BF952">
        <v>0</v>
      </c>
      <c r="BG952">
        <v>0</v>
      </c>
      <c r="BH952">
        <v>9300</v>
      </c>
      <c r="BI952">
        <v>1</v>
      </c>
      <c r="BJ952">
        <v>0</v>
      </c>
      <c r="BK952">
        <v>0</v>
      </c>
      <c r="BL952">
        <v>0</v>
      </c>
      <c r="BO952">
        <v>0</v>
      </c>
      <c r="BP952">
        <v>0</v>
      </c>
      <c r="BW952" t="str">
        <f t="shared" ref="BW952:BW959" si="543">"14:51:31.688"</f>
        <v>14:51:31.688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293</v>
      </c>
      <c r="CR952">
        <v>1</v>
      </c>
      <c r="CW952">
        <v>15279576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25">
      <c r="A953" t="str">
        <f t="shared" si="540"/>
        <v>06/05/2020 14:51:26.030</v>
      </c>
      <c r="C953" t="str">
        <f t="shared" si="535"/>
        <v>FFDFD3C0</v>
      </c>
      <c r="D953" t="s">
        <v>113</v>
      </c>
      <c r="E953">
        <v>3</v>
      </c>
      <c r="H953">
        <v>166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541"/>
        <v>14:51:31.688</v>
      </c>
      <c r="T953" t="str">
        <f t="shared" si="542"/>
        <v>14:51:31.188</v>
      </c>
      <c r="U953" t="str">
        <f t="shared" si="519"/>
        <v>ACC530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1</v>
      </c>
      <c r="AH953">
        <v>0</v>
      </c>
      <c r="AI953" t="s">
        <v>445</v>
      </c>
      <c r="AJ953">
        <v>34.218291999999998</v>
      </c>
      <c r="AK953" t="s">
        <v>446</v>
      </c>
      <c r="AL953">
        <v>-116.93764</v>
      </c>
      <c r="AM953">
        <v>100</v>
      </c>
      <c r="AN953">
        <v>9200</v>
      </c>
      <c r="AO953" t="s">
        <v>118</v>
      </c>
      <c r="AP953">
        <v>-91</v>
      </c>
      <c r="AQ953">
        <v>-47</v>
      </c>
      <c r="AR953">
        <v>64</v>
      </c>
      <c r="AZ953">
        <v>1200</v>
      </c>
      <c r="BA953">
        <v>1</v>
      </c>
      <c r="BB953" t="str">
        <f t="shared" si="520"/>
        <v xml:space="preserve">N9217B  </v>
      </c>
      <c r="BC953">
        <v>1</v>
      </c>
      <c r="BE953">
        <v>0</v>
      </c>
      <c r="BF953">
        <v>0</v>
      </c>
      <c r="BG953">
        <v>0</v>
      </c>
      <c r="BH953">
        <v>9300</v>
      </c>
      <c r="BI953">
        <v>1</v>
      </c>
      <c r="BJ953">
        <v>0</v>
      </c>
      <c r="BK953">
        <v>0</v>
      </c>
      <c r="BL953">
        <v>0</v>
      </c>
      <c r="BO953">
        <v>0</v>
      </c>
      <c r="BP953">
        <v>0</v>
      </c>
      <c r="BW953" t="str">
        <f t="shared" si="543"/>
        <v>14:51:31.688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293</v>
      </c>
      <c r="CR953">
        <v>1</v>
      </c>
      <c r="CW953">
        <v>15279576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25">
      <c r="A954" t="str">
        <f t="shared" si="540"/>
        <v>06/05/2020 14:51:26.030</v>
      </c>
      <c r="C954" t="str">
        <f t="shared" si="535"/>
        <v>FFDFD3C0</v>
      </c>
      <c r="D954" t="s">
        <v>151</v>
      </c>
      <c r="E954">
        <v>8</v>
      </c>
      <c r="H954">
        <v>225</v>
      </c>
      <c r="I954" t="s">
        <v>353</v>
      </c>
      <c r="J954" t="s">
        <v>150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541"/>
        <v>14:51:31.688</v>
      </c>
      <c r="T954" t="str">
        <f t="shared" si="542"/>
        <v>14:51:31.188</v>
      </c>
      <c r="U954" t="str">
        <f t="shared" si="519"/>
        <v>ACC530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1</v>
      </c>
      <c r="AH954">
        <v>0</v>
      </c>
      <c r="AI954" t="s">
        <v>445</v>
      </c>
      <c r="AJ954">
        <v>34.218291999999998</v>
      </c>
      <c r="AK954" t="s">
        <v>446</v>
      </c>
      <c r="AL954">
        <v>-116.93764</v>
      </c>
      <c r="AM954">
        <v>100</v>
      </c>
      <c r="AN954">
        <v>9200</v>
      </c>
      <c r="AO954" t="s">
        <v>118</v>
      </c>
      <c r="AP954">
        <v>-91</v>
      </c>
      <c r="AQ954">
        <v>-47</v>
      </c>
      <c r="AR954">
        <v>64</v>
      </c>
      <c r="AZ954">
        <v>1200</v>
      </c>
      <c r="BA954">
        <v>1</v>
      </c>
      <c r="BB954" t="str">
        <f t="shared" si="520"/>
        <v xml:space="preserve">N9217B  </v>
      </c>
      <c r="BC954">
        <v>1</v>
      </c>
      <c r="BE954">
        <v>0</v>
      </c>
      <c r="BF954">
        <v>0</v>
      </c>
      <c r="BG954">
        <v>0</v>
      </c>
      <c r="BH954">
        <v>9300</v>
      </c>
      <c r="BI954">
        <v>1</v>
      </c>
      <c r="BJ954">
        <v>0</v>
      </c>
      <c r="BK954">
        <v>0</v>
      </c>
      <c r="BL954">
        <v>0</v>
      </c>
      <c r="BO954">
        <v>0</v>
      </c>
      <c r="BP954">
        <v>0</v>
      </c>
      <c r="BW954" t="str">
        <f t="shared" si="543"/>
        <v>14:51:31.688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6</v>
      </c>
      <c r="CP954" t="s">
        <v>119</v>
      </c>
      <c r="CQ954">
        <v>285</v>
      </c>
      <c r="CR954">
        <v>0</v>
      </c>
      <c r="CW954">
        <v>8847314</v>
      </c>
      <c r="CY954">
        <v>0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25">
      <c r="A955" t="str">
        <f t="shared" si="540"/>
        <v>06/05/2020 14:51:26.030</v>
      </c>
      <c r="C955" t="str">
        <f t="shared" si="535"/>
        <v>FFDFD3C0</v>
      </c>
      <c r="D955" t="s">
        <v>151</v>
      </c>
      <c r="E955">
        <v>9</v>
      </c>
      <c r="H955">
        <v>226</v>
      </c>
      <c r="I955" t="s">
        <v>152</v>
      </c>
      <c r="J955" t="s">
        <v>150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541"/>
        <v>14:51:31.688</v>
      </c>
      <c r="T955" t="str">
        <f t="shared" si="542"/>
        <v>14:51:31.188</v>
      </c>
      <c r="U955" t="str">
        <f t="shared" si="519"/>
        <v>ACC530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1</v>
      </c>
      <c r="AH955">
        <v>0</v>
      </c>
      <c r="AI955" t="s">
        <v>445</v>
      </c>
      <c r="AJ955">
        <v>34.218291999999998</v>
      </c>
      <c r="AK955" t="s">
        <v>446</v>
      </c>
      <c r="AL955">
        <v>-116.93764</v>
      </c>
      <c r="AM955">
        <v>100</v>
      </c>
      <c r="AN955">
        <v>9200</v>
      </c>
      <c r="AO955" t="s">
        <v>118</v>
      </c>
      <c r="AP955">
        <v>-91</v>
      </c>
      <c r="AQ955">
        <v>-47</v>
      </c>
      <c r="AR955">
        <v>64</v>
      </c>
      <c r="AZ955">
        <v>1200</v>
      </c>
      <c r="BA955">
        <v>1</v>
      </c>
      <c r="BB955" t="str">
        <f t="shared" si="520"/>
        <v xml:space="preserve">N9217B  </v>
      </c>
      <c r="BC955">
        <v>1</v>
      </c>
      <c r="BE955">
        <v>0</v>
      </c>
      <c r="BF955">
        <v>0</v>
      </c>
      <c r="BG955">
        <v>0</v>
      </c>
      <c r="BH955">
        <v>9300</v>
      </c>
      <c r="BI955">
        <v>1</v>
      </c>
      <c r="BJ955">
        <v>0</v>
      </c>
      <c r="BK955">
        <v>0</v>
      </c>
      <c r="BL955">
        <v>0</v>
      </c>
      <c r="BO955">
        <v>0</v>
      </c>
      <c r="BP955">
        <v>0</v>
      </c>
      <c r="BW955" t="str">
        <f t="shared" si="543"/>
        <v>14:51:31.688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293</v>
      </c>
      <c r="CR955">
        <v>1</v>
      </c>
      <c r="CW955">
        <v>15279576</v>
      </c>
      <c r="CY955">
        <v>0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25">
      <c r="A956" t="str">
        <f t="shared" si="540"/>
        <v>06/05/2020 14:51:26.030</v>
      </c>
      <c r="C956" t="str">
        <f t="shared" si="535"/>
        <v>FFDFD3C0</v>
      </c>
      <c r="D956" t="s">
        <v>148</v>
      </c>
      <c r="E956">
        <v>8</v>
      </c>
      <c r="H956">
        <v>50</v>
      </c>
      <c r="I956" t="s">
        <v>149</v>
      </c>
      <c r="J956" t="s">
        <v>150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541"/>
        <v>14:51:31.688</v>
      </c>
      <c r="T956" t="str">
        <f t="shared" si="542"/>
        <v>14:51:31.188</v>
      </c>
      <c r="U956" t="str">
        <f t="shared" si="519"/>
        <v>ACC530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1</v>
      </c>
      <c r="AH956">
        <v>0</v>
      </c>
      <c r="AI956" t="s">
        <v>445</v>
      </c>
      <c r="AJ956">
        <v>34.218291999999998</v>
      </c>
      <c r="AK956" t="s">
        <v>446</v>
      </c>
      <c r="AL956">
        <v>-116.93764</v>
      </c>
      <c r="AM956">
        <v>100</v>
      </c>
      <c r="AN956">
        <v>9200</v>
      </c>
      <c r="AO956" t="s">
        <v>118</v>
      </c>
      <c r="AP956">
        <v>-91</v>
      </c>
      <c r="AQ956">
        <v>-47</v>
      </c>
      <c r="AR956">
        <v>64</v>
      </c>
      <c r="AZ956">
        <v>1200</v>
      </c>
      <c r="BA956">
        <v>1</v>
      </c>
      <c r="BB956" t="str">
        <f t="shared" si="520"/>
        <v xml:space="preserve">N9217B  </v>
      </c>
      <c r="BC956">
        <v>1</v>
      </c>
      <c r="BE956">
        <v>0</v>
      </c>
      <c r="BF956">
        <v>0</v>
      </c>
      <c r="BG956">
        <v>0</v>
      </c>
      <c r="BH956">
        <v>9300</v>
      </c>
      <c r="BI956">
        <v>1</v>
      </c>
      <c r="BJ956">
        <v>0</v>
      </c>
      <c r="BK956">
        <v>0</v>
      </c>
      <c r="BL956">
        <v>0</v>
      </c>
      <c r="BO956">
        <v>0</v>
      </c>
      <c r="BP956">
        <v>0</v>
      </c>
      <c r="BW956" t="str">
        <f t="shared" si="543"/>
        <v>14:51:31.688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293</v>
      </c>
      <c r="CR956">
        <v>1</v>
      </c>
      <c r="CW956">
        <v>15279576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25">
      <c r="A957" t="str">
        <f t="shared" si="540"/>
        <v>06/05/2020 14:51:26.030</v>
      </c>
      <c r="C957" t="str">
        <f t="shared" si="535"/>
        <v>FFDFD3C0</v>
      </c>
      <c r="D957" t="s">
        <v>143</v>
      </c>
      <c r="E957">
        <v>10</v>
      </c>
      <c r="F957">
        <v>3010</v>
      </c>
      <c r="G957" t="s">
        <v>144</v>
      </c>
      <c r="J957" t="s">
        <v>145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541"/>
        <v>14:51:31.688</v>
      </c>
      <c r="T957" t="str">
        <f t="shared" si="542"/>
        <v>14:51:31.188</v>
      </c>
      <c r="U957" t="str">
        <f t="shared" si="519"/>
        <v>ACC530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1</v>
      </c>
      <c r="AH957">
        <v>0</v>
      </c>
      <c r="AI957" t="s">
        <v>445</v>
      </c>
      <c r="AJ957">
        <v>34.218291999999998</v>
      </c>
      <c r="AK957" t="s">
        <v>446</v>
      </c>
      <c r="AL957">
        <v>-116.93764</v>
      </c>
      <c r="AM957">
        <v>100</v>
      </c>
      <c r="AN957">
        <v>9200</v>
      </c>
      <c r="AO957" t="s">
        <v>118</v>
      </c>
      <c r="AP957">
        <v>-91</v>
      </c>
      <c r="AQ957">
        <v>-47</v>
      </c>
      <c r="AR957">
        <v>64</v>
      </c>
      <c r="AZ957">
        <v>1200</v>
      </c>
      <c r="BA957">
        <v>1</v>
      </c>
      <c r="BB957" t="str">
        <f t="shared" si="520"/>
        <v xml:space="preserve">N9217B  </v>
      </c>
      <c r="BC957">
        <v>1</v>
      </c>
      <c r="BE957">
        <v>0</v>
      </c>
      <c r="BF957">
        <v>0</v>
      </c>
      <c r="BG957">
        <v>0</v>
      </c>
      <c r="BH957">
        <v>9300</v>
      </c>
      <c r="BI957">
        <v>1</v>
      </c>
      <c r="BJ957">
        <v>0</v>
      </c>
      <c r="BK957">
        <v>0</v>
      </c>
      <c r="BL957">
        <v>0</v>
      </c>
      <c r="BO957">
        <v>0</v>
      </c>
      <c r="BP957">
        <v>0</v>
      </c>
      <c r="BW957" t="str">
        <f t="shared" si="543"/>
        <v>14:51:31.688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293</v>
      </c>
      <c r="CR957">
        <v>1</v>
      </c>
      <c r="CW957">
        <v>15279576</v>
      </c>
      <c r="CY957">
        <v>0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25">
      <c r="A958" t="str">
        <f t="shared" si="540"/>
        <v>06/05/2020 14:51:26.030</v>
      </c>
      <c r="C958" t="str">
        <f t="shared" si="535"/>
        <v>FFDFD3C0</v>
      </c>
      <c r="D958" t="s">
        <v>134</v>
      </c>
      <c r="E958">
        <v>7</v>
      </c>
      <c r="F958">
        <v>2007</v>
      </c>
      <c r="G958" t="s">
        <v>135</v>
      </c>
      <c r="J958" t="s">
        <v>136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541"/>
        <v>14:51:31.688</v>
      </c>
      <c r="T958" t="str">
        <f t="shared" si="542"/>
        <v>14:51:31.188</v>
      </c>
      <c r="U958" t="str">
        <f t="shared" si="519"/>
        <v>ACC530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1</v>
      </c>
      <c r="AH958">
        <v>0</v>
      </c>
      <c r="AI958" t="s">
        <v>445</v>
      </c>
      <c r="AJ958">
        <v>34.218291999999998</v>
      </c>
      <c r="AK958" t="s">
        <v>446</v>
      </c>
      <c r="AL958">
        <v>-116.93764</v>
      </c>
      <c r="AM958">
        <v>100</v>
      </c>
      <c r="AN958">
        <v>9200</v>
      </c>
      <c r="AO958" t="s">
        <v>118</v>
      </c>
      <c r="AP958">
        <v>-91</v>
      </c>
      <c r="AQ958">
        <v>-47</v>
      </c>
      <c r="AR958">
        <v>64</v>
      </c>
      <c r="AZ958">
        <v>1200</v>
      </c>
      <c r="BA958">
        <v>1</v>
      </c>
      <c r="BB958" t="str">
        <f t="shared" si="520"/>
        <v xml:space="preserve">N9217B  </v>
      </c>
      <c r="BC958">
        <v>1</v>
      </c>
      <c r="BE958">
        <v>0</v>
      </c>
      <c r="BF958">
        <v>0</v>
      </c>
      <c r="BG958">
        <v>0</v>
      </c>
      <c r="BH958">
        <v>9300</v>
      </c>
      <c r="BI958">
        <v>1</v>
      </c>
      <c r="BJ958">
        <v>0</v>
      </c>
      <c r="BK958">
        <v>0</v>
      </c>
      <c r="BL958">
        <v>0</v>
      </c>
      <c r="BO958">
        <v>0</v>
      </c>
      <c r="BP958">
        <v>0</v>
      </c>
      <c r="BW958" t="str">
        <f t="shared" si="543"/>
        <v>14:51:31.688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293</v>
      </c>
      <c r="CR958">
        <v>1</v>
      </c>
      <c r="CW958">
        <v>15279576</v>
      </c>
      <c r="CY958">
        <v>0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25">
      <c r="A959" t="str">
        <f t="shared" si="540"/>
        <v>06/05/2020 14:51:26.030</v>
      </c>
      <c r="C959" t="str">
        <f t="shared" si="535"/>
        <v>FFDFD3C0</v>
      </c>
      <c r="D959" t="s">
        <v>141</v>
      </c>
      <c r="E959">
        <v>20</v>
      </c>
      <c r="F959">
        <v>1020</v>
      </c>
      <c r="G959" t="s">
        <v>114</v>
      </c>
      <c r="J959" t="s">
        <v>142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541"/>
        <v>14:51:31.688</v>
      </c>
      <c r="T959" t="str">
        <f t="shared" si="542"/>
        <v>14:51:31.188</v>
      </c>
      <c r="U959" t="str">
        <f t="shared" si="519"/>
        <v>ACC530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1</v>
      </c>
      <c r="AH959">
        <v>0</v>
      </c>
      <c r="AI959" t="s">
        <v>445</v>
      </c>
      <c r="AJ959">
        <v>34.218291999999998</v>
      </c>
      <c r="AK959" t="s">
        <v>446</v>
      </c>
      <c r="AL959">
        <v>-116.93764</v>
      </c>
      <c r="AM959">
        <v>100</v>
      </c>
      <c r="AN959">
        <v>9200</v>
      </c>
      <c r="AO959" t="s">
        <v>118</v>
      </c>
      <c r="AP959">
        <v>-91</v>
      </c>
      <c r="AQ959">
        <v>-47</v>
      </c>
      <c r="AR959">
        <v>64</v>
      </c>
      <c r="AZ959">
        <v>1200</v>
      </c>
      <c r="BA959">
        <v>1</v>
      </c>
      <c r="BB959" t="str">
        <f t="shared" si="520"/>
        <v xml:space="preserve">N9217B  </v>
      </c>
      <c r="BC959">
        <v>1</v>
      </c>
      <c r="BE959">
        <v>0</v>
      </c>
      <c r="BF959">
        <v>0</v>
      </c>
      <c r="BG959">
        <v>0</v>
      </c>
      <c r="BH959">
        <v>9300</v>
      </c>
      <c r="BI959">
        <v>1</v>
      </c>
      <c r="BJ959">
        <v>0</v>
      </c>
      <c r="BK959">
        <v>0</v>
      </c>
      <c r="BL959">
        <v>0</v>
      </c>
      <c r="BO959">
        <v>0</v>
      </c>
      <c r="BP959">
        <v>0</v>
      </c>
      <c r="BW959" t="str">
        <f t="shared" si="543"/>
        <v>14:51:31.688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293</v>
      </c>
      <c r="CR959">
        <v>1</v>
      </c>
      <c r="CW959">
        <v>15279576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25">
      <c r="A960" t="str">
        <f t="shared" ref="A960:A967" si="544">"06/05/2020 14:51:27.042"</f>
        <v>06/05/2020 14:51:27.042</v>
      </c>
      <c r="C960" t="str">
        <f t="shared" si="535"/>
        <v>FFDFD3C0</v>
      </c>
      <c r="D960" t="s">
        <v>148</v>
      </c>
      <c r="E960">
        <v>11</v>
      </c>
      <c r="H960">
        <v>53</v>
      </c>
      <c r="I960" t="s">
        <v>364</v>
      </c>
      <c r="J960" t="s">
        <v>150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ref="S960:T967" si="545">"14:51:32.703"</f>
        <v>14:51:32.703</v>
      </c>
      <c r="T960" t="str">
        <f t="shared" si="545"/>
        <v>14:51:32.703</v>
      </c>
      <c r="U960" t="str">
        <f t="shared" si="519"/>
        <v>ACC530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1</v>
      </c>
      <c r="AH960">
        <v>0</v>
      </c>
      <c r="AI960" t="s">
        <v>447</v>
      </c>
      <c r="AJ960">
        <v>34.218035</v>
      </c>
      <c r="AK960" t="s">
        <v>448</v>
      </c>
      <c r="AL960">
        <v>-116.938198</v>
      </c>
      <c r="AM960">
        <v>100</v>
      </c>
      <c r="AN960">
        <v>9200</v>
      </c>
      <c r="AO960" t="s">
        <v>118</v>
      </c>
      <c r="AP960">
        <v>-93</v>
      </c>
      <c r="AQ960">
        <v>-47</v>
      </c>
      <c r="AR960">
        <v>-64</v>
      </c>
      <c r="AZ960">
        <v>1200</v>
      </c>
      <c r="BA960">
        <v>1</v>
      </c>
      <c r="BB960" t="str">
        <f t="shared" si="520"/>
        <v xml:space="preserve">N9217B  </v>
      </c>
      <c r="BC960">
        <v>1</v>
      </c>
      <c r="BE960">
        <v>0</v>
      </c>
      <c r="BF960">
        <v>0</v>
      </c>
      <c r="BG960">
        <v>0</v>
      </c>
      <c r="BH960">
        <v>9300</v>
      </c>
      <c r="BI960">
        <v>1</v>
      </c>
      <c r="BJ960">
        <v>0</v>
      </c>
      <c r="BK960">
        <v>0</v>
      </c>
      <c r="BL960">
        <v>0</v>
      </c>
      <c r="BO960">
        <v>0</v>
      </c>
      <c r="BP960">
        <v>0</v>
      </c>
      <c r="BW960" t="str">
        <f t="shared" ref="BW960:BW967" si="546">"14:51:32.708"</f>
        <v>14:51:32.708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293</v>
      </c>
      <c r="CR960">
        <v>1</v>
      </c>
      <c r="CW960">
        <v>15279692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25">
      <c r="A961" t="str">
        <f t="shared" si="544"/>
        <v>06/05/2020 14:51:27.042</v>
      </c>
      <c r="C961" t="str">
        <f t="shared" si="535"/>
        <v>FFDFD3C0</v>
      </c>
      <c r="D961" t="s">
        <v>113</v>
      </c>
      <c r="E961">
        <v>3</v>
      </c>
      <c r="H961">
        <v>166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545"/>
        <v>14:51:32.703</v>
      </c>
      <c r="T961" t="str">
        <f t="shared" si="545"/>
        <v>14:51:32.703</v>
      </c>
      <c r="U961" t="str">
        <f t="shared" si="519"/>
        <v>ACC530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1</v>
      </c>
      <c r="AH961">
        <v>0</v>
      </c>
      <c r="AI961" t="s">
        <v>447</v>
      </c>
      <c r="AJ961">
        <v>34.218035</v>
      </c>
      <c r="AK961" t="s">
        <v>448</v>
      </c>
      <c r="AL961">
        <v>-116.938198</v>
      </c>
      <c r="AM961">
        <v>100</v>
      </c>
      <c r="AN961">
        <v>9200</v>
      </c>
      <c r="AO961" t="s">
        <v>118</v>
      </c>
      <c r="AP961">
        <v>-93</v>
      </c>
      <c r="AQ961">
        <v>-47</v>
      </c>
      <c r="AR961">
        <v>-64</v>
      </c>
      <c r="AZ961">
        <v>1200</v>
      </c>
      <c r="BA961">
        <v>1</v>
      </c>
      <c r="BB961" t="str">
        <f t="shared" si="520"/>
        <v xml:space="preserve">N9217B  </v>
      </c>
      <c r="BC961">
        <v>1</v>
      </c>
      <c r="BE961">
        <v>0</v>
      </c>
      <c r="BF961">
        <v>0</v>
      </c>
      <c r="BG961">
        <v>0</v>
      </c>
      <c r="BH961">
        <v>9300</v>
      </c>
      <c r="BI961">
        <v>1</v>
      </c>
      <c r="BJ961">
        <v>0</v>
      </c>
      <c r="BK961">
        <v>0</v>
      </c>
      <c r="BL961">
        <v>0</v>
      </c>
      <c r="BO961">
        <v>0</v>
      </c>
      <c r="BP961">
        <v>0</v>
      </c>
      <c r="BW961" t="str">
        <f t="shared" si="546"/>
        <v>14:51:32.708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293</v>
      </c>
      <c r="CR961">
        <v>1</v>
      </c>
      <c r="CW961">
        <v>15279692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25">
      <c r="A962" t="str">
        <f t="shared" si="544"/>
        <v>06/05/2020 14:51:27.042</v>
      </c>
      <c r="C962" t="str">
        <f t="shared" si="535"/>
        <v>FFDFD3C0</v>
      </c>
      <c r="D962" t="s">
        <v>151</v>
      </c>
      <c r="E962">
        <v>8</v>
      </c>
      <c r="H962">
        <v>225</v>
      </c>
      <c r="I962" t="s">
        <v>353</v>
      </c>
      <c r="J962" t="s">
        <v>150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545"/>
        <v>14:51:32.703</v>
      </c>
      <c r="T962" t="str">
        <f t="shared" si="545"/>
        <v>14:51:32.703</v>
      </c>
      <c r="U962" t="str">
        <f t="shared" ref="U962:U1025" si="547">"ACC530"</f>
        <v>ACC530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9</v>
      </c>
      <c r="AE962">
        <v>0</v>
      </c>
      <c r="AF962">
        <v>3</v>
      </c>
      <c r="AG962">
        <v>1</v>
      </c>
      <c r="AH962">
        <v>0</v>
      </c>
      <c r="AI962" t="s">
        <v>447</v>
      </c>
      <c r="AJ962">
        <v>34.218035</v>
      </c>
      <c r="AK962" t="s">
        <v>448</v>
      </c>
      <c r="AL962">
        <v>-116.938198</v>
      </c>
      <c r="AM962">
        <v>100</v>
      </c>
      <c r="AN962">
        <v>9200</v>
      </c>
      <c r="AO962" t="s">
        <v>118</v>
      </c>
      <c r="AP962">
        <v>-93</v>
      </c>
      <c r="AQ962">
        <v>-47</v>
      </c>
      <c r="AR962">
        <v>-64</v>
      </c>
      <c r="AZ962">
        <v>1200</v>
      </c>
      <c r="BA962">
        <v>1</v>
      </c>
      <c r="BB962" t="str">
        <f t="shared" si="520"/>
        <v xml:space="preserve">N9217B  </v>
      </c>
      <c r="BC962">
        <v>1</v>
      </c>
      <c r="BE962">
        <v>0</v>
      </c>
      <c r="BF962">
        <v>0</v>
      </c>
      <c r="BG962">
        <v>0</v>
      </c>
      <c r="BH962">
        <v>9300</v>
      </c>
      <c r="BI962">
        <v>1</v>
      </c>
      <c r="BJ962">
        <v>0</v>
      </c>
      <c r="BK962">
        <v>0</v>
      </c>
      <c r="BL962">
        <v>0</v>
      </c>
      <c r="BO962">
        <v>0</v>
      </c>
      <c r="BP962">
        <v>0</v>
      </c>
      <c r="BW962" t="str">
        <f t="shared" si="546"/>
        <v>14:51:32.708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6</v>
      </c>
      <c r="CP962" t="s">
        <v>119</v>
      </c>
      <c r="CQ962">
        <v>285</v>
      </c>
      <c r="CR962">
        <v>0</v>
      </c>
      <c r="CW962">
        <v>8847405</v>
      </c>
      <c r="CY962">
        <v>0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25">
      <c r="A963" t="str">
        <f t="shared" si="544"/>
        <v>06/05/2020 14:51:27.042</v>
      </c>
      <c r="C963" t="str">
        <f t="shared" si="535"/>
        <v>FFDFD3C0</v>
      </c>
      <c r="D963" t="s">
        <v>148</v>
      </c>
      <c r="E963">
        <v>8</v>
      </c>
      <c r="H963">
        <v>50</v>
      </c>
      <c r="I963" t="s">
        <v>149</v>
      </c>
      <c r="J963" t="s">
        <v>150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545"/>
        <v>14:51:32.703</v>
      </c>
      <c r="T963" t="str">
        <f t="shared" si="545"/>
        <v>14:51:32.703</v>
      </c>
      <c r="U963" t="str">
        <f t="shared" si="547"/>
        <v>ACC530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1</v>
      </c>
      <c r="AH963">
        <v>0</v>
      </c>
      <c r="AI963" t="s">
        <v>447</v>
      </c>
      <c r="AJ963">
        <v>34.218035</v>
      </c>
      <c r="AK963" t="s">
        <v>448</v>
      </c>
      <c r="AL963">
        <v>-116.938198</v>
      </c>
      <c r="AM963">
        <v>100</v>
      </c>
      <c r="AN963">
        <v>9200</v>
      </c>
      <c r="AO963" t="s">
        <v>118</v>
      </c>
      <c r="AP963">
        <v>-93</v>
      </c>
      <c r="AQ963">
        <v>-47</v>
      </c>
      <c r="AR963">
        <v>-64</v>
      </c>
      <c r="AZ963">
        <v>1200</v>
      </c>
      <c r="BA963">
        <v>1</v>
      </c>
      <c r="BB963" t="str">
        <f t="shared" si="520"/>
        <v xml:space="preserve">N9217B  </v>
      </c>
      <c r="BC963">
        <v>1</v>
      </c>
      <c r="BE963">
        <v>0</v>
      </c>
      <c r="BF963">
        <v>0</v>
      </c>
      <c r="BG963">
        <v>0</v>
      </c>
      <c r="BH963">
        <v>9300</v>
      </c>
      <c r="BI963">
        <v>1</v>
      </c>
      <c r="BJ963">
        <v>0</v>
      </c>
      <c r="BK963">
        <v>0</v>
      </c>
      <c r="BL963">
        <v>0</v>
      </c>
      <c r="BO963">
        <v>0</v>
      </c>
      <c r="BP963">
        <v>0</v>
      </c>
      <c r="BW963" t="str">
        <f t="shared" si="546"/>
        <v>14:51:32.708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293</v>
      </c>
      <c r="CR963">
        <v>1</v>
      </c>
      <c r="CW963">
        <v>15279692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25">
      <c r="A964" t="str">
        <f t="shared" si="544"/>
        <v>06/05/2020 14:51:27.042</v>
      </c>
      <c r="C964" t="str">
        <f t="shared" si="535"/>
        <v>FFDFD3C0</v>
      </c>
      <c r="D964" t="s">
        <v>151</v>
      </c>
      <c r="E964">
        <v>9</v>
      </c>
      <c r="H964">
        <v>226</v>
      </c>
      <c r="I964" t="s">
        <v>152</v>
      </c>
      <c r="J964" t="s">
        <v>150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545"/>
        <v>14:51:32.703</v>
      </c>
      <c r="T964" t="str">
        <f t="shared" si="545"/>
        <v>14:51:32.703</v>
      </c>
      <c r="U964" t="str">
        <f t="shared" si="547"/>
        <v>ACC530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1</v>
      </c>
      <c r="AH964">
        <v>0</v>
      </c>
      <c r="AI964" t="s">
        <v>447</v>
      </c>
      <c r="AJ964">
        <v>34.218035</v>
      </c>
      <c r="AK964" t="s">
        <v>448</v>
      </c>
      <c r="AL964">
        <v>-116.938198</v>
      </c>
      <c r="AM964">
        <v>100</v>
      </c>
      <c r="AN964">
        <v>9200</v>
      </c>
      <c r="AO964" t="s">
        <v>118</v>
      </c>
      <c r="AP964">
        <v>-93</v>
      </c>
      <c r="AQ964">
        <v>-47</v>
      </c>
      <c r="AR964">
        <v>-64</v>
      </c>
      <c r="AZ964">
        <v>1200</v>
      </c>
      <c r="BA964">
        <v>1</v>
      </c>
      <c r="BB964" t="str">
        <f t="shared" si="520"/>
        <v xml:space="preserve">N9217B  </v>
      </c>
      <c r="BC964">
        <v>1</v>
      </c>
      <c r="BE964">
        <v>0</v>
      </c>
      <c r="BF964">
        <v>0</v>
      </c>
      <c r="BG964">
        <v>0</v>
      </c>
      <c r="BH964">
        <v>9300</v>
      </c>
      <c r="BI964">
        <v>1</v>
      </c>
      <c r="BJ964">
        <v>0</v>
      </c>
      <c r="BK964">
        <v>0</v>
      </c>
      <c r="BL964">
        <v>0</v>
      </c>
      <c r="BO964">
        <v>0</v>
      </c>
      <c r="BP964">
        <v>0</v>
      </c>
      <c r="BW964" t="str">
        <f t="shared" si="546"/>
        <v>14:51:32.708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293</v>
      </c>
      <c r="CR964">
        <v>1</v>
      </c>
      <c r="CW964">
        <v>15279692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25">
      <c r="A965" t="str">
        <f t="shared" si="544"/>
        <v>06/05/2020 14:51:27.042</v>
      </c>
      <c r="C965" t="str">
        <f t="shared" si="535"/>
        <v>FFDFD3C0</v>
      </c>
      <c r="D965" t="s">
        <v>143</v>
      </c>
      <c r="E965">
        <v>10</v>
      </c>
      <c r="F965">
        <v>3010</v>
      </c>
      <c r="G965" t="s">
        <v>144</v>
      </c>
      <c r="J965" t="s">
        <v>145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545"/>
        <v>14:51:32.703</v>
      </c>
      <c r="T965" t="str">
        <f t="shared" si="545"/>
        <v>14:51:32.703</v>
      </c>
      <c r="U965" t="str">
        <f t="shared" si="547"/>
        <v>ACC530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1</v>
      </c>
      <c r="AH965">
        <v>0</v>
      </c>
      <c r="AI965" t="s">
        <v>447</v>
      </c>
      <c r="AJ965">
        <v>34.218035</v>
      </c>
      <c r="AK965" t="s">
        <v>448</v>
      </c>
      <c r="AL965">
        <v>-116.938198</v>
      </c>
      <c r="AM965">
        <v>100</v>
      </c>
      <c r="AN965">
        <v>9200</v>
      </c>
      <c r="AO965" t="s">
        <v>118</v>
      </c>
      <c r="AP965">
        <v>-93</v>
      </c>
      <c r="AQ965">
        <v>-47</v>
      </c>
      <c r="AR965">
        <v>-64</v>
      </c>
      <c r="AZ965">
        <v>1200</v>
      </c>
      <c r="BA965">
        <v>1</v>
      </c>
      <c r="BB965" t="str">
        <f t="shared" ref="BB965:BB1028" si="548">"N9217B  "</f>
        <v xml:space="preserve">N9217B  </v>
      </c>
      <c r="BC965">
        <v>1</v>
      </c>
      <c r="BE965">
        <v>0</v>
      </c>
      <c r="BF965">
        <v>0</v>
      </c>
      <c r="BG965">
        <v>0</v>
      </c>
      <c r="BH965">
        <v>9300</v>
      </c>
      <c r="BI965">
        <v>1</v>
      </c>
      <c r="BJ965">
        <v>0</v>
      </c>
      <c r="BK965">
        <v>0</v>
      </c>
      <c r="BL965">
        <v>0</v>
      </c>
      <c r="BO965">
        <v>0</v>
      </c>
      <c r="BP965">
        <v>0</v>
      </c>
      <c r="BW965" t="str">
        <f t="shared" si="546"/>
        <v>14:51:32.708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293</v>
      </c>
      <c r="CR965">
        <v>1</v>
      </c>
      <c r="CW965">
        <v>15279692</v>
      </c>
      <c r="CY965">
        <v>0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25">
      <c r="A966" t="str">
        <f t="shared" si="544"/>
        <v>06/05/2020 14:51:27.042</v>
      </c>
      <c r="C966" t="str">
        <f t="shared" si="535"/>
        <v>FFDFD3C0</v>
      </c>
      <c r="D966" t="s">
        <v>134</v>
      </c>
      <c r="E966">
        <v>7</v>
      </c>
      <c r="F966">
        <v>2007</v>
      </c>
      <c r="G966" t="s">
        <v>135</v>
      </c>
      <c r="J966" t="s">
        <v>136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545"/>
        <v>14:51:32.703</v>
      </c>
      <c r="T966" t="str">
        <f t="shared" si="545"/>
        <v>14:51:32.703</v>
      </c>
      <c r="U966" t="str">
        <f t="shared" si="547"/>
        <v>ACC530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1</v>
      </c>
      <c r="AH966">
        <v>0</v>
      </c>
      <c r="AI966" t="s">
        <v>447</v>
      </c>
      <c r="AJ966">
        <v>34.218035</v>
      </c>
      <c r="AK966" t="s">
        <v>448</v>
      </c>
      <c r="AL966">
        <v>-116.938198</v>
      </c>
      <c r="AM966">
        <v>100</v>
      </c>
      <c r="AN966">
        <v>9200</v>
      </c>
      <c r="AO966" t="s">
        <v>118</v>
      </c>
      <c r="AP966">
        <v>-93</v>
      </c>
      <c r="AQ966">
        <v>-47</v>
      </c>
      <c r="AR966">
        <v>-64</v>
      </c>
      <c r="AZ966">
        <v>1200</v>
      </c>
      <c r="BA966">
        <v>1</v>
      </c>
      <c r="BB966" t="str">
        <f t="shared" si="548"/>
        <v xml:space="preserve">N9217B  </v>
      </c>
      <c r="BC966">
        <v>1</v>
      </c>
      <c r="BE966">
        <v>0</v>
      </c>
      <c r="BF966">
        <v>0</v>
      </c>
      <c r="BG966">
        <v>0</v>
      </c>
      <c r="BH966">
        <v>9300</v>
      </c>
      <c r="BI966">
        <v>1</v>
      </c>
      <c r="BJ966">
        <v>0</v>
      </c>
      <c r="BK966">
        <v>0</v>
      </c>
      <c r="BL966">
        <v>0</v>
      </c>
      <c r="BO966">
        <v>0</v>
      </c>
      <c r="BP966">
        <v>0</v>
      </c>
      <c r="BW966" t="str">
        <f t="shared" si="546"/>
        <v>14:51:32.708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293</v>
      </c>
      <c r="CR966">
        <v>1</v>
      </c>
      <c r="CW966">
        <v>15279692</v>
      </c>
      <c r="CY966">
        <v>0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25">
      <c r="A967" t="str">
        <f t="shared" si="544"/>
        <v>06/05/2020 14:51:27.042</v>
      </c>
      <c r="C967" t="str">
        <f t="shared" si="535"/>
        <v>FFDFD3C0</v>
      </c>
      <c r="D967" t="s">
        <v>141</v>
      </c>
      <c r="E967">
        <v>20</v>
      </c>
      <c r="F967">
        <v>1020</v>
      </c>
      <c r="G967" t="s">
        <v>114</v>
      </c>
      <c r="J967" t="s">
        <v>142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545"/>
        <v>14:51:32.703</v>
      </c>
      <c r="T967" t="str">
        <f t="shared" si="545"/>
        <v>14:51:32.703</v>
      </c>
      <c r="U967" t="str">
        <f t="shared" si="547"/>
        <v>ACC530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1</v>
      </c>
      <c r="AH967">
        <v>0</v>
      </c>
      <c r="AI967" t="s">
        <v>447</v>
      </c>
      <c r="AJ967">
        <v>34.218035</v>
      </c>
      <c r="AK967" t="s">
        <v>448</v>
      </c>
      <c r="AL967">
        <v>-116.938198</v>
      </c>
      <c r="AM967">
        <v>100</v>
      </c>
      <c r="AN967">
        <v>9200</v>
      </c>
      <c r="AO967" t="s">
        <v>118</v>
      </c>
      <c r="AP967">
        <v>-93</v>
      </c>
      <c r="AQ967">
        <v>-47</v>
      </c>
      <c r="AR967">
        <v>-64</v>
      </c>
      <c r="AZ967">
        <v>1200</v>
      </c>
      <c r="BA967">
        <v>1</v>
      </c>
      <c r="BB967" t="str">
        <f t="shared" si="548"/>
        <v xml:space="preserve">N9217B  </v>
      </c>
      <c r="BC967">
        <v>1</v>
      </c>
      <c r="BE967">
        <v>0</v>
      </c>
      <c r="BF967">
        <v>0</v>
      </c>
      <c r="BG967">
        <v>0</v>
      </c>
      <c r="BH967">
        <v>9300</v>
      </c>
      <c r="BI967">
        <v>1</v>
      </c>
      <c r="BJ967">
        <v>0</v>
      </c>
      <c r="BK967">
        <v>0</v>
      </c>
      <c r="BL967">
        <v>0</v>
      </c>
      <c r="BO967">
        <v>0</v>
      </c>
      <c r="BP967">
        <v>0</v>
      </c>
      <c r="BW967" t="str">
        <f t="shared" si="546"/>
        <v>14:51:32.708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293</v>
      </c>
      <c r="CR967">
        <v>1</v>
      </c>
      <c r="CW967">
        <v>15279692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25">
      <c r="A968" t="str">
        <f t="shared" ref="A968:A975" si="549">"06/05/2020 14:51:27.883"</f>
        <v>06/05/2020 14:51:27.883</v>
      </c>
      <c r="C968" t="str">
        <f t="shared" si="535"/>
        <v>FFDFD3C0</v>
      </c>
      <c r="D968" t="s">
        <v>134</v>
      </c>
      <c r="E968">
        <v>7</v>
      </c>
      <c r="F968">
        <v>2007</v>
      </c>
      <c r="G968" t="s">
        <v>135</v>
      </c>
      <c r="J968" t="s">
        <v>136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ref="S968:S975" si="550">"14:51:33.531"</f>
        <v>14:51:33.531</v>
      </c>
      <c r="T968" t="str">
        <f t="shared" ref="T968:T975" si="551">"14:51:33.131"</f>
        <v>14:51:33.131</v>
      </c>
      <c r="U968" t="str">
        <f t="shared" si="547"/>
        <v>ACC530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1</v>
      </c>
      <c r="AH968">
        <v>0</v>
      </c>
      <c r="AI968" t="s">
        <v>449</v>
      </c>
      <c r="AJ968">
        <v>34.217841999999997</v>
      </c>
      <c r="AK968" t="s">
        <v>450</v>
      </c>
      <c r="AL968">
        <v>-116.938648</v>
      </c>
      <c r="AM968">
        <v>100</v>
      </c>
      <c r="AN968">
        <v>9200</v>
      </c>
      <c r="AO968" t="s">
        <v>118</v>
      </c>
      <c r="AP968">
        <v>-93</v>
      </c>
      <c r="AQ968">
        <v>-48</v>
      </c>
      <c r="AR968">
        <v>-128</v>
      </c>
      <c r="AZ968">
        <v>1200</v>
      </c>
      <c r="BA968">
        <v>1</v>
      </c>
      <c r="BB968" t="str">
        <f t="shared" si="548"/>
        <v xml:space="preserve">N9217B  </v>
      </c>
      <c r="BC968">
        <v>1</v>
      </c>
      <c r="BE968">
        <v>0</v>
      </c>
      <c r="BF968">
        <v>0</v>
      </c>
      <c r="BG968">
        <v>0</v>
      </c>
      <c r="BH968">
        <v>9325</v>
      </c>
      <c r="BI968">
        <v>1</v>
      </c>
      <c r="BJ968">
        <v>0</v>
      </c>
      <c r="BK968">
        <v>0</v>
      </c>
      <c r="BL968">
        <v>0</v>
      </c>
      <c r="BO968">
        <v>0</v>
      </c>
      <c r="BP968">
        <v>0</v>
      </c>
      <c r="BW968" t="str">
        <f t="shared" ref="BW968:BW975" si="552">"14:51:33.533"</f>
        <v>14:51:33.533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6</v>
      </c>
      <c r="CP968" t="s">
        <v>119</v>
      </c>
      <c r="CQ968">
        <v>293</v>
      </c>
      <c r="CR968">
        <v>2</v>
      </c>
      <c r="CW968">
        <v>15279789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25">
      <c r="A969" t="str">
        <f t="shared" si="549"/>
        <v>06/05/2020 14:51:27.883</v>
      </c>
      <c r="C969" t="str">
        <f t="shared" si="535"/>
        <v>FFDFD3C0</v>
      </c>
      <c r="D969" t="s">
        <v>141</v>
      </c>
      <c r="E969">
        <v>20</v>
      </c>
      <c r="F969">
        <v>1020</v>
      </c>
      <c r="G969" t="s">
        <v>114</v>
      </c>
      <c r="J969" t="s">
        <v>142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550"/>
        <v>14:51:33.531</v>
      </c>
      <c r="T969" t="str">
        <f t="shared" si="551"/>
        <v>14:51:33.131</v>
      </c>
      <c r="U969" t="str">
        <f t="shared" si="547"/>
        <v>ACC530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1</v>
      </c>
      <c r="AH969">
        <v>0</v>
      </c>
      <c r="AI969" t="s">
        <v>449</v>
      </c>
      <c r="AJ969">
        <v>34.217841999999997</v>
      </c>
      <c r="AK969" t="s">
        <v>450</v>
      </c>
      <c r="AL969">
        <v>-116.938648</v>
      </c>
      <c r="AM969">
        <v>100</v>
      </c>
      <c r="AN969">
        <v>9200</v>
      </c>
      <c r="AO969" t="s">
        <v>118</v>
      </c>
      <c r="AP969">
        <v>-93</v>
      </c>
      <c r="AQ969">
        <v>-48</v>
      </c>
      <c r="AR969">
        <v>-128</v>
      </c>
      <c r="AZ969">
        <v>1200</v>
      </c>
      <c r="BA969">
        <v>1</v>
      </c>
      <c r="BB969" t="str">
        <f t="shared" si="548"/>
        <v xml:space="preserve">N9217B  </v>
      </c>
      <c r="BC969">
        <v>1</v>
      </c>
      <c r="BE969">
        <v>0</v>
      </c>
      <c r="BF969">
        <v>0</v>
      </c>
      <c r="BG969">
        <v>0</v>
      </c>
      <c r="BH969">
        <v>9325</v>
      </c>
      <c r="BI969">
        <v>1</v>
      </c>
      <c r="BJ969">
        <v>0</v>
      </c>
      <c r="BK969">
        <v>0</v>
      </c>
      <c r="BL969">
        <v>0</v>
      </c>
      <c r="BO969">
        <v>0</v>
      </c>
      <c r="BP969">
        <v>0</v>
      </c>
      <c r="BW969" t="str">
        <f t="shared" si="552"/>
        <v>14:51:33.533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6</v>
      </c>
      <c r="CP969" t="s">
        <v>119</v>
      </c>
      <c r="CQ969">
        <v>293</v>
      </c>
      <c r="CR969">
        <v>2</v>
      </c>
      <c r="CW969">
        <v>15279789</v>
      </c>
      <c r="CY969">
        <v>0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25">
      <c r="A970" t="str">
        <f t="shared" si="549"/>
        <v>06/05/2020 14:51:27.883</v>
      </c>
      <c r="C970" t="str">
        <f t="shared" si="535"/>
        <v>FFDFD3C0</v>
      </c>
      <c r="D970" t="s">
        <v>148</v>
      </c>
      <c r="E970">
        <v>11</v>
      </c>
      <c r="H970">
        <v>53</v>
      </c>
      <c r="I970" t="s">
        <v>364</v>
      </c>
      <c r="J970" t="s">
        <v>150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550"/>
        <v>14:51:33.531</v>
      </c>
      <c r="T970" t="str">
        <f t="shared" si="551"/>
        <v>14:51:33.131</v>
      </c>
      <c r="U970" t="str">
        <f t="shared" si="547"/>
        <v>ACC530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1</v>
      </c>
      <c r="AH970">
        <v>0</v>
      </c>
      <c r="AI970" t="s">
        <v>449</v>
      </c>
      <c r="AJ970">
        <v>34.217841999999997</v>
      </c>
      <c r="AK970" t="s">
        <v>450</v>
      </c>
      <c r="AL970">
        <v>-116.938648</v>
      </c>
      <c r="AM970">
        <v>100</v>
      </c>
      <c r="AN970">
        <v>9200</v>
      </c>
      <c r="AO970" t="s">
        <v>118</v>
      </c>
      <c r="AP970">
        <v>-93</v>
      </c>
      <c r="AQ970">
        <v>-48</v>
      </c>
      <c r="AR970">
        <v>-128</v>
      </c>
      <c r="AZ970">
        <v>1200</v>
      </c>
      <c r="BA970">
        <v>1</v>
      </c>
      <c r="BB970" t="str">
        <f t="shared" si="548"/>
        <v xml:space="preserve">N9217B  </v>
      </c>
      <c r="BC970">
        <v>1</v>
      </c>
      <c r="BE970">
        <v>0</v>
      </c>
      <c r="BF970">
        <v>0</v>
      </c>
      <c r="BG970">
        <v>0</v>
      </c>
      <c r="BH970">
        <v>9325</v>
      </c>
      <c r="BI970">
        <v>1</v>
      </c>
      <c r="BJ970">
        <v>0</v>
      </c>
      <c r="BK970">
        <v>0</v>
      </c>
      <c r="BL970">
        <v>0</v>
      </c>
      <c r="BO970">
        <v>0</v>
      </c>
      <c r="BP970">
        <v>0</v>
      </c>
      <c r="BW970" t="str">
        <f t="shared" si="552"/>
        <v>14:51:33.533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6</v>
      </c>
      <c r="CP970" t="s">
        <v>119</v>
      </c>
      <c r="CQ970">
        <v>293</v>
      </c>
      <c r="CR970">
        <v>2</v>
      </c>
      <c r="CW970">
        <v>15279789</v>
      </c>
      <c r="CY970">
        <v>0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25">
      <c r="A971" t="str">
        <f t="shared" si="549"/>
        <v>06/05/2020 14:51:27.883</v>
      </c>
      <c r="C971" t="str">
        <f t="shared" si="535"/>
        <v>FFDFD3C0</v>
      </c>
      <c r="D971" t="s">
        <v>113</v>
      </c>
      <c r="E971">
        <v>3</v>
      </c>
      <c r="H971">
        <v>166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550"/>
        <v>14:51:33.531</v>
      </c>
      <c r="T971" t="str">
        <f t="shared" si="551"/>
        <v>14:51:33.131</v>
      </c>
      <c r="U971" t="str">
        <f t="shared" si="547"/>
        <v>ACC530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1</v>
      </c>
      <c r="AH971">
        <v>0</v>
      </c>
      <c r="AI971" t="s">
        <v>449</v>
      </c>
      <c r="AJ971">
        <v>34.217841999999997</v>
      </c>
      <c r="AK971" t="s">
        <v>450</v>
      </c>
      <c r="AL971">
        <v>-116.938648</v>
      </c>
      <c r="AM971">
        <v>100</v>
      </c>
      <c r="AN971">
        <v>9200</v>
      </c>
      <c r="AO971" t="s">
        <v>118</v>
      </c>
      <c r="AP971">
        <v>-93</v>
      </c>
      <c r="AQ971">
        <v>-48</v>
      </c>
      <c r="AR971">
        <v>-128</v>
      </c>
      <c r="AZ971">
        <v>1200</v>
      </c>
      <c r="BA971">
        <v>1</v>
      </c>
      <c r="BB971" t="str">
        <f t="shared" si="548"/>
        <v xml:space="preserve">N9217B  </v>
      </c>
      <c r="BC971">
        <v>1</v>
      </c>
      <c r="BE971">
        <v>0</v>
      </c>
      <c r="BF971">
        <v>0</v>
      </c>
      <c r="BG971">
        <v>0</v>
      </c>
      <c r="BH971">
        <v>9325</v>
      </c>
      <c r="BI971">
        <v>1</v>
      </c>
      <c r="BJ971">
        <v>0</v>
      </c>
      <c r="BK971">
        <v>0</v>
      </c>
      <c r="BL971">
        <v>0</v>
      </c>
      <c r="BO971">
        <v>0</v>
      </c>
      <c r="BP971">
        <v>0</v>
      </c>
      <c r="BW971" t="str">
        <f t="shared" si="552"/>
        <v>14:51:33.533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6</v>
      </c>
      <c r="CP971" t="s">
        <v>119</v>
      </c>
      <c r="CQ971">
        <v>293</v>
      </c>
      <c r="CR971">
        <v>2</v>
      </c>
      <c r="CW971">
        <v>15279789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25">
      <c r="A972" t="str">
        <f t="shared" si="549"/>
        <v>06/05/2020 14:51:27.883</v>
      </c>
      <c r="C972" t="str">
        <f t="shared" si="535"/>
        <v>FFDFD3C0</v>
      </c>
      <c r="D972" t="s">
        <v>143</v>
      </c>
      <c r="E972">
        <v>10</v>
      </c>
      <c r="F972">
        <v>3010</v>
      </c>
      <c r="G972" t="s">
        <v>144</v>
      </c>
      <c r="J972" t="s">
        <v>145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550"/>
        <v>14:51:33.531</v>
      </c>
      <c r="T972" t="str">
        <f t="shared" si="551"/>
        <v>14:51:33.131</v>
      </c>
      <c r="U972" t="str">
        <f t="shared" si="547"/>
        <v>ACC530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1</v>
      </c>
      <c r="AH972">
        <v>0</v>
      </c>
      <c r="AI972" t="s">
        <v>449</v>
      </c>
      <c r="AJ972">
        <v>34.217841999999997</v>
      </c>
      <c r="AK972" t="s">
        <v>450</v>
      </c>
      <c r="AL972">
        <v>-116.938648</v>
      </c>
      <c r="AM972">
        <v>100</v>
      </c>
      <c r="AN972">
        <v>9200</v>
      </c>
      <c r="AO972" t="s">
        <v>118</v>
      </c>
      <c r="AP972">
        <v>-93</v>
      </c>
      <c r="AQ972">
        <v>-48</v>
      </c>
      <c r="AR972">
        <v>-128</v>
      </c>
      <c r="AZ972">
        <v>1200</v>
      </c>
      <c r="BA972">
        <v>1</v>
      </c>
      <c r="BB972" t="str">
        <f t="shared" si="548"/>
        <v xml:space="preserve">N9217B  </v>
      </c>
      <c r="BC972">
        <v>1</v>
      </c>
      <c r="BE972">
        <v>0</v>
      </c>
      <c r="BF972">
        <v>0</v>
      </c>
      <c r="BG972">
        <v>0</v>
      </c>
      <c r="BH972">
        <v>9325</v>
      </c>
      <c r="BI972">
        <v>1</v>
      </c>
      <c r="BJ972">
        <v>0</v>
      </c>
      <c r="BK972">
        <v>0</v>
      </c>
      <c r="BL972">
        <v>0</v>
      </c>
      <c r="BO972">
        <v>0</v>
      </c>
      <c r="BP972">
        <v>0</v>
      </c>
      <c r="BW972" t="str">
        <f t="shared" si="552"/>
        <v>14:51:33.533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6</v>
      </c>
      <c r="CP972" t="s">
        <v>119</v>
      </c>
      <c r="CQ972">
        <v>293</v>
      </c>
      <c r="CR972">
        <v>2</v>
      </c>
      <c r="CW972">
        <v>15279789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25">
      <c r="A973" t="str">
        <f t="shared" si="549"/>
        <v>06/05/2020 14:51:27.883</v>
      </c>
      <c r="C973" t="str">
        <f t="shared" si="535"/>
        <v>FFDFD3C0</v>
      </c>
      <c r="D973" t="s">
        <v>151</v>
      </c>
      <c r="E973">
        <v>8</v>
      </c>
      <c r="H973">
        <v>225</v>
      </c>
      <c r="I973" t="s">
        <v>353</v>
      </c>
      <c r="J973" t="s">
        <v>150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550"/>
        <v>14:51:33.531</v>
      </c>
      <c r="T973" t="str">
        <f t="shared" si="551"/>
        <v>14:51:33.131</v>
      </c>
      <c r="U973" t="str">
        <f t="shared" si="547"/>
        <v>ACC530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1</v>
      </c>
      <c r="AH973">
        <v>0</v>
      </c>
      <c r="AI973" t="s">
        <v>449</v>
      </c>
      <c r="AJ973">
        <v>34.217841999999997</v>
      </c>
      <c r="AK973" t="s">
        <v>450</v>
      </c>
      <c r="AL973">
        <v>-116.938648</v>
      </c>
      <c r="AM973">
        <v>100</v>
      </c>
      <c r="AN973">
        <v>9200</v>
      </c>
      <c r="AO973" t="s">
        <v>118</v>
      </c>
      <c r="AP973">
        <v>-93</v>
      </c>
      <c r="AQ973">
        <v>-48</v>
      </c>
      <c r="AR973">
        <v>-128</v>
      </c>
      <c r="AZ973">
        <v>1200</v>
      </c>
      <c r="BA973">
        <v>1</v>
      </c>
      <c r="BB973" t="str">
        <f t="shared" si="548"/>
        <v xml:space="preserve">N9217B  </v>
      </c>
      <c r="BC973">
        <v>1</v>
      </c>
      <c r="BE973">
        <v>0</v>
      </c>
      <c r="BF973">
        <v>0</v>
      </c>
      <c r="BG973">
        <v>0</v>
      </c>
      <c r="BH973">
        <v>9325</v>
      </c>
      <c r="BI973">
        <v>1</v>
      </c>
      <c r="BJ973">
        <v>0</v>
      </c>
      <c r="BK973">
        <v>0</v>
      </c>
      <c r="BL973">
        <v>0</v>
      </c>
      <c r="BO973">
        <v>0</v>
      </c>
      <c r="BP973">
        <v>0</v>
      </c>
      <c r="BW973" t="str">
        <f t="shared" si="552"/>
        <v>14:51:33.533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5</v>
      </c>
      <c r="CP973" t="s">
        <v>119</v>
      </c>
      <c r="CQ973">
        <v>285</v>
      </c>
      <c r="CR973">
        <v>0</v>
      </c>
      <c r="CW973">
        <v>8847478</v>
      </c>
      <c r="CY973">
        <v>0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25">
      <c r="A974" t="str">
        <f t="shared" si="549"/>
        <v>06/05/2020 14:51:27.883</v>
      </c>
      <c r="C974" t="str">
        <f t="shared" si="535"/>
        <v>FFDFD3C0</v>
      </c>
      <c r="D974" t="s">
        <v>148</v>
      </c>
      <c r="E974">
        <v>8</v>
      </c>
      <c r="H974">
        <v>50</v>
      </c>
      <c r="I974" t="s">
        <v>149</v>
      </c>
      <c r="J974" t="s">
        <v>150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550"/>
        <v>14:51:33.531</v>
      </c>
      <c r="T974" t="str">
        <f t="shared" si="551"/>
        <v>14:51:33.131</v>
      </c>
      <c r="U974" t="str">
        <f t="shared" si="547"/>
        <v>ACC530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1</v>
      </c>
      <c r="AH974">
        <v>0</v>
      </c>
      <c r="AI974" t="s">
        <v>449</v>
      </c>
      <c r="AJ974">
        <v>34.217841999999997</v>
      </c>
      <c r="AK974" t="s">
        <v>450</v>
      </c>
      <c r="AL974">
        <v>-116.938648</v>
      </c>
      <c r="AM974">
        <v>100</v>
      </c>
      <c r="AN974">
        <v>9200</v>
      </c>
      <c r="AO974" t="s">
        <v>118</v>
      </c>
      <c r="AP974">
        <v>-93</v>
      </c>
      <c r="AQ974">
        <v>-48</v>
      </c>
      <c r="AR974">
        <v>-128</v>
      </c>
      <c r="AZ974">
        <v>1200</v>
      </c>
      <c r="BA974">
        <v>1</v>
      </c>
      <c r="BB974" t="str">
        <f t="shared" si="548"/>
        <v xml:space="preserve">N9217B  </v>
      </c>
      <c r="BC974">
        <v>1</v>
      </c>
      <c r="BE974">
        <v>0</v>
      </c>
      <c r="BF974">
        <v>0</v>
      </c>
      <c r="BG974">
        <v>0</v>
      </c>
      <c r="BH974">
        <v>9325</v>
      </c>
      <c r="BI974">
        <v>1</v>
      </c>
      <c r="BJ974">
        <v>0</v>
      </c>
      <c r="BK974">
        <v>0</v>
      </c>
      <c r="BL974">
        <v>0</v>
      </c>
      <c r="BO974">
        <v>0</v>
      </c>
      <c r="BP974">
        <v>0</v>
      </c>
      <c r="BW974" t="str">
        <f t="shared" si="552"/>
        <v>14:51:33.533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6</v>
      </c>
      <c r="CP974" t="s">
        <v>119</v>
      </c>
      <c r="CQ974">
        <v>293</v>
      </c>
      <c r="CR974">
        <v>2</v>
      </c>
      <c r="CW974">
        <v>15279789</v>
      </c>
      <c r="CY974">
        <v>0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25">
      <c r="A975" t="str">
        <f t="shared" si="549"/>
        <v>06/05/2020 14:51:27.883</v>
      </c>
      <c r="C975" t="str">
        <f t="shared" si="535"/>
        <v>FFDFD3C0</v>
      </c>
      <c r="D975" t="s">
        <v>151</v>
      </c>
      <c r="E975">
        <v>9</v>
      </c>
      <c r="H975">
        <v>226</v>
      </c>
      <c r="I975" t="s">
        <v>152</v>
      </c>
      <c r="J975" t="s">
        <v>150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550"/>
        <v>14:51:33.531</v>
      </c>
      <c r="T975" t="str">
        <f t="shared" si="551"/>
        <v>14:51:33.131</v>
      </c>
      <c r="U975" t="str">
        <f t="shared" si="547"/>
        <v>ACC530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1</v>
      </c>
      <c r="AH975">
        <v>0</v>
      </c>
      <c r="AI975" t="s">
        <v>449</v>
      </c>
      <c r="AJ975">
        <v>34.217841999999997</v>
      </c>
      <c r="AK975" t="s">
        <v>450</v>
      </c>
      <c r="AL975">
        <v>-116.938648</v>
      </c>
      <c r="AM975">
        <v>100</v>
      </c>
      <c r="AN975">
        <v>9200</v>
      </c>
      <c r="AO975" t="s">
        <v>118</v>
      </c>
      <c r="AP975">
        <v>-93</v>
      </c>
      <c r="AQ975">
        <v>-48</v>
      </c>
      <c r="AR975">
        <v>-128</v>
      </c>
      <c r="AZ975">
        <v>1200</v>
      </c>
      <c r="BA975">
        <v>1</v>
      </c>
      <c r="BB975" t="str">
        <f t="shared" si="548"/>
        <v xml:space="preserve">N9217B  </v>
      </c>
      <c r="BC975">
        <v>1</v>
      </c>
      <c r="BE975">
        <v>0</v>
      </c>
      <c r="BF975">
        <v>0</v>
      </c>
      <c r="BG975">
        <v>0</v>
      </c>
      <c r="BH975">
        <v>9325</v>
      </c>
      <c r="BI975">
        <v>1</v>
      </c>
      <c r="BJ975">
        <v>0</v>
      </c>
      <c r="BK975">
        <v>0</v>
      </c>
      <c r="BL975">
        <v>0</v>
      </c>
      <c r="BO975">
        <v>0</v>
      </c>
      <c r="BP975">
        <v>0</v>
      </c>
      <c r="BW975" t="str">
        <f t="shared" si="552"/>
        <v>14:51:33.533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293</v>
      </c>
      <c r="CR975">
        <v>2</v>
      </c>
      <c r="CW975">
        <v>15279789</v>
      </c>
      <c r="CY975">
        <v>0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25">
      <c r="A976" t="str">
        <f t="shared" ref="A976:A983" si="553">"06/05/2020 14:51:28.912"</f>
        <v>06/05/2020 14:51:28.912</v>
      </c>
      <c r="C976" t="str">
        <f t="shared" si="535"/>
        <v>FFDFD3C0</v>
      </c>
      <c r="D976" t="s">
        <v>148</v>
      </c>
      <c r="E976">
        <v>11</v>
      </c>
      <c r="H976">
        <v>53</v>
      </c>
      <c r="I976" t="s">
        <v>364</v>
      </c>
      <c r="J976" t="s">
        <v>150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ref="S976:S983" si="554">"14:51:34.563"</f>
        <v>14:51:34.563</v>
      </c>
      <c r="T976" t="str">
        <f t="shared" ref="T976:T983" si="555">"14:51:34.263"</f>
        <v>14:51:34.263</v>
      </c>
      <c r="U976" t="str">
        <f t="shared" si="547"/>
        <v>ACC530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1</v>
      </c>
      <c r="AH976">
        <v>0</v>
      </c>
      <c r="AI976" t="s">
        <v>451</v>
      </c>
      <c r="AJ976">
        <v>34.217627</v>
      </c>
      <c r="AK976" t="s">
        <v>452</v>
      </c>
      <c r="AL976">
        <v>-116.93916299999999</v>
      </c>
      <c r="AM976">
        <v>100</v>
      </c>
      <c r="AN976">
        <v>9200</v>
      </c>
      <c r="AO976" t="s">
        <v>118</v>
      </c>
      <c r="AP976">
        <v>-93</v>
      </c>
      <c r="AQ976">
        <v>-49</v>
      </c>
      <c r="AR976">
        <v>-256</v>
      </c>
      <c r="AZ976">
        <v>1200</v>
      </c>
      <c r="BA976">
        <v>1</v>
      </c>
      <c r="BB976" t="str">
        <f t="shared" si="548"/>
        <v xml:space="preserve">N9217B  </v>
      </c>
      <c r="BC976">
        <v>1</v>
      </c>
      <c r="BE976">
        <v>0</v>
      </c>
      <c r="BF976">
        <v>0</v>
      </c>
      <c r="BG976">
        <v>0</v>
      </c>
      <c r="BH976">
        <v>9300</v>
      </c>
      <c r="BI976">
        <v>1</v>
      </c>
      <c r="BJ976">
        <v>0</v>
      </c>
      <c r="BK976">
        <v>0</v>
      </c>
      <c r="BL976">
        <v>0</v>
      </c>
      <c r="BO976">
        <v>0</v>
      </c>
      <c r="BP976">
        <v>0</v>
      </c>
      <c r="BW976" t="str">
        <f t="shared" ref="BW976:BW983" si="556">"14:51:34.568"</f>
        <v>14:51:34.568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293</v>
      </c>
      <c r="CR976">
        <v>1</v>
      </c>
      <c r="CW976">
        <v>15279915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25">
      <c r="A977" t="str">
        <f t="shared" si="553"/>
        <v>06/05/2020 14:51:28.912</v>
      </c>
      <c r="C977" t="str">
        <f t="shared" si="535"/>
        <v>FFDFD3C0</v>
      </c>
      <c r="D977" t="s">
        <v>113</v>
      </c>
      <c r="E977">
        <v>3</v>
      </c>
      <c r="H977">
        <v>166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554"/>
        <v>14:51:34.563</v>
      </c>
      <c r="T977" t="str">
        <f t="shared" si="555"/>
        <v>14:51:34.263</v>
      </c>
      <c r="U977" t="str">
        <f t="shared" si="547"/>
        <v>ACC530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1</v>
      </c>
      <c r="AH977">
        <v>0</v>
      </c>
      <c r="AI977" t="s">
        <v>451</v>
      </c>
      <c r="AJ977">
        <v>34.217627</v>
      </c>
      <c r="AK977" t="s">
        <v>452</v>
      </c>
      <c r="AL977">
        <v>-116.93916299999999</v>
      </c>
      <c r="AM977">
        <v>100</v>
      </c>
      <c r="AN977">
        <v>9200</v>
      </c>
      <c r="AO977" t="s">
        <v>118</v>
      </c>
      <c r="AP977">
        <v>-93</v>
      </c>
      <c r="AQ977">
        <v>-49</v>
      </c>
      <c r="AR977">
        <v>-256</v>
      </c>
      <c r="AZ977">
        <v>1200</v>
      </c>
      <c r="BA977">
        <v>1</v>
      </c>
      <c r="BB977" t="str">
        <f t="shared" si="548"/>
        <v xml:space="preserve">N9217B  </v>
      </c>
      <c r="BC977">
        <v>1</v>
      </c>
      <c r="BE977">
        <v>0</v>
      </c>
      <c r="BF977">
        <v>0</v>
      </c>
      <c r="BG977">
        <v>0</v>
      </c>
      <c r="BH977">
        <v>9300</v>
      </c>
      <c r="BI977">
        <v>1</v>
      </c>
      <c r="BJ977">
        <v>0</v>
      </c>
      <c r="BK977">
        <v>0</v>
      </c>
      <c r="BL977">
        <v>0</v>
      </c>
      <c r="BO977">
        <v>0</v>
      </c>
      <c r="BP977">
        <v>0</v>
      </c>
      <c r="BW977" t="str">
        <f t="shared" si="556"/>
        <v>14:51:34.568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293</v>
      </c>
      <c r="CR977">
        <v>1</v>
      </c>
      <c r="CW977">
        <v>15279915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25">
      <c r="A978" t="str">
        <f t="shared" si="553"/>
        <v>06/05/2020 14:51:28.912</v>
      </c>
      <c r="C978" t="str">
        <f t="shared" si="535"/>
        <v>FFDFD3C0</v>
      </c>
      <c r="D978" t="s">
        <v>143</v>
      </c>
      <c r="E978">
        <v>10</v>
      </c>
      <c r="F978">
        <v>3010</v>
      </c>
      <c r="G978" t="s">
        <v>144</v>
      </c>
      <c r="J978" t="s">
        <v>145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554"/>
        <v>14:51:34.563</v>
      </c>
      <c r="T978" t="str">
        <f t="shared" si="555"/>
        <v>14:51:34.263</v>
      </c>
      <c r="U978" t="str">
        <f t="shared" si="547"/>
        <v>ACC530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1</v>
      </c>
      <c r="AH978">
        <v>0</v>
      </c>
      <c r="AI978" t="s">
        <v>451</v>
      </c>
      <c r="AJ978">
        <v>34.217627</v>
      </c>
      <c r="AK978" t="s">
        <v>452</v>
      </c>
      <c r="AL978">
        <v>-116.93916299999999</v>
      </c>
      <c r="AM978">
        <v>100</v>
      </c>
      <c r="AN978">
        <v>9200</v>
      </c>
      <c r="AO978" t="s">
        <v>118</v>
      </c>
      <c r="AP978">
        <v>-93</v>
      </c>
      <c r="AQ978">
        <v>-49</v>
      </c>
      <c r="AR978">
        <v>-256</v>
      </c>
      <c r="AZ978">
        <v>1200</v>
      </c>
      <c r="BA978">
        <v>1</v>
      </c>
      <c r="BB978" t="str">
        <f t="shared" si="548"/>
        <v xml:space="preserve">N9217B  </v>
      </c>
      <c r="BC978">
        <v>1</v>
      </c>
      <c r="BE978">
        <v>0</v>
      </c>
      <c r="BF978">
        <v>0</v>
      </c>
      <c r="BG978">
        <v>0</v>
      </c>
      <c r="BH978">
        <v>9300</v>
      </c>
      <c r="BI978">
        <v>1</v>
      </c>
      <c r="BJ978">
        <v>0</v>
      </c>
      <c r="BK978">
        <v>0</v>
      </c>
      <c r="BL978">
        <v>0</v>
      </c>
      <c r="BO978">
        <v>0</v>
      </c>
      <c r="BP978">
        <v>0</v>
      </c>
      <c r="BW978" t="str">
        <f t="shared" si="556"/>
        <v>14:51:34.568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293</v>
      </c>
      <c r="CR978">
        <v>1</v>
      </c>
      <c r="CW978">
        <v>15279915</v>
      </c>
      <c r="CY978">
        <v>0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25">
      <c r="A979" t="str">
        <f t="shared" si="553"/>
        <v>06/05/2020 14:51:28.912</v>
      </c>
      <c r="C979" t="str">
        <f t="shared" si="535"/>
        <v>FFDFD3C0</v>
      </c>
      <c r="D979" t="s">
        <v>151</v>
      </c>
      <c r="E979">
        <v>8</v>
      </c>
      <c r="H979">
        <v>225</v>
      </c>
      <c r="I979" t="s">
        <v>353</v>
      </c>
      <c r="J979" t="s">
        <v>150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554"/>
        <v>14:51:34.563</v>
      </c>
      <c r="T979" t="str">
        <f t="shared" si="555"/>
        <v>14:51:34.263</v>
      </c>
      <c r="U979" t="str">
        <f t="shared" si="547"/>
        <v>ACC530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1</v>
      </c>
      <c r="AH979">
        <v>0</v>
      </c>
      <c r="AI979" t="s">
        <v>451</v>
      </c>
      <c r="AJ979">
        <v>34.217627</v>
      </c>
      <c r="AK979" t="s">
        <v>452</v>
      </c>
      <c r="AL979">
        <v>-116.93916299999999</v>
      </c>
      <c r="AM979">
        <v>100</v>
      </c>
      <c r="AN979">
        <v>9200</v>
      </c>
      <c r="AO979" t="s">
        <v>118</v>
      </c>
      <c r="AP979">
        <v>-93</v>
      </c>
      <c r="AQ979">
        <v>-49</v>
      </c>
      <c r="AR979">
        <v>-256</v>
      </c>
      <c r="AZ979">
        <v>1200</v>
      </c>
      <c r="BA979">
        <v>1</v>
      </c>
      <c r="BB979" t="str">
        <f t="shared" si="548"/>
        <v xml:space="preserve">N9217B  </v>
      </c>
      <c r="BC979">
        <v>1</v>
      </c>
      <c r="BE979">
        <v>0</v>
      </c>
      <c r="BF979">
        <v>0</v>
      </c>
      <c r="BG979">
        <v>0</v>
      </c>
      <c r="BH979">
        <v>9300</v>
      </c>
      <c r="BI979">
        <v>1</v>
      </c>
      <c r="BJ979">
        <v>0</v>
      </c>
      <c r="BK979">
        <v>0</v>
      </c>
      <c r="BL979">
        <v>0</v>
      </c>
      <c r="BO979">
        <v>0</v>
      </c>
      <c r="BP979">
        <v>0</v>
      </c>
      <c r="BW979" t="str">
        <f t="shared" si="556"/>
        <v>14:51:34.568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6</v>
      </c>
      <c r="CP979" t="s">
        <v>119</v>
      </c>
      <c r="CQ979">
        <v>285</v>
      </c>
      <c r="CR979">
        <v>0</v>
      </c>
      <c r="CW979">
        <v>8847568</v>
      </c>
      <c r="CY979">
        <v>0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25">
      <c r="A980" t="str">
        <f t="shared" si="553"/>
        <v>06/05/2020 14:51:28.912</v>
      </c>
      <c r="C980" t="str">
        <f t="shared" si="535"/>
        <v>FFDFD3C0</v>
      </c>
      <c r="D980" t="s">
        <v>148</v>
      </c>
      <c r="E980">
        <v>8</v>
      </c>
      <c r="H980">
        <v>50</v>
      </c>
      <c r="I980" t="s">
        <v>149</v>
      </c>
      <c r="J980" t="s">
        <v>150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554"/>
        <v>14:51:34.563</v>
      </c>
      <c r="T980" t="str">
        <f t="shared" si="555"/>
        <v>14:51:34.263</v>
      </c>
      <c r="U980" t="str">
        <f t="shared" si="547"/>
        <v>ACC530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1</v>
      </c>
      <c r="AH980">
        <v>0</v>
      </c>
      <c r="AI980" t="s">
        <v>451</v>
      </c>
      <c r="AJ980">
        <v>34.217627</v>
      </c>
      <c r="AK980" t="s">
        <v>452</v>
      </c>
      <c r="AL980">
        <v>-116.93916299999999</v>
      </c>
      <c r="AM980">
        <v>100</v>
      </c>
      <c r="AN980">
        <v>9200</v>
      </c>
      <c r="AO980" t="s">
        <v>118</v>
      </c>
      <c r="AP980">
        <v>-93</v>
      </c>
      <c r="AQ980">
        <v>-49</v>
      </c>
      <c r="AR980">
        <v>-256</v>
      </c>
      <c r="AZ980">
        <v>1200</v>
      </c>
      <c r="BA980">
        <v>1</v>
      </c>
      <c r="BB980" t="str">
        <f t="shared" si="548"/>
        <v xml:space="preserve">N9217B  </v>
      </c>
      <c r="BC980">
        <v>1</v>
      </c>
      <c r="BE980">
        <v>0</v>
      </c>
      <c r="BF980">
        <v>0</v>
      </c>
      <c r="BG980">
        <v>0</v>
      </c>
      <c r="BH980">
        <v>9300</v>
      </c>
      <c r="BI980">
        <v>1</v>
      </c>
      <c r="BJ980">
        <v>0</v>
      </c>
      <c r="BK980">
        <v>0</v>
      </c>
      <c r="BL980">
        <v>0</v>
      </c>
      <c r="BO980">
        <v>0</v>
      </c>
      <c r="BP980">
        <v>0</v>
      </c>
      <c r="BW980" t="str">
        <f t="shared" si="556"/>
        <v>14:51:34.568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293</v>
      </c>
      <c r="CR980">
        <v>1</v>
      </c>
      <c r="CW980">
        <v>15279915</v>
      </c>
      <c r="CY980">
        <v>0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25">
      <c r="A981" t="str">
        <f t="shared" si="553"/>
        <v>06/05/2020 14:51:28.912</v>
      </c>
      <c r="C981" t="str">
        <f t="shared" si="535"/>
        <v>FFDFD3C0</v>
      </c>
      <c r="D981" t="s">
        <v>151</v>
      </c>
      <c r="E981">
        <v>9</v>
      </c>
      <c r="H981">
        <v>226</v>
      </c>
      <c r="I981" t="s">
        <v>152</v>
      </c>
      <c r="J981" t="s">
        <v>150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554"/>
        <v>14:51:34.563</v>
      </c>
      <c r="T981" t="str">
        <f t="shared" si="555"/>
        <v>14:51:34.263</v>
      </c>
      <c r="U981" t="str">
        <f t="shared" si="547"/>
        <v>ACC530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1</v>
      </c>
      <c r="AH981">
        <v>0</v>
      </c>
      <c r="AI981" t="s">
        <v>451</v>
      </c>
      <c r="AJ981">
        <v>34.217627</v>
      </c>
      <c r="AK981" t="s">
        <v>452</v>
      </c>
      <c r="AL981">
        <v>-116.93916299999999</v>
      </c>
      <c r="AM981">
        <v>100</v>
      </c>
      <c r="AN981">
        <v>9200</v>
      </c>
      <c r="AO981" t="s">
        <v>118</v>
      </c>
      <c r="AP981">
        <v>-93</v>
      </c>
      <c r="AQ981">
        <v>-49</v>
      </c>
      <c r="AR981">
        <v>-256</v>
      </c>
      <c r="AZ981">
        <v>1200</v>
      </c>
      <c r="BA981">
        <v>1</v>
      </c>
      <c r="BB981" t="str">
        <f t="shared" si="548"/>
        <v xml:space="preserve">N9217B  </v>
      </c>
      <c r="BC981">
        <v>1</v>
      </c>
      <c r="BE981">
        <v>0</v>
      </c>
      <c r="BF981">
        <v>0</v>
      </c>
      <c r="BG981">
        <v>0</v>
      </c>
      <c r="BH981">
        <v>9300</v>
      </c>
      <c r="BI981">
        <v>1</v>
      </c>
      <c r="BJ981">
        <v>0</v>
      </c>
      <c r="BK981">
        <v>0</v>
      </c>
      <c r="BL981">
        <v>0</v>
      </c>
      <c r="BO981">
        <v>0</v>
      </c>
      <c r="BP981">
        <v>0</v>
      </c>
      <c r="BW981" t="str">
        <f t="shared" si="556"/>
        <v>14:51:34.568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293</v>
      </c>
      <c r="CR981">
        <v>1</v>
      </c>
      <c r="CW981">
        <v>15279915</v>
      </c>
      <c r="CY981">
        <v>0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25">
      <c r="A982" t="str">
        <f t="shared" si="553"/>
        <v>06/05/2020 14:51:28.912</v>
      </c>
      <c r="C982" t="str">
        <f t="shared" si="535"/>
        <v>FFDFD3C0</v>
      </c>
      <c r="D982" t="s">
        <v>134</v>
      </c>
      <c r="E982">
        <v>7</v>
      </c>
      <c r="F982">
        <v>2007</v>
      </c>
      <c r="G982" t="s">
        <v>135</v>
      </c>
      <c r="J982" t="s">
        <v>136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554"/>
        <v>14:51:34.563</v>
      </c>
      <c r="T982" t="str">
        <f t="shared" si="555"/>
        <v>14:51:34.263</v>
      </c>
      <c r="U982" t="str">
        <f t="shared" si="547"/>
        <v>ACC530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1</v>
      </c>
      <c r="AH982">
        <v>0</v>
      </c>
      <c r="AI982" t="s">
        <v>451</v>
      </c>
      <c r="AJ982">
        <v>34.217627</v>
      </c>
      <c r="AK982" t="s">
        <v>452</v>
      </c>
      <c r="AL982">
        <v>-116.93916299999999</v>
      </c>
      <c r="AM982">
        <v>100</v>
      </c>
      <c r="AN982">
        <v>9200</v>
      </c>
      <c r="AO982" t="s">
        <v>118</v>
      </c>
      <c r="AP982">
        <v>-93</v>
      </c>
      <c r="AQ982">
        <v>-49</v>
      </c>
      <c r="AR982">
        <v>-256</v>
      </c>
      <c r="AZ982">
        <v>1200</v>
      </c>
      <c r="BA982">
        <v>1</v>
      </c>
      <c r="BB982" t="str">
        <f t="shared" si="548"/>
        <v xml:space="preserve">N9217B  </v>
      </c>
      <c r="BC982">
        <v>1</v>
      </c>
      <c r="BE982">
        <v>0</v>
      </c>
      <c r="BF982">
        <v>0</v>
      </c>
      <c r="BG982">
        <v>0</v>
      </c>
      <c r="BH982">
        <v>9300</v>
      </c>
      <c r="BI982">
        <v>1</v>
      </c>
      <c r="BJ982">
        <v>0</v>
      </c>
      <c r="BK982">
        <v>0</v>
      </c>
      <c r="BL982">
        <v>0</v>
      </c>
      <c r="BO982">
        <v>0</v>
      </c>
      <c r="BP982">
        <v>0</v>
      </c>
      <c r="BW982" t="str">
        <f t="shared" si="556"/>
        <v>14:51:34.568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293</v>
      </c>
      <c r="CR982">
        <v>1</v>
      </c>
      <c r="CW982">
        <v>15279915</v>
      </c>
      <c r="CY982">
        <v>0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25">
      <c r="A983" t="str">
        <f t="shared" si="553"/>
        <v>06/05/2020 14:51:28.912</v>
      </c>
      <c r="C983" t="str">
        <f t="shared" si="535"/>
        <v>FFDFD3C0</v>
      </c>
      <c r="D983" t="s">
        <v>141</v>
      </c>
      <c r="E983">
        <v>20</v>
      </c>
      <c r="F983">
        <v>1020</v>
      </c>
      <c r="G983" t="s">
        <v>114</v>
      </c>
      <c r="J983" t="s">
        <v>142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554"/>
        <v>14:51:34.563</v>
      </c>
      <c r="T983" t="str">
        <f t="shared" si="555"/>
        <v>14:51:34.263</v>
      </c>
      <c r="U983" t="str">
        <f t="shared" si="547"/>
        <v>ACC530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1</v>
      </c>
      <c r="AH983">
        <v>0</v>
      </c>
      <c r="AI983" t="s">
        <v>451</v>
      </c>
      <c r="AJ983">
        <v>34.217627</v>
      </c>
      <c r="AK983" t="s">
        <v>452</v>
      </c>
      <c r="AL983">
        <v>-116.93916299999999</v>
      </c>
      <c r="AM983">
        <v>100</v>
      </c>
      <c r="AN983">
        <v>9200</v>
      </c>
      <c r="AO983" t="s">
        <v>118</v>
      </c>
      <c r="AP983">
        <v>-93</v>
      </c>
      <c r="AQ983">
        <v>-49</v>
      </c>
      <c r="AR983">
        <v>-256</v>
      </c>
      <c r="AZ983">
        <v>1200</v>
      </c>
      <c r="BA983">
        <v>1</v>
      </c>
      <c r="BB983" t="str">
        <f t="shared" si="548"/>
        <v xml:space="preserve">N9217B  </v>
      </c>
      <c r="BC983">
        <v>1</v>
      </c>
      <c r="BE983">
        <v>0</v>
      </c>
      <c r="BF983">
        <v>0</v>
      </c>
      <c r="BG983">
        <v>0</v>
      </c>
      <c r="BH983">
        <v>9300</v>
      </c>
      <c r="BI983">
        <v>1</v>
      </c>
      <c r="BJ983">
        <v>0</v>
      </c>
      <c r="BK983">
        <v>0</v>
      </c>
      <c r="BL983">
        <v>0</v>
      </c>
      <c r="BO983">
        <v>0</v>
      </c>
      <c r="BP983">
        <v>0</v>
      </c>
      <c r="BW983" t="str">
        <f t="shared" si="556"/>
        <v>14:51:34.568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293</v>
      </c>
      <c r="CR983">
        <v>1</v>
      </c>
      <c r="CW983">
        <v>15279915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25">
      <c r="A984" t="str">
        <f t="shared" ref="A984:A991" si="557">"06/05/2020 14:51:29.999"</f>
        <v>06/05/2020 14:51:29.999</v>
      </c>
      <c r="C984" t="str">
        <f t="shared" si="535"/>
        <v>FFDFD3C0</v>
      </c>
      <c r="D984" t="s">
        <v>148</v>
      </c>
      <c r="E984">
        <v>8</v>
      </c>
      <c r="H984">
        <v>50</v>
      </c>
      <c r="I984" t="s">
        <v>149</v>
      </c>
      <c r="J984" t="s">
        <v>150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ref="S984:T991" si="558">"14:51:35.641"</f>
        <v>14:51:35.641</v>
      </c>
      <c r="T984" t="str">
        <f t="shared" si="558"/>
        <v>14:51:35.641</v>
      </c>
      <c r="U984" t="str">
        <f t="shared" si="547"/>
        <v>ACC530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1</v>
      </c>
      <c r="AH984">
        <v>0</v>
      </c>
      <c r="AI984" t="s">
        <v>453</v>
      </c>
      <c r="AJ984">
        <v>34.217370000000003</v>
      </c>
      <c r="AK984" t="s">
        <v>454</v>
      </c>
      <c r="AL984">
        <v>-116.9397</v>
      </c>
      <c r="AM984">
        <v>100</v>
      </c>
      <c r="AN984">
        <v>9200</v>
      </c>
      <c r="AO984" t="s">
        <v>118</v>
      </c>
      <c r="AP984">
        <v>-94</v>
      </c>
      <c r="AQ984">
        <v>-50</v>
      </c>
      <c r="AR984">
        <v>-320</v>
      </c>
      <c r="AZ984">
        <v>1200</v>
      </c>
      <c r="BA984">
        <v>1</v>
      </c>
      <c r="BB984" t="str">
        <f t="shared" si="548"/>
        <v xml:space="preserve">N9217B  </v>
      </c>
      <c r="BC984">
        <v>1</v>
      </c>
      <c r="BE984">
        <v>0</v>
      </c>
      <c r="BF984">
        <v>0</v>
      </c>
      <c r="BG984">
        <v>0</v>
      </c>
      <c r="BH984">
        <v>9300</v>
      </c>
      <c r="BI984">
        <v>1</v>
      </c>
      <c r="BJ984">
        <v>0</v>
      </c>
      <c r="BK984">
        <v>0</v>
      </c>
      <c r="BL984">
        <v>0</v>
      </c>
      <c r="BO984">
        <v>0</v>
      </c>
      <c r="BP984">
        <v>0</v>
      </c>
      <c r="BW984" t="str">
        <f t="shared" ref="BW984:BW991" si="559">"14:51:35.648"</f>
        <v>14:51:35.648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293</v>
      </c>
      <c r="CR984">
        <v>1</v>
      </c>
      <c r="CW984">
        <v>15280040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25">
      <c r="A985" t="str">
        <f t="shared" si="557"/>
        <v>06/05/2020 14:51:29.999</v>
      </c>
      <c r="C985" t="str">
        <f t="shared" si="535"/>
        <v>FFDFD3C0</v>
      </c>
      <c r="D985" t="s">
        <v>151</v>
      </c>
      <c r="E985">
        <v>8</v>
      </c>
      <c r="H985">
        <v>225</v>
      </c>
      <c r="I985" t="s">
        <v>353</v>
      </c>
      <c r="J985" t="s">
        <v>150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558"/>
        <v>14:51:35.641</v>
      </c>
      <c r="T985" t="str">
        <f t="shared" si="558"/>
        <v>14:51:35.641</v>
      </c>
      <c r="U985" t="str">
        <f t="shared" si="547"/>
        <v>ACC530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1</v>
      </c>
      <c r="AH985">
        <v>0</v>
      </c>
      <c r="AI985" t="s">
        <v>453</v>
      </c>
      <c r="AJ985">
        <v>34.217370000000003</v>
      </c>
      <c r="AK985" t="s">
        <v>454</v>
      </c>
      <c r="AL985">
        <v>-116.9397</v>
      </c>
      <c r="AM985">
        <v>100</v>
      </c>
      <c r="AN985">
        <v>9200</v>
      </c>
      <c r="AO985" t="s">
        <v>118</v>
      </c>
      <c r="AP985">
        <v>-94</v>
      </c>
      <c r="AQ985">
        <v>-50</v>
      </c>
      <c r="AR985">
        <v>-320</v>
      </c>
      <c r="AZ985">
        <v>1200</v>
      </c>
      <c r="BA985">
        <v>1</v>
      </c>
      <c r="BB985" t="str">
        <f t="shared" si="548"/>
        <v xml:space="preserve">N9217B  </v>
      </c>
      <c r="BC985">
        <v>1</v>
      </c>
      <c r="BE985">
        <v>0</v>
      </c>
      <c r="BF985">
        <v>0</v>
      </c>
      <c r="BG985">
        <v>0</v>
      </c>
      <c r="BH985">
        <v>9300</v>
      </c>
      <c r="BI985">
        <v>1</v>
      </c>
      <c r="BJ985">
        <v>0</v>
      </c>
      <c r="BK985">
        <v>0</v>
      </c>
      <c r="BL985">
        <v>0</v>
      </c>
      <c r="BO985">
        <v>0</v>
      </c>
      <c r="BP985">
        <v>0</v>
      </c>
      <c r="BW985" t="str">
        <f t="shared" si="559"/>
        <v>14:51:35.648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6</v>
      </c>
      <c r="CP985" t="s">
        <v>119</v>
      </c>
      <c r="CQ985">
        <v>285</v>
      </c>
      <c r="CR985">
        <v>0</v>
      </c>
      <c r="CW985">
        <v>8847660</v>
      </c>
      <c r="CY985">
        <v>0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25">
      <c r="A986" t="str">
        <f t="shared" si="557"/>
        <v>06/05/2020 14:51:29.999</v>
      </c>
      <c r="C986" t="str">
        <f t="shared" si="535"/>
        <v>FFDFD3C0</v>
      </c>
      <c r="D986" t="s">
        <v>151</v>
      </c>
      <c r="E986">
        <v>9</v>
      </c>
      <c r="H986">
        <v>226</v>
      </c>
      <c r="I986" t="s">
        <v>152</v>
      </c>
      <c r="J986" t="s">
        <v>150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558"/>
        <v>14:51:35.641</v>
      </c>
      <c r="T986" t="str">
        <f t="shared" si="558"/>
        <v>14:51:35.641</v>
      </c>
      <c r="U986" t="str">
        <f t="shared" si="547"/>
        <v>ACC530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1</v>
      </c>
      <c r="AH986">
        <v>0</v>
      </c>
      <c r="AI986" t="s">
        <v>453</v>
      </c>
      <c r="AJ986">
        <v>34.217370000000003</v>
      </c>
      <c r="AK986" t="s">
        <v>454</v>
      </c>
      <c r="AL986">
        <v>-116.9397</v>
      </c>
      <c r="AM986">
        <v>100</v>
      </c>
      <c r="AN986">
        <v>9200</v>
      </c>
      <c r="AO986" t="s">
        <v>118</v>
      </c>
      <c r="AP986">
        <v>-94</v>
      </c>
      <c r="AQ986">
        <v>-50</v>
      </c>
      <c r="AR986">
        <v>-320</v>
      </c>
      <c r="AZ986">
        <v>1200</v>
      </c>
      <c r="BA986">
        <v>1</v>
      </c>
      <c r="BB986" t="str">
        <f t="shared" si="548"/>
        <v xml:space="preserve">N9217B  </v>
      </c>
      <c r="BC986">
        <v>1</v>
      </c>
      <c r="BE986">
        <v>0</v>
      </c>
      <c r="BF986">
        <v>0</v>
      </c>
      <c r="BG986">
        <v>0</v>
      </c>
      <c r="BH986">
        <v>9300</v>
      </c>
      <c r="BI986">
        <v>1</v>
      </c>
      <c r="BJ986">
        <v>0</v>
      </c>
      <c r="BK986">
        <v>0</v>
      </c>
      <c r="BL986">
        <v>0</v>
      </c>
      <c r="BO986">
        <v>0</v>
      </c>
      <c r="BP986">
        <v>0</v>
      </c>
      <c r="BW986" t="str">
        <f t="shared" si="559"/>
        <v>14:51:35.648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293</v>
      </c>
      <c r="CR986">
        <v>1</v>
      </c>
      <c r="CW986">
        <v>15280040</v>
      </c>
      <c r="CY986">
        <v>0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25">
      <c r="A987" t="str">
        <f t="shared" si="557"/>
        <v>06/05/2020 14:51:29.999</v>
      </c>
      <c r="C987" t="str">
        <f t="shared" si="535"/>
        <v>FFDFD3C0</v>
      </c>
      <c r="D987" t="s">
        <v>134</v>
      </c>
      <c r="E987">
        <v>7</v>
      </c>
      <c r="F987">
        <v>2007</v>
      </c>
      <c r="G987" t="s">
        <v>135</v>
      </c>
      <c r="J987" t="s">
        <v>136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558"/>
        <v>14:51:35.641</v>
      </c>
      <c r="T987" t="str">
        <f t="shared" si="558"/>
        <v>14:51:35.641</v>
      </c>
      <c r="U987" t="str">
        <f t="shared" si="547"/>
        <v>ACC530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1</v>
      </c>
      <c r="AH987">
        <v>0</v>
      </c>
      <c r="AI987" t="s">
        <v>453</v>
      </c>
      <c r="AJ987">
        <v>34.217370000000003</v>
      </c>
      <c r="AK987" t="s">
        <v>454</v>
      </c>
      <c r="AL987">
        <v>-116.9397</v>
      </c>
      <c r="AM987">
        <v>100</v>
      </c>
      <c r="AN987">
        <v>9200</v>
      </c>
      <c r="AO987" t="s">
        <v>118</v>
      </c>
      <c r="AP987">
        <v>-94</v>
      </c>
      <c r="AQ987">
        <v>-50</v>
      </c>
      <c r="AR987">
        <v>-320</v>
      </c>
      <c r="AZ987">
        <v>1200</v>
      </c>
      <c r="BA987">
        <v>1</v>
      </c>
      <c r="BB987" t="str">
        <f t="shared" si="548"/>
        <v xml:space="preserve">N9217B  </v>
      </c>
      <c r="BC987">
        <v>1</v>
      </c>
      <c r="BE987">
        <v>0</v>
      </c>
      <c r="BF987">
        <v>0</v>
      </c>
      <c r="BG987">
        <v>0</v>
      </c>
      <c r="BH987">
        <v>9300</v>
      </c>
      <c r="BI987">
        <v>1</v>
      </c>
      <c r="BJ987">
        <v>0</v>
      </c>
      <c r="BK987">
        <v>0</v>
      </c>
      <c r="BL987">
        <v>0</v>
      </c>
      <c r="BO987">
        <v>0</v>
      </c>
      <c r="BP987">
        <v>0</v>
      </c>
      <c r="BW987" t="str">
        <f t="shared" si="559"/>
        <v>14:51:35.648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293</v>
      </c>
      <c r="CR987">
        <v>1</v>
      </c>
      <c r="CW987">
        <v>15280040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25">
      <c r="A988" t="str">
        <f t="shared" si="557"/>
        <v>06/05/2020 14:51:29.999</v>
      </c>
      <c r="C988" t="str">
        <f t="shared" si="535"/>
        <v>FFDFD3C0</v>
      </c>
      <c r="D988" t="s">
        <v>141</v>
      </c>
      <c r="E988">
        <v>20</v>
      </c>
      <c r="F988">
        <v>1020</v>
      </c>
      <c r="G988" t="s">
        <v>114</v>
      </c>
      <c r="J988" t="s">
        <v>142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558"/>
        <v>14:51:35.641</v>
      </c>
      <c r="T988" t="str">
        <f t="shared" si="558"/>
        <v>14:51:35.641</v>
      </c>
      <c r="U988" t="str">
        <f t="shared" si="547"/>
        <v>ACC530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1</v>
      </c>
      <c r="AH988">
        <v>0</v>
      </c>
      <c r="AI988" t="s">
        <v>453</v>
      </c>
      <c r="AJ988">
        <v>34.217370000000003</v>
      </c>
      <c r="AK988" t="s">
        <v>454</v>
      </c>
      <c r="AL988">
        <v>-116.9397</v>
      </c>
      <c r="AM988">
        <v>100</v>
      </c>
      <c r="AN988">
        <v>9200</v>
      </c>
      <c r="AO988" t="s">
        <v>118</v>
      </c>
      <c r="AP988">
        <v>-94</v>
      </c>
      <c r="AQ988">
        <v>-50</v>
      </c>
      <c r="AR988">
        <v>-320</v>
      </c>
      <c r="AZ988">
        <v>1200</v>
      </c>
      <c r="BA988">
        <v>1</v>
      </c>
      <c r="BB988" t="str">
        <f t="shared" si="548"/>
        <v xml:space="preserve">N9217B  </v>
      </c>
      <c r="BC988">
        <v>1</v>
      </c>
      <c r="BE988">
        <v>0</v>
      </c>
      <c r="BF988">
        <v>0</v>
      </c>
      <c r="BG988">
        <v>0</v>
      </c>
      <c r="BH988">
        <v>9300</v>
      </c>
      <c r="BI988">
        <v>1</v>
      </c>
      <c r="BJ988">
        <v>0</v>
      </c>
      <c r="BK988">
        <v>0</v>
      </c>
      <c r="BL988">
        <v>0</v>
      </c>
      <c r="BO988">
        <v>0</v>
      </c>
      <c r="BP988">
        <v>0</v>
      </c>
      <c r="BW988" t="str">
        <f t="shared" si="559"/>
        <v>14:51:35.648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293</v>
      </c>
      <c r="CR988">
        <v>1</v>
      </c>
      <c r="CW988">
        <v>15280040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25">
      <c r="A989" t="str">
        <f t="shared" si="557"/>
        <v>06/05/2020 14:51:29.999</v>
      </c>
      <c r="C989" t="str">
        <f t="shared" si="535"/>
        <v>FFDFD3C0</v>
      </c>
      <c r="D989" t="s">
        <v>148</v>
      </c>
      <c r="E989">
        <v>11</v>
      </c>
      <c r="H989">
        <v>53</v>
      </c>
      <c r="I989" t="s">
        <v>364</v>
      </c>
      <c r="J989" t="s">
        <v>150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558"/>
        <v>14:51:35.641</v>
      </c>
      <c r="T989" t="str">
        <f t="shared" si="558"/>
        <v>14:51:35.641</v>
      </c>
      <c r="U989" t="str">
        <f t="shared" si="547"/>
        <v>ACC530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1</v>
      </c>
      <c r="AH989">
        <v>0</v>
      </c>
      <c r="AI989" t="s">
        <v>453</v>
      </c>
      <c r="AJ989">
        <v>34.217370000000003</v>
      </c>
      <c r="AK989" t="s">
        <v>454</v>
      </c>
      <c r="AL989">
        <v>-116.9397</v>
      </c>
      <c r="AM989">
        <v>100</v>
      </c>
      <c r="AN989">
        <v>9200</v>
      </c>
      <c r="AO989" t="s">
        <v>118</v>
      </c>
      <c r="AP989">
        <v>-94</v>
      </c>
      <c r="AQ989">
        <v>-50</v>
      </c>
      <c r="AR989">
        <v>-320</v>
      </c>
      <c r="AZ989">
        <v>1200</v>
      </c>
      <c r="BA989">
        <v>1</v>
      </c>
      <c r="BB989" t="str">
        <f t="shared" si="548"/>
        <v xml:space="preserve">N9217B  </v>
      </c>
      <c r="BC989">
        <v>1</v>
      </c>
      <c r="BE989">
        <v>0</v>
      </c>
      <c r="BF989">
        <v>0</v>
      </c>
      <c r="BG989">
        <v>0</v>
      </c>
      <c r="BH989">
        <v>9300</v>
      </c>
      <c r="BI989">
        <v>1</v>
      </c>
      <c r="BJ989">
        <v>0</v>
      </c>
      <c r="BK989">
        <v>0</v>
      </c>
      <c r="BL989">
        <v>0</v>
      </c>
      <c r="BO989">
        <v>0</v>
      </c>
      <c r="BP989">
        <v>0</v>
      </c>
      <c r="BW989" t="str">
        <f t="shared" si="559"/>
        <v>14:51:35.648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293</v>
      </c>
      <c r="CR989">
        <v>1</v>
      </c>
      <c r="CW989">
        <v>15280040</v>
      </c>
      <c r="CY989">
        <v>0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25">
      <c r="A990" t="str">
        <f t="shared" si="557"/>
        <v>06/05/2020 14:51:29.999</v>
      </c>
      <c r="C990" t="str">
        <f t="shared" si="535"/>
        <v>FFDFD3C0</v>
      </c>
      <c r="D990" t="s">
        <v>113</v>
      </c>
      <c r="E990">
        <v>3</v>
      </c>
      <c r="H990">
        <v>166</v>
      </c>
      <c r="I990" t="s">
        <v>114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558"/>
        <v>14:51:35.641</v>
      </c>
      <c r="T990" t="str">
        <f t="shared" si="558"/>
        <v>14:51:35.641</v>
      </c>
      <c r="U990" t="str">
        <f t="shared" si="547"/>
        <v>ACC530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1</v>
      </c>
      <c r="AH990">
        <v>0</v>
      </c>
      <c r="AI990" t="s">
        <v>453</v>
      </c>
      <c r="AJ990">
        <v>34.217370000000003</v>
      </c>
      <c r="AK990" t="s">
        <v>454</v>
      </c>
      <c r="AL990">
        <v>-116.9397</v>
      </c>
      <c r="AM990">
        <v>100</v>
      </c>
      <c r="AN990">
        <v>9200</v>
      </c>
      <c r="AO990" t="s">
        <v>118</v>
      </c>
      <c r="AP990">
        <v>-94</v>
      </c>
      <c r="AQ990">
        <v>-50</v>
      </c>
      <c r="AR990">
        <v>-320</v>
      </c>
      <c r="AZ990">
        <v>1200</v>
      </c>
      <c r="BA990">
        <v>1</v>
      </c>
      <c r="BB990" t="str">
        <f t="shared" si="548"/>
        <v xml:space="preserve">N9217B  </v>
      </c>
      <c r="BC990">
        <v>1</v>
      </c>
      <c r="BE990">
        <v>0</v>
      </c>
      <c r="BF990">
        <v>0</v>
      </c>
      <c r="BG990">
        <v>0</v>
      </c>
      <c r="BH990">
        <v>9300</v>
      </c>
      <c r="BI990">
        <v>1</v>
      </c>
      <c r="BJ990">
        <v>0</v>
      </c>
      <c r="BK990">
        <v>0</v>
      </c>
      <c r="BL990">
        <v>0</v>
      </c>
      <c r="BO990">
        <v>0</v>
      </c>
      <c r="BP990">
        <v>0</v>
      </c>
      <c r="BW990" t="str">
        <f t="shared" si="559"/>
        <v>14:51:35.648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293</v>
      </c>
      <c r="CR990">
        <v>1</v>
      </c>
      <c r="CW990">
        <v>15280040</v>
      </c>
      <c r="CY990">
        <v>0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25">
      <c r="A991" t="str">
        <f t="shared" si="557"/>
        <v>06/05/2020 14:51:29.999</v>
      </c>
      <c r="C991" t="str">
        <f t="shared" si="535"/>
        <v>FFDFD3C0</v>
      </c>
      <c r="D991" t="s">
        <v>143</v>
      </c>
      <c r="E991">
        <v>10</v>
      </c>
      <c r="F991">
        <v>3010</v>
      </c>
      <c r="G991" t="s">
        <v>144</v>
      </c>
      <c r="J991" t="s">
        <v>145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58"/>
        <v>14:51:35.641</v>
      </c>
      <c r="T991" t="str">
        <f t="shared" si="558"/>
        <v>14:51:35.641</v>
      </c>
      <c r="U991" t="str">
        <f t="shared" si="547"/>
        <v>ACC530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1</v>
      </c>
      <c r="AH991">
        <v>0</v>
      </c>
      <c r="AI991" t="s">
        <v>453</v>
      </c>
      <c r="AJ991">
        <v>34.217370000000003</v>
      </c>
      <c r="AK991" t="s">
        <v>454</v>
      </c>
      <c r="AL991">
        <v>-116.9397</v>
      </c>
      <c r="AM991">
        <v>100</v>
      </c>
      <c r="AN991">
        <v>9200</v>
      </c>
      <c r="AO991" t="s">
        <v>118</v>
      </c>
      <c r="AP991">
        <v>-94</v>
      </c>
      <c r="AQ991">
        <v>-50</v>
      </c>
      <c r="AR991">
        <v>-320</v>
      </c>
      <c r="AZ991">
        <v>1200</v>
      </c>
      <c r="BA991">
        <v>1</v>
      </c>
      <c r="BB991" t="str">
        <f t="shared" si="548"/>
        <v xml:space="preserve">N9217B  </v>
      </c>
      <c r="BC991">
        <v>1</v>
      </c>
      <c r="BE991">
        <v>0</v>
      </c>
      <c r="BF991">
        <v>0</v>
      </c>
      <c r="BG991">
        <v>0</v>
      </c>
      <c r="BH991">
        <v>9300</v>
      </c>
      <c r="BI991">
        <v>1</v>
      </c>
      <c r="BJ991">
        <v>0</v>
      </c>
      <c r="BK991">
        <v>0</v>
      </c>
      <c r="BL991">
        <v>0</v>
      </c>
      <c r="BO991">
        <v>0</v>
      </c>
      <c r="BP991">
        <v>0</v>
      </c>
      <c r="BW991" t="str">
        <f t="shared" si="559"/>
        <v>14:51:35.648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293</v>
      </c>
      <c r="CR991">
        <v>1</v>
      </c>
      <c r="CW991">
        <v>15280040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25">
      <c r="A992" t="str">
        <f t="shared" ref="A992:A999" si="560">"06/05/2020 14:51:31.062"</f>
        <v>06/05/2020 14:51:31.062</v>
      </c>
      <c r="C992" t="str">
        <f t="shared" si="535"/>
        <v>FFDFD3C0</v>
      </c>
      <c r="D992" t="s">
        <v>148</v>
      </c>
      <c r="E992">
        <v>8</v>
      </c>
      <c r="H992">
        <v>50</v>
      </c>
      <c r="I992" t="s">
        <v>149</v>
      </c>
      <c r="J992" t="s">
        <v>150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ref="S992:T999" si="561">"14:51:36.680"</f>
        <v>14:51:36.680</v>
      </c>
      <c r="T992" t="str">
        <f t="shared" si="561"/>
        <v>14:51:36.680</v>
      </c>
      <c r="U992" t="str">
        <f t="shared" si="547"/>
        <v>ACC530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1</v>
      </c>
      <c r="AH992">
        <v>0</v>
      </c>
      <c r="AI992" t="s">
        <v>455</v>
      </c>
      <c r="AJ992">
        <v>34.217154999999998</v>
      </c>
      <c r="AK992" t="s">
        <v>456</v>
      </c>
      <c r="AL992">
        <v>-116.940258</v>
      </c>
      <c r="AM992">
        <v>100</v>
      </c>
      <c r="AN992">
        <v>9200</v>
      </c>
      <c r="AO992" t="s">
        <v>118</v>
      </c>
      <c r="AP992">
        <v>-95</v>
      </c>
      <c r="AQ992">
        <v>-50</v>
      </c>
      <c r="AR992">
        <v>-320</v>
      </c>
      <c r="AZ992">
        <v>1200</v>
      </c>
      <c r="BA992">
        <v>1</v>
      </c>
      <c r="BB992" t="str">
        <f t="shared" si="548"/>
        <v xml:space="preserve">N9217B  </v>
      </c>
      <c r="BC992">
        <v>1</v>
      </c>
      <c r="BE992">
        <v>0</v>
      </c>
      <c r="BF992">
        <v>0</v>
      </c>
      <c r="BG992">
        <v>0</v>
      </c>
      <c r="BH992">
        <v>9300</v>
      </c>
      <c r="BI992">
        <v>1</v>
      </c>
      <c r="BJ992">
        <v>0</v>
      </c>
      <c r="BK992">
        <v>0</v>
      </c>
      <c r="BL992">
        <v>0</v>
      </c>
      <c r="BO992">
        <v>0</v>
      </c>
      <c r="BP992">
        <v>0</v>
      </c>
      <c r="BW992" t="str">
        <f t="shared" ref="BW992:BW999" si="562">"14:51:36.683"</f>
        <v>14:51:36.683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293</v>
      </c>
      <c r="CR992">
        <v>1</v>
      </c>
      <c r="CW992">
        <v>15280149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25">
      <c r="A993" t="str">
        <f t="shared" si="560"/>
        <v>06/05/2020 14:51:31.062</v>
      </c>
      <c r="C993" t="str">
        <f t="shared" si="535"/>
        <v>FFDFD3C0</v>
      </c>
      <c r="D993" t="s">
        <v>151</v>
      </c>
      <c r="E993">
        <v>8</v>
      </c>
      <c r="H993">
        <v>225</v>
      </c>
      <c r="I993" t="s">
        <v>353</v>
      </c>
      <c r="J993" t="s">
        <v>150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61"/>
        <v>14:51:36.680</v>
      </c>
      <c r="T993" t="str">
        <f t="shared" si="561"/>
        <v>14:51:36.680</v>
      </c>
      <c r="U993" t="str">
        <f t="shared" si="547"/>
        <v>ACC530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1</v>
      </c>
      <c r="AH993">
        <v>0</v>
      </c>
      <c r="AI993" t="s">
        <v>455</v>
      </c>
      <c r="AJ993">
        <v>34.217154999999998</v>
      </c>
      <c r="AK993" t="s">
        <v>456</v>
      </c>
      <c r="AL993">
        <v>-116.940258</v>
      </c>
      <c r="AM993">
        <v>100</v>
      </c>
      <c r="AN993">
        <v>9200</v>
      </c>
      <c r="AO993" t="s">
        <v>118</v>
      </c>
      <c r="AP993">
        <v>-95</v>
      </c>
      <c r="AQ993">
        <v>-50</v>
      </c>
      <c r="AR993">
        <v>-320</v>
      </c>
      <c r="AZ993">
        <v>1200</v>
      </c>
      <c r="BA993">
        <v>1</v>
      </c>
      <c r="BB993" t="str">
        <f t="shared" si="548"/>
        <v xml:space="preserve">N9217B  </v>
      </c>
      <c r="BC993">
        <v>1</v>
      </c>
      <c r="BE993">
        <v>0</v>
      </c>
      <c r="BF993">
        <v>0</v>
      </c>
      <c r="BG993">
        <v>0</v>
      </c>
      <c r="BH993">
        <v>9300</v>
      </c>
      <c r="BI993">
        <v>1</v>
      </c>
      <c r="BJ993">
        <v>0</v>
      </c>
      <c r="BK993">
        <v>0</v>
      </c>
      <c r="BL993">
        <v>0</v>
      </c>
      <c r="BO993">
        <v>0</v>
      </c>
      <c r="BP993">
        <v>0</v>
      </c>
      <c r="BW993" t="str">
        <f t="shared" si="562"/>
        <v>14:51:36.683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5</v>
      </c>
      <c r="CP993" t="s">
        <v>119</v>
      </c>
      <c r="CQ993">
        <v>285</v>
      </c>
      <c r="CR993">
        <v>0</v>
      </c>
      <c r="CW993">
        <v>8847742</v>
      </c>
      <c r="CY993">
        <v>0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25">
      <c r="A994" t="str">
        <f t="shared" si="560"/>
        <v>06/05/2020 14:51:31.062</v>
      </c>
      <c r="C994" t="str">
        <f t="shared" si="535"/>
        <v>FFDFD3C0</v>
      </c>
      <c r="D994" t="s">
        <v>134</v>
      </c>
      <c r="E994">
        <v>7</v>
      </c>
      <c r="F994">
        <v>2007</v>
      </c>
      <c r="G994" t="s">
        <v>135</v>
      </c>
      <c r="J994" t="s">
        <v>136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61"/>
        <v>14:51:36.680</v>
      </c>
      <c r="T994" t="str">
        <f t="shared" si="561"/>
        <v>14:51:36.680</v>
      </c>
      <c r="U994" t="str">
        <f t="shared" si="547"/>
        <v>ACC530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1</v>
      </c>
      <c r="AH994">
        <v>0</v>
      </c>
      <c r="AI994" t="s">
        <v>455</v>
      </c>
      <c r="AJ994">
        <v>34.217154999999998</v>
      </c>
      <c r="AK994" t="s">
        <v>456</v>
      </c>
      <c r="AL994">
        <v>-116.940258</v>
      </c>
      <c r="AM994">
        <v>100</v>
      </c>
      <c r="AN994">
        <v>9200</v>
      </c>
      <c r="AO994" t="s">
        <v>118</v>
      </c>
      <c r="AP994">
        <v>-95</v>
      </c>
      <c r="AQ994">
        <v>-50</v>
      </c>
      <c r="AR994">
        <v>-320</v>
      </c>
      <c r="AZ994">
        <v>1200</v>
      </c>
      <c r="BA994">
        <v>1</v>
      </c>
      <c r="BB994" t="str">
        <f t="shared" si="548"/>
        <v xml:space="preserve">N9217B  </v>
      </c>
      <c r="BC994">
        <v>1</v>
      </c>
      <c r="BE994">
        <v>0</v>
      </c>
      <c r="BF994">
        <v>0</v>
      </c>
      <c r="BG994">
        <v>0</v>
      </c>
      <c r="BH994">
        <v>9300</v>
      </c>
      <c r="BI994">
        <v>1</v>
      </c>
      <c r="BJ994">
        <v>0</v>
      </c>
      <c r="BK994">
        <v>0</v>
      </c>
      <c r="BL994">
        <v>0</v>
      </c>
      <c r="BO994">
        <v>0</v>
      </c>
      <c r="BP994">
        <v>0</v>
      </c>
      <c r="BW994" t="str">
        <f t="shared" si="562"/>
        <v>14:51:36.683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293</v>
      </c>
      <c r="CR994">
        <v>1</v>
      </c>
      <c r="CW994">
        <v>15280149</v>
      </c>
      <c r="CY994">
        <v>0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25">
      <c r="A995" t="str">
        <f t="shared" si="560"/>
        <v>06/05/2020 14:51:31.062</v>
      </c>
      <c r="C995" t="str">
        <f t="shared" ref="C995:C1058" si="563">"FFDFD3C0"</f>
        <v>FFDFD3C0</v>
      </c>
      <c r="D995" t="s">
        <v>151</v>
      </c>
      <c r="E995">
        <v>9</v>
      </c>
      <c r="H995">
        <v>226</v>
      </c>
      <c r="I995" t="s">
        <v>152</v>
      </c>
      <c r="J995" t="s">
        <v>150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561"/>
        <v>14:51:36.680</v>
      </c>
      <c r="T995" t="str">
        <f t="shared" si="561"/>
        <v>14:51:36.680</v>
      </c>
      <c r="U995" t="str">
        <f t="shared" si="547"/>
        <v>ACC530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1</v>
      </c>
      <c r="AH995">
        <v>0</v>
      </c>
      <c r="AI995" t="s">
        <v>455</v>
      </c>
      <c r="AJ995">
        <v>34.217154999999998</v>
      </c>
      <c r="AK995" t="s">
        <v>456</v>
      </c>
      <c r="AL995">
        <v>-116.940258</v>
      </c>
      <c r="AM995">
        <v>100</v>
      </c>
      <c r="AN995">
        <v>9200</v>
      </c>
      <c r="AO995" t="s">
        <v>118</v>
      </c>
      <c r="AP995">
        <v>-95</v>
      </c>
      <c r="AQ995">
        <v>-50</v>
      </c>
      <c r="AR995">
        <v>-320</v>
      </c>
      <c r="AZ995">
        <v>1200</v>
      </c>
      <c r="BA995">
        <v>1</v>
      </c>
      <c r="BB995" t="str">
        <f t="shared" si="548"/>
        <v xml:space="preserve">N9217B  </v>
      </c>
      <c r="BC995">
        <v>1</v>
      </c>
      <c r="BE995">
        <v>0</v>
      </c>
      <c r="BF995">
        <v>0</v>
      </c>
      <c r="BG995">
        <v>0</v>
      </c>
      <c r="BH995">
        <v>9300</v>
      </c>
      <c r="BI995">
        <v>1</v>
      </c>
      <c r="BJ995">
        <v>0</v>
      </c>
      <c r="BK995">
        <v>0</v>
      </c>
      <c r="BL995">
        <v>0</v>
      </c>
      <c r="BO995">
        <v>0</v>
      </c>
      <c r="BP995">
        <v>0</v>
      </c>
      <c r="BW995" t="str">
        <f t="shared" si="562"/>
        <v>14:51:36.683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293</v>
      </c>
      <c r="CR995">
        <v>1</v>
      </c>
      <c r="CW995">
        <v>15280149</v>
      </c>
      <c r="CY995">
        <v>0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25">
      <c r="A996" t="str">
        <f t="shared" si="560"/>
        <v>06/05/2020 14:51:31.062</v>
      </c>
      <c r="C996" t="str">
        <f t="shared" si="563"/>
        <v>FFDFD3C0</v>
      </c>
      <c r="D996" t="s">
        <v>141</v>
      </c>
      <c r="E996">
        <v>20</v>
      </c>
      <c r="F996">
        <v>1020</v>
      </c>
      <c r="G996" t="s">
        <v>114</v>
      </c>
      <c r="J996" t="s">
        <v>142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561"/>
        <v>14:51:36.680</v>
      </c>
      <c r="T996" t="str">
        <f t="shared" si="561"/>
        <v>14:51:36.680</v>
      </c>
      <c r="U996" t="str">
        <f t="shared" si="547"/>
        <v>ACC530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1</v>
      </c>
      <c r="AH996">
        <v>0</v>
      </c>
      <c r="AI996" t="s">
        <v>455</v>
      </c>
      <c r="AJ996">
        <v>34.217154999999998</v>
      </c>
      <c r="AK996" t="s">
        <v>456</v>
      </c>
      <c r="AL996">
        <v>-116.940258</v>
      </c>
      <c r="AM996">
        <v>100</v>
      </c>
      <c r="AN996">
        <v>9200</v>
      </c>
      <c r="AO996" t="s">
        <v>118</v>
      </c>
      <c r="AP996">
        <v>-95</v>
      </c>
      <c r="AQ996">
        <v>-50</v>
      </c>
      <c r="AR996">
        <v>-320</v>
      </c>
      <c r="AZ996">
        <v>1200</v>
      </c>
      <c r="BA996">
        <v>1</v>
      </c>
      <c r="BB996" t="str">
        <f t="shared" si="548"/>
        <v xml:space="preserve">N9217B  </v>
      </c>
      <c r="BC996">
        <v>1</v>
      </c>
      <c r="BE996">
        <v>0</v>
      </c>
      <c r="BF996">
        <v>0</v>
      </c>
      <c r="BG996">
        <v>0</v>
      </c>
      <c r="BH996">
        <v>9300</v>
      </c>
      <c r="BI996">
        <v>1</v>
      </c>
      <c r="BJ996">
        <v>0</v>
      </c>
      <c r="BK996">
        <v>0</v>
      </c>
      <c r="BL996">
        <v>0</v>
      </c>
      <c r="BO996">
        <v>0</v>
      </c>
      <c r="BP996">
        <v>0</v>
      </c>
      <c r="BW996" t="str">
        <f t="shared" si="562"/>
        <v>14:51:36.683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293</v>
      </c>
      <c r="CR996">
        <v>1</v>
      </c>
      <c r="CW996">
        <v>15280149</v>
      </c>
      <c r="CY996">
        <v>0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25">
      <c r="A997" t="str">
        <f t="shared" si="560"/>
        <v>06/05/2020 14:51:31.062</v>
      </c>
      <c r="C997" t="str">
        <f t="shared" si="563"/>
        <v>FFDFD3C0</v>
      </c>
      <c r="D997" t="s">
        <v>143</v>
      </c>
      <c r="E997">
        <v>10</v>
      </c>
      <c r="F997">
        <v>3010</v>
      </c>
      <c r="G997" t="s">
        <v>144</v>
      </c>
      <c r="J997" t="s">
        <v>145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561"/>
        <v>14:51:36.680</v>
      </c>
      <c r="T997" t="str">
        <f t="shared" si="561"/>
        <v>14:51:36.680</v>
      </c>
      <c r="U997" t="str">
        <f t="shared" si="547"/>
        <v>ACC530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1</v>
      </c>
      <c r="AH997">
        <v>0</v>
      </c>
      <c r="AI997" t="s">
        <v>455</v>
      </c>
      <c r="AJ997">
        <v>34.217154999999998</v>
      </c>
      <c r="AK997" t="s">
        <v>456</v>
      </c>
      <c r="AL997">
        <v>-116.940258</v>
      </c>
      <c r="AM997">
        <v>100</v>
      </c>
      <c r="AN997">
        <v>9200</v>
      </c>
      <c r="AO997" t="s">
        <v>118</v>
      </c>
      <c r="AP997">
        <v>-95</v>
      </c>
      <c r="AQ997">
        <v>-50</v>
      </c>
      <c r="AR997">
        <v>-320</v>
      </c>
      <c r="AZ997">
        <v>1200</v>
      </c>
      <c r="BA997">
        <v>1</v>
      </c>
      <c r="BB997" t="str">
        <f t="shared" si="548"/>
        <v xml:space="preserve">N9217B  </v>
      </c>
      <c r="BC997">
        <v>1</v>
      </c>
      <c r="BE997">
        <v>0</v>
      </c>
      <c r="BF997">
        <v>0</v>
      </c>
      <c r="BG997">
        <v>0</v>
      </c>
      <c r="BH997">
        <v>9300</v>
      </c>
      <c r="BI997">
        <v>1</v>
      </c>
      <c r="BJ997">
        <v>0</v>
      </c>
      <c r="BK997">
        <v>0</v>
      </c>
      <c r="BL997">
        <v>0</v>
      </c>
      <c r="BO997">
        <v>0</v>
      </c>
      <c r="BP997">
        <v>0</v>
      </c>
      <c r="BW997" t="str">
        <f t="shared" si="562"/>
        <v>14:51:36.683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293</v>
      </c>
      <c r="CR997">
        <v>1</v>
      </c>
      <c r="CW997">
        <v>15280149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25">
      <c r="A998" t="str">
        <f t="shared" si="560"/>
        <v>06/05/2020 14:51:31.062</v>
      </c>
      <c r="C998" t="str">
        <f t="shared" si="563"/>
        <v>FFDFD3C0</v>
      </c>
      <c r="D998" t="s">
        <v>148</v>
      </c>
      <c r="E998">
        <v>11</v>
      </c>
      <c r="H998">
        <v>53</v>
      </c>
      <c r="I998" t="s">
        <v>364</v>
      </c>
      <c r="J998" t="s">
        <v>150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61"/>
        <v>14:51:36.680</v>
      </c>
      <c r="T998" t="str">
        <f t="shared" si="561"/>
        <v>14:51:36.680</v>
      </c>
      <c r="U998" t="str">
        <f t="shared" si="547"/>
        <v>ACC530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1</v>
      </c>
      <c r="AH998">
        <v>0</v>
      </c>
      <c r="AI998" t="s">
        <v>455</v>
      </c>
      <c r="AJ998">
        <v>34.217154999999998</v>
      </c>
      <c r="AK998" t="s">
        <v>456</v>
      </c>
      <c r="AL998">
        <v>-116.940258</v>
      </c>
      <c r="AM998">
        <v>100</v>
      </c>
      <c r="AN998">
        <v>9200</v>
      </c>
      <c r="AO998" t="s">
        <v>118</v>
      </c>
      <c r="AP998">
        <v>-95</v>
      </c>
      <c r="AQ998">
        <v>-50</v>
      </c>
      <c r="AR998">
        <v>-320</v>
      </c>
      <c r="AZ998">
        <v>1200</v>
      </c>
      <c r="BA998">
        <v>1</v>
      </c>
      <c r="BB998" t="str">
        <f t="shared" si="548"/>
        <v xml:space="preserve">N9217B  </v>
      </c>
      <c r="BC998">
        <v>1</v>
      </c>
      <c r="BE998">
        <v>0</v>
      </c>
      <c r="BF998">
        <v>0</v>
      </c>
      <c r="BG998">
        <v>0</v>
      </c>
      <c r="BH998">
        <v>9300</v>
      </c>
      <c r="BI998">
        <v>1</v>
      </c>
      <c r="BJ998">
        <v>0</v>
      </c>
      <c r="BK998">
        <v>0</v>
      </c>
      <c r="BL998">
        <v>0</v>
      </c>
      <c r="BO998">
        <v>0</v>
      </c>
      <c r="BP998">
        <v>0</v>
      </c>
      <c r="BW998" t="str">
        <f t="shared" si="562"/>
        <v>14:51:36.683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293</v>
      </c>
      <c r="CR998">
        <v>1</v>
      </c>
      <c r="CW998">
        <v>15280149</v>
      </c>
      <c r="CY998">
        <v>0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25">
      <c r="A999" t="str">
        <f t="shared" si="560"/>
        <v>06/05/2020 14:51:31.062</v>
      </c>
      <c r="C999" t="str">
        <f t="shared" si="563"/>
        <v>FFDFD3C0</v>
      </c>
      <c r="D999" t="s">
        <v>113</v>
      </c>
      <c r="E999">
        <v>3</v>
      </c>
      <c r="H999">
        <v>166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561"/>
        <v>14:51:36.680</v>
      </c>
      <c r="T999" t="str">
        <f t="shared" si="561"/>
        <v>14:51:36.680</v>
      </c>
      <c r="U999" t="str">
        <f t="shared" si="547"/>
        <v>ACC530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1</v>
      </c>
      <c r="AH999">
        <v>0</v>
      </c>
      <c r="AI999" t="s">
        <v>455</v>
      </c>
      <c r="AJ999">
        <v>34.217154999999998</v>
      </c>
      <c r="AK999" t="s">
        <v>456</v>
      </c>
      <c r="AL999">
        <v>-116.940258</v>
      </c>
      <c r="AM999">
        <v>100</v>
      </c>
      <c r="AN999">
        <v>9200</v>
      </c>
      <c r="AO999" t="s">
        <v>118</v>
      </c>
      <c r="AP999">
        <v>-95</v>
      </c>
      <c r="AQ999">
        <v>-50</v>
      </c>
      <c r="AR999">
        <v>-320</v>
      </c>
      <c r="AZ999">
        <v>1200</v>
      </c>
      <c r="BA999">
        <v>1</v>
      </c>
      <c r="BB999" t="str">
        <f t="shared" si="548"/>
        <v xml:space="preserve">N9217B  </v>
      </c>
      <c r="BC999">
        <v>1</v>
      </c>
      <c r="BE999">
        <v>0</v>
      </c>
      <c r="BF999">
        <v>0</v>
      </c>
      <c r="BG999">
        <v>0</v>
      </c>
      <c r="BH999">
        <v>9300</v>
      </c>
      <c r="BI999">
        <v>1</v>
      </c>
      <c r="BJ999">
        <v>0</v>
      </c>
      <c r="BK999">
        <v>0</v>
      </c>
      <c r="BL999">
        <v>0</v>
      </c>
      <c r="BO999">
        <v>0</v>
      </c>
      <c r="BP999">
        <v>0</v>
      </c>
      <c r="BW999" t="str">
        <f t="shared" si="562"/>
        <v>14:51:36.683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293</v>
      </c>
      <c r="CR999">
        <v>1</v>
      </c>
      <c r="CW999">
        <v>15280149</v>
      </c>
      <c r="CY999">
        <v>0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25">
      <c r="A1000" t="str">
        <f t="shared" ref="A1000:A1007" si="564">"06/05/2020 14:51:32.073"</f>
        <v>06/05/2020 14:51:32.073</v>
      </c>
      <c r="C1000" t="str">
        <f t="shared" si="563"/>
        <v>FFDFD3C0</v>
      </c>
      <c r="D1000" t="s">
        <v>134</v>
      </c>
      <c r="E1000">
        <v>7</v>
      </c>
      <c r="F1000">
        <v>2007</v>
      </c>
      <c r="G1000" t="s">
        <v>135</v>
      </c>
      <c r="J1000" t="s">
        <v>136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ref="S1000:T1007" si="565">"14:51:37.711"</f>
        <v>14:51:37.711</v>
      </c>
      <c r="T1000" t="str">
        <f t="shared" si="565"/>
        <v>14:51:37.711</v>
      </c>
      <c r="U1000" t="str">
        <f t="shared" si="547"/>
        <v>ACC530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1</v>
      </c>
      <c r="AH1000">
        <v>0</v>
      </c>
      <c r="AI1000" t="s">
        <v>457</v>
      </c>
      <c r="AJ1000">
        <v>34.216918999999997</v>
      </c>
      <c r="AK1000" t="s">
        <v>458</v>
      </c>
      <c r="AL1000">
        <v>-116.940837</v>
      </c>
      <c r="AM1000">
        <v>100</v>
      </c>
      <c r="AN1000">
        <v>9200</v>
      </c>
      <c r="AO1000" t="s">
        <v>118</v>
      </c>
      <c r="AP1000">
        <v>-96</v>
      </c>
      <c r="AQ1000">
        <v>-51</v>
      </c>
      <c r="AR1000">
        <v>-448</v>
      </c>
      <c r="AZ1000">
        <v>1200</v>
      </c>
      <c r="BA1000">
        <v>1</v>
      </c>
      <c r="BB1000" t="str">
        <f t="shared" si="548"/>
        <v xml:space="preserve">N9217B  </v>
      </c>
      <c r="BC1000">
        <v>1</v>
      </c>
      <c r="BE1000">
        <v>0</v>
      </c>
      <c r="BF1000">
        <v>0</v>
      </c>
      <c r="BG1000">
        <v>0</v>
      </c>
      <c r="BH1000">
        <v>9300</v>
      </c>
      <c r="BI1000">
        <v>1</v>
      </c>
      <c r="BJ1000">
        <v>0</v>
      </c>
      <c r="BK1000">
        <v>0</v>
      </c>
      <c r="BL1000">
        <v>0</v>
      </c>
      <c r="BO1000">
        <v>0</v>
      </c>
      <c r="BP1000">
        <v>0</v>
      </c>
      <c r="BW1000" t="str">
        <f t="shared" ref="BW1000:BW1007" si="566">"14:51:37.718"</f>
        <v>14:51:37.718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293</v>
      </c>
      <c r="CR1000">
        <v>1</v>
      </c>
      <c r="CW1000">
        <v>15280262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25">
      <c r="A1001" t="str">
        <f t="shared" si="564"/>
        <v>06/05/2020 14:51:32.073</v>
      </c>
      <c r="C1001" t="str">
        <f t="shared" si="563"/>
        <v>FFDFD3C0</v>
      </c>
      <c r="D1001" t="s">
        <v>151</v>
      </c>
      <c r="E1001">
        <v>8</v>
      </c>
      <c r="H1001">
        <v>225</v>
      </c>
      <c r="I1001" t="s">
        <v>353</v>
      </c>
      <c r="J1001" t="s">
        <v>150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565"/>
        <v>14:51:37.711</v>
      </c>
      <c r="T1001" t="str">
        <f t="shared" si="565"/>
        <v>14:51:37.711</v>
      </c>
      <c r="U1001" t="str">
        <f t="shared" si="547"/>
        <v>ACC530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1</v>
      </c>
      <c r="AH1001">
        <v>0</v>
      </c>
      <c r="AI1001" t="s">
        <v>457</v>
      </c>
      <c r="AJ1001">
        <v>34.216918999999997</v>
      </c>
      <c r="AK1001" t="s">
        <v>458</v>
      </c>
      <c r="AL1001">
        <v>-116.940837</v>
      </c>
      <c r="AM1001">
        <v>100</v>
      </c>
      <c r="AN1001">
        <v>9200</v>
      </c>
      <c r="AO1001" t="s">
        <v>118</v>
      </c>
      <c r="AP1001">
        <v>-96</v>
      </c>
      <c r="AQ1001">
        <v>-51</v>
      </c>
      <c r="AR1001">
        <v>-448</v>
      </c>
      <c r="AZ1001">
        <v>1200</v>
      </c>
      <c r="BA1001">
        <v>1</v>
      </c>
      <c r="BB1001" t="str">
        <f t="shared" si="548"/>
        <v xml:space="preserve">N9217B  </v>
      </c>
      <c r="BC1001">
        <v>1</v>
      </c>
      <c r="BE1001">
        <v>0</v>
      </c>
      <c r="BF1001">
        <v>0</v>
      </c>
      <c r="BG1001">
        <v>0</v>
      </c>
      <c r="BH1001">
        <v>9300</v>
      </c>
      <c r="BI1001">
        <v>1</v>
      </c>
      <c r="BJ1001">
        <v>0</v>
      </c>
      <c r="BK1001">
        <v>0</v>
      </c>
      <c r="BL1001">
        <v>0</v>
      </c>
      <c r="BO1001">
        <v>0</v>
      </c>
      <c r="BP1001">
        <v>0</v>
      </c>
      <c r="BW1001" t="str">
        <f t="shared" si="566"/>
        <v>14:51:37.718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6</v>
      </c>
      <c r="CP1001" t="s">
        <v>119</v>
      </c>
      <c r="CQ1001">
        <v>285</v>
      </c>
      <c r="CR1001">
        <v>0</v>
      </c>
      <c r="CW1001">
        <v>8847833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25">
      <c r="A1002" t="str">
        <f t="shared" si="564"/>
        <v>06/05/2020 14:51:32.073</v>
      </c>
      <c r="C1002" t="str">
        <f t="shared" si="563"/>
        <v>FFDFD3C0</v>
      </c>
      <c r="D1002" t="s">
        <v>148</v>
      </c>
      <c r="E1002">
        <v>8</v>
      </c>
      <c r="H1002">
        <v>50</v>
      </c>
      <c r="I1002" t="s">
        <v>149</v>
      </c>
      <c r="J1002" t="s">
        <v>150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565"/>
        <v>14:51:37.711</v>
      </c>
      <c r="T1002" t="str">
        <f t="shared" si="565"/>
        <v>14:51:37.711</v>
      </c>
      <c r="U1002" t="str">
        <f t="shared" si="547"/>
        <v>ACC530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1</v>
      </c>
      <c r="AH1002">
        <v>0</v>
      </c>
      <c r="AI1002" t="s">
        <v>457</v>
      </c>
      <c r="AJ1002">
        <v>34.216918999999997</v>
      </c>
      <c r="AK1002" t="s">
        <v>458</v>
      </c>
      <c r="AL1002">
        <v>-116.940837</v>
      </c>
      <c r="AM1002">
        <v>100</v>
      </c>
      <c r="AN1002">
        <v>9200</v>
      </c>
      <c r="AO1002" t="s">
        <v>118</v>
      </c>
      <c r="AP1002">
        <v>-96</v>
      </c>
      <c r="AQ1002">
        <v>-51</v>
      </c>
      <c r="AR1002">
        <v>-448</v>
      </c>
      <c r="AZ1002">
        <v>1200</v>
      </c>
      <c r="BA1002">
        <v>1</v>
      </c>
      <c r="BB1002" t="str">
        <f t="shared" si="548"/>
        <v xml:space="preserve">N9217B  </v>
      </c>
      <c r="BC1002">
        <v>1</v>
      </c>
      <c r="BE1002">
        <v>0</v>
      </c>
      <c r="BF1002">
        <v>0</v>
      </c>
      <c r="BG1002">
        <v>0</v>
      </c>
      <c r="BH1002">
        <v>9300</v>
      </c>
      <c r="BI1002">
        <v>1</v>
      </c>
      <c r="BJ1002">
        <v>0</v>
      </c>
      <c r="BK1002">
        <v>0</v>
      </c>
      <c r="BL1002">
        <v>0</v>
      </c>
      <c r="BO1002">
        <v>0</v>
      </c>
      <c r="BP1002">
        <v>0</v>
      </c>
      <c r="BW1002" t="str">
        <f t="shared" si="566"/>
        <v>14:51:37.718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293</v>
      </c>
      <c r="CR1002">
        <v>1</v>
      </c>
      <c r="CW1002">
        <v>15280262</v>
      </c>
      <c r="CY1002">
        <v>0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25">
      <c r="A1003" t="str">
        <f t="shared" si="564"/>
        <v>06/05/2020 14:51:32.073</v>
      </c>
      <c r="C1003" t="str">
        <f t="shared" si="563"/>
        <v>FFDFD3C0</v>
      </c>
      <c r="D1003" t="s">
        <v>141</v>
      </c>
      <c r="E1003">
        <v>20</v>
      </c>
      <c r="F1003">
        <v>1020</v>
      </c>
      <c r="G1003" t="s">
        <v>114</v>
      </c>
      <c r="J1003" t="s">
        <v>142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565"/>
        <v>14:51:37.711</v>
      </c>
      <c r="T1003" t="str">
        <f t="shared" si="565"/>
        <v>14:51:37.711</v>
      </c>
      <c r="U1003" t="str">
        <f t="shared" si="547"/>
        <v>ACC530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1</v>
      </c>
      <c r="AH1003">
        <v>0</v>
      </c>
      <c r="AI1003" t="s">
        <v>457</v>
      </c>
      <c r="AJ1003">
        <v>34.216918999999997</v>
      </c>
      <c r="AK1003" t="s">
        <v>458</v>
      </c>
      <c r="AL1003">
        <v>-116.940837</v>
      </c>
      <c r="AM1003">
        <v>100</v>
      </c>
      <c r="AN1003">
        <v>9200</v>
      </c>
      <c r="AO1003" t="s">
        <v>118</v>
      </c>
      <c r="AP1003">
        <v>-96</v>
      </c>
      <c r="AQ1003">
        <v>-51</v>
      </c>
      <c r="AR1003">
        <v>-448</v>
      </c>
      <c r="AZ1003">
        <v>1200</v>
      </c>
      <c r="BA1003">
        <v>1</v>
      </c>
      <c r="BB1003" t="str">
        <f t="shared" si="548"/>
        <v xml:space="preserve">N9217B  </v>
      </c>
      <c r="BC1003">
        <v>1</v>
      </c>
      <c r="BE1003">
        <v>0</v>
      </c>
      <c r="BF1003">
        <v>0</v>
      </c>
      <c r="BG1003">
        <v>0</v>
      </c>
      <c r="BH1003">
        <v>9300</v>
      </c>
      <c r="BI1003">
        <v>1</v>
      </c>
      <c r="BJ1003">
        <v>0</v>
      </c>
      <c r="BK1003">
        <v>0</v>
      </c>
      <c r="BL1003">
        <v>0</v>
      </c>
      <c r="BO1003">
        <v>0</v>
      </c>
      <c r="BP1003">
        <v>0</v>
      </c>
      <c r="BW1003" t="str">
        <f t="shared" si="566"/>
        <v>14:51:37.718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293</v>
      </c>
      <c r="CR1003">
        <v>1</v>
      </c>
      <c r="CW1003">
        <v>15280262</v>
      </c>
      <c r="CY1003">
        <v>0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25">
      <c r="A1004" t="str">
        <f t="shared" si="564"/>
        <v>06/05/2020 14:51:32.073</v>
      </c>
      <c r="C1004" t="str">
        <f t="shared" si="563"/>
        <v>FFDFD3C0</v>
      </c>
      <c r="D1004" t="s">
        <v>151</v>
      </c>
      <c r="E1004">
        <v>9</v>
      </c>
      <c r="H1004">
        <v>226</v>
      </c>
      <c r="I1004" t="s">
        <v>152</v>
      </c>
      <c r="J1004" t="s">
        <v>150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565"/>
        <v>14:51:37.711</v>
      </c>
      <c r="T1004" t="str">
        <f t="shared" si="565"/>
        <v>14:51:37.711</v>
      </c>
      <c r="U1004" t="str">
        <f t="shared" si="547"/>
        <v>ACC530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1</v>
      </c>
      <c r="AH1004">
        <v>0</v>
      </c>
      <c r="AI1004" t="s">
        <v>457</v>
      </c>
      <c r="AJ1004">
        <v>34.216918999999997</v>
      </c>
      <c r="AK1004" t="s">
        <v>458</v>
      </c>
      <c r="AL1004">
        <v>-116.940837</v>
      </c>
      <c r="AM1004">
        <v>100</v>
      </c>
      <c r="AN1004">
        <v>9200</v>
      </c>
      <c r="AO1004" t="s">
        <v>118</v>
      </c>
      <c r="AP1004">
        <v>-96</v>
      </c>
      <c r="AQ1004">
        <v>-51</v>
      </c>
      <c r="AR1004">
        <v>-448</v>
      </c>
      <c r="AZ1004">
        <v>1200</v>
      </c>
      <c r="BA1004">
        <v>1</v>
      </c>
      <c r="BB1004" t="str">
        <f t="shared" si="548"/>
        <v xml:space="preserve">N9217B  </v>
      </c>
      <c r="BC1004">
        <v>1</v>
      </c>
      <c r="BE1004">
        <v>0</v>
      </c>
      <c r="BF1004">
        <v>0</v>
      </c>
      <c r="BG1004">
        <v>0</v>
      </c>
      <c r="BH1004">
        <v>9300</v>
      </c>
      <c r="BI1004">
        <v>1</v>
      </c>
      <c r="BJ1004">
        <v>0</v>
      </c>
      <c r="BK1004">
        <v>0</v>
      </c>
      <c r="BL1004">
        <v>0</v>
      </c>
      <c r="BO1004">
        <v>0</v>
      </c>
      <c r="BP1004">
        <v>0</v>
      </c>
      <c r="BW1004" t="str">
        <f t="shared" si="566"/>
        <v>14:51:37.718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293</v>
      </c>
      <c r="CR1004">
        <v>1</v>
      </c>
      <c r="CW1004">
        <v>15280262</v>
      </c>
      <c r="CY1004">
        <v>0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25">
      <c r="A1005" t="str">
        <f t="shared" si="564"/>
        <v>06/05/2020 14:51:32.073</v>
      </c>
      <c r="C1005" t="str">
        <f t="shared" si="563"/>
        <v>FFDFD3C0</v>
      </c>
      <c r="D1005" t="s">
        <v>143</v>
      </c>
      <c r="E1005">
        <v>10</v>
      </c>
      <c r="F1005">
        <v>3010</v>
      </c>
      <c r="G1005" t="s">
        <v>144</v>
      </c>
      <c r="J1005" t="s">
        <v>145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565"/>
        <v>14:51:37.711</v>
      </c>
      <c r="T1005" t="str">
        <f t="shared" si="565"/>
        <v>14:51:37.711</v>
      </c>
      <c r="U1005" t="str">
        <f t="shared" si="547"/>
        <v>ACC530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1</v>
      </c>
      <c r="AH1005">
        <v>0</v>
      </c>
      <c r="AI1005" t="s">
        <v>457</v>
      </c>
      <c r="AJ1005">
        <v>34.216918999999997</v>
      </c>
      <c r="AK1005" t="s">
        <v>458</v>
      </c>
      <c r="AL1005">
        <v>-116.940837</v>
      </c>
      <c r="AM1005">
        <v>100</v>
      </c>
      <c r="AN1005">
        <v>9200</v>
      </c>
      <c r="AO1005" t="s">
        <v>118</v>
      </c>
      <c r="AP1005">
        <v>-96</v>
      </c>
      <c r="AQ1005">
        <v>-51</v>
      </c>
      <c r="AR1005">
        <v>-448</v>
      </c>
      <c r="AZ1005">
        <v>1200</v>
      </c>
      <c r="BA1005">
        <v>1</v>
      </c>
      <c r="BB1005" t="str">
        <f t="shared" si="548"/>
        <v xml:space="preserve">N9217B  </v>
      </c>
      <c r="BC1005">
        <v>1</v>
      </c>
      <c r="BE1005">
        <v>0</v>
      </c>
      <c r="BF1005">
        <v>0</v>
      </c>
      <c r="BG1005">
        <v>0</v>
      </c>
      <c r="BH1005">
        <v>9300</v>
      </c>
      <c r="BI1005">
        <v>1</v>
      </c>
      <c r="BJ1005">
        <v>0</v>
      </c>
      <c r="BK1005">
        <v>0</v>
      </c>
      <c r="BL1005">
        <v>0</v>
      </c>
      <c r="BO1005">
        <v>0</v>
      </c>
      <c r="BP1005">
        <v>0</v>
      </c>
      <c r="BW1005" t="str">
        <f t="shared" si="566"/>
        <v>14:51:37.718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293</v>
      </c>
      <c r="CR1005">
        <v>1</v>
      </c>
      <c r="CW1005">
        <v>15280262</v>
      </c>
      <c r="CY1005">
        <v>0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25">
      <c r="A1006" t="str">
        <f t="shared" si="564"/>
        <v>06/05/2020 14:51:32.073</v>
      </c>
      <c r="C1006" t="str">
        <f t="shared" si="563"/>
        <v>FFDFD3C0</v>
      </c>
      <c r="D1006" t="s">
        <v>113</v>
      </c>
      <c r="E1006">
        <v>3</v>
      </c>
      <c r="H1006">
        <v>166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565"/>
        <v>14:51:37.711</v>
      </c>
      <c r="T1006" t="str">
        <f t="shared" si="565"/>
        <v>14:51:37.711</v>
      </c>
      <c r="U1006" t="str">
        <f t="shared" si="547"/>
        <v>ACC530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1</v>
      </c>
      <c r="AH1006">
        <v>0</v>
      </c>
      <c r="AI1006" t="s">
        <v>457</v>
      </c>
      <c r="AJ1006">
        <v>34.216918999999997</v>
      </c>
      <c r="AK1006" t="s">
        <v>458</v>
      </c>
      <c r="AL1006">
        <v>-116.940837</v>
      </c>
      <c r="AM1006">
        <v>100</v>
      </c>
      <c r="AN1006">
        <v>9200</v>
      </c>
      <c r="AO1006" t="s">
        <v>118</v>
      </c>
      <c r="AP1006">
        <v>-96</v>
      </c>
      <c r="AQ1006">
        <v>-51</v>
      </c>
      <c r="AR1006">
        <v>-448</v>
      </c>
      <c r="AZ1006">
        <v>1200</v>
      </c>
      <c r="BA1006">
        <v>1</v>
      </c>
      <c r="BB1006" t="str">
        <f t="shared" si="548"/>
        <v xml:space="preserve">N9217B  </v>
      </c>
      <c r="BC1006">
        <v>1</v>
      </c>
      <c r="BE1006">
        <v>0</v>
      </c>
      <c r="BF1006">
        <v>0</v>
      </c>
      <c r="BG1006">
        <v>0</v>
      </c>
      <c r="BH1006">
        <v>9300</v>
      </c>
      <c r="BI1006">
        <v>1</v>
      </c>
      <c r="BJ1006">
        <v>0</v>
      </c>
      <c r="BK1006">
        <v>0</v>
      </c>
      <c r="BL1006">
        <v>0</v>
      </c>
      <c r="BO1006">
        <v>0</v>
      </c>
      <c r="BP1006">
        <v>0</v>
      </c>
      <c r="BW1006" t="str">
        <f t="shared" si="566"/>
        <v>14:51:37.718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293</v>
      </c>
      <c r="CR1006">
        <v>1</v>
      </c>
      <c r="CW1006">
        <v>15280262</v>
      </c>
      <c r="CY1006">
        <v>0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25">
      <c r="A1007" t="str">
        <f t="shared" si="564"/>
        <v>06/05/2020 14:51:32.073</v>
      </c>
      <c r="C1007" t="str">
        <f t="shared" si="563"/>
        <v>FFDFD3C0</v>
      </c>
      <c r="D1007" t="s">
        <v>148</v>
      </c>
      <c r="E1007">
        <v>11</v>
      </c>
      <c r="H1007">
        <v>53</v>
      </c>
      <c r="I1007" t="s">
        <v>364</v>
      </c>
      <c r="J1007" t="s">
        <v>150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565"/>
        <v>14:51:37.711</v>
      </c>
      <c r="T1007" t="str">
        <f t="shared" si="565"/>
        <v>14:51:37.711</v>
      </c>
      <c r="U1007" t="str">
        <f t="shared" si="547"/>
        <v>ACC530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1</v>
      </c>
      <c r="AH1007">
        <v>0</v>
      </c>
      <c r="AI1007" t="s">
        <v>457</v>
      </c>
      <c r="AJ1007">
        <v>34.216918999999997</v>
      </c>
      <c r="AK1007" t="s">
        <v>458</v>
      </c>
      <c r="AL1007">
        <v>-116.940837</v>
      </c>
      <c r="AM1007">
        <v>100</v>
      </c>
      <c r="AN1007">
        <v>9200</v>
      </c>
      <c r="AO1007" t="s">
        <v>118</v>
      </c>
      <c r="AP1007">
        <v>-96</v>
      </c>
      <c r="AQ1007">
        <v>-51</v>
      </c>
      <c r="AR1007">
        <v>-448</v>
      </c>
      <c r="AZ1007">
        <v>1200</v>
      </c>
      <c r="BA1007">
        <v>1</v>
      </c>
      <c r="BB1007" t="str">
        <f t="shared" si="548"/>
        <v xml:space="preserve">N9217B  </v>
      </c>
      <c r="BC1007">
        <v>1</v>
      </c>
      <c r="BE1007">
        <v>0</v>
      </c>
      <c r="BF1007">
        <v>0</v>
      </c>
      <c r="BG1007">
        <v>0</v>
      </c>
      <c r="BH1007">
        <v>9300</v>
      </c>
      <c r="BI1007">
        <v>1</v>
      </c>
      <c r="BJ1007">
        <v>0</v>
      </c>
      <c r="BK1007">
        <v>0</v>
      </c>
      <c r="BL1007">
        <v>0</v>
      </c>
      <c r="BO1007">
        <v>0</v>
      </c>
      <c r="BP1007">
        <v>0</v>
      </c>
      <c r="BW1007" t="str">
        <f t="shared" si="566"/>
        <v>14:51:37.718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293</v>
      </c>
      <c r="CR1007">
        <v>1</v>
      </c>
      <c r="CW1007">
        <v>15280262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25">
      <c r="A1008" t="str">
        <f t="shared" ref="A1008:A1015" si="567">"06/05/2020 14:51:32.981"</f>
        <v>06/05/2020 14:51:32.981</v>
      </c>
      <c r="C1008" t="str">
        <f t="shared" si="563"/>
        <v>FFDFD3C0</v>
      </c>
      <c r="D1008" t="s">
        <v>134</v>
      </c>
      <c r="E1008">
        <v>7</v>
      </c>
      <c r="F1008">
        <v>2007</v>
      </c>
      <c r="G1008" t="s">
        <v>135</v>
      </c>
      <c r="J1008" t="s">
        <v>136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ref="S1008:S1015" si="568">"14:51:38.617"</f>
        <v>14:51:38.617</v>
      </c>
      <c r="T1008" t="str">
        <f t="shared" ref="T1008:T1015" si="569">"14:51:38.317"</f>
        <v>14:51:38.317</v>
      </c>
      <c r="U1008" t="str">
        <f t="shared" si="547"/>
        <v>ACC530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1</v>
      </c>
      <c r="AH1008">
        <v>0</v>
      </c>
      <c r="AI1008" t="s">
        <v>459</v>
      </c>
      <c r="AJ1008">
        <v>34.216683000000003</v>
      </c>
      <c r="AK1008" t="s">
        <v>460</v>
      </c>
      <c r="AL1008">
        <v>-116.94132999999999</v>
      </c>
      <c r="AM1008">
        <v>100</v>
      </c>
      <c r="AN1008">
        <v>9200</v>
      </c>
      <c r="AO1008" t="s">
        <v>118</v>
      </c>
      <c r="AP1008">
        <v>-96</v>
      </c>
      <c r="AQ1008">
        <v>-51</v>
      </c>
      <c r="AR1008">
        <v>-448</v>
      </c>
      <c r="AZ1008">
        <v>1200</v>
      </c>
      <c r="BA1008">
        <v>1</v>
      </c>
      <c r="BB1008" t="str">
        <f t="shared" si="548"/>
        <v xml:space="preserve">N9217B  </v>
      </c>
      <c r="BC1008">
        <v>1</v>
      </c>
      <c r="BE1008">
        <v>0</v>
      </c>
      <c r="BF1008">
        <v>0</v>
      </c>
      <c r="BG1008">
        <v>0</v>
      </c>
      <c r="BH1008">
        <v>9275</v>
      </c>
      <c r="BI1008">
        <v>1</v>
      </c>
      <c r="BJ1008">
        <v>0</v>
      </c>
      <c r="BK1008">
        <v>0</v>
      </c>
      <c r="BL1008">
        <v>0</v>
      </c>
      <c r="BO1008">
        <v>0</v>
      </c>
      <c r="BP1008">
        <v>0</v>
      </c>
      <c r="BW1008" t="str">
        <f t="shared" ref="BW1008:BW1015" si="570">"14:51:38.618"</f>
        <v>14:51:38.618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293</v>
      </c>
      <c r="CR1008">
        <v>1</v>
      </c>
      <c r="CW1008">
        <v>15280369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25">
      <c r="A1009" t="str">
        <f t="shared" si="567"/>
        <v>06/05/2020 14:51:32.981</v>
      </c>
      <c r="C1009" t="str">
        <f t="shared" si="563"/>
        <v>FFDFD3C0</v>
      </c>
      <c r="D1009" t="s">
        <v>151</v>
      </c>
      <c r="E1009">
        <v>8</v>
      </c>
      <c r="H1009">
        <v>225</v>
      </c>
      <c r="I1009" t="s">
        <v>353</v>
      </c>
      <c r="J1009" t="s">
        <v>150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68"/>
        <v>14:51:38.617</v>
      </c>
      <c r="T1009" t="str">
        <f t="shared" si="569"/>
        <v>14:51:38.317</v>
      </c>
      <c r="U1009" t="str">
        <f t="shared" si="547"/>
        <v>ACC530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1</v>
      </c>
      <c r="AH1009">
        <v>0</v>
      </c>
      <c r="AI1009" t="s">
        <v>459</v>
      </c>
      <c r="AJ1009">
        <v>34.216683000000003</v>
      </c>
      <c r="AK1009" t="s">
        <v>460</v>
      </c>
      <c r="AL1009">
        <v>-116.94132999999999</v>
      </c>
      <c r="AM1009">
        <v>100</v>
      </c>
      <c r="AN1009">
        <v>9200</v>
      </c>
      <c r="AO1009" t="s">
        <v>118</v>
      </c>
      <c r="AP1009">
        <v>-96</v>
      </c>
      <c r="AQ1009">
        <v>-51</v>
      </c>
      <c r="AR1009">
        <v>-448</v>
      </c>
      <c r="AZ1009">
        <v>1200</v>
      </c>
      <c r="BA1009">
        <v>1</v>
      </c>
      <c r="BB1009" t="str">
        <f t="shared" si="548"/>
        <v xml:space="preserve">N9217B  </v>
      </c>
      <c r="BC1009">
        <v>1</v>
      </c>
      <c r="BE1009">
        <v>0</v>
      </c>
      <c r="BF1009">
        <v>0</v>
      </c>
      <c r="BG1009">
        <v>0</v>
      </c>
      <c r="BH1009">
        <v>9275</v>
      </c>
      <c r="BI1009">
        <v>1</v>
      </c>
      <c r="BJ1009">
        <v>0</v>
      </c>
      <c r="BK1009">
        <v>0</v>
      </c>
      <c r="BL1009">
        <v>0</v>
      </c>
      <c r="BO1009">
        <v>0</v>
      </c>
      <c r="BP1009">
        <v>0</v>
      </c>
      <c r="BW1009" t="str">
        <f t="shared" si="570"/>
        <v>14:51:38.618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6</v>
      </c>
      <c r="CP1009" t="s">
        <v>119</v>
      </c>
      <c r="CQ1009">
        <v>285</v>
      </c>
      <c r="CR1009">
        <v>0</v>
      </c>
      <c r="CW1009">
        <v>8847913</v>
      </c>
      <c r="CY1009">
        <v>0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25">
      <c r="A1010" t="str">
        <f t="shared" si="567"/>
        <v>06/05/2020 14:51:32.981</v>
      </c>
      <c r="C1010" t="str">
        <f t="shared" si="563"/>
        <v>FFDFD3C0</v>
      </c>
      <c r="D1010" t="s">
        <v>148</v>
      </c>
      <c r="E1010">
        <v>8</v>
      </c>
      <c r="H1010">
        <v>50</v>
      </c>
      <c r="I1010" t="s">
        <v>149</v>
      </c>
      <c r="J1010" t="s">
        <v>150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568"/>
        <v>14:51:38.617</v>
      </c>
      <c r="T1010" t="str">
        <f t="shared" si="569"/>
        <v>14:51:38.317</v>
      </c>
      <c r="U1010" t="str">
        <f t="shared" si="547"/>
        <v>ACC530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1</v>
      </c>
      <c r="AH1010">
        <v>0</v>
      </c>
      <c r="AI1010" t="s">
        <v>459</v>
      </c>
      <c r="AJ1010">
        <v>34.216683000000003</v>
      </c>
      <c r="AK1010" t="s">
        <v>460</v>
      </c>
      <c r="AL1010">
        <v>-116.94132999999999</v>
      </c>
      <c r="AM1010">
        <v>100</v>
      </c>
      <c r="AN1010">
        <v>9200</v>
      </c>
      <c r="AO1010" t="s">
        <v>118</v>
      </c>
      <c r="AP1010">
        <v>-96</v>
      </c>
      <c r="AQ1010">
        <v>-51</v>
      </c>
      <c r="AR1010">
        <v>-448</v>
      </c>
      <c r="AZ1010">
        <v>1200</v>
      </c>
      <c r="BA1010">
        <v>1</v>
      </c>
      <c r="BB1010" t="str">
        <f t="shared" si="548"/>
        <v xml:space="preserve">N9217B  </v>
      </c>
      <c r="BC1010">
        <v>1</v>
      </c>
      <c r="BE1010">
        <v>0</v>
      </c>
      <c r="BF1010">
        <v>0</v>
      </c>
      <c r="BG1010">
        <v>0</v>
      </c>
      <c r="BH1010">
        <v>9275</v>
      </c>
      <c r="BI1010">
        <v>1</v>
      </c>
      <c r="BJ1010">
        <v>0</v>
      </c>
      <c r="BK1010">
        <v>0</v>
      </c>
      <c r="BL1010">
        <v>0</v>
      </c>
      <c r="BO1010">
        <v>0</v>
      </c>
      <c r="BP1010">
        <v>0</v>
      </c>
      <c r="BW1010" t="str">
        <f t="shared" si="570"/>
        <v>14:51:38.618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293</v>
      </c>
      <c r="CR1010">
        <v>1</v>
      </c>
      <c r="CW1010">
        <v>15280369</v>
      </c>
      <c r="CY1010">
        <v>0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25">
      <c r="A1011" t="str">
        <f t="shared" si="567"/>
        <v>06/05/2020 14:51:32.981</v>
      </c>
      <c r="C1011" t="str">
        <f t="shared" si="563"/>
        <v>FFDFD3C0</v>
      </c>
      <c r="D1011" t="s">
        <v>141</v>
      </c>
      <c r="E1011">
        <v>20</v>
      </c>
      <c r="F1011">
        <v>1020</v>
      </c>
      <c r="G1011" t="s">
        <v>114</v>
      </c>
      <c r="J1011" t="s">
        <v>142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568"/>
        <v>14:51:38.617</v>
      </c>
      <c r="T1011" t="str">
        <f t="shared" si="569"/>
        <v>14:51:38.317</v>
      </c>
      <c r="U1011" t="str">
        <f t="shared" si="547"/>
        <v>ACC530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1</v>
      </c>
      <c r="AH1011">
        <v>0</v>
      </c>
      <c r="AI1011" t="s">
        <v>459</v>
      </c>
      <c r="AJ1011">
        <v>34.216683000000003</v>
      </c>
      <c r="AK1011" t="s">
        <v>460</v>
      </c>
      <c r="AL1011">
        <v>-116.94132999999999</v>
      </c>
      <c r="AM1011">
        <v>100</v>
      </c>
      <c r="AN1011">
        <v>9200</v>
      </c>
      <c r="AO1011" t="s">
        <v>118</v>
      </c>
      <c r="AP1011">
        <v>-96</v>
      </c>
      <c r="AQ1011">
        <v>-51</v>
      </c>
      <c r="AR1011">
        <v>-448</v>
      </c>
      <c r="AZ1011">
        <v>1200</v>
      </c>
      <c r="BA1011">
        <v>1</v>
      </c>
      <c r="BB1011" t="str">
        <f t="shared" si="548"/>
        <v xml:space="preserve">N9217B  </v>
      </c>
      <c r="BC1011">
        <v>1</v>
      </c>
      <c r="BE1011">
        <v>0</v>
      </c>
      <c r="BF1011">
        <v>0</v>
      </c>
      <c r="BG1011">
        <v>0</v>
      </c>
      <c r="BH1011">
        <v>9275</v>
      </c>
      <c r="BI1011">
        <v>1</v>
      </c>
      <c r="BJ1011">
        <v>0</v>
      </c>
      <c r="BK1011">
        <v>0</v>
      </c>
      <c r="BL1011">
        <v>0</v>
      </c>
      <c r="BO1011">
        <v>0</v>
      </c>
      <c r="BP1011">
        <v>0</v>
      </c>
      <c r="BW1011" t="str">
        <f t="shared" si="570"/>
        <v>14:51:38.618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293</v>
      </c>
      <c r="CR1011">
        <v>1</v>
      </c>
      <c r="CW1011">
        <v>15280369</v>
      </c>
      <c r="CY1011">
        <v>0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25">
      <c r="A1012" t="str">
        <f t="shared" si="567"/>
        <v>06/05/2020 14:51:32.981</v>
      </c>
      <c r="C1012" t="str">
        <f t="shared" si="563"/>
        <v>FFDFD3C0</v>
      </c>
      <c r="D1012" t="s">
        <v>151</v>
      </c>
      <c r="E1012">
        <v>9</v>
      </c>
      <c r="H1012">
        <v>226</v>
      </c>
      <c r="I1012" t="s">
        <v>152</v>
      </c>
      <c r="J1012" t="s">
        <v>150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68"/>
        <v>14:51:38.617</v>
      </c>
      <c r="T1012" t="str">
        <f t="shared" si="569"/>
        <v>14:51:38.317</v>
      </c>
      <c r="U1012" t="str">
        <f t="shared" si="547"/>
        <v>ACC530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1</v>
      </c>
      <c r="AH1012">
        <v>0</v>
      </c>
      <c r="AI1012" t="s">
        <v>459</v>
      </c>
      <c r="AJ1012">
        <v>34.216683000000003</v>
      </c>
      <c r="AK1012" t="s">
        <v>460</v>
      </c>
      <c r="AL1012">
        <v>-116.94132999999999</v>
      </c>
      <c r="AM1012">
        <v>100</v>
      </c>
      <c r="AN1012">
        <v>9200</v>
      </c>
      <c r="AO1012" t="s">
        <v>118</v>
      </c>
      <c r="AP1012">
        <v>-96</v>
      </c>
      <c r="AQ1012">
        <v>-51</v>
      </c>
      <c r="AR1012">
        <v>-448</v>
      </c>
      <c r="AZ1012">
        <v>1200</v>
      </c>
      <c r="BA1012">
        <v>1</v>
      </c>
      <c r="BB1012" t="str">
        <f t="shared" si="548"/>
        <v xml:space="preserve">N9217B  </v>
      </c>
      <c r="BC1012">
        <v>1</v>
      </c>
      <c r="BE1012">
        <v>0</v>
      </c>
      <c r="BF1012">
        <v>0</v>
      </c>
      <c r="BG1012">
        <v>0</v>
      </c>
      <c r="BH1012">
        <v>9275</v>
      </c>
      <c r="BI1012">
        <v>1</v>
      </c>
      <c r="BJ1012">
        <v>0</v>
      </c>
      <c r="BK1012">
        <v>0</v>
      </c>
      <c r="BL1012">
        <v>0</v>
      </c>
      <c r="BO1012">
        <v>0</v>
      </c>
      <c r="BP1012">
        <v>0</v>
      </c>
      <c r="BW1012" t="str">
        <f t="shared" si="570"/>
        <v>14:51:38.618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293</v>
      </c>
      <c r="CR1012">
        <v>1</v>
      </c>
      <c r="CW1012">
        <v>15280369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25">
      <c r="A1013" t="str">
        <f t="shared" si="567"/>
        <v>06/05/2020 14:51:32.981</v>
      </c>
      <c r="C1013" t="str">
        <f t="shared" si="563"/>
        <v>FFDFD3C0</v>
      </c>
      <c r="D1013" t="s">
        <v>143</v>
      </c>
      <c r="E1013">
        <v>10</v>
      </c>
      <c r="F1013">
        <v>3010</v>
      </c>
      <c r="G1013" t="s">
        <v>144</v>
      </c>
      <c r="J1013" t="s">
        <v>145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568"/>
        <v>14:51:38.617</v>
      </c>
      <c r="T1013" t="str">
        <f t="shared" si="569"/>
        <v>14:51:38.317</v>
      </c>
      <c r="U1013" t="str">
        <f t="shared" si="547"/>
        <v>ACC530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1</v>
      </c>
      <c r="AH1013">
        <v>0</v>
      </c>
      <c r="AI1013" t="s">
        <v>459</v>
      </c>
      <c r="AJ1013">
        <v>34.216683000000003</v>
      </c>
      <c r="AK1013" t="s">
        <v>460</v>
      </c>
      <c r="AL1013">
        <v>-116.94132999999999</v>
      </c>
      <c r="AM1013">
        <v>100</v>
      </c>
      <c r="AN1013">
        <v>9200</v>
      </c>
      <c r="AO1013" t="s">
        <v>118</v>
      </c>
      <c r="AP1013">
        <v>-96</v>
      </c>
      <c r="AQ1013">
        <v>-51</v>
      </c>
      <c r="AR1013">
        <v>-448</v>
      </c>
      <c r="AZ1013">
        <v>1200</v>
      </c>
      <c r="BA1013">
        <v>1</v>
      </c>
      <c r="BB1013" t="str">
        <f t="shared" si="548"/>
        <v xml:space="preserve">N9217B  </v>
      </c>
      <c r="BC1013">
        <v>1</v>
      </c>
      <c r="BE1013">
        <v>0</v>
      </c>
      <c r="BF1013">
        <v>0</v>
      </c>
      <c r="BG1013">
        <v>0</v>
      </c>
      <c r="BH1013">
        <v>9275</v>
      </c>
      <c r="BI1013">
        <v>1</v>
      </c>
      <c r="BJ1013">
        <v>0</v>
      </c>
      <c r="BK1013">
        <v>0</v>
      </c>
      <c r="BL1013">
        <v>0</v>
      </c>
      <c r="BO1013">
        <v>0</v>
      </c>
      <c r="BP1013">
        <v>0</v>
      </c>
      <c r="BW1013" t="str">
        <f t="shared" si="570"/>
        <v>14:51:38.618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293</v>
      </c>
      <c r="CR1013">
        <v>1</v>
      </c>
      <c r="CW1013">
        <v>15280369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25">
      <c r="A1014" t="str">
        <f t="shared" si="567"/>
        <v>06/05/2020 14:51:32.981</v>
      </c>
      <c r="C1014" t="str">
        <f t="shared" si="563"/>
        <v>FFDFD3C0</v>
      </c>
      <c r="D1014" t="s">
        <v>113</v>
      </c>
      <c r="E1014">
        <v>3</v>
      </c>
      <c r="H1014">
        <v>166</v>
      </c>
      <c r="I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568"/>
        <v>14:51:38.617</v>
      </c>
      <c r="T1014" t="str">
        <f t="shared" si="569"/>
        <v>14:51:38.317</v>
      </c>
      <c r="U1014" t="str">
        <f t="shared" si="547"/>
        <v>ACC530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1</v>
      </c>
      <c r="AH1014">
        <v>0</v>
      </c>
      <c r="AI1014" t="s">
        <v>459</v>
      </c>
      <c r="AJ1014">
        <v>34.216683000000003</v>
      </c>
      <c r="AK1014" t="s">
        <v>460</v>
      </c>
      <c r="AL1014">
        <v>-116.94132999999999</v>
      </c>
      <c r="AM1014">
        <v>100</v>
      </c>
      <c r="AN1014">
        <v>9200</v>
      </c>
      <c r="AO1014" t="s">
        <v>118</v>
      </c>
      <c r="AP1014">
        <v>-96</v>
      </c>
      <c r="AQ1014">
        <v>-51</v>
      </c>
      <c r="AR1014">
        <v>-448</v>
      </c>
      <c r="AZ1014">
        <v>1200</v>
      </c>
      <c r="BA1014">
        <v>1</v>
      </c>
      <c r="BB1014" t="str">
        <f t="shared" si="548"/>
        <v xml:space="preserve">N9217B  </v>
      </c>
      <c r="BC1014">
        <v>1</v>
      </c>
      <c r="BE1014">
        <v>0</v>
      </c>
      <c r="BF1014">
        <v>0</v>
      </c>
      <c r="BG1014">
        <v>0</v>
      </c>
      <c r="BH1014">
        <v>9275</v>
      </c>
      <c r="BI1014">
        <v>1</v>
      </c>
      <c r="BJ1014">
        <v>0</v>
      </c>
      <c r="BK1014">
        <v>0</v>
      </c>
      <c r="BL1014">
        <v>0</v>
      </c>
      <c r="BO1014">
        <v>0</v>
      </c>
      <c r="BP1014">
        <v>0</v>
      </c>
      <c r="BW1014" t="str">
        <f t="shared" si="570"/>
        <v>14:51:38.618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293</v>
      </c>
      <c r="CR1014">
        <v>1</v>
      </c>
      <c r="CW1014">
        <v>15280369</v>
      </c>
      <c r="CY1014">
        <v>0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25">
      <c r="A1015" t="str">
        <f t="shared" si="567"/>
        <v>06/05/2020 14:51:32.981</v>
      </c>
      <c r="C1015" t="str">
        <f t="shared" si="563"/>
        <v>FFDFD3C0</v>
      </c>
      <c r="D1015" t="s">
        <v>148</v>
      </c>
      <c r="E1015">
        <v>11</v>
      </c>
      <c r="H1015">
        <v>53</v>
      </c>
      <c r="I1015" t="s">
        <v>364</v>
      </c>
      <c r="J1015" t="s">
        <v>150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568"/>
        <v>14:51:38.617</v>
      </c>
      <c r="T1015" t="str">
        <f t="shared" si="569"/>
        <v>14:51:38.317</v>
      </c>
      <c r="U1015" t="str">
        <f t="shared" si="547"/>
        <v>ACC530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1</v>
      </c>
      <c r="AH1015">
        <v>0</v>
      </c>
      <c r="AI1015" t="s">
        <v>459</v>
      </c>
      <c r="AJ1015">
        <v>34.216683000000003</v>
      </c>
      <c r="AK1015" t="s">
        <v>460</v>
      </c>
      <c r="AL1015">
        <v>-116.94132999999999</v>
      </c>
      <c r="AM1015">
        <v>100</v>
      </c>
      <c r="AN1015">
        <v>9200</v>
      </c>
      <c r="AO1015" t="s">
        <v>118</v>
      </c>
      <c r="AP1015">
        <v>-96</v>
      </c>
      <c r="AQ1015">
        <v>-51</v>
      </c>
      <c r="AR1015">
        <v>-448</v>
      </c>
      <c r="AZ1015">
        <v>1200</v>
      </c>
      <c r="BA1015">
        <v>1</v>
      </c>
      <c r="BB1015" t="str">
        <f t="shared" si="548"/>
        <v xml:space="preserve">N9217B  </v>
      </c>
      <c r="BC1015">
        <v>1</v>
      </c>
      <c r="BE1015">
        <v>0</v>
      </c>
      <c r="BF1015">
        <v>0</v>
      </c>
      <c r="BG1015">
        <v>0</v>
      </c>
      <c r="BH1015">
        <v>9275</v>
      </c>
      <c r="BI1015">
        <v>1</v>
      </c>
      <c r="BJ1015">
        <v>0</v>
      </c>
      <c r="BK1015">
        <v>0</v>
      </c>
      <c r="BL1015">
        <v>0</v>
      </c>
      <c r="BO1015">
        <v>0</v>
      </c>
      <c r="BP1015">
        <v>0</v>
      </c>
      <c r="BW1015" t="str">
        <f t="shared" si="570"/>
        <v>14:51:38.618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293</v>
      </c>
      <c r="CR1015">
        <v>1</v>
      </c>
      <c r="CW1015">
        <v>15280369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25">
      <c r="A1016" t="str">
        <f t="shared" ref="A1016:A1023" si="571">"06/05/2020 14:51:34.090"</f>
        <v>06/05/2020 14:51:34.090</v>
      </c>
      <c r="C1016" t="str">
        <f t="shared" si="563"/>
        <v>FFDFD3C0</v>
      </c>
      <c r="D1016" t="s">
        <v>134</v>
      </c>
      <c r="E1016">
        <v>7</v>
      </c>
      <c r="F1016">
        <v>2007</v>
      </c>
      <c r="G1016" t="s">
        <v>135</v>
      </c>
      <c r="J1016" t="s">
        <v>136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ref="S1016:T1023" si="572">"14:51:39.742"</f>
        <v>14:51:39.742</v>
      </c>
      <c r="T1016" t="str">
        <f t="shared" si="572"/>
        <v>14:51:39.742</v>
      </c>
      <c r="U1016" t="str">
        <f t="shared" si="547"/>
        <v>ACC530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1</v>
      </c>
      <c r="AH1016">
        <v>0</v>
      </c>
      <c r="AI1016" t="s">
        <v>461</v>
      </c>
      <c r="AJ1016">
        <v>34.216425000000001</v>
      </c>
      <c r="AK1016" t="s">
        <v>462</v>
      </c>
      <c r="AL1016">
        <v>-116.94188800000001</v>
      </c>
      <c r="AM1016">
        <v>100</v>
      </c>
      <c r="AN1016">
        <v>9200</v>
      </c>
      <c r="AO1016" t="s">
        <v>118</v>
      </c>
      <c r="AP1016">
        <v>-96</v>
      </c>
      <c r="AQ1016">
        <v>-53</v>
      </c>
      <c r="AR1016">
        <v>-384</v>
      </c>
      <c r="AZ1016">
        <v>1200</v>
      </c>
      <c r="BA1016">
        <v>1</v>
      </c>
      <c r="BB1016" t="str">
        <f t="shared" si="548"/>
        <v xml:space="preserve">N9217B  </v>
      </c>
      <c r="BC1016">
        <v>1</v>
      </c>
      <c r="BE1016">
        <v>0</v>
      </c>
      <c r="BF1016">
        <v>0</v>
      </c>
      <c r="BG1016">
        <v>0</v>
      </c>
      <c r="BH1016">
        <v>9275</v>
      </c>
      <c r="BI1016">
        <v>1</v>
      </c>
      <c r="BJ1016">
        <v>0</v>
      </c>
      <c r="BK1016">
        <v>0</v>
      </c>
      <c r="BL1016">
        <v>0</v>
      </c>
      <c r="BO1016">
        <v>0</v>
      </c>
      <c r="BP1016">
        <v>0</v>
      </c>
      <c r="BW1016" t="str">
        <f t="shared" ref="BW1016:BW1023" si="573">"14:51:39.742"</f>
        <v>14:51:39.742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293</v>
      </c>
      <c r="CR1016">
        <v>1</v>
      </c>
      <c r="CW1016">
        <v>15280500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25">
      <c r="A1017" t="str">
        <f t="shared" si="571"/>
        <v>06/05/2020 14:51:34.090</v>
      </c>
      <c r="C1017" t="str">
        <f t="shared" si="563"/>
        <v>FFDFD3C0</v>
      </c>
      <c r="D1017" t="s">
        <v>141</v>
      </c>
      <c r="E1017">
        <v>20</v>
      </c>
      <c r="F1017">
        <v>1020</v>
      </c>
      <c r="G1017" t="s">
        <v>114</v>
      </c>
      <c r="J1017" t="s">
        <v>142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572"/>
        <v>14:51:39.742</v>
      </c>
      <c r="T1017" t="str">
        <f t="shared" si="572"/>
        <v>14:51:39.742</v>
      </c>
      <c r="U1017" t="str">
        <f t="shared" si="547"/>
        <v>ACC530</v>
      </c>
      <c r="V1017">
        <v>0</v>
      </c>
      <c r="W1017">
        <v>0</v>
      </c>
      <c r="X1017">
        <v>1</v>
      </c>
      <c r="Z1017">
        <v>0</v>
      </c>
      <c r="AA1017">
        <v>9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1</v>
      </c>
      <c r="AH1017">
        <v>0</v>
      </c>
      <c r="AI1017" t="s">
        <v>461</v>
      </c>
      <c r="AJ1017">
        <v>34.216425000000001</v>
      </c>
      <c r="AK1017" t="s">
        <v>462</v>
      </c>
      <c r="AL1017">
        <v>-116.94188800000001</v>
      </c>
      <c r="AM1017">
        <v>100</v>
      </c>
      <c r="AN1017">
        <v>9200</v>
      </c>
      <c r="AO1017" t="s">
        <v>118</v>
      </c>
      <c r="AP1017">
        <v>-96</v>
      </c>
      <c r="AQ1017">
        <v>-53</v>
      </c>
      <c r="AR1017">
        <v>-384</v>
      </c>
      <c r="AZ1017">
        <v>1200</v>
      </c>
      <c r="BA1017">
        <v>1</v>
      </c>
      <c r="BB1017" t="str">
        <f t="shared" si="548"/>
        <v xml:space="preserve">N9217B  </v>
      </c>
      <c r="BC1017">
        <v>1</v>
      </c>
      <c r="BE1017">
        <v>0</v>
      </c>
      <c r="BF1017">
        <v>0</v>
      </c>
      <c r="BG1017">
        <v>0</v>
      </c>
      <c r="BH1017">
        <v>9275</v>
      </c>
      <c r="BI1017">
        <v>1</v>
      </c>
      <c r="BJ1017">
        <v>0</v>
      </c>
      <c r="BK1017">
        <v>0</v>
      </c>
      <c r="BL1017">
        <v>0</v>
      </c>
      <c r="BO1017">
        <v>0</v>
      </c>
      <c r="BP1017">
        <v>0</v>
      </c>
      <c r="BW1017" t="str">
        <f t="shared" si="573"/>
        <v>14:51:39.742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293</v>
      </c>
      <c r="CR1017">
        <v>1</v>
      </c>
      <c r="CW1017">
        <v>15280500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25">
      <c r="A1018" t="str">
        <f t="shared" si="571"/>
        <v>06/05/2020 14:51:34.090</v>
      </c>
      <c r="C1018" t="str">
        <f t="shared" si="563"/>
        <v>FFDFD3C0</v>
      </c>
      <c r="D1018" t="s">
        <v>151</v>
      </c>
      <c r="E1018">
        <v>8</v>
      </c>
      <c r="H1018">
        <v>225</v>
      </c>
      <c r="I1018" t="s">
        <v>353</v>
      </c>
      <c r="J1018" t="s">
        <v>150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572"/>
        <v>14:51:39.742</v>
      </c>
      <c r="T1018" t="str">
        <f t="shared" si="572"/>
        <v>14:51:39.742</v>
      </c>
      <c r="U1018" t="str">
        <f t="shared" si="547"/>
        <v>ACC530</v>
      </c>
      <c r="V1018">
        <v>0</v>
      </c>
      <c r="W1018">
        <v>0</v>
      </c>
      <c r="X1018">
        <v>1</v>
      </c>
      <c r="Z1018">
        <v>0</v>
      </c>
      <c r="AA1018">
        <v>9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1</v>
      </c>
      <c r="AH1018">
        <v>0</v>
      </c>
      <c r="AI1018" t="s">
        <v>461</v>
      </c>
      <c r="AJ1018">
        <v>34.216425000000001</v>
      </c>
      <c r="AK1018" t="s">
        <v>462</v>
      </c>
      <c r="AL1018">
        <v>-116.94188800000001</v>
      </c>
      <c r="AM1018">
        <v>100</v>
      </c>
      <c r="AN1018">
        <v>9200</v>
      </c>
      <c r="AO1018" t="s">
        <v>118</v>
      </c>
      <c r="AP1018">
        <v>-96</v>
      </c>
      <c r="AQ1018">
        <v>-53</v>
      </c>
      <c r="AR1018">
        <v>-384</v>
      </c>
      <c r="AZ1018">
        <v>1200</v>
      </c>
      <c r="BA1018">
        <v>1</v>
      </c>
      <c r="BB1018" t="str">
        <f t="shared" si="548"/>
        <v xml:space="preserve">N9217B  </v>
      </c>
      <c r="BC1018">
        <v>1</v>
      </c>
      <c r="BE1018">
        <v>0</v>
      </c>
      <c r="BF1018">
        <v>0</v>
      </c>
      <c r="BG1018">
        <v>0</v>
      </c>
      <c r="BH1018">
        <v>9275</v>
      </c>
      <c r="BI1018">
        <v>1</v>
      </c>
      <c r="BJ1018">
        <v>0</v>
      </c>
      <c r="BK1018">
        <v>0</v>
      </c>
      <c r="BL1018">
        <v>0</v>
      </c>
      <c r="BO1018">
        <v>0</v>
      </c>
      <c r="BP1018">
        <v>0</v>
      </c>
      <c r="BW1018" t="str">
        <f t="shared" si="573"/>
        <v>14:51:39.742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6</v>
      </c>
      <c r="CP1018" t="s">
        <v>119</v>
      </c>
      <c r="CQ1018">
        <v>285</v>
      </c>
      <c r="CR1018">
        <v>0</v>
      </c>
      <c r="CW1018">
        <v>8848010</v>
      </c>
      <c r="CY1018">
        <v>0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25">
      <c r="A1019" t="str">
        <f t="shared" si="571"/>
        <v>06/05/2020 14:51:34.090</v>
      </c>
      <c r="C1019" t="str">
        <f t="shared" si="563"/>
        <v>FFDFD3C0</v>
      </c>
      <c r="D1019" t="s">
        <v>148</v>
      </c>
      <c r="E1019">
        <v>8</v>
      </c>
      <c r="H1019">
        <v>50</v>
      </c>
      <c r="I1019" t="s">
        <v>149</v>
      </c>
      <c r="J1019" t="s">
        <v>150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572"/>
        <v>14:51:39.742</v>
      </c>
      <c r="T1019" t="str">
        <f t="shared" si="572"/>
        <v>14:51:39.742</v>
      </c>
      <c r="U1019" t="str">
        <f t="shared" si="547"/>
        <v>ACC530</v>
      </c>
      <c r="V1019">
        <v>0</v>
      </c>
      <c r="W1019">
        <v>0</v>
      </c>
      <c r="X1019">
        <v>1</v>
      </c>
      <c r="Z1019">
        <v>0</v>
      </c>
      <c r="AA1019">
        <v>9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1</v>
      </c>
      <c r="AH1019">
        <v>0</v>
      </c>
      <c r="AI1019" t="s">
        <v>461</v>
      </c>
      <c r="AJ1019">
        <v>34.216425000000001</v>
      </c>
      <c r="AK1019" t="s">
        <v>462</v>
      </c>
      <c r="AL1019">
        <v>-116.94188800000001</v>
      </c>
      <c r="AM1019">
        <v>100</v>
      </c>
      <c r="AN1019">
        <v>9200</v>
      </c>
      <c r="AO1019" t="s">
        <v>118</v>
      </c>
      <c r="AP1019">
        <v>-96</v>
      </c>
      <c r="AQ1019">
        <v>-53</v>
      </c>
      <c r="AR1019">
        <v>-384</v>
      </c>
      <c r="AZ1019">
        <v>1200</v>
      </c>
      <c r="BA1019">
        <v>1</v>
      </c>
      <c r="BB1019" t="str">
        <f t="shared" si="548"/>
        <v xml:space="preserve">N9217B  </v>
      </c>
      <c r="BC1019">
        <v>1</v>
      </c>
      <c r="BE1019">
        <v>0</v>
      </c>
      <c r="BF1019">
        <v>0</v>
      </c>
      <c r="BG1019">
        <v>0</v>
      </c>
      <c r="BH1019">
        <v>9275</v>
      </c>
      <c r="BI1019">
        <v>1</v>
      </c>
      <c r="BJ1019">
        <v>0</v>
      </c>
      <c r="BK1019">
        <v>0</v>
      </c>
      <c r="BL1019">
        <v>0</v>
      </c>
      <c r="BO1019">
        <v>0</v>
      </c>
      <c r="BP1019">
        <v>0</v>
      </c>
      <c r="BW1019" t="str">
        <f t="shared" si="573"/>
        <v>14:51:39.742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293</v>
      </c>
      <c r="CR1019">
        <v>1</v>
      </c>
      <c r="CW1019">
        <v>15280500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25">
      <c r="A1020" t="str">
        <f t="shared" si="571"/>
        <v>06/05/2020 14:51:34.090</v>
      </c>
      <c r="C1020" t="str">
        <f t="shared" si="563"/>
        <v>FFDFD3C0</v>
      </c>
      <c r="D1020" t="s">
        <v>143</v>
      </c>
      <c r="E1020">
        <v>10</v>
      </c>
      <c r="F1020">
        <v>3010</v>
      </c>
      <c r="G1020" t="s">
        <v>144</v>
      </c>
      <c r="J1020" t="s">
        <v>145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72"/>
        <v>14:51:39.742</v>
      </c>
      <c r="T1020" t="str">
        <f t="shared" si="572"/>
        <v>14:51:39.742</v>
      </c>
      <c r="U1020" t="str">
        <f t="shared" si="547"/>
        <v>ACC530</v>
      </c>
      <c r="V1020">
        <v>0</v>
      </c>
      <c r="W1020">
        <v>0</v>
      </c>
      <c r="X1020">
        <v>1</v>
      </c>
      <c r="Z1020">
        <v>0</v>
      </c>
      <c r="AA1020">
        <v>9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1</v>
      </c>
      <c r="AH1020">
        <v>0</v>
      </c>
      <c r="AI1020" t="s">
        <v>461</v>
      </c>
      <c r="AJ1020">
        <v>34.216425000000001</v>
      </c>
      <c r="AK1020" t="s">
        <v>462</v>
      </c>
      <c r="AL1020">
        <v>-116.94188800000001</v>
      </c>
      <c r="AM1020">
        <v>100</v>
      </c>
      <c r="AN1020">
        <v>9200</v>
      </c>
      <c r="AO1020" t="s">
        <v>118</v>
      </c>
      <c r="AP1020">
        <v>-96</v>
      </c>
      <c r="AQ1020">
        <v>-53</v>
      </c>
      <c r="AR1020">
        <v>-384</v>
      </c>
      <c r="AZ1020">
        <v>1200</v>
      </c>
      <c r="BA1020">
        <v>1</v>
      </c>
      <c r="BB1020" t="str">
        <f t="shared" si="548"/>
        <v xml:space="preserve">N9217B  </v>
      </c>
      <c r="BC1020">
        <v>1</v>
      </c>
      <c r="BE1020">
        <v>0</v>
      </c>
      <c r="BF1020">
        <v>0</v>
      </c>
      <c r="BG1020">
        <v>0</v>
      </c>
      <c r="BH1020">
        <v>9275</v>
      </c>
      <c r="BI1020">
        <v>1</v>
      </c>
      <c r="BJ1020">
        <v>0</v>
      </c>
      <c r="BK1020">
        <v>0</v>
      </c>
      <c r="BL1020">
        <v>0</v>
      </c>
      <c r="BO1020">
        <v>0</v>
      </c>
      <c r="BP1020">
        <v>0</v>
      </c>
      <c r="BW1020" t="str">
        <f t="shared" si="573"/>
        <v>14:51:39.742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293</v>
      </c>
      <c r="CR1020">
        <v>1</v>
      </c>
      <c r="CW1020">
        <v>15280500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25">
      <c r="A1021" t="str">
        <f t="shared" si="571"/>
        <v>06/05/2020 14:51:34.090</v>
      </c>
      <c r="C1021" t="str">
        <f t="shared" si="563"/>
        <v>FFDFD3C0</v>
      </c>
      <c r="D1021" t="s">
        <v>151</v>
      </c>
      <c r="E1021">
        <v>9</v>
      </c>
      <c r="H1021">
        <v>226</v>
      </c>
      <c r="I1021" t="s">
        <v>152</v>
      </c>
      <c r="J1021" t="s">
        <v>150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572"/>
        <v>14:51:39.742</v>
      </c>
      <c r="T1021" t="str">
        <f t="shared" si="572"/>
        <v>14:51:39.742</v>
      </c>
      <c r="U1021" t="str">
        <f t="shared" si="547"/>
        <v>ACC530</v>
      </c>
      <c r="V1021">
        <v>0</v>
      </c>
      <c r="W1021">
        <v>0</v>
      </c>
      <c r="X1021">
        <v>1</v>
      </c>
      <c r="Z1021">
        <v>0</v>
      </c>
      <c r="AA1021">
        <v>9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1</v>
      </c>
      <c r="AH1021">
        <v>0</v>
      </c>
      <c r="AI1021" t="s">
        <v>461</v>
      </c>
      <c r="AJ1021">
        <v>34.216425000000001</v>
      </c>
      <c r="AK1021" t="s">
        <v>462</v>
      </c>
      <c r="AL1021">
        <v>-116.94188800000001</v>
      </c>
      <c r="AM1021">
        <v>100</v>
      </c>
      <c r="AN1021">
        <v>9200</v>
      </c>
      <c r="AO1021" t="s">
        <v>118</v>
      </c>
      <c r="AP1021">
        <v>-96</v>
      </c>
      <c r="AQ1021">
        <v>-53</v>
      </c>
      <c r="AR1021">
        <v>-384</v>
      </c>
      <c r="AZ1021">
        <v>1200</v>
      </c>
      <c r="BA1021">
        <v>1</v>
      </c>
      <c r="BB1021" t="str">
        <f t="shared" si="548"/>
        <v xml:space="preserve">N9217B  </v>
      </c>
      <c r="BC1021">
        <v>1</v>
      </c>
      <c r="BE1021">
        <v>0</v>
      </c>
      <c r="BF1021">
        <v>0</v>
      </c>
      <c r="BG1021">
        <v>0</v>
      </c>
      <c r="BH1021">
        <v>9275</v>
      </c>
      <c r="BI1021">
        <v>1</v>
      </c>
      <c r="BJ1021">
        <v>0</v>
      </c>
      <c r="BK1021">
        <v>0</v>
      </c>
      <c r="BL1021">
        <v>0</v>
      </c>
      <c r="BO1021">
        <v>0</v>
      </c>
      <c r="BP1021">
        <v>0</v>
      </c>
      <c r="BW1021" t="str">
        <f t="shared" si="573"/>
        <v>14:51:39.742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293</v>
      </c>
      <c r="CR1021">
        <v>1</v>
      </c>
      <c r="CW1021">
        <v>15280500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25">
      <c r="A1022" t="str">
        <f t="shared" si="571"/>
        <v>06/05/2020 14:51:34.090</v>
      </c>
      <c r="C1022" t="str">
        <f t="shared" si="563"/>
        <v>FFDFD3C0</v>
      </c>
      <c r="D1022" t="s">
        <v>113</v>
      </c>
      <c r="E1022">
        <v>3</v>
      </c>
      <c r="H1022">
        <v>166</v>
      </c>
      <c r="I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72"/>
        <v>14:51:39.742</v>
      </c>
      <c r="T1022" t="str">
        <f t="shared" si="572"/>
        <v>14:51:39.742</v>
      </c>
      <c r="U1022" t="str">
        <f t="shared" si="547"/>
        <v>ACC530</v>
      </c>
      <c r="V1022">
        <v>0</v>
      </c>
      <c r="W1022">
        <v>0</v>
      </c>
      <c r="X1022">
        <v>1</v>
      </c>
      <c r="Z1022">
        <v>0</v>
      </c>
      <c r="AA1022">
        <v>9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1</v>
      </c>
      <c r="AH1022">
        <v>0</v>
      </c>
      <c r="AI1022" t="s">
        <v>461</v>
      </c>
      <c r="AJ1022">
        <v>34.216425000000001</v>
      </c>
      <c r="AK1022" t="s">
        <v>462</v>
      </c>
      <c r="AL1022">
        <v>-116.94188800000001</v>
      </c>
      <c r="AM1022">
        <v>100</v>
      </c>
      <c r="AN1022">
        <v>9200</v>
      </c>
      <c r="AO1022" t="s">
        <v>118</v>
      </c>
      <c r="AP1022">
        <v>-96</v>
      </c>
      <c r="AQ1022">
        <v>-53</v>
      </c>
      <c r="AR1022">
        <v>-384</v>
      </c>
      <c r="AZ1022">
        <v>1200</v>
      </c>
      <c r="BA1022">
        <v>1</v>
      </c>
      <c r="BB1022" t="str">
        <f t="shared" si="548"/>
        <v xml:space="preserve">N9217B  </v>
      </c>
      <c r="BC1022">
        <v>1</v>
      </c>
      <c r="BE1022">
        <v>0</v>
      </c>
      <c r="BF1022">
        <v>0</v>
      </c>
      <c r="BG1022">
        <v>0</v>
      </c>
      <c r="BH1022">
        <v>9275</v>
      </c>
      <c r="BI1022">
        <v>1</v>
      </c>
      <c r="BJ1022">
        <v>0</v>
      </c>
      <c r="BK1022">
        <v>0</v>
      </c>
      <c r="BL1022">
        <v>0</v>
      </c>
      <c r="BO1022">
        <v>0</v>
      </c>
      <c r="BP1022">
        <v>0</v>
      </c>
      <c r="BW1022" t="str">
        <f t="shared" si="573"/>
        <v>14:51:39.742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293</v>
      </c>
      <c r="CR1022">
        <v>1</v>
      </c>
      <c r="CW1022">
        <v>15280500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25">
      <c r="A1023" t="str">
        <f t="shared" si="571"/>
        <v>06/05/2020 14:51:34.090</v>
      </c>
      <c r="C1023" t="str">
        <f t="shared" si="563"/>
        <v>FFDFD3C0</v>
      </c>
      <c r="D1023" t="s">
        <v>148</v>
      </c>
      <c r="E1023">
        <v>11</v>
      </c>
      <c r="H1023">
        <v>53</v>
      </c>
      <c r="I1023" t="s">
        <v>364</v>
      </c>
      <c r="J1023" t="s">
        <v>150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572"/>
        <v>14:51:39.742</v>
      </c>
      <c r="T1023" t="str">
        <f t="shared" si="572"/>
        <v>14:51:39.742</v>
      </c>
      <c r="U1023" t="str">
        <f t="shared" si="547"/>
        <v>ACC530</v>
      </c>
      <c r="V1023">
        <v>0</v>
      </c>
      <c r="W1023">
        <v>0</v>
      </c>
      <c r="X1023">
        <v>1</v>
      </c>
      <c r="Z1023">
        <v>0</v>
      </c>
      <c r="AA1023">
        <v>9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1</v>
      </c>
      <c r="AH1023">
        <v>0</v>
      </c>
      <c r="AI1023" t="s">
        <v>461</v>
      </c>
      <c r="AJ1023">
        <v>34.216425000000001</v>
      </c>
      <c r="AK1023" t="s">
        <v>462</v>
      </c>
      <c r="AL1023">
        <v>-116.94188800000001</v>
      </c>
      <c r="AM1023">
        <v>100</v>
      </c>
      <c r="AN1023">
        <v>9200</v>
      </c>
      <c r="AO1023" t="s">
        <v>118</v>
      </c>
      <c r="AP1023">
        <v>-96</v>
      </c>
      <c r="AQ1023">
        <v>-53</v>
      </c>
      <c r="AR1023">
        <v>-384</v>
      </c>
      <c r="AZ1023">
        <v>1200</v>
      </c>
      <c r="BA1023">
        <v>1</v>
      </c>
      <c r="BB1023" t="str">
        <f t="shared" si="548"/>
        <v xml:space="preserve">N9217B  </v>
      </c>
      <c r="BC1023">
        <v>1</v>
      </c>
      <c r="BE1023">
        <v>0</v>
      </c>
      <c r="BF1023">
        <v>0</v>
      </c>
      <c r="BG1023">
        <v>0</v>
      </c>
      <c r="BH1023">
        <v>9275</v>
      </c>
      <c r="BI1023">
        <v>1</v>
      </c>
      <c r="BJ1023">
        <v>0</v>
      </c>
      <c r="BK1023">
        <v>0</v>
      </c>
      <c r="BL1023">
        <v>0</v>
      </c>
      <c r="BO1023">
        <v>0</v>
      </c>
      <c r="BP1023">
        <v>0</v>
      </c>
      <c r="BW1023" t="str">
        <f t="shared" si="573"/>
        <v>14:51:39.742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293</v>
      </c>
      <c r="CR1023">
        <v>1</v>
      </c>
      <c r="CW1023">
        <v>15280500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25">
      <c r="A1024" t="str">
        <f t="shared" ref="A1024:A1031" si="574">"06/05/2020 14:51:35.061"</f>
        <v>06/05/2020 14:51:35.061</v>
      </c>
      <c r="C1024" t="str">
        <f t="shared" si="563"/>
        <v>FFDFD3C0</v>
      </c>
      <c r="D1024" t="s">
        <v>151</v>
      </c>
      <c r="E1024">
        <v>9</v>
      </c>
      <c r="H1024">
        <v>226</v>
      </c>
      <c r="I1024" t="s">
        <v>152</v>
      </c>
      <c r="J1024" t="s">
        <v>150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ref="S1024:T1031" si="575">"14:51:40.727"</f>
        <v>14:51:40.727</v>
      </c>
      <c r="T1024" t="str">
        <f t="shared" si="575"/>
        <v>14:51:40.727</v>
      </c>
      <c r="U1024" t="str">
        <f t="shared" si="547"/>
        <v>ACC530</v>
      </c>
      <c r="V1024">
        <v>0</v>
      </c>
      <c r="W1024">
        <v>0</v>
      </c>
      <c r="X1024">
        <v>1</v>
      </c>
      <c r="Z1024">
        <v>0</v>
      </c>
      <c r="AA1024">
        <v>9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1</v>
      </c>
      <c r="AH1024">
        <v>0</v>
      </c>
      <c r="AI1024" t="s">
        <v>463</v>
      </c>
      <c r="AJ1024">
        <v>34.216168000000003</v>
      </c>
      <c r="AK1024" t="s">
        <v>464</v>
      </c>
      <c r="AL1024">
        <v>-116.942425</v>
      </c>
      <c r="AM1024">
        <v>100</v>
      </c>
      <c r="AN1024">
        <v>9200</v>
      </c>
      <c r="AO1024" t="s">
        <v>118</v>
      </c>
      <c r="AP1024">
        <v>-97</v>
      </c>
      <c r="AQ1024">
        <v>-54</v>
      </c>
      <c r="AR1024">
        <v>-448</v>
      </c>
      <c r="AZ1024">
        <v>1200</v>
      </c>
      <c r="BA1024">
        <v>1</v>
      </c>
      <c r="BB1024" t="str">
        <f t="shared" si="548"/>
        <v xml:space="preserve">N9217B  </v>
      </c>
      <c r="BC1024">
        <v>1</v>
      </c>
      <c r="BE1024">
        <v>0</v>
      </c>
      <c r="BF1024">
        <v>0</v>
      </c>
      <c r="BG1024">
        <v>0</v>
      </c>
      <c r="BH1024">
        <v>9275</v>
      </c>
      <c r="BI1024">
        <v>1</v>
      </c>
      <c r="BJ1024">
        <v>0</v>
      </c>
      <c r="BK1024">
        <v>0</v>
      </c>
      <c r="BL1024">
        <v>0</v>
      </c>
      <c r="BO1024">
        <v>0</v>
      </c>
      <c r="BP1024">
        <v>0</v>
      </c>
      <c r="BW1024" t="str">
        <f t="shared" ref="BW1024:BW1031" si="576">"14:51:40.732"</f>
        <v>14:51:40.732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293</v>
      </c>
      <c r="CR1024">
        <v>1</v>
      </c>
      <c r="CW1024">
        <v>15280615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25">
      <c r="A1025" t="str">
        <f t="shared" si="574"/>
        <v>06/05/2020 14:51:35.061</v>
      </c>
      <c r="C1025" t="str">
        <f t="shared" si="563"/>
        <v>FFDFD3C0</v>
      </c>
      <c r="D1025" t="s">
        <v>113</v>
      </c>
      <c r="E1025">
        <v>3</v>
      </c>
      <c r="H1025">
        <v>166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575"/>
        <v>14:51:40.727</v>
      </c>
      <c r="T1025" t="str">
        <f t="shared" si="575"/>
        <v>14:51:40.727</v>
      </c>
      <c r="U1025" t="str">
        <f t="shared" si="547"/>
        <v>ACC530</v>
      </c>
      <c r="V1025">
        <v>0</v>
      </c>
      <c r="W1025">
        <v>0</v>
      </c>
      <c r="X1025">
        <v>1</v>
      </c>
      <c r="Z1025">
        <v>0</v>
      </c>
      <c r="AA1025">
        <v>9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1</v>
      </c>
      <c r="AH1025">
        <v>0</v>
      </c>
      <c r="AI1025" t="s">
        <v>463</v>
      </c>
      <c r="AJ1025">
        <v>34.216168000000003</v>
      </c>
      <c r="AK1025" t="s">
        <v>464</v>
      </c>
      <c r="AL1025">
        <v>-116.942425</v>
      </c>
      <c r="AM1025">
        <v>100</v>
      </c>
      <c r="AN1025">
        <v>9200</v>
      </c>
      <c r="AO1025" t="s">
        <v>118</v>
      </c>
      <c r="AP1025">
        <v>-97</v>
      </c>
      <c r="AQ1025">
        <v>-54</v>
      </c>
      <c r="AR1025">
        <v>-448</v>
      </c>
      <c r="AZ1025">
        <v>1200</v>
      </c>
      <c r="BA1025">
        <v>1</v>
      </c>
      <c r="BB1025" t="str">
        <f t="shared" si="548"/>
        <v xml:space="preserve">N9217B  </v>
      </c>
      <c r="BC1025">
        <v>1</v>
      </c>
      <c r="BE1025">
        <v>0</v>
      </c>
      <c r="BF1025">
        <v>0</v>
      </c>
      <c r="BG1025">
        <v>0</v>
      </c>
      <c r="BH1025">
        <v>9275</v>
      </c>
      <c r="BI1025">
        <v>1</v>
      </c>
      <c r="BJ1025">
        <v>0</v>
      </c>
      <c r="BK1025">
        <v>0</v>
      </c>
      <c r="BL1025">
        <v>0</v>
      </c>
      <c r="BO1025">
        <v>0</v>
      </c>
      <c r="BP1025">
        <v>0</v>
      </c>
      <c r="BW1025" t="str">
        <f t="shared" si="576"/>
        <v>14:51:40.732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293</v>
      </c>
      <c r="CR1025">
        <v>1</v>
      </c>
      <c r="CW1025">
        <v>15280615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25">
      <c r="A1026" t="str">
        <f t="shared" si="574"/>
        <v>06/05/2020 14:51:35.061</v>
      </c>
      <c r="C1026" t="str">
        <f t="shared" si="563"/>
        <v>FFDFD3C0</v>
      </c>
      <c r="D1026" t="s">
        <v>148</v>
      </c>
      <c r="E1026">
        <v>11</v>
      </c>
      <c r="H1026">
        <v>53</v>
      </c>
      <c r="I1026" t="s">
        <v>364</v>
      </c>
      <c r="J1026" t="s">
        <v>150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75"/>
        <v>14:51:40.727</v>
      </c>
      <c r="T1026" t="str">
        <f t="shared" si="575"/>
        <v>14:51:40.727</v>
      </c>
      <c r="U1026" t="str">
        <f t="shared" ref="U1026:U1089" si="577">"ACC530"</f>
        <v>ACC530</v>
      </c>
      <c r="V1026">
        <v>0</v>
      </c>
      <c r="W1026">
        <v>0</v>
      </c>
      <c r="X1026">
        <v>1</v>
      </c>
      <c r="Z1026">
        <v>0</v>
      </c>
      <c r="AA1026">
        <v>9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1</v>
      </c>
      <c r="AH1026">
        <v>0</v>
      </c>
      <c r="AI1026" t="s">
        <v>463</v>
      </c>
      <c r="AJ1026">
        <v>34.216168000000003</v>
      </c>
      <c r="AK1026" t="s">
        <v>464</v>
      </c>
      <c r="AL1026">
        <v>-116.942425</v>
      </c>
      <c r="AM1026">
        <v>100</v>
      </c>
      <c r="AN1026">
        <v>9200</v>
      </c>
      <c r="AO1026" t="s">
        <v>118</v>
      </c>
      <c r="AP1026">
        <v>-97</v>
      </c>
      <c r="AQ1026">
        <v>-54</v>
      </c>
      <c r="AR1026">
        <v>-448</v>
      </c>
      <c r="AZ1026">
        <v>1200</v>
      </c>
      <c r="BA1026">
        <v>1</v>
      </c>
      <c r="BB1026" t="str">
        <f t="shared" si="548"/>
        <v xml:space="preserve">N9217B  </v>
      </c>
      <c r="BC1026">
        <v>1</v>
      </c>
      <c r="BE1026">
        <v>0</v>
      </c>
      <c r="BF1026">
        <v>0</v>
      </c>
      <c r="BG1026">
        <v>0</v>
      </c>
      <c r="BH1026">
        <v>9275</v>
      </c>
      <c r="BI1026">
        <v>1</v>
      </c>
      <c r="BJ1026">
        <v>0</v>
      </c>
      <c r="BK1026">
        <v>0</v>
      </c>
      <c r="BL1026">
        <v>0</v>
      </c>
      <c r="BO1026">
        <v>0</v>
      </c>
      <c r="BP1026">
        <v>0</v>
      </c>
      <c r="BW1026" t="str">
        <f t="shared" si="576"/>
        <v>14:51:40.732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293</v>
      </c>
      <c r="CR1026">
        <v>1</v>
      </c>
      <c r="CW1026">
        <v>15280615</v>
      </c>
      <c r="CY1026">
        <v>0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25">
      <c r="A1027" t="str">
        <f t="shared" si="574"/>
        <v>06/05/2020 14:51:35.061</v>
      </c>
      <c r="C1027" t="str">
        <f t="shared" si="563"/>
        <v>FFDFD3C0</v>
      </c>
      <c r="D1027" t="s">
        <v>134</v>
      </c>
      <c r="E1027">
        <v>7</v>
      </c>
      <c r="F1027">
        <v>2007</v>
      </c>
      <c r="G1027" t="s">
        <v>135</v>
      </c>
      <c r="J1027" t="s">
        <v>136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75"/>
        <v>14:51:40.727</v>
      </c>
      <c r="T1027" t="str">
        <f t="shared" si="575"/>
        <v>14:51:40.727</v>
      </c>
      <c r="U1027" t="str">
        <f t="shared" si="577"/>
        <v>ACC530</v>
      </c>
      <c r="V1027">
        <v>0</v>
      </c>
      <c r="W1027">
        <v>0</v>
      </c>
      <c r="X1027">
        <v>1</v>
      </c>
      <c r="Z1027">
        <v>0</v>
      </c>
      <c r="AA1027">
        <v>9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1</v>
      </c>
      <c r="AH1027">
        <v>0</v>
      </c>
      <c r="AI1027" t="s">
        <v>463</v>
      </c>
      <c r="AJ1027">
        <v>34.216168000000003</v>
      </c>
      <c r="AK1027" t="s">
        <v>464</v>
      </c>
      <c r="AL1027">
        <v>-116.942425</v>
      </c>
      <c r="AM1027">
        <v>100</v>
      </c>
      <c r="AN1027">
        <v>9200</v>
      </c>
      <c r="AO1027" t="s">
        <v>118</v>
      </c>
      <c r="AP1027">
        <v>-97</v>
      </c>
      <c r="AQ1027">
        <v>-54</v>
      </c>
      <c r="AR1027">
        <v>-448</v>
      </c>
      <c r="AZ1027">
        <v>1200</v>
      </c>
      <c r="BA1027">
        <v>1</v>
      </c>
      <c r="BB1027" t="str">
        <f t="shared" si="548"/>
        <v xml:space="preserve">N9217B  </v>
      </c>
      <c r="BC1027">
        <v>1</v>
      </c>
      <c r="BE1027">
        <v>0</v>
      </c>
      <c r="BF1027">
        <v>0</v>
      </c>
      <c r="BG1027">
        <v>0</v>
      </c>
      <c r="BH1027">
        <v>9275</v>
      </c>
      <c r="BI1027">
        <v>1</v>
      </c>
      <c r="BJ1027">
        <v>0</v>
      </c>
      <c r="BK1027">
        <v>0</v>
      </c>
      <c r="BL1027">
        <v>0</v>
      </c>
      <c r="BO1027">
        <v>0</v>
      </c>
      <c r="BP1027">
        <v>0</v>
      </c>
      <c r="BW1027" t="str">
        <f t="shared" si="576"/>
        <v>14:51:40.732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293</v>
      </c>
      <c r="CR1027">
        <v>1</v>
      </c>
      <c r="CW1027">
        <v>15280615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25">
      <c r="A1028" t="str">
        <f t="shared" si="574"/>
        <v>06/05/2020 14:51:35.061</v>
      </c>
      <c r="C1028" t="str">
        <f t="shared" si="563"/>
        <v>FFDFD3C0</v>
      </c>
      <c r="D1028" t="s">
        <v>141</v>
      </c>
      <c r="E1028">
        <v>20</v>
      </c>
      <c r="F1028">
        <v>1020</v>
      </c>
      <c r="G1028" t="s">
        <v>114</v>
      </c>
      <c r="J1028" t="s">
        <v>142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75"/>
        <v>14:51:40.727</v>
      </c>
      <c r="T1028" t="str">
        <f t="shared" si="575"/>
        <v>14:51:40.727</v>
      </c>
      <c r="U1028" t="str">
        <f t="shared" si="577"/>
        <v>ACC530</v>
      </c>
      <c r="V1028">
        <v>0</v>
      </c>
      <c r="W1028">
        <v>0</v>
      </c>
      <c r="X1028">
        <v>1</v>
      </c>
      <c r="Z1028">
        <v>0</v>
      </c>
      <c r="AA1028">
        <v>9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1</v>
      </c>
      <c r="AH1028">
        <v>0</v>
      </c>
      <c r="AI1028" t="s">
        <v>463</v>
      </c>
      <c r="AJ1028">
        <v>34.216168000000003</v>
      </c>
      <c r="AK1028" t="s">
        <v>464</v>
      </c>
      <c r="AL1028">
        <v>-116.942425</v>
      </c>
      <c r="AM1028">
        <v>100</v>
      </c>
      <c r="AN1028">
        <v>9200</v>
      </c>
      <c r="AO1028" t="s">
        <v>118</v>
      </c>
      <c r="AP1028">
        <v>-97</v>
      </c>
      <c r="AQ1028">
        <v>-54</v>
      </c>
      <c r="AR1028">
        <v>-448</v>
      </c>
      <c r="AZ1028">
        <v>1200</v>
      </c>
      <c r="BA1028">
        <v>1</v>
      </c>
      <c r="BB1028" t="str">
        <f t="shared" si="548"/>
        <v xml:space="preserve">N9217B  </v>
      </c>
      <c r="BC1028">
        <v>1</v>
      </c>
      <c r="BE1028">
        <v>0</v>
      </c>
      <c r="BF1028">
        <v>0</v>
      </c>
      <c r="BG1028">
        <v>0</v>
      </c>
      <c r="BH1028">
        <v>9275</v>
      </c>
      <c r="BI1028">
        <v>1</v>
      </c>
      <c r="BJ1028">
        <v>0</v>
      </c>
      <c r="BK1028">
        <v>0</v>
      </c>
      <c r="BL1028">
        <v>0</v>
      </c>
      <c r="BO1028">
        <v>0</v>
      </c>
      <c r="BP1028">
        <v>0</v>
      </c>
      <c r="BW1028" t="str">
        <f t="shared" si="576"/>
        <v>14:51:40.732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293</v>
      </c>
      <c r="CR1028">
        <v>1</v>
      </c>
      <c r="CW1028">
        <v>15280615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25">
      <c r="A1029" t="str">
        <f t="shared" si="574"/>
        <v>06/05/2020 14:51:35.061</v>
      </c>
      <c r="C1029" t="str">
        <f t="shared" si="563"/>
        <v>FFDFD3C0</v>
      </c>
      <c r="D1029" t="s">
        <v>143</v>
      </c>
      <c r="E1029">
        <v>10</v>
      </c>
      <c r="F1029">
        <v>3010</v>
      </c>
      <c r="G1029" t="s">
        <v>144</v>
      </c>
      <c r="J1029" t="s">
        <v>145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75"/>
        <v>14:51:40.727</v>
      </c>
      <c r="T1029" t="str">
        <f t="shared" si="575"/>
        <v>14:51:40.727</v>
      </c>
      <c r="U1029" t="str">
        <f t="shared" si="577"/>
        <v>ACC530</v>
      </c>
      <c r="V1029">
        <v>0</v>
      </c>
      <c r="W1029">
        <v>0</v>
      </c>
      <c r="X1029">
        <v>1</v>
      </c>
      <c r="Z1029">
        <v>0</v>
      </c>
      <c r="AA1029">
        <v>9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1</v>
      </c>
      <c r="AH1029">
        <v>0</v>
      </c>
      <c r="AI1029" t="s">
        <v>463</v>
      </c>
      <c r="AJ1029">
        <v>34.216168000000003</v>
      </c>
      <c r="AK1029" t="s">
        <v>464</v>
      </c>
      <c r="AL1029">
        <v>-116.942425</v>
      </c>
      <c r="AM1029">
        <v>100</v>
      </c>
      <c r="AN1029">
        <v>9200</v>
      </c>
      <c r="AO1029" t="s">
        <v>118</v>
      </c>
      <c r="AP1029">
        <v>-97</v>
      </c>
      <c r="AQ1029">
        <v>-54</v>
      </c>
      <c r="AR1029">
        <v>-448</v>
      </c>
      <c r="AZ1029">
        <v>1200</v>
      </c>
      <c r="BA1029">
        <v>1</v>
      </c>
      <c r="BB1029" t="str">
        <f t="shared" ref="BB1029:BB1092" si="578">"N9217B  "</f>
        <v xml:space="preserve">N9217B  </v>
      </c>
      <c r="BC1029">
        <v>1</v>
      </c>
      <c r="BE1029">
        <v>0</v>
      </c>
      <c r="BF1029">
        <v>0</v>
      </c>
      <c r="BG1029">
        <v>0</v>
      </c>
      <c r="BH1029">
        <v>9275</v>
      </c>
      <c r="BI1029">
        <v>1</v>
      </c>
      <c r="BJ1029">
        <v>0</v>
      </c>
      <c r="BK1029">
        <v>0</v>
      </c>
      <c r="BL1029">
        <v>0</v>
      </c>
      <c r="BO1029">
        <v>0</v>
      </c>
      <c r="BP1029">
        <v>0</v>
      </c>
      <c r="BW1029" t="str">
        <f t="shared" si="576"/>
        <v>14:51:40.732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293</v>
      </c>
      <c r="CR1029">
        <v>1</v>
      </c>
      <c r="CW1029">
        <v>15280615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25">
      <c r="A1030" t="str">
        <f t="shared" si="574"/>
        <v>06/05/2020 14:51:35.061</v>
      </c>
      <c r="C1030" t="str">
        <f t="shared" si="563"/>
        <v>FFDFD3C0</v>
      </c>
      <c r="D1030" t="s">
        <v>151</v>
      </c>
      <c r="E1030">
        <v>8</v>
      </c>
      <c r="H1030">
        <v>225</v>
      </c>
      <c r="I1030" t="s">
        <v>353</v>
      </c>
      <c r="J1030" t="s">
        <v>150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75"/>
        <v>14:51:40.727</v>
      </c>
      <c r="T1030" t="str">
        <f t="shared" si="575"/>
        <v>14:51:40.727</v>
      </c>
      <c r="U1030" t="str">
        <f t="shared" si="577"/>
        <v>ACC530</v>
      </c>
      <c r="V1030">
        <v>0</v>
      </c>
      <c r="W1030">
        <v>0</v>
      </c>
      <c r="X1030">
        <v>1</v>
      </c>
      <c r="Z1030">
        <v>0</v>
      </c>
      <c r="AA1030">
        <v>9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1</v>
      </c>
      <c r="AH1030">
        <v>0</v>
      </c>
      <c r="AI1030" t="s">
        <v>463</v>
      </c>
      <c r="AJ1030">
        <v>34.216168000000003</v>
      </c>
      <c r="AK1030" t="s">
        <v>464</v>
      </c>
      <c r="AL1030">
        <v>-116.942425</v>
      </c>
      <c r="AM1030">
        <v>100</v>
      </c>
      <c r="AN1030">
        <v>9200</v>
      </c>
      <c r="AO1030" t="s">
        <v>118</v>
      </c>
      <c r="AP1030">
        <v>-97</v>
      </c>
      <c r="AQ1030">
        <v>-54</v>
      </c>
      <c r="AR1030">
        <v>-448</v>
      </c>
      <c r="AZ1030">
        <v>1200</v>
      </c>
      <c r="BA1030">
        <v>1</v>
      </c>
      <c r="BB1030" t="str">
        <f t="shared" si="578"/>
        <v xml:space="preserve">N9217B  </v>
      </c>
      <c r="BC1030">
        <v>1</v>
      </c>
      <c r="BE1030">
        <v>0</v>
      </c>
      <c r="BF1030">
        <v>0</v>
      </c>
      <c r="BG1030">
        <v>0</v>
      </c>
      <c r="BH1030">
        <v>9275</v>
      </c>
      <c r="BI1030">
        <v>1</v>
      </c>
      <c r="BJ1030">
        <v>0</v>
      </c>
      <c r="BK1030">
        <v>0</v>
      </c>
      <c r="BL1030">
        <v>0</v>
      </c>
      <c r="BO1030">
        <v>0</v>
      </c>
      <c r="BP1030">
        <v>0</v>
      </c>
      <c r="BW1030" t="str">
        <f t="shared" si="576"/>
        <v>14:51:40.732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285</v>
      </c>
      <c r="CR1030">
        <v>0</v>
      </c>
      <c r="CW1030">
        <v>8848087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25">
      <c r="A1031" t="str">
        <f t="shared" si="574"/>
        <v>06/05/2020 14:51:35.061</v>
      </c>
      <c r="C1031" t="str">
        <f t="shared" si="563"/>
        <v>FFDFD3C0</v>
      </c>
      <c r="D1031" t="s">
        <v>148</v>
      </c>
      <c r="E1031">
        <v>8</v>
      </c>
      <c r="H1031">
        <v>50</v>
      </c>
      <c r="I1031" t="s">
        <v>149</v>
      </c>
      <c r="J1031" t="s">
        <v>150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575"/>
        <v>14:51:40.727</v>
      </c>
      <c r="T1031" t="str">
        <f t="shared" si="575"/>
        <v>14:51:40.727</v>
      </c>
      <c r="U1031" t="str">
        <f t="shared" si="577"/>
        <v>ACC530</v>
      </c>
      <c r="V1031">
        <v>0</v>
      </c>
      <c r="W1031">
        <v>0</v>
      </c>
      <c r="X1031">
        <v>1</v>
      </c>
      <c r="Z1031">
        <v>0</v>
      </c>
      <c r="AA1031">
        <v>9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1</v>
      </c>
      <c r="AH1031">
        <v>0</v>
      </c>
      <c r="AI1031" t="s">
        <v>463</v>
      </c>
      <c r="AJ1031">
        <v>34.216168000000003</v>
      </c>
      <c r="AK1031" t="s">
        <v>464</v>
      </c>
      <c r="AL1031">
        <v>-116.942425</v>
      </c>
      <c r="AM1031">
        <v>100</v>
      </c>
      <c r="AN1031">
        <v>9200</v>
      </c>
      <c r="AO1031" t="s">
        <v>118</v>
      </c>
      <c r="AP1031">
        <v>-97</v>
      </c>
      <c r="AQ1031">
        <v>-54</v>
      </c>
      <c r="AR1031">
        <v>-448</v>
      </c>
      <c r="AZ1031">
        <v>1200</v>
      </c>
      <c r="BA1031">
        <v>1</v>
      </c>
      <c r="BB1031" t="str">
        <f t="shared" si="578"/>
        <v xml:space="preserve">N9217B  </v>
      </c>
      <c r="BC1031">
        <v>1</v>
      </c>
      <c r="BE1031">
        <v>0</v>
      </c>
      <c r="BF1031">
        <v>0</v>
      </c>
      <c r="BG1031">
        <v>0</v>
      </c>
      <c r="BH1031">
        <v>9275</v>
      </c>
      <c r="BI1031">
        <v>1</v>
      </c>
      <c r="BJ1031">
        <v>0</v>
      </c>
      <c r="BK1031">
        <v>0</v>
      </c>
      <c r="BL1031">
        <v>0</v>
      </c>
      <c r="BO1031">
        <v>0</v>
      </c>
      <c r="BP1031">
        <v>0</v>
      </c>
      <c r="BW1031" t="str">
        <f t="shared" si="576"/>
        <v>14:51:40.732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293</v>
      </c>
      <c r="CR1031">
        <v>1</v>
      </c>
      <c r="CW1031">
        <v>15280615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25">
      <c r="A1032" t="str">
        <f t="shared" ref="A1032:A1039" si="579">"06/05/2020 14:51:36.023"</f>
        <v>06/05/2020 14:51:36.023</v>
      </c>
      <c r="C1032" t="str">
        <f t="shared" si="563"/>
        <v>FFDFD3C0</v>
      </c>
      <c r="D1032" t="s">
        <v>151</v>
      </c>
      <c r="E1032">
        <v>9</v>
      </c>
      <c r="H1032">
        <v>226</v>
      </c>
      <c r="I1032" t="s">
        <v>152</v>
      </c>
      <c r="J1032" t="s">
        <v>150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ref="S1032:S1039" si="580">"14:51:41.672"</f>
        <v>14:51:41.672</v>
      </c>
      <c r="T1032" t="str">
        <f t="shared" ref="T1032:T1039" si="581">"14:51:41.272"</f>
        <v>14:51:41.272</v>
      </c>
      <c r="U1032" t="str">
        <f t="shared" si="577"/>
        <v>ACC530</v>
      </c>
      <c r="V1032">
        <v>0</v>
      </c>
      <c r="W1032">
        <v>0</v>
      </c>
      <c r="X1032">
        <v>1</v>
      </c>
      <c r="Z1032">
        <v>0</v>
      </c>
      <c r="AA1032">
        <v>9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1</v>
      </c>
      <c r="AH1032">
        <v>0</v>
      </c>
      <c r="AI1032" t="s">
        <v>465</v>
      </c>
      <c r="AJ1032">
        <v>34.215952999999999</v>
      </c>
      <c r="AK1032" t="s">
        <v>466</v>
      </c>
      <c r="AL1032">
        <v>-116.942961</v>
      </c>
      <c r="AM1032">
        <v>100</v>
      </c>
      <c r="AN1032">
        <v>9200</v>
      </c>
      <c r="AO1032" t="s">
        <v>118</v>
      </c>
      <c r="AP1032">
        <v>-97</v>
      </c>
      <c r="AQ1032">
        <v>-55</v>
      </c>
      <c r="AR1032">
        <v>-384</v>
      </c>
      <c r="AZ1032">
        <v>1200</v>
      </c>
      <c r="BA1032">
        <v>1</v>
      </c>
      <c r="BB1032" t="str">
        <f t="shared" si="578"/>
        <v xml:space="preserve">N9217B  </v>
      </c>
      <c r="BC1032">
        <v>1</v>
      </c>
      <c r="BE1032">
        <v>0</v>
      </c>
      <c r="BF1032">
        <v>0</v>
      </c>
      <c r="BG1032">
        <v>0</v>
      </c>
      <c r="BH1032">
        <v>9275</v>
      </c>
      <c r="BI1032">
        <v>1</v>
      </c>
      <c r="BJ1032">
        <v>0</v>
      </c>
      <c r="BK1032">
        <v>0</v>
      </c>
      <c r="BL1032">
        <v>0</v>
      </c>
      <c r="BO1032">
        <v>0</v>
      </c>
      <c r="BP1032">
        <v>0</v>
      </c>
      <c r="BW1032" t="str">
        <f t="shared" ref="BW1032:BW1039" si="582">"14:51:41.677"</f>
        <v>14:51:41.677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293</v>
      </c>
      <c r="CR1032">
        <v>1</v>
      </c>
      <c r="CW1032">
        <v>15280733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25">
      <c r="A1033" t="str">
        <f t="shared" si="579"/>
        <v>06/05/2020 14:51:36.023</v>
      </c>
      <c r="C1033" t="str">
        <f t="shared" si="563"/>
        <v>FFDFD3C0</v>
      </c>
      <c r="D1033" t="s">
        <v>113</v>
      </c>
      <c r="E1033">
        <v>3</v>
      </c>
      <c r="H1033">
        <v>166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80"/>
        <v>14:51:41.672</v>
      </c>
      <c r="T1033" t="str">
        <f t="shared" si="581"/>
        <v>14:51:41.272</v>
      </c>
      <c r="U1033" t="str">
        <f t="shared" si="577"/>
        <v>ACC530</v>
      </c>
      <c r="V1033">
        <v>0</v>
      </c>
      <c r="W1033">
        <v>0</v>
      </c>
      <c r="X1033">
        <v>1</v>
      </c>
      <c r="Z1033">
        <v>0</v>
      </c>
      <c r="AA1033">
        <v>9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1</v>
      </c>
      <c r="AH1033">
        <v>0</v>
      </c>
      <c r="AI1033" t="s">
        <v>465</v>
      </c>
      <c r="AJ1033">
        <v>34.215952999999999</v>
      </c>
      <c r="AK1033" t="s">
        <v>466</v>
      </c>
      <c r="AL1033">
        <v>-116.942961</v>
      </c>
      <c r="AM1033">
        <v>100</v>
      </c>
      <c r="AN1033">
        <v>9200</v>
      </c>
      <c r="AO1033" t="s">
        <v>118</v>
      </c>
      <c r="AP1033">
        <v>-97</v>
      </c>
      <c r="AQ1033">
        <v>-55</v>
      </c>
      <c r="AR1033">
        <v>-384</v>
      </c>
      <c r="AZ1033">
        <v>1200</v>
      </c>
      <c r="BA1033">
        <v>1</v>
      </c>
      <c r="BB1033" t="str">
        <f t="shared" si="578"/>
        <v xml:space="preserve">N9217B  </v>
      </c>
      <c r="BC1033">
        <v>1</v>
      </c>
      <c r="BE1033">
        <v>0</v>
      </c>
      <c r="BF1033">
        <v>0</v>
      </c>
      <c r="BG1033">
        <v>0</v>
      </c>
      <c r="BH1033">
        <v>9275</v>
      </c>
      <c r="BI1033">
        <v>1</v>
      </c>
      <c r="BJ1033">
        <v>0</v>
      </c>
      <c r="BK1033">
        <v>0</v>
      </c>
      <c r="BL1033">
        <v>0</v>
      </c>
      <c r="BO1033">
        <v>0</v>
      </c>
      <c r="BP1033">
        <v>0</v>
      </c>
      <c r="BW1033" t="str">
        <f t="shared" si="582"/>
        <v>14:51:41.677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293</v>
      </c>
      <c r="CR1033">
        <v>1</v>
      </c>
      <c r="CW1033">
        <v>15280733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25">
      <c r="A1034" t="str">
        <f t="shared" si="579"/>
        <v>06/05/2020 14:51:36.023</v>
      </c>
      <c r="C1034" t="str">
        <f t="shared" si="563"/>
        <v>FFDFD3C0</v>
      </c>
      <c r="D1034" t="s">
        <v>148</v>
      </c>
      <c r="E1034">
        <v>11</v>
      </c>
      <c r="H1034">
        <v>53</v>
      </c>
      <c r="I1034" t="s">
        <v>364</v>
      </c>
      <c r="J1034" t="s">
        <v>150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80"/>
        <v>14:51:41.672</v>
      </c>
      <c r="T1034" t="str">
        <f t="shared" si="581"/>
        <v>14:51:41.272</v>
      </c>
      <c r="U1034" t="str">
        <f t="shared" si="577"/>
        <v>ACC530</v>
      </c>
      <c r="V1034">
        <v>0</v>
      </c>
      <c r="W1034">
        <v>0</v>
      </c>
      <c r="X1034">
        <v>1</v>
      </c>
      <c r="Z1034">
        <v>0</v>
      </c>
      <c r="AA1034">
        <v>9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1</v>
      </c>
      <c r="AH1034">
        <v>0</v>
      </c>
      <c r="AI1034" t="s">
        <v>465</v>
      </c>
      <c r="AJ1034">
        <v>34.215952999999999</v>
      </c>
      <c r="AK1034" t="s">
        <v>466</v>
      </c>
      <c r="AL1034">
        <v>-116.942961</v>
      </c>
      <c r="AM1034">
        <v>100</v>
      </c>
      <c r="AN1034">
        <v>9200</v>
      </c>
      <c r="AO1034" t="s">
        <v>118</v>
      </c>
      <c r="AP1034">
        <v>-97</v>
      </c>
      <c r="AQ1034">
        <v>-55</v>
      </c>
      <c r="AR1034">
        <v>-384</v>
      </c>
      <c r="AZ1034">
        <v>1200</v>
      </c>
      <c r="BA1034">
        <v>1</v>
      </c>
      <c r="BB1034" t="str">
        <f t="shared" si="578"/>
        <v xml:space="preserve">N9217B  </v>
      </c>
      <c r="BC1034">
        <v>1</v>
      </c>
      <c r="BE1034">
        <v>0</v>
      </c>
      <c r="BF1034">
        <v>0</v>
      </c>
      <c r="BG1034">
        <v>0</v>
      </c>
      <c r="BH1034">
        <v>9275</v>
      </c>
      <c r="BI1034">
        <v>1</v>
      </c>
      <c r="BJ1034">
        <v>0</v>
      </c>
      <c r="BK1034">
        <v>0</v>
      </c>
      <c r="BL1034">
        <v>0</v>
      </c>
      <c r="BO1034">
        <v>0</v>
      </c>
      <c r="BP1034">
        <v>0</v>
      </c>
      <c r="BW1034" t="str">
        <f t="shared" si="582"/>
        <v>14:51:41.677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293</v>
      </c>
      <c r="CR1034">
        <v>1</v>
      </c>
      <c r="CW1034">
        <v>15280733</v>
      </c>
      <c r="CY1034">
        <v>0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25">
      <c r="A1035" t="str">
        <f t="shared" si="579"/>
        <v>06/05/2020 14:51:36.023</v>
      </c>
      <c r="C1035" t="str">
        <f t="shared" si="563"/>
        <v>FFDFD3C0</v>
      </c>
      <c r="D1035" t="s">
        <v>143</v>
      </c>
      <c r="E1035">
        <v>10</v>
      </c>
      <c r="F1035">
        <v>3010</v>
      </c>
      <c r="G1035" t="s">
        <v>144</v>
      </c>
      <c r="J1035" t="s">
        <v>145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80"/>
        <v>14:51:41.672</v>
      </c>
      <c r="T1035" t="str">
        <f t="shared" si="581"/>
        <v>14:51:41.272</v>
      </c>
      <c r="U1035" t="str">
        <f t="shared" si="577"/>
        <v>ACC530</v>
      </c>
      <c r="V1035">
        <v>0</v>
      </c>
      <c r="W1035">
        <v>0</v>
      </c>
      <c r="X1035">
        <v>1</v>
      </c>
      <c r="Z1035">
        <v>0</v>
      </c>
      <c r="AA1035">
        <v>9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1</v>
      </c>
      <c r="AH1035">
        <v>0</v>
      </c>
      <c r="AI1035" t="s">
        <v>465</v>
      </c>
      <c r="AJ1035">
        <v>34.215952999999999</v>
      </c>
      <c r="AK1035" t="s">
        <v>466</v>
      </c>
      <c r="AL1035">
        <v>-116.942961</v>
      </c>
      <c r="AM1035">
        <v>100</v>
      </c>
      <c r="AN1035">
        <v>9200</v>
      </c>
      <c r="AO1035" t="s">
        <v>118</v>
      </c>
      <c r="AP1035">
        <v>-97</v>
      </c>
      <c r="AQ1035">
        <v>-55</v>
      </c>
      <c r="AR1035">
        <v>-384</v>
      </c>
      <c r="AZ1035">
        <v>1200</v>
      </c>
      <c r="BA1035">
        <v>1</v>
      </c>
      <c r="BB1035" t="str">
        <f t="shared" si="578"/>
        <v xml:space="preserve">N9217B  </v>
      </c>
      <c r="BC1035">
        <v>1</v>
      </c>
      <c r="BE1035">
        <v>0</v>
      </c>
      <c r="BF1035">
        <v>0</v>
      </c>
      <c r="BG1035">
        <v>0</v>
      </c>
      <c r="BH1035">
        <v>9275</v>
      </c>
      <c r="BI1035">
        <v>1</v>
      </c>
      <c r="BJ1035">
        <v>0</v>
      </c>
      <c r="BK1035">
        <v>0</v>
      </c>
      <c r="BL1035">
        <v>0</v>
      </c>
      <c r="BO1035">
        <v>0</v>
      </c>
      <c r="BP1035">
        <v>0</v>
      </c>
      <c r="BW1035" t="str">
        <f t="shared" si="582"/>
        <v>14:51:41.677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293</v>
      </c>
      <c r="CR1035">
        <v>1</v>
      </c>
      <c r="CW1035">
        <v>15280733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25">
      <c r="A1036" t="str">
        <f t="shared" si="579"/>
        <v>06/05/2020 14:51:36.023</v>
      </c>
      <c r="C1036" t="str">
        <f t="shared" si="563"/>
        <v>FFDFD3C0</v>
      </c>
      <c r="D1036" t="s">
        <v>134</v>
      </c>
      <c r="E1036">
        <v>7</v>
      </c>
      <c r="F1036">
        <v>2007</v>
      </c>
      <c r="G1036" t="s">
        <v>135</v>
      </c>
      <c r="J1036" t="s">
        <v>136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80"/>
        <v>14:51:41.672</v>
      </c>
      <c r="T1036" t="str">
        <f t="shared" si="581"/>
        <v>14:51:41.272</v>
      </c>
      <c r="U1036" t="str">
        <f t="shared" si="577"/>
        <v>ACC530</v>
      </c>
      <c r="V1036">
        <v>0</v>
      </c>
      <c r="W1036">
        <v>0</v>
      </c>
      <c r="X1036">
        <v>1</v>
      </c>
      <c r="Z1036">
        <v>0</v>
      </c>
      <c r="AA1036">
        <v>9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1</v>
      </c>
      <c r="AH1036">
        <v>0</v>
      </c>
      <c r="AI1036" t="s">
        <v>465</v>
      </c>
      <c r="AJ1036">
        <v>34.215952999999999</v>
      </c>
      <c r="AK1036" t="s">
        <v>466</v>
      </c>
      <c r="AL1036">
        <v>-116.942961</v>
      </c>
      <c r="AM1036">
        <v>100</v>
      </c>
      <c r="AN1036">
        <v>9200</v>
      </c>
      <c r="AO1036" t="s">
        <v>118</v>
      </c>
      <c r="AP1036">
        <v>-97</v>
      </c>
      <c r="AQ1036">
        <v>-55</v>
      </c>
      <c r="AR1036">
        <v>-384</v>
      </c>
      <c r="AZ1036">
        <v>1200</v>
      </c>
      <c r="BA1036">
        <v>1</v>
      </c>
      <c r="BB1036" t="str">
        <f t="shared" si="578"/>
        <v xml:space="preserve">N9217B  </v>
      </c>
      <c r="BC1036">
        <v>1</v>
      </c>
      <c r="BE1036">
        <v>0</v>
      </c>
      <c r="BF1036">
        <v>0</v>
      </c>
      <c r="BG1036">
        <v>0</v>
      </c>
      <c r="BH1036">
        <v>9275</v>
      </c>
      <c r="BI1036">
        <v>1</v>
      </c>
      <c r="BJ1036">
        <v>0</v>
      </c>
      <c r="BK1036">
        <v>0</v>
      </c>
      <c r="BL1036">
        <v>0</v>
      </c>
      <c r="BO1036">
        <v>0</v>
      </c>
      <c r="BP1036">
        <v>0</v>
      </c>
      <c r="BW1036" t="str">
        <f t="shared" si="582"/>
        <v>14:51:41.677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293</v>
      </c>
      <c r="CR1036">
        <v>1</v>
      </c>
      <c r="CW1036">
        <v>15280733</v>
      </c>
      <c r="CY1036">
        <v>0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25">
      <c r="A1037" t="str">
        <f t="shared" si="579"/>
        <v>06/05/2020 14:51:36.023</v>
      </c>
      <c r="C1037" t="str">
        <f t="shared" si="563"/>
        <v>FFDFD3C0</v>
      </c>
      <c r="D1037" t="s">
        <v>151</v>
      </c>
      <c r="E1037">
        <v>8</v>
      </c>
      <c r="H1037">
        <v>225</v>
      </c>
      <c r="I1037" t="s">
        <v>353</v>
      </c>
      <c r="J1037" t="s">
        <v>150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580"/>
        <v>14:51:41.672</v>
      </c>
      <c r="T1037" t="str">
        <f t="shared" si="581"/>
        <v>14:51:41.272</v>
      </c>
      <c r="U1037" t="str">
        <f t="shared" si="577"/>
        <v>ACC530</v>
      </c>
      <c r="V1037">
        <v>0</v>
      </c>
      <c r="W1037">
        <v>0</v>
      </c>
      <c r="X1037">
        <v>1</v>
      </c>
      <c r="Z1037">
        <v>0</v>
      </c>
      <c r="AA1037">
        <v>9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1</v>
      </c>
      <c r="AH1037">
        <v>0</v>
      </c>
      <c r="AI1037" t="s">
        <v>465</v>
      </c>
      <c r="AJ1037">
        <v>34.215952999999999</v>
      </c>
      <c r="AK1037" t="s">
        <v>466</v>
      </c>
      <c r="AL1037">
        <v>-116.942961</v>
      </c>
      <c r="AM1037">
        <v>100</v>
      </c>
      <c r="AN1037">
        <v>9200</v>
      </c>
      <c r="AO1037" t="s">
        <v>118</v>
      </c>
      <c r="AP1037">
        <v>-97</v>
      </c>
      <c r="AQ1037">
        <v>-55</v>
      </c>
      <c r="AR1037">
        <v>-384</v>
      </c>
      <c r="AZ1037">
        <v>1200</v>
      </c>
      <c r="BA1037">
        <v>1</v>
      </c>
      <c r="BB1037" t="str">
        <f t="shared" si="578"/>
        <v xml:space="preserve">N9217B  </v>
      </c>
      <c r="BC1037">
        <v>1</v>
      </c>
      <c r="BE1037">
        <v>0</v>
      </c>
      <c r="BF1037">
        <v>0</v>
      </c>
      <c r="BG1037">
        <v>0</v>
      </c>
      <c r="BH1037">
        <v>9275</v>
      </c>
      <c r="BI1037">
        <v>1</v>
      </c>
      <c r="BJ1037">
        <v>0</v>
      </c>
      <c r="BK1037">
        <v>0</v>
      </c>
      <c r="BL1037">
        <v>0</v>
      </c>
      <c r="BO1037">
        <v>0</v>
      </c>
      <c r="BP1037">
        <v>0</v>
      </c>
      <c r="BW1037" t="str">
        <f t="shared" si="582"/>
        <v>14:51:41.677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285</v>
      </c>
      <c r="CR1037">
        <v>0</v>
      </c>
      <c r="CW1037">
        <v>8848172</v>
      </c>
      <c r="CY1037">
        <v>0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25">
      <c r="A1038" t="str">
        <f t="shared" si="579"/>
        <v>06/05/2020 14:51:36.023</v>
      </c>
      <c r="C1038" t="str">
        <f t="shared" si="563"/>
        <v>FFDFD3C0</v>
      </c>
      <c r="D1038" t="s">
        <v>141</v>
      </c>
      <c r="E1038">
        <v>20</v>
      </c>
      <c r="F1038">
        <v>1020</v>
      </c>
      <c r="G1038" t="s">
        <v>114</v>
      </c>
      <c r="J1038" t="s">
        <v>142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80"/>
        <v>14:51:41.672</v>
      </c>
      <c r="T1038" t="str">
        <f t="shared" si="581"/>
        <v>14:51:41.272</v>
      </c>
      <c r="U1038" t="str">
        <f t="shared" si="577"/>
        <v>ACC530</v>
      </c>
      <c r="V1038">
        <v>0</v>
      </c>
      <c r="W1038">
        <v>0</v>
      </c>
      <c r="X1038">
        <v>1</v>
      </c>
      <c r="Z1038">
        <v>0</v>
      </c>
      <c r="AA1038">
        <v>9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1</v>
      </c>
      <c r="AH1038">
        <v>0</v>
      </c>
      <c r="AI1038" t="s">
        <v>465</v>
      </c>
      <c r="AJ1038">
        <v>34.215952999999999</v>
      </c>
      <c r="AK1038" t="s">
        <v>466</v>
      </c>
      <c r="AL1038">
        <v>-116.942961</v>
      </c>
      <c r="AM1038">
        <v>100</v>
      </c>
      <c r="AN1038">
        <v>9200</v>
      </c>
      <c r="AO1038" t="s">
        <v>118</v>
      </c>
      <c r="AP1038">
        <v>-97</v>
      </c>
      <c r="AQ1038">
        <v>-55</v>
      </c>
      <c r="AR1038">
        <v>-384</v>
      </c>
      <c r="AZ1038">
        <v>1200</v>
      </c>
      <c r="BA1038">
        <v>1</v>
      </c>
      <c r="BB1038" t="str">
        <f t="shared" si="578"/>
        <v xml:space="preserve">N9217B  </v>
      </c>
      <c r="BC1038">
        <v>1</v>
      </c>
      <c r="BE1038">
        <v>0</v>
      </c>
      <c r="BF1038">
        <v>0</v>
      </c>
      <c r="BG1038">
        <v>0</v>
      </c>
      <c r="BH1038">
        <v>9275</v>
      </c>
      <c r="BI1038">
        <v>1</v>
      </c>
      <c r="BJ1038">
        <v>0</v>
      </c>
      <c r="BK1038">
        <v>0</v>
      </c>
      <c r="BL1038">
        <v>0</v>
      </c>
      <c r="BO1038">
        <v>0</v>
      </c>
      <c r="BP1038">
        <v>0</v>
      </c>
      <c r="BW1038" t="str">
        <f t="shared" si="582"/>
        <v>14:51:41.677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293</v>
      </c>
      <c r="CR1038">
        <v>1</v>
      </c>
      <c r="CW1038">
        <v>15280733</v>
      </c>
      <c r="CY1038">
        <v>0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25">
      <c r="A1039" t="str">
        <f t="shared" si="579"/>
        <v>06/05/2020 14:51:36.023</v>
      </c>
      <c r="C1039" t="str">
        <f t="shared" si="563"/>
        <v>FFDFD3C0</v>
      </c>
      <c r="D1039" t="s">
        <v>148</v>
      </c>
      <c r="E1039">
        <v>8</v>
      </c>
      <c r="H1039">
        <v>50</v>
      </c>
      <c r="I1039" t="s">
        <v>149</v>
      </c>
      <c r="J1039" t="s">
        <v>150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580"/>
        <v>14:51:41.672</v>
      </c>
      <c r="T1039" t="str">
        <f t="shared" si="581"/>
        <v>14:51:41.272</v>
      </c>
      <c r="U1039" t="str">
        <f t="shared" si="577"/>
        <v>ACC530</v>
      </c>
      <c r="V1039">
        <v>0</v>
      </c>
      <c r="W1039">
        <v>0</v>
      </c>
      <c r="X1039">
        <v>1</v>
      </c>
      <c r="Z1039">
        <v>0</v>
      </c>
      <c r="AA1039">
        <v>9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1</v>
      </c>
      <c r="AH1039">
        <v>0</v>
      </c>
      <c r="AI1039" t="s">
        <v>465</v>
      </c>
      <c r="AJ1039">
        <v>34.215952999999999</v>
      </c>
      <c r="AK1039" t="s">
        <v>466</v>
      </c>
      <c r="AL1039">
        <v>-116.942961</v>
      </c>
      <c r="AM1039">
        <v>100</v>
      </c>
      <c r="AN1039">
        <v>9200</v>
      </c>
      <c r="AO1039" t="s">
        <v>118</v>
      </c>
      <c r="AP1039">
        <v>-97</v>
      </c>
      <c r="AQ1039">
        <v>-55</v>
      </c>
      <c r="AR1039">
        <v>-384</v>
      </c>
      <c r="AZ1039">
        <v>1200</v>
      </c>
      <c r="BA1039">
        <v>1</v>
      </c>
      <c r="BB1039" t="str">
        <f t="shared" si="578"/>
        <v xml:space="preserve">N9217B  </v>
      </c>
      <c r="BC1039">
        <v>1</v>
      </c>
      <c r="BE1039">
        <v>0</v>
      </c>
      <c r="BF1039">
        <v>0</v>
      </c>
      <c r="BG1039">
        <v>0</v>
      </c>
      <c r="BH1039">
        <v>9275</v>
      </c>
      <c r="BI1039">
        <v>1</v>
      </c>
      <c r="BJ1039">
        <v>0</v>
      </c>
      <c r="BK1039">
        <v>0</v>
      </c>
      <c r="BL1039">
        <v>0</v>
      </c>
      <c r="BO1039">
        <v>0</v>
      </c>
      <c r="BP1039">
        <v>0</v>
      </c>
      <c r="BW1039" t="str">
        <f t="shared" si="582"/>
        <v>14:51:41.677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293</v>
      </c>
      <c r="CR1039">
        <v>1</v>
      </c>
      <c r="CW1039">
        <v>15280733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25">
      <c r="A1040" t="str">
        <f t="shared" ref="A1040:A1047" si="583">"06/05/2020 14:51:37.051"</f>
        <v>06/05/2020 14:51:37.051</v>
      </c>
      <c r="C1040" t="str">
        <f t="shared" si="563"/>
        <v>FFDFD3C0</v>
      </c>
      <c r="D1040" t="s">
        <v>113</v>
      </c>
      <c r="E1040">
        <v>3</v>
      </c>
      <c r="H1040">
        <v>166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ref="S1040:S1047" si="584">"14:51:42.680"</f>
        <v>14:51:42.680</v>
      </c>
      <c r="T1040" t="str">
        <f t="shared" ref="T1040:T1047" si="585">"14:51:42.280"</f>
        <v>14:51:42.280</v>
      </c>
      <c r="U1040" t="str">
        <f t="shared" si="577"/>
        <v>ACC530</v>
      </c>
      <c r="V1040">
        <v>0</v>
      </c>
      <c r="W1040">
        <v>0</v>
      </c>
      <c r="X1040">
        <v>1</v>
      </c>
      <c r="Z1040">
        <v>0</v>
      </c>
      <c r="AA1040">
        <v>9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1</v>
      </c>
      <c r="AH1040">
        <v>0</v>
      </c>
      <c r="AI1040" t="s">
        <v>467</v>
      </c>
      <c r="AJ1040">
        <v>34.215653000000003</v>
      </c>
      <c r="AK1040" t="s">
        <v>468</v>
      </c>
      <c r="AL1040">
        <v>-116.94351899999999</v>
      </c>
      <c r="AM1040">
        <v>100</v>
      </c>
      <c r="AN1040">
        <v>9200</v>
      </c>
      <c r="AO1040" t="s">
        <v>118</v>
      </c>
      <c r="AP1040">
        <v>-96</v>
      </c>
      <c r="AQ1040">
        <v>-56</v>
      </c>
      <c r="AR1040">
        <v>-448</v>
      </c>
      <c r="AZ1040">
        <v>1200</v>
      </c>
      <c r="BA1040">
        <v>1</v>
      </c>
      <c r="BB1040" t="str">
        <f t="shared" si="578"/>
        <v xml:space="preserve">N9217B  </v>
      </c>
      <c r="BC1040">
        <v>1</v>
      </c>
      <c r="BE1040">
        <v>0</v>
      </c>
      <c r="BF1040">
        <v>0</v>
      </c>
      <c r="BG1040">
        <v>0</v>
      </c>
      <c r="BH1040">
        <v>9250</v>
      </c>
      <c r="BI1040">
        <v>1</v>
      </c>
      <c r="BJ1040">
        <v>0</v>
      </c>
      <c r="BK1040">
        <v>0</v>
      </c>
      <c r="BL1040">
        <v>0</v>
      </c>
      <c r="BO1040">
        <v>0</v>
      </c>
      <c r="BP1040">
        <v>0</v>
      </c>
      <c r="BW1040" t="str">
        <f t="shared" ref="BW1040:BW1047" si="586">"14:51:42.682"</f>
        <v>14:51:42.682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293</v>
      </c>
      <c r="CR1040">
        <v>1</v>
      </c>
      <c r="CW1040">
        <v>15280846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25">
      <c r="A1041" t="str">
        <f t="shared" si="583"/>
        <v>06/05/2020 14:51:37.051</v>
      </c>
      <c r="C1041" t="str">
        <f t="shared" si="563"/>
        <v>FFDFD3C0</v>
      </c>
      <c r="D1041" t="s">
        <v>148</v>
      </c>
      <c r="E1041">
        <v>11</v>
      </c>
      <c r="H1041">
        <v>53</v>
      </c>
      <c r="I1041" t="s">
        <v>364</v>
      </c>
      <c r="J1041" t="s">
        <v>150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84"/>
        <v>14:51:42.680</v>
      </c>
      <c r="T1041" t="str">
        <f t="shared" si="585"/>
        <v>14:51:42.280</v>
      </c>
      <c r="U1041" t="str">
        <f t="shared" si="577"/>
        <v>ACC530</v>
      </c>
      <c r="V1041">
        <v>0</v>
      </c>
      <c r="W1041">
        <v>0</v>
      </c>
      <c r="X1041">
        <v>1</v>
      </c>
      <c r="Z1041">
        <v>0</v>
      </c>
      <c r="AA1041">
        <v>9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1</v>
      </c>
      <c r="AH1041">
        <v>0</v>
      </c>
      <c r="AI1041" t="s">
        <v>467</v>
      </c>
      <c r="AJ1041">
        <v>34.215653000000003</v>
      </c>
      <c r="AK1041" t="s">
        <v>468</v>
      </c>
      <c r="AL1041">
        <v>-116.94351899999999</v>
      </c>
      <c r="AM1041">
        <v>100</v>
      </c>
      <c r="AN1041">
        <v>9200</v>
      </c>
      <c r="AO1041" t="s">
        <v>118</v>
      </c>
      <c r="AP1041">
        <v>-96</v>
      </c>
      <c r="AQ1041">
        <v>-56</v>
      </c>
      <c r="AR1041">
        <v>-448</v>
      </c>
      <c r="AZ1041">
        <v>1200</v>
      </c>
      <c r="BA1041">
        <v>1</v>
      </c>
      <c r="BB1041" t="str">
        <f t="shared" si="578"/>
        <v xml:space="preserve">N9217B  </v>
      </c>
      <c r="BC1041">
        <v>1</v>
      </c>
      <c r="BE1041">
        <v>0</v>
      </c>
      <c r="BF1041">
        <v>0</v>
      </c>
      <c r="BG1041">
        <v>0</v>
      </c>
      <c r="BH1041">
        <v>9250</v>
      </c>
      <c r="BI1041">
        <v>1</v>
      </c>
      <c r="BJ1041">
        <v>0</v>
      </c>
      <c r="BK1041">
        <v>0</v>
      </c>
      <c r="BL1041">
        <v>0</v>
      </c>
      <c r="BO1041">
        <v>0</v>
      </c>
      <c r="BP1041">
        <v>0</v>
      </c>
      <c r="BW1041" t="str">
        <f t="shared" si="586"/>
        <v>14:51:42.682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293</v>
      </c>
      <c r="CR1041">
        <v>1</v>
      </c>
      <c r="CW1041">
        <v>15280846</v>
      </c>
      <c r="CY1041">
        <v>0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25">
      <c r="A1042" t="str">
        <f t="shared" si="583"/>
        <v>06/05/2020 14:51:37.051</v>
      </c>
      <c r="C1042" t="str">
        <f t="shared" si="563"/>
        <v>FFDFD3C0</v>
      </c>
      <c r="D1042" t="s">
        <v>143</v>
      </c>
      <c r="E1042">
        <v>10</v>
      </c>
      <c r="F1042">
        <v>3010</v>
      </c>
      <c r="G1042" t="s">
        <v>144</v>
      </c>
      <c r="J1042" t="s">
        <v>145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84"/>
        <v>14:51:42.680</v>
      </c>
      <c r="T1042" t="str">
        <f t="shared" si="585"/>
        <v>14:51:42.280</v>
      </c>
      <c r="U1042" t="str">
        <f t="shared" si="577"/>
        <v>ACC530</v>
      </c>
      <c r="V1042">
        <v>0</v>
      </c>
      <c r="W1042">
        <v>0</v>
      </c>
      <c r="X1042">
        <v>1</v>
      </c>
      <c r="Z1042">
        <v>0</v>
      </c>
      <c r="AA1042">
        <v>9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1</v>
      </c>
      <c r="AH1042">
        <v>0</v>
      </c>
      <c r="AI1042" t="s">
        <v>467</v>
      </c>
      <c r="AJ1042">
        <v>34.215653000000003</v>
      </c>
      <c r="AK1042" t="s">
        <v>468</v>
      </c>
      <c r="AL1042">
        <v>-116.94351899999999</v>
      </c>
      <c r="AM1042">
        <v>100</v>
      </c>
      <c r="AN1042">
        <v>9200</v>
      </c>
      <c r="AO1042" t="s">
        <v>118</v>
      </c>
      <c r="AP1042">
        <v>-96</v>
      </c>
      <c r="AQ1042">
        <v>-56</v>
      </c>
      <c r="AR1042">
        <v>-448</v>
      </c>
      <c r="AZ1042">
        <v>1200</v>
      </c>
      <c r="BA1042">
        <v>1</v>
      </c>
      <c r="BB1042" t="str">
        <f t="shared" si="578"/>
        <v xml:space="preserve">N9217B  </v>
      </c>
      <c r="BC1042">
        <v>1</v>
      </c>
      <c r="BE1042">
        <v>0</v>
      </c>
      <c r="BF1042">
        <v>0</v>
      </c>
      <c r="BG1042">
        <v>0</v>
      </c>
      <c r="BH1042">
        <v>9250</v>
      </c>
      <c r="BI1042">
        <v>1</v>
      </c>
      <c r="BJ1042">
        <v>0</v>
      </c>
      <c r="BK1042">
        <v>0</v>
      </c>
      <c r="BL1042">
        <v>0</v>
      </c>
      <c r="BO1042">
        <v>0</v>
      </c>
      <c r="BP1042">
        <v>0</v>
      </c>
      <c r="BW1042" t="str">
        <f t="shared" si="586"/>
        <v>14:51:42.682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293</v>
      </c>
      <c r="CR1042">
        <v>1</v>
      </c>
      <c r="CW1042">
        <v>15280846</v>
      </c>
      <c r="CY1042">
        <v>0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25">
      <c r="A1043" t="str">
        <f t="shared" si="583"/>
        <v>06/05/2020 14:51:37.051</v>
      </c>
      <c r="C1043" t="str">
        <f t="shared" si="563"/>
        <v>FFDFD3C0</v>
      </c>
      <c r="D1043" t="s">
        <v>134</v>
      </c>
      <c r="E1043">
        <v>7</v>
      </c>
      <c r="F1043">
        <v>2007</v>
      </c>
      <c r="G1043" t="s">
        <v>135</v>
      </c>
      <c r="J1043" t="s">
        <v>136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584"/>
        <v>14:51:42.680</v>
      </c>
      <c r="T1043" t="str">
        <f t="shared" si="585"/>
        <v>14:51:42.280</v>
      </c>
      <c r="U1043" t="str">
        <f t="shared" si="577"/>
        <v>ACC530</v>
      </c>
      <c r="V1043">
        <v>0</v>
      </c>
      <c r="W1043">
        <v>0</v>
      </c>
      <c r="X1043">
        <v>1</v>
      </c>
      <c r="Z1043">
        <v>0</v>
      </c>
      <c r="AA1043">
        <v>9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1</v>
      </c>
      <c r="AH1043">
        <v>0</v>
      </c>
      <c r="AI1043" t="s">
        <v>467</v>
      </c>
      <c r="AJ1043">
        <v>34.215653000000003</v>
      </c>
      <c r="AK1043" t="s">
        <v>468</v>
      </c>
      <c r="AL1043">
        <v>-116.94351899999999</v>
      </c>
      <c r="AM1043">
        <v>100</v>
      </c>
      <c r="AN1043">
        <v>9200</v>
      </c>
      <c r="AO1043" t="s">
        <v>118</v>
      </c>
      <c r="AP1043">
        <v>-96</v>
      </c>
      <c r="AQ1043">
        <v>-56</v>
      </c>
      <c r="AR1043">
        <v>-448</v>
      </c>
      <c r="AZ1043">
        <v>1200</v>
      </c>
      <c r="BA1043">
        <v>1</v>
      </c>
      <c r="BB1043" t="str">
        <f t="shared" si="578"/>
        <v xml:space="preserve">N9217B  </v>
      </c>
      <c r="BC1043">
        <v>1</v>
      </c>
      <c r="BE1043">
        <v>0</v>
      </c>
      <c r="BF1043">
        <v>0</v>
      </c>
      <c r="BG1043">
        <v>0</v>
      </c>
      <c r="BH1043">
        <v>9250</v>
      </c>
      <c r="BI1043">
        <v>1</v>
      </c>
      <c r="BJ1043">
        <v>0</v>
      </c>
      <c r="BK1043">
        <v>0</v>
      </c>
      <c r="BL1043">
        <v>0</v>
      </c>
      <c r="BO1043">
        <v>0</v>
      </c>
      <c r="BP1043">
        <v>0</v>
      </c>
      <c r="BW1043" t="str">
        <f t="shared" si="586"/>
        <v>14:51:42.682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293</v>
      </c>
      <c r="CR1043">
        <v>1</v>
      </c>
      <c r="CW1043">
        <v>15280846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25">
      <c r="A1044" t="str">
        <f t="shared" si="583"/>
        <v>06/05/2020 14:51:37.051</v>
      </c>
      <c r="C1044" t="str">
        <f t="shared" si="563"/>
        <v>FFDFD3C0</v>
      </c>
      <c r="D1044" t="s">
        <v>141</v>
      </c>
      <c r="E1044">
        <v>20</v>
      </c>
      <c r="F1044">
        <v>1020</v>
      </c>
      <c r="G1044" t="s">
        <v>114</v>
      </c>
      <c r="J1044" t="s">
        <v>142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584"/>
        <v>14:51:42.680</v>
      </c>
      <c r="T1044" t="str">
        <f t="shared" si="585"/>
        <v>14:51:42.280</v>
      </c>
      <c r="U1044" t="str">
        <f t="shared" si="577"/>
        <v>ACC530</v>
      </c>
      <c r="V1044">
        <v>0</v>
      </c>
      <c r="W1044">
        <v>0</v>
      </c>
      <c r="X1044">
        <v>1</v>
      </c>
      <c r="Z1044">
        <v>0</v>
      </c>
      <c r="AA1044">
        <v>9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1</v>
      </c>
      <c r="AH1044">
        <v>0</v>
      </c>
      <c r="AI1044" t="s">
        <v>467</v>
      </c>
      <c r="AJ1044">
        <v>34.215653000000003</v>
      </c>
      <c r="AK1044" t="s">
        <v>468</v>
      </c>
      <c r="AL1044">
        <v>-116.94351899999999</v>
      </c>
      <c r="AM1044">
        <v>100</v>
      </c>
      <c r="AN1044">
        <v>9200</v>
      </c>
      <c r="AO1044" t="s">
        <v>118</v>
      </c>
      <c r="AP1044">
        <v>-96</v>
      </c>
      <c r="AQ1044">
        <v>-56</v>
      </c>
      <c r="AR1044">
        <v>-448</v>
      </c>
      <c r="AZ1044">
        <v>1200</v>
      </c>
      <c r="BA1044">
        <v>1</v>
      </c>
      <c r="BB1044" t="str">
        <f t="shared" si="578"/>
        <v xml:space="preserve">N9217B  </v>
      </c>
      <c r="BC1044">
        <v>1</v>
      </c>
      <c r="BE1044">
        <v>0</v>
      </c>
      <c r="BF1044">
        <v>0</v>
      </c>
      <c r="BG1044">
        <v>0</v>
      </c>
      <c r="BH1044">
        <v>9250</v>
      </c>
      <c r="BI1044">
        <v>1</v>
      </c>
      <c r="BJ1044">
        <v>0</v>
      </c>
      <c r="BK1044">
        <v>0</v>
      </c>
      <c r="BL1044">
        <v>0</v>
      </c>
      <c r="BO1044">
        <v>0</v>
      </c>
      <c r="BP1044">
        <v>0</v>
      </c>
      <c r="BW1044" t="str">
        <f t="shared" si="586"/>
        <v>14:51:42.682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293</v>
      </c>
      <c r="CR1044">
        <v>1</v>
      </c>
      <c r="CW1044">
        <v>15280846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25">
      <c r="A1045" t="str">
        <f t="shared" si="583"/>
        <v>06/05/2020 14:51:37.051</v>
      </c>
      <c r="C1045" t="str">
        <f t="shared" si="563"/>
        <v>FFDFD3C0</v>
      </c>
      <c r="D1045" t="s">
        <v>151</v>
      </c>
      <c r="E1045">
        <v>8</v>
      </c>
      <c r="H1045">
        <v>225</v>
      </c>
      <c r="I1045" t="s">
        <v>353</v>
      </c>
      <c r="J1045" t="s">
        <v>150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584"/>
        <v>14:51:42.680</v>
      </c>
      <c r="T1045" t="str">
        <f t="shared" si="585"/>
        <v>14:51:42.280</v>
      </c>
      <c r="U1045" t="str">
        <f t="shared" si="577"/>
        <v>ACC530</v>
      </c>
      <c r="V1045">
        <v>0</v>
      </c>
      <c r="W1045">
        <v>0</v>
      </c>
      <c r="X1045">
        <v>1</v>
      </c>
      <c r="Z1045">
        <v>0</v>
      </c>
      <c r="AA1045">
        <v>9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1</v>
      </c>
      <c r="AH1045">
        <v>0</v>
      </c>
      <c r="AI1045" t="s">
        <v>467</v>
      </c>
      <c r="AJ1045">
        <v>34.215653000000003</v>
      </c>
      <c r="AK1045" t="s">
        <v>468</v>
      </c>
      <c r="AL1045">
        <v>-116.94351899999999</v>
      </c>
      <c r="AM1045">
        <v>100</v>
      </c>
      <c r="AN1045">
        <v>9200</v>
      </c>
      <c r="AO1045" t="s">
        <v>118</v>
      </c>
      <c r="AP1045">
        <v>-96</v>
      </c>
      <c r="AQ1045">
        <v>-56</v>
      </c>
      <c r="AR1045">
        <v>-448</v>
      </c>
      <c r="AZ1045">
        <v>1200</v>
      </c>
      <c r="BA1045">
        <v>1</v>
      </c>
      <c r="BB1045" t="str">
        <f t="shared" si="578"/>
        <v xml:space="preserve">N9217B  </v>
      </c>
      <c r="BC1045">
        <v>1</v>
      </c>
      <c r="BE1045">
        <v>0</v>
      </c>
      <c r="BF1045">
        <v>0</v>
      </c>
      <c r="BG1045">
        <v>0</v>
      </c>
      <c r="BH1045">
        <v>9250</v>
      </c>
      <c r="BI1045">
        <v>1</v>
      </c>
      <c r="BJ1045">
        <v>0</v>
      </c>
      <c r="BK1045">
        <v>0</v>
      </c>
      <c r="BL1045">
        <v>0</v>
      </c>
      <c r="BO1045">
        <v>0</v>
      </c>
      <c r="BP1045">
        <v>0</v>
      </c>
      <c r="BW1045" t="str">
        <f t="shared" si="586"/>
        <v>14:51:42.682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6</v>
      </c>
      <c r="CP1045" t="s">
        <v>119</v>
      </c>
      <c r="CQ1045">
        <v>285</v>
      </c>
      <c r="CR1045">
        <v>0</v>
      </c>
      <c r="CW1045">
        <v>8848262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25">
      <c r="A1046" t="str">
        <f t="shared" si="583"/>
        <v>06/05/2020 14:51:37.051</v>
      </c>
      <c r="C1046" t="str">
        <f t="shared" si="563"/>
        <v>FFDFD3C0</v>
      </c>
      <c r="D1046" t="s">
        <v>148</v>
      </c>
      <c r="E1046">
        <v>8</v>
      </c>
      <c r="H1046">
        <v>50</v>
      </c>
      <c r="I1046" t="s">
        <v>149</v>
      </c>
      <c r="J1046" t="s">
        <v>150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584"/>
        <v>14:51:42.680</v>
      </c>
      <c r="T1046" t="str">
        <f t="shared" si="585"/>
        <v>14:51:42.280</v>
      </c>
      <c r="U1046" t="str">
        <f t="shared" si="577"/>
        <v>ACC530</v>
      </c>
      <c r="V1046">
        <v>0</v>
      </c>
      <c r="W1046">
        <v>0</v>
      </c>
      <c r="X1046">
        <v>1</v>
      </c>
      <c r="Z1046">
        <v>0</v>
      </c>
      <c r="AA1046">
        <v>9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1</v>
      </c>
      <c r="AH1046">
        <v>0</v>
      </c>
      <c r="AI1046" t="s">
        <v>467</v>
      </c>
      <c r="AJ1046">
        <v>34.215653000000003</v>
      </c>
      <c r="AK1046" t="s">
        <v>468</v>
      </c>
      <c r="AL1046">
        <v>-116.94351899999999</v>
      </c>
      <c r="AM1046">
        <v>100</v>
      </c>
      <c r="AN1046">
        <v>9200</v>
      </c>
      <c r="AO1046" t="s">
        <v>118</v>
      </c>
      <c r="AP1046">
        <v>-96</v>
      </c>
      <c r="AQ1046">
        <v>-56</v>
      </c>
      <c r="AR1046">
        <v>-448</v>
      </c>
      <c r="AZ1046">
        <v>1200</v>
      </c>
      <c r="BA1046">
        <v>1</v>
      </c>
      <c r="BB1046" t="str">
        <f t="shared" si="578"/>
        <v xml:space="preserve">N9217B  </v>
      </c>
      <c r="BC1046">
        <v>1</v>
      </c>
      <c r="BE1046">
        <v>0</v>
      </c>
      <c r="BF1046">
        <v>0</v>
      </c>
      <c r="BG1046">
        <v>0</v>
      </c>
      <c r="BH1046">
        <v>9250</v>
      </c>
      <c r="BI1046">
        <v>1</v>
      </c>
      <c r="BJ1046">
        <v>0</v>
      </c>
      <c r="BK1046">
        <v>0</v>
      </c>
      <c r="BL1046">
        <v>0</v>
      </c>
      <c r="BO1046">
        <v>0</v>
      </c>
      <c r="BP1046">
        <v>0</v>
      </c>
      <c r="BW1046" t="str">
        <f t="shared" si="586"/>
        <v>14:51:42.682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293</v>
      </c>
      <c r="CR1046">
        <v>1</v>
      </c>
      <c r="CW1046">
        <v>15280846</v>
      </c>
      <c r="CY1046">
        <v>0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25">
      <c r="A1047" t="str">
        <f t="shared" si="583"/>
        <v>06/05/2020 14:51:37.051</v>
      </c>
      <c r="C1047" t="str">
        <f t="shared" si="563"/>
        <v>FFDFD3C0</v>
      </c>
      <c r="D1047" t="s">
        <v>151</v>
      </c>
      <c r="E1047">
        <v>9</v>
      </c>
      <c r="H1047">
        <v>226</v>
      </c>
      <c r="I1047" t="s">
        <v>152</v>
      </c>
      <c r="J1047" t="s">
        <v>150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584"/>
        <v>14:51:42.680</v>
      </c>
      <c r="T1047" t="str">
        <f t="shared" si="585"/>
        <v>14:51:42.280</v>
      </c>
      <c r="U1047" t="str">
        <f t="shared" si="577"/>
        <v>ACC530</v>
      </c>
      <c r="V1047">
        <v>0</v>
      </c>
      <c r="W1047">
        <v>0</v>
      </c>
      <c r="X1047">
        <v>1</v>
      </c>
      <c r="Z1047">
        <v>0</v>
      </c>
      <c r="AA1047">
        <v>9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1</v>
      </c>
      <c r="AH1047">
        <v>0</v>
      </c>
      <c r="AI1047" t="s">
        <v>467</v>
      </c>
      <c r="AJ1047">
        <v>34.215653000000003</v>
      </c>
      <c r="AK1047" t="s">
        <v>468</v>
      </c>
      <c r="AL1047">
        <v>-116.94351899999999</v>
      </c>
      <c r="AM1047">
        <v>100</v>
      </c>
      <c r="AN1047">
        <v>9200</v>
      </c>
      <c r="AO1047" t="s">
        <v>118</v>
      </c>
      <c r="AP1047">
        <v>-96</v>
      </c>
      <c r="AQ1047">
        <v>-56</v>
      </c>
      <c r="AR1047">
        <v>-448</v>
      </c>
      <c r="AZ1047">
        <v>1200</v>
      </c>
      <c r="BA1047">
        <v>1</v>
      </c>
      <c r="BB1047" t="str">
        <f t="shared" si="578"/>
        <v xml:space="preserve">N9217B  </v>
      </c>
      <c r="BC1047">
        <v>1</v>
      </c>
      <c r="BE1047">
        <v>0</v>
      </c>
      <c r="BF1047">
        <v>0</v>
      </c>
      <c r="BG1047">
        <v>0</v>
      </c>
      <c r="BH1047">
        <v>9250</v>
      </c>
      <c r="BI1047">
        <v>1</v>
      </c>
      <c r="BJ1047">
        <v>0</v>
      </c>
      <c r="BK1047">
        <v>0</v>
      </c>
      <c r="BL1047">
        <v>0</v>
      </c>
      <c r="BO1047">
        <v>0</v>
      </c>
      <c r="BP1047">
        <v>0</v>
      </c>
      <c r="BW1047" t="str">
        <f t="shared" si="586"/>
        <v>14:51:42.682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293</v>
      </c>
      <c r="CR1047">
        <v>1</v>
      </c>
      <c r="CW1047">
        <v>15280846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25">
      <c r="A1048" t="str">
        <f t="shared" ref="A1048:A1055" si="587">"06/05/2020 14:51:38.163"</f>
        <v>06/05/2020 14:51:38.163</v>
      </c>
      <c r="C1048" t="str">
        <f t="shared" si="563"/>
        <v>FFDFD3C0</v>
      </c>
      <c r="D1048" t="s">
        <v>113</v>
      </c>
      <c r="E1048">
        <v>3</v>
      </c>
      <c r="H1048">
        <v>166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ref="S1048:S1055" si="588">"14:51:43.820"</f>
        <v>14:51:43.820</v>
      </c>
      <c r="T1048" t="str">
        <f t="shared" ref="T1048:T1055" si="589">"14:51:43.320"</f>
        <v>14:51:43.320</v>
      </c>
      <c r="U1048" t="str">
        <f t="shared" si="577"/>
        <v>ACC530</v>
      </c>
      <c r="V1048">
        <v>0</v>
      </c>
      <c r="W1048">
        <v>0</v>
      </c>
      <c r="X1048">
        <v>1</v>
      </c>
      <c r="Z1048">
        <v>0</v>
      </c>
      <c r="AA1048">
        <v>9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1</v>
      </c>
      <c r="AH1048">
        <v>0</v>
      </c>
      <c r="AI1048" t="s">
        <v>469</v>
      </c>
      <c r="AJ1048">
        <v>34.215373999999997</v>
      </c>
      <c r="AK1048" t="s">
        <v>470</v>
      </c>
      <c r="AL1048">
        <v>-116.944141</v>
      </c>
      <c r="AM1048">
        <v>100</v>
      </c>
      <c r="AN1048">
        <v>9200</v>
      </c>
      <c r="AO1048" t="s">
        <v>118</v>
      </c>
      <c r="AP1048">
        <v>-97</v>
      </c>
      <c r="AQ1048">
        <v>-57</v>
      </c>
      <c r="AR1048">
        <v>-576</v>
      </c>
      <c r="AZ1048">
        <v>1200</v>
      </c>
      <c r="BA1048">
        <v>1</v>
      </c>
      <c r="BB1048" t="str">
        <f t="shared" si="578"/>
        <v xml:space="preserve">N9217B  </v>
      </c>
      <c r="BC1048">
        <v>1</v>
      </c>
      <c r="BE1048">
        <v>0</v>
      </c>
      <c r="BF1048">
        <v>0</v>
      </c>
      <c r="BG1048">
        <v>0</v>
      </c>
      <c r="BH1048">
        <v>9250</v>
      </c>
      <c r="BI1048">
        <v>1</v>
      </c>
      <c r="BJ1048">
        <v>0</v>
      </c>
      <c r="BK1048">
        <v>0</v>
      </c>
      <c r="BL1048">
        <v>0</v>
      </c>
      <c r="BO1048">
        <v>0</v>
      </c>
      <c r="BP1048">
        <v>0</v>
      </c>
      <c r="BW1048" t="str">
        <f t="shared" ref="BW1048:BW1055" si="590">"14:51:43.822"</f>
        <v>14:51:43.822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293</v>
      </c>
      <c r="CR1048">
        <v>1</v>
      </c>
      <c r="CW1048">
        <v>15280969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25">
      <c r="A1049" t="str">
        <f t="shared" si="587"/>
        <v>06/05/2020 14:51:38.163</v>
      </c>
      <c r="C1049" t="str">
        <f t="shared" si="563"/>
        <v>FFDFD3C0</v>
      </c>
      <c r="D1049" t="s">
        <v>148</v>
      </c>
      <c r="E1049">
        <v>11</v>
      </c>
      <c r="H1049">
        <v>53</v>
      </c>
      <c r="I1049" t="s">
        <v>364</v>
      </c>
      <c r="J1049" t="s">
        <v>150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88"/>
        <v>14:51:43.820</v>
      </c>
      <c r="T1049" t="str">
        <f t="shared" si="589"/>
        <v>14:51:43.320</v>
      </c>
      <c r="U1049" t="str">
        <f t="shared" si="577"/>
        <v>ACC530</v>
      </c>
      <c r="V1049">
        <v>0</v>
      </c>
      <c r="W1049">
        <v>0</v>
      </c>
      <c r="X1049">
        <v>1</v>
      </c>
      <c r="Z1049">
        <v>0</v>
      </c>
      <c r="AA1049">
        <v>9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1</v>
      </c>
      <c r="AH1049">
        <v>0</v>
      </c>
      <c r="AI1049" t="s">
        <v>469</v>
      </c>
      <c r="AJ1049">
        <v>34.215373999999997</v>
      </c>
      <c r="AK1049" t="s">
        <v>470</v>
      </c>
      <c r="AL1049">
        <v>-116.944141</v>
      </c>
      <c r="AM1049">
        <v>100</v>
      </c>
      <c r="AN1049">
        <v>9200</v>
      </c>
      <c r="AO1049" t="s">
        <v>118</v>
      </c>
      <c r="AP1049">
        <v>-97</v>
      </c>
      <c r="AQ1049">
        <v>-57</v>
      </c>
      <c r="AR1049">
        <v>-576</v>
      </c>
      <c r="AZ1049">
        <v>1200</v>
      </c>
      <c r="BA1049">
        <v>1</v>
      </c>
      <c r="BB1049" t="str">
        <f t="shared" si="578"/>
        <v xml:space="preserve">N9217B  </v>
      </c>
      <c r="BC1049">
        <v>1</v>
      </c>
      <c r="BE1049">
        <v>0</v>
      </c>
      <c r="BF1049">
        <v>0</v>
      </c>
      <c r="BG1049">
        <v>0</v>
      </c>
      <c r="BH1049">
        <v>9250</v>
      </c>
      <c r="BI1049">
        <v>1</v>
      </c>
      <c r="BJ1049">
        <v>0</v>
      </c>
      <c r="BK1049">
        <v>0</v>
      </c>
      <c r="BL1049">
        <v>0</v>
      </c>
      <c r="BO1049">
        <v>0</v>
      </c>
      <c r="BP1049">
        <v>0</v>
      </c>
      <c r="BW1049" t="str">
        <f t="shared" si="590"/>
        <v>14:51:43.822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293</v>
      </c>
      <c r="CR1049">
        <v>1</v>
      </c>
      <c r="CW1049">
        <v>15280969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25">
      <c r="A1050" t="str">
        <f t="shared" si="587"/>
        <v>06/05/2020 14:51:38.163</v>
      </c>
      <c r="C1050" t="str">
        <f t="shared" si="563"/>
        <v>FFDFD3C0</v>
      </c>
      <c r="D1050" t="s">
        <v>143</v>
      </c>
      <c r="E1050">
        <v>10</v>
      </c>
      <c r="F1050">
        <v>3010</v>
      </c>
      <c r="G1050" t="s">
        <v>144</v>
      </c>
      <c r="J1050" t="s">
        <v>145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588"/>
        <v>14:51:43.820</v>
      </c>
      <c r="T1050" t="str">
        <f t="shared" si="589"/>
        <v>14:51:43.320</v>
      </c>
      <c r="U1050" t="str">
        <f t="shared" si="577"/>
        <v>ACC530</v>
      </c>
      <c r="V1050">
        <v>0</v>
      </c>
      <c r="W1050">
        <v>0</v>
      </c>
      <c r="X1050">
        <v>1</v>
      </c>
      <c r="Z1050">
        <v>0</v>
      </c>
      <c r="AA1050">
        <v>9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1</v>
      </c>
      <c r="AH1050">
        <v>0</v>
      </c>
      <c r="AI1050" t="s">
        <v>469</v>
      </c>
      <c r="AJ1050">
        <v>34.215373999999997</v>
      </c>
      <c r="AK1050" t="s">
        <v>470</v>
      </c>
      <c r="AL1050">
        <v>-116.944141</v>
      </c>
      <c r="AM1050">
        <v>100</v>
      </c>
      <c r="AN1050">
        <v>9200</v>
      </c>
      <c r="AO1050" t="s">
        <v>118</v>
      </c>
      <c r="AP1050">
        <v>-97</v>
      </c>
      <c r="AQ1050">
        <v>-57</v>
      </c>
      <c r="AR1050">
        <v>-576</v>
      </c>
      <c r="AZ1050">
        <v>1200</v>
      </c>
      <c r="BA1050">
        <v>1</v>
      </c>
      <c r="BB1050" t="str">
        <f t="shared" si="578"/>
        <v xml:space="preserve">N9217B  </v>
      </c>
      <c r="BC1050">
        <v>1</v>
      </c>
      <c r="BE1050">
        <v>0</v>
      </c>
      <c r="BF1050">
        <v>0</v>
      </c>
      <c r="BG1050">
        <v>0</v>
      </c>
      <c r="BH1050">
        <v>9250</v>
      </c>
      <c r="BI1050">
        <v>1</v>
      </c>
      <c r="BJ1050">
        <v>0</v>
      </c>
      <c r="BK1050">
        <v>0</v>
      </c>
      <c r="BL1050">
        <v>0</v>
      </c>
      <c r="BO1050">
        <v>0</v>
      </c>
      <c r="BP1050">
        <v>0</v>
      </c>
      <c r="BW1050" t="str">
        <f t="shared" si="590"/>
        <v>14:51:43.822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293</v>
      </c>
      <c r="CR1050">
        <v>1</v>
      </c>
      <c r="CW1050">
        <v>15280969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25">
      <c r="A1051" t="str">
        <f t="shared" si="587"/>
        <v>06/05/2020 14:51:38.163</v>
      </c>
      <c r="C1051" t="str">
        <f t="shared" si="563"/>
        <v>FFDFD3C0</v>
      </c>
      <c r="D1051" t="s">
        <v>134</v>
      </c>
      <c r="E1051">
        <v>7</v>
      </c>
      <c r="F1051">
        <v>2007</v>
      </c>
      <c r="G1051" t="s">
        <v>135</v>
      </c>
      <c r="J1051" t="s">
        <v>136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588"/>
        <v>14:51:43.820</v>
      </c>
      <c r="T1051" t="str">
        <f t="shared" si="589"/>
        <v>14:51:43.320</v>
      </c>
      <c r="U1051" t="str">
        <f t="shared" si="577"/>
        <v>ACC530</v>
      </c>
      <c r="V1051">
        <v>0</v>
      </c>
      <c r="W1051">
        <v>0</v>
      </c>
      <c r="X1051">
        <v>1</v>
      </c>
      <c r="Z1051">
        <v>0</v>
      </c>
      <c r="AA1051">
        <v>9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1</v>
      </c>
      <c r="AH1051">
        <v>0</v>
      </c>
      <c r="AI1051" t="s">
        <v>469</v>
      </c>
      <c r="AJ1051">
        <v>34.215373999999997</v>
      </c>
      <c r="AK1051" t="s">
        <v>470</v>
      </c>
      <c r="AL1051">
        <v>-116.944141</v>
      </c>
      <c r="AM1051">
        <v>100</v>
      </c>
      <c r="AN1051">
        <v>9200</v>
      </c>
      <c r="AO1051" t="s">
        <v>118</v>
      </c>
      <c r="AP1051">
        <v>-97</v>
      </c>
      <c r="AQ1051">
        <v>-57</v>
      </c>
      <c r="AR1051">
        <v>-576</v>
      </c>
      <c r="AZ1051">
        <v>1200</v>
      </c>
      <c r="BA1051">
        <v>1</v>
      </c>
      <c r="BB1051" t="str">
        <f t="shared" si="578"/>
        <v xml:space="preserve">N9217B  </v>
      </c>
      <c r="BC1051">
        <v>1</v>
      </c>
      <c r="BE1051">
        <v>0</v>
      </c>
      <c r="BF1051">
        <v>0</v>
      </c>
      <c r="BG1051">
        <v>0</v>
      </c>
      <c r="BH1051">
        <v>9250</v>
      </c>
      <c r="BI1051">
        <v>1</v>
      </c>
      <c r="BJ1051">
        <v>0</v>
      </c>
      <c r="BK1051">
        <v>0</v>
      </c>
      <c r="BL1051">
        <v>0</v>
      </c>
      <c r="BO1051">
        <v>0</v>
      </c>
      <c r="BP1051">
        <v>0</v>
      </c>
      <c r="BW1051" t="str">
        <f t="shared" si="590"/>
        <v>14:51:43.822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293</v>
      </c>
      <c r="CR1051">
        <v>1</v>
      </c>
      <c r="CW1051">
        <v>15280969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25">
      <c r="A1052" t="str">
        <f t="shared" si="587"/>
        <v>06/05/2020 14:51:38.163</v>
      </c>
      <c r="C1052" t="str">
        <f t="shared" si="563"/>
        <v>FFDFD3C0</v>
      </c>
      <c r="D1052" t="s">
        <v>141</v>
      </c>
      <c r="E1052">
        <v>20</v>
      </c>
      <c r="F1052">
        <v>1020</v>
      </c>
      <c r="G1052" t="s">
        <v>114</v>
      </c>
      <c r="J1052" t="s">
        <v>142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588"/>
        <v>14:51:43.820</v>
      </c>
      <c r="T1052" t="str">
        <f t="shared" si="589"/>
        <v>14:51:43.320</v>
      </c>
      <c r="U1052" t="str">
        <f t="shared" si="577"/>
        <v>ACC530</v>
      </c>
      <c r="V1052">
        <v>0</v>
      </c>
      <c r="W1052">
        <v>0</v>
      </c>
      <c r="X1052">
        <v>1</v>
      </c>
      <c r="Z1052">
        <v>0</v>
      </c>
      <c r="AA1052">
        <v>9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1</v>
      </c>
      <c r="AH1052">
        <v>0</v>
      </c>
      <c r="AI1052" t="s">
        <v>469</v>
      </c>
      <c r="AJ1052">
        <v>34.215373999999997</v>
      </c>
      <c r="AK1052" t="s">
        <v>470</v>
      </c>
      <c r="AL1052">
        <v>-116.944141</v>
      </c>
      <c r="AM1052">
        <v>100</v>
      </c>
      <c r="AN1052">
        <v>9200</v>
      </c>
      <c r="AO1052" t="s">
        <v>118</v>
      </c>
      <c r="AP1052">
        <v>-97</v>
      </c>
      <c r="AQ1052">
        <v>-57</v>
      </c>
      <c r="AR1052">
        <v>-576</v>
      </c>
      <c r="AZ1052">
        <v>1200</v>
      </c>
      <c r="BA1052">
        <v>1</v>
      </c>
      <c r="BB1052" t="str">
        <f t="shared" si="578"/>
        <v xml:space="preserve">N9217B  </v>
      </c>
      <c r="BC1052">
        <v>1</v>
      </c>
      <c r="BE1052">
        <v>0</v>
      </c>
      <c r="BF1052">
        <v>0</v>
      </c>
      <c r="BG1052">
        <v>0</v>
      </c>
      <c r="BH1052">
        <v>9250</v>
      </c>
      <c r="BI1052">
        <v>1</v>
      </c>
      <c r="BJ1052">
        <v>0</v>
      </c>
      <c r="BK1052">
        <v>0</v>
      </c>
      <c r="BL1052">
        <v>0</v>
      </c>
      <c r="BO1052">
        <v>0</v>
      </c>
      <c r="BP1052">
        <v>0</v>
      </c>
      <c r="BW1052" t="str">
        <f t="shared" si="590"/>
        <v>14:51:43.822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293</v>
      </c>
      <c r="CR1052">
        <v>1</v>
      </c>
      <c r="CW1052">
        <v>15280969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25">
      <c r="A1053" t="str">
        <f t="shared" si="587"/>
        <v>06/05/2020 14:51:38.163</v>
      </c>
      <c r="C1053" t="str">
        <f t="shared" si="563"/>
        <v>FFDFD3C0</v>
      </c>
      <c r="D1053" t="s">
        <v>151</v>
      </c>
      <c r="E1053">
        <v>8</v>
      </c>
      <c r="H1053">
        <v>225</v>
      </c>
      <c r="I1053" t="s">
        <v>353</v>
      </c>
      <c r="J1053" t="s">
        <v>150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588"/>
        <v>14:51:43.820</v>
      </c>
      <c r="T1053" t="str">
        <f t="shared" si="589"/>
        <v>14:51:43.320</v>
      </c>
      <c r="U1053" t="str">
        <f t="shared" si="577"/>
        <v>ACC530</v>
      </c>
      <c r="V1053">
        <v>0</v>
      </c>
      <c r="W1053">
        <v>0</v>
      </c>
      <c r="X1053">
        <v>1</v>
      </c>
      <c r="Z1053">
        <v>0</v>
      </c>
      <c r="AA1053">
        <v>9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1</v>
      </c>
      <c r="AH1053">
        <v>0</v>
      </c>
      <c r="AI1053" t="s">
        <v>469</v>
      </c>
      <c r="AJ1053">
        <v>34.215373999999997</v>
      </c>
      <c r="AK1053" t="s">
        <v>470</v>
      </c>
      <c r="AL1053">
        <v>-116.944141</v>
      </c>
      <c r="AM1053">
        <v>100</v>
      </c>
      <c r="AN1053">
        <v>9200</v>
      </c>
      <c r="AO1053" t="s">
        <v>118</v>
      </c>
      <c r="AP1053">
        <v>-97</v>
      </c>
      <c r="AQ1053">
        <v>-57</v>
      </c>
      <c r="AR1053">
        <v>-576</v>
      </c>
      <c r="AZ1053">
        <v>1200</v>
      </c>
      <c r="BA1053">
        <v>1</v>
      </c>
      <c r="BB1053" t="str">
        <f t="shared" si="578"/>
        <v xml:space="preserve">N9217B  </v>
      </c>
      <c r="BC1053">
        <v>1</v>
      </c>
      <c r="BE1053">
        <v>0</v>
      </c>
      <c r="BF1053">
        <v>0</v>
      </c>
      <c r="BG1053">
        <v>0</v>
      </c>
      <c r="BH1053">
        <v>9250</v>
      </c>
      <c r="BI1053">
        <v>1</v>
      </c>
      <c r="BJ1053">
        <v>0</v>
      </c>
      <c r="BK1053">
        <v>0</v>
      </c>
      <c r="BL1053">
        <v>0</v>
      </c>
      <c r="BO1053">
        <v>0</v>
      </c>
      <c r="BP1053">
        <v>0</v>
      </c>
      <c r="BW1053" t="str">
        <f t="shared" si="590"/>
        <v>14:51:43.822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6</v>
      </c>
      <c r="CP1053" t="s">
        <v>119</v>
      </c>
      <c r="CQ1053">
        <v>285</v>
      </c>
      <c r="CR1053">
        <v>0</v>
      </c>
      <c r="CW1053">
        <v>8848358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25">
      <c r="A1054" t="str">
        <f t="shared" si="587"/>
        <v>06/05/2020 14:51:38.163</v>
      </c>
      <c r="C1054" t="str">
        <f t="shared" si="563"/>
        <v>FFDFD3C0</v>
      </c>
      <c r="D1054" t="s">
        <v>148</v>
      </c>
      <c r="E1054">
        <v>8</v>
      </c>
      <c r="H1054">
        <v>50</v>
      </c>
      <c r="I1054" t="s">
        <v>149</v>
      </c>
      <c r="J1054" t="s">
        <v>150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588"/>
        <v>14:51:43.820</v>
      </c>
      <c r="T1054" t="str">
        <f t="shared" si="589"/>
        <v>14:51:43.320</v>
      </c>
      <c r="U1054" t="str">
        <f t="shared" si="577"/>
        <v>ACC530</v>
      </c>
      <c r="V1054">
        <v>0</v>
      </c>
      <c r="W1054">
        <v>0</v>
      </c>
      <c r="X1054">
        <v>1</v>
      </c>
      <c r="Z1054">
        <v>0</v>
      </c>
      <c r="AA1054">
        <v>9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1</v>
      </c>
      <c r="AH1054">
        <v>0</v>
      </c>
      <c r="AI1054" t="s">
        <v>469</v>
      </c>
      <c r="AJ1054">
        <v>34.215373999999997</v>
      </c>
      <c r="AK1054" t="s">
        <v>470</v>
      </c>
      <c r="AL1054">
        <v>-116.944141</v>
      </c>
      <c r="AM1054">
        <v>100</v>
      </c>
      <c r="AN1054">
        <v>9200</v>
      </c>
      <c r="AO1054" t="s">
        <v>118</v>
      </c>
      <c r="AP1054">
        <v>-97</v>
      </c>
      <c r="AQ1054">
        <v>-57</v>
      </c>
      <c r="AR1054">
        <v>-576</v>
      </c>
      <c r="AZ1054">
        <v>1200</v>
      </c>
      <c r="BA1054">
        <v>1</v>
      </c>
      <c r="BB1054" t="str">
        <f t="shared" si="578"/>
        <v xml:space="preserve">N9217B  </v>
      </c>
      <c r="BC1054">
        <v>1</v>
      </c>
      <c r="BE1054">
        <v>0</v>
      </c>
      <c r="BF1054">
        <v>0</v>
      </c>
      <c r="BG1054">
        <v>0</v>
      </c>
      <c r="BH1054">
        <v>9250</v>
      </c>
      <c r="BI1054">
        <v>1</v>
      </c>
      <c r="BJ1054">
        <v>0</v>
      </c>
      <c r="BK1054">
        <v>0</v>
      </c>
      <c r="BL1054">
        <v>0</v>
      </c>
      <c r="BO1054">
        <v>0</v>
      </c>
      <c r="BP1054">
        <v>0</v>
      </c>
      <c r="BW1054" t="str">
        <f t="shared" si="590"/>
        <v>14:51:43.822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293</v>
      </c>
      <c r="CR1054">
        <v>1</v>
      </c>
      <c r="CW1054">
        <v>15280969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25">
      <c r="A1055" t="str">
        <f t="shared" si="587"/>
        <v>06/05/2020 14:51:38.163</v>
      </c>
      <c r="C1055" t="str">
        <f t="shared" si="563"/>
        <v>FFDFD3C0</v>
      </c>
      <c r="D1055" t="s">
        <v>151</v>
      </c>
      <c r="E1055">
        <v>9</v>
      </c>
      <c r="H1055">
        <v>226</v>
      </c>
      <c r="I1055" t="s">
        <v>152</v>
      </c>
      <c r="J1055" t="s">
        <v>150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588"/>
        <v>14:51:43.820</v>
      </c>
      <c r="T1055" t="str">
        <f t="shared" si="589"/>
        <v>14:51:43.320</v>
      </c>
      <c r="U1055" t="str">
        <f t="shared" si="577"/>
        <v>ACC530</v>
      </c>
      <c r="V1055">
        <v>0</v>
      </c>
      <c r="W1055">
        <v>0</v>
      </c>
      <c r="X1055">
        <v>1</v>
      </c>
      <c r="Z1055">
        <v>0</v>
      </c>
      <c r="AA1055">
        <v>9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1</v>
      </c>
      <c r="AH1055">
        <v>0</v>
      </c>
      <c r="AI1055" t="s">
        <v>469</v>
      </c>
      <c r="AJ1055">
        <v>34.215373999999997</v>
      </c>
      <c r="AK1055" t="s">
        <v>470</v>
      </c>
      <c r="AL1055">
        <v>-116.944141</v>
      </c>
      <c r="AM1055">
        <v>100</v>
      </c>
      <c r="AN1055">
        <v>9200</v>
      </c>
      <c r="AO1055" t="s">
        <v>118</v>
      </c>
      <c r="AP1055">
        <v>-97</v>
      </c>
      <c r="AQ1055">
        <v>-57</v>
      </c>
      <c r="AR1055">
        <v>-576</v>
      </c>
      <c r="AZ1055">
        <v>1200</v>
      </c>
      <c r="BA1055">
        <v>1</v>
      </c>
      <c r="BB1055" t="str">
        <f t="shared" si="578"/>
        <v xml:space="preserve">N9217B  </v>
      </c>
      <c r="BC1055">
        <v>1</v>
      </c>
      <c r="BE1055">
        <v>0</v>
      </c>
      <c r="BF1055">
        <v>0</v>
      </c>
      <c r="BG1055">
        <v>0</v>
      </c>
      <c r="BH1055">
        <v>9250</v>
      </c>
      <c r="BI1055">
        <v>1</v>
      </c>
      <c r="BJ1055">
        <v>0</v>
      </c>
      <c r="BK1055">
        <v>0</v>
      </c>
      <c r="BL1055">
        <v>0</v>
      </c>
      <c r="BO1055">
        <v>0</v>
      </c>
      <c r="BP1055">
        <v>0</v>
      </c>
      <c r="BW1055" t="str">
        <f t="shared" si="590"/>
        <v>14:51:43.822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293</v>
      </c>
      <c r="CR1055">
        <v>1</v>
      </c>
      <c r="CW1055">
        <v>15280969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25">
      <c r="A1056" t="str">
        <f t="shared" ref="A1056:A1063" si="591">"06/05/2020 14:51:39.108"</f>
        <v>06/05/2020 14:51:39.108</v>
      </c>
      <c r="C1056" t="str">
        <f t="shared" si="563"/>
        <v>FFDFD3C0</v>
      </c>
      <c r="D1056" t="s">
        <v>151</v>
      </c>
      <c r="E1056">
        <v>9</v>
      </c>
      <c r="H1056">
        <v>226</v>
      </c>
      <c r="I1056" t="s">
        <v>152</v>
      </c>
      <c r="J1056" t="s">
        <v>150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ref="S1056:S1063" si="592">"14:51:44.766"</f>
        <v>14:51:44.766</v>
      </c>
      <c r="T1056" t="str">
        <f t="shared" ref="T1056:T1063" si="593">"14:51:44.466"</f>
        <v>14:51:44.466</v>
      </c>
      <c r="U1056" t="str">
        <f t="shared" si="577"/>
        <v>ACC530</v>
      </c>
      <c r="V1056">
        <v>0</v>
      </c>
      <c r="W1056">
        <v>0</v>
      </c>
      <c r="X1056">
        <v>1</v>
      </c>
      <c r="Z1056">
        <v>0</v>
      </c>
      <c r="AA1056">
        <v>9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1</v>
      </c>
      <c r="AH1056">
        <v>0</v>
      </c>
      <c r="AI1056" t="s">
        <v>471</v>
      </c>
      <c r="AJ1056">
        <v>34.215094999999998</v>
      </c>
      <c r="AK1056" t="s">
        <v>472</v>
      </c>
      <c r="AL1056">
        <v>-116.94463500000001</v>
      </c>
      <c r="AM1056">
        <v>100</v>
      </c>
      <c r="AN1056">
        <v>9200</v>
      </c>
      <c r="AO1056" t="s">
        <v>118</v>
      </c>
      <c r="AP1056">
        <v>-97</v>
      </c>
      <c r="AQ1056">
        <v>-58</v>
      </c>
      <c r="AR1056">
        <v>-640</v>
      </c>
      <c r="AZ1056">
        <v>1200</v>
      </c>
      <c r="BA1056">
        <v>1</v>
      </c>
      <c r="BB1056" t="str">
        <f t="shared" si="578"/>
        <v xml:space="preserve">N9217B  </v>
      </c>
      <c r="BC1056">
        <v>1</v>
      </c>
      <c r="BE1056">
        <v>0</v>
      </c>
      <c r="BF1056">
        <v>0</v>
      </c>
      <c r="BG1056">
        <v>0</v>
      </c>
      <c r="BH1056">
        <v>9225</v>
      </c>
      <c r="BI1056">
        <v>1</v>
      </c>
      <c r="BJ1056">
        <v>0</v>
      </c>
      <c r="BK1056">
        <v>0</v>
      </c>
      <c r="BL1056">
        <v>0</v>
      </c>
      <c r="BO1056">
        <v>0</v>
      </c>
      <c r="BP1056">
        <v>0</v>
      </c>
      <c r="BW1056" t="str">
        <f t="shared" ref="BW1056:BW1063" si="594">"14:51:44.767"</f>
        <v>14:51:44.767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293</v>
      </c>
      <c r="CR1056">
        <v>1</v>
      </c>
      <c r="CW1056">
        <v>15281074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25">
      <c r="A1057" t="str">
        <f t="shared" si="591"/>
        <v>06/05/2020 14:51:39.108</v>
      </c>
      <c r="C1057" t="str">
        <f t="shared" si="563"/>
        <v>FFDFD3C0</v>
      </c>
      <c r="D1057" t="s">
        <v>143</v>
      </c>
      <c r="E1057">
        <v>10</v>
      </c>
      <c r="F1057">
        <v>3010</v>
      </c>
      <c r="G1057" t="s">
        <v>144</v>
      </c>
      <c r="J1057" t="s">
        <v>145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592"/>
        <v>14:51:44.766</v>
      </c>
      <c r="T1057" t="str">
        <f t="shared" si="593"/>
        <v>14:51:44.466</v>
      </c>
      <c r="U1057" t="str">
        <f t="shared" si="577"/>
        <v>ACC530</v>
      </c>
      <c r="V1057">
        <v>0</v>
      </c>
      <c r="W1057">
        <v>0</v>
      </c>
      <c r="X1057">
        <v>1</v>
      </c>
      <c r="Z1057">
        <v>0</v>
      </c>
      <c r="AA1057">
        <v>9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1</v>
      </c>
      <c r="AH1057">
        <v>0</v>
      </c>
      <c r="AI1057" t="s">
        <v>471</v>
      </c>
      <c r="AJ1057">
        <v>34.215094999999998</v>
      </c>
      <c r="AK1057" t="s">
        <v>472</v>
      </c>
      <c r="AL1057">
        <v>-116.94463500000001</v>
      </c>
      <c r="AM1057">
        <v>100</v>
      </c>
      <c r="AN1057">
        <v>9200</v>
      </c>
      <c r="AO1057" t="s">
        <v>118</v>
      </c>
      <c r="AP1057">
        <v>-97</v>
      </c>
      <c r="AQ1057">
        <v>-58</v>
      </c>
      <c r="AR1057">
        <v>-640</v>
      </c>
      <c r="AZ1057">
        <v>1200</v>
      </c>
      <c r="BA1057">
        <v>1</v>
      </c>
      <c r="BB1057" t="str">
        <f t="shared" si="578"/>
        <v xml:space="preserve">N9217B  </v>
      </c>
      <c r="BC1057">
        <v>1</v>
      </c>
      <c r="BE1057">
        <v>0</v>
      </c>
      <c r="BF1057">
        <v>0</v>
      </c>
      <c r="BG1057">
        <v>0</v>
      </c>
      <c r="BH1057">
        <v>9225</v>
      </c>
      <c r="BI1057">
        <v>1</v>
      </c>
      <c r="BJ1057">
        <v>0</v>
      </c>
      <c r="BK1057">
        <v>0</v>
      </c>
      <c r="BL1057">
        <v>0</v>
      </c>
      <c r="BO1057">
        <v>0</v>
      </c>
      <c r="BP1057">
        <v>0</v>
      </c>
      <c r="BW1057" t="str">
        <f t="shared" si="594"/>
        <v>14:51:44.767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293</v>
      </c>
      <c r="CR1057">
        <v>1</v>
      </c>
      <c r="CW1057">
        <v>15281074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25">
      <c r="A1058" t="str">
        <f t="shared" si="591"/>
        <v>06/05/2020 14:51:39.108</v>
      </c>
      <c r="C1058" t="str">
        <f t="shared" si="563"/>
        <v>FFDFD3C0</v>
      </c>
      <c r="D1058" t="s">
        <v>113</v>
      </c>
      <c r="E1058">
        <v>3</v>
      </c>
      <c r="H1058">
        <v>166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592"/>
        <v>14:51:44.766</v>
      </c>
      <c r="T1058" t="str">
        <f t="shared" si="593"/>
        <v>14:51:44.466</v>
      </c>
      <c r="U1058" t="str">
        <f t="shared" si="577"/>
        <v>ACC530</v>
      </c>
      <c r="V1058">
        <v>0</v>
      </c>
      <c r="W1058">
        <v>0</v>
      </c>
      <c r="X1058">
        <v>1</v>
      </c>
      <c r="Z1058">
        <v>0</v>
      </c>
      <c r="AA1058">
        <v>9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1</v>
      </c>
      <c r="AH1058">
        <v>0</v>
      </c>
      <c r="AI1058" t="s">
        <v>471</v>
      </c>
      <c r="AJ1058">
        <v>34.215094999999998</v>
      </c>
      <c r="AK1058" t="s">
        <v>472</v>
      </c>
      <c r="AL1058">
        <v>-116.94463500000001</v>
      </c>
      <c r="AM1058">
        <v>100</v>
      </c>
      <c r="AN1058">
        <v>9200</v>
      </c>
      <c r="AO1058" t="s">
        <v>118</v>
      </c>
      <c r="AP1058">
        <v>-97</v>
      </c>
      <c r="AQ1058">
        <v>-58</v>
      </c>
      <c r="AR1058">
        <v>-640</v>
      </c>
      <c r="AZ1058">
        <v>1200</v>
      </c>
      <c r="BA1058">
        <v>1</v>
      </c>
      <c r="BB1058" t="str">
        <f t="shared" si="578"/>
        <v xml:space="preserve">N9217B  </v>
      </c>
      <c r="BC1058">
        <v>1</v>
      </c>
      <c r="BE1058">
        <v>0</v>
      </c>
      <c r="BF1058">
        <v>0</v>
      </c>
      <c r="BG1058">
        <v>0</v>
      </c>
      <c r="BH1058">
        <v>9225</v>
      </c>
      <c r="BI1058">
        <v>1</v>
      </c>
      <c r="BJ1058">
        <v>0</v>
      </c>
      <c r="BK1058">
        <v>0</v>
      </c>
      <c r="BL1058">
        <v>0</v>
      </c>
      <c r="BO1058">
        <v>0</v>
      </c>
      <c r="BP1058">
        <v>0</v>
      </c>
      <c r="BW1058" t="str">
        <f t="shared" si="594"/>
        <v>14:51:44.767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293</v>
      </c>
      <c r="CR1058">
        <v>1</v>
      </c>
      <c r="CW1058">
        <v>15281074</v>
      </c>
      <c r="CY1058">
        <v>0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25">
      <c r="A1059" t="str">
        <f t="shared" si="591"/>
        <v>06/05/2020 14:51:39.108</v>
      </c>
      <c r="C1059" t="str">
        <f t="shared" ref="C1059:C1122" si="595">"FFDFD3C0"</f>
        <v>FFDFD3C0</v>
      </c>
      <c r="D1059" t="s">
        <v>148</v>
      </c>
      <c r="E1059">
        <v>11</v>
      </c>
      <c r="H1059">
        <v>53</v>
      </c>
      <c r="I1059" t="s">
        <v>364</v>
      </c>
      <c r="J1059" t="s">
        <v>150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92"/>
        <v>14:51:44.766</v>
      </c>
      <c r="T1059" t="str">
        <f t="shared" si="593"/>
        <v>14:51:44.466</v>
      </c>
      <c r="U1059" t="str">
        <f t="shared" si="577"/>
        <v>ACC530</v>
      </c>
      <c r="V1059">
        <v>0</v>
      </c>
      <c r="W1059">
        <v>0</v>
      </c>
      <c r="X1059">
        <v>1</v>
      </c>
      <c r="Z1059">
        <v>0</v>
      </c>
      <c r="AA1059">
        <v>9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1</v>
      </c>
      <c r="AH1059">
        <v>0</v>
      </c>
      <c r="AI1059" t="s">
        <v>471</v>
      </c>
      <c r="AJ1059">
        <v>34.215094999999998</v>
      </c>
      <c r="AK1059" t="s">
        <v>472</v>
      </c>
      <c r="AL1059">
        <v>-116.94463500000001</v>
      </c>
      <c r="AM1059">
        <v>100</v>
      </c>
      <c r="AN1059">
        <v>9200</v>
      </c>
      <c r="AO1059" t="s">
        <v>118</v>
      </c>
      <c r="AP1059">
        <v>-97</v>
      </c>
      <c r="AQ1059">
        <v>-58</v>
      </c>
      <c r="AR1059">
        <v>-640</v>
      </c>
      <c r="AZ1059">
        <v>1200</v>
      </c>
      <c r="BA1059">
        <v>1</v>
      </c>
      <c r="BB1059" t="str">
        <f t="shared" si="578"/>
        <v xml:space="preserve">N9217B  </v>
      </c>
      <c r="BC1059">
        <v>1</v>
      </c>
      <c r="BE1059">
        <v>0</v>
      </c>
      <c r="BF1059">
        <v>0</v>
      </c>
      <c r="BG1059">
        <v>0</v>
      </c>
      <c r="BH1059">
        <v>9225</v>
      </c>
      <c r="BI1059">
        <v>1</v>
      </c>
      <c r="BJ1059">
        <v>0</v>
      </c>
      <c r="BK1059">
        <v>0</v>
      </c>
      <c r="BL1059">
        <v>0</v>
      </c>
      <c r="BO1059">
        <v>0</v>
      </c>
      <c r="BP1059">
        <v>0</v>
      </c>
      <c r="BW1059" t="str">
        <f t="shared" si="594"/>
        <v>14:51:44.767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293</v>
      </c>
      <c r="CR1059">
        <v>1</v>
      </c>
      <c r="CW1059">
        <v>15281074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25">
      <c r="A1060" t="str">
        <f t="shared" si="591"/>
        <v>06/05/2020 14:51:39.108</v>
      </c>
      <c r="C1060" t="str">
        <f t="shared" si="595"/>
        <v>FFDFD3C0</v>
      </c>
      <c r="D1060" t="s">
        <v>134</v>
      </c>
      <c r="E1060">
        <v>7</v>
      </c>
      <c r="F1060">
        <v>2007</v>
      </c>
      <c r="G1060" t="s">
        <v>135</v>
      </c>
      <c r="J1060" t="s">
        <v>136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92"/>
        <v>14:51:44.766</v>
      </c>
      <c r="T1060" t="str">
        <f t="shared" si="593"/>
        <v>14:51:44.466</v>
      </c>
      <c r="U1060" t="str">
        <f t="shared" si="577"/>
        <v>ACC530</v>
      </c>
      <c r="V1060">
        <v>0</v>
      </c>
      <c r="W1060">
        <v>0</v>
      </c>
      <c r="X1060">
        <v>1</v>
      </c>
      <c r="Z1060">
        <v>0</v>
      </c>
      <c r="AA1060">
        <v>9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1</v>
      </c>
      <c r="AH1060">
        <v>0</v>
      </c>
      <c r="AI1060" t="s">
        <v>471</v>
      </c>
      <c r="AJ1060">
        <v>34.215094999999998</v>
      </c>
      <c r="AK1060" t="s">
        <v>472</v>
      </c>
      <c r="AL1060">
        <v>-116.94463500000001</v>
      </c>
      <c r="AM1060">
        <v>100</v>
      </c>
      <c r="AN1060">
        <v>9200</v>
      </c>
      <c r="AO1060" t="s">
        <v>118</v>
      </c>
      <c r="AP1060">
        <v>-97</v>
      </c>
      <c r="AQ1060">
        <v>-58</v>
      </c>
      <c r="AR1060">
        <v>-640</v>
      </c>
      <c r="AZ1060">
        <v>1200</v>
      </c>
      <c r="BA1060">
        <v>1</v>
      </c>
      <c r="BB1060" t="str">
        <f t="shared" si="578"/>
        <v xml:space="preserve">N9217B  </v>
      </c>
      <c r="BC1060">
        <v>1</v>
      </c>
      <c r="BE1060">
        <v>0</v>
      </c>
      <c r="BF1060">
        <v>0</v>
      </c>
      <c r="BG1060">
        <v>0</v>
      </c>
      <c r="BH1060">
        <v>9225</v>
      </c>
      <c r="BI1060">
        <v>1</v>
      </c>
      <c r="BJ1060">
        <v>0</v>
      </c>
      <c r="BK1060">
        <v>0</v>
      </c>
      <c r="BL1060">
        <v>0</v>
      </c>
      <c r="BO1060">
        <v>0</v>
      </c>
      <c r="BP1060">
        <v>0</v>
      </c>
      <c r="BW1060" t="str">
        <f t="shared" si="594"/>
        <v>14:51:44.767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293</v>
      </c>
      <c r="CR1060">
        <v>1</v>
      </c>
      <c r="CW1060">
        <v>15281074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25">
      <c r="A1061" t="str">
        <f t="shared" si="591"/>
        <v>06/05/2020 14:51:39.108</v>
      </c>
      <c r="C1061" t="str">
        <f t="shared" si="595"/>
        <v>FFDFD3C0</v>
      </c>
      <c r="D1061" t="s">
        <v>141</v>
      </c>
      <c r="E1061">
        <v>20</v>
      </c>
      <c r="F1061">
        <v>1020</v>
      </c>
      <c r="G1061" t="s">
        <v>114</v>
      </c>
      <c r="J1061" t="s">
        <v>142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92"/>
        <v>14:51:44.766</v>
      </c>
      <c r="T1061" t="str">
        <f t="shared" si="593"/>
        <v>14:51:44.466</v>
      </c>
      <c r="U1061" t="str">
        <f t="shared" si="577"/>
        <v>ACC530</v>
      </c>
      <c r="V1061">
        <v>0</v>
      </c>
      <c r="W1061">
        <v>0</v>
      </c>
      <c r="X1061">
        <v>1</v>
      </c>
      <c r="Z1061">
        <v>0</v>
      </c>
      <c r="AA1061">
        <v>9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1</v>
      </c>
      <c r="AH1061">
        <v>0</v>
      </c>
      <c r="AI1061" t="s">
        <v>471</v>
      </c>
      <c r="AJ1061">
        <v>34.215094999999998</v>
      </c>
      <c r="AK1061" t="s">
        <v>472</v>
      </c>
      <c r="AL1061">
        <v>-116.94463500000001</v>
      </c>
      <c r="AM1061">
        <v>100</v>
      </c>
      <c r="AN1061">
        <v>9200</v>
      </c>
      <c r="AO1061" t="s">
        <v>118</v>
      </c>
      <c r="AP1061">
        <v>-97</v>
      </c>
      <c r="AQ1061">
        <v>-58</v>
      </c>
      <c r="AR1061">
        <v>-640</v>
      </c>
      <c r="AZ1061">
        <v>1200</v>
      </c>
      <c r="BA1061">
        <v>1</v>
      </c>
      <c r="BB1061" t="str">
        <f t="shared" si="578"/>
        <v xml:space="preserve">N9217B  </v>
      </c>
      <c r="BC1061">
        <v>1</v>
      </c>
      <c r="BE1061">
        <v>0</v>
      </c>
      <c r="BF1061">
        <v>0</v>
      </c>
      <c r="BG1061">
        <v>0</v>
      </c>
      <c r="BH1061">
        <v>9225</v>
      </c>
      <c r="BI1061">
        <v>1</v>
      </c>
      <c r="BJ1061">
        <v>0</v>
      </c>
      <c r="BK1061">
        <v>0</v>
      </c>
      <c r="BL1061">
        <v>0</v>
      </c>
      <c r="BO1061">
        <v>0</v>
      </c>
      <c r="BP1061">
        <v>0</v>
      </c>
      <c r="BW1061" t="str">
        <f t="shared" si="594"/>
        <v>14:51:44.767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293</v>
      </c>
      <c r="CR1061">
        <v>1</v>
      </c>
      <c r="CW1061">
        <v>15281074</v>
      </c>
      <c r="CY1061">
        <v>0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25">
      <c r="A1062" t="str">
        <f t="shared" si="591"/>
        <v>06/05/2020 14:51:39.108</v>
      </c>
      <c r="C1062" t="str">
        <f t="shared" si="595"/>
        <v>FFDFD3C0</v>
      </c>
      <c r="D1062" t="s">
        <v>151</v>
      </c>
      <c r="E1062">
        <v>8</v>
      </c>
      <c r="H1062">
        <v>225</v>
      </c>
      <c r="I1062" t="s">
        <v>353</v>
      </c>
      <c r="J1062" t="s">
        <v>150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92"/>
        <v>14:51:44.766</v>
      </c>
      <c r="T1062" t="str">
        <f t="shared" si="593"/>
        <v>14:51:44.466</v>
      </c>
      <c r="U1062" t="str">
        <f t="shared" si="577"/>
        <v>ACC530</v>
      </c>
      <c r="V1062">
        <v>0</v>
      </c>
      <c r="W1062">
        <v>0</v>
      </c>
      <c r="X1062">
        <v>1</v>
      </c>
      <c r="Z1062">
        <v>0</v>
      </c>
      <c r="AA1062">
        <v>9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1</v>
      </c>
      <c r="AH1062">
        <v>0</v>
      </c>
      <c r="AI1062" t="s">
        <v>471</v>
      </c>
      <c r="AJ1062">
        <v>34.215094999999998</v>
      </c>
      <c r="AK1062" t="s">
        <v>472</v>
      </c>
      <c r="AL1062">
        <v>-116.94463500000001</v>
      </c>
      <c r="AM1062">
        <v>100</v>
      </c>
      <c r="AN1062">
        <v>9200</v>
      </c>
      <c r="AO1062" t="s">
        <v>118</v>
      </c>
      <c r="AP1062">
        <v>-97</v>
      </c>
      <c r="AQ1062">
        <v>-58</v>
      </c>
      <c r="AR1062">
        <v>-640</v>
      </c>
      <c r="AZ1062">
        <v>1200</v>
      </c>
      <c r="BA1062">
        <v>1</v>
      </c>
      <c r="BB1062" t="str">
        <f t="shared" si="578"/>
        <v xml:space="preserve">N9217B  </v>
      </c>
      <c r="BC1062">
        <v>1</v>
      </c>
      <c r="BE1062">
        <v>0</v>
      </c>
      <c r="BF1062">
        <v>0</v>
      </c>
      <c r="BG1062">
        <v>0</v>
      </c>
      <c r="BH1062">
        <v>9225</v>
      </c>
      <c r="BI1062">
        <v>1</v>
      </c>
      <c r="BJ1062">
        <v>0</v>
      </c>
      <c r="BK1062">
        <v>0</v>
      </c>
      <c r="BL1062">
        <v>0</v>
      </c>
      <c r="BO1062">
        <v>0</v>
      </c>
      <c r="BP1062">
        <v>0</v>
      </c>
      <c r="BW1062" t="str">
        <f t="shared" si="594"/>
        <v>14:51:44.767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6</v>
      </c>
      <c r="CP1062" t="s">
        <v>119</v>
      </c>
      <c r="CQ1062">
        <v>285</v>
      </c>
      <c r="CR1062">
        <v>0</v>
      </c>
      <c r="CW1062">
        <v>8848441</v>
      </c>
      <c r="CY1062">
        <v>0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25">
      <c r="A1063" t="str">
        <f t="shared" si="591"/>
        <v>06/05/2020 14:51:39.108</v>
      </c>
      <c r="C1063" t="str">
        <f t="shared" si="595"/>
        <v>FFDFD3C0</v>
      </c>
      <c r="D1063" t="s">
        <v>148</v>
      </c>
      <c r="E1063">
        <v>8</v>
      </c>
      <c r="H1063">
        <v>50</v>
      </c>
      <c r="I1063" t="s">
        <v>149</v>
      </c>
      <c r="J1063" t="s">
        <v>150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92"/>
        <v>14:51:44.766</v>
      </c>
      <c r="T1063" t="str">
        <f t="shared" si="593"/>
        <v>14:51:44.466</v>
      </c>
      <c r="U1063" t="str">
        <f t="shared" si="577"/>
        <v>ACC530</v>
      </c>
      <c r="V1063">
        <v>0</v>
      </c>
      <c r="W1063">
        <v>0</v>
      </c>
      <c r="X1063">
        <v>1</v>
      </c>
      <c r="Z1063">
        <v>0</v>
      </c>
      <c r="AA1063">
        <v>9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1</v>
      </c>
      <c r="AH1063">
        <v>0</v>
      </c>
      <c r="AI1063" t="s">
        <v>471</v>
      </c>
      <c r="AJ1063">
        <v>34.215094999999998</v>
      </c>
      <c r="AK1063" t="s">
        <v>472</v>
      </c>
      <c r="AL1063">
        <v>-116.94463500000001</v>
      </c>
      <c r="AM1063">
        <v>100</v>
      </c>
      <c r="AN1063">
        <v>9200</v>
      </c>
      <c r="AO1063" t="s">
        <v>118</v>
      </c>
      <c r="AP1063">
        <v>-97</v>
      </c>
      <c r="AQ1063">
        <v>-58</v>
      </c>
      <c r="AR1063">
        <v>-640</v>
      </c>
      <c r="AZ1063">
        <v>1200</v>
      </c>
      <c r="BA1063">
        <v>1</v>
      </c>
      <c r="BB1063" t="str">
        <f t="shared" si="578"/>
        <v xml:space="preserve">N9217B  </v>
      </c>
      <c r="BC1063">
        <v>1</v>
      </c>
      <c r="BE1063">
        <v>0</v>
      </c>
      <c r="BF1063">
        <v>0</v>
      </c>
      <c r="BG1063">
        <v>0</v>
      </c>
      <c r="BH1063">
        <v>9225</v>
      </c>
      <c r="BI1063">
        <v>1</v>
      </c>
      <c r="BJ1063">
        <v>0</v>
      </c>
      <c r="BK1063">
        <v>0</v>
      </c>
      <c r="BL1063">
        <v>0</v>
      </c>
      <c r="BO1063">
        <v>0</v>
      </c>
      <c r="BP1063">
        <v>0</v>
      </c>
      <c r="BW1063" t="str">
        <f t="shared" si="594"/>
        <v>14:51:44.767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293</v>
      </c>
      <c r="CR1063">
        <v>1</v>
      </c>
      <c r="CW1063">
        <v>15281074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25">
      <c r="A1064" t="str">
        <f t="shared" ref="A1064:A1071" si="596">"06/05/2020 14:51:40.025"</f>
        <v>06/05/2020 14:51:40.025</v>
      </c>
      <c r="C1064" t="str">
        <f t="shared" si="595"/>
        <v>FFDFD3C0</v>
      </c>
      <c r="D1064" t="s">
        <v>143</v>
      </c>
      <c r="E1064">
        <v>10</v>
      </c>
      <c r="F1064">
        <v>3010</v>
      </c>
      <c r="G1064" t="s">
        <v>144</v>
      </c>
      <c r="J1064" t="s">
        <v>145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ref="S1064:S1071" si="597">"14:51:45.664"</f>
        <v>14:51:45.664</v>
      </c>
      <c r="T1064" t="str">
        <f t="shared" ref="T1064:T1071" si="598">"14:51:45.364"</f>
        <v>14:51:45.364</v>
      </c>
      <c r="U1064" t="str">
        <f t="shared" si="577"/>
        <v>ACC530</v>
      </c>
      <c r="V1064">
        <v>0</v>
      </c>
      <c r="W1064">
        <v>0</v>
      </c>
      <c r="X1064">
        <v>1</v>
      </c>
      <c r="Z1064">
        <v>0</v>
      </c>
      <c r="AA1064">
        <v>9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1</v>
      </c>
      <c r="AH1064">
        <v>0</v>
      </c>
      <c r="AI1064" t="s">
        <v>473</v>
      </c>
      <c r="AJ1064">
        <v>34.214858999999997</v>
      </c>
      <c r="AK1064" t="s">
        <v>474</v>
      </c>
      <c r="AL1064">
        <v>-116.94515</v>
      </c>
      <c r="AM1064">
        <v>100</v>
      </c>
      <c r="AN1064">
        <v>9200</v>
      </c>
      <c r="AO1064" t="s">
        <v>118</v>
      </c>
      <c r="AP1064">
        <v>-98</v>
      </c>
      <c r="AQ1064">
        <v>-59</v>
      </c>
      <c r="AR1064">
        <v>-640</v>
      </c>
      <c r="AZ1064">
        <v>1200</v>
      </c>
      <c r="BA1064">
        <v>1</v>
      </c>
      <c r="BB1064" t="str">
        <f t="shared" si="578"/>
        <v xml:space="preserve">N9217B  </v>
      </c>
      <c r="BC1064">
        <v>1</v>
      </c>
      <c r="BE1064">
        <v>0</v>
      </c>
      <c r="BF1064">
        <v>0</v>
      </c>
      <c r="BG1064">
        <v>0</v>
      </c>
      <c r="BH1064">
        <v>9225</v>
      </c>
      <c r="BI1064">
        <v>1</v>
      </c>
      <c r="BJ1064">
        <v>0</v>
      </c>
      <c r="BK1064">
        <v>0</v>
      </c>
      <c r="BL1064">
        <v>0</v>
      </c>
      <c r="BO1064">
        <v>0</v>
      </c>
      <c r="BP1064">
        <v>0</v>
      </c>
      <c r="BW1064" t="str">
        <f t="shared" ref="BW1064:BW1071" si="599">"14:51:45.667"</f>
        <v>14:51:45.667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293</v>
      </c>
      <c r="CR1064">
        <v>2</v>
      </c>
      <c r="CW1064">
        <v>15281175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25">
      <c r="A1065" t="str">
        <f t="shared" si="596"/>
        <v>06/05/2020 14:51:40.025</v>
      </c>
      <c r="C1065" t="str">
        <f t="shared" si="595"/>
        <v>FFDFD3C0</v>
      </c>
      <c r="D1065" t="s">
        <v>113</v>
      </c>
      <c r="E1065">
        <v>3</v>
      </c>
      <c r="H1065">
        <v>166</v>
      </c>
      <c r="I1065" t="s">
        <v>114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597"/>
        <v>14:51:45.664</v>
      </c>
      <c r="T1065" t="str">
        <f t="shared" si="598"/>
        <v>14:51:45.364</v>
      </c>
      <c r="U1065" t="str">
        <f t="shared" si="577"/>
        <v>ACC530</v>
      </c>
      <c r="V1065">
        <v>0</v>
      </c>
      <c r="W1065">
        <v>0</v>
      </c>
      <c r="X1065">
        <v>1</v>
      </c>
      <c r="Z1065">
        <v>0</v>
      </c>
      <c r="AA1065">
        <v>9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1</v>
      </c>
      <c r="AH1065">
        <v>0</v>
      </c>
      <c r="AI1065" t="s">
        <v>473</v>
      </c>
      <c r="AJ1065">
        <v>34.214858999999997</v>
      </c>
      <c r="AK1065" t="s">
        <v>474</v>
      </c>
      <c r="AL1065">
        <v>-116.94515</v>
      </c>
      <c r="AM1065">
        <v>100</v>
      </c>
      <c r="AN1065">
        <v>9200</v>
      </c>
      <c r="AO1065" t="s">
        <v>118</v>
      </c>
      <c r="AP1065">
        <v>-98</v>
      </c>
      <c r="AQ1065">
        <v>-59</v>
      </c>
      <c r="AR1065">
        <v>-640</v>
      </c>
      <c r="AZ1065">
        <v>1200</v>
      </c>
      <c r="BA1065">
        <v>1</v>
      </c>
      <c r="BB1065" t="str">
        <f t="shared" si="578"/>
        <v xml:space="preserve">N9217B  </v>
      </c>
      <c r="BC1065">
        <v>1</v>
      </c>
      <c r="BE1065">
        <v>0</v>
      </c>
      <c r="BF1065">
        <v>0</v>
      </c>
      <c r="BG1065">
        <v>0</v>
      </c>
      <c r="BH1065">
        <v>9225</v>
      </c>
      <c r="BI1065">
        <v>1</v>
      </c>
      <c r="BJ1065">
        <v>0</v>
      </c>
      <c r="BK1065">
        <v>0</v>
      </c>
      <c r="BL1065">
        <v>0</v>
      </c>
      <c r="BO1065">
        <v>0</v>
      </c>
      <c r="BP1065">
        <v>0</v>
      </c>
      <c r="BW1065" t="str">
        <f t="shared" si="599"/>
        <v>14:51:45.667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6</v>
      </c>
      <c r="CP1065" t="s">
        <v>119</v>
      </c>
      <c r="CQ1065">
        <v>285</v>
      </c>
      <c r="CR1065">
        <v>0</v>
      </c>
      <c r="CW1065">
        <v>8848521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25">
      <c r="A1066" t="str">
        <f t="shared" si="596"/>
        <v>06/05/2020 14:51:40.025</v>
      </c>
      <c r="C1066" t="str">
        <f t="shared" si="595"/>
        <v>FFDFD3C0</v>
      </c>
      <c r="D1066" t="s">
        <v>148</v>
      </c>
      <c r="E1066">
        <v>11</v>
      </c>
      <c r="H1066">
        <v>53</v>
      </c>
      <c r="I1066" t="s">
        <v>364</v>
      </c>
      <c r="J1066" t="s">
        <v>150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97"/>
        <v>14:51:45.664</v>
      </c>
      <c r="T1066" t="str">
        <f t="shared" si="598"/>
        <v>14:51:45.364</v>
      </c>
      <c r="U1066" t="str">
        <f t="shared" si="577"/>
        <v>ACC530</v>
      </c>
      <c r="V1066">
        <v>0</v>
      </c>
      <c r="W1066">
        <v>0</v>
      </c>
      <c r="X1066">
        <v>1</v>
      </c>
      <c r="Z1066">
        <v>0</v>
      </c>
      <c r="AA1066">
        <v>9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1</v>
      </c>
      <c r="AH1066">
        <v>0</v>
      </c>
      <c r="AI1066" t="s">
        <v>473</v>
      </c>
      <c r="AJ1066">
        <v>34.214858999999997</v>
      </c>
      <c r="AK1066" t="s">
        <v>474</v>
      </c>
      <c r="AL1066">
        <v>-116.94515</v>
      </c>
      <c r="AM1066">
        <v>100</v>
      </c>
      <c r="AN1066">
        <v>9200</v>
      </c>
      <c r="AO1066" t="s">
        <v>118</v>
      </c>
      <c r="AP1066">
        <v>-98</v>
      </c>
      <c r="AQ1066">
        <v>-59</v>
      </c>
      <c r="AR1066">
        <v>-640</v>
      </c>
      <c r="AZ1066">
        <v>1200</v>
      </c>
      <c r="BA1066">
        <v>1</v>
      </c>
      <c r="BB1066" t="str">
        <f t="shared" si="578"/>
        <v xml:space="preserve">N9217B  </v>
      </c>
      <c r="BC1066">
        <v>1</v>
      </c>
      <c r="BE1066">
        <v>0</v>
      </c>
      <c r="BF1066">
        <v>0</v>
      </c>
      <c r="BG1066">
        <v>0</v>
      </c>
      <c r="BH1066">
        <v>9225</v>
      </c>
      <c r="BI1066">
        <v>1</v>
      </c>
      <c r="BJ1066">
        <v>0</v>
      </c>
      <c r="BK1066">
        <v>0</v>
      </c>
      <c r="BL1066">
        <v>0</v>
      </c>
      <c r="BO1066">
        <v>0</v>
      </c>
      <c r="BP1066">
        <v>0</v>
      </c>
      <c r="BW1066" t="str">
        <f t="shared" si="599"/>
        <v>14:51:45.667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6</v>
      </c>
      <c r="CP1066" t="s">
        <v>119</v>
      </c>
      <c r="CQ1066">
        <v>285</v>
      </c>
      <c r="CR1066">
        <v>0</v>
      </c>
      <c r="CW1066">
        <v>8848521</v>
      </c>
      <c r="CY1066">
        <v>0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25">
      <c r="A1067" t="str">
        <f t="shared" si="596"/>
        <v>06/05/2020 14:51:40.025</v>
      </c>
      <c r="C1067" t="str">
        <f t="shared" si="595"/>
        <v>FFDFD3C0</v>
      </c>
      <c r="D1067" t="s">
        <v>134</v>
      </c>
      <c r="E1067">
        <v>7</v>
      </c>
      <c r="F1067">
        <v>2007</v>
      </c>
      <c r="G1067" t="s">
        <v>135</v>
      </c>
      <c r="J1067" t="s">
        <v>136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597"/>
        <v>14:51:45.664</v>
      </c>
      <c r="T1067" t="str">
        <f t="shared" si="598"/>
        <v>14:51:45.364</v>
      </c>
      <c r="U1067" t="str">
        <f t="shared" si="577"/>
        <v>ACC530</v>
      </c>
      <c r="V1067">
        <v>0</v>
      </c>
      <c r="W1067">
        <v>0</v>
      </c>
      <c r="X1067">
        <v>1</v>
      </c>
      <c r="Z1067">
        <v>0</v>
      </c>
      <c r="AA1067">
        <v>9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1</v>
      </c>
      <c r="AH1067">
        <v>0</v>
      </c>
      <c r="AI1067" t="s">
        <v>473</v>
      </c>
      <c r="AJ1067">
        <v>34.214858999999997</v>
      </c>
      <c r="AK1067" t="s">
        <v>474</v>
      </c>
      <c r="AL1067">
        <v>-116.94515</v>
      </c>
      <c r="AM1067">
        <v>100</v>
      </c>
      <c r="AN1067">
        <v>9200</v>
      </c>
      <c r="AO1067" t="s">
        <v>118</v>
      </c>
      <c r="AP1067">
        <v>-98</v>
      </c>
      <c r="AQ1067">
        <v>-59</v>
      </c>
      <c r="AR1067">
        <v>-640</v>
      </c>
      <c r="AZ1067">
        <v>1200</v>
      </c>
      <c r="BA1067">
        <v>1</v>
      </c>
      <c r="BB1067" t="str">
        <f t="shared" si="578"/>
        <v xml:space="preserve">N9217B  </v>
      </c>
      <c r="BC1067">
        <v>1</v>
      </c>
      <c r="BE1067">
        <v>0</v>
      </c>
      <c r="BF1067">
        <v>0</v>
      </c>
      <c r="BG1067">
        <v>0</v>
      </c>
      <c r="BH1067">
        <v>9225</v>
      </c>
      <c r="BI1067">
        <v>1</v>
      </c>
      <c r="BJ1067">
        <v>0</v>
      </c>
      <c r="BK1067">
        <v>0</v>
      </c>
      <c r="BL1067">
        <v>0</v>
      </c>
      <c r="BO1067">
        <v>0</v>
      </c>
      <c r="BP1067">
        <v>0</v>
      </c>
      <c r="BW1067" t="str">
        <f t="shared" si="599"/>
        <v>14:51:45.667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285</v>
      </c>
      <c r="CR1067">
        <v>0</v>
      </c>
      <c r="CW1067">
        <v>8848521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25">
      <c r="A1068" t="str">
        <f t="shared" si="596"/>
        <v>06/05/2020 14:51:40.025</v>
      </c>
      <c r="C1068" t="str">
        <f t="shared" si="595"/>
        <v>FFDFD3C0</v>
      </c>
      <c r="D1068" t="s">
        <v>141</v>
      </c>
      <c r="E1068">
        <v>20</v>
      </c>
      <c r="F1068">
        <v>1020</v>
      </c>
      <c r="G1068" t="s">
        <v>114</v>
      </c>
      <c r="J1068" t="s">
        <v>142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97"/>
        <v>14:51:45.664</v>
      </c>
      <c r="T1068" t="str">
        <f t="shared" si="598"/>
        <v>14:51:45.364</v>
      </c>
      <c r="U1068" t="str">
        <f t="shared" si="577"/>
        <v>ACC530</v>
      </c>
      <c r="V1068">
        <v>0</v>
      </c>
      <c r="W1068">
        <v>0</v>
      </c>
      <c r="X1068">
        <v>1</v>
      </c>
      <c r="Z1068">
        <v>0</v>
      </c>
      <c r="AA1068">
        <v>9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1</v>
      </c>
      <c r="AH1068">
        <v>0</v>
      </c>
      <c r="AI1068" t="s">
        <v>473</v>
      </c>
      <c r="AJ1068">
        <v>34.214858999999997</v>
      </c>
      <c r="AK1068" t="s">
        <v>474</v>
      </c>
      <c r="AL1068">
        <v>-116.94515</v>
      </c>
      <c r="AM1068">
        <v>100</v>
      </c>
      <c r="AN1068">
        <v>9200</v>
      </c>
      <c r="AO1068" t="s">
        <v>118</v>
      </c>
      <c r="AP1068">
        <v>-98</v>
      </c>
      <c r="AQ1068">
        <v>-59</v>
      </c>
      <c r="AR1068">
        <v>-640</v>
      </c>
      <c r="AZ1068">
        <v>1200</v>
      </c>
      <c r="BA1068">
        <v>1</v>
      </c>
      <c r="BB1068" t="str">
        <f t="shared" si="578"/>
        <v xml:space="preserve">N9217B  </v>
      </c>
      <c r="BC1068">
        <v>1</v>
      </c>
      <c r="BE1068">
        <v>0</v>
      </c>
      <c r="BF1068">
        <v>0</v>
      </c>
      <c r="BG1068">
        <v>0</v>
      </c>
      <c r="BH1068">
        <v>9225</v>
      </c>
      <c r="BI1068">
        <v>1</v>
      </c>
      <c r="BJ1068">
        <v>0</v>
      </c>
      <c r="BK1068">
        <v>0</v>
      </c>
      <c r="BL1068">
        <v>0</v>
      </c>
      <c r="BO1068">
        <v>0</v>
      </c>
      <c r="BP1068">
        <v>0</v>
      </c>
      <c r="BW1068" t="str">
        <f t="shared" si="599"/>
        <v>14:51:45.667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285</v>
      </c>
      <c r="CR1068">
        <v>0</v>
      </c>
      <c r="CW1068">
        <v>8848521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25">
      <c r="A1069" t="str">
        <f t="shared" si="596"/>
        <v>06/05/2020 14:51:40.025</v>
      </c>
      <c r="C1069" t="str">
        <f t="shared" si="595"/>
        <v>FFDFD3C0</v>
      </c>
      <c r="D1069" t="s">
        <v>151</v>
      </c>
      <c r="E1069">
        <v>8</v>
      </c>
      <c r="H1069">
        <v>225</v>
      </c>
      <c r="I1069" t="s">
        <v>353</v>
      </c>
      <c r="J1069" t="s">
        <v>150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97"/>
        <v>14:51:45.664</v>
      </c>
      <c r="T1069" t="str">
        <f t="shared" si="598"/>
        <v>14:51:45.364</v>
      </c>
      <c r="U1069" t="str">
        <f t="shared" si="577"/>
        <v>ACC530</v>
      </c>
      <c r="V1069">
        <v>0</v>
      </c>
      <c r="W1069">
        <v>0</v>
      </c>
      <c r="X1069">
        <v>1</v>
      </c>
      <c r="Z1069">
        <v>0</v>
      </c>
      <c r="AA1069">
        <v>9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1</v>
      </c>
      <c r="AH1069">
        <v>0</v>
      </c>
      <c r="AI1069" t="s">
        <v>473</v>
      </c>
      <c r="AJ1069">
        <v>34.214858999999997</v>
      </c>
      <c r="AK1069" t="s">
        <v>474</v>
      </c>
      <c r="AL1069">
        <v>-116.94515</v>
      </c>
      <c r="AM1069">
        <v>100</v>
      </c>
      <c r="AN1069">
        <v>9200</v>
      </c>
      <c r="AO1069" t="s">
        <v>118</v>
      </c>
      <c r="AP1069">
        <v>-98</v>
      </c>
      <c r="AQ1069">
        <v>-59</v>
      </c>
      <c r="AR1069">
        <v>-640</v>
      </c>
      <c r="AZ1069">
        <v>1200</v>
      </c>
      <c r="BA1069">
        <v>1</v>
      </c>
      <c r="BB1069" t="str">
        <f t="shared" si="578"/>
        <v xml:space="preserve">N9217B  </v>
      </c>
      <c r="BC1069">
        <v>1</v>
      </c>
      <c r="BE1069">
        <v>0</v>
      </c>
      <c r="BF1069">
        <v>0</v>
      </c>
      <c r="BG1069">
        <v>0</v>
      </c>
      <c r="BH1069">
        <v>9225</v>
      </c>
      <c r="BI1069">
        <v>1</v>
      </c>
      <c r="BJ1069">
        <v>0</v>
      </c>
      <c r="BK1069">
        <v>0</v>
      </c>
      <c r="BL1069">
        <v>0</v>
      </c>
      <c r="BO1069">
        <v>0</v>
      </c>
      <c r="BP1069">
        <v>0</v>
      </c>
      <c r="BW1069" t="str">
        <f t="shared" si="599"/>
        <v>14:51:45.667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285</v>
      </c>
      <c r="CR1069">
        <v>0</v>
      </c>
      <c r="CW1069">
        <v>8848521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25">
      <c r="A1070" t="str">
        <f t="shared" si="596"/>
        <v>06/05/2020 14:51:40.025</v>
      </c>
      <c r="C1070" t="str">
        <f t="shared" si="595"/>
        <v>FFDFD3C0</v>
      </c>
      <c r="D1070" t="s">
        <v>148</v>
      </c>
      <c r="E1070">
        <v>8</v>
      </c>
      <c r="H1070">
        <v>50</v>
      </c>
      <c r="I1070" t="s">
        <v>149</v>
      </c>
      <c r="J1070" t="s">
        <v>150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97"/>
        <v>14:51:45.664</v>
      </c>
      <c r="T1070" t="str">
        <f t="shared" si="598"/>
        <v>14:51:45.364</v>
      </c>
      <c r="U1070" t="str">
        <f t="shared" si="577"/>
        <v>ACC530</v>
      </c>
      <c r="V1070">
        <v>0</v>
      </c>
      <c r="W1070">
        <v>0</v>
      </c>
      <c r="X1070">
        <v>1</v>
      </c>
      <c r="Z1070">
        <v>0</v>
      </c>
      <c r="AA1070">
        <v>9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1</v>
      </c>
      <c r="AH1070">
        <v>0</v>
      </c>
      <c r="AI1070" t="s">
        <v>473</v>
      </c>
      <c r="AJ1070">
        <v>34.214858999999997</v>
      </c>
      <c r="AK1070" t="s">
        <v>474</v>
      </c>
      <c r="AL1070">
        <v>-116.94515</v>
      </c>
      <c r="AM1070">
        <v>100</v>
      </c>
      <c r="AN1070">
        <v>9200</v>
      </c>
      <c r="AO1070" t="s">
        <v>118</v>
      </c>
      <c r="AP1070">
        <v>-98</v>
      </c>
      <c r="AQ1070">
        <v>-59</v>
      </c>
      <c r="AR1070">
        <v>-640</v>
      </c>
      <c r="AZ1070">
        <v>1200</v>
      </c>
      <c r="BA1070">
        <v>1</v>
      </c>
      <c r="BB1070" t="str">
        <f t="shared" si="578"/>
        <v xml:space="preserve">N9217B  </v>
      </c>
      <c r="BC1070">
        <v>1</v>
      </c>
      <c r="BE1070">
        <v>0</v>
      </c>
      <c r="BF1070">
        <v>0</v>
      </c>
      <c r="BG1070">
        <v>0</v>
      </c>
      <c r="BH1070">
        <v>9225</v>
      </c>
      <c r="BI1070">
        <v>1</v>
      </c>
      <c r="BJ1070">
        <v>0</v>
      </c>
      <c r="BK1070">
        <v>0</v>
      </c>
      <c r="BL1070">
        <v>0</v>
      </c>
      <c r="BO1070">
        <v>0</v>
      </c>
      <c r="BP1070">
        <v>0</v>
      </c>
      <c r="BW1070" t="str">
        <f t="shared" si="599"/>
        <v>14:51:45.667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6</v>
      </c>
      <c r="CP1070" t="s">
        <v>119</v>
      </c>
      <c r="CQ1070">
        <v>285</v>
      </c>
      <c r="CR1070">
        <v>0</v>
      </c>
      <c r="CW1070">
        <v>8848521</v>
      </c>
      <c r="CY1070">
        <v>0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25">
      <c r="A1071" t="str">
        <f t="shared" si="596"/>
        <v>06/05/2020 14:51:40.025</v>
      </c>
      <c r="C1071" t="str">
        <f t="shared" si="595"/>
        <v>FFDFD3C0</v>
      </c>
      <c r="D1071" t="s">
        <v>151</v>
      </c>
      <c r="E1071">
        <v>9</v>
      </c>
      <c r="H1071">
        <v>226</v>
      </c>
      <c r="I1071" t="s">
        <v>152</v>
      </c>
      <c r="J1071" t="s">
        <v>150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597"/>
        <v>14:51:45.664</v>
      </c>
      <c r="T1071" t="str">
        <f t="shared" si="598"/>
        <v>14:51:45.364</v>
      </c>
      <c r="U1071" t="str">
        <f t="shared" si="577"/>
        <v>ACC530</v>
      </c>
      <c r="V1071">
        <v>0</v>
      </c>
      <c r="W1071">
        <v>0</v>
      </c>
      <c r="X1071">
        <v>1</v>
      </c>
      <c r="Z1071">
        <v>0</v>
      </c>
      <c r="AA1071">
        <v>9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1</v>
      </c>
      <c r="AH1071">
        <v>0</v>
      </c>
      <c r="AI1071" t="s">
        <v>473</v>
      </c>
      <c r="AJ1071">
        <v>34.214858999999997</v>
      </c>
      <c r="AK1071" t="s">
        <v>474</v>
      </c>
      <c r="AL1071">
        <v>-116.94515</v>
      </c>
      <c r="AM1071">
        <v>100</v>
      </c>
      <c r="AN1071">
        <v>9200</v>
      </c>
      <c r="AO1071" t="s">
        <v>118</v>
      </c>
      <c r="AP1071">
        <v>-98</v>
      </c>
      <c r="AQ1071">
        <v>-59</v>
      </c>
      <c r="AR1071">
        <v>-640</v>
      </c>
      <c r="AZ1071">
        <v>1200</v>
      </c>
      <c r="BA1071">
        <v>1</v>
      </c>
      <c r="BB1071" t="str">
        <f t="shared" si="578"/>
        <v xml:space="preserve">N9217B  </v>
      </c>
      <c r="BC1071">
        <v>1</v>
      </c>
      <c r="BE1071">
        <v>0</v>
      </c>
      <c r="BF1071">
        <v>0</v>
      </c>
      <c r="BG1071">
        <v>0</v>
      </c>
      <c r="BH1071">
        <v>9225</v>
      </c>
      <c r="BI1071">
        <v>1</v>
      </c>
      <c r="BJ1071">
        <v>0</v>
      </c>
      <c r="BK1071">
        <v>0</v>
      </c>
      <c r="BL1071">
        <v>0</v>
      </c>
      <c r="BO1071">
        <v>0</v>
      </c>
      <c r="BP1071">
        <v>0</v>
      </c>
      <c r="BW1071" t="str">
        <f t="shared" si="599"/>
        <v>14:51:45.667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6</v>
      </c>
      <c r="CP1071" t="s">
        <v>119</v>
      </c>
      <c r="CQ1071">
        <v>285</v>
      </c>
      <c r="CR1071">
        <v>0</v>
      </c>
      <c r="CW1071">
        <v>8848521</v>
      </c>
      <c r="CY1071">
        <v>0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25">
      <c r="A1072" t="str">
        <f t="shared" ref="A1072:A1079" si="600">"06/05/2020 14:51:41.151"</f>
        <v>06/05/2020 14:51:41.151</v>
      </c>
      <c r="C1072" t="str">
        <f t="shared" si="595"/>
        <v>FFDFD3C0</v>
      </c>
      <c r="D1072" t="s">
        <v>148</v>
      </c>
      <c r="E1072">
        <v>11</v>
      </c>
      <c r="H1072">
        <v>53</v>
      </c>
      <c r="I1072" t="s">
        <v>364</v>
      </c>
      <c r="J1072" t="s">
        <v>150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ref="S1072:T1079" si="601">"14:51:46.773"</f>
        <v>14:51:46.773</v>
      </c>
      <c r="T1072" t="str">
        <f t="shared" si="601"/>
        <v>14:51:46.773</v>
      </c>
      <c r="U1072" t="str">
        <f t="shared" si="577"/>
        <v>ACC530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1</v>
      </c>
      <c r="AH1072">
        <v>0</v>
      </c>
      <c r="AI1072" t="s">
        <v>475</v>
      </c>
      <c r="AJ1072">
        <v>34.214537</v>
      </c>
      <c r="AK1072" t="s">
        <v>476</v>
      </c>
      <c r="AL1072">
        <v>-116.94577200000001</v>
      </c>
      <c r="AM1072">
        <v>100</v>
      </c>
      <c r="AN1072">
        <v>9200</v>
      </c>
      <c r="AO1072" t="s">
        <v>118</v>
      </c>
      <c r="AP1072">
        <v>-99</v>
      </c>
      <c r="AQ1072">
        <v>-60</v>
      </c>
      <c r="AR1072">
        <v>-704</v>
      </c>
      <c r="AZ1072">
        <v>1200</v>
      </c>
      <c r="BA1072">
        <v>1</v>
      </c>
      <c r="BB1072" t="str">
        <f t="shared" si="578"/>
        <v xml:space="preserve">N9217B  </v>
      </c>
      <c r="BC1072">
        <v>1</v>
      </c>
      <c r="BE1072">
        <v>0</v>
      </c>
      <c r="BF1072">
        <v>0</v>
      </c>
      <c r="BG1072">
        <v>0</v>
      </c>
      <c r="BH1072">
        <v>9200</v>
      </c>
      <c r="BI1072">
        <v>1</v>
      </c>
      <c r="BJ1072">
        <v>0</v>
      </c>
      <c r="BK1072">
        <v>0</v>
      </c>
      <c r="BL1072">
        <v>0</v>
      </c>
      <c r="BO1072">
        <v>0</v>
      </c>
      <c r="BP1072">
        <v>0</v>
      </c>
      <c r="BW1072" t="str">
        <f t="shared" ref="BW1072:BW1079" si="602">"14:51:46.777"</f>
        <v>14:51:46.777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293</v>
      </c>
      <c r="CR1072">
        <v>1</v>
      </c>
      <c r="CW1072">
        <v>15281300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25">
      <c r="A1073" t="str">
        <f t="shared" si="600"/>
        <v>06/05/2020 14:51:41.151</v>
      </c>
      <c r="C1073" t="str">
        <f t="shared" si="595"/>
        <v>FFDFD3C0</v>
      </c>
      <c r="D1073" t="s">
        <v>134</v>
      </c>
      <c r="E1073">
        <v>7</v>
      </c>
      <c r="F1073">
        <v>2007</v>
      </c>
      <c r="G1073" t="s">
        <v>135</v>
      </c>
      <c r="J1073" t="s">
        <v>136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601"/>
        <v>14:51:46.773</v>
      </c>
      <c r="T1073" t="str">
        <f t="shared" si="601"/>
        <v>14:51:46.773</v>
      </c>
      <c r="U1073" t="str">
        <f t="shared" si="577"/>
        <v>ACC530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1</v>
      </c>
      <c r="AH1073">
        <v>0</v>
      </c>
      <c r="AI1073" t="s">
        <v>475</v>
      </c>
      <c r="AJ1073">
        <v>34.214537</v>
      </c>
      <c r="AK1073" t="s">
        <v>476</v>
      </c>
      <c r="AL1073">
        <v>-116.94577200000001</v>
      </c>
      <c r="AM1073">
        <v>100</v>
      </c>
      <c r="AN1073">
        <v>9200</v>
      </c>
      <c r="AO1073" t="s">
        <v>118</v>
      </c>
      <c r="AP1073">
        <v>-99</v>
      </c>
      <c r="AQ1073">
        <v>-60</v>
      </c>
      <c r="AR1073">
        <v>-704</v>
      </c>
      <c r="AZ1073">
        <v>1200</v>
      </c>
      <c r="BA1073">
        <v>1</v>
      </c>
      <c r="BB1073" t="str">
        <f t="shared" si="578"/>
        <v xml:space="preserve">N9217B  </v>
      </c>
      <c r="BC1073">
        <v>1</v>
      </c>
      <c r="BE1073">
        <v>0</v>
      </c>
      <c r="BF1073">
        <v>0</v>
      </c>
      <c r="BG1073">
        <v>0</v>
      </c>
      <c r="BH1073">
        <v>9200</v>
      </c>
      <c r="BI1073">
        <v>1</v>
      </c>
      <c r="BJ1073">
        <v>0</v>
      </c>
      <c r="BK1073">
        <v>0</v>
      </c>
      <c r="BL1073">
        <v>0</v>
      </c>
      <c r="BO1073">
        <v>0</v>
      </c>
      <c r="BP1073">
        <v>0</v>
      </c>
      <c r="BW1073" t="str">
        <f t="shared" si="602"/>
        <v>14:51:46.777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293</v>
      </c>
      <c r="CR1073">
        <v>1</v>
      </c>
      <c r="CW1073">
        <v>15281300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25">
      <c r="A1074" t="str">
        <f t="shared" si="600"/>
        <v>06/05/2020 14:51:41.151</v>
      </c>
      <c r="C1074" t="str">
        <f t="shared" si="595"/>
        <v>FFDFD3C0</v>
      </c>
      <c r="D1074" t="s">
        <v>141</v>
      </c>
      <c r="E1074">
        <v>20</v>
      </c>
      <c r="F1074">
        <v>1020</v>
      </c>
      <c r="G1074" t="s">
        <v>114</v>
      </c>
      <c r="J1074" t="s">
        <v>142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601"/>
        <v>14:51:46.773</v>
      </c>
      <c r="T1074" t="str">
        <f t="shared" si="601"/>
        <v>14:51:46.773</v>
      </c>
      <c r="U1074" t="str">
        <f t="shared" si="577"/>
        <v>ACC530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1</v>
      </c>
      <c r="AH1074">
        <v>0</v>
      </c>
      <c r="AI1074" t="s">
        <v>475</v>
      </c>
      <c r="AJ1074">
        <v>34.214537</v>
      </c>
      <c r="AK1074" t="s">
        <v>476</v>
      </c>
      <c r="AL1074">
        <v>-116.94577200000001</v>
      </c>
      <c r="AM1074">
        <v>100</v>
      </c>
      <c r="AN1074">
        <v>9200</v>
      </c>
      <c r="AO1074" t="s">
        <v>118</v>
      </c>
      <c r="AP1074">
        <v>-99</v>
      </c>
      <c r="AQ1074">
        <v>-60</v>
      </c>
      <c r="AR1074">
        <v>-704</v>
      </c>
      <c r="AZ1074">
        <v>1200</v>
      </c>
      <c r="BA1074">
        <v>1</v>
      </c>
      <c r="BB1074" t="str">
        <f t="shared" si="578"/>
        <v xml:space="preserve">N9217B  </v>
      </c>
      <c r="BC1074">
        <v>1</v>
      </c>
      <c r="BE1074">
        <v>0</v>
      </c>
      <c r="BF1074">
        <v>0</v>
      </c>
      <c r="BG1074">
        <v>0</v>
      </c>
      <c r="BH1074">
        <v>9200</v>
      </c>
      <c r="BI1074">
        <v>1</v>
      </c>
      <c r="BJ1074">
        <v>0</v>
      </c>
      <c r="BK1074">
        <v>0</v>
      </c>
      <c r="BL1074">
        <v>0</v>
      </c>
      <c r="BO1074">
        <v>0</v>
      </c>
      <c r="BP1074">
        <v>0</v>
      </c>
      <c r="BW1074" t="str">
        <f t="shared" si="602"/>
        <v>14:51:46.777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293</v>
      </c>
      <c r="CR1074">
        <v>1</v>
      </c>
      <c r="CW1074">
        <v>15281300</v>
      </c>
      <c r="CY1074">
        <v>0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25">
      <c r="A1075" t="str">
        <f t="shared" si="600"/>
        <v>06/05/2020 14:51:41.151</v>
      </c>
      <c r="C1075" t="str">
        <f t="shared" si="595"/>
        <v>FFDFD3C0</v>
      </c>
      <c r="D1075" t="s">
        <v>151</v>
      </c>
      <c r="E1075">
        <v>8</v>
      </c>
      <c r="H1075">
        <v>225</v>
      </c>
      <c r="I1075" t="s">
        <v>353</v>
      </c>
      <c r="J1075" t="s">
        <v>150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601"/>
        <v>14:51:46.773</v>
      </c>
      <c r="T1075" t="str">
        <f t="shared" si="601"/>
        <v>14:51:46.773</v>
      </c>
      <c r="U1075" t="str">
        <f t="shared" si="577"/>
        <v>ACC530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1</v>
      </c>
      <c r="AH1075">
        <v>0</v>
      </c>
      <c r="AI1075" t="s">
        <v>475</v>
      </c>
      <c r="AJ1075">
        <v>34.214537</v>
      </c>
      <c r="AK1075" t="s">
        <v>476</v>
      </c>
      <c r="AL1075">
        <v>-116.94577200000001</v>
      </c>
      <c r="AM1075">
        <v>100</v>
      </c>
      <c r="AN1075">
        <v>9200</v>
      </c>
      <c r="AO1075" t="s">
        <v>118</v>
      </c>
      <c r="AP1075">
        <v>-99</v>
      </c>
      <c r="AQ1075">
        <v>-60</v>
      </c>
      <c r="AR1075">
        <v>-704</v>
      </c>
      <c r="AZ1075">
        <v>1200</v>
      </c>
      <c r="BA1075">
        <v>1</v>
      </c>
      <c r="BB1075" t="str">
        <f t="shared" si="578"/>
        <v xml:space="preserve">N9217B  </v>
      </c>
      <c r="BC1075">
        <v>1</v>
      </c>
      <c r="BE1075">
        <v>0</v>
      </c>
      <c r="BF1075">
        <v>0</v>
      </c>
      <c r="BG1075">
        <v>0</v>
      </c>
      <c r="BH1075">
        <v>9200</v>
      </c>
      <c r="BI1075">
        <v>1</v>
      </c>
      <c r="BJ1075">
        <v>0</v>
      </c>
      <c r="BK1075">
        <v>0</v>
      </c>
      <c r="BL1075">
        <v>0</v>
      </c>
      <c r="BO1075">
        <v>0</v>
      </c>
      <c r="BP1075">
        <v>0</v>
      </c>
      <c r="BW1075" t="str">
        <f t="shared" si="602"/>
        <v>14:51:46.777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6</v>
      </c>
      <c r="CP1075" t="s">
        <v>119</v>
      </c>
      <c r="CQ1075">
        <v>285</v>
      </c>
      <c r="CR1075">
        <v>0</v>
      </c>
      <c r="CW1075">
        <v>8848614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25">
      <c r="A1076" t="str">
        <f t="shared" si="600"/>
        <v>06/05/2020 14:51:41.151</v>
      </c>
      <c r="C1076" t="str">
        <f t="shared" si="595"/>
        <v>FFDFD3C0</v>
      </c>
      <c r="D1076" t="s">
        <v>148</v>
      </c>
      <c r="E1076">
        <v>8</v>
      </c>
      <c r="H1076">
        <v>50</v>
      </c>
      <c r="I1076" t="s">
        <v>149</v>
      </c>
      <c r="J1076" t="s">
        <v>150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601"/>
        <v>14:51:46.773</v>
      </c>
      <c r="T1076" t="str">
        <f t="shared" si="601"/>
        <v>14:51:46.773</v>
      </c>
      <c r="U1076" t="str">
        <f t="shared" si="577"/>
        <v>ACC530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1</v>
      </c>
      <c r="AH1076">
        <v>0</v>
      </c>
      <c r="AI1076" t="s">
        <v>475</v>
      </c>
      <c r="AJ1076">
        <v>34.214537</v>
      </c>
      <c r="AK1076" t="s">
        <v>476</v>
      </c>
      <c r="AL1076">
        <v>-116.94577200000001</v>
      </c>
      <c r="AM1076">
        <v>100</v>
      </c>
      <c r="AN1076">
        <v>9200</v>
      </c>
      <c r="AO1076" t="s">
        <v>118</v>
      </c>
      <c r="AP1076">
        <v>-99</v>
      </c>
      <c r="AQ1076">
        <v>-60</v>
      </c>
      <c r="AR1076">
        <v>-704</v>
      </c>
      <c r="AZ1076">
        <v>1200</v>
      </c>
      <c r="BA1076">
        <v>1</v>
      </c>
      <c r="BB1076" t="str">
        <f t="shared" si="578"/>
        <v xml:space="preserve">N9217B  </v>
      </c>
      <c r="BC1076">
        <v>1</v>
      </c>
      <c r="BE1076">
        <v>0</v>
      </c>
      <c r="BF1076">
        <v>0</v>
      </c>
      <c r="BG1076">
        <v>0</v>
      </c>
      <c r="BH1076">
        <v>9200</v>
      </c>
      <c r="BI1076">
        <v>1</v>
      </c>
      <c r="BJ1076">
        <v>0</v>
      </c>
      <c r="BK1076">
        <v>0</v>
      </c>
      <c r="BL1076">
        <v>0</v>
      </c>
      <c r="BO1076">
        <v>0</v>
      </c>
      <c r="BP1076">
        <v>0</v>
      </c>
      <c r="BW1076" t="str">
        <f t="shared" si="602"/>
        <v>14:51:46.777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293</v>
      </c>
      <c r="CR1076">
        <v>1</v>
      </c>
      <c r="CW1076">
        <v>15281300</v>
      </c>
      <c r="CY1076">
        <v>0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25">
      <c r="A1077" t="str">
        <f t="shared" si="600"/>
        <v>06/05/2020 14:51:41.151</v>
      </c>
      <c r="C1077" t="str">
        <f t="shared" si="595"/>
        <v>FFDFD3C0</v>
      </c>
      <c r="D1077" t="s">
        <v>143</v>
      </c>
      <c r="E1077">
        <v>10</v>
      </c>
      <c r="F1077">
        <v>3010</v>
      </c>
      <c r="G1077" t="s">
        <v>144</v>
      </c>
      <c r="J1077" t="s">
        <v>145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601"/>
        <v>14:51:46.773</v>
      </c>
      <c r="T1077" t="str">
        <f t="shared" si="601"/>
        <v>14:51:46.773</v>
      </c>
      <c r="U1077" t="str">
        <f t="shared" si="577"/>
        <v>ACC530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1</v>
      </c>
      <c r="AH1077">
        <v>0</v>
      </c>
      <c r="AI1077" t="s">
        <v>475</v>
      </c>
      <c r="AJ1077">
        <v>34.214537</v>
      </c>
      <c r="AK1077" t="s">
        <v>476</v>
      </c>
      <c r="AL1077">
        <v>-116.94577200000001</v>
      </c>
      <c r="AM1077">
        <v>100</v>
      </c>
      <c r="AN1077">
        <v>9200</v>
      </c>
      <c r="AO1077" t="s">
        <v>118</v>
      </c>
      <c r="AP1077">
        <v>-99</v>
      </c>
      <c r="AQ1077">
        <v>-60</v>
      </c>
      <c r="AR1077">
        <v>-704</v>
      </c>
      <c r="AZ1077">
        <v>1200</v>
      </c>
      <c r="BA1077">
        <v>1</v>
      </c>
      <c r="BB1077" t="str">
        <f t="shared" si="578"/>
        <v xml:space="preserve">N9217B  </v>
      </c>
      <c r="BC1077">
        <v>1</v>
      </c>
      <c r="BE1077">
        <v>0</v>
      </c>
      <c r="BF1077">
        <v>0</v>
      </c>
      <c r="BG1077">
        <v>0</v>
      </c>
      <c r="BH1077">
        <v>9200</v>
      </c>
      <c r="BI1077">
        <v>1</v>
      </c>
      <c r="BJ1077">
        <v>0</v>
      </c>
      <c r="BK1077">
        <v>0</v>
      </c>
      <c r="BL1077">
        <v>0</v>
      </c>
      <c r="BO1077">
        <v>0</v>
      </c>
      <c r="BP1077">
        <v>0</v>
      </c>
      <c r="BW1077" t="str">
        <f t="shared" si="602"/>
        <v>14:51:46.777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293</v>
      </c>
      <c r="CR1077">
        <v>1</v>
      </c>
      <c r="CW1077">
        <v>15281300</v>
      </c>
      <c r="CY1077">
        <v>0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25">
      <c r="A1078" t="str">
        <f t="shared" si="600"/>
        <v>06/05/2020 14:51:41.151</v>
      </c>
      <c r="C1078" t="str">
        <f t="shared" si="595"/>
        <v>FFDFD3C0</v>
      </c>
      <c r="D1078" t="s">
        <v>151</v>
      </c>
      <c r="E1078">
        <v>9</v>
      </c>
      <c r="H1078">
        <v>226</v>
      </c>
      <c r="I1078" t="s">
        <v>152</v>
      </c>
      <c r="J1078" t="s">
        <v>150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601"/>
        <v>14:51:46.773</v>
      </c>
      <c r="T1078" t="str">
        <f t="shared" si="601"/>
        <v>14:51:46.773</v>
      </c>
      <c r="U1078" t="str">
        <f t="shared" si="577"/>
        <v>ACC530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1</v>
      </c>
      <c r="AH1078">
        <v>0</v>
      </c>
      <c r="AI1078" t="s">
        <v>475</v>
      </c>
      <c r="AJ1078">
        <v>34.214537</v>
      </c>
      <c r="AK1078" t="s">
        <v>476</v>
      </c>
      <c r="AL1078">
        <v>-116.94577200000001</v>
      </c>
      <c r="AM1078">
        <v>100</v>
      </c>
      <c r="AN1078">
        <v>9200</v>
      </c>
      <c r="AO1078" t="s">
        <v>118</v>
      </c>
      <c r="AP1078">
        <v>-99</v>
      </c>
      <c r="AQ1078">
        <v>-60</v>
      </c>
      <c r="AR1078">
        <v>-704</v>
      </c>
      <c r="AZ1078">
        <v>1200</v>
      </c>
      <c r="BA1078">
        <v>1</v>
      </c>
      <c r="BB1078" t="str">
        <f t="shared" si="578"/>
        <v xml:space="preserve">N9217B  </v>
      </c>
      <c r="BC1078">
        <v>1</v>
      </c>
      <c r="BE1078">
        <v>0</v>
      </c>
      <c r="BF1078">
        <v>0</v>
      </c>
      <c r="BG1078">
        <v>0</v>
      </c>
      <c r="BH1078">
        <v>9200</v>
      </c>
      <c r="BI1078">
        <v>1</v>
      </c>
      <c r="BJ1078">
        <v>0</v>
      </c>
      <c r="BK1078">
        <v>0</v>
      </c>
      <c r="BL1078">
        <v>0</v>
      </c>
      <c r="BO1078">
        <v>0</v>
      </c>
      <c r="BP1078">
        <v>0</v>
      </c>
      <c r="BW1078" t="str">
        <f t="shared" si="602"/>
        <v>14:51:46.777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293</v>
      </c>
      <c r="CR1078">
        <v>1</v>
      </c>
      <c r="CW1078">
        <v>15281300</v>
      </c>
      <c r="CY1078">
        <v>0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25">
      <c r="A1079" t="str">
        <f t="shared" si="600"/>
        <v>06/05/2020 14:51:41.151</v>
      </c>
      <c r="C1079" t="str">
        <f t="shared" si="595"/>
        <v>FFDFD3C0</v>
      </c>
      <c r="D1079" t="s">
        <v>113</v>
      </c>
      <c r="E1079">
        <v>3</v>
      </c>
      <c r="H1079">
        <v>166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601"/>
        <v>14:51:46.773</v>
      </c>
      <c r="T1079" t="str">
        <f t="shared" si="601"/>
        <v>14:51:46.773</v>
      </c>
      <c r="U1079" t="str">
        <f t="shared" si="577"/>
        <v>ACC530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1</v>
      </c>
      <c r="AH1079">
        <v>0</v>
      </c>
      <c r="AI1079" t="s">
        <v>475</v>
      </c>
      <c r="AJ1079">
        <v>34.214537</v>
      </c>
      <c r="AK1079" t="s">
        <v>476</v>
      </c>
      <c r="AL1079">
        <v>-116.94577200000001</v>
      </c>
      <c r="AM1079">
        <v>100</v>
      </c>
      <c r="AN1079">
        <v>9200</v>
      </c>
      <c r="AO1079" t="s">
        <v>118</v>
      </c>
      <c r="AP1079">
        <v>-99</v>
      </c>
      <c r="AQ1079">
        <v>-60</v>
      </c>
      <c r="AR1079">
        <v>-704</v>
      </c>
      <c r="AZ1079">
        <v>1200</v>
      </c>
      <c r="BA1079">
        <v>1</v>
      </c>
      <c r="BB1079" t="str">
        <f t="shared" si="578"/>
        <v xml:space="preserve">N9217B  </v>
      </c>
      <c r="BC1079">
        <v>1</v>
      </c>
      <c r="BE1079">
        <v>0</v>
      </c>
      <c r="BF1079">
        <v>0</v>
      </c>
      <c r="BG1079">
        <v>0</v>
      </c>
      <c r="BH1079">
        <v>9200</v>
      </c>
      <c r="BI1079">
        <v>1</v>
      </c>
      <c r="BJ1079">
        <v>0</v>
      </c>
      <c r="BK1079">
        <v>0</v>
      </c>
      <c r="BL1079">
        <v>0</v>
      </c>
      <c r="BO1079">
        <v>0</v>
      </c>
      <c r="BP1079">
        <v>0</v>
      </c>
      <c r="BW1079" t="str">
        <f t="shared" si="602"/>
        <v>14:51:46.777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293</v>
      </c>
      <c r="CR1079">
        <v>1</v>
      </c>
      <c r="CW1079">
        <v>15281300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25">
      <c r="A1080" t="str">
        <f t="shared" ref="A1080:A1087" si="603">"06/05/2020 14:51:42.035"</f>
        <v>06/05/2020 14:51:42.035</v>
      </c>
      <c r="C1080" t="str">
        <f t="shared" si="595"/>
        <v>FFDFD3C0</v>
      </c>
      <c r="D1080" t="s">
        <v>143</v>
      </c>
      <c r="E1080">
        <v>10</v>
      </c>
      <c r="F1080">
        <v>3010</v>
      </c>
      <c r="G1080" t="s">
        <v>144</v>
      </c>
      <c r="J1080" t="s">
        <v>145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ref="S1080:S1087" si="604">"14:51:47.688"</f>
        <v>14:51:47.688</v>
      </c>
      <c r="T1080" t="str">
        <f t="shared" ref="T1080:T1087" si="605">"14:51:47.288"</f>
        <v>14:51:47.288</v>
      </c>
      <c r="U1080" t="str">
        <f t="shared" si="577"/>
        <v>ACC530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1</v>
      </c>
      <c r="AH1080">
        <v>0</v>
      </c>
      <c r="AI1080" t="s">
        <v>477</v>
      </c>
      <c r="AJ1080">
        <v>34.214300999999999</v>
      </c>
      <c r="AK1080" t="s">
        <v>478</v>
      </c>
      <c r="AL1080">
        <v>-116.946201</v>
      </c>
      <c r="AM1080">
        <v>100</v>
      </c>
      <c r="AN1080">
        <v>9100</v>
      </c>
      <c r="AO1080" t="s">
        <v>118</v>
      </c>
      <c r="AP1080">
        <v>-99</v>
      </c>
      <c r="AQ1080">
        <v>-60</v>
      </c>
      <c r="AR1080">
        <v>-640</v>
      </c>
      <c r="AZ1080">
        <v>1200</v>
      </c>
      <c r="BA1080">
        <v>1</v>
      </c>
      <c r="BB1080" t="str">
        <f t="shared" si="578"/>
        <v xml:space="preserve">N9217B  </v>
      </c>
      <c r="BC1080">
        <v>1</v>
      </c>
      <c r="BE1080">
        <v>0</v>
      </c>
      <c r="BF1080">
        <v>0</v>
      </c>
      <c r="BG1080">
        <v>0</v>
      </c>
      <c r="BH1080">
        <v>9200</v>
      </c>
      <c r="BI1080">
        <v>1</v>
      </c>
      <c r="BJ1080">
        <v>0</v>
      </c>
      <c r="BK1080">
        <v>0</v>
      </c>
      <c r="BL1080">
        <v>0</v>
      </c>
      <c r="BO1080">
        <v>0</v>
      </c>
      <c r="BP1080">
        <v>0</v>
      </c>
      <c r="BW1080" t="str">
        <f t="shared" ref="BW1080:BW1087" si="606">"14:51:47.692"</f>
        <v>14:51:47.692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293</v>
      </c>
      <c r="CR1080">
        <v>1</v>
      </c>
      <c r="CW1080">
        <v>15281408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25">
      <c r="A1081" t="str">
        <f t="shared" si="603"/>
        <v>06/05/2020 14:51:42.035</v>
      </c>
      <c r="C1081" t="str">
        <f t="shared" si="595"/>
        <v>FFDFD3C0</v>
      </c>
      <c r="D1081" t="s">
        <v>148</v>
      </c>
      <c r="E1081">
        <v>8</v>
      </c>
      <c r="H1081">
        <v>50</v>
      </c>
      <c r="I1081" t="s">
        <v>149</v>
      </c>
      <c r="J1081" t="s">
        <v>150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604"/>
        <v>14:51:47.688</v>
      </c>
      <c r="T1081" t="str">
        <f t="shared" si="605"/>
        <v>14:51:47.288</v>
      </c>
      <c r="U1081" t="str">
        <f t="shared" si="577"/>
        <v>ACC530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1</v>
      </c>
      <c r="AH1081">
        <v>0</v>
      </c>
      <c r="AI1081" t="s">
        <v>477</v>
      </c>
      <c r="AJ1081">
        <v>34.214300999999999</v>
      </c>
      <c r="AK1081" t="s">
        <v>478</v>
      </c>
      <c r="AL1081">
        <v>-116.946201</v>
      </c>
      <c r="AM1081">
        <v>100</v>
      </c>
      <c r="AN1081">
        <v>9100</v>
      </c>
      <c r="AO1081" t="s">
        <v>118</v>
      </c>
      <c r="AP1081">
        <v>-99</v>
      </c>
      <c r="AQ1081">
        <v>-60</v>
      </c>
      <c r="AR1081">
        <v>-640</v>
      </c>
      <c r="AZ1081">
        <v>1200</v>
      </c>
      <c r="BA1081">
        <v>1</v>
      </c>
      <c r="BB1081" t="str">
        <f t="shared" si="578"/>
        <v xml:space="preserve">N9217B  </v>
      </c>
      <c r="BC1081">
        <v>1</v>
      </c>
      <c r="BE1081">
        <v>0</v>
      </c>
      <c r="BF1081">
        <v>0</v>
      </c>
      <c r="BG1081">
        <v>0</v>
      </c>
      <c r="BH1081">
        <v>9200</v>
      </c>
      <c r="BI1081">
        <v>1</v>
      </c>
      <c r="BJ1081">
        <v>0</v>
      </c>
      <c r="BK1081">
        <v>0</v>
      </c>
      <c r="BL1081">
        <v>0</v>
      </c>
      <c r="BO1081">
        <v>0</v>
      </c>
      <c r="BP1081">
        <v>0</v>
      </c>
      <c r="BW1081" t="str">
        <f t="shared" si="606"/>
        <v>14:51:47.692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293</v>
      </c>
      <c r="CR1081">
        <v>1</v>
      </c>
      <c r="CW1081">
        <v>15281408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25">
      <c r="A1082" t="str">
        <f t="shared" si="603"/>
        <v>06/05/2020 14:51:42.035</v>
      </c>
      <c r="C1082" t="str">
        <f t="shared" si="595"/>
        <v>FFDFD3C0</v>
      </c>
      <c r="D1082" t="s">
        <v>151</v>
      </c>
      <c r="E1082">
        <v>8</v>
      </c>
      <c r="H1082">
        <v>225</v>
      </c>
      <c r="I1082" t="s">
        <v>353</v>
      </c>
      <c r="J1082" t="s">
        <v>150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604"/>
        <v>14:51:47.688</v>
      </c>
      <c r="T1082" t="str">
        <f t="shared" si="605"/>
        <v>14:51:47.288</v>
      </c>
      <c r="U1082" t="str">
        <f t="shared" si="577"/>
        <v>ACC530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1</v>
      </c>
      <c r="AH1082">
        <v>0</v>
      </c>
      <c r="AI1082" t="s">
        <v>477</v>
      </c>
      <c r="AJ1082">
        <v>34.214300999999999</v>
      </c>
      <c r="AK1082" t="s">
        <v>478</v>
      </c>
      <c r="AL1082">
        <v>-116.946201</v>
      </c>
      <c r="AM1082">
        <v>100</v>
      </c>
      <c r="AN1082">
        <v>9100</v>
      </c>
      <c r="AO1082" t="s">
        <v>118</v>
      </c>
      <c r="AP1082">
        <v>-99</v>
      </c>
      <c r="AQ1082">
        <v>-60</v>
      </c>
      <c r="AR1082">
        <v>-640</v>
      </c>
      <c r="AZ1082">
        <v>1200</v>
      </c>
      <c r="BA1082">
        <v>1</v>
      </c>
      <c r="BB1082" t="str">
        <f t="shared" si="578"/>
        <v xml:space="preserve">N9217B  </v>
      </c>
      <c r="BC1082">
        <v>1</v>
      </c>
      <c r="BE1082">
        <v>0</v>
      </c>
      <c r="BF1082">
        <v>0</v>
      </c>
      <c r="BG1082">
        <v>0</v>
      </c>
      <c r="BH1082">
        <v>9200</v>
      </c>
      <c r="BI1082">
        <v>1</v>
      </c>
      <c r="BJ1082">
        <v>0</v>
      </c>
      <c r="BK1082">
        <v>0</v>
      </c>
      <c r="BL1082">
        <v>0</v>
      </c>
      <c r="BO1082">
        <v>0</v>
      </c>
      <c r="BP1082">
        <v>0</v>
      </c>
      <c r="BW1082" t="str">
        <f t="shared" si="606"/>
        <v>14:51:47.692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6</v>
      </c>
      <c r="CP1082" t="s">
        <v>119</v>
      </c>
      <c r="CQ1082">
        <v>285</v>
      </c>
      <c r="CR1082">
        <v>0</v>
      </c>
      <c r="CW1082">
        <v>8848698</v>
      </c>
      <c r="CY1082">
        <v>0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25">
      <c r="A1083" t="str">
        <f t="shared" si="603"/>
        <v>06/05/2020 14:51:42.035</v>
      </c>
      <c r="C1083" t="str">
        <f t="shared" si="595"/>
        <v>FFDFD3C0</v>
      </c>
      <c r="D1083" t="s">
        <v>151</v>
      </c>
      <c r="E1083">
        <v>9</v>
      </c>
      <c r="H1083">
        <v>226</v>
      </c>
      <c r="I1083" t="s">
        <v>152</v>
      </c>
      <c r="J1083" t="s">
        <v>150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604"/>
        <v>14:51:47.688</v>
      </c>
      <c r="T1083" t="str">
        <f t="shared" si="605"/>
        <v>14:51:47.288</v>
      </c>
      <c r="U1083" t="str">
        <f t="shared" si="577"/>
        <v>ACC530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1</v>
      </c>
      <c r="AH1083">
        <v>0</v>
      </c>
      <c r="AI1083" t="s">
        <v>477</v>
      </c>
      <c r="AJ1083">
        <v>34.214300999999999</v>
      </c>
      <c r="AK1083" t="s">
        <v>478</v>
      </c>
      <c r="AL1083">
        <v>-116.946201</v>
      </c>
      <c r="AM1083">
        <v>100</v>
      </c>
      <c r="AN1083">
        <v>9100</v>
      </c>
      <c r="AO1083" t="s">
        <v>118</v>
      </c>
      <c r="AP1083">
        <v>-99</v>
      </c>
      <c r="AQ1083">
        <v>-60</v>
      </c>
      <c r="AR1083">
        <v>-640</v>
      </c>
      <c r="AZ1083">
        <v>1200</v>
      </c>
      <c r="BA1083">
        <v>1</v>
      </c>
      <c r="BB1083" t="str">
        <f t="shared" si="578"/>
        <v xml:space="preserve">N9217B  </v>
      </c>
      <c r="BC1083">
        <v>1</v>
      </c>
      <c r="BE1083">
        <v>0</v>
      </c>
      <c r="BF1083">
        <v>0</v>
      </c>
      <c r="BG1083">
        <v>0</v>
      </c>
      <c r="BH1083">
        <v>9200</v>
      </c>
      <c r="BI1083">
        <v>1</v>
      </c>
      <c r="BJ1083">
        <v>0</v>
      </c>
      <c r="BK1083">
        <v>0</v>
      </c>
      <c r="BL1083">
        <v>0</v>
      </c>
      <c r="BO1083">
        <v>0</v>
      </c>
      <c r="BP1083">
        <v>0</v>
      </c>
      <c r="BW1083" t="str">
        <f t="shared" si="606"/>
        <v>14:51:47.692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293</v>
      </c>
      <c r="CR1083">
        <v>1</v>
      </c>
      <c r="CW1083">
        <v>15281408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25">
      <c r="A1084" t="str">
        <f t="shared" si="603"/>
        <v>06/05/2020 14:51:42.035</v>
      </c>
      <c r="C1084" t="str">
        <f t="shared" si="595"/>
        <v>FFDFD3C0</v>
      </c>
      <c r="D1084" t="s">
        <v>113</v>
      </c>
      <c r="E1084">
        <v>3</v>
      </c>
      <c r="H1084">
        <v>166</v>
      </c>
      <c r="I1084" t="s">
        <v>114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604"/>
        <v>14:51:47.688</v>
      </c>
      <c r="T1084" t="str">
        <f t="shared" si="605"/>
        <v>14:51:47.288</v>
      </c>
      <c r="U1084" t="str">
        <f t="shared" si="577"/>
        <v>ACC530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1</v>
      </c>
      <c r="AH1084">
        <v>0</v>
      </c>
      <c r="AI1084" t="s">
        <v>477</v>
      </c>
      <c r="AJ1084">
        <v>34.214300999999999</v>
      </c>
      <c r="AK1084" t="s">
        <v>478</v>
      </c>
      <c r="AL1084">
        <v>-116.946201</v>
      </c>
      <c r="AM1084">
        <v>100</v>
      </c>
      <c r="AN1084">
        <v>9100</v>
      </c>
      <c r="AO1084" t="s">
        <v>118</v>
      </c>
      <c r="AP1084">
        <v>-99</v>
      </c>
      <c r="AQ1084">
        <v>-60</v>
      </c>
      <c r="AR1084">
        <v>-640</v>
      </c>
      <c r="AZ1084">
        <v>1200</v>
      </c>
      <c r="BA1084">
        <v>1</v>
      </c>
      <c r="BB1084" t="str">
        <f t="shared" si="578"/>
        <v xml:space="preserve">N9217B  </v>
      </c>
      <c r="BC1084">
        <v>1</v>
      </c>
      <c r="BE1084">
        <v>0</v>
      </c>
      <c r="BF1084">
        <v>0</v>
      </c>
      <c r="BG1084">
        <v>0</v>
      </c>
      <c r="BH1084">
        <v>9200</v>
      </c>
      <c r="BI1084">
        <v>1</v>
      </c>
      <c r="BJ1084">
        <v>0</v>
      </c>
      <c r="BK1084">
        <v>0</v>
      </c>
      <c r="BL1084">
        <v>0</v>
      </c>
      <c r="BO1084">
        <v>0</v>
      </c>
      <c r="BP1084">
        <v>0</v>
      </c>
      <c r="BW1084" t="str">
        <f t="shared" si="606"/>
        <v>14:51:47.692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293</v>
      </c>
      <c r="CR1084">
        <v>1</v>
      </c>
      <c r="CW1084">
        <v>15281408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25">
      <c r="A1085" t="str">
        <f t="shared" si="603"/>
        <v>06/05/2020 14:51:42.035</v>
      </c>
      <c r="C1085" t="str">
        <f t="shared" si="595"/>
        <v>FFDFD3C0</v>
      </c>
      <c r="D1085" t="s">
        <v>134</v>
      </c>
      <c r="E1085">
        <v>7</v>
      </c>
      <c r="F1085">
        <v>2007</v>
      </c>
      <c r="G1085" t="s">
        <v>135</v>
      </c>
      <c r="J1085" t="s">
        <v>136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604"/>
        <v>14:51:47.688</v>
      </c>
      <c r="T1085" t="str">
        <f t="shared" si="605"/>
        <v>14:51:47.288</v>
      </c>
      <c r="U1085" t="str">
        <f t="shared" si="577"/>
        <v>ACC530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1</v>
      </c>
      <c r="AH1085">
        <v>0</v>
      </c>
      <c r="AI1085" t="s">
        <v>477</v>
      </c>
      <c r="AJ1085">
        <v>34.214300999999999</v>
      </c>
      <c r="AK1085" t="s">
        <v>478</v>
      </c>
      <c r="AL1085">
        <v>-116.946201</v>
      </c>
      <c r="AM1085">
        <v>100</v>
      </c>
      <c r="AN1085">
        <v>9100</v>
      </c>
      <c r="AO1085" t="s">
        <v>118</v>
      </c>
      <c r="AP1085">
        <v>-99</v>
      </c>
      <c r="AQ1085">
        <v>-60</v>
      </c>
      <c r="AR1085">
        <v>-640</v>
      </c>
      <c r="AZ1085">
        <v>1200</v>
      </c>
      <c r="BA1085">
        <v>1</v>
      </c>
      <c r="BB1085" t="str">
        <f t="shared" si="578"/>
        <v xml:space="preserve">N9217B  </v>
      </c>
      <c r="BC1085">
        <v>1</v>
      </c>
      <c r="BE1085">
        <v>0</v>
      </c>
      <c r="BF1085">
        <v>0</v>
      </c>
      <c r="BG1085">
        <v>0</v>
      </c>
      <c r="BH1085">
        <v>9200</v>
      </c>
      <c r="BI1085">
        <v>1</v>
      </c>
      <c r="BJ1085">
        <v>0</v>
      </c>
      <c r="BK1085">
        <v>0</v>
      </c>
      <c r="BL1085">
        <v>0</v>
      </c>
      <c r="BO1085">
        <v>0</v>
      </c>
      <c r="BP1085">
        <v>0</v>
      </c>
      <c r="BW1085" t="str">
        <f t="shared" si="606"/>
        <v>14:51:47.692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293</v>
      </c>
      <c r="CR1085">
        <v>1</v>
      </c>
      <c r="CW1085">
        <v>15281408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25">
      <c r="A1086" t="str">
        <f t="shared" si="603"/>
        <v>06/05/2020 14:51:42.035</v>
      </c>
      <c r="C1086" t="str">
        <f t="shared" si="595"/>
        <v>FFDFD3C0</v>
      </c>
      <c r="D1086" t="s">
        <v>148</v>
      </c>
      <c r="E1086">
        <v>11</v>
      </c>
      <c r="H1086">
        <v>53</v>
      </c>
      <c r="I1086" t="s">
        <v>364</v>
      </c>
      <c r="J1086" t="s">
        <v>150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604"/>
        <v>14:51:47.688</v>
      </c>
      <c r="T1086" t="str">
        <f t="shared" si="605"/>
        <v>14:51:47.288</v>
      </c>
      <c r="U1086" t="str">
        <f t="shared" si="577"/>
        <v>ACC530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1</v>
      </c>
      <c r="AH1086">
        <v>0</v>
      </c>
      <c r="AI1086" t="s">
        <v>477</v>
      </c>
      <c r="AJ1086">
        <v>34.214300999999999</v>
      </c>
      <c r="AK1086" t="s">
        <v>478</v>
      </c>
      <c r="AL1086">
        <v>-116.946201</v>
      </c>
      <c r="AM1086">
        <v>100</v>
      </c>
      <c r="AN1086">
        <v>9100</v>
      </c>
      <c r="AO1086" t="s">
        <v>118</v>
      </c>
      <c r="AP1086">
        <v>-99</v>
      </c>
      <c r="AQ1086">
        <v>-60</v>
      </c>
      <c r="AR1086">
        <v>-640</v>
      </c>
      <c r="AZ1086">
        <v>1200</v>
      </c>
      <c r="BA1086">
        <v>1</v>
      </c>
      <c r="BB1086" t="str">
        <f t="shared" si="578"/>
        <v xml:space="preserve">N9217B  </v>
      </c>
      <c r="BC1086">
        <v>1</v>
      </c>
      <c r="BE1086">
        <v>0</v>
      </c>
      <c r="BF1086">
        <v>0</v>
      </c>
      <c r="BG1086">
        <v>0</v>
      </c>
      <c r="BH1086">
        <v>9200</v>
      </c>
      <c r="BI1086">
        <v>1</v>
      </c>
      <c r="BJ1086">
        <v>0</v>
      </c>
      <c r="BK1086">
        <v>0</v>
      </c>
      <c r="BL1086">
        <v>0</v>
      </c>
      <c r="BO1086">
        <v>0</v>
      </c>
      <c r="BP1086">
        <v>0</v>
      </c>
      <c r="BW1086" t="str">
        <f t="shared" si="606"/>
        <v>14:51:47.692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293</v>
      </c>
      <c r="CR1086">
        <v>1</v>
      </c>
      <c r="CW1086">
        <v>15281408</v>
      </c>
      <c r="CY1086">
        <v>0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25">
      <c r="A1087" t="str">
        <f t="shared" si="603"/>
        <v>06/05/2020 14:51:42.035</v>
      </c>
      <c r="C1087" t="str">
        <f t="shared" si="595"/>
        <v>FFDFD3C0</v>
      </c>
      <c r="D1087" t="s">
        <v>141</v>
      </c>
      <c r="E1087">
        <v>20</v>
      </c>
      <c r="F1087">
        <v>1020</v>
      </c>
      <c r="G1087" t="s">
        <v>114</v>
      </c>
      <c r="J1087" t="s">
        <v>142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604"/>
        <v>14:51:47.688</v>
      </c>
      <c r="T1087" t="str">
        <f t="shared" si="605"/>
        <v>14:51:47.288</v>
      </c>
      <c r="U1087" t="str">
        <f t="shared" si="577"/>
        <v>ACC530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1</v>
      </c>
      <c r="AH1087">
        <v>0</v>
      </c>
      <c r="AI1087" t="s">
        <v>477</v>
      </c>
      <c r="AJ1087">
        <v>34.214300999999999</v>
      </c>
      <c r="AK1087" t="s">
        <v>478</v>
      </c>
      <c r="AL1087">
        <v>-116.946201</v>
      </c>
      <c r="AM1087">
        <v>100</v>
      </c>
      <c r="AN1087">
        <v>9100</v>
      </c>
      <c r="AO1087" t="s">
        <v>118</v>
      </c>
      <c r="AP1087">
        <v>-99</v>
      </c>
      <c r="AQ1087">
        <v>-60</v>
      </c>
      <c r="AR1087">
        <v>-640</v>
      </c>
      <c r="AZ1087">
        <v>1200</v>
      </c>
      <c r="BA1087">
        <v>1</v>
      </c>
      <c r="BB1087" t="str">
        <f t="shared" si="578"/>
        <v xml:space="preserve">N9217B  </v>
      </c>
      <c r="BC1087">
        <v>1</v>
      </c>
      <c r="BE1087">
        <v>0</v>
      </c>
      <c r="BF1087">
        <v>0</v>
      </c>
      <c r="BG1087">
        <v>0</v>
      </c>
      <c r="BH1087">
        <v>9200</v>
      </c>
      <c r="BI1087">
        <v>1</v>
      </c>
      <c r="BJ1087">
        <v>0</v>
      </c>
      <c r="BK1087">
        <v>0</v>
      </c>
      <c r="BL1087">
        <v>0</v>
      </c>
      <c r="BO1087">
        <v>0</v>
      </c>
      <c r="BP1087">
        <v>0</v>
      </c>
      <c r="BW1087" t="str">
        <f t="shared" si="606"/>
        <v>14:51:47.692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293</v>
      </c>
      <c r="CR1087">
        <v>1</v>
      </c>
      <c r="CW1087">
        <v>15281408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25">
      <c r="A1088" t="str">
        <f t="shared" ref="A1088:A1095" si="607">"06/05/2020 14:51:42.952"</f>
        <v>06/05/2020 14:51:42.952</v>
      </c>
      <c r="C1088" t="str">
        <f t="shared" si="595"/>
        <v>FFDFD3C0</v>
      </c>
      <c r="D1088" t="s">
        <v>151</v>
      </c>
      <c r="E1088">
        <v>9</v>
      </c>
      <c r="H1088">
        <v>226</v>
      </c>
      <c r="I1088" t="s">
        <v>152</v>
      </c>
      <c r="J1088" t="s">
        <v>150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ref="S1088:S1095" si="608">"14:51:48.570"</f>
        <v>14:51:48.570</v>
      </c>
      <c r="T1088" t="str">
        <f t="shared" ref="T1088:T1095" si="609">"14:51:48.370"</f>
        <v>14:51:48.370</v>
      </c>
      <c r="U1088" t="str">
        <f t="shared" si="577"/>
        <v>ACC530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1</v>
      </c>
      <c r="AH1088">
        <v>0</v>
      </c>
      <c r="AI1088" t="s">
        <v>479</v>
      </c>
      <c r="AJ1088">
        <v>34.214022</v>
      </c>
      <c r="AK1088" t="s">
        <v>480</v>
      </c>
      <c r="AL1088">
        <v>-116.946716</v>
      </c>
      <c r="AM1088">
        <v>100</v>
      </c>
      <c r="AN1088">
        <v>9100</v>
      </c>
      <c r="AO1088" t="s">
        <v>118</v>
      </c>
      <c r="AP1088">
        <v>-99</v>
      </c>
      <c r="AQ1088">
        <v>-61</v>
      </c>
      <c r="AR1088">
        <v>-576</v>
      </c>
      <c r="AZ1088">
        <v>1200</v>
      </c>
      <c r="BA1088">
        <v>1</v>
      </c>
      <c r="BB1088" t="str">
        <f t="shared" si="578"/>
        <v xml:space="preserve">N9217B  </v>
      </c>
      <c r="BC1088">
        <v>1</v>
      </c>
      <c r="BE1088">
        <v>0</v>
      </c>
      <c r="BF1088">
        <v>0</v>
      </c>
      <c r="BG1088">
        <v>0</v>
      </c>
      <c r="BH1088">
        <v>9200</v>
      </c>
      <c r="BI1088">
        <v>1</v>
      </c>
      <c r="BJ1088">
        <v>0</v>
      </c>
      <c r="BK1088">
        <v>0</v>
      </c>
      <c r="BL1088">
        <v>0</v>
      </c>
      <c r="BO1088">
        <v>0</v>
      </c>
      <c r="BP1088">
        <v>0</v>
      </c>
      <c r="BW1088" t="str">
        <f t="shared" ref="BW1088:BW1095" si="610">"14:51:48.577"</f>
        <v>14:51:48.577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293</v>
      </c>
      <c r="CR1088">
        <v>1</v>
      </c>
      <c r="CW1088">
        <v>15281512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25">
      <c r="A1089" t="str">
        <f t="shared" si="607"/>
        <v>06/05/2020 14:51:42.952</v>
      </c>
      <c r="C1089" t="str">
        <f t="shared" si="595"/>
        <v>FFDFD3C0</v>
      </c>
      <c r="D1089" t="s">
        <v>113</v>
      </c>
      <c r="E1089">
        <v>3</v>
      </c>
      <c r="H1089">
        <v>166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608"/>
        <v>14:51:48.570</v>
      </c>
      <c r="T1089" t="str">
        <f t="shared" si="609"/>
        <v>14:51:48.370</v>
      </c>
      <c r="U1089" t="str">
        <f t="shared" si="577"/>
        <v>ACC530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1</v>
      </c>
      <c r="AH1089">
        <v>0</v>
      </c>
      <c r="AI1089" t="s">
        <v>479</v>
      </c>
      <c r="AJ1089">
        <v>34.214022</v>
      </c>
      <c r="AK1089" t="s">
        <v>480</v>
      </c>
      <c r="AL1089">
        <v>-116.946716</v>
      </c>
      <c r="AM1089">
        <v>100</v>
      </c>
      <c r="AN1089">
        <v>9100</v>
      </c>
      <c r="AO1089" t="s">
        <v>118</v>
      </c>
      <c r="AP1089">
        <v>-99</v>
      </c>
      <c r="AQ1089">
        <v>-61</v>
      </c>
      <c r="AR1089">
        <v>-576</v>
      </c>
      <c r="AZ1089">
        <v>1200</v>
      </c>
      <c r="BA1089">
        <v>1</v>
      </c>
      <c r="BB1089" t="str">
        <f t="shared" si="578"/>
        <v xml:space="preserve">N9217B  </v>
      </c>
      <c r="BC1089">
        <v>1</v>
      </c>
      <c r="BE1089">
        <v>0</v>
      </c>
      <c r="BF1089">
        <v>0</v>
      </c>
      <c r="BG1089">
        <v>0</v>
      </c>
      <c r="BH1089">
        <v>9200</v>
      </c>
      <c r="BI1089">
        <v>1</v>
      </c>
      <c r="BJ1089">
        <v>0</v>
      </c>
      <c r="BK1089">
        <v>0</v>
      </c>
      <c r="BL1089">
        <v>0</v>
      </c>
      <c r="BO1089">
        <v>0</v>
      </c>
      <c r="BP1089">
        <v>0</v>
      </c>
      <c r="BW1089" t="str">
        <f t="shared" si="610"/>
        <v>14:51:48.577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293</v>
      </c>
      <c r="CR1089">
        <v>1</v>
      </c>
      <c r="CW1089">
        <v>15281512</v>
      </c>
      <c r="CY1089">
        <v>0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25">
      <c r="A1090" t="str">
        <f t="shared" si="607"/>
        <v>06/05/2020 14:51:42.952</v>
      </c>
      <c r="C1090" t="str">
        <f t="shared" si="595"/>
        <v>FFDFD3C0</v>
      </c>
      <c r="D1090" t="s">
        <v>134</v>
      </c>
      <c r="E1090">
        <v>7</v>
      </c>
      <c r="F1090">
        <v>2007</v>
      </c>
      <c r="G1090" t="s">
        <v>135</v>
      </c>
      <c r="J1090" t="s">
        <v>136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608"/>
        <v>14:51:48.570</v>
      </c>
      <c r="T1090" t="str">
        <f t="shared" si="609"/>
        <v>14:51:48.370</v>
      </c>
      <c r="U1090" t="str">
        <f t="shared" ref="U1090:U1153" si="611">"ACC530"</f>
        <v>ACC530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1</v>
      </c>
      <c r="AH1090">
        <v>0</v>
      </c>
      <c r="AI1090" t="s">
        <v>479</v>
      </c>
      <c r="AJ1090">
        <v>34.214022</v>
      </c>
      <c r="AK1090" t="s">
        <v>480</v>
      </c>
      <c r="AL1090">
        <v>-116.946716</v>
      </c>
      <c r="AM1090">
        <v>100</v>
      </c>
      <c r="AN1090">
        <v>9100</v>
      </c>
      <c r="AO1090" t="s">
        <v>118</v>
      </c>
      <c r="AP1090">
        <v>-99</v>
      </c>
      <c r="AQ1090">
        <v>-61</v>
      </c>
      <c r="AR1090">
        <v>-576</v>
      </c>
      <c r="AZ1090">
        <v>1200</v>
      </c>
      <c r="BA1090">
        <v>1</v>
      </c>
      <c r="BB1090" t="str">
        <f t="shared" si="578"/>
        <v xml:space="preserve">N9217B  </v>
      </c>
      <c r="BC1090">
        <v>1</v>
      </c>
      <c r="BE1090">
        <v>0</v>
      </c>
      <c r="BF1090">
        <v>0</v>
      </c>
      <c r="BG1090">
        <v>0</v>
      </c>
      <c r="BH1090">
        <v>9200</v>
      </c>
      <c r="BI1090">
        <v>1</v>
      </c>
      <c r="BJ1090">
        <v>0</v>
      </c>
      <c r="BK1090">
        <v>0</v>
      </c>
      <c r="BL1090">
        <v>0</v>
      </c>
      <c r="BO1090">
        <v>0</v>
      </c>
      <c r="BP1090">
        <v>0</v>
      </c>
      <c r="BW1090" t="str">
        <f t="shared" si="610"/>
        <v>14:51:48.577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293</v>
      </c>
      <c r="CR1090">
        <v>1</v>
      </c>
      <c r="CW1090">
        <v>15281512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25">
      <c r="A1091" t="str">
        <f t="shared" si="607"/>
        <v>06/05/2020 14:51:42.952</v>
      </c>
      <c r="C1091" t="str">
        <f t="shared" si="595"/>
        <v>FFDFD3C0</v>
      </c>
      <c r="D1091" t="s">
        <v>148</v>
      </c>
      <c r="E1091">
        <v>11</v>
      </c>
      <c r="H1091">
        <v>53</v>
      </c>
      <c r="I1091" t="s">
        <v>364</v>
      </c>
      <c r="J1091" t="s">
        <v>150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608"/>
        <v>14:51:48.570</v>
      </c>
      <c r="T1091" t="str">
        <f t="shared" si="609"/>
        <v>14:51:48.370</v>
      </c>
      <c r="U1091" t="str">
        <f t="shared" si="611"/>
        <v>ACC530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1</v>
      </c>
      <c r="AH1091">
        <v>0</v>
      </c>
      <c r="AI1091" t="s">
        <v>479</v>
      </c>
      <c r="AJ1091">
        <v>34.214022</v>
      </c>
      <c r="AK1091" t="s">
        <v>480</v>
      </c>
      <c r="AL1091">
        <v>-116.946716</v>
      </c>
      <c r="AM1091">
        <v>100</v>
      </c>
      <c r="AN1091">
        <v>9100</v>
      </c>
      <c r="AO1091" t="s">
        <v>118</v>
      </c>
      <c r="AP1091">
        <v>-99</v>
      </c>
      <c r="AQ1091">
        <v>-61</v>
      </c>
      <c r="AR1091">
        <v>-576</v>
      </c>
      <c r="AZ1091">
        <v>1200</v>
      </c>
      <c r="BA1091">
        <v>1</v>
      </c>
      <c r="BB1091" t="str">
        <f t="shared" si="578"/>
        <v xml:space="preserve">N9217B  </v>
      </c>
      <c r="BC1091">
        <v>1</v>
      </c>
      <c r="BE1091">
        <v>0</v>
      </c>
      <c r="BF1091">
        <v>0</v>
      </c>
      <c r="BG1091">
        <v>0</v>
      </c>
      <c r="BH1091">
        <v>9200</v>
      </c>
      <c r="BI1091">
        <v>1</v>
      </c>
      <c r="BJ1091">
        <v>0</v>
      </c>
      <c r="BK1091">
        <v>0</v>
      </c>
      <c r="BL1091">
        <v>0</v>
      </c>
      <c r="BO1091">
        <v>0</v>
      </c>
      <c r="BP1091">
        <v>0</v>
      </c>
      <c r="BW1091" t="str">
        <f t="shared" si="610"/>
        <v>14:51:48.577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293</v>
      </c>
      <c r="CR1091">
        <v>1</v>
      </c>
      <c r="CW1091">
        <v>15281512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25">
      <c r="A1092" t="str">
        <f t="shared" si="607"/>
        <v>06/05/2020 14:51:42.952</v>
      </c>
      <c r="C1092" t="str">
        <f t="shared" si="595"/>
        <v>FFDFD3C0</v>
      </c>
      <c r="D1092" t="s">
        <v>141</v>
      </c>
      <c r="E1092">
        <v>20</v>
      </c>
      <c r="F1092">
        <v>1020</v>
      </c>
      <c r="G1092" t="s">
        <v>114</v>
      </c>
      <c r="J1092" t="s">
        <v>142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608"/>
        <v>14:51:48.570</v>
      </c>
      <c r="T1092" t="str">
        <f t="shared" si="609"/>
        <v>14:51:48.370</v>
      </c>
      <c r="U1092" t="str">
        <f t="shared" si="611"/>
        <v>ACC530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1</v>
      </c>
      <c r="AH1092">
        <v>0</v>
      </c>
      <c r="AI1092" t="s">
        <v>479</v>
      </c>
      <c r="AJ1092">
        <v>34.214022</v>
      </c>
      <c r="AK1092" t="s">
        <v>480</v>
      </c>
      <c r="AL1092">
        <v>-116.946716</v>
      </c>
      <c r="AM1092">
        <v>100</v>
      </c>
      <c r="AN1092">
        <v>9100</v>
      </c>
      <c r="AO1092" t="s">
        <v>118</v>
      </c>
      <c r="AP1092">
        <v>-99</v>
      </c>
      <c r="AQ1092">
        <v>-61</v>
      </c>
      <c r="AR1092">
        <v>-576</v>
      </c>
      <c r="AZ1092">
        <v>1200</v>
      </c>
      <c r="BA1092">
        <v>1</v>
      </c>
      <c r="BB1092" t="str">
        <f t="shared" si="578"/>
        <v xml:space="preserve">N9217B  </v>
      </c>
      <c r="BC1092">
        <v>1</v>
      </c>
      <c r="BE1092">
        <v>0</v>
      </c>
      <c r="BF1092">
        <v>0</v>
      </c>
      <c r="BG1092">
        <v>0</v>
      </c>
      <c r="BH1092">
        <v>9200</v>
      </c>
      <c r="BI1092">
        <v>1</v>
      </c>
      <c r="BJ1092">
        <v>0</v>
      </c>
      <c r="BK1092">
        <v>0</v>
      </c>
      <c r="BL1092">
        <v>0</v>
      </c>
      <c r="BO1092">
        <v>0</v>
      </c>
      <c r="BP1092">
        <v>0</v>
      </c>
      <c r="BW1092" t="str">
        <f t="shared" si="610"/>
        <v>14:51:48.577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293</v>
      </c>
      <c r="CR1092">
        <v>1</v>
      </c>
      <c r="CW1092">
        <v>15281512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25">
      <c r="A1093" t="str">
        <f t="shared" si="607"/>
        <v>06/05/2020 14:51:42.952</v>
      </c>
      <c r="C1093" t="str">
        <f t="shared" si="595"/>
        <v>FFDFD3C0</v>
      </c>
      <c r="D1093" t="s">
        <v>143</v>
      </c>
      <c r="E1093">
        <v>10</v>
      </c>
      <c r="F1093">
        <v>3010</v>
      </c>
      <c r="G1093" t="s">
        <v>144</v>
      </c>
      <c r="J1093" t="s">
        <v>145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608"/>
        <v>14:51:48.570</v>
      </c>
      <c r="T1093" t="str">
        <f t="shared" si="609"/>
        <v>14:51:48.370</v>
      </c>
      <c r="U1093" t="str">
        <f t="shared" si="611"/>
        <v>ACC530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1</v>
      </c>
      <c r="AH1093">
        <v>0</v>
      </c>
      <c r="AI1093" t="s">
        <v>479</v>
      </c>
      <c r="AJ1093">
        <v>34.214022</v>
      </c>
      <c r="AK1093" t="s">
        <v>480</v>
      </c>
      <c r="AL1093">
        <v>-116.946716</v>
      </c>
      <c r="AM1093">
        <v>100</v>
      </c>
      <c r="AN1093">
        <v>9100</v>
      </c>
      <c r="AO1093" t="s">
        <v>118</v>
      </c>
      <c r="AP1093">
        <v>-99</v>
      </c>
      <c r="AQ1093">
        <v>-61</v>
      </c>
      <c r="AR1093">
        <v>-576</v>
      </c>
      <c r="AZ1093">
        <v>1200</v>
      </c>
      <c r="BA1093">
        <v>1</v>
      </c>
      <c r="BB1093" t="str">
        <f t="shared" ref="BB1093:BB1156" si="612">"N9217B  "</f>
        <v xml:space="preserve">N9217B  </v>
      </c>
      <c r="BC1093">
        <v>1</v>
      </c>
      <c r="BE1093">
        <v>0</v>
      </c>
      <c r="BF1093">
        <v>0</v>
      </c>
      <c r="BG1093">
        <v>0</v>
      </c>
      <c r="BH1093">
        <v>9200</v>
      </c>
      <c r="BI1093">
        <v>1</v>
      </c>
      <c r="BJ1093">
        <v>0</v>
      </c>
      <c r="BK1093">
        <v>0</v>
      </c>
      <c r="BL1093">
        <v>0</v>
      </c>
      <c r="BO1093">
        <v>0</v>
      </c>
      <c r="BP1093">
        <v>0</v>
      </c>
      <c r="BW1093" t="str">
        <f t="shared" si="610"/>
        <v>14:51:48.577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293</v>
      </c>
      <c r="CR1093">
        <v>1</v>
      </c>
      <c r="CW1093">
        <v>15281512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25">
      <c r="A1094" t="str">
        <f t="shared" si="607"/>
        <v>06/05/2020 14:51:42.952</v>
      </c>
      <c r="C1094" t="str">
        <f t="shared" si="595"/>
        <v>FFDFD3C0</v>
      </c>
      <c r="D1094" t="s">
        <v>148</v>
      </c>
      <c r="E1094">
        <v>8</v>
      </c>
      <c r="H1094">
        <v>50</v>
      </c>
      <c r="I1094" t="s">
        <v>149</v>
      </c>
      <c r="J1094" t="s">
        <v>150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608"/>
        <v>14:51:48.570</v>
      </c>
      <c r="T1094" t="str">
        <f t="shared" si="609"/>
        <v>14:51:48.370</v>
      </c>
      <c r="U1094" t="str">
        <f t="shared" si="611"/>
        <v>ACC530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1</v>
      </c>
      <c r="AH1094">
        <v>0</v>
      </c>
      <c r="AI1094" t="s">
        <v>479</v>
      </c>
      <c r="AJ1094">
        <v>34.214022</v>
      </c>
      <c r="AK1094" t="s">
        <v>480</v>
      </c>
      <c r="AL1094">
        <v>-116.946716</v>
      </c>
      <c r="AM1094">
        <v>100</v>
      </c>
      <c r="AN1094">
        <v>9100</v>
      </c>
      <c r="AO1094" t="s">
        <v>118</v>
      </c>
      <c r="AP1094">
        <v>-99</v>
      </c>
      <c r="AQ1094">
        <v>-61</v>
      </c>
      <c r="AR1094">
        <v>-576</v>
      </c>
      <c r="AZ1094">
        <v>1200</v>
      </c>
      <c r="BA1094">
        <v>1</v>
      </c>
      <c r="BB1094" t="str">
        <f t="shared" si="612"/>
        <v xml:space="preserve">N9217B  </v>
      </c>
      <c r="BC1094">
        <v>1</v>
      </c>
      <c r="BE1094">
        <v>0</v>
      </c>
      <c r="BF1094">
        <v>0</v>
      </c>
      <c r="BG1094">
        <v>0</v>
      </c>
      <c r="BH1094">
        <v>9200</v>
      </c>
      <c r="BI1094">
        <v>1</v>
      </c>
      <c r="BJ1094">
        <v>0</v>
      </c>
      <c r="BK1094">
        <v>0</v>
      </c>
      <c r="BL1094">
        <v>0</v>
      </c>
      <c r="BO1094">
        <v>0</v>
      </c>
      <c r="BP1094">
        <v>0</v>
      </c>
      <c r="BW1094" t="str">
        <f t="shared" si="610"/>
        <v>14:51:48.577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293</v>
      </c>
      <c r="CR1094">
        <v>1</v>
      </c>
      <c r="CW1094">
        <v>15281512</v>
      </c>
      <c r="CY1094">
        <v>0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25">
      <c r="A1095" t="str">
        <f t="shared" si="607"/>
        <v>06/05/2020 14:51:42.952</v>
      </c>
      <c r="C1095" t="str">
        <f t="shared" si="595"/>
        <v>FFDFD3C0</v>
      </c>
      <c r="D1095" t="s">
        <v>151</v>
      </c>
      <c r="E1095">
        <v>8</v>
      </c>
      <c r="H1095">
        <v>225</v>
      </c>
      <c r="I1095" t="s">
        <v>353</v>
      </c>
      <c r="J1095" t="s">
        <v>150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608"/>
        <v>14:51:48.570</v>
      </c>
      <c r="T1095" t="str">
        <f t="shared" si="609"/>
        <v>14:51:48.370</v>
      </c>
      <c r="U1095" t="str">
        <f t="shared" si="611"/>
        <v>ACC530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1</v>
      </c>
      <c r="AH1095">
        <v>0</v>
      </c>
      <c r="AI1095" t="s">
        <v>479</v>
      </c>
      <c r="AJ1095">
        <v>34.214022</v>
      </c>
      <c r="AK1095" t="s">
        <v>480</v>
      </c>
      <c r="AL1095">
        <v>-116.946716</v>
      </c>
      <c r="AM1095">
        <v>100</v>
      </c>
      <c r="AN1095">
        <v>9100</v>
      </c>
      <c r="AO1095" t="s">
        <v>118</v>
      </c>
      <c r="AP1095">
        <v>-99</v>
      </c>
      <c r="AQ1095">
        <v>-61</v>
      </c>
      <c r="AR1095">
        <v>-576</v>
      </c>
      <c r="AZ1095">
        <v>1200</v>
      </c>
      <c r="BA1095">
        <v>1</v>
      </c>
      <c r="BB1095" t="str">
        <f t="shared" si="612"/>
        <v xml:space="preserve">N9217B  </v>
      </c>
      <c r="BC1095">
        <v>1</v>
      </c>
      <c r="BE1095">
        <v>0</v>
      </c>
      <c r="BF1095">
        <v>0</v>
      </c>
      <c r="BG1095">
        <v>0</v>
      </c>
      <c r="BH1095">
        <v>9200</v>
      </c>
      <c r="BI1095">
        <v>1</v>
      </c>
      <c r="BJ1095">
        <v>0</v>
      </c>
      <c r="BK1095">
        <v>0</v>
      </c>
      <c r="BL1095">
        <v>0</v>
      </c>
      <c r="BO1095">
        <v>0</v>
      </c>
      <c r="BP1095">
        <v>0</v>
      </c>
      <c r="BW1095" t="str">
        <f t="shared" si="610"/>
        <v>14:51:48.577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6</v>
      </c>
      <c r="CP1095" t="s">
        <v>119</v>
      </c>
      <c r="CQ1095">
        <v>285</v>
      </c>
      <c r="CR1095">
        <v>0</v>
      </c>
      <c r="CW1095">
        <v>8848771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25">
      <c r="A1096" t="str">
        <f t="shared" ref="A1096:A1103" si="613">"06/05/2020 14:51:43.960"</f>
        <v>06/05/2020 14:51:43.960</v>
      </c>
      <c r="C1096" t="str">
        <f t="shared" si="595"/>
        <v>FFDFD3C0</v>
      </c>
      <c r="D1096" t="s">
        <v>148</v>
      </c>
      <c r="E1096">
        <v>8</v>
      </c>
      <c r="H1096">
        <v>50</v>
      </c>
      <c r="I1096" t="s">
        <v>149</v>
      </c>
      <c r="J1096" t="s">
        <v>150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ref="S1096:S1103" si="614">"14:51:49.609"</f>
        <v>14:51:49.609</v>
      </c>
      <c r="T1096" t="str">
        <f t="shared" ref="T1096:T1103" si="615">"14:51:49.409"</f>
        <v>14:51:49.409</v>
      </c>
      <c r="U1096" t="str">
        <f t="shared" si="611"/>
        <v>ACC530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1</v>
      </c>
      <c r="AH1096">
        <v>0</v>
      </c>
      <c r="AI1096" t="s">
        <v>481</v>
      </c>
      <c r="AJ1096">
        <v>34.213765000000002</v>
      </c>
      <c r="AK1096" t="s">
        <v>482</v>
      </c>
      <c r="AL1096">
        <v>-116.94727399999999</v>
      </c>
      <c r="AM1096">
        <v>100</v>
      </c>
      <c r="AN1096">
        <v>9100</v>
      </c>
      <c r="AO1096" t="s">
        <v>118</v>
      </c>
      <c r="AP1096">
        <v>-100</v>
      </c>
      <c r="AQ1096">
        <v>-62</v>
      </c>
      <c r="AR1096">
        <v>-448</v>
      </c>
      <c r="AZ1096">
        <v>1200</v>
      </c>
      <c r="BA1096">
        <v>1</v>
      </c>
      <c r="BB1096" t="str">
        <f t="shared" si="612"/>
        <v xml:space="preserve">N9217B  </v>
      </c>
      <c r="BC1096">
        <v>1</v>
      </c>
      <c r="BE1096">
        <v>0</v>
      </c>
      <c r="BF1096">
        <v>0</v>
      </c>
      <c r="BG1096">
        <v>0</v>
      </c>
      <c r="BH1096">
        <v>9200</v>
      </c>
      <c r="BI1096">
        <v>1</v>
      </c>
      <c r="BJ1096">
        <v>0</v>
      </c>
      <c r="BK1096">
        <v>0</v>
      </c>
      <c r="BL1096">
        <v>0</v>
      </c>
      <c r="BO1096">
        <v>0</v>
      </c>
      <c r="BP1096">
        <v>0</v>
      </c>
      <c r="BW1096" t="str">
        <f t="shared" ref="BW1096:BW1103" si="616">"14:51:49.611"</f>
        <v>14:51:49.611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293</v>
      </c>
      <c r="CR1096">
        <v>1</v>
      </c>
      <c r="CW1096">
        <v>15281622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25">
      <c r="A1097" t="str">
        <f t="shared" si="613"/>
        <v>06/05/2020 14:51:43.960</v>
      </c>
      <c r="C1097" t="str">
        <f t="shared" si="595"/>
        <v>FFDFD3C0</v>
      </c>
      <c r="D1097" t="s">
        <v>151</v>
      </c>
      <c r="E1097">
        <v>8</v>
      </c>
      <c r="H1097">
        <v>225</v>
      </c>
      <c r="I1097" t="s">
        <v>353</v>
      </c>
      <c r="J1097" t="s">
        <v>150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614"/>
        <v>14:51:49.609</v>
      </c>
      <c r="T1097" t="str">
        <f t="shared" si="615"/>
        <v>14:51:49.409</v>
      </c>
      <c r="U1097" t="str">
        <f t="shared" si="611"/>
        <v>ACC530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1</v>
      </c>
      <c r="AH1097">
        <v>0</v>
      </c>
      <c r="AI1097" t="s">
        <v>481</v>
      </c>
      <c r="AJ1097">
        <v>34.213765000000002</v>
      </c>
      <c r="AK1097" t="s">
        <v>482</v>
      </c>
      <c r="AL1097">
        <v>-116.94727399999999</v>
      </c>
      <c r="AM1097">
        <v>100</v>
      </c>
      <c r="AN1097">
        <v>9100</v>
      </c>
      <c r="AO1097" t="s">
        <v>118</v>
      </c>
      <c r="AP1097">
        <v>-100</v>
      </c>
      <c r="AQ1097">
        <v>-62</v>
      </c>
      <c r="AR1097">
        <v>-448</v>
      </c>
      <c r="AZ1097">
        <v>1200</v>
      </c>
      <c r="BA1097">
        <v>1</v>
      </c>
      <c r="BB1097" t="str">
        <f t="shared" si="612"/>
        <v xml:space="preserve">N9217B  </v>
      </c>
      <c r="BC1097">
        <v>1</v>
      </c>
      <c r="BE1097">
        <v>0</v>
      </c>
      <c r="BF1097">
        <v>0</v>
      </c>
      <c r="BG1097">
        <v>0</v>
      </c>
      <c r="BH1097">
        <v>9200</v>
      </c>
      <c r="BI1097">
        <v>1</v>
      </c>
      <c r="BJ1097">
        <v>0</v>
      </c>
      <c r="BK1097">
        <v>0</v>
      </c>
      <c r="BL1097">
        <v>0</v>
      </c>
      <c r="BO1097">
        <v>0</v>
      </c>
      <c r="BP1097">
        <v>0</v>
      </c>
      <c r="BW1097" t="str">
        <f t="shared" si="616"/>
        <v>14:51:49.611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285</v>
      </c>
      <c r="CR1097">
        <v>0</v>
      </c>
      <c r="CW1097">
        <v>8848864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25">
      <c r="A1098" t="str">
        <f t="shared" si="613"/>
        <v>06/05/2020 14:51:43.960</v>
      </c>
      <c r="C1098" t="str">
        <f t="shared" si="595"/>
        <v>FFDFD3C0</v>
      </c>
      <c r="D1098" t="s">
        <v>151</v>
      </c>
      <c r="E1098">
        <v>9</v>
      </c>
      <c r="H1098">
        <v>226</v>
      </c>
      <c r="I1098" t="s">
        <v>152</v>
      </c>
      <c r="J1098" t="s">
        <v>150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614"/>
        <v>14:51:49.609</v>
      </c>
      <c r="T1098" t="str">
        <f t="shared" si="615"/>
        <v>14:51:49.409</v>
      </c>
      <c r="U1098" t="str">
        <f t="shared" si="611"/>
        <v>ACC530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1</v>
      </c>
      <c r="AH1098">
        <v>0</v>
      </c>
      <c r="AI1098" t="s">
        <v>481</v>
      </c>
      <c r="AJ1098">
        <v>34.213765000000002</v>
      </c>
      <c r="AK1098" t="s">
        <v>482</v>
      </c>
      <c r="AL1098">
        <v>-116.94727399999999</v>
      </c>
      <c r="AM1098">
        <v>100</v>
      </c>
      <c r="AN1098">
        <v>9100</v>
      </c>
      <c r="AO1098" t="s">
        <v>118</v>
      </c>
      <c r="AP1098">
        <v>-100</v>
      </c>
      <c r="AQ1098">
        <v>-62</v>
      </c>
      <c r="AR1098">
        <v>-448</v>
      </c>
      <c r="AZ1098">
        <v>1200</v>
      </c>
      <c r="BA1098">
        <v>1</v>
      </c>
      <c r="BB1098" t="str">
        <f t="shared" si="612"/>
        <v xml:space="preserve">N9217B  </v>
      </c>
      <c r="BC1098">
        <v>1</v>
      </c>
      <c r="BE1098">
        <v>0</v>
      </c>
      <c r="BF1098">
        <v>0</v>
      </c>
      <c r="BG1098">
        <v>0</v>
      </c>
      <c r="BH1098">
        <v>9200</v>
      </c>
      <c r="BI1098">
        <v>1</v>
      </c>
      <c r="BJ1098">
        <v>0</v>
      </c>
      <c r="BK1098">
        <v>0</v>
      </c>
      <c r="BL1098">
        <v>0</v>
      </c>
      <c r="BO1098">
        <v>0</v>
      </c>
      <c r="BP1098">
        <v>0</v>
      </c>
      <c r="BW1098" t="str">
        <f t="shared" si="616"/>
        <v>14:51:49.611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293</v>
      </c>
      <c r="CR1098">
        <v>1</v>
      </c>
      <c r="CW1098">
        <v>15281622</v>
      </c>
      <c r="CY1098">
        <v>0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25">
      <c r="A1099" t="str">
        <f t="shared" si="613"/>
        <v>06/05/2020 14:51:43.960</v>
      </c>
      <c r="C1099" t="str">
        <f t="shared" si="595"/>
        <v>FFDFD3C0</v>
      </c>
      <c r="D1099" t="s">
        <v>113</v>
      </c>
      <c r="E1099">
        <v>3</v>
      </c>
      <c r="H1099">
        <v>166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614"/>
        <v>14:51:49.609</v>
      </c>
      <c r="T1099" t="str">
        <f t="shared" si="615"/>
        <v>14:51:49.409</v>
      </c>
      <c r="U1099" t="str">
        <f t="shared" si="611"/>
        <v>ACC530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1</v>
      </c>
      <c r="AH1099">
        <v>0</v>
      </c>
      <c r="AI1099" t="s">
        <v>481</v>
      </c>
      <c r="AJ1099">
        <v>34.213765000000002</v>
      </c>
      <c r="AK1099" t="s">
        <v>482</v>
      </c>
      <c r="AL1099">
        <v>-116.94727399999999</v>
      </c>
      <c r="AM1099">
        <v>100</v>
      </c>
      <c r="AN1099">
        <v>9100</v>
      </c>
      <c r="AO1099" t="s">
        <v>118</v>
      </c>
      <c r="AP1099">
        <v>-100</v>
      </c>
      <c r="AQ1099">
        <v>-62</v>
      </c>
      <c r="AR1099">
        <v>-448</v>
      </c>
      <c r="AZ1099">
        <v>1200</v>
      </c>
      <c r="BA1099">
        <v>1</v>
      </c>
      <c r="BB1099" t="str">
        <f t="shared" si="612"/>
        <v xml:space="preserve">N9217B  </v>
      </c>
      <c r="BC1099">
        <v>1</v>
      </c>
      <c r="BE1099">
        <v>0</v>
      </c>
      <c r="BF1099">
        <v>0</v>
      </c>
      <c r="BG1099">
        <v>0</v>
      </c>
      <c r="BH1099">
        <v>9200</v>
      </c>
      <c r="BI1099">
        <v>1</v>
      </c>
      <c r="BJ1099">
        <v>0</v>
      </c>
      <c r="BK1099">
        <v>0</v>
      </c>
      <c r="BL1099">
        <v>0</v>
      </c>
      <c r="BO1099">
        <v>0</v>
      </c>
      <c r="BP1099">
        <v>0</v>
      </c>
      <c r="BW1099" t="str">
        <f t="shared" si="616"/>
        <v>14:51:49.611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293</v>
      </c>
      <c r="CR1099">
        <v>1</v>
      </c>
      <c r="CW1099">
        <v>15281622</v>
      </c>
      <c r="CY1099">
        <v>0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25">
      <c r="A1100" t="str">
        <f t="shared" si="613"/>
        <v>06/05/2020 14:51:43.960</v>
      </c>
      <c r="C1100" t="str">
        <f t="shared" si="595"/>
        <v>FFDFD3C0</v>
      </c>
      <c r="D1100" t="s">
        <v>134</v>
      </c>
      <c r="E1100">
        <v>7</v>
      </c>
      <c r="F1100">
        <v>2007</v>
      </c>
      <c r="G1100" t="s">
        <v>135</v>
      </c>
      <c r="J1100" t="s">
        <v>136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614"/>
        <v>14:51:49.609</v>
      </c>
      <c r="T1100" t="str">
        <f t="shared" si="615"/>
        <v>14:51:49.409</v>
      </c>
      <c r="U1100" t="str">
        <f t="shared" si="611"/>
        <v>ACC530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1</v>
      </c>
      <c r="AH1100">
        <v>0</v>
      </c>
      <c r="AI1100" t="s">
        <v>481</v>
      </c>
      <c r="AJ1100">
        <v>34.213765000000002</v>
      </c>
      <c r="AK1100" t="s">
        <v>482</v>
      </c>
      <c r="AL1100">
        <v>-116.94727399999999</v>
      </c>
      <c r="AM1100">
        <v>100</v>
      </c>
      <c r="AN1100">
        <v>9100</v>
      </c>
      <c r="AO1100" t="s">
        <v>118</v>
      </c>
      <c r="AP1100">
        <v>-100</v>
      </c>
      <c r="AQ1100">
        <v>-62</v>
      </c>
      <c r="AR1100">
        <v>-448</v>
      </c>
      <c r="AZ1100">
        <v>1200</v>
      </c>
      <c r="BA1100">
        <v>1</v>
      </c>
      <c r="BB1100" t="str">
        <f t="shared" si="612"/>
        <v xml:space="preserve">N9217B  </v>
      </c>
      <c r="BC1100">
        <v>1</v>
      </c>
      <c r="BE1100">
        <v>0</v>
      </c>
      <c r="BF1100">
        <v>0</v>
      </c>
      <c r="BG1100">
        <v>0</v>
      </c>
      <c r="BH1100">
        <v>9200</v>
      </c>
      <c r="BI1100">
        <v>1</v>
      </c>
      <c r="BJ1100">
        <v>0</v>
      </c>
      <c r="BK1100">
        <v>0</v>
      </c>
      <c r="BL1100">
        <v>0</v>
      </c>
      <c r="BO1100">
        <v>0</v>
      </c>
      <c r="BP1100">
        <v>0</v>
      </c>
      <c r="BW1100" t="str">
        <f t="shared" si="616"/>
        <v>14:51:49.611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293</v>
      </c>
      <c r="CR1100">
        <v>1</v>
      </c>
      <c r="CW1100">
        <v>15281622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25">
      <c r="A1101" t="str">
        <f t="shared" si="613"/>
        <v>06/05/2020 14:51:43.960</v>
      </c>
      <c r="C1101" t="str">
        <f t="shared" si="595"/>
        <v>FFDFD3C0</v>
      </c>
      <c r="D1101" t="s">
        <v>148</v>
      </c>
      <c r="E1101">
        <v>11</v>
      </c>
      <c r="H1101">
        <v>53</v>
      </c>
      <c r="I1101" t="s">
        <v>364</v>
      </c>
      <c r="J1101" t="s">
        <v>150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614"/>
        <v>14:51:49.609</v>
      </c>
      <c r="T1101" t="str">
        <f t="shared" si="615"/>
        <v>14:51:49.409</v>
      </c>
      <c r="U1101" t="str">
        <f t="shared" si="611"/>
        <v>ACC530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1</v>
      </c>
      <c r="AH1101">
        <v>0</v>
      </c>
      <c r="AI1101" t="s">
        <v>481</v>
      </c>
      <c r="AJ1101">
        <v>34.213765000000002</v>
      </c>
      <c r="AK1101" t="s">
        <v>482</v>
      </c>
      <c r="AL1101">
        <v>-116.94727399999999</v>
      </c>
      <c r="AM1101">
        <v>100</v>
      </c>
      <c r="AN1101">
        <v>9100</v>
      </c>
      <c r="AO1101" t="s">
        <v>118</v>
      </c>
      <c r="AP1101">
        <v>-100</v>
      </c>
      <c r="AQ1101">
        <v>-62</v>
      </c>
      <c r="AR1101">
        <v>-448</v>
      </c>
      <c r="AZ1101">
        <v>1200</v>
      </c>
      <c r="BA1101">
        <v>1</v>
      </c>
      <c r="BB1101" t="str">
        <f t="shared" si="612"/>
        <v xml:space="preserve">N9217B  </v>
      </c>
      <c r="BC1101">
        <v>1</v>
      </c>
      <c r="BE1101">
        <v>0</v>
      </c>
      <c r="BF1101">
        <v>0</v>
      </c>
      <c r="BG1101">
        <v>0</v>
      </c>
      <c r="BH1101">
        <v>9200</v>
      </c>
      <c r="BI1101">
        <v>1</v>
      </c>
      <c r="BJ1101">
        <v>0</v>
      </c>
      <c r="BK1101">
        <v>0</v>
      </c>
      <c r="BL1101">
        <v>0</v>
      </c>
      <c r="BO1101">
        <v>0</v>
      </c>
      <c r="BP1101">
        <v>0</v>
      </c>
      <c r="BW1101" t="str">
        <f t="shared" si="616"/>
        <v>14:51:49.611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293</v>
      </c>
      <c r="CR1101">
        <v>1</v>
      </c>
      <c r="CW1101">
        <v>15281622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25">
      <c r="A1102" t="str">
        <f t="shared" si="613"/>
        <v>06/05/2020 14:51:43.960</v>
      </c>
      <c r="C1102" t="str">
        <f t="shared" si="595"/>
        <v>FFDFD3C0</v>
      </c>
      <c r="D1102" t="s">
        <v>141</v>
      </c>
      <c r="E1102">
        <v>20</v>
      </c>
      <c r="F1102">
        <v>1020</v>
      </c>
      <c r="G1102" t="s">
        <v>114</v>
      </c>
      <c r="J1102" t="s">
        <v>142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614"/>
        <v>14:51:49.609</v>
      </c>
      <c r="T1102" t="str">
        <f t="shared" si="615"/>
        <v>14:51:49.409</v>
      </c>
      <c r="U1102" t="str">
        <f t="shared" si="611"/>
        <v>ACC530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1</v>
      </c>
      <c r="AH1102">
        <v>0</v>
      </c>
      <c r="AI1102" t="s">
        <v>481</v>
      </c>
      <c r="AJ1102">
        <v>34.213765000000002</v>
      </c>
      <c r="AK1102" t="s">
        <v>482</v>
      </c>
      <c r="AL1102">
        <v>-116.94727399999999</v>
      </c>
      <c r="AM1102">
        <v>100</v>
      </c>
      <c r="AN1102">
        <v>9100</v>
      </c>
      <c r="AO1102" t="s">
        <v>118</v>
      </c>
      <c r="AP1102">
        <v>-100</v>
      </c>
      <c r="AQ1102">
        <v>-62</v>
      </c>
      <c r="AR1102">
        <v>-448</v>
      </c>
      <c r="AZ1102">
        <v>1200</v>
      </c>
      <c r="BA1102">
        <v>1</v>
      </c>
      <c r="BB1102" t="str">
        <f t="shared" si="612"/>
        <v xml:space="preserve">N9217B  </v>
      </c>
      <c r="BC1102">
        <v>1</v>
      </c>
      <c r="BE1102">
        <v>0</v>
      </c>
      <c r="BF1102">
        <v>0</v>
      </c>
      <c r="BG1102">
        <v>0</v>
      </c>
      <c r="BH1102">
        <v>9200</v>
      </c>
      <c r="BI1102">
        <v>1</v>
      </c>
      <c r="BJ1102">
        <v>0</v>
      </c>
      <c r="BK1102">
        <v>0</v>
      </c>
      <c r="BL1102">
        <v>0</v>
      </c>
      <c r="BO1102">
        <v>0</v>
      </c>
      <c r="BP1102">
        <v>0</v>
      </c>
      <c r="BW1102" t="str">
        <f t="shared" si="616"/>
        <v>14:51:49.611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293</v>
      </c>
      <c r="CR1102">
        <v>1</v>
      </c>
      <c r="CW1102">
        <v>15281622</v>
      </c>
      <c r="CY1102">
        <v>0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25">
      <c r="A1103" t="str">
        <f t="shared" si="613"/>
        <v>06/05/2020 14:51:43.960</v>
      </c>
      <c r="C1103" t="str">
        <f t="shared" si="595"/>
        <v>FFDFD3C0</v>
      </c>
      <c r="D1103" t="s">
        <v>143</v>
      </c>
      <c r="E1103">
        <v>10</v>
      </c>
      <c r="F1103">
        <v>3010</v>
      </c>
      <c r="G1103" t="s">
        <v>144</v>
      </c>
      <c r="J1103" t="s">
        <v>145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614"/>
        <v>14:51:49.609</v>
      </c>
      <c r="T1103" t="str">
        <f t="shared" si="615"/>
        <v>14:51:49.409</v>
      </c>
      <c r="U1103" t="str">
        <f t="shared" si="611"/>
        <v>ACC530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1</v>
      </c>
      <c r="AH1103">
        <v>0</v>
      </c>
      <c r="AI1103" t="s">
        <v>481</v>
      </c>
      <c r="AJ1103">
        <v>34.213765000000002</v>
      </c>
      <c r="AK1103" t="s">
        <v>482</v>
      </c>
      <c r="AL1103">
        <v>-116.94727399999999</v>
      </c>
      <c r="AM1103">
        <v>100</v>
      </c>
      <c r="AN1103">
        <v>9100</v>
      </c>
      <c r="AO1103" t="s">
        <v>118</v>
      </c>
      <c r="AP1103">
        <v>-100</v>
      </c>
      <c r="AQ1103">
        <v>-62</v>
      </c>
      <c r="AR1103">
        <v>-448</v>
      </c>
      <c r="AZ1103">
        <v>1200</v>
      </c>
      <c r="BA1103">
        <v>1</v>
      </c>
      <c r="BB1103" t="str">
        <f t="shared" si="612"/>
        <v xml:space="preserve">N9217B  </v>
      </c>
      <c r="BC1103">
        <v>1</v>
      </c>
      <c r="BE1103">
        <v>0</v>
      </c>
      <c r="BF1103">
        <v>0</v>
      </c>
      <c r="BG1103">
        <v>0</v>
      </c>
      <c r="BH1103">
        <v>9200</v>
      </c>
      <c r="BI1103">
        <v>1</v>
      </c>
      <c r="BJ1103">
        <v>0</v>
      </c>
      <c r="BK1103">
        <v>0</v>
      </c>
      <c r="BL1103">
        <v>0</v>
      </c>
      <c r="BO1103">
        <v>0</v>
      </c>
      <c r="BP1103">
        <v>0</v>
      </c>
      <c r="BW1103" t="str">
        <f t="shared" si="616"/>
        <v>14:51:49.611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293</v>
      </c>
      <c r="CR1103">
        <v>1</v>
      </c>
      <c r="CW1103">
        <v>15281622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25">
      <c r="A1104" t="str">
        <f t="shared" ref="A1104:A1111" si="617">"06/05/2020 14:51:45.022"</f>
        <v>06/05/2020 14:51:45.022</v>
      </c>
      <c r="C1104" t="str">
        <f t="shared" si="595"/>
        <v>FFDFD3C0</v>
      </c>
      <c r="D1104" t="s">
        <v>148</v>
      </c>
      <c r="E1104">
        <v>8</v>
      </c>
      <c r="H1104">
        <v>50</v>
      </c>
      <c r="I1104" t="s">
        <v>149</v>
      </c>
      <c r="J1104" t="s">
        <v>150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ref="S1104:S1111" si="618">"14:51:50.656"</f>
        <v>14:51:50.656</v>
      </c>
      <c r="T1104" t="str">
        <f>"14:51:50.256"</f>
        <v>14:51:50.256</v>
      </c>
      <c r="U1104" t="str">
        <f t="shared" si="611"/>
        <v>ACC530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1</v>
      </c>
      <c r="AH1104">
        <v>0</v>
      </c>
      <c r="AI1104" t="s">
        <v>483</v>
      </c>
      <c r="AJ1104">
        <v>34.213420999999997</v>
      </c>
      <c r="AK1104" t="s">
        <v>484</v>
      </c>
      <c r="AL1104">
        <v>-116.947918</v>
      </c>
      <c r="AM1104">
        <v>100</v>
      </c>
      <c r="AN1104">
        <v>9100</v>
      </c>
      <c r="AO1104" t="s">
        <v>118</v>
      </c>
      <c r="AP1104">
        <v>-101</v>
      </c>
      <c r="AQ1104">
        <v>-63</v>
      </c>
      <c r="AR1104">
        <v>-512</v>
      </c>
      <c r="AZ1104">
        <v>1200</v>
      </c>
      <c r="BA1104">
        <v>1</v>
      </c>
      <c r="BB1104" t="str">
        <f t="shared" si="612"/>
        <v xml:space="preserve">N9217B  </v>
      </c>
      <c r="BC1104">
        <v>1</v>
      </c>
      <c r="BE1104">
        <v>0</v>
      </c>
      <c r="BF1104">
        <v>0</v>
      </c>
      <c r="BG1104">
        <v>0</v>
      </c>
      <c r="BH1104">
        <v>9175</v>
      </c>
      <c r="BI1104">
        <v>1</v>
      </c>
      <c r="BJ1104">
        <v>0</v>
      </c>
      <c r="BK1104">
        <v>0</v>
      </c>
      <c r="BL1104">
        <v>0</v>
      </c>
      <c r="BO1104">
        <v>0</v>
      </c>
      <c r="BP1104">
        <v>0</v>
      </c>
      <c r="BW1104" t="str">
        <f t="shared" ref="BW1104:BW1111" si="619">"14:51:50.661"</f>
        <v>14:51:50.661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293</v>
      </c>
      <c r="CR1104">
        <v>1</v>
      </c>
      <c r="CW1104">
        <v>15281746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25">
      <c r="A1105" t="str">
        <f t="shared" si="617"/>
        <v>06/05/2020 14:51:45.022</v>
      </c>
      <c r="C1105" t="str">
        <f t="shared" si="595"/>
        <v>FFDFD3C0</v>
      </c>
      <c r="D1105" t="s">
        <v>151</v>
      </c>
      <c r="E1105">
        <v>8</v>
      </c>
      <c r="H1105">
        <v>225</v>
      </c>
      <c r="I1105" t="s">
        <v>353</v>
      </c>
      <c r="J1105" t="s">
        <v>150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618"/>
        <v>14:51:50.656</v>
      </c>
      <c r="T1105" t="str">
        <f>"14:51:49.856"</f>
        <v>14:51:49.856</v>
      </c>
      <c r="U1105" t="str">
        <f t="shared" si="611"/>
        <v>ACC530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1</v>
      </c>
      <c r="AH1105">
        <v>0</v>
      </c>
      <c r="AI1105" t="s">
        <v>483</v>
      </c>
      <c r="AJ1105">
        <v>34.213420999999997</v>
      </c>
      <c r="AK1105" t="s">
        <v>484</v>
      </c>
      <c r="AL1105">
        <v>-116.947918</v>
      </c>
      <c r="AM1105">
        <v>100</v>
      </c>
      <c r="AN1105">
        <v>9100</v>
      </c>
      <c r="AO1105" t="s">
        <v>118</v>
      </c>
      <c r="AP1105">
        <v>-100</v>
      </c>
      <c r="AQ1105">
        <v>-63</v>
      </c>
      <c r="AR1105">
        <v>-512</v>
      </c>
      <c r="AZ1105">
        <v>1200</v>
      </c>
      <c r="BA1105">
        <v>1</v>
      </c>
      <c r="BB1105" t="str">
        <f t="shared" si="612"/>
        <v xml:space="preserve">N9217B  </v>
      </c>
      <c r="BC1105">
        <v>1</v>
      </c>
      <c r="BE1105">
        <v>0</v>
      </c>
      <c r="BF1105">
        <v>0</v>
      </c>
      <c r="BG1105">
        <v>0</v>
      </c>
      <c r="BH1105">
        <v>9175</v>
      </c>
      <c r="BI1105">
        <v>1</v>
      </c>
      <c r="BJ1105">
        <v>0</v>
      </c>
      <c r="BK1105">
        <v>0</v>
      </c>
      <c r="BL1105">
        <v>0</v>
      </c>
      <c r="BO1105">
        <v>0</v>
      </c>
      <c r="BP1105">
        <v>0</v>
      </c>
      <c r="BW1105" t="str">
        <f t="shared" si="619"/>
        <v>14:51:50.661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6</v>
      </c>
      <c r="CP1105" t="s">
        <v>119</v>
      </c>
      <c r="CQ1105">
        <v>285</v>
      </c>
      <c r="CR1105">
        <v>0</v>
      </c>
      <c r="CW1105">
        <v>8848954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25">
      <c r="A1106" t="str">
        <f t="shared" si="617"/>
        <v>06/05/2020 14:51:45.022</v>
      </c>
      <c r="C1106" t="str">
        <f t="shared" si="595"/>
        <v>FFDFD3C0</v>
      </c>
      <c r="D1106" t="s">
        <v>151</v>
      </c>
      <c r="E1106">
        <v>9</v>
      </c>
      <c r="H1106">
        <v>226</v>
      </c>
      <c r="I1106" t="s">
        <v>152</v>
      </c>
      <c r="J1106" t="s">
        <v>150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618"/>
        <v>14:51:50.656</v>
      </c>
      <c r="T1106" t="str">
        <f t="shared" ref="T1106:T1111" si="620">"14:51:50.256"</f>
        <v>14:51:50.256</v>
      </c>
      <c r="U1106" t="str">
        <f t="shared" si="611"/>
        <v>ACC530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1</v>
      </c>
      <c r="AH1106">
        <v>0</v>
      </c>
      <c r="AI1106" t="s">
        <v>483</v>
      </c>
      <c r="AJ1106">
        <v>34.213420999999997</v>
      </c>
      <c r="AK1106" t="s">
        <v>484</v>
      </c>
      <c r="AL1106">
        <v>-116.947918</v>
      </c>
      <c r="AM1106">
        <v>100</v>
      </c>
      <c r="AN1106">
        <v>9100</v>
      </c>
      <c r="AO1106" t="s">
        <v>118</v>
      </c>
      <c r="AP1106">
        <v>-101</v>
      </c>
      <c r="AQ1106">
        <v>-63</v>
      </c>
      <c r="AR1106">
        <v>-512</v>
      </c>
      <c r="AZ1106">
        <v>1200</v>
      </c>
      <c r="BA1106">
        <v>1</v>
      </c>
      <c r="BB1106" t="str">
        <f t="shared" si="612"/>
        <v xml:space="preserve">N9217B  </v>
      </c>
      <c r="BC1106">
        <v>1</v>
      </c>
      <c r="BE1106">
        <v>0</v>
      </c>
      <c r="BF1106">
        <v>0</v>
      </c>
      <c r="BG1106">
        <v>0</v>
      </c>
      <c r="BH1106">
        <v>9175</v>
      </c>
      <c r="BI1106">
        <v>1</v>
      </c>
      <c r="BJ1106">
        <v>0</v>
      </c>
      <c r="BK1106">
        <v>0</v>
      </c>
      <c r="BL1106">
        <v>0</v>
      </c>
      <c r="BO1106">
        <v>0</v>
      </c>
      <c r="BP1106">
        <v>0</v>
      </c>
      <c r="BW1106" t="str">
        <f t="shared" si="619"/>
        <v>14:51:50.661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293</v>
      </c>
      <c r="CR1106">
        <v>1</v>
      </c>
      <c r="CW1106">
        <v>15281746</v>
      </c>
      <c r="CY1106">
        <v>0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25">
      <c r="A1107" t="str">
        <f t="shared" si="617"/>
        <v>06/05/2020 14:51:45.022</v>
      </c>
      <c r="C1107" t="str">
        <f t="shared" si="595"/>
        <v>FFDFD3C0</v>
      </c>
      <c r="D1107" t="s">
        <v>134</v>
      </c>
      <c r="E1107">
        <v>7</v>
      </c>
      <c r="F1107">
        <v>2007</v>
      </c>
      <c r="G1107" t="s">
        <v>135</v>
      </c>
      <c r="J1107" t="s">
        <v>136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618"/>
        <v>14:51:50.656</v>
      </c>
      <c r="T1107" t="str">
        <f t="shared" si="620"/>
        <v>14:51:50.256</v>
      </c>
      <c r="U1107" t="str">
        <f t="shared" si="611"/>
        <v>ACC530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1</v>
      </c>
      <c r="AH1107">
        <v>0</v>
      </c>
      <c r="AI1107" t="s">
        <v>483</v>
      </c>
      <c r="AJ1107">
        <v>34.213420999999997</v>
      </c>
      <c r="AK1107" t="s">
        <v>484</v>
      </c>
      <c r="AL1107">
        <v>-116.947918</v>
      </c>
      <c r="AM1107">
        <v>100</v>
      </c>
      <c r="AN1107">
        <v>9100</v>
      </c>
      <c r="AO1107" t="s">
        <v>118</v>
      </c>
      <c r="AP1107">
        <v>-101</v>
      </c>
      <c r="AQ1107">
        <v>-63</v>
      </c>
      <c r="AR1107">
        <v>-512</v>
      </c>
      <c r="AZ1107">
        <v>1200</v>
      </c>
      <c r="BA1107">
        <v>1</v>
      </c>
      <c r="BB1107" t="str">
        <f t="shared" si="612"/>
        <v xml:space="preserve">N9217B  </v>
      </c>
      <c r="BC1107">
        <v>1</v>
      </c>
      <c r="BE1107">
        <v>0</v>
      </c>
      <c r="BF1107">
        <v>0</v>
      </c>
      <c r="BG1107">
        <v>0</v>
      </c>
      <c r="BH1107">
        <v>9175</v>
      </c>
      <c r="BI1107">
        <v>1</v>
      </c>
      <c r="BJ1107">
        <v>0</v>
      </c>
      <c r="BK1107">
        <v>0</v>
      </c>
      <c r="BL1107">
        <v>0</v>
      </c>
      <c r="BO1107">
        <v>0</v>
      </c>
      <c r="BP1107">
        <v>0</v>
      </c>
      <c r="BW1107" t="str">
        <f t="shared" si="619"/>
        <v>14:51:50.661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293</v>
      </c>
      <c r="CR1107">
        <v>1</v>
      </c>
      <c r="CW1107">
        <v>15281746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25">
      <c r="A1108" t="str">
        <f t="shared" si="617"/>
        <v>06/05/2020 14:51:45.022</v>
      </c>
      <c r="C1108" t="str">
        <f t="shared" si="595"/>
        <v>FFDFD3C0</v>
      </c>
      <c r="D1108" t="s">
        <v>113</v>
      </c>
      <c r="E1108">
        <v>3</v>
      </c>
      <c r="H1108">
        <v>166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618"/>
        <v>14:51:50.656</v>
      </c>
      <c r="T1108" t="str">
        <f t="shared" si="620"/>
        <v>14:51:50.256</v>
      </c>
      <c r="U1108" t="str">
        <f t="shared" si="611"/>
        <v>ACC530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1</v>
      </c>
      <c r="AH1108">
        <v>0</v>
      </c>
      <c r="AI1108" t="s">
        <v>483</v>
      </c>
      <c r="AJ1108">
        <v>34.213420999999997</v>
      </c>
      <c r="AK1108" t="s">
        <v>484</v>
      </c>
      <c r="AL1108">
        <v>-116.947918</v>
      </c>
      <c r="AM1108">
        <v>100</v>
      </c>
      <c r="AN1108">
        <v>9100</v>
      </c>
      <c r="AO1108" t="s">
        <v>118</v>
      </c>
      <c r="AP1108">
        <v>-101</v>
      </c>
      <c r="AQ1108">
        <v>-63</v>
      </c>
      <c r="AR1108">
        <v>-512</v>
      </c>
      <c r="AZ1108">
        <v>1200</v>
      </c>
      <c r="BA1108">
        <v>1</v>
      </c>
      <c r="BB1108" t="str">
        <f t="shared" si="612"/>
        <v xml:space="preserve">N9217B  </v>
      </c>
      <c r="BC1108">
        <v>1</v>
      </c>
      <c r="BE1108">
        <v>0</v>
      </c>
      <c r="BF1108">
        <v>0</v>
      </c>
      <c r="BG1108">
        <v>0</v>
      </c>
      <c r="BH1108">
        <v>9175</v>
      </c>
      <c r="BI1108">
        <v>1</v>
      </c>
      <c r="BJ1108">
        <v>0</v>
      </c>
      <c r="BK1108">
        <v>0</v>
      </c>
      <c r="BL1108">
        <v>0</v>
      </c>
      <c r="BO1108">
        <v>0</v>
      </c>
      <c r="BP1108">
        <v>0</v>
      </c>
      <c r="BW1108" t="str">
        <f t="shared" si="619"/>
        <v>14:51:50.661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293</v>
      </c>
      <c r="CR1108">
        <v>1</v>
      </c>
      <c r="CW1108">
        <v>15281746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25">
      <c r="A1109" t="str">
        <f t="shared" si="617"/>
        <v>06/05/2020 14:51:45.022</v>
      </c>
      <c r="C1109" t="str">
        <f t="shared" si="595"/>
        <v>FFDFD3C0</v>
      </c>
      <c r="D1109" t="s">
        <v>141</v>
      </c>
      <c r="E1109">
        <v>20</v>
      </c>
      <c r="F1109">
        <v>1020</v>
      </c>
      <c r="G1109" t="s">
        <v>114</v>
      </c>
      <c r="J1109" t="s">
        <v>142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618"/>
        <v>14:51:50.656</v>
      </c>
      <c r="T1109" t="str">
        <f t="shared" si="620"/>
        <v>14:51:50.256</v>
      </c>
      <c r="U1109" t="str">
        <f t="shared" si="611"/>
        <v>ACC530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1</v>
      </c>
      <c r="AH1109">
        <v>0</v>
      </c>
      <c r="AI1109" t="s">
        <v>483</v>
      </c>
      <c r="AJ1109">
        <v>34.213420999999997</v>
      </c>
      <c r="AK1109" t="s">
        <v>484</v>
      </c>
      <c r="AL1109">
        <v>-116.947918</v>
      </c>
      <c r="AM1109">
        <v>100</v>
      </c>
      <c r="AN1109">
        <v>9100</v>
      </c>
      <c r="AO1109" t="s">
        <v>118</v>
      </c>
      <c r="AP1109">
        <v>-101</v>
      </c>
      <c r="AQ1109">
        <v>-63</v>
      </c>
      <c r="AR1109">
        <v>-512</v>
      </c>
      <c r="AZ1109">
        <v>1200</v>
      </c>
      <c r="BA1109">
        <v>1</v>
      </c>
      <c r="BB1109" t="str">
        <f t="shared" si="612"/>
        <v xml:space="preserve">N9217B  </v>
      </c>
      <c r="BC1109">
        <v>1</v>
      </c>
      <c r="BE1109">
        <v>0</v>
      </c>
      <c r="BF1109">
        <v>0</v>
      </c>
      <c r="BG1109">
        <v>0</v>
      </c>
      <c r="BH1109">
        <v>9175</v>
      </c>
      <c r="BI1109">
        <v>1</v>
      </c>
      <c r="BJ1109">
        <v>0</v>
      </c>
      <c r="BK1109">
        <v>0</v>
      </c>
      <c r="BL1109">
        <v>0</v>
      </c>
      <c r="BO1109">
        <v>0</v>
      </c>
      <c r="BP1109">
        <v>0</v>
      </c>
      <c r="BW1109" t="str">
        <f t="shared" si="619"/>
        <v>14:51:50.661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293</v>
      </c>
      <c r="CR1109">
        <v>1</v>
      </c>
      <c r="CW1109">
        <v>15281746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25">
      <c r="A1110" t="str">
        <f t="shared" si="617"/>
        <v>06/05/2020 14:51:45.022</v>
      </c>
      <c r="C1110" t="str">
        <f t="shared" si="595"/>
        <v>FFDFD3C0</v>
      </c>
      <c r="D1110" t="s">
        <v>148</v>
      </c>
      <c r="E1110">
        <v>11</v>
      </c>
      <c r="H1110">
        <v>53</v>
      </c>
      <c r="I1110" t="s">
        <v>364</v>
      </c>
      <c r="J1110" t="s">
        <v>150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618"/>
        <v>14:51:50.656</v>
      </c>
      <c r="T1110" t="str">
        <f t="shared" si="620"/>
        <v>14:51:50.256</v>
      </c>
      <c r="U1110" t="str">
        <f t="shared" si="611"/>
        <v>ACC530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1</v>
      </c>
      <c r="AH1110">
        <v>0</v>
      </c>
      <c r="AI1110" t="s">
        <v>483</v>
      </c>
      <c r="AJ1110">
        <v>34.213420999999997</v>
      </c>
      <c r="AK1110" t="s">
        <v>484</v>
      </c>
      <c r="AL1110">
        <v>-116.947918</v>
      </c>
      <c r="AM1110">
        <v>100</v>
      </c>
      <c r="AN1110">
        <v>9100</v>
      </c>
      <c r="AO1110" t="s">
        <v>118</v>
      </c>
      <c r="AP1110">
        <v>-101</v>
      </c>
      <c r="AQ1110">
        <v>-63</v>
      </c>
      <c r="AR1110">
        <v>-512</v>
      </c>
      <c r="AZ1110">
        <v>1200</v>
      </c>
      <c r="BA1110">
        <v>1</v>
      </c>
      <c r="BB1110" t="str">
        <f t="shared" si="612"/>
        <v xml:space="preserve">N9217B  </v>
      </c>
      <c r="BC1110">
        <v>1</v>
      </c>
      <c r="BE1110">
        <v>0</v>
      </c>
      <c r="BF1110">
        <v>0</v>
      </c>
      <c r="BG1110">
        <v>0</v>
      </c>
      <c r="BH1110">
        <v>9175</v>
      </c>
      <c r="BI1110">
        <v>1</v>
      </c>
      <c r="BJ1110">
        <v>0</v>
      </c>
      <c r="BK1110">
        <v>0</v>
      </c>
      <c r="BL1110">
        <v>0</v>
      </c>
      <c r="BO1110">
        <v>0</v>
      </c>
      <c r="BP1110">
        <v>0</v>
      </c>
      <c r="BW1110" t="str">
        <f t="shared" si="619"/>
        <v>14:51:50.661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293</v>
      </c>
      <c r="CR1110">
        <v>1</v>
      </c>
      <c r="CW1110">
        <v>15281746</v>
      </c>
      <c r="CY1110">
        <v>0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25">
      <c r="A1111" t="str">
        <f t="shared" si="617"/>
        <v>06/05/2020 14:51:45.022</v>
      </c>
      <c r="C1111" t="str">
        <f t="shared" si="595"/>
        <v>FFDFD3C0</v>
      </c>
      <c r="D1111" t="s">
        <v>143</v>
      </c>
      <c r="E1111">
        <v>10</v>
      </c>
      <c r="F1111">
        <v>3010</v>
      </c>
      <c r="G1111" t="s">
        <v>144</v>
      </c>
      <c r="J1111" t="s">
        <v>145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618"/>
        <v>14:51:50.656</v>
      </c>
      <c r="T1111" t="str">
        <f t="shared" si="620"/>
        <v>14:51:50.256</v>
      </c>
      <c r="U1111" t="str">
        <f t="shared" si="611"/>
        <v>ACC530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1</v>
      </c>
      <c r="AH1111">
        <v>0</v>
      </c>
      <c r="AI1111" t="s">
        <v>483</v>
      </c>
      <c r="AJ1111">
        <v>34.213420999999997</v>
      </c>
      <c r="AK1111" t="s">
        <v>484</v>
      </c>
      <c r="AL1111">
        <v>-116.947918</v>
      </c>
      <c r="AM1111">
        <v>100</v>
      </c>
      <c r="AN1111">
        <v>9100</v>
      </c>
      <c r="AO1111" t="s">
        <v>118</v>
      </c>
      <c r="AP1111">
        <v>-101</v>
      </c>
      <c r="AQ1111">
        <v>-63</v>
      </c>
      <c r="AR1111">
        <v>-512</v>
      </c>
      <c r="AZ1111">
        <v>1200</v>
      </c>
      <c r="BA1111">
        <v>1</v>
      </c>
      <c r="BB1111" t="str">
        <f t="shared" si="612"/>
        <v xml:space="preserve">N9217B  </v>
      </c>
      <c r="BC1111">
        <v>1</v>
      </c>
      <c r="BE1111">
        <v>0</v>
      </c>
      <c r="BF1111">
        <v>0</v>
      </c>
      <c r="BG1111">
        <v>0</v>
      </c>
      <c r="BH1111">
        <v>9175</v>
      </c>
      <c r="BI1111">
        <v>1</v>
      </c>
      <c r="BJ1111">
        <v>0</v>
      </c>
      <c r="BK1111">
        <v>0</v>
      </c>
      <c r="BL1111">
        <v>0</v>
      </c>
      <c r="BO1111">
        <v>0</v>
      </c>
      <c r="BP1111">
        <v>0</v>
      </c>
      <c r="BW1111" t="str">
        <f t="shared" si="619"/>
        <v>14:51:50.661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293</v>
      </c>
      <c r="CR1111">
        <v>1</v>
      </c>
      <c r="CW1111">
        <v>15281746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25">
      <c r="A1112" t="str">
        <f t="shared" ref="A1112:A1119" si="621">"06/05/2020 14:51:46.033"</f>
        <v>06/05/2020 14:51:46.033</v>
      </c>
      <c r="C1112" t="str">
        <f t="shared" si="595"/>
        <v>FFDFD3C0</v>
      </c>
      <c r="D1112" t="s">
        <v>148</v>
      </c>
      <c r="E1112">
        <v>8</v>
      </c>
      <c r="H1112">
        <v>50</v>
      </c>
      <c r="I1112" t="s">
        <v>149</v>
      </c>
      <c r="J1112" t="s">
        <v>150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ref="S1112:S1119" si="622">"14:51:51.664"</f>
        <v>14:51:51.664</v>
      </c>
      <c r="T1112" t="str">
        <f t="shared" ref="T1112:T1119" si="623">"14:51:51.464"</f>
        <v>14:51:51.464</v>
      </c>
      <c r="U1112" t="str">
        <f t="shared" si="611"/>
        <v>ACC530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1</v>
      </c>
      <c r="AH1112">
        <v>0</v>
      </c>
      <c r="AI1112" t="s">
        <v>485</v>
      </c>
      <c r="AJ1112">
        <v>34.213163999999999</v>
      </c>
      <c r="AK1112" t="s">
        <v>486</v>
      </c>
      <c r="AL1112">
        <v>-116.948454</v>
      </c>
      <c r="AM1112">
        <v>100</v>
      </c>
      <c r="AN1112">
        <v>9100</v>
      </c>
      <c r="AO1112" t="s">
        <v>118</v>
      </c>
      <c r="AP1112">
        <v>-102</v>
      </c>
      <c r="AQ1112">
        <v>-63</v>
      </c>
      <c r="AR1112">
        <v>-512</v>
      </c>
      <c r="AZ1112">
        <v>1200</v>
      </c>
      <c r="BA1112">
        <v>1</v>
      </c>
      <c r="BB1112" t="str">
        <f t="shared" si="612"/>
        <v xml:space="preserve">N9217B  </v>
      </c>
      <c r="BC1112">
        <v>1</v>
      </c>
      <c r="BE1112">
        <v>0</v>
      </c>
      <c r="BF1112">
        <v>0</v>
      </c>
      <c r="BG1112">
        <v>0</v>
      </c>
      <c r="BH1112">
        <v>9175</v>
      </c>
      <c r="BI1112">
        <v>1</v>
      </c>
      <c r="BJ1112">
        <v>0</v>
      </c>
      <c r="BK1112">
        <v>0</v>
      </c>
      <c r="BL1112">
        <v>0</v>
      </c>
      <c r="BO1112">
        <v>0</v>
      </c>
      <c r="BP1112">
        <v>0</v>
      </c>
      <c r="BW1112" t="str">
        <f t="shared" ref="BW1112:BW1119" si="624">"14:51:51.666"</f>
        <v>14:51:51.666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293</v>
      </c>
      <c r="CR1112">
        <v>1</v>
      </c>
      <c r="CW1112">
        <v>15281865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25">
      <c r="A1113" t="str">
        <f t="shared" si="621"/>
        <v>06/05/2020 14:51:46.033</v>
      </c>
      <c r="C1113" t="str">
        <f t="shared" si="595"/>
        <v>FFDFD3C0</v>
      </c>
      <c r="D1113" t="s">
        <v>151</v>
      </c>
      <c r="E1113">
        <v>8</v>
      </c>
      <c r="H1113">
        <v>225</v>
      </c>
      <c r="I1113" t="s">
        <v>353</v>
      </c>
      <c r="J1113" t="s">
        <v>150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622"/>
        <v>14:51:51.664</v>
      </c>
      <c r="T1113" t="str">
        <f t="shared" si="623"/>
        <v>14:51:51.464</v>
      </c>
      <c r="U1113" t="str">
        <f t="shared" si="611"/>
        <v>ACC530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1</v>
      </c>
      <c r="AH1113">
        <v>0</v>
      </c>
      <c r="AI1113" t="s">
        <v>485</v>
      </c>
      <c r="AJ1113">
        <v>34.213163999999999</v>
      </c>
      <c r="AK1113" t="s">
        <v>486</v>
      </c>
      <c r="AL1113">
        <v>-116.948454</v>
      </c>
      <c r="AM1113">
        <v>100</v>
      </c>
      <c r="AN1113">
        <v>9100</v>
      </c>
      <c r="AO1113" t="s">
        <v>118</v>
      </c>
      <c r="AP1113">
        <v>-102</v>
      </c>
      <c r="AQ1113">
        <v>-63</v>
      </c>
      <c r="AR1113">
        <v>-512</v>
      </c>
      <c r="AZ1113">
        <v>1200</v>
      </c>
      <c r="BA1113">
        <v>1</v>
      </c>
      <c r="BB1113" t="str">
        <f t="shared" si="612"/>
        <v xml:space="preserve">N9217B  </v>
      </c>
      <c r="BC1113">
        <v>1</v>
      </c>
      <c r="BE1113">
        <v>0</v>
      </c>
      <c r="BF1113">
        <v>0</v>
      </c>
      <c r="BG1113">
        <v>0</v>
      </c>
      <c r="BH1113">
        <v>9175</v>
      </c>
      <c r="BI1113">
        <v>1</v>
      </c>
      <c r="BJ1113">
        <v>0</v>
      </c>
      <c r="BK1113">
        <v>0</v>
      </c>
      <c r="BL1113">
        <v>0</v>
      </c>
      <c r="BO1113">
        <v>0</v>
      </c>
      <c r="BP1113">
        <v>0</v>
      </c>
      <c r="BW1113" t="str">
        <f t="shared" si="624"/>
        <v>14:51:51.666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6</v>
      </c>
      <c r="CP1113" t="s">
        <v>119</v>
      </c>
      <c r="CQ1113">
        <v>285</v>
      </c>
      <c r="CR1113">
        <v>0</v>
      </c>
      <c r="CW1113">
        <v>8849049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25">
      <c r="A1114" t="str">
        <f t="shared" si="621"/>
        <v>06/05/2020 14:51:46.033</v>
      </c>
      <c r="C1114" t="str">
        <f t="shared" si="595"/>
        <v>FFDFD3C0</v>
      </c>
      <c r="D1114" t="s">
        <v>151</v>
      </c>
      <c r="E1114">
        <v>9</v>
      </c>
      <c r="H1114">
        <v>226</v>
      </c>
      <c r="I1114" t="s">
        <v>152</v>
      </c>
      <c r="J1114" t="s">
        <v>150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622"/>
        <v>14:51:51.664</v>
      </c>
      <c r="T1114" t="str">
        <f t="shared" si="623"/>
        <v>14:51:51.464</v>
      </c>
      <c r="U1114" t="str">
        <f t="shared" si="611"/>
        <v>ACC530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1</v>
      </c>
      <c r="AH1114">
        <v>0</v>
      </c>
      <c r="AI1114" t="s">
        <v>485</v>
      </c>
      <c r="AJ1114">
        <v>34.213163999999999</v>
      </c>
      <c r="AK1114" t="s">
        <v>486</v>
      </c>
      <c r="AL1114">
        <v>-116.948454</v>
      </c>
      <c r="AM1114">
        <v>100</v>
      </c>
      <c r="AN1114">
        <v>9100</v>
      </c>
      <c r="AO1114" t="s">
        <v>118</v>
      </c>
      <c r="AP1114">
        <v>-102</v>
      </c>
      <c r="AQ1114">
        <v>-63</v>
      </c>
      <c r="AR1114">
        <v>-512</v>
      </c>
      <c r="AZ1114">
        <v>1200</v>
      </c>
      <c r="BA1114">
        <v>1</v>
      </c>
      <c r="BB1114" t="str">
        <f t="shared" si="612"/>
        <v xml:space="preserve">N9217B  </v>
      </c>
      <c r="BC1114">
        <v>1</v>
      </c>
      <c r="BE1114">
        <v>0</v>
      </c>
      <c r="BF1114">
        <v>0</v>
      </c>
      <c r="BG1114">
        <v>0</v>
      </c>
      <c r="BH1114">
        <v>9175</v>
      </c>
      <c r="BI1114">
        <v>1</v>
      </c>
      <c r="BJ1114">
        <v>0</v>
      </c>
      <c r="BK1114">
        <v>0</v>
      </c>
      <c r="BL1114">
        <v>0</v>
      </c>
      <c r="BO1114">
        <v>0</v>
      </c>
      <c r="BP1114">
        <v>0</v>
      </c>
      <c r="BW1114" t="str">
        <f t="shared" si="624"/>
        <v>14:51:51.666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293</v>
      </c>
      <c r="CR1114">
        <v>1</v>
      </c>
      <c r="CW1114">
        <v>15281865</v>
      </c>
      <c r="CY1114">
        <v>0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25">
      <c r="A1115" t="str">
        <f t="shared" si="621"/>
        <v>06/05/2020 14:51:46.033</v>
      </c>
      <c r="C1115" t="str">
        <f t="shared" si="595"/>
        <v>FFDFD3C0</v>
      </c>
      <c r="D1115" t="s">
        <v>134</v>
      </c>
      <c r="E1115">
        <v>7</v>
      </c>
      <c r="F1115">
        <v>2007</v>
      </c>
      <c r="G1115" t="s">
        <v>135</v>
      </c>
      <c r="J1115" t="s">
        <v>136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622"/>
        <v>14:51:51.664</v>
      </c>
      <c r="T1115" t="str">
        <f t="shared" si="623"/>
        <v>14:51:51.464</v>
      </c>
      <c r="U1115" t="str">
        <f t="shared" si="611"/>
        <v>ACC530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1</v>
      </c>
      <c r="AH1115">
        <v>0</v>
      </c>
      <c r="AI1115" t="s">
        <v>485</v>
      </c>
      <c r="AJ1115">
        <v>34.213163999999999</v>
      </c>
      <c r="AK1115" t="s">
        <v>486</v>
      </c>
      <c r="AL1115">
        <v>-116.948454</v>
      </c>
      <c r="AM1115">
        <v>100</v>
      </c>
      <c r="AN1115">
        <v>9100</v>
      </c>
      <c r="AO1115" t="s">
        <v>118</v>
      </c>
      <c r="AP1115">
        <v>-102</v>
      </c>
      <c r="AQ1115">
        <v>-63</v>
      </c>
      <c r="AR1115">
        <v>-512</v>
      </c>
      <c r="AZ1115">
        <v>1200</v>
      </c>
      <c r="BA1115">
        <v>1</v>
      </c>
      <c r="BB1115" t="str">
        <f t="shared" si="612"/>
        <v xml:space="preserve">N9217B  </v>
      </c>
      <c r="BC1115">
        <v>1</v>
      </c>
      <c r="BE1115">
        <v>0</v>
      </c>
      <c r="BF1115">
        <v>0</v>
      </c>
      <c r="BG1115">
        <v>0</v>
      </c>
      <c r="BH1115">
        <v>9175</v>
      </c>
      <c r="BI1115">
        <v>1</v>
      </c>
      <c r="BJ1115">
        <v>0</v>
      </c>
      <c r="BK1115">
        <v>0</v>
      </c>
      <c r="BL1115">
        <v>0</v>
      </c>
      <c r="BO1115">
        <v>0</v>
      </c>
      <c r="BP1115">
        <v>0</v>
      </c>
      <c r="BW1115" t="str">
        <f t="shared" si="624"/>
        <v>14:51:51.666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293</v>
      </c>
      <c r="CR1115">
        <v>1</v>
      </c>
      <c r="CW1115">
        <v>15281865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25">
      <c r="A1116" t="str">
        <f t="shared" si="621"/>
        <v>06/05/2020 14:51:46.033</v>
      </c>
      <c r="C1116" t="str">
        <f t="shared" si="595"/>
        <v>FFDFD3C0</v>
      </c>
      <c r="D1116" t="s">
        <v>113</v>
      </c>
      <c r="E1116">
        <v>3</v>
      </c>
      <c r="H1116">
        <v>166</v>
      </c>
      <c r="I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622"/>
        <v>14:51:51.664</v>
      </c>
      <c r="T1116" t="str">
        <f t="shared" si="623"/>
        <v>14:51:51.464</v>
      </c>
      <c r="U1116" t="str">
        <f t="shared" si="611"/>
        <v>ACC530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1</v>
      </c>
      <c r="AH1116">
        <v>0</v>
      </c>
      <c r="AI1116" t="s">
        <v>485</v>
      </c>
      <c r="AJ1116">
        <v>34.213163999999999</v>
      </c>
      <c r="AK1116" t="s">
        <v>486</v>
      </c>
      <c r="AL1116">
        <v>-116.948454</v>
      </c>
      <c r="AM1116">
        <v>100</v>
      </c>
      <c r="AN1116">
        <v>9100</v>
      </c>
      <c r="AO1116" t="s">
        <v>118</v>
      </c>
      <c r="AP1116">
        <v>-102</v>
      </c>
      <c r="AQ1116">
        <v>-63</v>
      </c>
      <c r="AR1116">
        <v>-512</v>
      </c>
      <c r="AZ1116">
        <v>1200</v>
      </c>
      <c r="BA1116">
        <v>1</v>
      </c>
      <c r="BB1116" t="str">
        <f t="shared" si="612"/>
        <v xml:space="preserve">N9217B  </v>
      </c>
      <c r="BC1116">
        <v>1</v>
      </c>
      <c r="BE1116">
        <v>0</v>
      </c>
      <c r="BF1116">
        <v>0</v>
      </c>
      <c r="BG1116">
        <v>0</v>
      </c>
      <c r="BH1116">
        <v>9175</v>
      </c>
      <c r="BI1116">
        <v>1</v>
      </c>
      <c r="BJ1116">
        <v>0</v>
      </c>
      <c r="BK1116">
        <v>0</v>
      </c>
      <c r="BL1116">
        <v>0</v>
      </c>
      <c r="BO1116">
        <v>0</v>
      </c>
      <c r="BP1116">
        <v>0</v>
      </c>
      <c r="BW1116" t="str">
        <f t="shared" si="624"/>
        <v>14:51:51.666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293</v>
      </c>
      <c r="CR1116">
        <v>1</v>
      </c>
      <c r="CW1116">
        <v>15281865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25">
      <c r="A1117" t="str">
        <f t="shared" si="621"/>
        <v>06/05/2020 14:51:46.033</v>
      </c>
      <c r="C1117" t="str">
        <f t="shared" si="595"/>
        <v>FFDFD3C0</v>
      </c>
      <c r="D1117" t="s">
        <v>141</v>
      </c>
      <c r="E1117">
        <v>20</v>
      </c>
      <c r="F1117">
        <v>1020</v>
      </c>
      <c r="G1117" t="s">
        <v>114</v>
      </c>
      <c r="J1117" t="s">
        <v>142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622"/>
        <v>14:51:51.664</v>
      </c>
      <c r="T1117" t="str">
        <f t="shared" si="623"/>
        <v>14:51:51.464</v>
      </c>
      <c r="U1117" t="str">
        <f t="shared" si="611"/>
        <v>ACC530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1</v>
      </c>
      <c r="AH1117">
        <v>0</v>
      </c>
      <c r="AI1117" t="s">
        <v>485</v>
      </c>
      <c r="AJ1117">
        <v>34.213163999999999</v>
      </c>
      <c r="AK1117" t="s">
        <v>486</v>
      </c>
      <c r="AL1117">
        <v>-116.948454</v>
      </c>
      <c r="AM1117">
        <v>100</v>
      </c>
      <c r="AN1117">
        <v>9100</v>
      </c>
      <c r="AO1117" t="s">
        <v>118</v>
      </c>
      <c r="AP1117">
        <v>-102</v>
      </c>
      <c r="AQ1117">
        <v>-63</v>
      </c>
      <c r="AR1117">
        <v>-512</v>
      </c>
      <c r="AZ1117">
        <v>1200</v>
      </c>
      <c r="BA1117">
        <v>1</v>
      </c>
      <c r="BB1117" t="str">
        <f t="shared" si="612"/>
        <v xml:space="preserve">N9217B  </v>
      </c>
      <c r="BC1117">
        <v>1</v>
      </c>
      <c r="BE1117">
        <v>0</v>
      </c>
      <c r="BF1117">
        <v>0</v>
      </c>
      <c r="BG1117">
        <v>0</v>
      </c>
      <c r="BH1117">
        <v>9175</v>
      </c>
      <c r="BI1117">
        <v>1</v>
      </c>
      <c r="BJ1117">
        <v>0</v>
      </c>
      <c r="BK1117">
        <v>0</v>
      </c>
      <c r="BL1117">
        <v>0</v>
      </c>
      <c r="BO1117">
        <v>0</v>
      </c>
      <c r="BP1117">
        <v>0</v>
      </c>
      <c r="BW1117" t="str">
        <f t="shared" si="624"/>
        <v>14:51:51.666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293</v>
      </c>
      <c r="CR1117">
        <v>1</v>
      </c>
      <c r="CW1117">
        <v>15281865</v>
      </c>
      <c r="CY1117">
        <v>0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25">
      <c r="A1118" t="str">
        <f t="shared" si="621"/>
        <v>06/05/2020 14:51:46.033</v>
      </c>
      <c r="C1118" t="str">
        <f t="shared" si="595"/>
        <v>FFDFD3C0</v>
      </c>
      <c r="D1118" t="s">
        <v>148</v>
      </c>
      <c r="E1118">
        <v>11</v>
      </c>
      <c r="H1118">
        <v>53</v>
      </c>
      <c r="I1118" t="s">
        <v>364</v>
      </c>
      <c r="J1118" t="s">
        <v>150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622"/>
        <v>14:51:51.664</v>
      </c>
      <c r="T1118" t="str">
        <f t="shared" si="623"/>
        <v>14:51:51.464</v>
      </c>
      <c r="U1118" t="str">
        <f t="shared" si="611"/>
        <v>ACC530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1</v>
      </c>
      <c r="AH1118">
        <v>0</v>
      </c>
      <c r="AI1118" t="s">
        <v>485</v>
      </c>
      <c r="AJ1118">
        <v>34.213163999999999</v>
      </c>
      <c r="AK1118" t="s">
        <v>486</v>
      </c>
      <c r="AL1118">
        <v>-116.948454</v>
      </c>
      <c r="AM1118">
        <v>100</v>
      </c>
      <c r="AN1118">
        <v>9100</v>
      </c>
      <c r="AO1118" t="s">
        <v>118</v>
      </c>
      <c r="AP1118">
        <v>-102</v>
      </c>
      <c r="AQ1118">
        <v>-63</v>
      </c>
      <c r="AR1118">
        <v>-512</v>
      </c>
      <c r="AZ1118">
        <v>1200</v>
      </c>
      <c r="BA1118">
        <v>1</v>
      </c>
      <c r="BB1118" t="str">
        <f t="shared" si="612"/>
        <v xml:space="preserve">N9217B  </v>
      </c>
      <c r="BC1118">
        <v>1</v>
      </c>
      <c r="BE1118">
        <v>0</v>
      </c>
      <c r="BF1118">
        <v>0</v>
      </c>
      <c r="BG1118">
        <v>0</v>
      </c>
      <c r="BH1118">
        <v>9175</v>
      </c>
      <c r="BI1118">
        <v>1</v>
      </c>
      <c r="BJ1118">
        <v>0</v>
      </c>
      <c r="BK1118">
        <v>0</v>
      </c>
      <c r="BL1118">
        <v>0</v>
      </c>
      <c r="BO1118">
        <v>0</v>
      </c>
      <c r="BP1118">
        <v>0</v>
      </c>
      <c r="BW1118" t="str">
        <f t="shared" si="624"/>
        <v>14:51:51.666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293</v>
      </c>
      <c r="CR1118">
        <v>1</v>
      </c>
      <c r="CW1118">
        <v>15281865</v>
      </c>
      <c r="CY1118">
        <v>0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25">
      <c r="A1119" t="str">
        <f t="shared" si="621"/>
        <v>06/05/2020 14:51:46.033</v>
      </c>
      <c r="C1119" t="str">
        <f t="shared" si="595"/>
        <v>FFDFD3C0</v>
      </c>
      <c r="D1119" t="s">
        <v>143</v>
      </c>
      <c r="E1119">
        <v>10</v>
      </c>
      <c r="F1119">
        <v>3010</v>
      </c>
      <c r="G1119" t="s">
        <v>144</v>
      </c>
      <c r="J1119" t="s">
        <v>145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622"/>
        <v>14:51:51.664</v>
      </c>
      <c r="T1119" t="str">
        <f t="shared" si="623"/>
        <v>14:51:51.464</v>
      </c>
      <c r="U1119" t="str">
        <f t="shared" si="611"/>
        <v>ACC530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1</v>
      </c>
      <c r="AH1119">
        <v>0</v>
      </c>
      <c r="AI1119" t="s">
        <v>485</v>
      </c>
      <c r="AJ1119">
        <v>34.213163999999999</v>
      </c>
      <c r="AK1119" t="s">
        <v>486</v>
      </c>
      <c r="AL1119">
        <v>-116.948454</v>
      </c>
      <c r="AM1119">
        <v>100</v>
      </c>
      <c r="AN1119">
        <v>9100</v>
      </c>
      <c r="AO1119" t="s">
        <v>118</v>
      </c>
      <c r="AP1119">
        <v>-102</v>
      </c>
      <c r="AQ1119">
        <v>-63</v>
      </c>
      <c r="AR1119">
        <v>-512</v>
      </c>
      <c r="AZ1119">
        <v>1200</v>
      </c>
      <c r="BA1119">
        <v>1</v>
      </c>
      <c r="BB1119" t="str">
        <f t="shared" si="612"/>
        <v xml:space="preserve">N9217B  </v>
      </c>
      <c r="BC1119">
        <v>1</v>
      </c>
      <c r="BE1119">
        <v>0</v>
      </c>
      <c r="BF1119">
        <v>0</v>
      </c>
      <c r="BG1119">
        <v>0</v>
      </c>
      <c r="BH1119">
        <v>9175</v>
      </c>
      <c r="BI1119">
        <v>1</v>
      </c>
      <c r="BJ1119">
        <v>0</v>
      </c>
      <c r="BK1119">
        <v>0</v>
      </c>
      <c r="BL1119">
        <v>0</v>
      </c>
      <c r="BO1119">
        <v>0</v>
      </c>
      <c r="BP1119">
        <v>0</v>
      </c>
      <c r="BW1119" t="str">
        <f t="shared" si="624"/>
        <v>14:51:51.666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293</v>
      </c>
      <c r="CR1119">
        <v>1</v>
      </c>
      <c r="CW1119">
        <v>15281865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25">
      <c r="A1120" t="str">
        <f t="shared" ref="A1120:A1127" si="625">"06/05/2020 14:51:47.109"</f>
        <v>06/05/2020 14:51:47.109</v>
      </c>
      <c r="C1120" t="str">
        <f t="shared" si="595"/>
        <v>FFDFD3C0</v>
      </c>
      <c r="D1120" t="s">
        <v>143</v>
      </c>
      <c r="E1120">
        <v>10</v>
      </c>
      <c r="F1120">
        <v>3010</v>
      </c>
      <c r="G1120" t="s">
        <v>144</v>
      </c>
      <c r="J1120" t="s">
        <v>145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ref="S1120:T1127" si="626">"14:51:52.773"</f>
        <v>14:51:52.773</v>
      </c>
      <c r="T1120" t="str">
        <f t="shared" si="626"/>
        <v>14:51:52.773</v>
      </c>
      <c r="U1120" t="str">
        <f t="shared" si="611"/>
        <v>ACC530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1</v>
      </c>
      <c r="AH1120">
        <v>0</v>
      </c>
      <c r="AI1120" t="s">
        <v>487</v>
      </c>
      <c r="AJ1120">
        <v>34.212798999999997</v>
      </c>
      <c r="AK1120" t="s">
        <v>488</v>
      </c>
      <c r="AL1120">
        <v>-116.949077</v>
      </c>
      <c r="AM1120">
        <v>100</v>
      </c>
      <c r="AN1120">
        <v>9100</v>
      </c>
      <c r="AO1120" t="s">
        <v>118</v>
      </c>
      <c r="AP1120">
        <v>-103</v>
      </c>
      <c r="AQ1120">
        <v>-63</v>
      </c>
      <c r="AR1120">
        <v>-384</v>
      </c>
      <c r="AZ1120">
        <v>1200</v>
      </c>
      <c r="BA1120">
        <v>1</v>
      </c>
      <c r="BB1120" t="str">
        <f t="shared" si="612"/>
        <v xml:space="preserve">N9217B  </v>
      </c>
      <c r="BC1120">
        <v>1</v>
      </c>
      <c r="BE1120">
        <v>0</v>
      </c>
      <c r="BF1120">
        <v>0</v>
      </c>
      <c r="BG1120">
        <v>0</v>
      </c>
      <c r="BH1120">
        <v>9150</v>
      </c>
      <c r="BI1120">
        <v>1</v>
      </c>
      <c r="BJ1120">
        <v>0</v>
      </c>
      <c r="BK1120">
        <v>0</v>
      </c>
      <c r="BL1120">
        <v>0</v>
      </c>
      <c r="BO1120">
        <v>0</v>
      </c>
      <c r="BP1120">
        <v>0</v>
      </c>
      <c r="BW1120" t="str">
        <f t="shared" ref="BW1120:BW1127" si="627">"14:51:52.776"</f>
        <v>14:51:52.776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293</v>
      </c>
      <c r="CR1120">
        <v>1</v>
      </c>
      <c r="CW1120">
        <v>15281998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25">
      <c r="A1121" t="str">
        <f t="shared" si="625"/>
        <v>06/05/2020 14:51:47.109</v>
      </c>
      <c r="C1121" t="str">
        <f t="shared" si="595"/>
        <v>FFDFD3C0</v>
      </c>
      <c r="D1121" t="s">
        <v>141</v>
      </c>
      <c r="E1121">
        <v>20</v>
      </c>
      <c r="F1121">
        <v>1020</v>
      </c>
      <c r="G1121" t="s">
        <v>114</v>
      </c>
      <c r="J1121" t="s">
        <v>142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626"/>
        <v>14:51:52.773</v>
      </c>
      <c r="T1121" t="str">
        <f t="shared" si="626"/>
        <v>14:51:52.773</v>
      </c>
      <c r="U1121" t="str">
        <f t="shared" si="611"/>
        <v>ACC530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1</v>
      </c>
      <c r="AH1121">
        <v>0</v>
      </c>
      <c r="AI1121" t="s">
        <v>487</v>
      </c>
      <c r="AJ1121">
        <v>34.212798999999997</v>
      </c>
      <c r="AK1121" t="s">
        <v>488</v>
      </c>
      <c r="AL1121">
        <v>-116.949077</v>
      </c>
      <c r="AM1121">
        <v>100</v>
      </c>
      <c r="AN1121">
        <v>9100</v>
      </c>
      <c r="AO1121" t="s">
        <v>118</v>
      </c>
      <c r="AP1121">
        <v>-103</v>
      </c>
      <c r="AQ1121">
        <v>-63</v>
      </c>
      <c r="AR1121">
        <v>-384</v>
      </c>
      <c r="AZ1121">
        <v>1200</v>
      </c>
      <c r="BA1121">
        <v>1</v>
      </c>
      <c r="BB1121" t="str">
        <f t="shared" si="612"/>
        <v xml:space="preserve">N9217B  </v>
      </c>
      <c r="BC1121">
        <v>1</v>
      </c>
      <c r="BE1121">
        <v>0</v>
      </c>
      <c r="BF1121">
        <v>0</v>
      </c>
      <c r="BG1121">
        <v>0</v>
      </c>
      <c r="BH1121">
        <v>9150</v>
      </c>
      <c r="BI1121">
        <v>1</v>
      </c>
      <c r="BJ1121">
        <v>0</v>
      </c>
      <c r="BK1121">
        <v>0</v>
      </c>
      <c r="BL1121">
        <v>0</v>
      </c>
      <c r="BO1121">
        <v>0</v>
      </c>
      <c r="BP1121">
        <v>0</v>
      </c>
      <c r="BW1121" t="str">
        <f t="shared" si="627"/>
        <v>14:51:52.776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293</v>
      </c>
      <c r="CR1121">
        <v>1</v>
      </c>
      <c r="CW1121">
        <v>15281998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25">
      <c r="A1122" t="str">
        <f t="shared" si="625"/>
        <v>06/05/2020 14:51:47.109</v>
      </c>
      <c r="C1122" t="str">
        <f t="shared" si="595"/>
        <v>FFDFD3C0</v>
      </c>
      <c r="D1122" t="s">
        <v>148</v>
      </c>
      <c r="E1122">
        <v>11</v>
      </c>
      <c r="H1122">
        <v>53</v>
      </c>
      <c r="I1122" t="s">
        <v>364</v>
      </c>
      <c r="J1122" t="s">
        <v>150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626"/>
        <v>14:51:52.773</v>
      </c>
      <c r="T1122" t="str">
        <f t="shared" si="626"/>
        <v>14:51:52.773</v>
      </c>
      <c r="U1122" t="str">
        <f t="shared" si="611"/>
        <v>ACC530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1</v>
      </c>
      <c r="AH1122">
        <v>0</v>
      </c>
      <c r="AI1122" t="s">
        <v>487</v>
      </c>
      <c r="AJ1122">
        <v>34.212798999999997</v>
      </c>
      <c r="AK1122" t="s">
        <v>488</v>
      </c>
      <c r="AL1122">
        <v>-116.949077</v>
      </c>
      <c r="AM1122">
        <v>100</v>
      </c>
      <c r="AN1122">
        <v>9100</v>
      </c>
      <c r="AO1122" t="s">
        <v>118</v>
      </c>
      <c r="AP1122">
        <v>-103</v>
      </c>
      <c r="AQ1122">
        <v>-63</v>
      </c>
      <c r="AR1122">
        <v>-384</v>
      </c>
      <c r="AZ1122">
        <v>1200</v>
      </c>
      <c r="BA1122">
        <v>1</v>
      </c>
      <c r="BB1122" t="str">
        <f t="shared" si="612"/>
        <v xml:space="preserve">N9217B  </v>
      </c>
      <c r="BC1122">
        <v>1</v>
      </c>
      <c r="BE1122">
        <v>0</v>
      </c>
      <c r="BF1122">
        <v>0</v>
      </c>
      <c r="BG1122">
        <v>0</v>
      </c>
      <c r="BH1122">
        <v>9150</v>
      </c>
      <c r="BI1122">
        <v>1</v>
      </c>
      <c r="BJ1122">
        <v>0</v>
      </c>
      <c r="BK1122">
        <v>0</v>
      </c>
      <c r="BL1122">
        <v>0</v>
      </c>
      <c r="BO1122">
        <v>0</v>
      </c>
      <c r="BP1122">
        <v>0</v>
      </c>
      <c r="BW1122" t="str">
        <f t="shared" si="627"/>
        <v>14:51:52.776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293</v>
      </c>
      <c r="CR1122">
        <v>1</v>
      </c>
      <c r="CW1122">
        <v>15281998</v>
      </c>
      <c r="CY1122">
        <v>0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25">
      <c r="A1123" t="str">
        <f t="shared" si="625"/>
        <v>06/05/2020 14:51:47.109</v>
      </c>
      <c r="C1123" t="str">
        <f t="shared" ref="C1123:C1186" si="628">"FFDFD3C0"</f>
        <v>FFDFD3C0</v>
      </c>
      <c r="D1123" t="s">
        <v>148</v>
      </c>
      <c r="E1123">
        <v>8</v>
      </c>
      <c r="H1123">
        <v>50</v>
      </c>
      <c r="I1123" t="s">
        <v>149</v>
      </c>
      <c r="J1123" t="s">
        <v>150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626"/>
        <v>14:51:52.773</v>
      </c>
      <c r="T1123" t="str">
        <f t="shared" si="626"/>
        <v>14:51:52.773</v>
      </c>
      <c r="U1123" t="str">
        <f t="shared" si="611"/>
        <v>ACC530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1</v>
      </c>
      <c r="AH1123">
        <v>0</v>
      </c>
      <c r="AI1123" t="s">
        <v>487</v>
      </c>
      <c r="AJ1123">
        <v>34.212798999999997</v>
      </c>
      <c r="AK1123" t="s">
        <v>488</v>
      </c>
      <c r="AL1123">
        <v>-116.949077</v>
      </c>
      <c r="AM1123">
        <v>100</v>
      </c>
      <c r="AN1123">
        <v>9100</v>
      </c>
      <c r="AO1123" t="s">
        <v>118</v>
      </c>
      <c r="AP1123">
        <v>-103</v>
      </c>
      <c r="AQ1123">
        <v>-63</v>
      </c>
      <c r="AR1123">
        <v>-384</v>
      </c>
      <c r="AZ1123">
        <v>1200</v>
      </c>
      <c r="BA1123">
        <v>1</v>
      </c>
      <c r="BB1123" t="str">
        <f t="shared" si="612"/>
        <v xml:space="preserve">N9217B  </v>
      </c>
      <c r="BC1123">
        <v>1</v>
      </c>
      <c r="BE1123">
        <v>0</v>
      </c>
      <c r="BF1123">
        <v>0</v>
      </c>
      <c r="BG1123">
        <v>0</v>
      </c>
      <c r="BH1123">
        <v>9150</v>
      </c>
      <c r="BI1123">
        <v>1</v>
      </c>
      <c r="BJ1123">
        <v>0</v>
      </c>
      <c r="BK1123">
        <v>0</v>
      </c>
      <c r="BL1123">
        <v>0</v>
      </c>
      <c r="BO1123">
        <v>0</v>
      </c>
      <c r="BP1123">
        <v>0</v>
      </c>
      <c r="BW1123" t="str">
        <f t="shared" si="627"/>
        <v>14:51:52.776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293</v>
      </c>
      <c r="CR1123">
        <v>1</v>
      </c>
      <c r="CW1123">
        <v>15281998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25">
      <c r="A1124" t="str">
        <f t="shared" si="625"/>
        <v>06/05/2020 14:51:47.109</v>
      </c>
      <c r="C1124" t="str">
        <f t="shared" si="628"/>
        <v>FFDFD3C0</v>
      </c>
      <c r="D1124" t="s">
        <v>151</v>
      </c>
      <c r="E1124">
        <v>8</v>
      </c>
      <c r="H1124">
        <v>225</v>
      </c>
      <c r="I1124" t="s">
        <v>353</v>
      </c>
      <c r="J1124" t="s">
        <v>150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626"/>
        <v>14:51:52.773</v>
      </c>
      <c r="T1124" t="str">
        <f t="shared" si="626"/>
        <v>14:51:52.773</v>
      </c>
      <c r="U1124" t="str">
        <f t="shared" si="611"/>
        <v>ACC530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1</v>
      </c>
      <c r="AH1124">
        <v>0</v>
      </c>
      <c r="AI1124" t="s">
        <v>487</v>
      </c>
      <c r="AJ1124">
        <v>34.212798999999997</v>
      </c>
      <c r="AK1124" t="s">
        <v>488</v>
      </c>
      <c r="AL1124">
        <v>-116.949077</v>
      </c>
      <c r="AM1124">
        <v>100</v>
      </c>
      <c r="AN1124">
        <v>9100</v>
      </c>
      <c r="AO1124" t="s">
        <v>118</v>
      </c>
      <c r="AP1124">
        <v>-103</v>
      </c>
      <c r="AQ1124">
        <v>-63</v>
      </c>
      <c r="AR1124">
        <v>-384</v>
      </c>
      <c r="AZ1124">
        <v>1200</v>
      </c>
      <c r="BA1124">
        <v>1</v>
      </c>
      <c r="BB1124" t="str">
        <f t="shared" si="612"/>
        <v xml:space="preserve">N9217B  </v>
      </c>
      <c r="BC1124">
        <v>1</v>
      </c>
      <c r="BE1124">
        <v>0</v>
      </c>
      <c r="BF1124">
        <v>0</v>
      </c>
      <c r="BG1124">
        <v>0</v>
      </c>
      <c r="BH1124">
        <v>9150</v>
      </c>
      <c r="BI1124">
        <v>1</v>
      </c>
      <c r="BJ1124">
        <v>0</v>
      </c>
      <c r="BK1124">
        <v>0</v>
      </c>
      <c r="BL1124">
        <v>0</v>
      </c>
      <c r="BO1124">
        <v>0</v>
      </c>
      <c r="BP1124">
        <v>0</v>
      </c>
      <c r="BW1124" t="str">
        <f t="shared" si="627"/>
        <v>14:51:52.776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285</v>
      </c>
      <c r="CR1124">
        <v>0</v>
      </c>
      <c r="CW1124">
        <v>8849146</v>
      </c>
      <c r="CY1124">
        <v>0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25">
      <c r="A1125" t="str">
        <f t="shared" si="625"/>
        <v>06/05/2020 14:51:47.109</v>
      </c>
      <c r="C1125" t="str">
        <f t="shared" si="628"/>
        <v>FFDFD3C0</v>
      </c>
      <c r="D1125" t="s">
        <v>134</v>
      </c>
      <c r="E1125">
        <v>7</v>
      </c>
      <c r="F1125">
        <v>2007</v>
      </c>
      <c r="G1125" t="s">
        <v>135</v>
      </c>
      <c r="J1125" t="s">
        <v>136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626"/>
        <v>14:51:52.773</v>
      </c>
      <c r="T1125" t="str">
        <f t="shared" si="626"/>
        <v>14:51:52.773</v>
      </c>
      <c r="U1125" t="str">
        <f t="shared" si="611"/>
        <v>ACC530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1</v>
      </c>
      <c r="AH1125">
        <v>0</v>
      </c>
      <c r="AI1125" t="s">
        <v>487</v>
      </c>
      <c r="AJ1125">
        <v>34.212798999999997</v>
      </c>
      <c r="AK1125" t="s">
        <v>488</v>
      </c>
      <c r="AL1125">
        <v>-116.949077</v>
      </c>
      <c r="AM1125">
        <v>100</v>
      </c>
      <c r="AN1125">
        <v>9100</v>
      </c>
      <c r="AO1125" t="s">
        <v>118</v>
      </c>
      <c r="AP1125">
        <v>-103</v>
      </c>
      <c r="AQ1125">
        <v>-63</v>
      </c>
      <c r="AR1125">
        <v>-384</v>
      </c>
      <c r="AZ1125">
        <v>1200</v>
      </c>
      <c r="BA1125">
        <v>1</v>
      </c>
      <c r="BB1125" t="str">
        <f t="shared" si="612"/>
        <v xml:space="preserve">N9217B  </v>
      </c>
      <c r="BC1125">
        <v>1</v>
      </c>
      <c r="BE1125">
        <v>0</v>
      </c>
      <c r="BF1125">
        <v>0</v>
      </c>
      <c r="BG1125">
        <v>0</v>
      </c>
      <c r="BH1125">
        <v>9150</v>
      </c>
      <c r="BI1125">
        <v>1</v>
      </c>
      <c r="BJ1125">
        <v>0</v>
      </c>
      <c r="BK1125">
        <v>0</v>
      </c>
      <c r="BL1125">
        <v>0</v>
      </c>
      <c r="BO1125">
        <v>0</v>
      </c>
      <c r="BP1125">
        <v>0</v>
      </c>
      <c r="BW1125" t="str">
        <f t="shared" si="627"/>
        <v>14:51:52.776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293</v>
      </c>
      <c r="CR1125">
        <v>1</v>
      </c>
      <c r="CW1125">
        <v>15281998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25">
      <c r="A1126" t="str">
        <f t="shared" si="625"/>
        <v>06/05/2020 14:51:47.109</v>
      </c>
      <c r="C1126" t="str">
        <f t="shared" si="628"/>
        <v>FFDFD3C0</v>
      </c>
      <c r="D1126" t="s">
        <v>151</v>
      </c>
      <c r="E1126">
        <v>9</v>
      </c>
      <c r="H1126">
        <v>226</v>
      </c>
      <c r="I1126" t="s">
        <v>152</v>
      </c>
      <c r="J1126" t="s">
        <v>150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626"/>
        <v>14:51:52.773</v>
      </c>
      <c r="T1126" t="str">
        <f t="shared" si="626"/>
        <v>14:51:52.773</v>
      </c>
      <c r="U1126" t="str">
        <f t="shared" si="611"/>
        <v>ACC530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1</v>
      </c>
      <c r="AH1126">
        <v>0</v>
      </c>
      <c r="AI1126" t="s">
        <v>487</v>
      </c>
      <c r="AJ1126">
        <v>34.212798999999997</v>
      </c>
      <c r="AK1126" t="s">
        <v>488</v>
      </c>
      <c r="AL1126">
        <v>-116.949077</v>
      </c>
      <c r="AM1126">
        <v>100</v>
      </c>
      <c r="AN1126">
        <v>9100</v>
      </c>
      <c r="AO1126" t="s">
        <v>118</v>
      </c>
      <c r="AP1126">
        <v>-103</v>
      </c>
      <c r="AQ1126">
        <v>-63</v>
      </c>
      <c r="AR1126">
        <v>-384</v>
      </c>
      <c r="AZ1126">
        <v>1200</v>
      </c>
      <c r="BA1126">
        <v>1</v>
      </c>
      <c r="BB1126" t="str">
        <f t="shared" si="612"/>
        <v xml:space="preserve">N9217B  </v>
      </c>
      <c r="BC1126">
        <v>1</v>
      </c>
      <c r="BE1126">
        <v>0</v>
      </c>
      <c r="BF1126">
        <v>0</v>
      </c>
      <c r="BG1126">
        <v>0</v>
      </c>
      <c r="BH1126">
        <v>9150</v>
      </c>
      <c r="BI1126">
        <v>1</v>
      </c>
      <c r="BJ1126">
        <v>0</v>
      </c>
      <c r="BK1126">
        <v>0</v>
      </c>
      <c r="BL1126">
        <v>0</v>
      </c>
      <c r="BO1126">
        <v>0</v>
      </c>
      <c r="BP1126">
        <v>0</v>
      </c>
      <c r="BW1126" t="str">
        <f t="shared" si="627"/>
        <v>14:51:52.776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293</v>
      </c>
      <c r="CR1126">
        <v>1</v>
      </c>
      <c r="CW1126">
        <v>15281998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25">
      <c r="A1127" t="str">
        <f t="shared" si="625"/>
        <v>06/05/2020 14:51:47.109</v>
      </c>
      <c r="C1127" t="str">
        <f t="shared" si="628"/>
        <v>FFDFD3C0</v>
      </c>
      <c r="D1127" t="s">
        <v>113</v>
      </c>
      <c r="E1127">
        <v>3</v>
      </c>
      <c r="H1127">
        <v>166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626"/>
        <v>14:51:52.773</v>
      </c>
      <c r="T1127" t="str">
        <f t="shared" si="626"/>
        <v>14:51:52.773</v>
      </c>
      <c r="U1127" t="str">
        <f t="shared" si="611"/>
        <v>ACC530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1</v>
      </c>
      <c r="AH1127">
        <v>0</v>
      </c>
      <c r="AI1127" t="s">
        <v>487</v>
      </c>
      <c r="AJ1127">
        <v>34.212798999999997</v>
      </c>
      <c r="AK1127" t="s">
        <v>488</v>
      </c>
      <c r="AL1127">
        <v>-116.949077</v>
      </c>
      <c r="AM1127">
        <v>100</v>
      </c>
      <c r="AN1127">
        <v>9100</v>
      </c>
      <c r="AO1127" t="s">
        <v>118</v>
      </c>
      <c r="AP1127">
        <v>-103</v>
      </c>
      <c r="AQ1127">
        <v>-63</v>
      </c>
      <c r="AR1127">
        <v>-384</v>
      </c>
      <c r="AZ1127">
        <v>1200</v>
      </c>
      <c r="BA1127">
        <v>1</v>
      </c>
      <c r="BB1127" t="str">
        <f t="shared" si="612"/>
        <v xml:space="preserve">N9217B  </v>
      </c>
      <c r="BC1127">
        <v>1</v>
      </c>
      <c r="BE1127">
        <v>0</v>
      </c>
      <c r="BF1127">
        <v>0</v>
      </c>
      <c r="BG1127">
        <v>0</v>
      </c>
      <c r="BH1127">
        <v>9150</v>
      </c>
      <c r="BI1127">
        <v>1</v>
      </c>
      <c r="BJ1127">
        <v>0</v>
      </c>
      <c r="BK1127">
        <v>0</v>
      </c>
      <c r="BL1127">
        <v>0</v>
      </c>
      <c r="BO1127">
        <v>0</v>
      </c>
      <c r="BP1127">
        <v>0</v>
      </c>
      <c r="BW1127" t="str">
        <f t="shared" si="627"/>
        <v>14:51:52.776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293</v>
      </c>
      <c r="CR1127">
        <v>1</v>
      </c>
      <c r="CW1127">
        <v>15281998</v>
      </c>
      <c r="CY1127">
        <v>0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25">
      <c r="A1128" t="str">
        <f t="shared" ref="A1128:A1135" si="629">"06/05/2020 14:51:48.156"</f>
        <v>06/05/2020 14:51:48.156</v>
      </c>
      <c r="C1128" t="str">
        <f t="shared" si="628"/>
        <v>FFDFD3C0</v>
      </c>
      <c r="D1128" t="s">
        <v>134</v>
      </c>
      <c r="E1128">
        <v>7</v>
      </c>
      <c r="F1128">
        <v>2007</v>
      </c>
      <c r="G1128" t="s">
        <v>135</v>
      </c>
      <c r="J1128" t="s">
        <v>136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ref="S1128:T1135" si="630">"14:51:53.805"</f>
        <v>14:51:53.805</v>
      </c>
      <c r="T1128" t="str">
        <f t="shared" si="630"/>
        <v>14:51:53.805</v>
      </c>
      <c r="U1128" t="str">
        <f t="shared" si="611"/>
        <v>ACC530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1</v>
      </c>
      <c r="AH1128">
        <v>0</v>
      </c>
      <c r="AI1128" t="s">
        <v>489</v>
      </c>
      <c r="AJ1128">
        <v>34.212499000000001</v>
      </c>
      <c r="AK1128" t="s">
        <v>490</v>
      </c>
      <c r="AL1128">
        <v>-116.949699</v>
      </c>
      <c r="AM1128">
        <v>100</v>
      </c>
      <c r="AN1128">
        <v>9100</v>
      </c>
      <c r="AO1128" t="s">
        <v>118</v>
      </c>
      <c r="AP1128">
        <v>-103</v>
      </c>
      <c r="AQ1128">
        <v>-65</v>
      </c>
      <c r="AR1128">
        <v>-576</v>
      </c>
      <c r="AZ1128">
        <v>1200</v>
      </c>
      <c r="BA1128">
        <v>1</v>
      </c>
      <c r="BB1128" t="str">
        <f t="shared" si="612"/>
        <v xml:space="preserve">N9217B  </v>
      </c>
      <c r="BC1128">
        <v>1</v>
      </c>
      <c r="BE1128">
        <v>0</v>
      </c>
      <c r="BF1128">
        <v>0</v>
      </c>
      <c r="BG1128">
        <v>0</v>
      </c>
      <c r="BH1128">
        <v>9150</v>
      </c>
      <c r="BI1128">
        <v>1</v>
      </c>
      <c r="BJ1128">
        <v>0</v>
      </c>
      <c r="BK1128">
        <v>0</v>
      </c>
      <c r="BL1128">
        <v>0</v>
      </c>
      <c r="BO1128">
        <v>0</v>
      </c>
      <c r="BP1128">
        <v>0</v>
      </c>
      <c r="BW1128" t="str">
        <f t="shared" ref="BW1128:BW1135" si="631">"14:51:53.811"</f>
        <v>14:51:53.811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293</v>
      </c>
      <c r="CR1128">
        <v>1</v>
      </c>
      <c r="CW1128">
        <v>15282113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25">
      <c r="A1129" t="str">
        <f t="shared" si="629"/>
        <v>06/05/2020 14:51:48.156</v>
      </c>
      <c r="C1129" t="str">
        <f t="shared" si="628"/>
        <v>FFDFD3C0</v>
      </c>
      <c r="D1129" t="s">
        <v>148</v>
      </c>
      <c r="E1129">
        <v>8</v>
      </c>
      <c r="H1129">
        <v>50</v>
      </c>
      <c r="I1129" t="s">
        <v>149</v>
      </c>
      <c r="J1129" t="s">
        <v>150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630"/>
        <v>14:51:53.805</v>
      </c>
      <c r="T1129" t="str">
        <f t="shared" si="630"/>
        <v>14:51:53.805</v>
      </c>
      <c r="U1129" t="str">
        <f t="shared" si="611"/>
        <v>ACC530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1</v>
      </c>
      <c r="AH1129">
        <v>0</v>
      </c>
      <c r="AI1129" t="s">
        <v>489</v>
      </c>
      <c r="AJ1129">
        <v>34.212499000000001</v>
      </c>
      <c r="AK1129" t="s">
        <v>490</v>
      </c>
      <c r="AL1129">
        <v>-116.949699</v>
      </c>
      <c r="AM1129">
        <v>100</v>
      </c>
      <c r="AN1129">
        <v>9100</v>
      </c>
      <c r="AO1129" t="s">
        <v>118</v>
      </c>
      <c r="AP1129">
        <v>-103</v>
      </c>
      <c r="AQ1129">
        <v>-65</v>
      </c>
      <c r="AR1129">
        <v>-576</v>
      </c>
      <c r="AZ1129">
        <v>1200</v>
      </c>
      <c r="BA1129">
        <v>1</v>
      </c>
      <c r="BB1129" t="str">
        <f t="shared" si="612"/>
        <v xml:space="preserve">N9217B  </v>
      </c>
      <c r="BC1129">
        <v>1</v>
      </c>
      <c r="BE1129">
        <v>0</v>
      </c>
      <c r="BF1129">
        <v>0</v>
      </c>
      <c r="BG1129">
        <v>0</v>
      </c>
      <c r="BH1129">
        <v>9150</v>
      </c>
      <c r="BI1129">
        <v>1</v>
      </c>
      <c r="BJ1129">
        <v>0</v>
      </c>
      <c r="BK1129">
        <v>0</v>
      </c>
      <c r="BL1129">
        <v>0</v>
      </c>
      <c r="BO1129">
        <v>0</v>
      </c>
      <c r="BP1129">
        <v>0</v>
      </c>
      <c r="BW1129" t="str">
        <f t="shared" si="631"/>
        <v>14:51:53.811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293</v>
      </c>
      <c r="CR1129">
        <v>1</v>
      </c>
      <c r="CW1129">
        <v>15282113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25">
      <c r="A1130" t="str">
        <f t="shared" si="629"/>
        <v>06/05/2020 14:51:48.156</v>
      </c>
      <c r="C1130" t="str">
        <f t="shared" si="628"/>
        <v>FFDFD3C0</v>
      </c>
      <c r="D1130" t="s">
        <v>151</v>
      </c>
      <c r="E1130">
        <v>8</v>
      </c>
      <c r="H1130">
        <v>225</v>
      </c>
      <c r="I1130" t="s">
        <v>353</v>
      </c>
      <c r="J1130" t="s">
        <v>150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630"/>
        <v>14:51:53.805</v>
      </c>
      <c r="T1130" t="str">
        <f t="shared" si="630"/>
        <v>14:51:53.805</v>
      </c>
      <c r="U1130" t="str">
        <f t="shared" si="611"/>
        <v>ACC530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1</v>
      </c>
      <c r="AH1130">
        <v>0</v>
      </c>
      <c r="AI1130" t="s">
        <v>489</v>
      </c>
      <c r="AJ1130">
        <v>34.212499000000001</v>
      </c>
      <c r="AK1130" t="s">
        <v>490</v>
      </c>
      <c r="AL1130">
        <v>-116.949699</v>
      </c>
      <c r="AM1130">
        <v>100</v>
      </c>
      <c r="AN1130">
        <v>9100</v>
      </c>
      <c r="AO1130" t="s">
        <v>118</v>
      </c>
      <c r="AP1130">
        <v>-103</v>
      </c>
      <c r="AQ1130">
        <v>-65</v>
      </c>
      <c r="AR1130">
        <v>-576</v>
      </c>
      <c r="AZ1130">
        <v>1200</v>
      </c>
      <c r="BA1130">
        <v>1</v>
      </c>
      <c r="BB1130" t="str">
        <f t="shared" si="612"/>
        <v xml:space="preserve">N9217B  </v>
      </c>
      <c r="BC1130">
        <v>1</v>
      </c>
      <c r="BE1130">
        <v>0</v>
      </c>
      <c r="BF1130">
        <v>0</v>
      </c>
      <c r="BG1130">
        <v>0</v>
      </c>
      <c r="BH1130">
        <v>9150</v>
      </c>
      <c r="BI1130">
        <v>1</v>
      </c>
      <c r="BJ1130">
        <v>0</v>
      </c>
      <c r="BK1130">
        <v>0</v>
      </c>
      <c r="BL1130">
        <v>0</v>
      </c>
      <c r="BO1130">
        <v>0</v>
      </c>
      <c r="BP1130">
        <v>0</v>
      </c>
      <c r="BW1130" t="str">
        <f t="shared" si="631"/>
        <v>14:51:53.811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6</v>
      </c>
      <c r="CP1130" t="s">
        <v>119</v>
      </c>
      <c r="CQ1130">
        <v>285</v>
      </c>
      <c r="CR1130">
        <v>0</v>
      </c>
      <c r="CW1130">
        <v>8849239</v>
      </c>
      <c r="CY1130">
        <v>0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25">
      <c r="A1131" t="str">
        <f t="shared" si="629"/>
        <v>06/05/2020 14:51:48.156</v>
      </c>
      <c r="C1131" t="str">
        <f t="shared" si="628"/>
        <v>FFDFD3C0</v>
      </c>
      <c r="D1131" t="s">
        <v>151</v>
      </c>
      <c r="E1131">
        <v>9</v>
      </c>
      <c r="H1131">
        <v>226</v>
      </c>
      <c r="I1131" t="s">
        <v>152</v>
      </c>
      <c r="J1131" t="s">
        <v>150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630"/>
        <v>14:51:53.805</v>
      </c>
      <c r="T1131" t="str">
        <f t="shared" si="630"/>
        <v>14:51:53.805</v>
      </c>
      <c r="U1131" t="str">
        <f t="shared" si="611"/>
        <v>ACC530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1</v>
      </c>
      <c r="AH1131">
        <v>0</v>
      </c>
      <c r="AI1131" t="s">
        <v>489</v>
      </c>
      <c r="AJ1131">
        <v>34.212499000000001</v>
      </c>
      <c r="AK1131" t="s">
        <v>490</v>
      </c>
      <c r="AL1131">
        <v>-116.949699</v>
      </c>
      <c r="AM1131">
        <v>100</v>
      </c>
      <c r="AN1131">
        <v>9100</v>
      </c>
      <c r="AO1131" t="s">
        <v>118</v>
      </c>
      <c r="AP1131">
        <v>-103</v>
      </c>
      <c r="AQ1131">
        <v>-65</v>
      </c>
      <c r="AR1131">
        <v>-576</v>
      </c>
      <c r="AZ1131">
        <v>1200</v>
      </c>
      <c r="BA1131">
        <v>1</v>
      </c>
      <c r="BB1131" t="str">
        <f t="shared" si="612"/>
        <v xml:space="preserve">N9217B  </v>
      </c>
      <c r="BC1131">
        <v>1</v>
      </c>
      <c r="BE1131">
        <v>0</v>
      </c>
      <c r="BF1131">
        <v>0</v>
      </c>
      <c r="BG1131">
        <v>0</v>
      </c>
      <c r="BH1131">
        <v>9150</v>
      </c>
      <c r="BI1131">
        <v>1</v>
      </c>
      <c r="BJ1131">
        <v>0</v>
      </c>
      <c r="BK1131">
        <v>0</v>
      </c>
      <c r="BL1131">
        <v>0</v>
      </c>
      <c r="BO1131">
        <v>0</v>
      </c>
      <c r="BP1131">
        <v>0</v>
      </c>
      <c r="BW1131" t="str">
        <f t="shared" si="631"/>
        <v>14:51:53.811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293</v>
      </c>
      <c r="CR1131">
        <v>1</v>
      </c>
      <c r="CW1131">
        <v>15282113</v>
      </c>
      <c r="CY1131">
        <v>0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25">
      <c r="A1132" t="str">
        <f t="shared" si="629"/>
        <v>06/05/2020 14:51:48.156</v>
      </c>
      <c r="C1132" t="str">
        <f t="shared" si="628"/>
        <v>FFDFD3C0</v>
      </c>
      <c r="D1132" t="s">
        <v>143</v>
      </c>
      <c r="E1132">
        <v>10</v>
      </c>
      <c r="F1132">
        <v>3010</v>
      </c>
      <c r="G1132" t="s">
        <v>144</v>
      </c>
      <c r="J1132" t="s">
        <v>145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630"/>
        <v>14:51:53.805</v>
      </c>
      <c r="T1132" t="str">
        <f t="shared" si="630"/>
        <v>14:51:53.805</v>
      </c>
      <c r="U1132" t="str">
        <f t="shared" si="611"/>
        <v>ACC530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1</v>
      </c>
      <c r="AH1132">
        <v>0</v>
      </c>
      <c r="AI1132" t="s">
        <v>489</v>
      </c>
      <c r="AJ1132">
        <v>34.212499000000001</v>
      </c>
      <c r="AK1132" t="s">
        <v>490</v>
      </c>
      <c r="AL1132">
        <v>-116.949699</v>
      </c>
      <c r="AM1132">
        <v>100</v>
      </c>
      <c r="AN1132">
        <v>9100</v>
      </c>
      <c r="AO1132" t="s">
        <v>118</v>
      </c>
      <c r="AP1132">
        <v>-103</v>
      </c>
      <c r="AQ1132">
        <v>-65</v>
      </c>
      <c r="AR1132">
        <v>-576</v>
      </c>
      <c r="AZ1132">
        <v>1200</v>
      </c>
      <c r="BA1132">
        <v>1</v>
      </c>
      <c r="BB1132" t="str">
        <f t="shared" si="612"/>
        <v xml:space="preserve">N9217B  </v>
      </c>
      <c r="BC1132">
        <v>1</v>
      </c>
      <c r="BE1132">
        <v>0</v>
      </c>
      <c r="BF1132">
        <v>0</v>
      </c>
      <c r="BG1132">
        <v>0</v>
      </c>
      <c r="BH1132">
        <v>9150</v>
      </c>
      <c r="BI1132">
        <v>1</v>
      </c>
      <c r="BJ1132">
        <v>0</v>
      </c>
      <c r="BK1132">
        <v>0</v>
      </c>
      <c r="BL1132">
        <v>0</v>
      </c>
      <c r="BO1132">
        <v>0</v>
      </c>
      <c r="BP1132">
        <v>0</v>
      </c>
      <c r="BW1132" t="str">
        <f t="shared" si="631"/>
        <v>14:51:53.811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293</v>
      </c>
      <c r="CR1132">
        <v>1</v>
      </c>
      <c r="CW1132">
        <v>15282113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25">
      <c r="A1133" t="str">
        <f t="shared" si="629"/>
        <v>06/05/2020 14:51:48.156</v>
      </c>
      <c r="C1133" t="str">
        <f t="shared" si="628"/>
        <v>FFDFD3C0</v>
      </c>
      <c r="D1133" t="s">
        <v>141</v>
      </c>
      <c r="E1133">
        <v>20</v>
      </c>
      <c r="F1133">
        <v>1020</v>
      </c>
      <c r="G1133" t="s">
        <v>114</v>
      </c>
      <c r="J1133" t="s">
        <v>142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630"/>
        <v>14:51:53.805</v>
      </c>
      <c r="T1133" t="str">
        <f t="shared" si="630"/>
        <v>14:51:53.805</v>
      </c>
      <c r="U1133" t="str">
        <f t="shared" si="611"/>
        <v>ACC530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1</v>
      </c>
      <c r="AH1133">
        <v>0</v>
      </c>
      <c r="AI1133" t="s">
        <v>489</v>
      </c>
      <c r="AJ1133">
        <v>34.212499000000001</v>
      </c>
      <c r="AK1133" t="s">
        <v>490</v>
      </c>
      <c r="AL1133">
        <v>-116.949699</v>
      </c>
      <c r="AM1133">
        <v>100</v>
      </c>
      <c r="AN1133">
        <v>9100</v>
      </c>
      <c r="AO1133" t="s">
        <v>118</v>
      </c>
      <c r="AP1133">
        <v>-103</v>
      </c>
      <c r="AQ1133">
        <v>-65</v>
      </c>
      <c r="AR1133">
        <v>-576</v>
      </c>
      <c r="AZ1133">
        <v>1200</v>
      </c>
      <c r="BA1133">
        <v>1</v>
      </c>
      <c r="BB1133" t="str">
        <f t="shared" si="612"/>
        <v xml:space="preserve">N9217B  </v>
      </c>
      <c r="BC1133">
        <v>1</v>
      </c>
      <c r="BE1133">
        <v>0</v>
      </c>
      <c r="BF1133">
        <v>0</v>
      </c>
      <c r="BG1133">
        <v>0</v>
      </c>
      <c r="BH1133">
        <v>9150</v>
      </c>
      <c r="BI1133">
        <v>1</v>
      </c>
      <c r="BJ1133">
        <v>0</v>
      </c>
      <c r="BK1133">
        <v>0</v>
      </c>
      <c r="BL1133">
        <v>0</v>
      </c>
      <c r="BO1133">
        <v>0</v>
      </c>
      <c r="BP1133">
        <v>0</v>
      </c>
      <c r="BW1133" t="str">
        <f t="shared" si="631"/>
        <v>14:51:53.811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293</v>
      </c>
      <c r="CR1133">
        <v>1</v>
      </c>
      <c r="CW1133">
        <v>15282113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25">
      <c r="A1134" t="str">
        <f t="shared" si="629"/>
        <v>06/05/2020 14:51:48.156</v>
      </c>
      <c r="C1134" t="str">
        <f t="shared" si="628"/>
        <v>FFDFD3C0</v>
      </c>
      <c r="D1134" t="s">
        <v>113</v>
      </c>
      <c r="E1134">
        <v>3</v>
      </c>
      <c r="H1134">
        <v>166</v>
      </c>
      <c r="I1134" t="s">
        <v>114</v>
      </c>
      <c r="J1134" t="s">
        <v>115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630"/>
        <v>14:51:53.805</v>
      </c>
      <c r="T1134" t="str">
        <f t="shared" si="630"/>
        <v>14:51:53.805</v>
      </c>
      <c r="U1134" t="str">
        <f t="shared" si="611"/>
        <v>ACC530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1</v>
      </c>
      <c r="AH1134">
        <v>0</v>
      </c>
      <c r="AI1134" t="s">
        <v>489</v>
      </c>
      <c r="AJ1134">
        <v>34.212499000000001</v>
      </c>
      <c r="AK1134" t="s">
        <v>490</v>
      </c>
      <c r="AL1134">
        <v>-116.949699</v>
      </c>
      <c r="AM1134">
        <v>100</v>
      </c>
      <c r="AN1134">
        <v>9100</v>
      </c>
      <c r="AO1134" t="s">
        <v>118</v>
      </c>
      <c r="AP1134">
        <v>-103</v>
      </c>
      <c r="AQ1134">
        <v>-65</v>
      </c>
      <c r="AR1134">
        <v>-576</v>
      </c>
      <c r="AZ1134">
        <v>1200</v>
      </c>
      <c r="BA1134">
        <v>1</v>
      </c>
      <c r="BB1134" t="str">
        <f t="shared" si="612"/>
        <v xml:space="preserve">N9217B  </v>
      </c>
      <c r="BC1134">
        <v>1</v>
      </c>
      <c r="BE1134">
        <v>0</v>
      </c>
      <c r="BF1134">
        <v>0</v>
      </c>
      <c r="BG1134">
        <v>0</v>
      </c>
      <c r="BH1134">
        <v>9150</v>
      </c>
      <c r="BI1134">
        <v>1</v>
      </c>
      <c r="BJ1134">
        <v>0</v>
      </c>
      <c r="BK1134">
        <v>0</v>
      </c>
      <c r="BL1134">
        <v>0</v>
      </c>
      <c r="BO1134">
        <v>0</v>
      </c>
      <c r="BP1134">
        <v>0</v>
      </c>
      <c r="BW1134" t="str">
        <f t="shared" si="631"/>
        <v>14:51:53.811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293</v>
      </c>
      <c r="CR1134">
        <v>1</v>
      </c>
      <c r="CW1134">
        <v>15282113</v>
      </c>
      <c r="CY1134">
        <v>0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25">
      <c r="A1135" t="str">
        <f t="shared" si="629"/>
        <v>06/05/2020 14:51:48.156</v>
      </c>
      <c r="C1135" t="str">
        <f t="shared" si="628"/>
        <v>FFDFD3C0</v>
      </c>
      <c r="D1135" t="s">
        <v>148</v>
      </c>
      <c r="E1135">
        <v>11</v>
      </c>
      <c r="H1135">
        <v>53</v>
      </c>
      <c r="I1135" t="s">
        <v>364</v>
      </c>
      <c r="J1135" t="s">
        <v>150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630"/>
        <v>14:51:53.805</v>
      </c>
      <c r="T1135" t="str">
        <f t="shared" si="630"/>
        <v>14:51:53.805</v>
      </c>
      <c r="U1135" t="str">
        <f t="shared" si="611"/>
        <v>ACC530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1</v>
      </c>
      <c r="AH1135">
        <v>0</v>
      </c>
      <c r="AI1135" t="s">
        <v>489</v>
      </c>
      <c r="AJ1135">
        <v>34.212499000000001</v>
      </c>
      <c r="AK1135" t="s">
        <v>490</v>
      </c>
      <c r="AL1135">
        <v>-116.949699</v>
      </c>
      <c r="AM1135">
        <v>100</v>
      </c>
      <c r="AN1135">
        <v>9100</v>
      </c>
      <c r="AO1135" t="s">
        <v>118</v>
      </c>
      <c r="AP1135">
        <v>-103</v>
      </c>
      <c r="AQ1135">
        <v>-65</v>
      </c>
      <c r="AR1135">
        <v>-576</v>
      </c>
      <c r="AZ1135">
        <v>1200</v>
      </c>
      <c r="BA1135">
        <v>1</v>
      </c>
      <c r="BB1135" t="str">
        <f t="shared" si="612"/>
        <v xml:space="preserve">N9217B  </v>
      </c>
      <c r="BC1135">
        <v>1</v>
      </c>
      <c r="BE1135">
        <v>0</v>
      </c>
      <c r="BF1135">
        <v>0</v>
      </c>
      <c r="BG1135">
        <v>0</v>
      </c>
      <c r="BH1135">
        <v>9150</v>
      </c>
      <c r="BI1135">
        <v>1</v>
      </c>
      <c r="BJ1135">
        <v>0</v>
      </c>
      <c r="BK1135">
        <v>0</v>
      </c>
      <c r="BL1135">
        <v>0</v>
      </c>
      <c r="BO1135">
        <v>0</v>
      </c>
      <c r="BP1135">
        <v>0</v>
      </c>
      <c r="BW1135" t="str">
        <f t="shared" si="631"/>
        <v>14:51:53.811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293</v>
      </c>
      <c r="CR1135">
        <v>1</v>
      </c>
      <c r="CW1135">
        <v>15282113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25">
      <c r="A1136" t="str">
        <f t="shared" ref="A1136:A1143" si="632">"06/05/2020 14:51:49.069"</f>
        <v>06/05/2020 14:51:49.069</v>
      </c>
      <c r="C1136" t="str">
        <f t="shared" si="628"/>
        <v>FFDFD3C0</v>
      </c>
      <c r="D1136" t="s">
        <v>148</v>
      </c>
      <c r="E1136">
        <v>8</v>
      </c>
      <c r="H1136">
        <v>50</v>
      </c>
      <c r="I1136" t="s">
        <v>149</v>
      </c>
      <c r="J1136" t="s">
        <v>150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ref="S1136:S1143" si="633">"14:51:54.719"</f>
        <v>14:51:54.719</v>
      </c>
      <c r="T1136" t="str">
        <f t="shared" ref="T1136:T1143" si="634">"14:51:54.419"</f>
        <v>14:51:54.419</v>
      </c>
      <c r="U1136" t="str">
        <f t="shared" si="611"/>
        <v>ACC530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1</v>
      </c>
      <c r="AH1136">
        <v>0</v>
      </c>
      <c r="AI1136" t="s">
        <v>491</v>
      </c>
      <c r="AJ1136">
        <v>34.212220000000002</v>
      </c>
      <c r="AK1136" t="s">
        <v>492</v>
      </c>
      <c r="AL1136">
        <v>-116.950214</v>
      </c>
      <c r="AM1136">
        <v>100</v>
      </c>
      <c r="AN1136">
        <v>9100</v>
      </c>
      <c r="AO1136" t="s">
        <v>118</v>
      </c>
      <c r="AP1136">
        <v>-103</v>
      </c>
      <c r="AQ1136">
        <v>-66</v>
      </c>
      <c r="AR1136">
        <v>-576</v>
      </c>
      <c r="AZ1136">
        <v>1200</v>
      </c>
      <c r="BA1136">
        <v>1</v>
      </c>
      <c r="BB1136" t="str">
        <f t="shared" si="612"/>
        <v xml:space="preserve">N9217B  </v>
      </c>
      <c r="BC1136">
        <v>1</v>
      </c>
      <c r="BE1136">
        <v>0</v>
      </c>
      <c r="BF1136">
        <v>0</v>
      </c>
      <c r="BG1136">
        <v>0</v>
      </c>
      <c r="BH1136">
        <v>9150</v>
      </c>
      <c r="BI1136">
        <v>1</v>
      </c>
      <c r="BJ1136">
        <v>0</v>
      </c>
      <c r="BK1136">
        <v>0</v>
      </c>
      <c r="BL1136">
        <v>0</v>
      </c>
      <c r="BO1136">
        <v>0</v>
      </c>
      <c r="BP1136">
        <v>0</v>
      </c>
      <c r="BW1136" t="str">
        <f t="shared" ref="BW1136:BW1143" si="635">"14:51:54.726"</f>
        <v>14:51:54.726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293</v>
      </c>
      <c r="CR1136">
        <v>1</v>
      </c>
      <c r="CW1136">
        <v>15282219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25">
      <c r="A1137" t="str">
        <f t="shared" si="632"/>
        <v>06/05/2020 14:51:49.069</v>
      </c>
      <c r="C1137" t="str">
        <f t="shared" si="628"/>
        <v>FFDFD3C0</v>
      </c>
      <c r="D1137" t="s">
        <v>143</v>
      </c>
      <c r="E1137">
        <v>10</v>
      </c>
      <c r="F1137">
        <v>3010</v>
      </c>
      <c r="G1137" t="s">
        <v>144</v>
      </c>
      <c r="J1137" t="s">
        <v>145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633"/>
        <v>14:51:54.719</v>
      </c>
      <c r="T1137" t="str">
        <f t="shared" si="634"/>
        <v>14:51:54.419</v>
      </c>
      <c r="U1137" t="str">
        <f t="shared" si="611"/>
        <v>ACC530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1</v>
      </c>
      <c r="AH1137">
        <v>0</v>
      </c>
      <c r="AI1137" t="s">
        <v>491</v>
      </c>
      <c r="AJ1137">
        <v>34.212220000000002</v>
      </c>
      <c r="AK1137" t="s">
        <v>492</v>
      </c>
      <c r="AL1137">
        <v>-116.950214</v>
      </c>
      <c r="AM1137">
        <v>100</v>
      </c>
      <c r="AN1137">
        <v>9100</v>
      </c>
      <c r="AO1137" t="s">
        <v>118</v>
      </c>
      <c r="AP1137">
        <v>-103</v>
      </c>
      <c r="AQ1137">
        <v>-66</v>
      </c>
      <c r="AR1137">
        <v>-576</v>
      </c>
      <c r="AZ1137">
        <v>1200</v>
      </c>
      <c r="BA1137">
        <v>1</v>
      </c>
      <c r="BB1137" t="str">
        <f t="shared" si="612"/>
        <v xml:space="preserve">N9217B  </v>
      </c>
      <c r="BC1137">
        <v>1</v>
      </c>
      <c r="BE1137">
        <v>0</v>
      </c>
      <c r="BF1137">
        <v>0</v>
      </c>
      <c r="BG1137">
        <v>0</v>
      </c>
      <c r="BH1137">
        <v>9150</v>
      </c>
      <c r="BI1137">
        <v>1</v>
      </c>
      <c r="BJ1137">
        <v>0</v>
      </c>
      <c r="BK1137">
        <v>0</v>
      </c>
      <c r="BL1137">
        <v>0</v>
      </c>
      <c r="BO1137">
        <v>0</v>
      </c>
      <c r="BP1137">
        <v>0</v>
      </c>
      <c r="BW1137" t="str">
        <f t="shared" si="635"/>
        <v>14:51:54.726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293</v>
      </c>
      <c r="CR1137">
        <v>1</v>
      </c>
      <c r="CW1137">
        <v>15282219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25">
      <c r="A1138" t="str">
        <f t="shared" si="632"/>
        <v>06/05/2020 14:51:49.069</v>
      </c>
      <c r="C1138" t="str">
        <f t="shared" si="628"/>
        <v>FFDFD3C0</v>
      </c>
      <c r="D1138" t="s">
        <v>151</v>
      </c>
      <c r="E1138">
        <v>8</v>
      </c>
      <c r="H1138">
        <v>225</v>
      </c>
      <c r="I1138" t="s">
        <v>353</v>
      </c>
      <c r="J1138" t="s">
        <v>150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633"/>
        <v>14:51:54.719</v>
      </c>
      <c r="T1138" t="str">
        <f t="shared" si="634"/>
        <v>14:51:54.419</v>
      </c>
      <c r="U1138" t="str">
        <f t="shared" si="611"/>
        <v>ACC530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1</v>
      </c>
      <c r="AH1138">
        <v>0</v>
      </c>
      <c r="AI1138" t="s">
        <v>491</v>
      </c>
      <c r="AJ1138">
        <v>34.212220000000002</v>
      </c>
      <c r="AK1138" t="s">
        <v>492</v>
      </c>
      <c r="AL1138">
        <v>-116.950214</v>
      </c>
      <c r="AM1138">
        <v>100</v>
      </c>
      <c r="AN1138">
        <v>9100</v>
      </c>
      <c r="AO1138" t="s">
        <v>118</v>
      </c>
      <c r="AP1138">
        <v>-103</v>
      </c>
      <c r="AQ1138">
        <v>-66</v>
      </c>
      <c r="AR1138">
        <v>-576</v>
      </c>
      <c r="AZ1138">
        <v>1200</v>
      </c>
      <c r="BA1138">
        <v>1</v>
      </c>
      <c r="BB1138" t="str">
        <f t="shared" si="612"/>
        <v xml:space="preserve">N9217B  </v>
      </c>
      <c r="BC1138">
        <v>1</v>
      </c>
      <c r="BE1138">
        <v>0</v>
      </c>
      <c r="BF1138">
        <v>0</v>
      </c>
      <c r="BG1138">
        <v>0</v>
      </c>
      <c r="BH1138">
        <v>9150</v>
      </c>
      <c r="BI1138">
        <v>1</v>
      </c>
      <c r="BJ1138">
        <v>0</v>
      </c>
      <c r="BK1138">
        <v>0</v>
      </c>
      <c r="BL1138">
        <v>0</v>
      </c>
      <c r="BO1138">
        <v>0</v>
      </c>
      <c r="BP1138">
        <v>0</v>
      </c>
      <c r="BW1138" t="str">
        <f t="shared" si="635"/>
        <v>14:51:54.726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6</v>
      </c>
      <c r="CP1138" t="s">
        <v>119</v>
      </c>
      <c r="CQ1138">
        <v>285</v>
      </c>
      <c r="CR1138">
        <v>0</v>
      </c>
      <c r="CW1138">
        <v>8849319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25">
      <c r="A1139" t="str">
        <f t="shared" si="632"/>
        <v>06/05/2020 14:51:49.069</v>
      </c>
      <c r="C1139" t="str">
        <f t="shared" si="628"/>
        <v>FFDFD3C0</v>
      </c>
      <c r="D1139" t="s">
        <v>141</v>
      </c>
      <c r="E1139">
        <v>20</v>
      </c>
      <c r="F1139">
        <v>1020</v>
      </c>
      <c r="G1139" t="s">
        <v>114</v>
      </c>
      <c r="J1139" t="s">
        <v>142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633"/>
        <v>14:51:54.719</v>
      </c>
      <c r="T1139" t="str">
        <f t="shared" si="634"/>
        <v>14:51:54.419</v>
      </c>
      <c r="U1139" t="str">
        <f t="shared" si="611"/>
        <v>ACC530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1</v>
      </c>
      <c r="AH1139">
        <v>0</v>
      </c>
      <c r="AI1139" t="s">
        <v>491</v>
      </c>
      <c r="AJ1139">
        <v>34.212220000000002</v>
      </c>
      <c r="AK1139" t="s">
        <v>492</v>
      </c>
      <c r="AL1139">
        <v>-116.950214</v>
      </c>
      <c r="AM1139">
        <v>100</v>
      </c>
      <c r="AN1139">
        <v>9100</v>
      </c>
      <c r="AO1139" t="s">
        <v>118</v>
      </c>
      <c r="AP1139">
        <v>-103</v>
      </c>
      <c r="AQ1139">
        <v>-66</v>
      </c>
      <c r="AR1139">
        <v>-576</v>
      </c>
      <c r="AZ1139">
        <v>1200</v>
      </c>
      <c r="BA1139">
        <v>1</v>
      </c>
      <c r="BB1139" t="str">
        <f t="shared" si="612"/>
        <v xml:space="preserve">N9217B  </v>
      </c>
      <c r="BC1139">
        <v>1</v>
      </c>
      <c r="BE1139">
        <v>0</v>
      </c>
      <c r="BF1139">
        <v>0</v>
      </c>
      <c r="BG1139">
        <v>0</v>
      </c>
      <c r="BH1139">
        <v>9150</v>
      </c>
      <c r="BI1139">
        <v>1</v>
      </c>
      <c r="BJ1139">
        <v>0</v>
      </c>
      <c r="BK1139">
        <v>0</v>
      </c>
      <c r="BL1139">
        <v>0</v>
      </c>
      <c r="BO1139">
        <v>0</v>
      </c>
      <c r="BP1139">
        <v>0</v>
      </c>
      <c r="BW1139" t="str">
        <f t="shared" si="635"/>
        <v>14:51:54.726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293</v>
      </c>
      <c r="CR1139">
        <v>1</v>
      </c>
      <c r="CW1139">
        <v>15282219</v>
      </c>
      <c r="CY1139">
        <v>0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25">
      <c r="A1140" t="str">
        <f t="shared" si="632"/>
        <v>06/05/2020 14:51:49.069</v>
      </c>
      <c r="C1140" t="str">
        <f t="shared" si="628"/>
        <v>FFDFD3C0</v>
      </c>
      <c r="D1140" t="s">
        <v>151</v>
      </c>
      <c r="E1140">
        <v>9</v>
      </c>
      <c r="H1140">
        <v>226</v>
      </c>
      <c r="I1140" t="s">
        <v>152</v>
      </c>
      <c r="J1140" t="s">
        <v>150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633"/>
        <v>14:51:54.719</v>
      </c>
      <c r="T1140" t="str">
        <f t="shared" si="634"/>
        <v>14:51:54.419</v>
      </c>
      <c r="U1140" t="str">
        <f t="shared" si="611"/>
        <v>ACC530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1</v>
      </c>
      <c r="AH1140">
        <v>0</v>
      </c>
      <c r="AI1140" t="s">
        <v>491</v>
      </c>
      <c r="AJ1140">
        <v>34.212220000000002</v>
      </c>
      <c r="AK1140" t="s">
        <v>492</v>
      </c>
      <c r="AL1140">
        <v>-116.950214</v>
      </c>
      <c r="AM1140">
        <v>100</v>
      </c>
      <c r="AN1140">
        <v>9100</v>
      </c>
      <c r="AO1140" t="s">
        <v>118</v>
      </c>
      <c r="AP1140">
        <v>-103</v>
      </c>
      <c r="AQ1140">
        <v>-66</v>
      </c>
      <c r="AR1140">
        <v>-576</v>
      </c>
      <c r="AZ1140">
        <v>1200</v>
      </c>
      <c r="BA1140">
        <v>1</v>
      </c>
      <c r="BB1140" t="str">
        <f t="shared" si="612"/>
        <v xml:space="preserve">N9217B  </v>
      </c>
      <c r="BC1140">
        <v>1</v>
      </c>
      <c r="BE1140">
        <v>0</v>
      </c>
      <c r="BF1140">
        <v>0</v>
      </c>
      <c r="BG1140">
        <v>0</v>
      </c>
      <c r="BH1140">
        <v>9150</v>
      </c>
      <c r="BI1140">
        <v>1</v>
      </c>
      <c r="BJ1140">
        <v>0</v>
      </c>
      <c r="BK1140">
        <v>0</v>
      </c>
      <c r="BL1140">
        <v>0</v>
      </c>
      <c r="BO1140">
        <v>0</v>
      </c>
      <c r="BP1140">
        <v>0</v>
      </c>
      <c r="BW1140" t="str">
        <f t="shared" si="635"/>
        <v>14:51:54.726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293</v>
      </c>
      <c r="CR1140">
        <v>1</v>
      </c>
      <c r="CW1140">
        <v>15282219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25">
      <c r="A1141" t="str">
        <f t="shared" si="632"/>
        <v>06/05/2020 14:51:49.069</v>
      </c>
      <c r="C1141" t="str">
        <f t="shared" si="628"/>
        <v>FFDFD3C0</v>
      </c>
      <c r="D1141" t="s">
        <v>113</v>
      </c>
      <c r="E1141">
        <v>3</v>
      </c>
      <c r="H1141">
        <v>166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633"/>
        <v>14:51:54.719</v>
      </c>
      <c r="T1141" t="str">
        <f t="shared" si="634"/>
        <v>14:51:54.419</v>
      </c>
      <c r="U1141" t="str">
        <f t="shared" si="611"/>
        <v>ACC530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1</v>
      </c>
      <c r="AH1141">
        <v>0</v>
      </c>
      <c r="AI1141" t="s">
        <v>491</v>
      </c>
      <c r="AJ1141">
        <v>34.212220000000002</v>
      </c>
      <c r="AK1141" t="s">
        <v>492</v>
      </c>
      <c r="AL1141">
        <v>-116.950214</v>
      </c>
      <c r="AM1141">
        <v>100</v>
      </c>
      <c r="AN1141">
        <v>9100</v>
      </c>
      <c r="AO1141" t="s">
        <v>118</v>
      </c>
      <c r="AP1141">
        <v>-103</v>
      </c>
      <c r="AQ1141">
        <v>-66</v>
      </c>
      <c r="AR1141">
        <v>-576</v>
      </c>
      <c r="AZ1141">
        <v>1200</v>
      </c>
      <c r="BA1141">
        <v>1</v>
      </c>
      <c r="BB1141" t="str">
        <f t="shared" si="612"/>
        <v xml:space="preserve">N9217B  </v>
      </c>
      <c r="BC1141">
        <v>1</v>
      </c>
      <c r="BE1141">
        <v>0</v>
      </c>
      <c r="BF1141">
        <v>0</v>
      </c>
      <c r="BG1141">
        <v>0</v>
      </c>
      <c r="BH1141">
        <v>9150</v>
      </c>
      <c r="BI1141">
        <v>1</v>
      </c>
      <c r="BJ1141">
        <v>0</v>
      </c>
      <c r="BK1141">
        <v>0</v>
      </c>
      <c r="BL1141">
        <v>0</v>
      </c>
      <c r="BO1141">
        <v>0</v>
      </c>
      <c r="BP1141">
        <v>0</v>
      </c>
      <c r="BW1141" t="str">
        <f t="shared" si="635"/>
        <v>14:51:54.726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293</v>
      </c>
      <c r="CR1141">
        <v>1</v>
      </c>
      <c r="CW1141">
        <v>15282219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25">
      <c r="A1142" t="str">
        <f t="shared" si="632"/>
        <v>06/05/2020 14:51:49.069</v>
      </c>
      <c r="C1142" t="str">
        <f t="shared" si="628"/>
        <v>FFDFD3C0</v>
      </c>
      <c r="D1142" t="s">
        <v>148</v>
      </c>
      <c r="E1142">
        <v>11</v>
      </c>
      <c r="H1142">
        <v>53</v>
      </c>
      <c r="I1142" t="s">
        <v>364</v>
      </c>
      <c r="J1142" t="s">
        <v>150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633"/>
        <v>14:51:54.719</v>
      </c>
      <c r="T1142" t="str">
        <f t="shared" si="634"/>
        <v>14:51:54.419</v>
      </c>
      <c r="U1142" t="str">
        <f t="shared" si="611"/>
        <v>ACC530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1</v>
      </c>
      <c r="AH1142">
        <v>0</v>
      </c>
      <c r="AI1142" t="s">
        <v>491</v>
      </c>
      <c r="AJ1142">
        <v>34.212220000000002</v>
      </c>
      <c r="AK1142" t="s">
        <v>492</v>
      </c>
      <c r="AL1142">
        <v>-116.950214</v>
      </c>
      <c r="AM1142">
        <v>100</v>
      </c>
      <c r="AN1142">
        <v>9100</v>
      </c>
      <c r="AO1142" t="s">
        <v>118</v>
      </c>
      <c r="AP1142">
        <v>-103</v>
      </c>
      <c r="AQ1142">
        <v>-66</v>
      </c>
      <c r="AR1142">
        <v>-576</v>
      </c>
      <c r="AZ1142">
        <v>1200</v>
      </c>
      <c r="BA1142">
        <v>1</v>
      </c>
      <c r="BB1142" t="str">
        <f t="shared" si="612"/>
        <v xml:space="preserve">N9217B  </v>
      </c>
      <c r="BC1142">
        <v>1</v>
      </c>
      <c r="BE1142">
        <v>0</v>
      </c>
      <c r="BF1142">
        <v>0</v>
      </c>
      <c r="BG1142">
        <v>0</v>
      </c>
      <c r="BH1142">
        <v>9150</v>
      </c>
      <c r="BI1142">
        <v>1</v>
      </c>
      <c r="BJ1142">
        <v>0</v>
      </c>
      <c r="BK1142">
        <v>0</v>
      </c>
      <c r="BL1142">
        <v>0</v>
      </c>
      <c r="BO1142">
        <v>0</v>
      </c>
      <c r="BP1142">
        <v>0</v>
      </c>
      <c r="BW1142" t="str">
        <f t="shared" si="635"/>
        <v>14:51:54.726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293</v>
      </c>
      <c r="CR1142">
        <v>1</v>
      </c>
      <c r="CW1142">
        <v>15282219</v>
      </c>
      <c r="CY1142">
        <v>0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25">
      <c r="A1143" t="str">
        <f t="shared" si="632"/>
        <v>06/05/2020 14:51:49.069</v>
      </c>
      <c r="C1143" t="str">
        <f t="shared" si="628"/>
        <v>FFDFD3C0</v>
      </c>
      <c r="D1143" t="s">
        <v>134</v>
      </c>
      <c r="E1143">
        <v>7</v>
      </c>
      <c r="F1143">
        <v>2007</v>
      </c>
      <c r="G1143" t="s">
        <v>135</v>
      </c>
      <c r="J1143" t="s">
        <v>136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633"/>
        <v>14:51:54.719</v>
      </c>
      <c r="T1143" t="str">
        <f t="shared" si="634"/>
        <v>14:51:54.419</v>
      </c>
      <c r="U1143" t="str">
        <f t="shared" si="611"/>
        <v>ACC530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1</v>
      </c>
      <c r="AH1143">
        <v>0</v>
      </c>
      <c r="AI1143" t="s">
        <v>491</v>
      </c>
      <c r="AJ1143">
        <v>34.212220000000002</v>
      </c>
      <c r="AK1143" t="s">
        <v>492</v>
      </c>
      <c r="AL1143">
        <v>-116.950214</v>
      </c>
      <c r="AM1143">
        <v>100</v>
      </c>
      <c r="AN1143">
        <v>9100</v>
      </c>
      <c r="AO1143" t="s">
        <v>118</v>
      </c>
      <c r="AP1143">
        <v>-103</v>
      </c>
      <c r="AQ1143">
        <v>-66</v>
      </c>
      <c r="AR1143">
        <v>-576</v>
      </c>
      <c r="AZ1143">
        <v>1200</v>
      </c>
      <c r="BA1143">
        <v>1</v>
      </c>
      <c r="BB1143" t="str">
        <f t="shared" si="612"/>
        <v xml:space="preserve">N9217B  </v>
      </c>
      <c r="BC1143">
        <v>1</v>
      </c>
      <c r="BE1143">
        <v>0</v>
      </c>
      <c r="BF1143">
        <v>0</v>
      </c>
      <c r="BG1143">
        <v>0</v>
      </c>
      <c r="BH1143">
        <v>9150</v>
      </c>
      <c r="BI1143">
        <v>1</v>
      </c>
      <c r="BJ1143">
        <v>0</v>
      </c>
      <c r="BK1143">
        <v>0</v>
      </c>
      <c r="BL1143">
        <v>0</v>
      </c>
      <c r="BO1143">
        <v>0</v>
      </c>
      <c r="BP1143">
        <v>0</v>
      </c>
      <c r="BW1143" t="str">
        <f t="shared" si="635"/>
        <v>14:51:54.726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293</v>
      </c>
      <c r="CR1143">
        <v>1</v>
      </c>
      <c r="CW1143">
        <v>15282219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25">
      <c r="A1144" t="str">
        <f t="shared" ref="A1144:A1151" si="636">"06/05/2020 14:51:50.225"</f>
        <v>06/05/2020 14:51:50.225</v>
      </c>
      <c r="C1144" t="str">
        <f t="shared" si="628"/>
        <v>FFDFD3C0</v>
      </c>
      <c r="D1144" t="s">
        <v>134</v>
      </c>
      <c r="E1144">
        <v>7</v>
      </c>
      <c r="F1144">
        <v>2007</v>
      </c>
      <c r="G1144" t="s">
        <v>135</v>
      </c>
      <c r="J1144" t="s">
        <v>136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ref="S1144:S1151" si="637">"14:51:55.844"</f>
        <v>14:51:55.844</v>
      </c>
      <c r="T1144" t="str">
        <f t="shared" ref="T1144:T1151" si="638">"14:51:55.744"</f>
        <v>14:51:55.744</v>
      </c>
      <c r="U1144" t="str">
        <f t="shared" si="611"/>
        <v>ACC530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1</v>
      </c>
      <c r="AH1144">
        <v>0</v>
      </c>
      <c r="AI1144" t="s">
        <v>493</v>
      </c>
      <c r="AJ1144">
        <v>34.211897999999998</v>
      </c>
      <c r="AK1144" t="s">
        <v>494</v>
      </c>
      <c r="AL1144">
        <v>-116.950901</v>
      </c>
      <c r="AM1144">
        <v>100</v>
      </c>
      <c r="AN1144">
        <v>9100</v>
      </c>
      <c r="AO1144" t="s">
        <v>118</v>
      </c>
      <c r="AP1144">
        <v>-104</v>
      </c>
      <c r="AQ1144">
        <v>-67</v>
      </c>
      <c r="AR1144">
        <v>-512</v>
      </c>
      <c r="AZ1144">
        <v>1200</v>
      </c>
      <c r="BA1144">
        <v>1</v>
      </c>
      <c r="BB1144" t="str">
        <f t="shared" si="612"/>
        <v xml:space="preserve">N9217B  </v>
      </c>
      <c r="BC1144">
        <v>1</v>
      </c>
      <c r="BE1144">
        <v>0</v>
      </c>
      <c r="BF1144">
        <v>0</v>
      </c>
      <c r="BG1144">
        <v>0</v>
      </c>
      <c r="BH1144">
        <v>9125</v>
      </c>
      <c r="BI1144">
        <v>1</v>
      </c>
      <c r="BJ1144">
        <v>0</v>
      </c>
      <c r="BK1144">
        <v>0</v>
      </c>
      <c r="BL1144">
        <v>0</v>
      </c>
      <c r="BO1144">
        <v>0</v>
      </c>
      <c r="BP1144">
        <v>0</v>
      </c>
      <c r="BW1144" t="str">
        <f t="shared" ref="BW1144:BW1151" si="639">"14:51:55.851"</f>
        <v>14:51:55.851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293</v>
      </c>
      <c r="CR1144">
        <v>1</v>
      </c>
      <c r="CW1144">
        <v>15282347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25">
      <c r="A1145" t="str">
        <f t="shared" si="636"/>
        <v>06/05/2020 14:51:50.225</v>
      </c>
      <c r="C1145" t="str">
        <f t="shared" si="628"/>
        <v>FFDFD3C0</v>
      </c>
      <c r="D1145" t="s">
        <v>143</v>
      </c>
      <c r="E1145">
        <v>10</v>
      </c>
      <c r="F1145">
        <v>3010</v>
      </c>
      <c r="G1145" t="s">
        <v>144</v>
      </c>
      <c r="J1145" t="s">
        <v>145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637"/>
        <v>14:51:55.844</v>
      </c>
      <c r="T1145" t="str">
        <f t="shared" si="638"/>
        <v>14:51:55.744</v>
      </c>
      <c r="U1145" t="str">
        <f t="shared" si="611"/>
        <v>ACC530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1</v>
      </c>
      <c r="AH1145">
        <v>0</v>
      </c>
      <c r="AI1145" t="s">
        <v>493</v>
      </c>
      <c r="AJ1145">
        <v>34.211897999999998</v>
      </c>
      <c r="AK1145" t="s">
        <v>494</v>
      </c>
      <c r="AL1145">
        <v>-116.950901</v>
      </c>
      <c r="AM1145">
        <v>100</v>
      </c>
      <c r="AN1145">
        <v>9100</v>
      </c>
      <c r="AO1145" t="s">
        <v>118</v>
      </c>
      <c r="AP1145">
        <v>-104</v>
      </c>
      <c r="AQ1145">
        <v>-67</v>
      </c>
      <c r="AR1145">
        <v>-512</v>
      </c>
      <c r="AZ1145">
        <v>1200</v>
      </c>
      <c r="BA1145">
        <v>1</v>
      </c>
      <c r="BB1145" t="str">
        <f t="shared" si="612"/>
        <v xml:space="preserve">N9217B  </v>
      </c>
      <c r="BC1145">
        <v>1</v>
      </c>
      <c r="BE1145">
        <v>0</v>
      </c>
      <c r="BF1145">
        <v>0</v>
      </c>
      <c r="BG1145">
        <v>0</v>
      </c>
      <c r="BH1145">
        <v>9125</v>
      </c>
      <c r="BI1145">
        <v>1</v>
      </c>
      <c r="BJ1145">
        <v>0</v>
      </c>
      <c r="BK1145">
        <v>0</v>
      </c>
      <c r="BL1145">
        <v>0</v>
      </c>
      <c r="BO1145">
        <v>0</v>
      </c>
      <c r="BP1145">
        <v>0</v>
      </c>
      <c r="BW1145" t="str">
        <f t="shared" si="639"/>
        <v>14:51:55.851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293</v>
      </c>
      <c r="CR1145">
        <v>1</v>
      </c>
      <c r="CW1145">
        <v>15282347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25">
      <c r="A1146" t="str">
        <f t="shared" si="636"/>
        <v>06/05/2020 14:51:50.225</v>
      </c>
      <c r="C1146" t="str">
        <f t="shared" si="628"/>
        <v>FFDFD3C0</v>
      </c>
      <c r="D1146" t="s">
        <v>148</v>
      </c>
      <c r="E1146">
        <v>8</v>
      </c>
      <c r="H1146">
        <v>50</v>
      </c>
      <c r="I1146" t="s">
        <v>149</v>
      </c>
      <c r="J1146" t="s">
        <v>150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637"/>
        <v>14:51:55.844</v>
      </c>
      <c r="T1146" t="str">
        <f t="shared" si="638"/>
        <v>14:51:55.744</v>
      </c>
      <c r="U1146" t="str">
        <f t="shared" si="611"/>
        <v>ACC530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1</v>
      </c>
      <c r="AH1146">
        <v>0</v>
      </c>
      <c r="AI1146" t="s">
        <v>493</v>
      </c>
      <c r="AJ1146">
        <v>34.211897999999998</v>
      </c>
      <c r="AK1146" t="s">
        <v>494</v>
      </c>
      <c r="AL1146">
        <v>-116.950901</v>
      </c>
      <c r="AM1146">
        <v>100</v>
      </c>
      <c r="AN1146">
        <v>9100</v>
      </c>
      <c r="AO1146" t="s">
        <v>118</v>
      </c>
      <c r="AP1146">
        <v>-104</v>
      </c>
      <c r="AQ1146">
        <v>-67</v>
      </c>
      <c r="AR1146">
        <v>-512</v>
      </c>
      <c r="AZ1146">
        <v>1200</v>
      </c>
      <c r="BA1146">
        <v>1</v>
      </c>
      <c r="BB1146" t="str">
        <f t="shared" si="612"/>
        <v xml:space="preserve">N9217B  </v>
      </c>
      <c r="BC1146">
        <v>1</v>
      </c>
      <c r="BE1146">
        <v>0</v>
      </c>
      <c r="BF1146">
        <v>0</v>
      </c>
      <c r="BG1146">
        <v>0</v>
      </c>
      <c r="BH1146">
        <v>9125</v>
      </c>
      <c r="BI1146">
        <v>1</v>
      </c>
      <c r="BJ1146">
        <v>0</v>
      </c>
      <c r="BK1146">
        <v>0</v>
      </c>
      <c r="BL1146">
        <v>0</v>
      </c>
      <c r="BO1146">
        <v>0</v>
      </c>
      <c r="BP1146">
        <v>0</v>
      </c>
      <c r="BW1146" t="str">
        <f t="shared" si="639"/>
        <v>14:51:55.851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293</v>
      </c>
      <c r="CR1146">
        <v>1</v>
      </c>
      <c r="CW1146">
        <v>15282347</v>
      </c>
      <c r="CY1146">
        <v>0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25">
      <c r="A1147" t="str">
        <f t="shared" si="636"/>
        <v>06/05/2020 14:51:50.225</v>
      </c>
      <c r="C1147" t="str">
        <f t="shared" si="628"/>
        <v>FFDFD3C0</v>
      </c>
      <c r="D1147" t="s">
        <v>141</v>
      </c>
      <c r="E1147">
        <v>20</v>
      </c>
      <c r="F1147">
        <v>1020</v>
      </c>
      <c r="G1147" t="s">
        <v>114</v>
      </c>
      <c r="J1147" t="s">
        <v>142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637"/>
        <v>14:51:55.844</v>
      </c>
      <c r="T1147" t="str">
        <f t="shared" si="638"/>
        <v>14:51:55.744</v>
      </c>
      <c r="U1147" t="str">
        <f t="shared" si="611"/>
        <v>ACC530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1</v>
      </c>
      <c r="AH1147">
        <v>0</v>
      </c>
      <c r="AI1147" t="s">
        <v>493</v>
      </c>
      <c r="AJ1147">
        <v>34.211897999999998</v>
      </c>
      <c r="AK1147" t="s">
        <v>494</v>
      </c>
      <c r="AL1147">
        <v>-116.950901</v>
      </c>
      <c r="AM1147">
        <v>100</v>
      </c>
      <c r="AN1147">
        <v>9100</v>
      </c>
      <c r="AO1147" t="s">
        <v>118</v>
      </c>
      <c r="AP1147">
        <v>-104</v>
      </c>
      <c r="AQ1147">
        <v>-67</v>
      </c>
      <c r="AR1147">
        <v>-512</v>
      </c>
      <c r="AZ1147">
        <v>1200</v>
      </c>
      <c r="BA1147">
        <v>1</v>
      </c>
      <c r="BB1147" t="str">
        <f t="shared" si="612"/>
        <v xml:space="preserve">N9217B  </v>
      </c>
      <c r="BC1147">
        <v>1</v>
      </c>
      <c r="BE1147">
        <v>0</v>
      </c>
      <c r="BF1147">
        <v>0</v>
      </c>
      <c r="BG1147">
        <v>0</v>
      </c>
      <c r="BH1147">
        <v>9125</v>
      </c>
      <c r="BI1147">
        <v>1</v>
      </c>
      <c r="BJ1147">
        <v>0</v>
      </c>
      <c r="BK1147">
        <v>0</v>
      </c>
      <c r="BL1147">
        <v>0</v>
      </c>
      <c r="BO1147">
        <v>0</v>
      </c>
      <c r="BP1147">
        <v>0</v>
      </c>
      <c r="BW1147" t="str">
        <f t="shared" si="639"/>
        <v>14:51:55.851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293</v>
      </c>
      <c r="CR1147">
        <v>1</v>
      </c>
      <c r="CW1147">
        <v>15282347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25">
      <c r="A1148" t="str">
        <f t="shared" si="636"/>
        <v>06/05/2020 14:51:50.225</v>
      </c>
      <c r="C1148" t="str">
        <f t="shared" si="628"/>
        <v>FFDFD3C0</v>
      </c>
      <c r="D1148" t="s">
        <v>151</v>
      </c>
      <c r="E1148">
        <v>8</v>
      </c>
      <c r="H1148">
        <v>225</v>
      </c>
      <c r="I1148" t="s">
        <v>353</v>
      </c>
      <c r="J1148" t="s">
        <v>150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637"/>
        <v>14:51:55.844</v>
      </c>
      <c r="T1148" t="str">
        <f t="shared" si="638"/>
        <v>14:51:55.744</v>
      </c>
      <c r="U1148" t="str">
        <f t="shared" si="611"/>
        <v>ACC530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1</v>
      </c>
      <c r="AH1148">
        <v>0</v>
      </c>
      <c r="AI1148" t="s">
        <v>493</v>
      </c>
      <c r="AJ1148">
        <v>34.211897999999998</v>
      </c>
      <c r="AK1148" t="s">
        <v>494</v>
      </c>
      <c r="AL1148">
        <v>-116.950901</v>
      </c>
      <c r="AM1148">
        <v>100</v>
      </c>
      <c r="AN1148">
        <v>9100</v>
      </c>
      <c r="AO1148" t="s">
        <v>118</v>
      </c>
      <c r="AP1148">
        <v>-104</v>
      </c>
      <c r="AQ1148">
        <v>-67</v>
      </c>
      <c r="AR1148">
        <v>-512</v>
      </c>
      <c r="AZ1148">
        <v>1200</v>
      </c>
      <c r="BA1148">
        <v>1</v>
      </c>
      <c r="BB1148" t="str">
        <f t="shared" si="612"/>
        <v xml:space="preserve">N9217B  </v>
      </c>
      <c r="BC1148">
        <v>1</v>
      </c>
      <c r="BE1148">
        <v>0</v>
      </c>
      <c r="BF1148">
        <v>0</v>
      </c>
      <c r="BG1148">
        <v>0</v>
      </c>
      <c r="BH1148">
        <v>9125</v>
      </c>
      <c r="BI1148">
        <v>1</v>
      </c>
      <c r="BJ1148">
        <v>0</v>
      </c>
      <c r="BK1148">
        <v>0</v>
      </c>
      <c r="BL1148">
        <v>0</v>
      </c>
      <c r="BO1148">
        <v>0</v>
      </c>
      <c r="BP1148">
        <v>0</v>
      </c>
      <c r="BW1148" t="str">
        <f t="shared" si="639"/>
        <v>14:51:55.851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285</v>
      </c>
      <c r="CR1148">
        <v>0</v>
      </c>
      <c r="CW1148">
        <v>8849419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25">
      <c r="A1149" t="str">
        <f t="shared" si="636"/>
        <v>06/05/2020 14:51:50.225</v>
      </c>
      <c r="C1149" t="str">
        <f t="shared" si="628"/>
        <v>FFDFD3C0</v>
      </c>
      <c r="D1149" t="s">
        <v>113</v>
      </c>
      <c r="E1149">
        <v>3</v>
      </c>
      <c r="H1149">
        <v>166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637"/>
        <v>14:51:55.844</v>
      </c>
      <c r="T1149" t="str">
        <f t="shared" si="638"/>
        <v>14:51:55.744</v>
      </c>
      <c r="U1149" t="str">
        <f t="shared" si="611"/>
        <v>ACC530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1</v>
      </c>
      <c r="AH1149">
        <v>0</v>
      </c>
      <c r="AI1149" t="s">
        <v>493</v>
      </c>
      <c r="AJ1149">
        <v>34.211897999999998</v>
      </c>
      <c r="AK1149" t="s">
        <v>494</v>
      </c>
      <c r="AL1149">
        <v>-116.950901</v>
      </c>
      <c r="AM1149">
        <v>100</v>
      </c>
      <c r="AN1149">
        <v>9100</v>
      </c>
      <c r="AO1149" t="s">
        <v>118</v>
      </c>
      <c r="AP1149">
        <v>-104</v>
      </c>
      <c r="AQ1149">
        <v>-67</v>
      </c>
      <c r="AR1149">
        <v>-512</v>
      </c>
      <c r="AZ1149">
        <v>1200</v>
      </c>
      <c r="BA1149">
        <v>1</v>
      </c>
      <c r="BB1149" t="str">
        <f t="shared" si="612"/>
        <v xml:space="preserve">N9217B  </v>
      </c>
      <c r="BC1149">
        <v>1</v>
      </c>
      <c r="BE1149">
        <v>0</v>
      </c>
      <c r="BF1149">
        <v>0</v>
      </c>
      <c r="BG1149">
        <v>0</v>
      </c>
      <c r="BH1149">
        <v>9125</v>
      </c>
      <c r="BI1149">
        <v>1</v>
      </c>
      <c r="BJ1149">
        <v>0</v>
      </c>
      <c r="BK1149">
        <v>0</v>
      </c>
      <c r="BL1149">
        <v>0</v>
      </c>
      <c r="BO1149">
        <v>0</v>
      </c>
      <c r="BP1149">
        <v>0</v>
      </c>
      <c r="BW1149" t="str">
        <f t="shared" si="639"/>
        <v>14:51:55.851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293</v>
      </c>
      <c r="CR1149">
        <v>1</v>
      </c>
      <c r="CW1149">
        <v>15282347</v>
      </c>
      <c r="CY1149">
        <v>0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25">
      <c r="A1150" t="str">
        <f t="shared" si="636"/>
        <v>06/05/2020 14:51:50.225</v>
      </c>
      <c r="C1150" t="str">
        <f t="shared" si="628"/>
        <v>FFDFD3C0</v>
      </c>
      <c r="D1150" t="s">
        <v>151</v>
      </c>
      <c r="E1150">
        <v>9</v>
      </c>
      <c r="H1150">
        <v>226</v>
      </c>
      <c r="I1150" t="s">
        <v>152</v>
      </c>
      <c r="J1150" t="s">
        <v>150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637"/>
        <v>14:51:55.844</v>
      </c>
      <c r="T1150" t="str">
        <f t="shared" si="638"/>
        <v>14:51:55.744</v>
      </c>
      <c r="U1150" t="str">
        <f t="shared" si="611"/>
        <v>ACC530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1</v>
      </c>
      <c r="AH1150">
        <v>0</v>
      </c>
      <c r="AI1150" t="s">
        <v>493</v>
      </c>
      <c r="AJ1150">
        <v>34.211897999999998</v>
      </c>
      <c r="AK1150" t="s">
        <v>494</v>
      </c>
      <c r="AL1150">
        <v>-116.950901</v>
      </c>
      <c r="AM1150">
        <v>100</v>
      </c>
      <c r="AN1150">
        <v>9100</v>
      </c>
      <c r="AO1150" t="s">
        <v>118</v>
      </c>
      <c r="AP1150">
        <v>-104</v>
      </c>
      <c r="AQ1150">
        <v>-67</v>
      </c>
      <c r="AR1150">
        <v>-512</v>
      </c>
      <c r="AZ1150">
        <v>1200</v>
      </c>
      <c r="BA1150">
        <v>1</v>
      </c>
      <c r="BB1150" t="str">
        <f t="shared" si="612"/>
        <v xml:space="preserve">N9217B  </v>
      </c>
      <c r="BC1150">
        <v>1</v>
      </c>
      <c r="BE1150">
        <v>0</v>
      </c>
      <c r="BF1150">
        <v>0</v>
      </c>
      <c r="BG1150">
        <v>0</v>
      </c>
      <c r="BH1150">
        <v>9125</v>
      </c>
      <c r="BI1150">
        <v>1</v>
      </c>
      <c r="BJ1150">
        <v>0</v>
      </c>
      <c r="BK1150">
        <v>0</v>
      </c>
      <c r="BL1150">
        <v>0</v>
      </c>
      <c r="BO1150">
        <v>0</v>
      </c>
      <c r="BP1150">
        <v>0</v>
      </c>
      <c r="BW1150" t="str">
        <f t="shared" si="639"/>
        <v>14:51:55.851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293</v>
      </c>
      <c r="CR1150">
        <v>1</v>
      </c>
      <c r="CW1150">
        <v>15282347</v>
      </c>
      <c r="CY1150">
        <v>0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25">
      <c r="A1151" t="str">
        <f t="shared" si="636"/>
        <v>06/05/2020 14:51:50.225</v>
      </c>
      <c r="C1151" t="str">
        <f t="shared" si="628"/>
        <v>FFDFD3C0</v>
      </c>
      <c r="D1151" t="s">
        <v>148</v>
      </c>
      <c r="E1151">
        <v>11</v>
      </c>
      <c r="H1151">
        <v>53</v>
      </c>
      <c r="I1151" t="s">
        <v>364</v>
      </c>
      <c r="J1151" t="s">
        <v>150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637"/>
        <v>14:51:55.844</v>
      </c>
      <c r="T1151" t="str">
        <f t="shared" si="638"/>
        <v>14:51:55.744</v>
      </c>
      <c r="U1151" t="str">
        <f t="shared" si="611"/>
        <v>ACC530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1</v>
      </c>
      <c r="AH1151">
        <v>0</v>
      </c>
      <c r="AI1151" t="s">
        <v>493</v>
      </c>
      <c r="AJ1151">
        <v>34.211897999999998</v>
      </c>
      <c r="AK1151" t="s">
        <v>494</v>
      </c>
      <c r="AL1151">
        <v>-116.950901</v>
      </c>
      <c r="AM1151">
        <v>100</v>
      </c>
      <c r="AN1151">
        <v>9100</v>
      </c>
      <c r="AO1151" t="s">
        <v>118</v>
      </c>
      <c r="AP1151">
        <v>-104</v>
      </c>
      <c r="AQ1151">
        <v>-67</v>
      </c>
      <c r="AR1151">
        <v>-512</v>
      </c>
      <c r="AZ1151">
        <v>1200</v>
      </c>
      <c r="BA1151">
        <v>1</v>
      </c>
      <c r="BB1151" t="str">
        <f t="shared" si="612"/>
        <v xml:space="preserve">N9217B  </v>
      </c>
      <c r="BC1151">
        <v>1</v>
      </c>
      <c r="BE1151">
        <v>0</v>
      </c>
      <c r="BF1151">
        <v>0</v>
      </c>
      <c r="BG1151">
        <v>0</v>
      </c>
      <c r="BH1151">
        <v>9125</v>
      </c>
      <c r="BI1151">
        <v>1</v>
      </c>
      <c r="BJ1151">
        <v>0</v>
      </c>
      <c r="BK1151">
        <v>0</v>
      </c>
      <c r="BL1151">
        <v>0</v>
      </c>
      <c r="BO1151">
        <v>0</v>
      </c>
      <c r="BP1151">
        <v>0</v>
      </c>
      <c r="BW1151" t="str">
        <f t="shared" si="639"/>
        <v>14:51:55.851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293</v>
      </c>
      <c r="CR1151">
        <v>1</v>
      </c>
      <c r="CW1151">
        <v>15282347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25">
      <c r="A1152" t="str">
        <f t="shared" ref="A1152:A1159" si="640">"06/05/2020 14:51:51.343"</f>
        <v>06/05/2020 14:51:51.343</v>
      </c>
      <c r="C1152" t="str">
        <f t="shared" si="628"/>
        <v>FFDFD3C0</v>
      </c>
      <c r="D1152" t="s">
        <v>141</v>
      </c>
      <c r="E1152">
        <v>20</v>
      </c>
      <c r="F1152">
        <v>1020</v>
      </c>
      <c r="G1152" t="s">
        <v>114</v>
      </c>
      <c r="J1152" t="s">
        <v>142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ref="S1152:S1159" si="641">"14:51:56.969"</f>
        <v>14:51:56.969</v>
      </c>
      <c r="T1152" t="str">
        <f t="shared" ref="T1152:T1159" si="642">"14:51:56.769"</f>
        <v>14:51:56.769</v>
      </c>
      <c r="U1152" t="str">
        <f t="shared" si="611"/>
        <v>ACC530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9</v>
      </c>
      <c r="AE1152">
        <v>0</v>
      </c>
      <c r="AF1152">
        <v>3</v>
      </c>
      <c r="AG1152">
        <v>1</v>
      </c>
      <c r="AH1152">
        <v>0</v>
      </c>
      <c r="AI1152" t="s">
        <v>495</v>
      </c>
      <c r="AJ1152">
        <v>34.211511999999999</v>
      </c>
      <c r="AK1152" t="s">
        <v>496</v>
      </c>
      <c r="AL1152">
        <v>-116.95152299999999</v>
      </c>
      <c r="AM1152">
        <v>100</v>
      </c>
      <c r="AN1152">
        <v>9100</v>
      </c>
      <c r="AO1152" t="s">
        <v>118</v>
      </c>
      <c r="AP1152">
        <v>-105</v>
      </c>
      <c r="AQ1152">
        <v>-67</v>
      </c>
      <c r="AR1152">
        <v>-576</v>
      </c>
      <c r="AZ1152">
        <v>1200</v>
      </c>
      <c r="BA1152">
        <v>1</v>
      </c>
      <c r="BB1152" t="str">
        <f t="shared" si="612"/>
        <v xml:space="preserve">N9217B  </v>
      </c>
      <c r="BC1152">
        <v>1</v>
      </c>
      <c r="BE1152">
        <v>0</v>
      </c>
      <c r="BF1152">
        <v>0</v>
      </c>
      <c r="BG1152">
        <v>0</v>
      </c>
      <c r="BH1152">
        <v>9125</v>
      </c>
      <c r="BI1152">
        <v>1</v>
      </c>
      <c r="BJ1152">
        <v>0</v>
      </c>
      <c r="BK1152">
        <v>0</v>
      </c>
      <c r="BL1152">
        <v>0</v>
      </c>
      <c r="BO1152">
        <v>0</v>
      </c>
      <c r="BP1152">
        <v>0</v>
      </c>
      <c r="BW1152" t="str">
        <f t="shared" ref="BW1152:BW1159" si="643">"14:51:56.976"</f>
        <v>14:51:56.976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293</v>
      </c>
      <c r="CR1152">
        <v>1</v>
      </c>
      <c r="CW1152">
        <v>15282474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25">
      <c r="A1153" t="str">
        <f t="shared" si="640"/>
        <v>06/05/2020 14:51:51.343</v>
      </c>
      <c r="C1153" t="str">
        <f t="shared" si="628"/>
        <v>FFDFD3C0</v>
      </c>
      <c r="D1153" t="s">
        <v>151</v>
      </c>
      <c r="E1153">
        <v>8</v>
      </c>
      <c r="H1153">
        <v>225</v>
      </c>
      <c r="I1153" t="s">
        <v>353</v>
      </c>
      <c r="J1153" t="s">
        <v>150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641"/>
        <v>14:51:56.969</v>
      </c>
      <c r="T1153" t="str">
        <f t="shared" si="642"/>
        <v>14:51:56.769</v>
      </c>
      <c r="U1153" t="str">
        <f t="shared" si="611"/>
        <v>ACC530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9</v>
      </c>
      <c r="AE1153">
        <v>0</v>
      </c>
      <c r="AF1153">
        <v>3</v>
      </c>
      <c r="AG1153">
        <v>1</v>
      </c>
      <c r="AH1153">
        <v>0</v>
      </c>
      <c r="AI1153" t="s">
        <v>495</v>
      </c>
      <c r="AJ1153">
        <v>34.211511999999999</v>
      </c>
      <c r="AK1153" t="s">
        <v>496</v>
      </c>
      <c r="AL1153">
        <v>-116.95152299999999</v>
      </c>
      <c r="AM1153">
        <v>100</v>
      </c>
      <c r="AN1153">
        <v>9100</v>
      </c>
      <c r="AO1153" t="s">
        <v>118</v>
      </c>
      <c r="AP1153">
        <v>-105</v>
      </c>
      <c r="AQ1153">
        <v>-67</v>
      </c>
      <c r="AR1153">
        <v>-576</v>
      </c>
      <c r="AZ1153">
        <v>1200</v>
      </c>
      <c r="BA1153">
        <v>1</v>
      </c>
      <c r="BB1153" t="str">
        <f t="shared" si="612"/>
        <v xml:space="preserve">N9217B  </v>
      </c>
      <c r="BC1153">
        <v>1</v>
      </c>
      <c r="BE1153">
        <v>0</v>
      </c>
      <c r="BF1153">
        <v>0</v>
      </c>
      <c r="BG1153">
        <v>0</v>
      </c>
      <c r="BH1153">
        <v>9125</v>
      </c>
      <c r="BI1153">
        <v>1</v>
      </c>
      <c r="BJ1153">
        <v>0</v>
      </c>
      <c r="BK1153">
        <v>0</v>
      </c>
      <c r="BL1153">
        <v>0</v>
      </c>
      <c r="BO1153">
        <v>0</v>
      </c>
      <c r="BP1153">
        <v>0</v>
      </c>
      <c r="BW1153" t="str">
        <f t="shared" si="643"/>
        <v>14:51:56.976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6</v>
      </c>
      <c r="CP1153" t="s">
        <v>119</v>
      </c>
      <c r="CQ1153">
        <v>285</v>
      </c>
      <c r="CR1153">
        <v>0</v>
      </c>
      <c r="CW1153">
        <v>8849514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25">
      <c r="A1154" t="str">
        <f t="shared" si="640"/>
        <v>06/05/2020 14:51:51.343</v>
      </c>
      <c r="C1154" t="str">
        <f t="shared" si="628"/>
        <v>FFDFD3C0</v>
      </c>
      <c r="D1154" t="s">
        <v>148</v>
      </c>
      <c r="E1154">
        <v>8</v>
      </c>
      <c r="H1154">
        <v>50</v>
      </c>
      <c r="I1154" t="s">
        <v>149</v>
      </c>
      <c r="J1154" t="s">
        <v>150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641"/>
        <v>14:51:56.969</v>
      </c>
      <c r="T1154" t="str">
        <f t="shared" si="642"/>
        <v>14:51:56.769</v>
      </c>
      <c r="U1154" t="str">
        <f t="shared" ref="U1154:U1217" si="644">"ACC530"</f>
        <v>ACC530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9</v>
      </c>
      <c r="AE1154">
        <v>0</v>
      </c>
      <c r="AF1154">
        <v>3</v>
      </c>
      <c r="AG1154">
        <v>1</v>
      </c>
      <c r="AH1154">
        <v>0</v>
      </c>
      <c r="AI1154" t="s">
        <v>495</v>
      </c>
      <c r="AJ1154">
        <v>34.211511999999999</v>
      </c>
      <c r="AK1154" t="s">
        <v>496</v>
      </c>
      <c r="AL1154">
        <v>-116.95152299999999</v>
      </c>
      <c r="AM1154">
        <v>100</v>
      </c>
      <c r="AN1154">
        <v>9100</v>
      </c>
      <c r="AO1154" t="s">
        <v>118</v>
      </c>
      <c r="AP1154">
        <v>-105</v>
      </c>
      <c r="AQ1154">
        <v>-67</v>
      </c>
      <c r="AR1154">
        <v>-576</v>
      </c>
      <c r="AZ1154">
        <v>1200</v>
      </c>
      <c r="BA1154">
        <v>1</v>
      </c>
      <c r="BB1154" t="str">
        <f t="shared" si="612"/>
        <v xml:space="preserve">N9217B  </v>
      </c>
      <c r="BC1154">
        <v>1</v>
      </c>
      <c r="BE1154">
        <v>0</v>
      </c>
      <c r="BF1154">
        <v>0</v>
      </c>
      <c r="BG1154">
        <v>0</v>
      </c>
      <c r="BH1154">
        <v>9125</v>
      </c>
      <c r="BI1154">
        <v>1</v>
      </c>
      <c r="BJ1154">
        <v>0</v>
      </c>
      <c r="BK1154">
        <v>0</v>
      </c>
      <c r="BL1154">
        <v>0</v>
      </c>
      <c r="BO1154">
        <v>0</v>
      </c>
      <c r="BP1154">
        <v>0</v>
      </c>
      <c r="BW1154" t="str">
        <f t="shared" si="643"/>
        <v>14:51:56.976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293</v>
      </c>
      <c r="CR1154">
        <v>1</v>
      </c>
      <c r="CW1154">
        <v>15282474</v>
      </c>
      <c r="CY1154">
        <v>0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25">
      <c r="A1155" t="str">
        <f t="shared" si="640"/>
        <v>06/05/2020 14:51:51.343</v>
      </c>
      <c r="C1155" t="str">
        <f t="shared" si="628"/>
        <v>FFDFD3C0</v>
      </c>
      <c r="D1155" t="s">
        <v>113</v>
      </c>
      <c r="E1155">
        <v>3</v>
      </c>
      <c r="H1155">
        <v>166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641"/>
        <v>14:51:56.969</v>
      </c>
      <c r="T1155" t="str">
        <f t="shared" si="642"/>
        <v>14:51:56.769</v>
      </c>
      <c r="U1155" t="str">
        <f t="shared" si="644"/>
        <v>ACC530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9</v>
      </c>
      <c r="AE1155">
        <v>0</v>
      </c>
      <c r="AF1155">
        <v>3</v>
      </c>
      <c r="AG1155">
        <v>1</v>
      </c>
      <c r="AH1155">
        <v>0</v>
      </c>
      <c r="AI1155" t="s">
        <v>495</v>
      </c>
      <c r="AJ1155">
        <v>34.211511999999999</v>
      </c>
      <c r="AK1155" t="s">
        <v>496</v>
      </c>
      <c r="AL1155">
        <v>-116.95152299999999</v>
      </c>
      <c r="AM1155">
        <v>100</v>
      </c>
      <c r="AN1155">
        <v>9100</v>
      </c>
      <c r="AO1155" t="s">
        <v>118</v>
      </c>
      <c r="AP1155">
        <v>-105</v>
      </c>
      <c r="AQ1155">
        <v>-67</v>
      </c>
      <c r="AR1155">
        <v>-576</v>
      </c>
      <c r="AZ1155">
        <v>1200</v>
      </c>
      <c r="BA1155">
        <v>1</v>
      </c>
      <c r="BB1155" t="str">
        <f t="shared" si="612"/>
        <v xml:space="preserve">N9217B  </v>
      </c>
      <c r="BC1155">
        <v>1</v>
      </c>
      <c r="BE1155">
        <v>0</v>
      </c>
      <c r="BF1155">
        <v>0</v>
      </c>
      <c r="BG1155">
        <v>0</v>
      </c>
      <c r="BH1155">
        <v>9125</v>
      </c>
      <c r="BI1155">
        <v>1</v>
      </c>
      <c r="BJ1155">
        <v>0</v>
      </c>
      <c r="BK1155">
        <v>0</v>
      </c>
      <c r="BL1155">
        <v>0</v>
      </c>
      <c r="BO1155">
        <v>0</v>
      </c>
      <c r="BP1155">
        <v>0</v>
      </c>
      <c r="BW1155" t="str">
        <f t="shared" si="643"/>
        <v>14:51:56.976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293</v>
      </c>
      <c r="CR1155">
        <v>1</v>
      </c>
      <c r="CW1155">
        <v>15282474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25">
      <c r="A1156" t="str">
        <f t="shared" si="640"/>
        <v>06/05/2020 14:51:51.343</v>
      </c>
      <c r="C1156" t="str">
        <f t="shared" si="628"/>
        <v>FFDFD3C0</v>
      </c>
      <c r="D1156" t="s">
        <v>151</v>
      </c>
      <c r="E1156">
        <v>9</v>
      </c>
      <c r="H1156">
        <v>226</v>
      </c>
      <c r="I1156" t="s">
        <v>152</v>
      </c>
      <c r="J1156" t="s">
        <v>150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641"/>
        <v>14:51:56.969</v>
      </c>
      <c r="T1156" t="str">
        <f t="shared" si="642"/>
        <v>14:51:56.769</v>
      </c>
      <c r="U1156" t="str">
        <f t="shared" si="644"/>
        <v>ACC530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9</v>
      </c>
      <c r="AE1156">
        <v>0</v>
      </c>
      <c r="AF1156">
        <v>3</v>
      </c>
      <c r="AG1156">
        <v>1</v>
      </c>
      <c r="AH1156">
        <v>0</v>
      </c>
      <c r="AI1156" t="s">
        <v>495</v>
      </c>
      <c r="AJ1156">
        <v>34.211511999999999</v>
      </c>
      <c r="AK1156" t="s">
        <v>496</v>
      </c>
      <c r="AL1156">
        <v>-116.95152299999999</v>
      </c>
      <c r="AM1156">
        <v>100</v>
      </c>
      <c r="AN1156">
        <v>9100</v>
      </c>
      <c r="AO1156" t="s">
        <v>118</v>
      </c>
      <c r="AP1156">
        <v>-105</v>
      </c>
      <c r="AQ1156">
        <v>-67</v>
      </c>
      <c r="AR1156">
        <v>-576</v>
      </c>
      <c r="AZ1156">
        <v>1200</v>
      </c>
      <c r="BA1156">
        <v>1</v>
      </c>
      <c r="BB1156" t="str">
        <f t="shared" si="612"/>
        <v xml:space="preserve">N9217B  </v>
      </c>
      <c r="BC1156">
        <v>1</v>
      </c>
      <c r="BE1156">
        <v>0</v>
      </c>
      <c r="BF1156">
        <v>0</v>
      </c>
      <c r="BG1156">
        <v>0</v>
      </c>
      <c r="BH1156">
        <v>9125</v>
      </c>
      <c r="BI1156">
        <v>1</v>
      </c>
      <c r="BJ1156">
        <v>0</v>
      </c>
      <c r="BK1156">
        <v>0</v>
      </c>
      <c r="BL1156">
        <v>0</v>
      </c>
      <c r="BO1156">
        <v>0</v>
      </c>
      <c r="BP1156">
        <v>0</v>
      </c>
      <c r="BW1156" t="str">
        <f t="shared" si="643"/>
        <v>14:51:56.976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293</v>
      </c>
      <c r="CR1156">
        <v>1</v>
      </c>
      <c r="CW1156">
        <v>15282474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25">
      <c r="A1157" t="str">
        <f t="shared" si="640"/>
        <v>06/05/2020 14:51:51.343</v>
      </c>
      <c r="C1157" t="str">
        <f t="shared" si="628"/>
        <v>FFDFD3C0</v>
      </c>
      <c r="D1157" t="s">
        <v>148</v>
      </c>
      <c r="E1157">
        <v>11</v>
      </c>
      <c r="H1157">
        <v>53</v>
      </c>
      <c r="I1157" t="s">
        <v>364</v>
      </c>
      <c r="J1157" t="s">
        <v>150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641"/>
        <v>14:51:56.969</v>
      </c>
      <c r="T1157" t="str">
        <f t="shared" si="642"/>
        <v>14:51:56.769</v>
      </c>
      <c r="U1157" t="str">
        <f t="shared" si="644"/>
        <v>ACC530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9</v>
      </c>
      <c r="AE1157">
        <v>0</v>
      </c>
      <c r="AF1157">
        <v>3</v>
      </c>
      <c r="AG1157">
        <v>1</v>
      </c>
      <c r="AH1157">
        <v>0</v>
      </c>
      <c r="AI1157" t="s">
        <v>495</v>
      </c>
      <c r="AJ1157">
        <v>34.211511999999999</v>
      </c>
      <c r="AK1157" t="s">
        <v>496</v>
      </c>
      <c r="AL1157">
        <v>-116.95152299999999</v>
      </c>
      <c r="AM1157">
        <v>100</v>
      </c>
      <c r="AN1157">
        <v>9100</v>
      </c>
      <c r="AO1157" t="s">
        <v>118</v>
      </c>
      <c r="AP1157">
        <v>-105</v>
      </c>
      <c r="AQ1157">
        <v>-67</v>
      </c>
      <c r="AR1157">
        <v>-576</v>
      </c>
      <c r="AZ1157">
        <v>1200</v>
      </c>
      <c r="BA1157">
        <v>1</v>
      </c>
      <c r="BB1157" t="str">
        <f t="shared" ref="BB1157:BB1220" si="645">"N9217B  "</f>
        <v xml:space="preserve">N9217B  </v>
      </c>
      <c r="BC1157">
        <v>1</v>
      </c>
      <c r="BE1157">
        <v>0</v>
      </c>
      <c r="BF1157">
        <v>0</v>
      </c>
      <c r="BG1157">
        <v>0</v>
      </c>
      <c r="BH1157">
        <v>9125</v>
      </c>
      <c r="BI1157">
        <v>1</v>
      </c>
      <c r="BJ1157">
        <v>0</v>
      </c>
      <c r="BK1157">
        <v>0</v>
      </c>
      <c r="BL1157">
        <v>0</v>
      </c>
      <c r="BO1157">
        <v>0</v>
      </c>
      <c r="BP1157">
        <v>0</v>
      </c>
      <c r="BW1157" t="str">
        <f t="shared" si="643"/>
        <v>14:51:56.976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293</v>
      </c>
      <c r="CR1157">
        <v>1</v>
      </c>
      <c r="CW1157">
        <v>15282474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25">
      <c r="A1158" t="str">
        <f t="shared" si="640"/>
        <v>06/05/2020 14:51:51.343</v>
      </c>
      <c r="C1158" t="str">
        <f t="shared" si="628"/>
        <v>FFDFD3C0</v>
      </c>
      <c r="D1158" t="s">
        <v>143</v>
      </c>
      <c r="E1158">
        <v>10</v>
      </c>
      <c r="F1158">
        <v>3010</v>
      </c>
      <c r="G1158" t="s">
        <v>144</v>
      </c>
      <c r="J1158" t="s">
        <v>145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641"/>
        <v>14:51:56.969</v>
      </c>
      <c r="T1158" t="str">
        <f t="shared" si="642"/>
        <v>14:51:56.769</v>
      </c>
      <c r="U1158" t="str">
        <f t="shared" si="644"/>
        <v>ACC530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9</v>
      </c>
      <c r="AE1158">
        <v>0</v>
      </c>
      <c r="AF1158">
        <v>3</v>
      </c>
      <c r="AG1158">
        <v>1</v>
      </c>
      <c r="AH1158">
        <v>0</v>
      </c>
      <c r="AI1158" t="s">
        <v>495</v>
      </c>
      <c r="AJ1158">
        <v>34.211511999999999</v>
      </c>
      <c r="AK1158" t="s">
        <v>496</v>
      </c>
      <c r="AL1158">
        <v>-116.95152299999999</v>
      </c>
      <c r="AM1158">
        <v>100</v>
      </c>
      <c r="AN1158">
        <v>9100</v>
      </c>
      <c r="AO1158" t="s">
        <v>118</v>
      </c>
      <c r="AP1158">
        <v>-105</v>
      </c>
      <c r="AQ1158">
        <v>-67</v>
      </c>
      <c r="AR1158">
        <v>-576</v>
      </c>
      <c r="AZ1158">
        <v>1200</v>
      </c>
      <c r="BA1158">
        <v>1</v>
      </c>
      <c r="BB1158" t="str">
        <f t="shared" si="645"/>
        <v xml:space="preserve">N9217B  </v>
      </c>
      <c r="BC1158">
        <v>1</v>
      </c>
      <c r="BE1158">
        <v>0</v>
      </c>
      <c r="BF1158">
        <v>0</v>
      </c>
      <c r="BG1158">
        <v>0</v>
      </c>
      <c r="BH1158">
        <v>9125</v>
      </c>
      <c r="BI1158">
        <v>1</v>
      </c>
      <c r="BJ1158">
        <v>0</v>
      </c>
      <c r="BK1158">
        <v>0</v>
      </c>
      <c r="BL1158">
        <v>0</v>
      </c>
      <c r="BO1158">
        <v>0</v>
      </c>
      <c r="BP1158">
        <v>0</v>
      </c>
      <c r="BW1158" t="str">
        <f t="shared" si="643"/>
        <v>14:51:56.976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293</v>
      </c>
      <c r="CR1158">
        <v>1</v>
      </c>
      <c r="CW1158">
        <v>15282474</v>
      </c>
      <c r="CY1158">
        <v>0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25">
      <c r="A1159" t="str">
        <f t="shared" si="640"/>
        <v>06/05/2020 14:51:51.343</v>
      </c>
      <c r="C1159" t="str">
        <f t="shared" si="628"/>
        <v>FFDFD3C0</v>
      </c>
      <c r="D1159" t="s">
        <v>134</v>
      </c>
      <c r="E1159">
        <v>7</v>
      </c>
      <c r="F1159">
        <v>2007</v>
      </c>
      <c r="G1159" t="s">
        <v>135</v>
      </c>
      <c r="J1159" t="s">
        <v>136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641"/>
        <v>14:51:56.969</v>
      </c>
      <c r="T1159" t="str">
        <f t="shared" si="642"/>
        <v>14:51:56.769</v>
      </c>
      <c r="U1159" t="str">
        <f t="shared" si="644"/>
        <v>ACC530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1</v>
      </c>
      <c r="AH1159">
        <v>0</v>
      </c>
      <c r="AI1159" t="s">
        <v>495</v>
      </c>
      <c r="AJ1159">
        <v>34.211511999999999</v>
      </c>
      <c r="AK1159" t="s">
        <v>496</v>
      </c>
      <c r="AL1159">
        <v>-116.95152299999999</v>
      </c>
      <c r="AM1159">
        <v>100</v>
      </c>
      <c r="AN1159">
        <v>9100</v>
      </c>
      <c r="AO1159" t="s">
        <v>118</v>
      </c>
      <c r="AP1159">
        <v>-105</v>
      </c>
      <c r="AQ1159">
        <v>-67</v>
      </c>
      <c r="AR1159">
        <v>-576</v>
      </c>
      <c r="AZ1159">
        <v>1200</v>
      </c>
      <c r="BA1159">
        <v>1</v>
      </c>
      <c r="BB1159" t="str">
        <f t="shared" si="645"/>
        <v xml:space="preserve">N9217B  </v>
      </c>
      <c r="BC1159">
        <v>1</v>
      </c>
      <c r="BE1159">
        <v>0</v>
      </c>
      <c r="BF1159">
        <v>0</v>
      </c>
      <c r="BG1159">
        <v>0</v>
      </c>
      <c r="BH1159">
        <v>9125</v>
      </c>
      <c r="BI1159">
        <v>1</v>
      </c>
      <c r="BJ1159">
        <v>0</v>
      </c>
      <c r="BK1159">
        <v>0</v>
      </c>
      <c r="BL1159">
        <v>0</v>
      </c>
      <c r="BO1159">
        <v>0</v>
      </c>
      <c r="BP1159">
        <v>0</v>
      </c>
      <c r="BW1159" t="str">
        <f t="shared" si="643"/>
        <v>14:51:56.976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293</v>
      </c>
      <c r="CR1159">
        <v>1</v>
      </c>
      <c r="CW1159">
        <v>15282474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25">
      <c r="A1160" t="str">
        <f t="shared" ref="A1160:A1167" si="646">"06/05/2020 14:51:52.210"</f>
        <v>06/05/2020 14:51:52.210</v>
      </c>
      <c r="C1160" t="str">
        <f t="shared" si="628"/>
        <v>FFDFD3C0</v>
      </c>
      <c r="D1160" t="s">
        <v>151</v>
      </c>
      <c r="E1160">
        <v>9</v>
      </c>
      <c r="H1160">
        <v>226</v>
      </c>
      <c r="I1160" t="s">
        <v>152</v>
      </c>
      <c r="J1160" t="s">
        <v>150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ref="S1160:S1167" si="647">"14:51:57.875"</f>
        <v>14:51:57.875</v>
      </c>
      <c r="T1160" t="str">
        <f t="shared" ref="T1160:T1167" si="648">"14:51:57.775"</f>
        <v>14:51:57.775</v>
      </c>
      <c r="U1160" t="str">
        <f t="shared" si="644"/>
        <v>ACC530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1</v>
      </c>
      <c r="AH1160">
        <v>0</v>
      </c>
      <c r="AI1160" t="s">
        <v>497</v>
      </c>
      <c r="AJ1160">
        <v>34.211233</v>
      </c>
      <c r="AK1160" t="s">
        <v>498</v>
      </c>
      <c r="AL1160">
        <v>-116.952038</v>
      </c>
      <c r="AM1160">
        <v>100</v>
      </c>
      <c r="AN1160">
        <v>9100</v>
      </c>
      <c r="AO1160" t="s">
        <v>118</v>
      </c>
      <c r="AP1160">
        <v>-105</v>
      </c>
      <c r="AQ1160">
        <v>-68</v>
      </c>
      <c r="AR1160">
        <v>-512</v>
      </c>
      <c r="AZ1160">
        <v>1200</v>
      </c>
      <c r="BA1160">
        <v>1</v>
      </c>
      <c r="BB1160" t="str">
        <f t="shared" si="645"/>
        <v xml:space="preserve">N9217B  </v>
      </c>
      <c r="BC1160">
        <v>1</v>
      </c>
      <c r="BE1160">
        <v>0</v>
      </c>
      <c r="BF1160">
        <v>0</v>
      </c>
      <c r="BG1160">
        <v>0</v>
      </c>
      <c r="BH1160">
        <v>9100</v>
      </c>
      <c r="BI1160">
        <v>1</v>
      </c>
      <c r="BJ1160">
        <v>0</v>
      </c>
      <c r="BK1160">
        <v>0</v>
      </c>
      <c r="BL1160">
        <v>0</v>
      </c>
      <c r="BO1160">
        <v>0</v>
      </c>
      <c r="BP1160">
        <v>0</v>
      </c>
      <c r="BW1160" t="str">
        <f t="shared" ref="BW1160:BW1167" si="649">"14:51:57.876"</f>
        <v>14:51:57.876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293</v>
      </c>
      <c r="CR1160">
        <v>1</v>
      </c>
      <c r="CW1160">
        <v>15282579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25">
      <c r="A1161" t="str">
        <f t="shared" si="646"/>
        <v>06/05/2020 14:51:52.210</v>
      </c>
      <c r="C1161" t="str">
        <f t="shared" si="628"/>
        <v>FFDFD3C0</v>
      </c>
      <c r="D1161" t="s">
        <v>148</v>
      </c>
      <c r="E1161">
        <v>11</v>
      </c>
      <c r="H1161">
        <v>53</v>
      </c>
      <c r="I1161" t="s">
        <v>364</v>
      </c>
      <c r="J1161" t="s">
        <v>150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647"/>
        <v>14:51:57.875</v>
      </c>
      <c r="T1161" t="str">
        <f t="shared" si="648"/>
        <v>14:51:57.775</v>
      </c>
      <c r="U1161" t="str">
        <f t="shared" si="644"/>
        <v>ACC530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1</v>
      </c>
      <c r="AH1161">
        <v>0</v>
      </c>
      <c r="AI1161" t="s">
        <v>497</v>
      </c>
      <c r="AJ1161">
        <v>34.211233</v>
      </c>
      <c r="AK1161" t="s">
        <v>498</v>
      </c>
      <c r="AL1161">
        <v>-116.952038</v>
      </c>
      <c r="AM1161">
        <v>100</v>
      </c>
      <c r="AN1161">
        <v>9100</v>
      </c>
      <c r="AO1161" t="s">
        <v>118</v>
      </c>
      <c r="AP1161">
        <v>-105</v>
      </c>
      <c r="AQ1161">
        <v>-68</v>
      </c>
      <c r="AR1161">
        <v>-512</v>
      </c>
      <c r="AZ1161">
        <v>1200</v>
      </c>
      <c r="BA1161">
        <v>1</v>
      </c>
      <c r="BB1161" t="str">
        <f t="shared" si="645"/>
        <v xml:space="preserve">N9217B  </v>
      </c>
      <c r="BC1161">
        <v>1</v>
      </c>
      <c r="BE1161">
        <v>0</v>
      </c>
      <c r="BF1161">
        <v>0</v>
      </c>
      <c r="BG1161">
        <v>0</v>
      </c>
      <c r="BH1161">
        <v>9100</v>
      </c>
      <c r="BI1161">
        <v>1</v>
      </c>
      <c r="BJ1161">
        <v>0</v>
      </c>
      <c r="BK1161">
        <v>0</v>
      </c>
      <c r="BL1161">
        <v>0</v>
      </c>
      <c r="BO1161">
        <v>0</v>
      </c>
      <c r="BP1161">
        <v>0</v>
      </c>
      <c r="BW1161" t="str">
        <f t="shared" si="649"/>
        <v>14:51:57.876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293</v>
      </c>
      <c r="CR1161">
        <v>1</v>
      </c>
      <c r="CW1161">
        <v>15282579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25">
      <c r="A1162" t="str">
        <f t="shared" si="646"/>
        <v>06/05/2020 14:51:52.210</v>
      </c>
      <c r="C1162" t="str">
        <f t="shared" si="628"/>
        <v>FFDFD3C0</v>
      </c>
      <c r="D1162" t="s">
        <v>143</v>
      </c>
      <c r="E1162">
        <v>10</v>
      </c>
      <c r="F1162">
        <v>3010</v>
      </c>
      <c r="G1162" t="s">
        <v>144</v>
      </c>
      <c r="J1162" t="s">
        <v>145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647"/>
        <v>14:51:57.875</v>
      </c>
      <c r="T1162" t="str">
        <f t="shared" si="648"/>
        <v>14:51:57.775</v>
      </c>
      <c r="U1162" t="str">
        <f t="shared" si="644"/>
        <v>ACC530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1</v>
      </c>
      <c r="AH1162">
        <v>0</v>
      </c>
      <c r="AI1162" t="s">
        <v>497</v>
      </c>
      <c r="AJ1162">
        <v>34.211233</v>
      </c>
      <c r="AK1162" t="s">
        <v>498</v>
      </c>
      <c r="AL1162">
        <v>-116.952038</v>
      </c>
      <c r="AM1162">
        <v>100</v>
      </c>
      <c r="AN1162">
        <v>9100</v>
      </c>
      <c r="AO1162" t="s">
        <v>118</v>
      </c>
      <c r="AP1162">
        <v>-105</v>
      </c>
      <c r="AQ1162">
        <v>-68</v>
      </c>
      <c r="AR1162">
        <v>-512</v>
      </c>
      <c r="AZ1162">
        <v>1200</v>
      </c>
      <c r="BA1162">
        <v>1</v>
      </c>
      <c r="BB1162" t="str">
        <f t="shared" si="645"/>
        <v xml:space="preserve">N9217B  </v>
      </c>
      <c r="BC1162">
        <v>1</v>
      </c>
      <c r="BE1162">
        <v>0</v>
      </c>
      <c r="BF1162">
        <v>0</v>
      </c>
      <c r="BG1162">
        <v>0</v>
      </c>
      <c r="BH1162">
        <v>9100</v>
      </c>
      <c r="BI1162">
        <v>1</v>
      </c>
      <c r="BJ1162">
        <v>0</v>
      </c>
      <c r="BK1162">
        <v>0</v>
      </c>
      <c r="BL1162">
        <v>0</v>
      </c>
      <c r="BO1162">
        <v>0</v>
      </c>
      <c r="BP1162">
        <v>0</v>
      </c>
      <c r="BW1162" t="str">
        <f t="shared" si="649"/>
        <v>14:51:57.876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293</v>
      </c>
      <c r="CR1162">
        <v>1</v>
      </c>
      <c r="CW1162">
        <v>15282579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25">
      <c r="A1163" t="str">
        <f t="shared" si="646"/>
        <v>06/05/2020 14:51:52.210</v>
      </c>
      <c r="C1163" t="str">
        <f t="shared" si="628"/>
        <v>FFDFD3C0</v>
      </c>
      <c r="D1163" t="s">
        <v>134</v>
      </c>
      <c r="E1163">
        <v>7</v>
      </c>
      <c r="F1163">
        <v>2007</v>
      </c>
      <c r="G1163" t="s">
        <v>135</v>
      </c>
      <c r="J1163" t="s">
        <v>136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647"/>
        <v>14:51:57.875</v>
      </c>
      <c r="T1163" t="str">
        <f t="shared" si="648"/>
        <v>14:51:57.775</v>
      </c>
      <c r="U1163" t="str">
        <f t="shared" si="644"/>
        <v>ACC530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1</v>
      </c>
      <c r="AH1163">
        <v>0</v>
      </c>
      <c r="AI1163" t="s">
        <v>497</v>
      </c>
      <c r="AJ1163">
        <v>34.211233</v>
      </c>
      <c r="AK1163" t="s">
        <v>498</v>
      </c>
      <c r="AL1163">
        <v>-116.952038</v>
      </c>
      <c r="AM1163">
        <v>100</v>
      </c>
      <c r="AN1163">
        <v>9100</v>
      </c>
      <c r="AO1163" t="s">
        <v>118</v>
      </c>
      <c r="AP1163">
        <v>-105</v>
      </c>
      <c r="AQ1163">
        <v>-68</v>
      </c>
      <c r="AR1163">
        <v>-512</v>
      </c>
      <c r="AZ1163">
        <v>1200</v>
      </c>
      <c r="BA1163">
        <v>1</v>
      </c>
      <c r="BB1163" t="str">
        <f t="shared" si="645"/>
        <v xml:space="preserve">N9217B  </v>
      </c>
      <c r="BC1163">
        <v>1</v>
      </c>
      <c r="BE1163">
        <v>0</v>
      </c>
      <c r="BF1163">
        <v>0</v>
      </c>
      <c r="BG1163">
        <v>0</v>
      </c>
      <c r="BH1163">
        <v>9100</v>
      </c>
      <c r="BI1163">
        <v>1</v>
      </c>
      <c r="BJ1163">
        <v>0</v>
      </c>
      <c r="BK1163">
        <v>0</v>
      </c>
      <c r="BL1163">
        <v>0</v>
      </c>
      <c r="BO1163">
        <v>0</v>
      </c>
      <c r="BP1163">
        <v>0</v>
      </c>
      <c r="BW1163" t="str">
        <f t="shared" si="649"/>
        <v>14:51:57.876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293</v>
      </c>
      <c r="CR1163">
        <v>1</v>
      </c>
      <c r="CW1163">
        <v>15282579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25">
      <c r="A1164" t="str">
        <f t="shared" si="646"/>
        <v>06/05/2020 14:51:52.210</v>
      </c>
      <c r="C1164" t="str">
        <f t="shared" si="628"/>
        <v>FFDFD3C0</v>
      </c>
      <c r="D1164" t="s">
        <v>141</v>
      </c>
      <c r="E1164">
        <v>20</v>
      </c>
      <c r="F1164">
        <v>1020</v>
      </c>
      <c r="G1164" t="s">
        <v>114</v>
      </c>
      <c r="J1164" t="s">
        <v>142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647"/>
        <v>14:51:57.875</v>
      </c>
      <c r="T1164" t="str">
        <f t="shared" si="648"/>
        <v>14:51:57.775</v>
      </c>
      <c r="U1164" t="str">
        <f t="shared" si="644"/>
        <v>ACC530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1</v>
      </c>
      <c r="AH1164">
        <v>0</v>
      </c>
      <c r="AI1164" t="s">
        <v>497</v>
      </c>
      <c r="AJ1164">
        <v>34.211233</v>
      </c>
      <c r="AK1164" t="s">
        <v>498</v>
      </c>
      <c r="AL1164">
        <v>-116.952038</v>
      </c>
      <c r="AM1164">
        <v>100</v>
      </c>
      <c r="AN1164">
        <v>9100</v>
      </c>
      <c r="AO1164" t="s">
        <v>118</v>
      </c>
      <c r="AP1164">
        <v>-105</v>
      </c>
      <c r="AQ1164">
        <v>-68</v>
      </c>
      <c r="AR1164">
        <v>-512</v>
      </c>
      <c r="AZ1164">
        <v>1200</v>
      </c>
      <c r="BA1164">
        <v>1</v>
      </c>
      <c r="BB1164" t="str">
        <f t="shared" si="645"/>
        <v xml:space="preserve">N9217B  </v>
      </c>
      <c r="BC1164">
        <v>1</v>
      </c>
      <c r="BE1164">
        <v>0</v>
      </c>
      <c r="BF1164">
        <v>0</v>
      </c>
      <c r="BG1164">
        <v>0</v>
      </c>
      <c r="BH1164">
        <v>9100</v>
      </c>
      <c r="BI1164">
        <v>1</v>
      </c>
      <c r="BJ1164">
        <v>0</v>
      </c>
      <c r="BK1164">
        <v>0</v>
      </c>
      <c r="BL1164">
        <v>0</v>
      </c>
      <c r="BO1164">
        <v>0</v>
      </c>
      <c r="BP1164">
        <v>0</v>
      </c>
      <c r="BW1164" t="str">
        <f t="shared" si="649"/>
        <v>14:51:57.876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293</v>
      </c>
      <c r="CR1164">
        <v>1</v>
      </c>
      <c r="CW1164">
        <v>15282579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25">
      <c r="A1165" t="str">
        <f t="shared" si="646"/>
        <v>06/05/2020 14:51:52.210</v>
      </c>
      <c r="C1165" t="str">
        <f t="shared" si="628"/>
        <v>FFDFD3C0</v>
      </c>
      <c r="D1165" t="s">
        <v>151</v>
      </c>
      <c r="E1165">
        <v>8</v>
      </c>
      <c r="H1165">
        <v>225</v>
      </c>
      <c r="I1165" t="s">
        <v>353</v>
      </c>
      <c r="J1165" t="s">
        <v>150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647"/>
        <v>14:51:57.875</v>
      </c>
      <c r="T1165" t="str">
        <f t="shared" si="648"/>
        <v>14:51:57.775</v>
      </c>
      <c r="U1165" t="str">
        <f t="shared" si="644"/>
        <v>ACC530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1</v>
      </c>
      <c r="AH1165">
        <v>0</v>
      </c>
      <c r="AI1165" t="s">
        <v>497</v>
      </c>
      <c r="AJ1165">
        <v>34.211233</v>
      </c>
      <c r="AK1165" t="s">
        <v>498</v>
      </c>
      <c r="AL1165">
        <v>-116.952038</v>
      </c>
      <c r="AM1165">
        <v>100</v>
      </c>
      <c r="AN1165">
        <v>9100</v>
      </c>
      <c r="AO1165" t="s">
        <v>118</v>
      </c>
      <c r="AP1165">
        <v>-105</v>
      </c>
      <c r="AQ1165">
        <v>-68</v>
      </c>
      <c r="AR1165">
        <v>-512</v>
      </c>
      <c r="AZ1165">
        <v>1200</v>
      </c>
      <c r="BA1165">
        <v>1</v>
      </c>
      <c r="BB1165" t="str">
        <f t="shared" si="645"/>
        <v xml:space="preserve">N9217B  </v>
      </c>
      <c r="BC1165">
        <v>1</v>
      </c>
      <c r="BE1165">
        <v>0</v>
      </c>
      <c r="BF1165">
        <v>0</v>
      </c>
      <c r="BG1165">
        <v>0</v>
      </c>
      <c r="BH1165">
        <v>9100</v>
      </c>
      <c r="BI1165">
        <v>1</v>
      </c>
      <c r="BJ1165">
        <v>0</v>
      </c>
      <c r="BK1165">
        <v>0</v>
      </c>
      <c r="BL1165">
        <v>0</v>
      </c>
      <c r="BO1165">
        <v>0</v>
      </c>
      <c r="BP1165">
        <v>0</v>
      </c>
      <c r="BW1165" t="str">
        <f t="shared" si="649"/>
        <v>14:51:57.876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285</v>
      </c>
      <c r="CR1165">
        <v>0</v>
      </c>
      <c r="CW1165">
        <v>8849591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25">
      <c r="A1166" t="str">
        <f t="shared" si="646"/>
        <v>06/05/2020 14:51:52.210</v>
      </c>
      <c r="C1166" t="str">
        <f t="shared" si="628"/>
        <v>FFDFD3C0</v>
      </c>
      <c r="D1166" t="s">
        <v>148</v>
      </c>
      <c r="E1166">
        <v>8</v>
      </c>
      <c r="H1166">
        <v>50</v>
      </c>
      <c r="I1166" t="s">
        <v>149</v>
      </c>
      <c r="J1166" t="s">
        <v>150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647"/>
        <v>14:51:57.875</v>
      </c>
      <c r="T1166" t="str">
        <f t="shared" si="648"/>
        <v>14:51:57.775</v>
      </c>
      <c r="U1166" t="str">
        <f t="shared" si="644"/>
        <v>ACC530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1</v>
      </c>
      <c r="AH1166">
        <v>0</v>
      </c>
      <c r="AI1166" t="s">
        <v>497</v>
      </c>
      <c r="AJ1166">
        <v>34.211233</v>
      </c>
      <c r="AK1166" t="s">
        <v>498</v>
      </c>
      <c r="AL1166">
        <v>-116.952038</v>
      </c>
      <c r="AM1166">
        <v>100</v>
      </c>
      <c r="AN1166">
        <v>9100</v>
      </c>
      <c r="AO1166" t="s">
        <v>118</v>
      </c>
      <c r="AP1166">
        <v>-105</v>
      </c>
      <c r="AQ1166">
        <v>-68</v>
      </c>
      <c r="AR1166">
        <v>-512</v>
      </c>
      <c r="AZ1166">
        <v>1200</v>
      </c>
      <c r="BA1166">
        <v>1</v>
      </c>
      <c r="BB1166" t="str">
        <f t="shared" si="645"/>
        <v xml:space="preserve">N9217B  </v>
      </c>
      <c r="BC1166">
        <v>1</v>
      </c>
      <c r="BE1166">
        <v>0</v>
      </c>
      <c r="BF1166">
        <v>0</v>
      </c>
      <c r="BG1166">
        <v>0</v>
      </c>
      <c r="BH1166">
        <v>9100</v>
      </c>
      <c r="BI1166">
        <v>1</v>
      </c>
      <c r="BJ1166">
        <v>0</v>
      </c>
      <c r="BK1166">
        <v>0</v>
      </c>
      <c r="BL1166">
        <v>0</v>
      </c>
      <c r="BO1166">
        <v>0</v>
      </c>
      <c r="BP1166">
        <v>0</v>
      </c>
      <c r="BW1166" t="str">
        <f t="shared" si="649"/>
        <v>14:51:57.876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293</v>
      </c>
      <c r="CR1166">
        <v>1</v>
      </c>
      <c r="CW1166">
        <v>15282579</v>
      </c>
      <c r="CY1166">
        <v>0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25">
      <c r="A1167" t="str">
        <f t="shared" si="646"/>
        <v>06/05/2020 14:51:52.210</v>
      </c>
      <c r="C1167" t="str">
        <f t="shared" si="628"/>
        <v>FFDFD3C0</v>
      </c>
      <c r="D1167" t="s">
        <v>113</v>
      </c>
      <c r="E1167">
        <v>3</v>
      </c>
      <c r="H1167">
        <v>166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647"/>
        <v>14:51:57.875</v>
      </c>
      <c r="T1167" t="str">
        <f t="shared" si="648"/>
        <v>14:51:57.775</v>
      </c>
      <c r="U1167" t="str">
        <f t="shared" si="644"/>
        <v>ACC530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1</v>
      </c>
      <c r="AH1167">
        <v>0</v>
      </c>
      <c r="AI1167" t="s">
        <v>497</v>
      </c>
      <c r="AJ1167">
        <v>34.211233</v>
      </c>
      <c r="AK1167" t="s">
        <v>498</v>
      </c>
      <c r="AL1167">
        <v>-116.952038</v>
      </c>
      <c r="AM1167">
        <v>100</v>
      </c>
      <c r="AN1167">
        <v>9100</v>
      </c>
      <c r="AO1167" t="s">
        <v>118</v>
      </c>
      <c r="AP1167">
        <v>-105</v>
      </c>
      <c r="AQ1167">
        <v>-68</v>
      </c>
      <c r="AR1167">
        <v>-512</v>
      </c>
      <c r="AZ1167">
        <v>1200</v>
      </c>
      <c r="BA1167">
        <v>1</v>
      </c>
      <c r="BB1167" t="str">
        <f t="shared" si="645"/>
        <v xml:space="preserve">N9217B  </v>
      </c>
      <c r="BC1167">
        <v>1</v>
      </c>
      <c r="BE1167">
        <v>0</v>
      </c>
      <c r="BF1167">
        <v>0</v>
      </c>
      <c r="BG1167">
        <v>0</v>
      </c>
      <c r="BH1167">
        <v>9100</v>
      </c>
      <c r="BI1167">
        <v>1</v>
      </c>
      <c r="BJ1167">
        <v>0</v>
      </c>
      <c r="BK1167">
        <v>0</v>
      </c>
      <c r="BL1167">
        <v>0</v>
      </c>
      <c r="BO1167">
        <v>0</v>
      </c>
      <c r="BP1167">
        <v>0</v>
      </c>
      <c r="BW1167" t="str">
        <f t="shared" si="649"/>
        <v>14:51:57.876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293</v>
      </c>
      <c r="CR1167">
        <v>1</v>
      </c>
      <c r="CW1167">
        <v>15282579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25">
      <c r="A1168" t="str">
        <f t="shared" ref="A1168:A1175" si="650">"06/05/2020 14:51:53.251"</f>
        <v>06/05/2020 14:51:53.251</v>
      </c>
      <c r="C1168" t="str">
        <f t="shared" si="628"/>
        <v>FFDFD3C0</v>
      </c>
      <c r="D1168" t="s">
        <v>134</v>
      </c>
      <c r="E1168">
        <v>7</v>
      </c>
      <c r="F1168">
        <v>2007</v>
      </c>
      <c r="G1168" t="s">
        <v>135</v>
      </c>
      <c r="J1168" t="s">
        <v>136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ref="S1168:S1175" si="651">"14:51:58.906"</f>
        <v>14:51:58.906</v>
      </c>
      <c r="T1168" t="str">
        <f>"14:51:58.806"</f>
        <v>14:51:58.806</v>
      </c>
      <c r="U1168" t="str">
        <f t="shared" si="644"/>
        <v>ACC530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1</v>
      </c>
      <c r="AH1168">
        <v>0</v>
      </c>
      <c r="AI1168" t="s">
        <v>499</v>
      </c>
      <c r="AJ1168">
        <v>34.210932</v>
      </c>
      <c r="AK1168" t="s">
        <v>500</v>
      </c>
      <c r="AL1168">
        <v>-116.95265999999999</v>
      </c>
      <c r="AM1168">
        <v>100</v>
      </c>
      <c r="AN1168">
        <v>9100</v>
      </c>
      <c r="AO1168" t="s">
        <v>118</v>
      </c>
      <c r="AP1168">
        <v>-106</v>
      </c>
      <c r="AQ1168">
        <v>-68</v>
      </c>
      <c r="AR1168">
        <v>-448</v>
      </c>
      <c r="AZ1168">
        <v>1200</v>
      </c>
      <c r="BA1168">
        <v>1</v>
      </c>
      <c r="BB1168" t="str">
        <f t="shared" si="645"/>
        <v xml:space="preserve">N9217B  </v>
      </c>
      <c r="BC1168">
        <v>1</v>
      </c>
      <c r="BE1168">
        <v>0</v>
      </c>
      <c r="BF1168">
        <v>0</v>
      </c>
      <c r="BG1168">
        <v>0</v>
      </c>
      <c r="BH1168">
        <v>9100</v>
      </c>
      <c r="BI1168">
        <v>1</v>
      </c>
      <c r="BJ1168">
        <v>0</v>
      </c>
      <c r="BK1168">
        <v>0</v>
      </c>
      <c r="BL1168">
        <v>0</v>
      </c>
      <c r="BO1168">
        <v>0</v>
      </c>
      <c r="BP1168">
        <v>0</v>
      </c>
      <c r="BW1168" t="str">
        <f t="shared" ref="BW1168:BW1175" si="652">"14:51:58.911"</f>
        <v>14:51:58.911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293</v>
      </c>
      <c r="CR1168">
        <v>1</v>
      </c>
      <c r="CW1168">
        <v>15282687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25">
      <c r="A1169" t="str">
        <f t="shared" si="650"/>
        <v>06/05/2020 14:51:53.251</v>
      </c>
      <c r="C1169" t="str">
        <f t="shared" si="628"/>
        <v>FFDFD3C0</v>
      </c>
      <c r="D1169" t="s">
        <v>141</v>
      </c>
      <c r="E1169">
        <v>20</v>
      </c>
      <c r="F1169">
        <v>1020</v>
      </c>
      <c r="G1169" t="s">
        <v>114</v>
      </c>
      <c r="J1169" t="s">
        <v>142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651"/>
        <v>14:51:58.906</v>
      </c>
      <c r="T1169" t="str">
        <f>"14:51:58.806"</f>
        <v>14:51:58.806</v>
      </c>
      <c r="U1169" t="str">
        <f t="shared" si="644"/>
        <v>ACC530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1</v>
      </c>
      <c r="AH1169">
        <v>0</v>
      </c>
      <c r="AI1169" t="s">
        <v>499</v>
      </c>
      <c r="AJ1169">
        <v>34.210932</v>
      </c>
      <c r="AK1169" t="s">
        <v>500</v>
      </c>
      <c r="AL1169">
        <v>-116.95265999999999</v>
      </c>
      <c r="AM1169">
        <v>100</v>
      </c>
      <c r="AN1169">
        <v>9100</v>
      </c>
      <c r="AO1169" t="s">
        <v>118</v>
      </c>
      <c r="AP1169">
        <v>-106</v>
      </c>
      <c r="AQ1169">
        <v>-68</v>
      </c>
      <c r="AR1169">
        <v>-448</v>
      </c>
      <c r="AZ1169">
        <v>1200</v>
      </c>
      <c r="BA1169">
        <v>1</v>
      </c>
      <c r="BB1169" t="str">
        <f t="shared" si="645"/>
        <v xml:space="preserve">N9217B  </v>
      </c>
      <c r="BC1169">
        <v>1</v>
      </c>
      <c r="BE1169">
        <v>0</v>
      </c>
      <c r="BF1169">
        <v>0</v>
      </c>
      <c r="BG1169">
        <v>0</v>
      </c>
      <c r="BH1169">
        <v>9100</v>
      </c>
      <c r="BI1169">
        <v>1</v>
      </c>
      <c r="BJ1169">
        <v>0</v>
      </c>
      <c r="BK1169">
        <v>0</v>
      </c>
      <c r="BL1169">
        <v>0</v>
      </c>
      <c r="BO1169">
        <v>0</v>
      </c>
      <c r="BP1169">
        <v>0</v>
      </c>
      <c r="BW1169" t="str">
        <f t="shared" si="652"/>
        <v>14:51:58.911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293</v>
      </c>
      <c r="CR1169">
        <v>1</v>
      </c>
      <c r="CW1169">
        <v>15282687</v>
      </c>
      <c r="CY1169">
        <v>0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25">
      <c r="A1170" t="str">
        <f t="shared" si="650"/>
        <v>06/05/2020 14:51:53.251</v>
      </c>
      <c r="C1170" t="str">
        <f t="shared" si="628"/>
        <v>FFDFD3C0</v>
      </c>
      <c r="D1170" t="s">
        <v>151</v>
      </c>
      <c r="E1170">
        <v>8</v>
      </c>
      <c r="H1170">
        <v>225</v>
      </c>
      <c r="I1170" t="s">
        <v>353</v>
      </c>
      <c r="J1170" t="s">
        <v>150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651"/>
        <v>14:51:58.906</v>
      </c>
      <c r="T1170" t="str">
        <f>"14:51:58.206"</f>
        <v>14:51:58.206</v>
      </c>
      <c r="U1170" t="str">
        <f t="shared" si="644"/>
        <v>ACC530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1</v>
      </c>
      <c r="AH1170">
        <v>0</v>
      </c>
      <c r="AI1170" t="s">
        <v>499</v>
      </c>
      <c r="AJ1170">
        <v>34.210932</v>
      </c>
      <c r="AK1170" t="s">
        <v>500</v>
      </c>
      <c r="AL1170">
        <v>-116.95265999999999</v>
      </c>
      <c r="AM1170">
        <v>100</v>
      </c>
      <c r="AN1170">
        <v>9100</v>
      </c>
      <c r="AO1170" t="s">
        <v>118</v>
      </c>
      <c r="AP1170">
        <v>-106</v>
      </c>
      <c r="AQ1170">
        <v>-67</v>
      </c>
      <c r="AR1170">
        <v>-448</v>
      </c>
      <c r="AZ1170">
        <v>1200</v>
      </c>
      <c r="BA1170">
        <v>1</v>
      </c>
      <c r="BB1170" t="str">
        <f t="shared" si="645"/>
        <v xml:space="preserve">N9217B  </v>
      </c>
      <c r="BC1170">
        <v>1</v>
      </c>
      <c r="BE1170">
        <v>0</v>
      </c>
      <c r="BF1170">
        <v>0</v>
      </c>
      <c r="BG1170">
        <v>0</v>
      </c>
      <c r="BH1170">
        <v>9100</v>
      </c>
      <c r="BI1170">
        <v>1</v>
      </c>
      <c r="BJ1170">
        <v>0</v>
      </c>
      <c r="BK1170">
        <v>0</v>
      </c>
      <c r="BL1170">
        <v>0</v>
      </c>
      <c r="BO1170">
        <v>0</v>
      </c>
      <c r="BP1170">
        <v>0</v>
      </c>
      <c r="BW1170" t="str">
        <f t="shared" si="652"/>
        <v>14:51:58.911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285</v>
      </c>
      <c r="CR1170">
        <v>0</v>
      </c>
      <c r="CW1170">
        <v>8849688</v>
      </c>
      <c r="CY1170">
        <v>0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25">
      <c r="A1171" t="str">
        <f t="shared" si="650"/>
        <v>06/05/2020 14:51:53.251</v>
      </c>
      <c r="C1171" t="str">
        <f t="shared" si="628"/>
        <v>FFDFD3C0</v>
      </c>
      <c r="D1171" t="s">
        <v>148</v>
      </c>
      <c r="E1171">
        <v>8</v>
      </c>
      <c r="H1171">
        <v>50</v>
      </c>
      <c r="I1171" t="s">
        <v>149</v>
      </c>
      <c r="J1171" t="s">
        <v>150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651"/>
        <v>14:51:58.906</v>
      </c>
      <c r="T1171" t="str">
        <f>"14:51:58.806"</f>
        <v>14:51:58.806</v>
      </c>
      <c r="U1171" t="str">
        <f t="shared" si="644"/>
        <v>ACC530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1</v>
      </c>
      <c r="AH1171">
        <v>0</v>
      </c>
      <c r="AI1171" t="s">
        <v>499</v>
      </c>
      <c r="AJ1171">
        <v>34.210932</v>
      </c>
      <c r="AK1171" t="s">
        <v>500</v>
      </c>
      <c r="AL1171">
        <v>-116.95265999999999</v>
      </c>
      <c r="AM1171">
        <v>100</v>
      </c>
      <c r="AN1171">
        <v>9100</v>
      </c>
      <c r="AO1171" t="s">
        <v>118</v>
      </c>
      <c r="AP1171">
        <v>-106</v>
      </c>
      <c r="AQ1171">
        <v>-68</v>
      </c>
      <c r="AR1171">
        <v>-448</v>
      </c>
      <c r="AZ1171">
        <v>1200</v>
      </c>
      <c r="BA1171">
        <v>1</v>
      </c>
      <c r="BB1171" t="str">
        <f t="shared" si="645"/>
        <v xml:space="preserve">N9217B  </v>
      </c>
      <c r="BC1171">
        <v>1</v>
      </c>
      <c r="BE1171">
        <v>0</v>
      </c>
      <c r="BF1171">
        <v>0</v>
      </c>
      <c r="BG1171">
        <v>0</v>
      </c>
      <c r="BH1171">
        <v>9100</v>
      </c>
      <c r="BI1171">
        <v>1</v>
      </c>
      <c r="BJ1171">
        <v>0</v>
      </c>
      <c r="BK1171">
        <v>0</v>
      </c>
      <c r="BL1171">
        <v>0</v>
      </c>
      <c r="BO1171">
        <v>0</v>
      </c>
      <c r="BP1171">
        <v>0</v>
      </c>
      <c r="BW1171" t="str">
        <f t="shared" si="652"/>
        <v>14:51:58.911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293</v>
      </c>
      <c r="CR1171">
        <v>1</v>
      </c>
      <c r="CW1171">
        <v>15282687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25">
      <c r="A1172" t="str">
        <f t="shared" si="650"/>
        <v>06/05/2020 14:51:53.251</v>
      </c>
      <c r="C1172" t="str">
        <f t="shared" si="628"/>
        <v>FFDFD3C0</v>
      </c>
      <c r="D1172" t="s">
        <v>113</v>
      </c>
      <c r="E1172">
        <v>3</v>
      </c>
      <c r="H1172">
        <v>166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651"/>
        <v>14:51:58.906</v>
      </c>
      <c r="T1172" t="str">
        <f>"14:51:58.806"</f>
        <v>14:51:58.806</v>
      </c>
      <c r="U1172" t="str">
        <f t="shared" si="644"/>
        <v>ACC530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1</v>
      </c>
      <c r="AH1172">
        <v>0</v>
      </c>
      <c r="AI1172" t="s">
        <v>499</v>
      </c>
      <c r="AJ1172">
        <v>34.210932</v>
      </c>
      <c r="AK1172" t="s">
        <v>500</v>
      </c>
      <c r="AL1172">
        <v>-116.95265999999999</v>
      </c>
      <c r="AM1172">
        <v>100</v>
      </c>
      <c r="AN1172">
        <v>9100</v>
      </c>
      <c r="AO1172" t="s">
        <v>118</v>
      </c>
      <c r="AP1172">
        <v>-106</v>
      </c>
      <c r="AQ1172">
        <v>-68</v>
      </c>
      <c r="AR1172">
        <v>-448</v>
      </c>
      <c r="AZ1172">
        <v>1200</v>
      </c>
      <c r="BA1172">
        <v>1</v>
      </c>
      <c r="BB1172" t="str">
        <f t="shared" si="645"/>
        <v xml:space="preserve">N9217B  </v>
      </c>
      <c r="BC1172">
        <v>1</v>
      </c>
      <c r="BE1172">
        <v>0</v>
      </c>
      <c r="BF1172">
        <v>0</v>
      </c>
      <c r="BG1172">
        <v>0</v>
      </c>
      <c r="BH1172">
        <v>9100</v>
      </c>
      <c r="BI1172">
        <v>1</v>
      </c>
      <c r="BJ1172">
        <v>0</v>
      </c>
      <c r="BK1172">
        <v>0</v>
      </c>
      <c r="BL1172">
        <v>0</v>
      </c>
      <c r="BO1172">
        <v>0</v>
      </c>
      <c r="BP1172">
        <v>0</v>
      </c>
      <c r="BW1172" t="str">
        <f t="shared" si="652"/>
        <v>14:51:58.911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293</v>
      </c>
      <c r="CR1172">
        <v>1</v>
      </c>
      <c r="CW1172">
        <v>15282687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25">
      <c r="A1173" t="str">
        <f t="shared" si="650"/>
        <v>06/05/2020 14:51:53.251</v>
      </c>
      <c r="C1173" t="str">
        <f t="shared" si="628"/>
        <v>FFDFD3C0</v>
      </c>
      <c r="D1173" t="s">
        <v>151</v>
      </c>
      <c r="E1173">
        <v>9</v>
      </c>
      <c r="H1173">
        <v>226</v>
      </c>
      <c r="I1173" t="s">
        <v>152</v>
      </c>
      <c r="J1173" t="s">
        <v>150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651"/>
        <v>14:51:58.906</v>
      </c>
      <c r="T1173" t="str">
        <f>"14:51:58.806"</f>
        <v>14:51:58.806</v>
      </c>
      <c r="U1173" t="str">
        <f t="shared" si="644"/>
        <v>ACC530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1</v>
      </c>
      <c r="AH1173">
        <v>0</v>
      </c>
      <c r="AI1173" t="s">
        <v>499</v>
      </c>
      <c r="AJ1173">
        <v>34.210932</v>
      </c>
      <c r="AK1173" t="s">
        <v>500</v>
      </c>
      <c r="AL1173">
        <v>-116.95265999999999</v>
      </c>
      <c r="AM1173">
        <v>100</v>
      </c>
      <c r="AN1173">
        <v>9100</v>
      </c>
      <c r="AO1173" t="s">
        <v>118</v>
      </c>
      <c r="AP1173">
        <v>-106</v>
      </c>
      <c r="AQ1173">
        <v>-68</v>
      </c>
      <c r="AR1173">
        <v>-448</v>
      </c>
      <c r="AZ1173">
        <v>1200</v>
      </c>
      <c r="BA1173">
        <v>1</v>
      </c>
      <c r="BB1173" t="str">
        <f t="shared" si="645"/>
        <v xml:space="preserve">N9217B  </v>
      </c>
      <c r="BC1173">
        <v>1</v>
      </c>
      <c r="BE1173">
        <v>0</v>
      </c>
      <c r="BF1173">
        <v>0</v>
      </c>
      <c r="BG1173">
        <v>0</v>
      </c>
      <c r="BH1173">
        <v>9100</v>
      </c>
      <c r="BI1173">
        <v>1</v>
      </c>
      <c r="BJ1173">
        <v>0</v>
      </c>
      <c r="BK1173">
        <v>0</v>
      </c>
      <c r="BL1173">
        <v>0</v>
      </c>
      <c r="BO1173">
        <v>0</v>
      </c>
      <c r="BP1173">
        <v>0</v>
      </c>
      <c r="BW1173" t="str">
        <f t="shared" si="652"/>
        <v>14:51:58.911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293</v>
      </c>
      <c r="CR1173">
        <v>1</v>
      </c>
      <c r="CW1173">
        <v>15282687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25">
      <c r="A1174" t="str">
        <f t="shared" si="650"/>
        <v>06/05/2020 14:51:53.251</v>
      </c>
      <c r="C1174" t="str">
        <f t="shared" si="628"/>
        <v>FFDFD3C0</v>
      </c>
      <c r="D1174" t="s">
        <v>148</v>
      </c>
      <c r="E1174">
        <v>11</v>
      </c>
      <c r="H1174">
        <v>53</v>
      </c>
      <c r="I1174" t="s">
        <v>364</v>
      </c>
      <c r="J1174" t="s">
        <v>150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651"/>
        <v>14:51:58.906</v>
      </c>
      <c r="T1174" t="str">
        <f>"14:51:58.806"</f>
        <v>14:51:58.806</v>
      </c>
      <c r="U1174" t="str">
        <f t="shared" si="644"/>
        <v>ACC530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1</v>
      </c>
      <c r="AH1174">
        <v>0</v>
      </c>
      <c r="AI1174" t="s">
        <v>499</v>
      </c>
      <c r="AJ1174">
        <v>34.210932</v>
      </c>
      <c r="AK1174" t="s">
        <v>500</v>
      </c>
      <c r="AL1174">
        <v>-116.95265999999999</v>
      </c>
      <c r="AM1174">
        <v>100</v>
      </c>
      <c r="AN1174">
        <v>9100</v>
      </c>
      <c r="AO1174" t="s">
        <v>118</v>
      </c>
      <c r="AP1174">
        <v>-106</v>
      </c>
      <c r="AQ1174">
        <v>-68</v>
      </c>
      <c r="AR1174">
        <v>-448</v>
      </c>
      <c r="AZ1174">
        <v>1200</v>
      </c>
      <c r="BA1174">
        <v>1</v>
      </c>
      <c r="BB1174" t="str">
        <f t="shared" si="645"/>
        <v xml:space="preserve">N9217B  </v>
      </c>
      <c r="BC1174">
        <v>1</v>
      </c>
      <c r="BE1174">
        <v>0</v>
      </c>
      <c r="BF1174">
        <v>0</v>
      </c>
      <c r="BG1174">
        <v>0</v>
      </c>
      <c r="BH1174">
        <v>9100</v>
      </c>
      <c r="BI1174">
        <v>1</v>
      </c>
      <c r="BJ1174">
        <v>0</v>
      </c>
      <c r="BK1174">
        <v>0</v>
      </c>
      <c r="BL1174">
        <v>0</v>
      </c>
      <c r="BO1174">
        <v>0</v>
      </c>
      <c r="BP1174">
        <v>0</v>
      </c>
      <c r="BW1174" t="str">
        <f t="shared" si="652"/>
        <v>14:51:58.911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293</v>
      </c>
      <c r="CR1174">
        <v>1</v>
      </c>
      <c r="CW1174">
        <v>15282687</v>
      </c>
      <c r="CY1174">
        <v>0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25">
      <c r="A1175" t="str">
        <f t="shared" si="650"/>
        <v>06/05/2020 14:51:53.251</v>
      </c>
      <c r="C1175" t="str">
        <f t="shared" si="628"/>
        <v>FFDFD3C0</v>
      </c>
      <c r="D1175" t="s">
        <v>143</v>
      </c>
      <c r="E1175">
        <v>10</v>
      </c>
      <c r="F1175">
        <v>3010</v>
      </c>
      <c r="G1175" t="s">
        <v>144</v>
      </c>
      <c r="J1175" t="s">
        <v>145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651"/>
        <v>14:51:58.906</v>
      </c>
      <c r="T1175" t="str">
        <f>"14:51:58.806"</f>
        <v>14:51:58.806</v>
      </c>
      <c r="U1175" t="str">
        <f t="shared" si="644"/>
        <v>ACC530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1</v>
      </c>
      <c r="AH1175">
        <v>0</v>
      </c>
      <c r="AI1175" t="s">
        <v>499</v>
      </c>
      <c r="AJ1175">
        <v>34.210932</v>
      </c>
      <c r="AK1175" t="s">
        <v>500</v>
      </c>
      <c r="AL1175">
        <v>-116.95265999999999</v>
      </c>
      <c r="AM1175">
        <v>100</v>
      </c>
      <c r="AN1175">
        <v>9100</v>
      </c>
      <c r="AO1175" t="s">
        <v>118</v>
      </c>
      <c r="AP1175">
        <v>-106</v>
      </c>
      <c r="AQ1175">
        <v>-68</v>
      </c>
      <c r="AR1175">
        <v>-448</v>
      </c>
      <c r="AZ1175">
        <v>1200</v>
      </c>
      <c r="BA1175">
        <v>1</v>
      </c>
      <c r="BB1175" t="str">
        <f t="shared" si="645"/>
        <v xml:space="preserve">N9217B  </v>
      </c>
      <c r="BC1175">
        <v>1</v>
      </c>
      <c r="BE1175">
        <v>0</v>
      </c>
      <c r="BF1175">
        <v>0</v>
      </c>
      <c r="BG1175">
        <v>0</v>
      </c>
      <c r="BH1175">
        <v>9100</v>
      </c>
      <c r="BI1175">
        <v>1</v>
      </c>
      <c r="BJ1175">
        <v>0</v>
      </c>
      <c r="BK1175">
        <v>0</v>
      </c>
      <c r="BL1175">
        <v>0</v>
      </c>
      <c r="BO1175">
        <v>0</v>
      </c>
      <c r="BP1175">
        <v>0</v>
      </c>
      <c r="BW1175" t="str">
        <f t="shared" si="652"/>
        <v>14:51:58.911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293</v>
      </c>
      <c r="CR1175">
        <v>1</v>
      </c>
      <c r="CW1175">
        <v>15282687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25">
      <c r="A1176" t="str">
        <f t="shared" ref="A1176:A1183" si="653">"06/05/2020 14:51:54.194"</f>
        <v>06/05/2020 14:51:54.194</v>
      </c>
      <c r="C1176" t="str">
        <f t="shared" si="628"/>
        <v>FFDFD3C0</v>
      </c>
      <c r="D1176" t="s">
        <v>143</v>
      </c>
      <c r="E1176">
        <v>10</v>
      </c>
      <c r="F1176">
        <v>3010</v>
      </c>
      <c r="G1176" t="s">
        <v>144</v>
      </c>
      <c r="J1176" t="s">
        <v>145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ref="S1176:S1183" si="654">"14:51:59.852"</f>
        <v>14:51:59.852</v>
      </c>
      <c r="T1176" t="str">
        <f t="shared" ref="T1176:T1183" si="655">"14:51:59.752"</f>
        <v>14:51:59.752</v>
      </c>
      <c r="U1176" t="str">
        <f t="shared" si="644"/>
        <v>ACC530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1</v>
      </c>
      <c r="AH1176">
        <v>0</v>
      </c>
      <c r="AI1176" t="s">
        <v>501</v>
      </c>
      <c r="AJ1176">
        <v>34.210631999999997</v>
      </c>
      <c r="AK1176" t="s">
        <v>502</v>
      </c>
      <c r="AL1176">
        <v>-116.953239</v>
      </c>
      <c r="AM1176">
        <v>100</v>
      </c>
      <c r="AN1176">
        <v>9000</v>
      </c>
      <c r="AO1176" t="s">
        <v>118</v>
      </c>
      <c r="AP1176">
        <v>-106</v>
      </c>
      <c r="AQ1176">
        <v>-68</v>
      </c>
      <c r="AR1176">
        <v>-448</v>
      </c>
      <c r="AZ1176">
        <v>1200</v>
      </c>
      <c r="BA1176">
        <v>1</v>
      </c>
      <c r="BB1176" t="str">
        <f t="shared" si="645"/>
        <v xml:space="preserve">N9217B  </v>
      </c>
      <c r="BC1176">
        <v>1</v>
      </c>
      <c r="BE1176">
        <v>0</v>
      </c>
      <c r="BF1176">
        <v>0</v>
      </c>
      <c r="BG1176">
        <v>0</v>
      </c>
      <c r="BH1176">
        <v>9100</v>
      </c>
      <c r="BI1176">
        <v>1</v>
      </c>
      <c r="BJ1176">
        <v>0</v>
      </c>
      <c r="BK1176">
        <v>0</v>
      </c>
      <c r="BL1176">
        <v>0</v>
      </c>
      <c r="BO1176">
        <v>0</v>
      </c>
      <c r="BP1176">
        <v>0</v>
      </c>
      <c r="BW1176" t="str">
        <f t="shared" ref="BW1176:BW1183" si="656">"14:51:59.855"</f>
        <v>14:51:59.855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293</v>
      </c>
      <c r="CR1176">
        <v>1</v>
      </c>
      <c r="CW1176">
        <v>15282795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25">
      <c r="A1177" t="str">
        <f t="shared" si="653"/>
        <v>06/05/2020 14:51:54.194</v>
      </c>
      <c r="C1177" t="str">
        <f t="shared" si="628"/>
        <v>FFDFD3C0</v>
      </c>
      <c r="D1177" t="s">
        <v>148</v>
      </c>
      <c r="E1177">
        <v>11</v>
      </c>
      <c r="H1177">
        <v>53</v>
      </c>
      <c r="I1177" t="s">
        <v>364</v>
      </c>
      <c r="J1177" t="s">
        <v>150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654"/>
        <v>14:51:59.852</v>
      </c>
      <c r="T1177" t="str">
        <f t="shared" si="655"/>
        <v>14:51:59.752</v>
      </c>
      <c r="U1177" t="str">
        <f t="shared" si="644"/>
        <v>ACC530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1</v>
      </c>
      <c r="AH1177">
        <v>0</v>
      </c>
      <c r="AI1177" t="s">
        <v>501</v>
      </c>
      <c r="AJ1177">
        <v>34.210631999999997</v>
      </c>
      <c r="AK1177" t="s">
        <v>502</v>
      </c>
      <c r="AL1177">
        <v>-116.953239</v>
      </c>
      <c r="AM1177">
        <v>100</v>
      </c>
      <c r="AN1177">
        <v>9000</v>
      </c>
      <c r="AO1177" t="s">
        <v>118</v>
      </c>
      <c r="AP1177">
        <v>-106</v>
      </c>
      <c r="AQ1177">
        <v>-68</v>
      </c>
      <c r="AR1177">
        <v>-448</v>
      </c>
      <c r="AZ1177">
        <v>1200</v>
      </c>
      <c r="BA1177">
        <v>1</v>
      </c>
      <c r="BB1177" t="str">
        <f t="shared" si="645"/>
        <v xml:space="preserve">N9217B  </v>
      </c>
      <c r="BC1177">
        <v>1</v>
      </c>
      <c r="BE1177">
        <v>0</v>
      </c>
      <c r="BF1177">
        <v>0</v>
      </c>
      <c r="BG1177">
        <v>0</v>
      </c>
      <c r="BH1177">
        <v>9100</v>
      </c>
      <c r="BI1177">
        <v>1</v>
      </c>
      <c r="BJ1177">
        <v>0</v>
      </c>
      <c r="BK1177">
        <v>0</v>
      </c>
      <c r="BL1177">
        <v>0</v>
      </c>
      <c r="BO1177">
        <v>0</v>
      </c>
      <c r="BP1177">
        <v>0</v>
      </c>
      <c r="BW1177" t="str">
        <f t="shared" si="656"/>
        <v>14:51:59.855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293</v>
      </c>
      <c r="CR1177">
        <v>1</v>
      </c>
      <c r="CW1177">
        <v>15282795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25">
      <c r="A1178" t="str">
        <f t="shared" si="653"/>
        <v>06/05/2020 14:51:54.194</v>
      </c>
      <c r="C1178" t="str">
        <f t="shared" si="628"/>
        <v>FFDFD3C0</v>
      </c>
      <c r="D1178" t="s">
        <v>134</v>
      </c>
      <c r="E1178">
        <v>7</v>
      </c>
      <c r="F1178">
        <v>2007</v>
      </c>
      <c r="G1178" t="s">
        <v>135</v>
      </c>
      <c r="J1178" t="s">
        <v>136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654"/>
        <v>14:51:59.852</v>
      </c>
      <c r="T1178" t="str">
        <f t="shared" si="655"/>
        <v>14:51:59.752</v>
      </c>
      <c r="U1178" t="str">
        <f t="shared" si="644"/>
        <v>ACC530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1</v>
      </c>
      <c r="AH1178">
        <v>0</v>
      </c>
      <c r="AI1178" t="s">
        <v>501</v>
      </c>
      <c r="AJ1178">
        <v>34.210631999999997</v>
      </c>
      <c r="AK1178" t="s">
        <v>502</v>
      </c>
      <c r="AL1178">
        <v>-116.953239</v>
      </c>
      <c r="AM1178">
        <v>100</v>
      </c>
      <c r="AN1178">
        <v>9000</v>
      </c>
      <c r="AO1178" t="s">
        <v>118</v>
      </c>
      <c r="AP1178">
        <v>-106</v>
      </c>
      <c r="AQ1178">
        <v>-68</v>
      </c>
      <c r="AR1178">
        <v>-448</v>
      </c>
      <c r="AZ1178">
        <v>1200</v>
      </c>
      <c r="BA1178">
        <v>1</v>
      </c>
      <c r="BB1178" t="str">
        <f t="shared" si="645"/>
        <v xml:space="preserve">N9217B  </v>
      </c>
      <c r="BC1178">
        <v>1</v>
      </c>
      <c r="BE1178">
        <v>0</v>
      </c>
      <c r="BF1178">
        <v>0</v>
      </c>
      <c r="BG1178">
        <v>0</v>
      </c>
      <c r="BH1178">
        <v>9100</v>
      </c>
      <c r="BI1178">
        <v>1</v>
      </c>
      <c r="BJ1178">
        <v>0</v>
      </c>
      <c r="BK1178">
        <v>0</v>
      </c>
      <c r="BL1178">
        <v>0</v>
      </c>
      <c r="BO1178">
        <v>0</v>
      </c>
      <c r="BP1178">
        <v>0</v>
      </c>
      <c r="BW1178" t="str">
        <f t="shared" si="656"/>
        <v>14:51:59.855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293</v>
      </c>
      <c r="CR1178">
        <v>1</v>
      </c>
      <c r="CW1178">
        <v>15282795</v>
      </c>
      <c r="CY1178">
        <v>0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25">
      <c r="A1179" t="str">
        <f t="shared" si="653"/>
        <v>06/05/2020 14:51:54.194</v>
      </c>
      <c r="C1179" t="str">
        <f t="shared" si="628"/>
        <v>FFDFD3C0</v>
      </c>
      <c r="D1179" t="s">
        <v>141</v>
      </c>
      <c r="E1179">
        <v>20</v>
      </c>
      <c r="F1179">
        <v>1020</v>
      </c>
      <c r="G1179" t="s">
        <v>114</v>
      </c>
      <c r="J1179" t="s">
        <v>142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654"/>
        <v>14:51:59.852</v>
      </c>
      <c r="T1179" t="str">
        <f t="shared" si="655"/>
        <v>14:51:59.752</v>
      </c>
      <c r="U1179" t="str">
        <f t="shared" si="644"/>
        <v>ACC530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1</v>
      </c>
      <c r="AH1179">
        <v>0</v>
      </c>
      <c r="AI1179" t="s">
        <v>501</v>
      </c>
      <c r="AJ1179">
        <v>34.210631999999997</v>
      </c>
      <c r="AK1179" t="s">
        <v>502</v>
      </c>
      <c r="AL1179">
        <v>-116.953239</v>
      </c>
      <c r="AM1179">
        <v>100</v>
      </c>
      <c r="AN1179">
        <v>9000</v>
      </c>
      <c r="AO1179" t="s">
        <v>118</v>
      </c>
      <c r="AP1179">
        <v>-106</v>
      </c>
      <c r="AQ1179">
        <v>-68</v>
      </c>
      <c r="AR1179">
        <v>-448</v>
      </c>
      <c r="AZ1179">
        <v>1200</v>
      </c>
      <c r="BA1179">
        <v>1</v>
      </c>
      <c r="BB1179" t="str">
        <f t="shared" si="645"/>
        <v xml:space="preserve">N9217B  </v>
      </c>
      <c r="BC1179">
        <v>1</v>
      </c>
      <c r="BE1179">
        <v>0</v>
      </c>
      <c r="BF1179">
        <v>0</v>
      </c>
      <c r="BG1179">
        <v>0</v>
      </c>
      <c r="BH1179">
        <v>9100</v>
      </c>
      <c r="BI1179">
        <v>1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 t="shared" si="656"/>
        <v>14:51:59.855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293</v>
      </c>
      <c r="CR1179">
        <v>1</v>
      </c>
      <c r="CW1179">
        <v>15282795</v>
      </c>
      <c r="CY1179">
        <v>0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25">
      <c r="A1180" t="str">
        <f t="shared" si="653"/>
        <v>06/05/2020 14:51:54.194</v>
      </c>
      <c r="C1180" t="str">
        <f t="shared" si="628"/>
        <v>FFDFD3C0</v>
      </c>
      <c r="D1180" t="s">
        <v>151</v>
      </c>
      <c r="E1180">
        <v>8</v>
      </c>
      <c r="H1180">
        <v>225</v>
      </c>
      <c r="I1180" t="s">
        <v>353</v>
      </c>
      <c r="J1180" t="s">
        <v>150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654"/>
        <v>14:51:59.852</v>
      </c>
      <c r="T1180" t="str">
        <f t="shared" si="655"/>
        <v>14:51:59.752</v>
      </c>
      <c r="U1180" t="str">
        <f t="shared" si="644"/>
        <v>ACC530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1</v>
      </c>
      <c r="AH1180">
        <v>0</v>
      </c>
      <c r="AI1180" t="s">
        <v>501</v>
      </c>
      <c r="AJ1180">
        <v>34.210631999999997</v>
      </c>
      <c r="AK1180" t="s">
        <v>502</v>
      </c>
      <c r="AL1180">
        <v>-116.953239</v>
      </c>
      <c r="AM1180">
        <v>100</v>
      </c>
      <c r="AN1180">
        <v>9000</v>
      </c>
      <c r="AO1180" t="s">
        <v>118</v>
      </c>
      <c r="AP1180">
        <v>-106</v>
      </c>
      <c r="AQ1180">
        <v>-68</v>
      </c>
      <c r="AR1180">
        <v>-448</v>
      </c>
      <c r="AZ1180">
        <v>1200</v>
      </c>
      <c r="BA1180">
        <v>1</v>
      </c>
      <c r="BB1180" t="str">
        <f t="shared" si="645"/>
        <v xml:space="preserve">N9217B  </v>
      </c>
      <c r="BC1180">
        <v>1</v>
      </c>
      <c r="BE1180">
        <v>0</v>
      </c>
      <c r="BF1180">
        <v>0</v>
      </c>
      <c r="BG1180">
        <v>0</v>
      </c>
      <c r="BH1180">
        <v>9100</v>
      </c>
      <c r="BI1180">
        <v>1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 t="shared" si="656"/>
        <v>14:51:59.855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285</v>
      </c>
      <c r="CR1180">
        <v>0</v>
      </c>
      <c r="CW1180">
        <v>8849778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25">
      <c r="A1181" t="str">
        <f t="shared" si="653"/>
        <v>06/05/2020 14:51:54.194</v>
      </c>
      <c r="C1181" t="str">
        <f t="shared" si="628"/>
        <v>FFDFD3C0</v>
      </c>
      <c r="D1181" t="s">
        <v>148</v>
      </c>
      <c r="E1181">
        <v>8</v>
      </c>
      <c r="H1181">
        <v>50</v>
      </c>
      <c r="I1181" t="s">
        <v>149</v>
      </c>
      <c r="J1181" t="s">
        <v>150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654"/>
        <v>14:51:59.852</v>
      </c>
      <c r="T1181" t="str">
        <f t="shared" si="655"/>
        <v>14:51:59.752</v>
      </c>
      <c r="U1181" t="str">
        <f t="shared" si="644"/>
        <v>ACC530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1</v>
      </c>
      <c r="AH1181">
        <v>0</v>
      </c>
      <c r="AI1181" t="s">
        <v>501</v>
      </c>
      <c r="AJ1181">
        <v>34.210631999999997</v>
      </c>
      <c r="AK1181" t="s">
        <v>502</v>
      </c>
      <c r="AL1181">
        <v>-116.953239</v>
      </c>
      <c r="AM1181">
        <v>100</v>
      </c>
      <c r="AN1181">
        <v>9000</v>
      </c>
      <c r="AO1181" t="s">
        <v>118</v>
      </c>
      <c r="AP1181">
        <v>-106</v>
      </c>
      <c r="AQ1181">
        <v>-68</v>
      </c>
      <c r="AR1181">
        <v>-448</v>
      </c>
      <c r="AZ1181">
        <v>1200</v>
      </c>
      <c r="BA1181">
        <v>1</v>
      </c>
      <c r="BB1181" t="str">
        <f t="shared" si="645"/>
        <v xml:space="preserve">N9217B  </v>
      </c>
      <c r="BC1181">
        <v>1</v>
      </c>
      <c r="BE1181">
        <v>0</v>
      </c>
      <c r="BF1181">
        <v>0</v>
      </c>
      <c r="BG1181">
        <v>0</v>
      </c>
      <c r="BH1181">
        <v>9100</v>
      </c>
      <c r="BI1181">
        <v>1</v>
      </c>
      <c r="BJ1181">
        <v>0</v>
      </c>
      <c r="BK1181">
        <v>0</v>
      </c>
      <c r="BL1181">
        <v>0</v>
      </c>
      <c r="BO1181">
        <v>0</v>
      </c>
      <c r="BP1181">
        <v>0</v>
      </c>
      <c r="BW1181" t="str">
        <f t="shared" si="656"/>
        <v>14:51:59.855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293</v>
      </c>
      <c r="CR1181">
        <v>1</v>
      </c>
      <c r="CW1181">
        <v>15282795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25">
      <c r="A1182" t="str">
        <f t="shared" si="653"/>
        <v>06/05/2020 14:51:54.194</v>
      </c>
      <c r="C1182" t="str">
        <f t="shared" si="628"/>
        <v>FFDFD3C0</v>
      </c>
      <c r="D1182" t="s">
        <v>113</v>
      </c>
      <c r="E1182">
        <v>3</v>
      </c>
      <c r="H1182">
        <v>166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654"/>
        <v>14:51:59.852</v>
      </c>
      <c r="T1182" t="str">
        <f t="shared" si="655"/>
        <v>14:51:59.752</v>
      </c>
      <c r="U1182" t="str">
        <f t="shared" si="644"/>
        <v>ACC530</v>
      </c>
      <c r="V1182">
        <v>0</v>
      </c>
      <c r="W1182">
        <v>0</v>
      </c>
      <c r="X1182">
        <v>1</v>
      </c>
      <c r="Z1182">
        <v>0</v>
      </c>
      <c r="AA1182">
        <v>9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1</v>
      </c>
      <c r="AH1182">
        <v>0</v>
      </c>
      <c r="AI1182" t="s">
        <v>501</v>
      </c>
      <c r="AJ1182">
        <v>34.210631999999997</v>
      </c>
      <c r="AK1182" t="s">
        <v>502</v>
      </c>
      <c r="AL1182">
        <v>-116.953239</v>
      </c>
      <c r="AM1182">
        <v>100</v>
      </c>
      <c r="AN1182">
        <v>9000</v>
      </c>
      <c r="AO1182" t="s">
        <v>118</v>
      </c>
      <c r="AP1182">
        <v>-106</v>
      </c>
      <c r="AQ1182">
        <v>-68</v>
      </c>
      <c r="AR1182">
        <v>-448</v>
      </c>
      <c r="AZ1182">
        <v>1200</v>
      </c>
      <c r="BA1182">
        <v>1</v>
      </c>
      <c r="BB1182" t="str">
        <f t="shared" si="645"/>
        <v xml:space="preserve">N9217B  </v>
      </c>
      <c r="BC1182">
        <v>1</v>
      </c>
      <c r="BE1182">
        <v>0</v>
      </c>
      <c r="BF1182">
        <v>0</v>
      </c>
      <c r="BG1182">
        <v>0</v>
      </c>
      <c r="BH1182">
        <v>9100</v>
      </c>
      <c r="BI1182">
        <v>1</v>
      </c>
      <c r="BJ1182">
        <v>0</v>
      </c>
      <c r="BK1182">
        <v>0</v>
      </c>
      <c r="BL1182">
        <v>0</v>
      </c>
      <c r="BO1182">
        <v>0</v>
      </c>
      <c r="BP1182">
        <v>0</v>
      </c>
      <c r="BW1182" t="str">
        <f t="shared" si="656"/>
        <v>14:51:59.855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293</v>
      </c>
      <c r="CR1182">
        <v>1</v>
      </c>
      <c r="CW1182">
        <v>15282795</v>
      </c>
      <c r="CY1182">
        <v>0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25">
      <c r="A1183" t="str">
        <f t="shared" si="653"/>
        <v>06/05/2020 14:51:54.194</v>
      </c>
      <c r="C1183" t="str">
        <f t="shared" si="628"/>
        <v>FFDFD3C0</v>
      </c>
      <c r="D1183" t="s">
        <v>151</v>
      </c>
      <c r="E1183">
        <v>9</v>
      </c>
      <c r="H1183">
        <v>226</v>
      </c>
      <c r="I1183" t="s">
        <v>152</v>
      </c>
      <c r="J1183" t="s">
        <v>150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654"/>
        <v>14:51:59.852</v>
      </c>
      <c r="T1183" t="str">
        <f t="shared" si="655"/>
        <v>14:51:59.752</v>
      </c>
      <c r="U1183" t="str">
        <f t="shared" si="644"/>
        <v>ACC530</v>
      </c>
      <c r="V1183">
        <v>0</v>
      </c>
      <c r="W1183">
        <v>0</v>
      </c>
      <c r="X1183">
        <v>1</v>
      </c>
      <c r="Z1183">
        <v>0</v>
      </c>
      <c r="AA1183">
        <v>9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1</v>
      </c>
      <c r="AH1183">
        <v>0</v>
      </c>
      <c r="AI1183" t="s">
        <v>501</v>
      </c>
      <c r="AJ1183">
        <v>34.210631999999997</v>
      </c>
      <c r="AK1183" t="s">
        <v>502</v>
      </c>
      <c r="AL1183">
        <v>-116.953239</v>
      </c>
      <c r="AM1183">
        <v>100</v>
      </c>
      <c r="AN1183">
        <v>9000</v>
      </c>
      <c r="AO1183" t="s">
        <v>118</v>
      </c>
      <c r="AP1183">
        <v>-106</v>
      </c>
      <c r="AQ1183">
        <v>-68</v>
      </c>
      <c r="AR1183">
        <v>-448</v>
      </c>
      <c r="AZ1183">
        <v>1200</v>
      </c>
      <c r="BA1183">
        <v>1</v>
      </c>
      <c r="BB1183" t="str">
        <f t="shared" si="645"/>
        <v xml:space="preserve">N9217B  </v>
      </c>
      <c r="BC1183">
        <v>1</v>
      </c>
      <c r="BE1183">
        <v>0</v>
      </c>
      <c r="BF1183">
        <v>0</v>
      </c>
      <c r="BG1183">
        <v>0</v>
      </c>
      <c r="BH1183">
        <v>9100</v>
      </c>
      <c r="BI1183">
        <v>1</v>
      </c>
      <c r="BJ1183">
        <v>0</v>
      </c>
      <c r="BK1183">
        <v>0</v>
      </c>
      <c r="BL1183">
        <v>0</v>
      </c>
      <c r="BO1183">
        <v>0</v>
      </c>
      <c r="BP1183">
        <v>0</v>
      </c>
      <c r="BW1183" t="str">
        <f t="shared" si="656"/>
        <v>14:51:59.855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293</v>
      </c>
      <c r="CR1183">
        <v>1</v>
      </c>
      <c r="CW1183">
        <v>15282795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25">
      <c r="A1184" t="str">
        <f t="shared" ref="A1184:A1191" si="657">"06/05/2020 14:51:55.216"</f>
        <v>06/05/2020 14:51:55.216</v>
      </c>
      <c r="C1184" t="str">
        <f t="shared" si="628"/>
        <v>FFDFD3C0</v>
      </c>
      <c r="D1184" t="s">
        <v>134</v>
      </c>
      <c r="E1184">
        <v>7</v>
      </c>
      <c r="F1184">
        <v>2007</v>
      </c>
      <c r="G1184" t="s">
        <v>135</v>
      </c>
      <c r="J1184" t="s">
        <v>136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ref="S1184:T1191" si="658">"14:52:00.844"</f>
        <v>14:52:00.844</v>
      </c>
      <c r="T1184" t="str">
        <f t="shared" si="658"/>
        <v>14:52:00.844</v>
      </c>
      <c r="U1184" t="str">
        <f t="shared" si="644"/>
        <v>ACC530</v>
      </c>
      <c r="V1184">
        <v>0</v>
      </c>
      <c r="W1184">
        <v>0</v>
      </c>
      <c r="X1184">
        <v>1</v>
      </c>
      <c r="Z1184">
        <v>0</v>
      </c>
      <c r="AA1184">
        <v>9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1</v>
      </c>
      <c r="AH1184">
        <v>0</v>
      </c>
      <c r="AI1184" t="s">
        <v>503</v>
      </c>
      <c r="AJ1184">
        <v>34.210330999999996</v>
      </c>
      <c r="AK1184" t="s">
        <v>504</v>
      </c>
      <c r="AL1184">
        <v>-116.95384</v>
      </c>
      <c r="AM1184">
        <v>100</v>
      </c>
      <c r="AN1184">
        <v>9100</v>
      </c>
      <c r="AO1184" t="s">
        <v>118</v>
      </c>
      <c r="AP1184">
        <v>-106</v>
      </c>
      <c r="AQ1184">
        <v>-68</v>
      </c>
      <c r="AR1184">
        <v>-320</v>
      </c>
      <c r="AZ1184">
        <v>1200</v>
      </c>
      <c r="BA1184">
        <v>1</v>
      </c>
      <c r="BB1184" t="str">
        <f t="shared" si="645"/>
        <v xml:space="preserve">N9217B  </v>
      </c>
      <c r="BC1184">
        <v>1</v>
      </c>
      <c r="BE1184">
        <v>0</v>
      </c>
      <c r="BF1184">
        <v>0</v>
      </c>
      <c r="BG1184">
        <v>0</v>
      </c>
      <c r="BH1184">
        <v>9100</v>
      </c>
      <c r="BI1184">
        <v>1</v>
      </c>
      <c r="BJ1184">
        <v>0</v>
      </c>
      <c r="BK1184">
        <v>0</v>
      </c>
      <c r="BL1184">
        <v>0</v>
      </c>
      <c r="BO1184">
        <v>0</v>
      </c>
      <c r="BP1184">
        <v>0</v>
      </c>
      <c r="BW1184" t="str">
        <f t="shared" ref="BW1184:BW1191" si="659">"14:52:00.845"</f>
        <v>14:52:00.845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293</v>
      </c>
      <c r="CR1184">
        <v>1</v>
      </c>
      <c r="CW1184">
        <v>15282904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25">
      <c r="A1185" t="str">
        <f t="shared" si="657"/>
        <v>06/05/2020 14:51:55.216</v>
      </c>
      <c r="C1185" t="str">
        <f t="shared" si="628"/>
        <v>FFDFD3C0</v>
      </c>
      <c r="D1185" t="s">
        <v>141</v>
      </c>
      <c r="E1185">
        <v>20</v>
      </c>
      <c r="F1185">
        <v>1020</v>
      </c>
      <c r="G1185" t="s">
        <v>114</v>
      </c>
      <c r="J1185" t="s">
        <v>142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658"/>
        <v>14:52:00.844</v>
      </c>
      <c r="T1185" t="str">
        <f t="shared" si="658"/>
        <v>14:52:00.844</v>
      </c>
      <c r="U1185" t="str">
        <f t="shared" si="644"/>
        <v>ACC530</v>
      </c>
      <c r="V1185">
        <v>0</v>
      </c>
      <c r="W1185">
        <v>0</v>
      </c>
      <c r="X1185">
        <v>1</v>
      </c>
      <c r="Z1185">
        <v>0</v>
      </c>
      <c r="AA1185">
        <v>9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1</v>
      </c>
      <c r="AH1185">
        <v>0</v>
      </c>
      <c r="AI1185" t="s">
        <v>503</v>
      </c>
      <c r="AJ1185">
        <v>34.210330999999996</v>
      </c>
      <c r="AK1185" t="s">
        <v>504</v>
      </c>
      <c r="AL1185">
        <v>-116.95384</v>
      </c>
      <c r="AM1185">
        <v>100</v>
      </c>
      <c r="AN1185">
        <v>9100</v>
      </c>
      <c r="AO1185" t="s">
        <v>118</v>
      </c>
      <c r="AP1185">
        <v>-106</v>
      </c>
      <c r="AQ1185">
        <v>-68</v>
      </c>
      <c r="AR1185">
        <v>-320</v>
      </c>
      <c r="AZ1185">
        <v>1200</v>
      </c>
      <c r="BA1185">
        <v>1</v>
      </c>
      <c r="BB1185" t="str">
        <f t="shared" si="645"/>
        <v xml:space="preserve">N9217B  </v>
      </c>
      <c r="BC1185">
        <v>1</v>
      </c>
      <c r="BE1185">
        <v>0</v>
      </c>
      <c r="BF1185">
        <v>0</v>
      </c>
      <c r="BG1185">
        <v>0</v>
      </c>
      <c r="BH1185">
        <v>9100</v>
      </c>
      <c r="BI1185">
        <v>1</v>
      </c>
      <c r="BJ1185">
        <v>0</v>
      </c>
      <c r="BK1185">
        <v>0</v>
      </c>
      <c r="BL1185">
        <v>0</v>
      </c>
      <c r="BO1185">
        <v>0</v>
      </c>
      <c r="BP1185">
        <v>0</v>
      </c>
      <c r="BW1185" t="str">
        <f t="shared" si="659"/>
        <v>14:52:00.845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293</v>
      </c>
      <c r="CR1185">
        <v>1</v>
      </c>
      <c r="CW1185">
        <v>15282904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25">
      <c r="A1186" t="str">
        <f t="shared" si="657"/>
        <v>06/05/2020 14:51:55.216</v>
      </c>
      <c r="C1186" t="str">
        <f t="shared" si="628"/>
        <v>FFDFD3C0</v>
      </c>
      <c r="D1186" t="s">
        <v>151</v>
      </c>
      <c r="E1186">
        <v>8</v>
      </c>
      <c r="H1186">
        <v>225</v>
      </c>
      <c r="I1186" t="s">
        <v>353</v>
      </c>
      <c r="J1186" t="s">
        <v>150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658"/>
        <v>14:52:00.844</v>
      </c>
      <c r="T1186" t="str">
        <f t="shared" si="658"/>
        <v>14:52:00.844</v>
      </c>
      <c r="U1186" t="str">
        <f t="shared" si="644"/>
        <v>ACC530</v>
      </c>
      <c r="V1186">
        <v>0</v>
      </c>
      <c r="W1186">
        <v>0</v>
      </c>
      <c r="X1186">
        <v>1</v>
      </c>
      <c r="Z1186">
        <v>0</v>
      </c>
      <c r="AA1186">
        <v>9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1</v>
      </c>
      <c r="AH1186">
        <v>0</v>
      </c>
      <c r="AI1186" t="s">
        <v>503</v>
      </c>
      <c r="AJ1186">
        <v>34.210330999999996</v>
      </c>
      <c r="AK1186" t="s">
        <v>504</v>
      </c>
      <c r="AL1186">
        <v>-116.95384</v>
      </c>
      <c r="AM1186">
        <v>100</v>
      </c>
      <c r="AN1186">
        <v>9100</v>
      </c>
      <c r="AO1186" t="s">
        <v>118</v>
      </c>
      <c r="AP1186">
        <v>-106</v>
      </c>
      <c r="AQ1186">
        <v>-68</v>
      </c>
      <c r="AR1186">
        <v>-320</v>
      </c>
      <c r="AZ1186">
        <v>1200</v>
      </c>
      <c r="BA1186">
        <v>1</v>
      </c>
      <c r="BB1186" t="str">
        <f t="shared" si="645"/>
        <v xml:space="preserve">N9217B  </v>
      </c>
      <c r="BC1186">
        <v>1</v>
      </c>
      <c r="BE1186">
        <v>0</v>
      </c>
      <c r="BF1186">
        <v>0</v>
      </c>
      <c r="BG1186">
        <v>0</v>
      </c>
      <c r="BH1186">
        <v>9100</v>
      </c>
      <c r="BI1186">
        <v>1</v>
      </c>
      <c r="BJ1186">
        <v>0</v>
      </c>
      <c r="BK1186">
        <v>0</v>
      </c>
      <c r="BL1186">
        <v>0</v>
      </c>
      <c r="BO1186">
        <v>0</v>
      </c>
      <c r="BP1186">
        <v>0</v>
      </c>
      <c r="BW1186" t="str">
        <f t="shared" si="659"/>
        <v>14:52:00.845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285</v>
      </c>
      <c r="CR1186">
        <v>0</v>
      </c>
      <c r="CW1186">
        <v>8849858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25">
      <c r="A1187" t="str">
        <f t="shared" si="657"/>
        <v>06/05/2020 14:51:55.216</v>
      </c>
      <c r="C1187" t="str">
        <f t="shared" ref="C1187:C1250" si="660">"FFDFD3C0"</f>
        <v>FFDFD3C0</v>
      </c>
      <c r="D1187" t="s">
        <v>148</v>
      </c>
      <c r="E1187">
        <v>8</v>
      </c>
      <c r="H1187">
        <v>50</v>
      </c>
      <c r="I1187" t="s">
        <v>149</v>
      </c>
      <c r="J1187" t="s">
        <v>150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658"/>
        <v>14:52:00.844</v>
      </c>
      <c r="T1187" t="str">
        <f t="shared" si="658"/>
        <v>14:52:00.844</v>
      </c>
      <c r="U1187" t="str">
        <f t="shared" si="644"/>
        <v>ACC530</v>
      </c>
      <c r="V1187">
        <v>0</v>
      </c>
      <c r="W1187">
        <v>0</v>
      </c>
      <c r="X1187">
        <v>1</v>
      </c>
      <c r="Z1187">
        <v>0</v>
      </c>
      <c r="AA1187">
        <v>9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1</v>
      </c>
      <c r="AH1187">
        <v>0</v>
      </c>
      <c r="AI1187" t="s">
        <v>503</v>
      </c>
      <c r="AJ1187">
        <v>34.210330999999996</v>
      </c>
      <c r="AK1187" t="s">
        <v>504</v>
      </c>
      <c r="AL1187">
        <v>-116.95384</v>
      </c>
      <c r="AM1187">
        <v>100</v>
      </c>
      <c r="AN1187">
        <v>9100</v>
      </c>
      <c r="AO1187" t="s">
        <v>118</v>
      </c>
      <c r="AP1187">
        <v>-106</v>
      </c>
      <c r="AQ1187">
        <v>-68</v>
      </c>
      <c r="AR1187">
        <v>-320</v>
      </c>
      <c r="AZ1187">
        <v>1200</v>
      </c>
      <c r="BA1187">
        <v>1</v>
      </c>
      <c r="BB1187" t="str">
        <f t="shared" si="645"/>
        <v xml:space="preserve">N9217B  </v>
      </c>
      <c r="BC1187">
        <v>1</v>
      </c>
      <c r="BE1187">
        <v>0</v>
      </c>
      <c r="BF1187">
        <v>0</v>
      </c>
      <c r="BG1187">
        <v>0</v>
      </c>
      <c r="BH1187">
        <v>9100</v>
      </c>
      <c r="BI1187">
        <v>1</v>
      </c>
      <c r="BJ1187">
        <v>0</v>
      </c>
      <c r="BK1187">
        <v>0</v>
      </c>
      <c r="BL1187">
        <v>0</v>
      </c>
      <c r="BO1187">
        <v>0</v>
      </c>
      <c r="BP1187">
        <v>0</v>
      </c>
      <c r="BW1187" t="str">
        <f t="shared" si="659"/>
        <v>14:52:00.845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293</v>
      </c>
      <c r="CR1187">
        <v>1</v>
      </c>
      <c r="CW1187">
        <v>15282904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25">
      <c r="A1188" t="str">
        <f t="shared" si="657"/>
        <v>06/05/2020 14:51:55.216</v>
      </c>
      <c r="C1188" t="str">
        <f t="shared" si="660"/>
        <v>FFDFD3C0</v>
      </c>
      <c r="D1188" t="s">
        <v>113</v>
      </c>
      <c r="E1188">
        <v>3</v>
      </c>
      <c r="H1188">
        <v>166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658"/>
        <v>14:52:00.844</v>
      </c>
      <c r="T1188" t="str">
        <f t="shared" si="658"/>
        <v>14:52:00.844</v>
      </c>
      <c r="U1188" t="str">
        <f t="shared" si="644"/>
        <v>ACC530</v>
      </c>
      <c r="V1188">
        <v>0</v>
      </c>
      <c r="W1188">
        <v>0</v>
      </c>
      <c r="X1188">
        <v>1</v>
      </c>
      <c r="Z1188">
        <v>0</v>
      </c>
      <c r="AA1188">
        <v>9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1</v>
      </c>
      <c r="AH1188">
        <v>0</v>
      </c>
      <c r="AI1188" t="s">
        <v>503</v>
      </c>
      <c r="AJ1188">
        <v>34.210330999999996</v>
      </c>
      <c r="AK1188" t="s">
        <v>504</v>
      </c>
      <c r="AL1188">
        <v>-116.95384</v>
      </c>
      <c r="AM1188">
        <v>100</v>
      </c>
      <c r="AN1188">
        <v>9100</v>
      </c>
      <c r="AO1188" t="s">
        <v>118</v>
      </c>
      <c r="AP1188">
        <v>-106</v>
      </c>
      <c r="AQ1188">
        <v>-68</v>
      </c>
      <c r="AR1188">
        <v>-320</v>
      </c>
      <c r="AZ1188">
        <v>1200</v>
      </c>
      <c r="BA1188">
        <v>1</v>
      </c>
      <c r="BB1188" t="str">
        <f t="shared" si="645"/>
        <v xml:space="preserve">N9217B  </v>
      </c>
      <c r="BC1188">
        <v>1</v>
      </c>
      <c r="BE1188">
        <v>0</v>
      </c>
      <c r="BF1188">
        <v>0</v>
      </c>
      <c r="BG1188">
        <v>0</v>
      </c>
      <c r="BH1188">
        <v>9100</v>
      </c>
      <c r="BI1188">
        <v>1</v>
      </c>
      <c r="BJ1188">
        <v>0</v>
      </c>
      <c r="BK1188">
        <v>0</v>
      </c>
      <c r="BL1188">
        <v>0</v>
      </c>
      <c r="BO1188">
        <v>0</v>
      </c>
      <c r="BP1188">
        <v>0</v>
      </c>
      <c r="BW1188" t="str">
        <f t="shared" si="659"/>
        <v>14:52:00.845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293</v>
      </c>
      <c r="CR1188">
        <v>1</v>
      </c>
      <c r="CW1188">
        <v>15282904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25">
      <c r="A1189" t="str">
        <f t="shared" si="657"/>
        <v>06/05/2020 14:51:55.216</v>
      </c>
      <c r="C1189" t="str">
        <f t="shared" si="660"/>
        <v>FFDFD3C0</v>
      </c>
      <c r="D1189" t="s">
        <v>151</v>
      </c>
      <c r="E1189">
        <v>9</v>
      </c>
      <c r="H1189">
        <v>226</v>
      </c>
      <c r="I1189" t="s">
        <v>152</v>
      </c>
      <c r="J1189" t="s">
        <v>150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658"/>
        <v>14:52:00.844</v>
      </c>
      <c r="T1189" t="str">
        <f t="shared" si="658"/>
        <v>14:52:00.844</v>
      </c>
      <c r="U1189" t="str">
        <f t="shared" si="644"/>
        <v>ACC530</v>
      </c>
      <c r="V1189">
        <v>0</v>
      </c>
      <c r="W1189">
        <v>0</v>
      </c>
      <c r="X1189">
        <v>1</v>
      </c>
      <c r="Z1189">
        <v>0</v>
      </c>
      <c r="AA1189">
        <v>9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1</v>
      </c>
      <c r="AH1189">
        <v>0</v>
      </c>
      <c r="AI1189" t="s">
        <v>503</v>
      </c>
      <c r="AJ1189">
        <v>34.210330999999996</v>
      </c>
      <c r="AK1189" t="s">
        <v>504</v>
      </c>
      <c r="AL1189">
        <v>-116.95384</v>
      </c>
      <c r="AM1189">
        <v>100</v>
      </c>
      <c r="AN1189">
        <v>9100</v>
      </c>
      <c r="AO1189" t="s">
        <v>118</v>
      </c>
      <c r="AP1189">
        <v>-106</v>
      </c>
      <c r="AQ1189">
        <v>-68</v>
      </c>
      <c r="AR1189">
        <v>-320</v>
      </c>
      <c r="AZ1189">
        <v>1200</v>
      </c>
      <c r="BA1189">
        <v>1</v>
      </c>
      <c r="BB1189" t="str">
        <f t="shared" si="645"/>
        <v xml:space="preserve">N9217B  </v>
      </c>
      <c r="BC1189">
        <v>1</v>
      </c>
      <c r="BE1189">
        <v>0</v>
      </c>
      <c r="BF1189">
        <v>0</v>
      </c>
      <c r="BG1189">
        <v>0</v>
      </c>
      <c r="BH1189">
        <v>9100</v>
      </c>
      <c r="BI1189">
        <v>1</v>
      </c>
      <c r="BJ1189">
        <v>0</v>
      </c>
      <c r="BK1189">
        <v>0</v>
      </c>
      <c r="BL1189">
        <v>0</v>
      </c>
      <c r="BO1189">
        <v>0</v>
      </c>
      <c r="BP1189">
        <v>0</v>
      </c>
      <c r="BW1189" t="str">
        <f t="shared" si="659"/>
        <v>14:52:00.845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293</v>
      </c>
      <c r="CR1189">
        <v>1</v>
      </c>
      <c r="CW1189">
        <v>15282904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25">
      <c r="A1190" t="str">
        <f t="shared" si="657"/>
        <v>06/05/2020 14:51:55.216</v>
      </c>
      <c r="C1190" t="str">
        <f t="shared" si="660"/>
        <v>FFDFD3C0</v>
      </c>
      <c r="D1190" t="s">
        <v>143</v>
      </c>
      <c r="E1190">
        <v>10</v>
      </c>
      <c r="F1190">
        <v>3010</v>
      </c>
      <c r="G1190" t="s">
        <v>144</v>
      </c>
      <c r="J1190" t="s">
        <v>145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658"/>
        <v>14:52:00.844</v>
      </c>
      <c r="T1190" t="str">
        <f t="shared" si="658"/>
        <v>14:52:00.844</v>
      </c>
      <c r="U1190" t="str">
        <f t="shared" si="644"/>
        <v>ACC530</v>
      </c>
      <c r="V1190">
        <v>0</v>
      </c>
      <c r="W1190">
        <v>0</v>
      </c>
      <c r="X1190">
        <v>1</v>
      </c>
      <c r="Z1190">
        <v>0</v>
      </c>
      <c r="AA1190">
        <v>9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1</v>
      </c>
      <c r="AH1190">
        <v>0</v>
      </c>
      <c r="AI1190" t="s">
        <v>503</v>
      </c>
      <c r="AJ1190">
        <v>34.210330999999996</v>
      </c>
      <c r="AK1190" t="s">
        <v>504</v>
      </c>
      <c r="AL1190">
        <v>-116.95384</v>
      </c>
      <c r="AM1190">
        <v>100</v>
      </c>
      <c r="AN1190">
        <v>9100</v>
      </c>
      <c r="AO1190" t="s">
        <v>118</v>
      </c>
      <c r="AP1190">
        <v>-106</v>
      </c>
      <c r="AQ1190">
        <v>-68</v>
      </c>
      <c r="AR1190">
        <v>-320</v>
      </c>
      <c r="AZ1190">
        <v>1200</v>
      </c>
      <c r="BA1190">
        <v>1</v>
      </c>
      <c r="BB1190" t="str">
        <f t="shared" si="645"/>
        <v xml:space="preserve">N9217B  </v>
      </c>
      <c r="BC1190">
        <v>1</v>
      </c>
      <c r="BE1190">
        <v>0</v>
      </c>
      <c r="BF1190">
        <v>0</v>
      </c>
      <c r="BG1190">
        <v>0</v>
      </c>
      <c r="BH1190">
        <v>9100</v>
      </c>
      <c r="BI1190">
        <v>1</v>
      </c>
      <c r="BJ1190">
        <v>0</v>
      </c>
      <c r="BK1190">
        <v>0</v>
      </c>
      <c r="BL1190">
        <v>0</v>
      </c>
      <c r="BO1190">
        <v>0</v>
      </c>
      <c r="BP1190">
        <v>0</v>
      </c>
      <c r="BW1190" t="str">
        <f t="shared" si="659"/>
        <v>14:52:00.845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293</v>
      </c>
      <c r="CR1190">
        <v>1</v>
      </c>
      <c r="CW1190">
        <v>15282904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25">
      <c r="A1191" t="str">
        <f t="shared" si="657"/>
        <v>06/05/2020 14:51:55.216</v>
      </c>
      <c r="C1191" t="str">
        <f t="shared" si="660"/>
        <v>FFDFD3C0</v>
      </c>
      <c r="D1191" t="s">
        <v>148</v>
      </c>
      <c r="E1191">
        <v>11</v>
      </c>
      <c r="H1191">
        <v>53</v>
      </c>
      <c r="I1191" t="s">
        <v>364</v>
      </c>
      <c r="J1191" t="s">
        <v>150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658"/>
        <v>14:52:00.844</v>
      </c>
      <c r="T1191" t="str">
        <f t="shared" si="658"/>
        <v>14:52:00.844</v>
      </c>
      <c r="U1191" t="str">
        <f t="shared" si="644"/>
        <v>ACC530</v>
      </c>
      <c r="V1191">
        <v>0</v>
      </c>
      <c r="W1191">
        <v>0</v>
      </c>
      <c r="X1191">
        <v>1</v>
      </c>
      <c r="Z1191">
        <v>0</v>
      </c>
      <c r="AA1191">
        <v>9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1</v>
      </c>
      <c r="AH1191">
        <v>0</v>
      </c>
      <c r="AI1191" t="s">
        <v>503</v>
      </c>
      <c r="AJ1191">
        <v>34.210330999999996</v>
      </c>
      <c r="AK1191" t="s">
        <v>504</v>
      </c>
      <c r="AL1191">
        <v>-116.95384</v>
      </c>
      <c r="AM1191">
        <v>100</v>
      </c>
      <c r="AN1191">
        <v>9100</v>
      </c>
      <c r="AO1191" t="s">
        <v>118</v>
      </c>
      <c r="AP1191">
        <v>-106</v>
      </c>
      <c r="AQ1191">
        <v>-68</v>
      </c>
      <c r="AR1191">
        <v>-320</v>
      </c>
      <c r="AZ1191">
        <v>1200</v>
      </c>
      <c r="BA1191">
        <v>1</v>
      </c>
      <c r="BB1191" t="str">
        <f t="shared" si="645"/>
        <v xml:space="preserve">N9217B  </v>
      </c>
      <c r="BC1191">
        <v>1</v>
      </c>
      <c r="BE1191">
        <v>0</v>
      </c>
      <c r="BF1191">
        <v>0</v>
      </c>
      <c r="BG1191">
        <v>0</v>
      </c>
      <c r="BH1191">
        <v>9100</v>
      </c>
      <c r="BI1191">
        <v>1</v>
      </c>
      <c r="BJ1191">
        <v>0</v>
      </c>
      <c r="BK1191">
        <v>0</v>
      </c>
      <c r="BL1191">
        <v>0</v>
      </c>
      <c r="BO1191">
        <v>0</v>
      </c>
      <c r="BP1191">
        <v>0</v>
      </c>
      <c r="BW1191" t="str">
        <f t="shared" si="659"/>
        <v>14:52:00.845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293</v>
      </c>
      <c r="CR1191">
        <v>1</v>
      </c>
      <c r="CW1191">
        <v>15282904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25">
      <c r="A1192" t="str">
        <f t="shared" ref="A1192:A1199" si="661">"06/05/2020 14:51:56.165"</f>
        <v>06/05/2020 14:51:56.165</v>
      </c>
      <c r="C1192" t="str">
        <f t="shared" si="660"/>
        <v>FFDFD3C0</v>
      </c>
      <c r="D1192" t="s">
        <v>148</v>
      </c>
      <c r="E1192">
        <v>11</v>
      </c>
      <c r="H1192">
        <v>53</v>
      </c>
      <c r="I1192" t="s">
        <v>364</v>
      </c>
      <c r="J1192" t="s">
        <v>150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ref="S1192:S1199" si="662">"14:52:01.813"</f>
        <v>14:52:01.813</v>
      </c>
      <c r="T1192" t="str">
        <f t="shared" ref="T1192:T1199" si="663">"14:52:01.713"</f>
        <v>14:52:01.713</v>
      </c>
      <c r="U1192" t="str">
        <f t="shared" si="644"/>
        <v>ACC530</v>
      </c>
      <c r="V1192">
        <v>0</v>
      </c>
      <c r="W1192">
        <v>0</v>
      </c>
      <c r="X1192">
        <v>1</v>
      </c>
      <c r="Z1192">
        <v>0</v>
      </c>
      <c r="AA1192">
        <v>9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1</v>
      </c>
      <c r="AH1192">
        <v>0</v>
      </c>
      <c r="AI1192" t="s">
        <v>505</v>
      </c>
      <c r="AJ1192">
        <v>34.210031000000001</v>
      </c>
      <c r="AK1192" t="s">
        <v>506</v>
      </c>
      <c r="AL1192">
        <v>-116.95437699999999</v>
      </c>
      <c r="AM1192">
        <v>100</v>
      </c>
      <c r="AN1192">
        <v>9100</v>
      </c>
      <c r="AO1192" t="s">
        <v>118</v>
      </c>
      <c r="AP1192">
        <v>-106</v>
      </c>
      <c r="AQ1192">
        <v>-68</v>
      </c>
      <c r="AR1192">
        <v>-128</v>
      </c>
      <c r="AZ1192">
        <v>1200</v>
      </c>
      <c r="BA1192">
        <v>1</v>
      </c>
      <c r="BB1192" t="str">
        <f t="shared" si="645"/>
        <v xml:space="preserve">N9217B  </v>
      </c>
      <c r="BC1192">
        <v>1</v>
      </c>
      <c r="BE1192">
        <v>0</v>
      </c>
      <c r="BF1192">
        <v>0</v>
      </c>
      <c r="BG1192">
        <v>0</v>
      </c>
      <c r="BH1192">
        <v>9200</v>
      </c>
      <c r="BI1192">
        <v>1</v>
      </c>
      <c r="BJ1192">
        <v>0</v>
      </c>
      <c r="BK1192">
        <v>0</v>
      </c>
      <c r="BL1192">
        <v>0</v>
      </c>
      <c r="BO1192">
        <v>0</v>
      </c>
      <c r="BP1192">
        <v>0</v>
      </c>
      <c r="BW1192" t="str">
        <f t="shared" ref="BW1192:BW1199" si="664">"14:52:01.820"</f>
        <v>14:52:01.820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293</v>
      </c>
      <c r="CR1192">
        <v>2</v>
      </c>
      <c r="CW1192">
        <v>15283013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25">
      <c r="A1193" t="str">
        <f t="shared" si="661"/>
        <v>06/05/2020 14:51:56.165</v>
      </c>
      <c r="C1193" t="str">
        <f t="shared" si="660"/>
        <v>FFDFD3C0</v>
      </c>
      <c r="D1193" t="s">
        <v>134</v>
      </c>
      <c r="E1193">
        <v>7</v>
      </c>
      <c r="F1193">
        <v>2007</v>
      </c>
      <c r="G1193" t="s">
        <v>135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662"/>
        <v>14:52:01.813</v>
      </c>
      <c r="T1193" t="str">
        <f t="shared" si="663"/>
        <v>14:52:01.713</v>
      </c>
      <c r="U1193" t="str">
        <f t="shared" si="644"/>
        <v>ACC530</v>
      </c>
      <c r="V1193">
        <v>0</v>
      </c>
      <c r="W1193">
        <v>0</v>
      </c>
      <c r="X1193">
        <v>1</v>
      </c>
      <c r="Z1193">
        <v>0</v>
      </c>
      <c r="AA1193">
        <v>9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1</v>
      </c>
      <c r="AH1193">
        <v>0</v>
      </c>
      <c r="AI1193" t="s">
        <v>505</v>
      </c>
      <c r="AJ1193">
        <v>34.210031000000001</v>
      </c>
      <c r="AK1193" t="s">
        <v>506</v>
      </c>
      <c r="AL1193">
        <v>-116.95437699999999</v>
      </c>
      <c r="AM1193">
        <v>100</v>
      </c>
      <c r="AN1193">
        <v>9100</v>
      </c>
      <c r="AO1193" t="s">
        <v>118</v>
      </c>
      <c r="AP1193">
        <v>-106</v>
      </c>
      <c r="AQ1193">
        <v>-68</v>
      </c>
      <c r="AR1193">
        <v>-128</v>
      </c>
      <c r="AZ1193">
        <v>1200</v>
      </c>
      <c r="BA1193">
        <v>1</v>
      </c>
      <c r="BB1193" t="str">
        <f t="shared" si="645"/>
        <v xml:space="preserve">N9217B  </v>
      </c>
      <c r="BC1193">
        <v>1</v>
      </c>
      <c r="BE1193">
        <v>0</v>
      </c>
      <c r="BF1193">
        <v>0</v>
      </c>
      <c r="BG1193">
        <v>0</v>
      </c>
      <c r="BH1193">
        <v>9200</v>
      </c>
      <c r="BI1193">
        <v>1</v>
      </c>
      <c r="BJ1193">
        <v>0</v>
      </c>
      <c r="BK1193">
        <v>0</v>
      </c>
      <c r="BL1193">
        <v>0</v>
      </c>
      <c r="BO1193">
        <v>0</v>
      </c>
      <c r="BP1193">
        <v>0</v>
      </c>
      <c r="BW1193" t="str">
        <f t="shared" si="664"/>
        <v>14:52:01.820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293</v>
      </c>
      <c r="CR1193">
        <v>2</v>
      </c>
      <c r="CW1193">
        <v>15283013</v>
      </c>
      <c r="CY1193">
        <v>0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25">
      <c r="A1194" t="str">
        <f t="shared" si="661"/>
        <v>06/05/2020 14:51:56.165</v>
      </c>
      <c r="C1194" t="str">
        <f t="shared" si="660"/>
        <v>FFDFD3C0</v>
      </c>
      <c r="D1194" t="s">
        <v>141</v>
      </c>
      <c r="E1194">
        <v>20</v>
      </c>
      <c r="F1194">
        <v>1020</v>
      </c>
      <c r="G1194" t="s">
        <v>114</v>
      </c>
      <c r="J1194" t="s">
        <v>142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662"/>
        <v>14:52:01.813</v>
      </c>
      <c r="T1194" t="str">
        <f t="shared" si="663"/>
        <v>14:52:01.713</v>
      </c>
      <c r="U1194" t="str">
        <f t="shared" si="644"/>
        <v>ACC530</v>
      </c>
      <c r="V1194">
        <v>0</v>
      </c>
      <c r="W1194">
        <v>0</v>
      </c>
      <c r="X1194">
        <v>1</v>
      </c>
      <c r="Z1194">
        <v>0</v>
      </c>
      <c r="AA1194">
        <v>9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1</v>
      </c>
      <c r="AH1194">
        <v>0</v>
      </c>
      <c r="AI1194" t="s">
        <v>505</v>
      </c>
      <c r="AJ1194">
        <v>34.210031000000001</v>
      </c>
      <c r="AK1194" t="s">
        <v>506</v>
      </c>
      <c r="AL1194">
        <v>-116.95437699999999</v>
      </c>
      <c r="AM1194">
        <v>100</v>
      </c>
      <c r="AN1194">
        <v>9100</v>
      </c>
      <c r="AO1194" t="s">
        <v>118</v>
      </c>
      <c r="AP1194">
        <v>-106</v>
      </c>
      <c r="AQ1194">
        <v>-68</v>
      </c>
      <c r="AR1194">
        <v>-128</v>
      </c>
      <c r="AZ1194">
        <v>1200</v>
      </c>
      <c r="BA1194">
        <v>1</v>
      </c>
      <c r="BB1194" t="str">
        <f t="shared" si="645"/>
        <v xml:space="preserve">N9217B  </v>
      </c>
      <c r="BC1194">
        <v>1</v>
      </c>
      <c r="BE1194">
        <v>0</v>
      </c>
      <c r="BF1194">
        <v>0</v>
      </c>
      <c r="BG1194">
        <v>0</v>
      </c>
      <c r="BH1194">
        <v>9200</v>
      </c>
      <c r="BI1194">
        <v>1</v>
      </c>
      <c r="BJ1194">
        <v>0</v>
      </c>
      <c r="BK1194">
        <v>0</v>
      </c>
      <c r="BL1194">
        <v>0</v>
      </c>
      <c r="BO1194">
        <v>0</v>
      </c>
      <c r="BP1194">
        <v>0</v>
      </c>
      <c r="BW1194" t="str">
        <f t="shared" si="664"/>
        <v>14:52:01.820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6</v>
      </c>
      <c r="CP1194" t="s">
        <v>119</v>
      </c>
      <c r="CQ1194">
        <v>293</v>
      </c>
      <c r="CR1194">
        <v>2</v>
      </c>
      <c r="CW1194">
        <v>15283013</v>
      </c>
      <c r="CY1194">
        <v>0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25">
      <c r="A1195" t="str">
        <f t="shared" si="661"/>
        <v>06/05/2020 14:51:56.165</v>
      </c>
      <c r="C1195" t="str">
        <f t="shared" si="660"/>
        <v>FFDFD3C0</v>
      </c>
      <c r="D1195" t="s">
        <v>151</v>
      </c>
      <c r="E1195">
        <v>8</v>
      </c>
      <c r="H1195">
        <v>225</v>
      </c>
      <c r="I1195" t="s">
        <v>353</v>
      </c>
      <c r="J1195" t="s">
        <v>150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662"/>
        <v>14:52:01.813</v>
      </c>
      <c r="T1195" t="str">
        <f t="shared" si="663"/>
        <v>14:52:01.713</v>
      </c>
      <c r="U1195" t="str">
        <f t="shared" si="644"/>
        <v>ACC530</v>
      </c>
      <c r="V1195">
        <v>0</v>
      </c>
      <c r="W1195">
        <v>0</v>
      </c>
      <c r="X1195">
        <v>1</v>
      </c>
      <c r="Z1195">
        <v>0</v>
      </c>
      <c r="AA1195">
        <v>9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1</v>
      </c>
      <c r="AH1195">
        <v>0</v>
      </c>
      <c r="AI1195" t="s">
        <v>505</v>
      </c>
      <c r="AJ1195">
        <v>34.210031000000001</v>
      </c>
      <c r="AK1195" t="s">
        <v>506</v>
      </c>
      <c r="AL1195">
        <v>-116.95437699999999</v>
      </c>
      <c r="AM1195">
        <v>100</v>
      </c>
      <c r="AN1195">
        <v>9100</v>
      </c>
      <c r="AO1195" t="s">
        <v>118</v>
      </c>
      <c r="AP1195">
        <v>-106</v>
      </c>
      <c r="AQ1195">
        <v>-68</v>
      </c>
      <c r="AR1195">
        <v>-128</v>
      </c>
      <c r="AZ1195">
        <v>1200</v>
      </c>
      <c r="BA1195">
        <v>1</v>
      </c>
      <c r="BB1195" t="str">
        <f t="shared" si="645"/>
        <v xml:space="preserve">N9217B  </v>
      </c>
      <c r="BC1195">
        <v>1</v>
      </c>
      <c r="BE1195">
        <v>0</v>
      </c>
      <c r="BF1195">
        <v>0</v>
      </c>
      <c r="BG1195">
        <v>0</v>
      </c>
      <c r="BH1195">
        <v>9200</v>
      </c>
      <c r="BI1195">
        <v>1</v>
      </c>
      <c r="BJ1195">
        <v>0</v>
      </c>
      <c r="BK1195">
        <v>0</v>
      </c>
      <c r="BL1195">
        <v>0</v>
      </c>
      <c r="BO1195">
        <v>0</v>
      </c>
      <c r="BP1195">
        <v>0</v>
      </c>
      <c r="BW1195" t="str">
        <f t="shared" si="664"/>
        <v>14:52:01.820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6</v>
      </c>
      <c r="CP1195" t="s">
        <v>119</v>
      </c>
      <c r="CQ1195">
        <v>285</v>
      </c>
      <c r="CR1195">
        <v>0</v>
      </c>
      <c r="CW1195">
        <v>8849945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25">
      <c r="A1196" t="str">
        <f t="shared" si="661"/>
        <v>06/05/2020 14:51:56.165</v>
      </c>
      <c r="C1196" t="str">
        <f t="shared" si="660"/>
        <v>FFDFD3C0</v>
      </c>
      <c r="D1196" t="s">
        <v>113</v>
      </c>
      <c r="E1196">
        <v>3</v>
      </c>
      <c r="H1196">
        <v>166</v>
      </c>
      <c r="I1196" t="s">
        <v>114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62"/>
        <v>14:52:01.813</v>
      </c>
      <c r="T1196" t="str">
        <f t="shared" si="663"/>
        <v>14:52:01.713</v>
      </c>
      <c r="U1196" t="str">
        <f t="shared" si="644"/>
        <v>ACC530</v>
      </c>
      <c r="V1196">
        <v>0</v>
      </c>
      <c r="W1196">
        <v>0</v>
      </c>
      <c r="X1196">
        <v>1</v>
      </c>
      <c r="Z1196">
        <v>0</v>
      </c>
      <c r="AA1196">
        <v>9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1</v>
      </c>
      <c r="AH1196">
        <v>0</v>
      </c>
      <c r="AI1196" t="s">
        <v>505</v>
      </c>
      <c r="AJ1196">
        <v>34.210031000000001</v>
      </c>
      <c r="AK1196" t="s">
        <v>506</v>
      </c>
      <c r="AL1196">
        <v>-116.95437699999999</v>
      </c>
      <c r="AM1196">
        <v>100</v>
      </c>
      <c r="AN1196">
        <v>9100</v>
      </c>
      <c r="AO1196" t="s">
        <v>118</v>
      </c>
      <c r="AP1196">
        <v>-106</v>
      </c>
      <c r="AQ1196">
        <v>-68</v>
      </c>
      <c r="AR1196">
        <v>-128</v>
      </c>
      <c r="AZ1196">
        <v>1200</v>
      </c>
      <c r="BA1196">
        <v>1</v>
      </c>
      <c r="BB1196" t="str">
        <f t="shared" si="645"/>
        <v xml:space="preserve">N9217B  </v>
      </c>
      <c r="BC1196">
        <v>1</v>
      </c>
      <c r="BE1196">
        <v>0</v>
      </c>
      <c r="BF1196">
        <v>0</v>
      </c>
      <c r="BG1196">
        <v>0</v>
      </c>
      <c r="BH1196">
        <v>9200</v>
      </c>
      <c r="BI1196">
        <v>1</v>
      </c>
      <c r="BJ1196">
        <v>0</v>
      </c>
      <c r="BK1196">
        <v>0</v>
      </c>
      <c r="BL1196">
        <v>0</v>
      </c>
      <c r="BO1196">
        <v>0</v>
      </c>
      <c r="BP1196">
        <v>0</v>
      </c>
      <c r="BW1196" t="str">
        <f t="shared" si="664"/>
        <v>14:52:01.820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6</v>
      </c>
      <c r="CP1196" t="s">
        <v>119</v>
      </c>
      <c r="CQ1196">
        <v>293</v>
      </c>
      <c r="CR1196">
        <v>2</v>
      </c>
      <c r="CW1196">
        <v>15283013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25">
      <c r="A1197" t="str">
        <f t="shared" si="661"/>
        <v>06/05/2020 14:51:56.165</v>
      </c>
      <c r="C1197" t="str">
        <f t="shared" si="660"/>
        <v>FFDFD3C0</v>
      </c>
      <c r="D1197" t="s">
        <v>143</v>
      </c>
      <c r="E1197">
        <v>10</v>
      </c>
      <c r="F1197">
        <v>3010</v>
      </c>
      <c r="G1197" t="s">
        <v>144</v>
      </c>
      <c r="J1197" t="s">
        <v>145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62"/>
        <v>14:52:01.813</v>
      </c>
      <c r="T1197" t="str">
        <f t="shared" si="663"/>
        <v>14:52:01.713</v>
      </c>
      <c r="U1197" t="str">
        <f t="shared" si="644"/>
        <v>ACC530</v>
      </c>
      <c r="V1197">
        <v>0</v>
      </c>
      <c r="W1197">
        <v>0</v>
      </c>
      <c r="X1197">
        <v>1</v>
      </c>
      <c r="Z1197">
        <v>0</v>
      </c>
      <c r="AA1197">
        <v>9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1</v>
      </c>
      <c r="AH1197">
        <v>0</v>
      </c>
      <c r="AI1197" t="s">
        <v>505</v>
      </c>
      <c r="AJ1197">
        <v>34.210031000000001</v>
      </c>
      <c r="AK1197" t="s">
        <v>506</v>
      </c>
      <c r="AL1197">
        <v>-116.95437699999999</v>
      </c>
      <c r="AM1197">
        <v>100</v>
      </c>
      <c r="AN1197">
        <v>9100</v>
      </c>
      <c r="AO1197" t="s">
        <v>118</v>
      </c>
      <c r="AP1197">
        <v>-106</v>
      </c>
      <c r="AQ1197">
        <v>-68</v>
      </c>
      <c r="AR1197">
        <v>-128</v>
      </c>
      <c r="AZ1197">
        <v>1200</v>
      </c>
      <c r="BA1197">
        <v>1</v>
      </c>
      <c r="BB1197" t="str">
        <f t="shared" si="645"/>
        <v xml:space="preserve">N9217B  </v>
      </c>
      <c r="BC1197">
        <v>1</v>
      </c>
      <c r="BE1197">
        <v>0</v>
      </c>
      <c r="BF1197">
        <v>0</v>
      </c>
      <c r="BG1197">
        <v>0</v>
      </c>
      <c r="BH1197">
        <v>9200</v>
      </c>
      <c r="BI1197">
        <v>1</v>
      </c>
      <c r="BJ1197">
        <v>0</v>
      </c>
      <c r="BK1197">
        <v>0</v>
      </c>
      <c r="BL1197">
        <v>0</v>
      </c>
      <c r="BO1197">
        <v>0</v>
      </c>
      <c r="BP1197">
        <v>0</v>
      </c>
      <c r="BW1197" t="str">
        <f t="shared" si="664"/>
        <v>14:52:01.820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6</v>
      </c>
      <c r="CP1197" t="s">
        <v>119</v>
      </c>
      <c r="CQ1197">
        <v>293</v>
      </c>
      <c r="CR1197">
        <v>2</v>
      </c>
      <c r="CW1197">
        <v>15283013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25">
      <c r="A1198" t="str">
        <f t="shared" si="661"/>
        <v>06/05/2020 14:51:56.165</v>
      </c>
      <c r="C1198" t="str">
        <f t="shared" si="660"/>
        <v>FFDFD3C0</v>
      </c>
      <c r="D1198" t="s">
        <v>151</v>
      </c>
      <c r="E1198">
        <v>9</v>
      </c>
      <c r="H1198">
        <v>226</v>
      </c>
      <c r="I1198" t="s">
        <v>152</v>
      </c>
      <c r="J1198" t="s">
        <v>150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62"/>
        <v>14:52:01.813</v>
      </c>
      <c r="T1198" t="str">
        <f t="shared" si="663"/>
        <v>14:52:01.713</v>
      </c>
      <c r="U1198" t="str">
        <f t="shared" si="644"/>
        <v>ACC530</v>
      </c>
      <c r="V1198">
        <v>0</v>
      </c>
      <c r="W1198">
        <v>0</v>
      </c>
      <c r="X1198">
        <v>1</v>
      </c>
      <c r="Z1198">
        <v>0</v>
      </c>
      <c r="AA1198">
        <v>9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1</v>
      </c>
      <c r="AH1198">
        <v>0</v>
      </c>
      <c r="AI1198" t="s">
        <v>505</v>
      </c>
      <c r="AJ1198">
        <v>34.210031000000001</v>
      </c>
      <c r="AK1198" t="s">
        <v>506</v>
      </c>
      <c r="AL1198">
        <v>-116.95437699999999</v>
      </c>
      <c r="AM1198">
        <v>100</v>
      </c>
      <c r="AN1198">
        <v>9100</v>
      </c>
      <c r="AO1198" t="s">
        <v>118</v>
      </c>
      <c r="AP1198">
        <v>-106</v>
      </c>
      <c r="AQ1198">
        <v>-68</v>
      </c>
      <c r="AR1198">
        <v>-128</v>
      </c>
      <c r="AZ1198">
        <v>1200</v>
      </c>
      <c r="BA1198">
        <v>1</v>
      </c>
      <c r="BB1198" t="str">
        <f t="shared" si="645"/>
        <v xml:space="preserve">N9217B  </v>
      </c>
      <c r="BC1198">
        <v>1</v>
      </c>
      <c r="BE1198">
        <v>0</v>
      </c>
      <c r="BF1198">
        <v>0</v>
      </c>
      <c r="BG1198">
        <v>0</v>
      </c>
      <c r="BH1198">
        <v>9200</v>
      </c>
      <c r="BI1198">
        <v>1</v>
      </c>
      <c r="BJ1198">
        <v>0</v>
      </c>
      <c r="BK1198">
        <v>0</v>
      </c>
      <c r="BL1198">
        <v>0</v>
      </c>
      <c r="BO1198">
        <v>0</v>
      </c>
      <c r="BP1198">
        <v>0</v>
      </c>
      <c r="BW1198" t="str">
        <f t="shared" si="664"/>
        <v>14:52:01.820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293</v>
      </c>
      <c r="CR1198">
        <v>2</v>
      </c>
      <c r="CW1198">
        <v>15283013</v>
      </c>
      <c r="CY1198">
        <v>0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25">
      <c r="A1199" t="str">
        <f t="shared" si="661"/>
        <v>06/05/2020 14:51:56.165</v>
      </c>
      <c r="C1199" t="str">
        <f t="shared" si="660"/>
        <v>FFDFD3C0</v>
      </c>
      <c r="D1199" t="s">
        <v>148</v>
      </c>
      <c r="E1199">
        <v>8</v>
      </c>
      <c r="H1199">
        <v>50</v>
      </c>
      <c r="I1199" t="s">
        <v>149</v>
      </c>
      <c r="J1199" t="s">
        <v>150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662"/>
        <v>14:52:01.813</v>
      </c>
      <c r="T1199" t="str">
        <f t="shared" si="663"/>
        <v>14:52:01.713</v>
      </c>
      <c r="U1199" t="str">
        <f t="shared" si="644"/>
        <v>ACC530</v>
      </c>
      <c r="V1199">
        <v>0</v>
      </c>
      <c r="W1199">
        <v>0</v>
      </c>
      <c r="X1199">
        <v>1</v>
      </c>
      <c r="Z1199">
        <v>0</v>
      </c>
      <c r="AA1199">
        <v>9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1</v>
      </c>
      <c r="AH1199">
        <v>0</v>
      </c>
      <c r="AI1199" t="s">
        <v>505</v>
      </c>
      <c r="AJ1199">
        <v>34.210031000000001</v>
      </c>
      <c r="AK1199" t="s">
        <v>506</v>
      </c>
      <c r="AL1199">
        <v>-116.95437699999999</v>
      </c>
      <c r="AM1199">
        <v>100</v>
      </c>
      <c r="AN1199">
        <v>9100</v>
      </c>
      <c r="AO1199" t="s">
        <v>118</v>
      </c>
      <c r="AP1199">
        <v>-106</v>
      </c>
      <c r="AQ1199">
        <v>-68</v>
      </c>
      <c r="AR1199">
        <v>-128</v>
      </c>
      <c r="AZ1199">
        <v>1200</v>
      </c>
      <c r="BA1199">
        <v>1</v>
      </c>
      <c r="BB1199" t="str">
        <f t="shared" si="645"/>
        <v xml:space="preserve">N9217B  </v>
      </c>
      <c r="BC1199">
        <v>1</v>
      </c>
      <c r="BE1199">
        <v>0</v>
      </c>
      <c r="BF1199">
        <v>0</v>
      </c>
      <c r="BG1199">
        <v>0</v>
      </c>
      <c r="BH1199">
        <v>9200</v>
      </c>
      <c r="BI1199">
        <v>1</v>
      </c>
      <c r="BJ1199">
        <v>0</v>
      </c>
      <c r="BK1199">
        <v>0</v>
      </c>
      <c r="BL1199">
        <v>0</v>
      </c>
      <c r="BO1199">
        <v>0</v>
      </c>
      <c r="BP1199">
        <v>0</v>
      </c>
      <c r="BW1199" t="str">
        <f t="shared" si="664"/>
        <v>14:52:01.820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293</v>
      </c>
      <c r="CR1199">
        <v>2</v>
      </c>
      <c r="CW1199">
        <v>15283013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25">
      <c r="A1200" t="str">
        <f t="shared" ref="A1200:A1207" si="665">"06/05/2020 14:51:57.207"</f>
        <v>06/05/2020 14:51:57.207</v>
      </c>
      <c r="C1200" t="str">
        <f t="shared" si="660"/>
        <v>FFDFD3C0</v>
      </c>
      <c r="D1200" t="s">
        <v>143</v>
      </c>
      <c r="E1200">
        <v>10</v>
      </c>
      <c r="F1200">
        <v>3010</v>
      </c>
      <c r="G1200" t="s">
        <v>144</v>
      </c>
      <c r="J1200" t="s">
        <v>145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ref="S1200:S1207" si="666">"14:52:02.836"</f>
        <v>14:52:02.836</v>
      </c>
      <c r="T1200" t="str">
        <f t="shared" ref="T1200:T1207" si="667">"14:52:02.636"</f>
        <v>14:52:02.636</v>
      </c>
      <c r="U1200" t="str">
        <f t="shared" si="644"/>
        <v>ACC530</v>
      </c>
      <c r="V1200">
        <v>0</v>
      </c>
      <c r="W1200">
        <v>0</v>
      </c>
      <c r="X1200">
        <v>1</v>
      </c>
      <c r="Z1200">
        <v>0</v>
      </c>
      <c r="AA1200">
        <v>9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1</v>
      </c>
      <c r="AH1200">
        <v>0</v>
      </c>
      <c r="AI1200" t="s">
        <v>507</v>
      </c>
      <c r="AJ1200">
        <v>34.209688</v>
      </c>
      <c r="AK1200" t="s">
        <v>508</v>
      </c>
      <c r="AL1200">
        <v>-116.95502</v>
      </c>
      <c r="AM1200">
        <v>100</v>
      </c>
      <c r="AN1200">
        <v>9000</v>
      </c>
      <c r="AO1200" t="s">
        <v>118</v>
      </c>
      <c r="AP1200">
        <v>-106</v>
      </c>
      <c r="AQ1200">
        <v>-68</v>
      </c>
      <c r="AR1200">
        <v>-256</v>
      </c>
      <c r="AZ1200">
        <v>1200</v>
      </c>
      <c r="BA1200">
        <v>1</v>
      </c>
      <c r="BB1200" t="str">
        <f t="shared" si="645"/>
        <v xml:space="preserve">N9217B  </v>
      </c>
      <c r="BC1200">
        <v>1</v>
      </c>
      <c r="BE1200">
        <v>0</v>
      </c>
      <c r="BF1200">
        <v>0</v>
      </c>
      <c r="BG1200">
        <v>0</v>
      </c>
      <c r="BH1200">
        <v>9100</v>
      </c>
      <c r="BI1200">
        <v>1</v>
      </c>
      <c r="BJ1200">
        <v>0</v>
      </c>
      <c r="BK1200">
        <v>0</v>
      </c>
      <c r="BL1200">
        <v>0</v>
      </c>
      <c r="BO1200">
        <v>0</v>
      </c>
      <c r="BP1200">
        <v>0</v>
      </c>
      <c r="BW1200" t="str">
        <f t="shared" ref="BW1200:BW1207" si="668">"14:52:02.840"</f>
        <v>14:52:02.840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293</v>
      </c>
      <c r="CR1200">
        <v>1</v>
      </c>
      <c r="CW1200">
        <v>15283127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25">
      <c r="A1201" t="str">
        <f t="shared" si="665"/>
        <v>06/05/2020 14:51:57.207</v>
      </c>
      <c r="C1201" t="str">
        <f t="shared" si="660"/>
        <v>FFDFD3C0</v>
      </c>
      <c r="D1201" t="s">
        <v>113</v>
      </c>
      <c r="E1201">
        <v>3</v>
      </c>
      <c r="H1201">
        <v>166</v>
      </c>
      <c r="I1201" t="s">
        <v>114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666"/>
        <v>14:52:02.836</v>
      </c>
      <c r="T1201" t="str">
        <f t="shared" si="667"/>
        <v>14:52:02.636</v>
      </c>
      <c r="U1201" t="str">
        <f t="shared" si="644"/>
        <v>ACC530</v>
      </c>
      <c r="V1201">
        <v>0</v>
      </c>
      <c r="W1201">
        <v>0</v>
      </c>
      <c r="X1201">
        <v>1</v>
      </c>
      <c r="Z1201">
        <v>0</v>
      </c>
      <c r="AA1201">
        <v>9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1</v>
      </c>
      <c r="AH1201">
        <v>0</v>
      </c>
      <c r="AI1201" t="s">
        <v>507</v>
      </c>
      <c r="AJ1201">
        <v>34.209688</v>
      </c>
      <c r="AK1201" t="s">
        <v>508</v>
      </c>
      <c r="AL1201">
        <v>-116.95502</v>
      </c>
      <c r="AM1201">
        <v>100</v>
      </c>
      <c r="AN1201">
        <v>9000</v>
      </c>
      <c r="AO1201" t="s">
        <v>118</v>
      </c>
      <c r="AP1201">
        <v>-106</v>
      </c>
      <c r="AQ1201">
        <v>-68</v>
      </c>
      <c r="AR1201">
        <v>-256</v>
      </c>
      <c r="AZ1201">
        <v>1200</v>
      </c>
      <c r="BA1201">
        <v>1</v>
      </c>
      <c r="BB1201" t="str">
        <f t="shared" si="645"/>
        <v xml:space="preserve">N9217B  </v>
      </c>
      <c r="BC1201">
        <v>1</v>
      </c>
      <c r="BE1201">
        <v>0</v>
      </c>
      <c r="BF1201">
        <v>0</v>
      </c>
      <c r="BG1201">
        <v>0</v>
      </c>
      <c r="BH1201">
        <v>9100</v>
      </c>
      <c r="BI1201">
        <v>1</v>
      </c>
      <c r="BJ1201">
        <v>0</v>
      </c>
      <c r="BK1201">
        <v>0</v>
      </c>
      <c r="BL1201">
        <v>0</v>
      </c>
      <c r="BO1201">
        <v>0</v>
      </c>
      <c r="BP1201">
        <v>0</v>
      </c>
      <c r="BW1201" t="str">
        <f t="shared" si="668"/>
        <v>14:52:02.840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293</v>
      </c>
      <c r="CR1201">
        <v>1</v>
      </c>
      <c r="CW1201">
        <v>15283127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25">
      <c r="A1202" t="str">
        <f t="shared" si="665"/>
        <v>06/05/2020 14:51:57.207</v>
      </c>
      <c r="C1202" t="str">
        <f t="shared" si="660"/>
        <v>FFDFD3C0</v>
      </c>
      <c r="D1202" t="s">
        <v>151</v>
      </c>
      <c r="E1202">
        <v>8</v>
      </c>
      <c r="H1202">
        <v>225</v>
      </c>
      <c r="I1202" t="s">
        <v>353</v>
      </c>
      <c r="J1202" t="s">
        <v>150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666"/>
        <v>14:52:02.836</v>
      </c>
      <c r="T1202" t="str">
        <f t="shared" si="667"/>
        <v>14:52:02.636</v>
      </c>
      <c r="U1202" t="str">
        <f t="shared" si="644"/>
        <v>ACC530</v>
      </c>
      <c r="V1202">
        <v>0</v>
      </c>
      <c r="W1202">
        <v>0</v>
      </c>
      <c r="X1202">
        <v>1</v>
      </c>
      <c r="Z1202">
        <v>0</v>
      </c>
      <c r="AA1202">
        <v>9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1</v>
      </c>
      <c r="AH1202">
        <v>0</v>
      </c>
      <c r="AI1202" t="s">
        <v>507</v>
      </c>
      <c r="AJ1202">
        <v>34.209688</v>
      </c>
      <c r="AK1202" t="s">
        <v>508</v>
      </c>
      <c r="AL1202">
        <v>-116.95502</v>
      </c>
      <c r="AM1202">
        <v>100</v>
      </c>
      <c r="AN1202">
        <v>9000</v>
      </c>
      <c r="AO1202" t="s">
        <v>118</v>
      </c>
      <c r="AP1202">
        <v>-106</v>
      </c>
      <c r="AQ1202">
        <v>-68</v>
      </c>
      <c r="AR1202">
        <v>-256</v>
      </c>
      <c r="AZ1202">
        <v>1200</v>
      </c>
      <c r="BA1202">
        <v>1</v>
      </c>
      <c r="BB1202" t="str">
        <f t="shared" si="645"/>
        <v xml:space="preserve">N9217B  </v>
      </c>
      <c r="BC1202">
        <v>1</v>
      </c>
      <c r="BE1202">
        <v>0</v>
      </c>
      <c r="BF1202">
        <v>0</v>
      </c>
      <c r="BG1202">
        <v>0</v>
      </c>
      <c r="BH1202">
        <v>9100</v>
      </c>
      <c r="BI1202">
        <v>1</v>
      </c>
      <c r="BJ1202">
        <v>0</v>
      </c>
      <c r="BK1202">
        <v>0</v>
      </c>
      <c r="BL1202">
        <v>0</v>
      </c>
      <c r="BO1202">
        <v>0</v>
      </c>
      <c r="BP1202">
        <v>0</v>
      </c>
      <c r="BW1202" t="str">
        <f t="shared" si="668"/>
        <v>14:52:02.840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285</v>
      </c>
      <c r="CR1202">
        <v>0</v>
      </c>
      <c r="CW1202">
        <v>8850032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25">
      <c r="A1203" t="str">
        <f t="shared" si="665"/>
        <v>06/05/2020 14:51:57.207</v>
      </c>
      <c r="C1203" t="str">
        <f t="shared" si="660"/>
        <v>FFDFD3C0</v>
      </c>
      <c r="D1203" t="s">
        <v>151</v>
      </c>
      <c r="E1203">
        <v>9</v>
      </c>
      <c r="H1203">
        <v>226</v>
      </c>
      <c r="I1203" t="s">
        <v>152</v>
      </c>
      <c r="J1203" t="s">
        <v>150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666"/>
        <v>14:52:02.836</v>
      </c>
      <c r="T1203" t="str">
        <f t="shared" si="667"/>
        <v>14:52:02.636</v>
      </c>
      <c r="U1203" t="str">
        <f t="shared" si="644"/>
        <v>ACC530</v>
      </c>
      <c r="V1203">
        <v>0</v>
      </c>
      <c r="W1203">
        <v>0</v>
      </c>
      <c r="X1203">
        <v>1</v>
      </c>
      <c r="Z1203">
        <v>0</v>
      </c>
      <c r="AA1203">
        <v>9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1</v>
      </c>
      <c r="AH1203">
        <v>0</v>
      </c>
      <c r="AI1203" t="s">
        <v>507</v>
      </c>
      <c r="AJ1203">
        <v>34.209688</v>
      </c>
      <c r="AK1203" t="s">
        <v>508</v>
      </c>
      <c r="AL1203">
        <v>-116.95502</v>
      </c>
      <c r="AM1203">
        <v>100</v>
      </c>
      <c r="AN1203">
        <v>9000</v>
      </c>
      <c r="AO1203" t="s">
        <v>118</v>
      </c>
      <c r="AP1203">
        <v>-106</v>
      </c>
      <c r="AQ1203">
        <v>-68</v>
      </c>
      <c r="AR1203">
        <v>-256</v>
      </c>
      <c r="AZ1203">
        <v>1200</v>
      </c>
      <c r="BA1203">
        <v>1</v>
      </c>
      <c r="BB1203" t="str">
        <f t="shared" si="645"/>
        <v xml:space="preserve">N9217B  </v>
      </c>
      <c r="BC1203">
        <v>1</v>
      </c>
      <c r="BE1203">
        <v>0</v>
      </c>
      <c r="BF1203">
        <v>0</v>
      </c>
      <c r="BG1203">
        <v>0</v>
      </c>
      <c r="BH1203">
        <v>9100</v>
      </c>
      <c r="BI1203">
        <v>1</v>
      </c>
      <c r="BJ1203">
        <v>0</v>
      </c>
      <c r="BK1203">
        <v>0</v>
      </c>
      <c r="BL1203">
        <v>0</v>
      </c>
      <c r="BO1203">
        <v>0</v>
      </c>
      <c r="BP1203">
        <v>0</v>
      </c>
      <c r="BW1203" t="str">
        <f t="shared" si="668"/>
        <v>14:52:02.840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293</v>
      </c>
      <c r="CR1203">
        <v>1</v>
      </c>
      <c r="CW1203">
        <v>15283127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25">
      <c r="A1204" t="str">
        <f t="shared" si="665"/>
        <v>06/05/2020 14:51:57.207</v>
      </c>
      <c r="C1204" t="str">
        <f t="shared" si="660"/>
        <v>FFDFD3C0</v>
      </c>
      <c r="D1204" t="s">
        <v>148</v>
      </c>
      <c r="E1204">
        <v>8</v>
      </c>
      <c r="H1204">
        <v>50</v>
      </c>
      <c r="I1204" t="s">
        <v>149</v>
      </c>
      <c r="J1204" t="s">
        <v>150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666"/>
        <v>14:52:02.836</v>
      </c>
      <c r="T1204" t="str">
        <f t="shared" si="667"/>
        <v>14:52:02.636</v>
      </c>
      <c r="U1204" t="str">
        <f t="shared" si="644"/>
        <v>ACC530</v>
      </c>
      <c r="V1204">
        <v>0</v>
      </c>
      <c r="W1204">
        <v>0</v>
      </c>
      <c r="X1204">
        <v>1</v>
      </c>
      <c r="Z1204">
        <v>0</v>
      </c>
      <c r="AA1204">
        <v>9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1</v>
      </c>
      <c r="AH1204">
        <v>0</v>
      </c>
      <c r="AI1204" t="s">
        <v>507</v>
      </c>
      <c r="AJ1204">
        <v>34.209688</v>
      </c>
      <c r="AK1204" t="s">
        <v>508</v>
      </c>
      <c r="AL1204">
        <v>-116.95502</v>
      </c>
      <c r="AM1204">
        <v>100</v>
      </c>
      <c r="AN1204">
        <v>9000</v>
      </c>
      <c r="AO1204" t="s">
        <v>118</v>
      </c>
      <c r="AP1204">
        <v>-106</v>
      </c>
      <c r="AQ1204">
        <v>-68</v>
      </c>
      <c r="AR1204">
        <v>-256</v>
      </c>
      <c r="AZ1204">
        <v>1200</v>
      </c>
      <c r="BA1204">
        <v>1</v>
      </c>
      <c r="BB1204" t="str">
        <f t="shared" si="645"/>
        <v xml:space="preserve">N9217B  </v>
      </c>
      <c r="BC1204">
        <v>1</v>
      </c>
      <c r="BE1204">
        <v>0</v>
      </c>
      <c r="BF1204">
        <v>0</v>
      </c>
      <c r="BG1204">
        <v>0</v>
      </c>
      <c r="BH1204">
        <v>9100</v>
      </c>
      <c r="BI1204">
        <v>1</v>
      </c>
      <c r="BJ1204">
        <v>0</v>
      </c>
      <c r="BK1204">
        <v>0</v>
      </c>
      <c r="BL1204">
        <v>0</v>
      </c>
      <c r="BO1204">
        <v>0</v>
      </c>
      <c r="BP1204">
        <v>0</v>
      </c>
      <c r="BW1204" t="str">
        <f t="shared" si="668"/>
        <v>14:52:02.840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293</v>
      </c>
      <c r="CR1204">
        <v>1</v>
      </c>
      <c r="CW1204">
        <v>15283127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25">
      <c r="A1205" t="str">
        <f t="shared" si="665"/>
        <v>06/05/2020 14:51:57.207</v>
      </c>
      <c r="C1205" t="str">
        <f t="shared" si="660"/>
        <v>FFDFD3C0</v>
      </c>
      <c r="D1205" t="s">
        <v>148</v>
      </c>
      <c r="E1205">
        <v>11</v>
      </c>
      <c r="H1205">
        <v>53</v>
      </c>
      <c r="I1205" t="s">
        <v>364</v>
      </c>
      <c r="J1205" t="s">
        <v>150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666"/>
        <v>14:52:02.836</v>
      </c>
      <c r="T1205" t="str">
        <f t="shared" si="667"/>
        <v>14:52:02.636</v>
      </c>
      <c r="U1205" t="str">
        <f t="shared" si="644"/>
        <v>ACC530</v>
      </c>
      <c r="V1205">
        <v>0</v>
      </c>
      <c r="W1205">
        <v>0</v>
      </c>
      <c r="X1205">
        <v>1</v>
      </c>
      <c r="Z1205">
        <v>0</v>
      </c>
      <c r="AA1205">
        <v>9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1</v>
      </c>
      <c r="AH1205">
        <v>0</v>
      </c>
      <c r="AI1205" t="s">
        <v>507</v>
      </c>
      <c r="AJ1205">
        <v>34.209688</v>
      </c>
      <c r="AK1205" t="s">
        <v>508</v>
      </c>
      <c r="AL1205">
        <v>-116.95502</v>
      </c>
      <c r="AM1205">
        <v>100</v>
      </c>
      <c r="AN1205">
        <v>9000</v>
      </c>
      <c r="AO1205" t="s">
        <v>118</v>
      </c>
      <c r="AP1205">
        <v>-106</v>
      </c>
      <c r="AQ1205">
        <v>-68</v>
      </c>
      <c r="AR1205">
        <v>-256</v>
      </c>
      <c r="AZ1205">
        <v>1200</v>
      </c>
      <c r="BA1205">
        <v>1</v>
      </c>
      <c r="BB1205" t="str">
        <f t="shared" si="645"/>
        <v xml:space="preserve">N9217B  </v>
      </c>
      <c r="BC1205">
        <v>1</v>
      </c>
      <c r="BE1205">
        <v>0</v>
      </c>
      <c r="BF1205">
        <v>0</v>
      </c>
      <c r="BG1205">
        <v>0</v>
      </c>
      <c r="BH1205">
        <v>9100</v>
      </c>
      <c r="BI1205">
        <v>1</v>
      </c>
      <c r="BJ1205">
        <v>0</v>
      </c>
      <c r="BK1205">
        <v>0</v>
      </c>
      <c r="BL1205">
        <v>0</v>
      </c>
      <c r="BO1205">
        <v>0</v>
      </c>
      <c r="BP1205">
        <v>0</v>
      </c>
      <c r="BW1205" t="str">
        <f t="shared" si="668"/>
        <v>14:52:02.840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293</v>
      </c>
      <c r="CR1205">
        <v>1</v>
      </c>
      <c r="CW1205">
        <v>15283127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25">
      <c r="A1206" t="str">
        <f t="shared" si="665"/>
        <v>06/05/2020 14:51:57.207</v>
      </c>
      <c r="C1206" t="str">
        <f t="shared" si="660"/>
        <v>FFDFD3C0</v>
      </c>
      <c r="D1206" t="s">
        <v>134</v>
      </c>
      <c r="E1206">
        <v>7</v>
      </c>
      <c r="F1206">
        <v>2007</v>
      </c>
      <c r="G1206" t="s">
        <v>135</v>
      </c>
      <c r="J1206" t="s">
        <v>136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66"/>
        <v>14:52:02.836</v>
      </c>
      <c r="T1206" t="str">
        <f t="shared" si="667"/>
        <v>14:52:02.636</v>
      </c>
      <c r="U1206" t="str">
        <f t="shared" si="644"/>
        <v>ACC530</v>
      </c>
      <c r="V1206">
        <v>0</v>
      </c>
      <c r="W1206">
        <v>0</v>
      </c>
      <c r="X1206">
        <v>1</v>
      </c>
      <c r="Z1206">
        <v>0</v>
      </c>
      <c r="AA1206">
        <v>9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1</v>
      </c>
      <c r="AH1206">
        <v>0</v>
      </c>
      <c r="AI1206" t="s">
        <v>507</v>
      </c>
      <c r="AJ1206">
        <v>34.209688</v>
      </c>
      <c r="AK1206" t="s">
        <v>508</v>
      </c>
      <c r="AL1206">
        <v>-116.95502</v>
      </c>
      <c r="AM1206">
        <v>100</v>
      </c>
      <c r="AN1206">
        <v>9000</v>
      </c>
      <c r="AO1206" t="s">
        <v>118</v>
      </c>
      <c r="AP1206">
        <v>-106</v>
      </c>
      <c r="AQ1206">
        <v>-68</v>
      </c>
      <c r="AR1206">
        <v>-256</v>
      </c>
      <c r="AZ1206">
        <v>1200</v>
      </c>
      <c r="BA1206">
        <v>1</v>
      </c>
      <c r="BB1206" t="str">
        <f t="shared" si="645"/>
        <v xml:space="preserve">N9217B  </v>
      </c>
      <c r="BC1206">
        <v>1</v>
      </c>
      <c r="BE1206">
        <v>0</v>
      </c>
      <c r="BF1206">
        <v>0</v>
      </c>
      <c r="BG1206">
        <v>0</v>
      </c>
      <c r="BH1206">
        <v>9100</v>
      </c>
      <c r="BI1206">
        <v>1</v>
      </c>
      <c r="BJ1206">
        <v>0</v>
      </c>
      <c r="BK1206">
        <v>0</v>
      </c>
      <c r="BL1206">
        <v>0</v>
      </c>
      <c r="BO1206">
        <v>0</v>
      </c>
      <c r="BP1206">
        <v>0</v>
      </c>
      <c r="BW1206" t="str">
        <f t="shared" si="668"/>
        <v>14:52:02.840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293</v>
      </c>
      <c r="CR1206">
        <v>1</v>
      </c>
      <c r="CW1206">
        <v>15283127</v>
      </c>
      <c r="CY1206">
        <v>0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25">
      <c r="A1207" t="str">
        <f t="shared" si="665"/>
        <v>06/05/2020 14:51:57.207</v>
      </c>
      <c r="C1207" t="str">
        <f t="shared" si="660"/>
        <v>FFDFD3C0</v>
      </c>
      <c r="D1207" t="s">
        <v>141</v>
      </c>
      <c r="E1207">
        <v>20</v>
      </c>
      <c r="F1207">
        <v>1020</v>
      </c>
      <c r="G1207" t="s">
        <v>114</v>
      </c>
      <c r="J1207" t="s">
        <v>142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666"/>
        <v>14:52:02.836</v>
      </c>
      <c r="T1207" t="str">
        <f t="shared" si="667"/>
        <v>14:52:02.636</v>
      </c>
      <c r="U1207" t="str">
        <f t="shared" si="644"/>
        <v>ACC530</v>
      </c>
      <c r="V1207">
        <v>0</v>
      </c>
      <c r="W1207">
        <v>0</v>
      </c>
      <c r="X1207">
        <v>1</v>
      </c>
      <c r="Z1207">
        <v>0</v>
      </c>
      <c r="AA1207">
        <v>9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1</v>
      </c>
      <c r="AH1207">
        <v>0</v>
      </c>
      <c r="AI1207" t="s">
        <v>507</v>
      </c>
      <c r="AJ1207">
        <v>34.209688</v>
      </c>
      <c r="AK1207" t="s">
        <v>508</v>
      </c>
      <c r="AL1207">
        <v>-116.95502</v>
      </c>
      <c r="AM1207">
        <v>100</v>
      </c>
      <c r="AN1207">
        <v>9000</v>
      </c>
      <c r="AO1207" t="s">
        <v>118</v>
      </c>
      <c r="AP1207">
        <v>-106</v>
      </c>
      <c r="AQ1207">
        <v>-68</v>
      </c>
      <c r="AR1207">
        <v>-256</v>
      </c>
      <c r="AZ1207">
        <v>1200</v>
      </c>
      <c r="BA1207">
        <v>1</v>
      </c>
      <c r="BB1207" t="str">
        <f t="shared" si="645"/>
        <v xml:space="preserve">N9217B  </v>
      </c>
      <c r="BC1207">
        <v>1</v>
      </c>
      <c r="BE1207">
        <v>0</v>
      </c>
      <c r="BF1207">
        <v>0</v>
      </c>
      <c r="BG1207">
        <v>0</v>
      </c>
      <c r="BH1207">
        <v>9100</v>
      </c>
      <c r="BI1207">
        <v>1</v>
      </c>
      <c r="BJ1207">
        <v>0</v>
      </c>
      <c r="BK1207">
        <v>0</v>
      </c>
      <c r="BL1207">
        <v>0</v>
      </c>
      <c r="BO1207">
        <v>0</v>
      </c>
      <c r="BP1207">
        <v>0</v>
      </c>
      <c r="BW1207" t="str">
        <f t="shared" si="668"/>
        <v>14:52:02.840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293</v>
      </c>
      <c r="CR1207">
        <v>1</v>
      </c>
      <c r="CW1207">
        <v>15283127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25">
      <c r="A1208" t="str">
        <f t="shared" ref="A1208:A1215" si="669">"06/05/2020 14:51:58.147"</f>
        <v>06/05/2020 14:51:58.147</v>
      </c>
      <c r="C1208" t="str">
        <f t="shared" si="660"/>
        <v>FFDFD3C0</v>
      </c>
      <c r="D1208" t="s">
        <v>141</v>
      </c>
      <c r="E1208">
        <v>20</v>
      </c>
      <c r="F1208">
        <v>1020</v>
      </c>
      <c r="G1208" t="s">
        <v>114</v>
      </c>
      <c r="J1208" t="s">
        <v>142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ref="S1208:S1215" si="670">"14:52:03.797"</f>
        <v>14:52:03.797</v>
      </c>
      <c r="T1208" t="str">
        <f t="shared" ref="T1208:T1215" si="671">"14:52:03.597"</f>
        <v>14:52:03.597</v>
      </c>
      <c r="U1208" t="str">
        <f t="shared" si="644"/>
        <v>ACC530</v>
      </c>
      <c r="V1208">
        <v>0</v>
      </c>
      <c r="W1208">
        <v>0</v>
      </c>
      <c r="X1208">
        <v>1</v>
      </c>
      <c r="Z1208">
        <v>0</v>
      </c>
      <c r="AA1208">
        <v>9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1</v>
      </c>
      <c r="AH1208">
        <v>0</v>
      </c>
      <c r="AI1208" t="s">
        <v>509</v>
      </c>
      <c r="AJ1208">
        <v>34.209387</v>
      </c>
      <c r="AK1208" t="s">
        <v>510</v>
      </c>
      <c r="AL1208">
        <v>-116.955578</v>
      </c>
      <c r="AM1208">
        <v>100</v>
      </c>
      <c r="AN1208">
        <v>9100</v>
      </c>
      <c r="AO1208" t="s">
        <v>118</v>
      </c>
      <c r="AP1208">
        <v>-106</v>
      </c>
      <c r="AQ1208">
        <v>-68</v>
      </c>
      <c r="AR1208">
        <v>-128</v>
      </c>
      <c r="AZ1208">
        <v>1200</v>
      </c>
      <c r="BA1208">
        <v>1</v>
      </c>
      <c r="BB1208" t="str">
        <f t="shared" si="645"/>
        <v xml:space="preserve">N9217B  </v>
      </c>
      <c r="BC1208">
        <v>1</v>
      </c>
      <c r="BE1208">
        <v>0</v>
      </c>
      <c r="BF1208">
        <v>0</v>
      </c>
      <c r="BG1208">
        <v>0</v>
      </c>
      <c r="BH1208">
        <v>9175</v>
      </c>
      <c r="BI1208">
        <v>1</v>
      </c>
      <c r="BJ1208">
        <v>0</v>
      </c>
      <c r="BK1208">
        <v>0</v>
      </c>
      <c r="BL1208">
        <v>0</v>
      </c>
      <c r="BO1208">
        <v>0</v>
      </c>
      <c r="BP1208">
        <v>0</v>
      </c>
      <c r="BW1208" t="str">
        <f t="shared" ref="BW1208:BW1215" si="672">"14:52:03.800"</f>
        <v>14:52:03.800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293</v>
      </c>
      <c r="CR1208">
        <v>1</v>
      </c>
      <c r="CW1208">
        <v>15283229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25">
      <c r="A1209" t="str">
        <f t="shared" si="669"/>
        <v>06/05/2020 14:51:58.147</v>
      </c>
      <c r="C1209" t="str">
        <f t="shared" si="660"/>
        <v>FFDFD3C0</v>
      </c>
      <c r="D1209" t="s">
        <v>143</v>
      </c>
      <c r="E1209">
        <v>10</v>
      </c>
      <c r="F1209">
        <v>3010</v>
      </c>
      <c r="G1209" t="s">
        <v>144</v>
      </c>
      <c r="J1209" t="s">
        <v>145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70"/>
        <v>14:52:03.797</v>
      </c>
      <c r="T1209" t="str">
        <f t="shared" si="671"/>
        <v>14:52:03.597</v>
      </c>
      <c r="U1209" t="str">
        <f t="shared" si="644"/>
        <v>ACC530</v>
      </c>
      <c r="V1209">
        <v>0</v>
      </c>
      <c r="W1209">
        <v>0</v>
      </c>
      <c r="X1209">
        <v>1</v>
      </c>
      <c r="Z1209">
        <v>0</v>
      </c>
      <c r="AA1209">
        <v>9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1</v>
      </c>
      <c r="AH1209">
        <v>0</v>
      </c>
      <c r="AI1209" t="s">
        <v>509</v>
      </c>
      <c r="AJ1209">
        <v>34.209387</v>
      </c>
      <c r="AK1209" t="s">
        <v>510</v>
      </c>
      <c r="AL1209">
        <v>-116.955578</v>
      </c>
      <c r="AM1209">
        <v>100</v>
      </c>
      <c r="AN1209">
        <v>9100</v>
      </c>
      <c r="AO1209" t="s">
        <v>118</v>
      </c>
      <c r="AP1209">
        <v>-106</v>
      </c>
      <c r="AQ1209">
        <v>-68</v>
      </c>
      <c r="AR1209">
        <v>-128</v>
      </c>
      <c r="AZ1209">
        <v>1200</v>
      </c>
      <c r="BA1209">
        <v>1</v>
      </c>
      <c r="BB1209" t="str">
        <f t="shared" si="645"/>
        <v xml:space="preserve">N9217B  </v>
      </c>
      <c r="BC1209">
        <v>1</v>
      </c>
      <c r="BE1209">
        <v>0</v>
      </c>
      <c r="BF1209">
        <v>0</v>
      </c>
      <c r="BG1209">
        <v>0</v>
      </c>
      <c r="BH1209">
        <v>9175</v>
      </c>
      <c r="BI1209">
        <v>1</v>
      </c>
      <c r="BJ1209">
        <v>0</v>
      </c>
      <c r="BK1209">
        <v>0</v>
      </c>
      <c r="BL1209">
        <v>0</v>
      </c>
      <c r="BO1209">
        <v>0</v>
      </c>
      <c r="BP1209">
        <v>0</v>
      </c>
      <c r="BW1209" t="str">
        <f t="shared" si="672"/>
        <v>14:52:03.800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293</v>
      </c>
      <c r="CR1209">
        <v>1</v>
      </c>
      <c r="CW1209">
        <v>15283229</v>
      </c>
      <c r="CY1209">
        <v>0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25">
      <c r="A1210" t="str">
        <f t="shared" si="669"/>
        <v>06/05/2020 14:51:58.147</v>
      </c>
      <c r="C1210" t="str">
        <f t="shared" si="660"/>
        <v>FFDFD3C0</v>
      </c>
      <c r="D1210" t="s">
        <v>113</v>
      </c>
      <c r="E1210">
        <v>3</v>
      </c>
      <c r="H1210">
        <v>166</v>
      </c>
      <c r="I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70"/>
        <v>14:52:03.797</v>
      </c>
      <c r="T1210" t="str">
        <f t="shared" si="671"/>
        <v>14:52:03.597</v>
      </c>
      <c r="U1210" t="str">
        <f t="shared" si="644"/>
        <v>ACC530</v>
      </c>
      <c r="V1210">
        <v>0</v>
      </c>
      <c r="W1210">
        <v>0</v>
      </c>
      <c r="X1210">
        <v>1</v>
      </c>
      <c r="Z1210">
        <v>0</v>
      </c>
      <c r="AA1210">
        <v>9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1</v>
      </c>
      <c r="AH1210">
        <v>0</v>
      </c>
      <c r="AI1210" t="s">
        <v>509</v>
      </c>
      <c r="AJ1210">
        <v>34.209387</v>
      </c>
      <c r="AK1210" t="s">
        <v>510</v>
      </c>
      <c r="AL1210">
        <v>-116.955578</v>
      </c>
      <c r="AM1210">
        <v>100</v>
      </c>
      <c r="AN1210">
        <v>9100</v>
      </c>
      <c r="AO1210" t="s">
        <v>118</v>
      </c>
      <c r="AP1210">
        <v>-106</v>
      </c>
      <c r="AQ1210">
        <v>-68</v>
      </c>
      <c r="AR1210">
        <v>-128</v>
      </c>
      <c r="AZ1210">
        <v>1200</v>
      </c>
      <c r="BA1210">
        <v>1</v>
      </c>
      <c r="BB1210" t="str">
        <f t="shared" si="645"/>
        <v xml:space="preserve">N9217B  </v>
      </c>
      <c r="BC1210">
        <v>1</v>
      </c>
      <c r="BE1210">
        <v>0</v>
      </c>
      <c r="BF1210">
        <v>0</v>
      </c>
      <c r="BG1210">
        <v>0</v>
      </c>
      <c r="BH1210">
        <v>9175</v>
      </c>
      <c r="BI1210">
        <v>1</v>
      </c>
      <c r="BJ1210">
        <v>0</v>
      </c>
      <c r="BK1210">
        <v>0</v>
      </c>
      <c r="BL1210">
        <v>0</v>
      </c>
      <c r="BO1210">
        <v>0</v>
      </c>
      <c r="BP1210">
        <v>0</v>
      </c>
      <c r="BW1210" t="str">
        <f t="shared" si="672"/>
        <v>14:52:03.800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293</v>
      </c>
      <c r="CR1210">
        <v>1</v>
      </c>
      <c r="CW1210">
        <v>15283229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25">
      <c r="A1211" t="str">
        <f t="shared" si="669"/>
        <v>06/05/2020 14:51:58.147</v>
      </c>
      <c r="C1211" t="str">
        <f t="shared" si="660"/>
        <v>FFDFD3C0</v>
      </c>
      <c r="D1211" t="s">
        <v>151</v>
      </c>
      <c r="E1211">
        <v>8</v>
      </c>
      <c r="H1211">
        <v>225</v>
      </c>
      <c r="I1211" t="s">
        <v>353</v>
      </c>
      <c r="J1211" t="s">
        <v>150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70"/>
        <v>14:52:03.797</v>
      </c>
      <c r="T1211" t="str">
        <f t="shared" si="671"/>
        <v>14:52:03.597</v>
      </c>
      <c r="U1211" t="str">
        <f t="shared" si="644"/>
        <v>ACC530</v>
      </c>
      <c r="V1211">
        <v>0</v>
      </c>
      <c r="W1211">
        <v>0</v>
      </c>
      <c r="X1211">
        <v>1</v>
      </c>
      <c r="Z1211">
        <v>0</v>
      </c>
      <c r="AA1211">
        <v>9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1</v>
      </c>
      <c r="AH1211">
        <v>0</v>
      </c>
      <c r="AI1211" t="s">
        <v>509</v>
      </c>
      <c r="AJ1211">
        <v>34.209387</v>
      </c>
      <c r="AK1211" t="s">
        <v>510</v>
      </c>
      <c r="AL1211">
        <v>-116.955578</v>
      </c>
      <c r="AM1211">
        <v>100</v>
      </c>
      <c r="AN1211">
        <v>9100</v>
      </c>
      <c r="AO1211" t="s">
        <v>118</v>
      </c>
      <c r="AP1211">
        <v>-106</v>
      </c>
      <c r="AQ1211">
        <v>-68</v>
      </c>
      <c r="AR1211">
        <v>-128</v>
      </c>
      <c r="AZ1211">
        <v>1200</v>
      </c>
      <c r="BA1211">
        <v>1</v>
      </c>
      <c r="BB1211" t="str">
        <f t="shared" si="645"/>
        <v xml:space="preserve">N9217B  </v>
      </c>
      <c r="BC1211">
        <v>1</v>
      </c>
      <c r="BE1211">
        <v>0</v>
      </c>
      <c r="BF1211">
        <v>0</v>
      </c>
      <c r="BG1211">
        <v>0</v>
      </c>
      <c r="BH1211">
        <v>9175</v>
      </c>
      <c r="BI1211">
        <v>1</v>
      </c>
      <c r="BJ1211">
        <v>0</v>
      </c>
      <c r="BK1211">
        <v>0</v>
      </c>
      <c r="BL1211">
        <v>0</v>
      </c>
      <c r="BO1211">
        <v>0</v>
      </c>
      <c r="BP1211">
        <v>0</v>
      </c>
      <c r="BW1211" t="str">
        <f t="shared" si="672"/>
        <v>14:52:03.800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285</v>
      </c>
      <c r="CR1211">
        <v>0</v>
      </c>
      <c r="CW1211">
        <v>8850117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25">
      <c r="A1212" t="str">
        <f t="shared" si="669"/>
        <v>06/05/2020 14:51:58.147</v>
      </c>
      <c r="C1212" t="str">
        <f t="shared" si="660"/>
        <v>FFDFD3C0</v>
      </c>
      <c r="D1212" t="s">
        <v>151</v>
      </c>
      <c r="E1212">
        <v>9</v>
      </c>
      <c r="H1212">
        <v>226</v>
      </c>
      <c r="I1212" t="s">
        <v>152</v>
      </c>
      <c r="J1212" t="s">
        <v>150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70"/>
        <v>14:52:03.797</v>
      </c>
      <c r="T1212" t="str">
        <f t="shared" si="671"/>
        <v>14:52:03.597</v>
      </c>
      <c r="U1212" t="str">
        <f t="shared" si="644"/>
        <v>ACC530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1</v>
      </c>
      <c r="AH1212">
        <v>0</v>
      </c>
      <c r="AI1212" t="s">
        <v>509</v>
      </c>
      <c r="AJ1212">
        <v>34.209387</v>
      </c>
      <c r="AK1212" t="s">
        <v>510</v>
      </c>
      <c r="AL1212">
        <v>-116.955578</v>
      </c>
      <c r="AM1212">
        <v>100</v>
      </c>
      <c r="AN1212">
        <v>9100</v>
      </c>
      <c r="AO1212" t="s">
        <v>118</v>
      </c>
      <c r="AP1212">
        <v>-106</v>
      </c>
      <c r="AQ1212">
        <v>-68</v>
      </c>
      <c r="AR1212">
        <v>-128</v>
      </c>
      <c r="AZ1212">
        <v>1200</v>
      </c>
      <c r="BA1212">
        <v>1</v>
      </c>
      <c r="BB1212" t="str">
        <f t="shared" si="645"/>
        <v xml:space="preserve">N9217B  </v>
      </c>
      <c r="BC1212">
        <v>1</v>
      </c>
      <c r="BE1212">
        <v>0</v>
      </c>
      <c r="BF1212">
        <v>0</v>
      </c>
      <c r="BG1212">
        <v>0</v>
      </c>
      <c r="BH1212">
        <v>9175</v>
      </c>
      <c r="BI1212">
        <v>1</v>
      </c>
      <c r="BJ1212">
        <v>0</v>
      </c>
      <c r="BK1212">
        <v>0</v>
      </c>
      <c r="BL1212">
        <v>0</v>
      </c>
      <c r="BO1212">
        <v>0</v>
      </c>
      <c r="BP1212">
        <v>0</v>
      </c>
      <c r="BW1212" t="str">
        <f t="shared" si="672"/>
        <v>14:52:03.800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293</v>
      </c>
      <c r="CR1212">
        <v>1</v>
      </c>
      <c r="CW1212">
        <v>15283229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25">
      <c r="A1213" t="str">
        <f t="shared" si="669"/>
        <v>06/05/2020 14:51:58.147</v>
      </c>
      <c r="C1213" t="str">
        <f t="shared" si="660"/>
        <v>FFDFD3C0</v>
      </c>
      <c r="D1213" t="s">
        <v>148</v>
      </c>
      <c r="E1213">
        <v>8</v>
      </c>
      <c r="H1213">
        <v>50</v>
      </c>
      <c r="I1213" t="s">
        <v>149</v>
      </c>
      <c r="J1213" t="s">
        <v>150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70"/>
        <v>14:52:03.797</v>
      </c>
      <c r="T1213" t="str">
        <f t="shared" si="671"/>
        <v>14:52:03.597</v>
      </c>
      <c r="U1213" t="str">
        <f t="shared" si="644"/>
        <v>ACC530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1</v>
      </c>
      <c r="AH1213">
        <v>0</v>
      </c>
      <c r="AI1213" t="s">
        <v>509</v>
      </c>
      <c r="AJ1213">
        <v>34.209387</v>
      </c>
      <c r="AK1213" t="s">
        <v>510</v>
      </c>
      <c r="AL1213">
        <v>-116.955578</v>
      </c>
      <c r="AM1213">
        <v>100</v>
      </c>
      <c r="AN1213">
        <v>9100</v>
      </c>
      <c r="AO1213" t="s">
        <v>118</v>
      </c>
      <c r="AP1213">
        <v>-106</v>
      </c>
      <c r="AQ1213">
        <v>-68</v>
      </c>
      <c r="AR1213">
        <v>-128</v>
      </c>
      <c r="AZ1213">
        <v>1200</v>
      </c>
      <c r="BA1213">
        <v>1</v>
      </c>
      <c r="BB1213" t="str">
        <f t="shared" si="645"/>
        <v xml:space="preserve">N9217B  </v>
      </c>
      <c r="BC1213">
        <v>1</v>
      </c>
      <c r="BE1213">
        <v>0</v>
      </c>
      <c r="BF1213">
        <v>0</v>
      </c>
      <c r="BG1213">
        <v>0</v>
      </c>
      <c r="BH1213">
        <v>9175</v>
      </c>
      <c r="BI1213">
        <v>1</v>
      </c>
      <c r="BJ1213">
        <v>0</v>
      </c>
      <c r="BK1213">
        <v>0</v>
      </c>
      <c r="BL1213">
        <v>0</v>
      </c>
      <c r="BO1213">
        <v>0</v>
      </c>
      <c r="BP1213">
        <v>0</v>
      </c>
      <c r="BW1213" t="str">
        <f t="shared" si="672"/>
        <v>14:52:03.800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293</v>
      </c>
      <c r="CR1213">
        <v>1</v>
      </c>
      <c r="CW1213">
        <v>15283229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25">
      <c r="A1214" t="str">
        <f t="shared" si="669"/>
        <v>06/05/2020 14:51:58.147</v>
      </c>
      <c r="C1214" t="str">
        <f t="shared" si="660"/>
        <v>FFDFD3C0</v>
      </c>
      <c r="D1214" t="s">
        <v>148</v>
      </c>
      <c r="E1214">
        <v>11</v>
      </c>
      <c r="H1214">
        <v>53</v>
      </c>
      <c r="I1214" t="s">
        <v>364</v>
      </c>
      <c r="J1214" t="s">
        <v>150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670"/>
        <v>14:52:03.797</v>
      </c>
      <c r="T1214" t="str">
        <f t="shared" si="671"/>
        <v>14:52:03.597</v>
      </c>
      <c r="U1214" t="str">
        <f t="shared" si="644"/>
        <v>ACC530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1</v>
      </c>
      <c r="AH1214">
        <v>0</v>
      </c>
      <c r="AI1214" t="s">
        <v>509</v>
      </c>
      <c r="AJ1214">
        <v>34.209387</v>
      </c>
      <c r="AK1214" t="s">
        <v>510</v>
      </c>
      <c r="AL1214">
        <v>-116.955578</v>
      </c>
      <c r="AM1214">
        <v>100</v>
      </c>
      <c r="AN1214">
        <v>9100</v>
      </c>
      <c r="AO1214" t="s">
        <v>118</v>
      </c>
      <c r="AP1214">
        <v>-106</v>
      </c>
      <c r="AQ1214">
        <v>-68</v>
      </c>
      <c r="AR1214">
        <v>-128</v>
      </c>
      <c r="AZ1214">
        <v>1200</v>
      </c>
      <c r="BA1214">
        <v>1</v>
      </c>
      <c r="BB1214" t="str">
        <f t="shared" si="645"/>
        <v xml:space="preserve">N9217B  </v>
      </c>
      <c r="BC1214">
        <v>1</v>
      </c>
      <c r="BE1214">
        <v>0</v>
      </c>
      <c r="BF1214">
        <v>0</v>
      </c>
      <c r="BG1214">
        <v>0</v>
      </c>
      <c r="BH1214">
        <v>9175</v>
      </c>
      <c r="BI1214">
        <v>1</v>
      </c>
      <c r="BJ1214">
        <v>0</v>
      </c>
      <c r="BK1214">
        <v>0</v>
      </c>
      <c r="BL1214">
        <v>0</v>
      </c>
      <c r="BO1214">
        <v>0</v>
      </c>
      <c r="BP1214">
        <v>0</v>
      </c>
      <c r="BW1214" t="str">
        <f t="shared" si="672"/>
        <v>14:52:03.800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293</v>
      </c>
      <c r="CR1214">
        <v>1</v>
      </c>
      <c r="CW1214">
        <v>15283229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25">
      <c r="A1215" t="str">
        <f t="shared" si="669"/>
        <v>06/05/2020 14:51:58.147</v>
      </c>
      <c r="C1215" t="str">
        <f t="shared" si="660"/>
        <v>FFDFD3C0</v>
      </c>
      <c r="D1215" t="s">
        <v>134</v>
      </c>
      <c r="E1215">
        <v>7</v>
      </c>
      <c r="F1215">
        <v>2007</v>
      </c>
      <c r="G1215" t="s">
        <v>135</v>
      </c>
      <c r="J1215" t="s">
        <v>136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670"/>
        <v>14:52:03.797</v>
      </c>
      <c r="T1215" t="str">
        <f t="shared" si="671"/>
        <v>14:52:03.597</v>
      </c>
      <c r="U1215" t="str">
        <f t="shared" si="644"/>
        <v>ACC530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1</v>
      </c>
      <c r="AH1215">
        <v>0</v>
      </c>
      <c r="AI1215" t="s">
        <v>509</v>
      </c>
      <c r="AJ1215">
        <v>34.209387</v>
      </c>
      <c r="AK1215" t="s">
        <v>510</v>
      </c>
      <c r="AL1215">
        <v>-116.955578</v>
      </c>
      <c r="AM1215">
        <v>100</v>
      </c>
      <c r="AN1215">
        <v>9100</v>
      </c>
      <c r="AO1215" t="s">
        <v>118</v>
      </c>
      <c r="AP1215">
        <v>-106</v>
      </c>
      <c r="AQ1215">
        <v>-68</v>
      </c>
      <c r="AR1215">
        <v>-128</v>
      </c>
      <c r="AZ1215">
        <v>1200</v>
      </c>
      <c r="BA1215">
        <v>1</v>
      </c>
      <c r="BB1215" t="str">
        <f t="shared" si="645"/>
        <v xml:space="preserve">N9217B  </v>
      </c>
      <c r="BC1215">
        <v>1</v>
      </c>
      <c r="BE1215">
        <v>0</v>
      </c>
      <c r="BF1215">
        <v>0</v>
      </c>
      <c r="BG1215">
        <v>0</v>
      </c>
      <c r="BH1215">
        <v>9175</v>
      </c>
      <c r="BI1215">
        <v>1</v>
      </c>
      <c r="BJ1215">
        <v>0</v>
      </c>
      <c r="BK1215">
        <v>0</v>
      </c>
      <c r="BL1215">
        <v>0</v>
      </c>
      <c r="BO1215">
        <v>0</v>
      </c>
      <c r="BP1215">
        <v>0</v>
      </c>
      <c r="BW1215" t="str">
        <f t="shared" si="672"/>
        <v>14:52:03.800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293</v>
      </c>
      <c r="CR1215">
        <v>1</v>
      </c>
      <c r="CW1215">
        <v>15283229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25">
      <c r="A1216" t="str">
        <f t="shared" ref="A1216:A1223" si="673">"06/05/2020 14:51:59.118"</f>
        <v>06/05/2020 14:51:59.118</v>
      </c>
      <c r="C1216" t="str">
        <f t="shared" si="660"/>
        <v>FFDFD3C0</v>
      </c>
      <c r="D1216" t="s">
        <v>143</v>
      </c>
      <c r="E1216">
        <v>10</v>
      </c>
      <c r="F1216">
        <v>3010</v>
      </c>
      <c r="G1216" t="s">
        <v>144</v>
      </c>
      <c r="J1216" t="s">
        <v>145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ref="S1216:T1223" si="674">"14:52:04.773"</f>
        <v>14:52:04.773</v>
      </c>
      <c r="T1216" t="str">
        <f t="shared" si="674"/>
        <v>14:52:04.773</v>
      </c>
      <c r="U1216" t="str">
        <f t="shared" si="644"/>
        <v>ACC530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1</v>
      </c>
      <c r="AH1216">
        <v>0</v>
      </c>
      <c r="AI1216" t="s">
        <v>511</v>
      </c>
      <c r="AJ1216">
        <v>34.209086999999997</v>
      </c>
      <c r="AK1216" t="s">
        <v>512</v>
      </c>
      <c r="AL1216">
        <v>-116.956136</v>
      </c>
      <c r="AM1216">
        <v>100</v>
      </c>
      <c r="AN1216">
        <v>9000</v>
      </c>
      <c r="AO1216" t="s">
        <v>118</v>
      </c>
      <c r="AP1216">
        <v>-106</v>
      </c>
      <c r="AQ1216">
        <v>-67</v>
      </c>
      <c r="AR1216">
        <v>-64</v>
      </c>
      <c r="AZ1216">
        <v>1200</v>
      </c>
      <c r="BA1216">
        <v>1</v>
      </c>
      <c r="BB1216" t="str">
        <f t="shared" si="645"/>
        <v xml:space="preserve">N9217B  </v>
      </c>
      <c r="BC1216">
        <v>1</v>
      </c>
      <c r="BE1216">
        <v>0</v>
      </c>
      <c r="BF1216">
        <v>0</v>
      </c>
      <c r="BG1216">
        <v>0</v>
      </c>
      <c r="BH1216">
        <v>9075</v>
      </c>
      <c r="BI1216">
        <v>1</v>
      </c>
      <c r="BJ1216">
        <v>0</v>
      </c>
      <c r="BK1216">
        <v>0</v>
      </c>
      <c r="BL1216">
        <v>0</v>
      </c>
      <c r="BO1216">
        <v>0</v>
      </c>
      <c r="BP1216">
        <v>0</v>
      </c>
      <c r="BW1216" t="str">
        <f t="shared" ref="BW1216:BW1223" si="675">"14:52:04.775"</f>
        <v>14:52:04.775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293</v>
      </c>
      <c r="CR1216">
        <v>1</v>
      </c>
      <c r="CW1216">
        <v>15283338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25">
      <c r="A1217" t="str">
        <f t="shared" si="673"/>
        <v>06/05/2020 14:51:59.118</v>
      </c>
      <c r="C1217" t="str">
        <f t="shared" si="660"/>
        <v>FFDFD3C0</v>
      </c>
      <c r="D1217" t="s">
        <v>113</v>
      </c>
      <c r="E1217">
        <v>3</v>
      </c>
      <c r="H1217">
        <v>166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74"/>
        <v>14:52:04.773</v>
      </c>
      <c r="T1217" t="str">
        <f t="shared" si="674"/>
        <v>14:52:04.773</v>
      </c>
      <c r="U1217" t="str">
        <f t="shared" si="644"/>
        <v>ACC530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1</v>
      </c>
      <c r="AH1217">
        <v>0</v>
      </c>
      <c r="AI1217" t="s">
        <v>511</v>
      </c>
      <c r="AJ1217">
        <v>34.209086999999997</v>
      </c>
      <c r="AK1217" t="s">
        <v>512</v>
      </c>
      <c r="AL1217">
        <v>-116.956136</v>
      </c>
      <c r="AM1217">
        <v>100</v>
      </c>
      <c r="AN1217">
        <v>9000</v>
      </c>
      <c r="AO1217" t="s">
        <v>118</v>
      </c>
      <c r="AP1217">
        <v>-106</v>
      </c>
      <c r="AQ1217">
        <v>-67</v>
      </c>
      <c r="AR1217">
        <v>-64</v>
      </c>
      <c r="AZ1217">
        <v>1200</v>
      </c>
      <c r="BA1217">
        <v>1</v>
      </c>
      <c r="BB1217" t="str">
        <f t="shared" si="645"/>
        <v xml:space="preserve">N9217B  </v>
      </c>
      <c r="BC1217">
        <v>1</v>
      </c>
      <c r="BE1217">
        <v>0</v>
      </c>
      <c r="BF1217">
        <v>0</v>
      </c>
      <c r="BG1217">
        <v>0</v>
      </c>
      <c r="BH1217">
        <v>9075</v>
      </c>
      <c r="BI1217">
        <v>1</v>
      </c>
      <c r="BJ1217">
        <v>0</v>
      </c>
      <c r="BK1217">
        <v>0</v>
      </c>
      <c r="BL1217">
        <v>0</v>
      </c>
      <c r="BO1217">
        <v>0</v>
      </c>
      <c r="BP1217">
        <v>0</v>
      </c>
      <c r="BW1217" t="str">
        <f t="shared" si="675"/>
        <v>14:52:04.775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293</v>
      </c>
      <c r="CR1217">
        <v>1</v>
      </c>
      <c r="CW1217">
        <v>15283338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25">
      <c r="A1218" t="str">
        <f t="shared" si="673"/>
        <v>06/05/2020 14:51:59.118</v>
      </c>
      <c r="C1218" t="str">
        <f t="shared" si="660"/>
        <v>FFDFD3C0</v>
      </c>
      <c r="D1218" t="s">
        <v>151</v>
      </c>
      <c r="E1218">
        <v>8</v>
      </c>
      <c r="H1218">
        <v>225</v>
      </c>
      <c r="I1218" t="s">
        <v>353</v>
      </c>
      <c r="J1218" t="s">
        <v>150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74"/>
        <v>14:52:04.773</v>
      </c>
      <c r="T1218" t="str">
        <f t="shared" si="674"/>
        <v>14:52:04.773</v>
      </c>
      <c r="U1218" t="str">
        <f t="shared" ref="U1218:U1281" si="676">"ACC530"</f>
        <v>ACC530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1</v>
      </c>
      <c r="AH1218">
        <v>0</v>
      </c>
      <c r="AI1218" t="s">
        <v>511</v>
      </c>
      <c r="AJ1218">
        <v>34.209086999999997</v>
      </c>
      <c r="AK1218" t="s">
        <v>512</v>
      </c>
      <c r="AL1218">
        <v>-116.956136</v>
      </c>
      <c r="AM1218">
        <v>100</v>
      </c>
      <c r="AN1218">
        <v>9000</v>
      </c>
      <c r="AO1218" t="s">
        <v>118</v>
      </c>
      <c r="AP1218">
        <v>-106</v>
      </c>
      <c r="AQ1218">
        <v>-67</v>
      </c>
      <c r="AR1218">
        <v>-64</v>
      </c>
      <c r="AZ1218">
        <v>1200</v>
      </c>
      <c r="BA1218">
        <v>1</v>
      </c>
      <c r="BB1218" t="str">
        <f t="shared" si="645"/>
        <v xml:space="preserve">N9217B  </v>
      </c>
      <c r="BC1218">
        <v>1</v>
      </c>
      <c r="BE1218">
        <v>0</v>
      </c>
      <c r="BF1218">
        <v>0</v>
      </c>
      <c r="BG1218">
        <v>0</v>
      </c>
      <c r="BH1218">
        <v>9075</v>
      </c>
      <c r="BI1218">
        <v>1</v>
      </c>
      <c r="BJ1218">
        <v>0</v>
      </c>
      <c r="BK1218">
        <v>0</v>
      </c>
      <c r="BL1218">
        <v>0</v>
      </c>
      <c r="BO1218">
        <v>0</v>
      </c>
      <c r="BP1218">
        <v>0</v>
      </c>
      <c r="BW1218" t="str">
        <f t="shared" si="675"/>
        <v>14:52:04.775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285</v>
      </c>
      <c r="CR1218">
        <v>0</v>
      </c>
      <c r="CW1218">
        <v>8850207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25">
      <c r="A1219" t="str">
        <f t="shared" si="673"/>
        <v>06/05/2020 14:51:59.118</v>
      </c>
      <c r="C1219" t="str">
        <f t="shared" si="660"/>
        <v>FFDFD3C0</v>
      </c>
      <c r="D1219" t="s">
        <v>148</v>
      </c>
      <c r="E1219">
        <v>8</v>
      </c>
      <c r="H1219">
        <v>50</v>
      </c>
      <c r="I1219" t="s">
        <v>149</v>
      </c>
      <c r="J1219" t="s">
        <v>150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74"/>
        <v>14:52:04.773</v>
      </c>
      <c r="T1219" t="str">
        <f t="shared" si="674"/>
        <v>14:52:04.773</v>
      </c>
      <c r="U1219" t="str">
        <f t="shared" si="676"/>
        <v>ACC530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1</v>
      </c>
      <c r="AH1219">
        <v>0</v>
      </c>
      <c r="AI1219" t="s">
        <v>511</v>
      </c>
      <c r="AJ1219">
        <v>34.209086999999997</v>
      </c>
      <c r="AK1219" t="s">
        <v>512</v>
      </c>
      <c r="AL1219">
        <v>-116.956136</v>
      </c>
      <c r="AM1219">
        <v>100</v>
      </c>
      <c r="AN1219">
        <v>9000</v>
      </c>
      <c r="AO1219" t="s">
        <v>118</v>
      </c>
      <c r="AP1219">
        <v>-106</v>
      </c>
      <c r="AQ1219">
        <v>-67</v>
      </c>
      <c r="AR1219">
        <v>-64</v>
      </c>
      <c r="AZ1219">
        <v>1200</v>
      </c>
      <c r="BA1219">
        <v>1</v>
      </c>
      <c r="BB1219" t="str">
        <f t="shared" si="645"/>
        <v xml:space="preserve">N9217B  </v>
      </c>
      <c r="BC1219">
        <v>1</v>
      </c>
      <c r="BE1219">
        <v>0</v>
      </c>
      <c r="BF1219">
        <v>0</v>
      </c>
      <c r="BG1219">
        <v>0</v>
      </c>
      <c r="BH1219">
        <v>9075</v>
      </c>
      <c r="BI1219">
        <v>1</v>
      </c>
      <c r="BJ1219">
        <v>0</v>
      </c>
      <c r="BK1219">
        <v>0</v>
      </c>
      <c r="BL1219">
        <v>0</v>
      </c>
      <c r="BO1219">
        <v>0</v>
      </c>
      <c r="BP1219">
        <v>0</v>
      </c>
      <c r="BW1219" t="str">
        <f t="shared" si="675"/>
        <v>14:52:04.775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293</v>
      </c>
      <c r="CR1219">
        <v>1</v>
      </c>
      <c r="CW1219">
        <v>15283338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25">
      <c r="A1220" t="str">
        <f t="shared" si="673"/>
        <v>06/05/2020 14:51:59.118</v>
      </c>
      <c r="C1220" t="str">
        <f t="shared" si="660"/>
        <v>FFDFD3C0</v>
      </c>
      <c r="D1220" t="s">
        <v>151</v>
      </c>
      <c r="E1220">
        <v>9</v>
      </c>
      <c r="H1220">
        <v>226</v>
      </c>
      <c r="I1220" t="s">
        <v>152</v>
      </c>
      <c r="J1220" t="s">
        <v>150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74"/>
        <v>14:52:04.773</v>
      </c>
      <c r="T1220" t="str">
        <f t="shared" si="674"/>
        <v>14:52:04.773</v>
      </c>
      <c r="U1220" t="str">
        <f t="shared" si="676"/>
        <v>ACC530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1</v>
      </c>
      <c r="AH1220">
        <v>0</v>
      </c>
      <c r="AI1220" t="s">
        <v>511</v>
      </c>
      <c r="AJ1220">
        <v>34.209086999999997</v>
      </c>
      <c r="AK1220" t="s">
        <v>512</v>
      </c>
      <c r="AL1220">
        <v>-116.956136</v>
      </c>
      <c r="AM1220">
        <v>100</v>
      </c>
      <c r="AN1220">
        <v>9000</v>
      </c>
      <c r="AO1220" t="s">
        <v>118</v>
      </c>
      <c r="AP1220">
        <v>-106</v>
      </c>
      <c r="AQ1220">
        <v>-67</v>
      </c>
      <c r="AR1220">
        <v>-64</v>
      </c>
      <c r="AZ1220">
        <v>1200</v>
      </c>
      <c r="BA1220">
        <v>1</v>
      </c>
      <c r="BB1220" t="str">
        <f t="shared" si="645"/>
        <v xml:space="preserve">N9217B  </v>
      </c>
      <c r="BC1220">
        <v>1</v>
      </c>
      <c r="BE1220">
        <v>0</v>
      </c>
      <c r="BF1220">
        <v>0</v>
      </c>
      <c r="BG1220">
        <v>0</v>
      </c>
      <c r="BH1220">
        <v>9075</v>
      </c>
      <c r="BI1220">
        <v>1</v>
      </c>
      <c r="BJ1220">
        <v>0</v>
      </c>
      <c r="BK1220">
        <v>0</v>
      </c>
      <c r="BL1220">
        <v>0</v>
      </c>
      <c r="BO1220">
        <v>0</v>
      </c>
      <c r="BP1220">
        <v>0</v>
      </c>
      <c r="BW1220" t="str">
        <f t="shared" si="675"/>
        <v>14:52:04.775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293</v>
      </c>
      <c r="CR1220">
        <v>1</v>
      </c>
      <c r="CW1220">
        <v>15283338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25">
      <c r="A1221" t="str">
        <f t="shared" si="673"/>
        <v>06/05/2020 14:51:59.118</v>
      </c>
      <c r="C1221" t="str">
        <f t="shared" si="660"/>
        <v>FFDFD3C0</v>
      </c>
      <c r="D1221" t="s">
        <v>134</v>
      </c>
      <c r="E1221">
        <v>7</v>
      </c>
      <c r="F1221">
        <v>2007</v>
      </c>
      <c r="G1221" t="s">
        <v>135</v>
      </c>
      <c r="J1221" t="s">
        <v>136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674"/>
        <v>14:52:04.773</v>
      </c>
      <c r="T1221" t="str">
        <f t="shared" si="674"/>
        <v>14:52:04.773</v>
      </c>
      <c r="U1221" t="str">
        <f t="shared" si="676"/>
        <v>ACC530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1</v>
      </c>
      <c r="AH1221">
        <v>0</v>
      </c>
      <c r="AI1221" t="s">
        <v>511</v>
      </c>
      <c r="AJ1221">
        <v>34.209086999999997</v>
      </c>
      <c r="AK1221" t="s">
        <v>512</v>
      </c>
      <c r="AL1221">
        <v>-116.956136</v>
      </c>
      <c r="AM1221">
        <v>100</v>
      </c>
      <c r="AN1221">
        <v>9000</v>
      </c>
      <c r="AO1221" t="s">
        <v>118</v>
      </c>
      <c r="AP1221">
        <v>-106</v>
      </c>
      <c r="AQ1221">
        <v>-67</v>
      </c>
      <c r="AR1221">
        <v>-64</v>
      </c>
      <c r="AZ1221">
        <v>1200</v>
      </c>
      <c r="BA1221">
        <v>1</v>
      </c>
      <c r="BB1221" t="str">
        <f t="shared" ref="BB1221:BB1284" si="677">"N9217B  "</f>
        <v xml:space="preserve">N9217B  </v>
      </c>
      <c r="BC1221">
        <v>1</v>
      </c>
      <c r="BE1221">
        <v>0</v>
      </c>
      <c r="BF1221">
        <v>0</v>
      </c>
      <c r="BG1221">
        <v>0</v>
      </c>
      <c r="BH1221">
        <v>9075</v>
      </c>
      <c r="BI1221">
        <v>1</v>
      </c>
      <c r="BJ1221">
        <v>0</v>
      </c>
      <c r="BK1221">
        <v>0</v>
      </c>
      <c r="BL1221">
        <v>0</v>
      </c>
      <c r="BO1221">
        <v>0</v>
      </c>
      <c r="BP1221">
        <v>0</v>
      </c>
      <c r="BW1221" t="str">
        <f t="shared" si="675"/>
        <v>14:52:04.775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293</v>
      </c>
      <c r="CR1221">
        <v>1</v>
      </c>
      <c r="CW1221">
        <v>15283338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25">
      <c r="A1222" t="str">
        <f t="shared" si="673"/>
        <v>06/05/2020 14:51:59.118</v>
      </c>
      <c r="C1222" t="str">
        <f t="shared" si="660"/>
        <v>FFDFD3C0</v>
      </c>
      <c r="D1222" t="s">
        <v>148</v>
      </c>
      <c r="E1222">
        <v>11</v>
      </c>
      <c r="H1222">
        <v>53</v>
      </c>
      <c r="I1222" t="s">
        <v>364</v>
      </c>
      <c r="J1222" t="s">
        <v>150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74"/>
        <v>14:52:04.773</v>
      </c>
      <c r="T1222" t="str">
        <f t="shared" si="674"/>
        <v>14:52:04.773</v>
      </c>
      <c r="U1222" t="str">
        <f t="shared" si="676"/>
        <v>ACC530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1</v>
      </c>
      <c r="AH1222">
        <v>0</v>
      </c>
      <c r="AI1222" t="s">
        <v>511</v>
      </c>
      <c r="AJ1222">
        <v>34.209086999999997</v>
      </c>
      <c r="AK1222" t="s">
        <v>512</v>
      </c>
      <c r="AL1222">
        <v>-116.956136</v>
      </c>
      <c r="AM1222">
        <v>100</v>
      </c>
      <c r="AN1222">
        <v>9000</v>
      </c>
      <c r="AO1222" t="s">
        <v>118</v>
      </c>
      <c r="AP1222">
        <v>-106</v>
      </c>
      <c r="AQ1222">
        <v>-67</v>
      </c>
      <c r="AR1222">
        <v>-64</v>
      </c>
      <c r="AZ1222">
        <v>1200</v>
      </c>
      <c r="BA1222">
        <v>1</v>
      </c>
      <c r="BB1222" t="str">
        <f t="shared" si="677"/>
        <v xml:space="preserve">N9217B  </v>
      </c>
      <c r="BC1222">
        <v>1</v>
      </c>
      <c r="BE1222">
        <v>0</v>
      </c>
      <c r="BF1222">
        <v>0</v>
      </c>
      <c r="BG1222">
        <v>0</v>
      </c>
      <c r="BH1222">
        <v>9075</v>
      </c>
      <c r="BI1222">
        <v>1</v>
      </c>
      <c r="BJ1222">
        <v>0</v>
      </c>
      <c r="BK1222">
        <v>0</v>
      </c>
      <c r="BL1222">
        <v>0</v>
      </c>
      <c r="BO1222">
        <v>0</v>
      </c>
      <c r="BP1222">
        <v>0</v>
      </c>
      <c r="BW1222" t="str">
        <f t="shared" si="675"/>
        <v>14:52:04.775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293</v>
      </c>
      <c r="CR1222">
        <v>1</v>
      </c>
      <c r="CW1222">
        <v>15283338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25">
      <c r="A1223" t="str">
        <f t="shared" si="673"/>
        <v>06/05/2020 14:51:59.118</v>
      </c>
      <c r="C1223" t="str">
        <f t="shared" si="660"/>
        <v>FFDFD3C0</v>
      </c>
      <c r="D1223" t="s">
        <v>141</v>
      </c>
      <c r="E1223">
        <v>20</v>
      </c>
      <c r="F1223">
        <v>1020</v>
      </c>
      <c r="G1223" t="s">
        <v>114</v>
      </c>
      <c r="J1223" t="s">
        <v>142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74"/>
        <v>14:52:04.773</v>
      </c>
      <c r="T1223" t="str">
        <f t="shared" si="674"/>
        <v>14:52:04.773</v>
      </c>
      <c r="U1223" t="str">
        <f t="shared" si="676"/>
        <v>ACC530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1</v>
      </c>
      <c r="AH1223">
        <v>0</v>
      </c>
      <c r="AI1223" t="s">
        <v>511</v>
      </c>
      <c r="AJ1223">
        <v>34.209086999999997</v>
      </c>
      <c r="AK1223" t="s">
        <v>512</v>
      </c>
      <c r="AL1223">
        <v>-116.956136</v>
      </c>
      <c r="AM1223">
        <v>100</v>
      </c>
      <c r="AN1223">
        <v>9000</v>
      </c>
      <c r="AO1223" t="s">
        <v>118</v>
      </c>
      <c r="AP1223">
        <v>-106</v>
      </c>
      <c r="AQ1223">
        <v>-67</v>
      </c>
      <c r="AR1223">
        <v>-64</v>
      </c>
      <c r="AZ1223">
        <v>1200</v>
      </c>
      <c r="BA1223">
        <v>1</v>
      </c>
      <c r="BB1223" t="str">
        <f t="shared" si="677"/>
        <v xml:space="preserve">N9217B  </v>
      </c>
      <c r="BC1223">
        <v>1</v>
      </c>
      <c r="BE1223">
        <v>0</v>
      </c>
      <c r="BF1223">
        <v>0</v>
      </c>
      <c r="BG1223">
        <v>0</v>
      </c>
      <c r="BH1223">
        <v>9075</v>
      </c>
      <c r="BI1223">
        <v>1</v>
      </c>
      <c r="BJ1223">
        <v>0</v>
      </c>
      <c r="BK1223">
        <v>0</v>
      </c>
      <c r="BL1223">
        <v>0</v>
      </c>
      <c r="BO1223">
        <v>0</v>
      </c>
      <c r="BP1223">
        <v>0</v>
      </c>
      <c r="BW1223" t="str">
        <f t="shared" si="675"/>
        <v>14:52:04.775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293</v>
      </c>
      <c r="CR1223">
        <v>1</v>
      </c>
      <c r="CW1223">
        <v>15283338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25">
      <c r="A1224" t="str">
        <f t="shared" ref="A1224:A1231" si="678">"06/05/2020 14:52:00.248"</f>
        <v>06/05/2020 14:52:00.248</v>
      </c>
      <c r="C1224" t="str">
        <f t="shared" si="660"/>
        <v>FFDFD3C0</v>
      </c>
      <c r="D1224" t="s">
        <v>151</v>
      </c>
      <c r="E1224">
        <v>8</v>
      </c>
      <c r="H1224">
        <v>225</v>
      </c>
      <c r="I1224" t="s">
        <v>353</v>
      </c>
      <c r="J1224" t="s">
        <v>150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ref="S1224:T1231" si="679">"14:52:05.883"</f>
        <v>14:52:05.883</v>
      </c>
      <c r="T1224" t="str">
        <f t="shared" si="679"/>
        <v>14:52:05.883</v>
      </c>
      <c r="U1224" t="str">
        <f t="shared" si="676"/>
        <v>ACC530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1</v>
      </c>
      <c r="AH1224">
        <v>0</v>
      </c>
      <c r="AI1224" t="s">
        <v>513</v>
      </c>
      <c r="AJ1224">
        <v>34.208722000000002</v>
      </c>
      <c r="AK1224" t="s">
        <v>514</v>
      </c>
      <c r="AL1224">
        <v>-116.956844</v>
      </c>
      <c r="AM1224">
        <v>100</v>
      </c>
      <c r="AN1224">
        <v>9100</v>
      </c>
      <c r="AO1224" t="s">
        <v>118</v>
      </c>
      <c r="AP1224">
        <v>-107</v>
      </c>
      <c r="AQ1224">
        <v>-66</v>
      </c>
      <c r="AR1224">
        <v>-64</v>
      </c>
      <c r="AZ1224">
        <v>1200</v>
      </c>
      <c r="BA1224">
        <v>1</v>
      </c>
      <c r="BB1224" t="str">
        <f t="shared" si="677"/>
        <v xml:space="preserve">N9217B  </v>
      </c>
      <c r="BC1224">
        <v>1</v>
      </c>
      <c r="BE1224">
        <v>0</v>
      </c>
      <c r="BF1224">
        <v>0</v>
      </c>
      <c r="BG1224">
        <v>0</v>
      </c>
      <c r="BH1224">
        <v>9075</v>
      </c>
      <c r="BI1224">
        <v>1</v>
      </c>
      <c r="BJ1224">
        <v>0</v>
      </c>
      <c r="BK1224">
        <v>0</v>
      </c>
      <c r="BL1224">
        <v>0</v>
      </c>
      <c r="BO1224">
        <v>0</v>
      </c>
      <c r="BP1224">
        <v>0</v>
      </c>
      <c r="BW1224" t="str">
        <f t="shared" ref="BW1224:BW1231" si="680">"14:52:05.885"</f>
        <v>14:52:05.885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285</v>
      </c>
      <c r="CR1224">
        <v>0</v>
      </c>
      <c r="CW1224">
        <v>8850306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25">
      <c r="A1225" t="str">
        <f t="shared" si="678"/>
        <v>06/05/2020 14:52:00.248</v>
      </c>
      <c r="C1225" t="str">
        <f t="shared" si="660"/>
        <v>FFDFD3C0</v>
      </c>
      <c r="D1225" t="s">
        <v>148</v>
      </c>
      <c r="E1225">
        <v>8</v>
      </c>
      <c r="H1225">
        <v>50</v>
      </c>
      <c r="I1225" t="s">
        <v>149</v>
      </c>
      <c r="J1225" t="s">
        <v>150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79"/>
        <v>14:52:05.883</v>
      </c>
      <c r="T1225" t="str">
        <f t="shared" si="679"/>
        <v>14:52:05.883</v>
      </c>
      <c r="U1225" t="str">
        <f t="shared" si="676"/>
        <v>ACC530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1</v>
      </c>
      <c r="AH1225">
        <v>0</v>
      </c>
      <c r="AI1225" t="s">
        <v>513</v>
      </c>
      <c r="AJ1225">
        <v>34.208722000000002</v>
      </c>
      <c r="AK1225" t="s">
        <v>514</v>
      </c>
      <c r="AL1225">
        <v>-116.956844</v>
      </c>
      <c r="AM1225">
        <v>100</v>
      </c>
      <c r="AN1225">
        <v>9100</v>
      </c>
      <c r="AO1225" t="s">
        <v>118</v>
      </c>
      <c r="AP1225">
        <v>-107</v>
      </c>
      <c r="AQ1225">
        <v>-66</v>
      </c>
      <c r="AR1225">
        <v>-64</v>
      </c>
      <c r="AZ1225">
        <v>1200</v>
      </c>
      <c r="BA1225">
        <v>1</v>
      </c>
      <c r="BB1225" t="str">
        <f t="shared" si="677"/>
        <v xml:space="preserve">N9217B  </v>
      </c>
      <c r="BC1225">
        <v>1</v>
      </c>
      <c r="BE1225">
        <v>0</v>
      </c>
      <c r="BF1225">
        <v>0</v>
      </c>
      <c r="BG1225">
        <v>0</v>
      </c>
      <c r="BH1225">
        <v>9075</v>
      </c>
      <c r="BI1225">
        <v>1</v>
      </c>
      <c r="BJ1225">
        <v>0</v>
      </c>
      <c r="BK1225">
        <v>0</v>
      </c>
      <c r="BL1225">
        <v>0</v>
      </c>
      <c r="BO1225">
        <v>0</v>
      </c>
      <c r="BP1225">
        <v>0</v>
      </c>
      <c r="BW1225" t="str">
        <f t="shared" si="680"/>
        <v>14:52:05.885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293</v>
      </c>
      <c r="CR1225">
        <v>2</v>
      </c>
      <c r="CW1225">
        <v>15283466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25">
      <c r="A1226" t="str">
        <f t="shared" si="678"/>
        <v>06/05/2020 14:52:00.248</v>
      </c>
      <c r="C1226" t="str">
        <f t="shared" si="660"/>
        <v>FFDFD3C0</v>
      </c>
      <c r="D1226" t="s">
        <v>151</v>
      </c>
      <c r="E1226">
        <v>9</v>
      </c>
      <c r="H1226">
        <v>226</v>
      </c>
      <c r="I1226" t="s">
        <v>152</v>
      </c>
      <c r="J1226" t="s">
        <v>150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79"/>
        <v>14:52:05.883</v>
      </c>
      <c r="T1226" t="str">
        <f t="shared" si="679"/>
        <v>14:52:05.883</v>
      </c>
      <c r="U1226" t="str">
        <f t="shared" si="676"/>
        <v>ACC530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1</v>
      </c>
      <c r="AH1226">
        <v>0</v>
      </c>
      <c r="AI1226" t="s">
        <v>513</v>
      </c>
      <c r="AJ1226">
        <v>34.208722000000002</v>
      </c>
      <c r="AK1226" t="s">
        <v>514</v>
      </c>
      <c r="AL1226">
        <v>-116.956844</v>
      </c>
      <c r="AM1226">
        <v>100</v>
      </c>
      <c r="AN1226">
        <v>9100</v>
      </c>
      <c r="AO1226" t="s">
        <v>118</v>
      </c>
      <c r="AP1226">
        <v>-107</v>
      </c>
      <c r="AQ1226">
        <v>-66</v>
      </c>
      <c r="AR1226">
        <v>-64</v>
      </c>
      <c r="AZ1226">
        <v>1200</v>
      </c>
      <c r="BA1226">
        <v>1</v>
      </c>
      <c r="BB1226" t="str">
        <f t="shared" si="677"/>
        <v xml:space="preserve">N9217B  </v>
      </c>
      <c r="BC1226">
        <v>1</v>
      </c>
      <c r="BE1226">
        <v>0</v>
      </c>
      <c r="BF1226">
        <v>0</v>
      </c>
      <c r="BG1226">
        <v>0</v>
      </c>
      <c r="BH1226">
        <v>9075</v>
      </c>
      <c r="BI1226">
        <v>1</v>
      </c>
      <c r="BJ1226">
        <v>0</v>
      </c>
      <c r="BK1226">
        <v>0</v>
      </c>
      <c r="BL1226">
        <v>0</v>
      </c>
      <c r="BO1226">
        <v>0</v>
      </c>
      <c r="BP1226">
        <v>0</v>
      </c>
      <c r="BW1226" t="str">
        <f t="shared" si="680"/>
        <v>14:52:05.885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293</v>
      </c>
      <c r="CR1226">
        <v>2</v>
      </c>
      <c r="CW1226">
        <v>15283466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25">
      <c r="A1227" t="str">
        <f t="shared" si="678"/>
        <v>06/05/2020 14:52:00.248</v>
      </c>
      <c r="C1227" t="str">
        <f t="shared" si="660"/>
        <v>FFDFD3C0</v>
      </c>
      <c r="D1227" t="s">
        <v>134</v>
      </c>
      <c r="E1227">
        <v>7</v>
      </c>
      <c r="F1227">
        <v>2007</v>
      </c>
      <c r="G1227" t="s">
        <v>135</v>
      </c>
      <c r="J1227" t="s">
        <v>136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79"/>
        <v>14:52:05.883</v>
      </c>
      <c r="T1227" t="str">
        <f t="shared" si="679"/>
        <v>14:52:05.883</v>
      </c>
      <c r="U1227" t="str">
        <f t="shared" si="676"/>
        <v>ACC530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1</v>
      </c>
      <c r="AH1227">
        <v>0</v>
      </c>
      <c r="AI1227" t="s">
        <v>513</v>
      </c>
      <c r="AJ1227">
        <v>34.208722000000002</v>
      </c>
      <c r="AK1227" t="s">
        <v>514</v>
      </c>
      <c r="AL1227">
        <v>-116.956844</v>
      </c>
      <c r="AM1227">
        <v>100</v>
      </c>
      <c r="AN1227">
        <v>9100</v>
      </c>
      <c r="AO1227" t="s">
        <v>118</v>
      </c>
      <c r="AP1227">
        <v>-107</v>
      </c>
      <c r="AQ1227">
        <v>-66</v>
      </c>
      <c r="AR1227">
        <v>-64</v>
      </c>
      <c r="AZ1227">
        <v>1200</v>
      </c>
      <c r="BA1227">
        <v>1</v>
      </c>
      <c r="BB1227" t="str">
        <f t="shared" si="677"/>
        <v xml:space="preserve">N9217B  </v>
      </c>
      <c r="BC1227">
        <v>1</v>
      </c>
      <c r="BE1227">
        <v>0</v>
      </c>
      <c r="BF1227">
        <v>0</v>
      </c>
      <c r="BG1227">
        <v>0</v>
      </c>
      <c r="BH1227">
        <v>9075</v>
      </c>
      <c r="BI1227">
        <v>1</v>
      </c>
      <c r="BJ1227">
        <v>0</v>
      </c>
      <c r="BK1227">
        <v>0</v>
      </c>
      <c r="BL1227">
        <v>0</v>
      </c>
      <c r="BO1227">
        <v>0</v>
      </c>
      <c r="BP1227">
        <v>0</v>
      </c>
      <c r="BW1227" t="str">
        <f t="shared" si="680"/>
        <v>14:52:05.885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293</v>
      </c>
      <c r="CR1227">
        <v>2</v>
      </c>
      <c r="CW1227">
        <v>15283466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25">
      <c r="A1228" t="str">
        <f t="shared" si="678"/>
        <v>06/05/2020 14:52:00.248</v>
      </c>
      <c r="C1228" t="str">
        <f t="shared" si="660"/>
        <v>FFDFD3C0</v>
      </c>
      <c r="D1228" t="s">
        <v>148</v>
      </c>
      <c r="E1228">
        <v>11</v>
      </c>
      <c r="H1228">
        <v>53</v>
      </c>
      <c r="I1228" t="s">
        <v>364</v>
      </c>
      <c r="J1228" t="s">
        <v>150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679"/>
        <v>14:52:05.883</v>
      </c>
      <c r="T1228" t="str">
        <f t="shared" si="679"/>
        <v>14:52:05.883</v>
      </c>
      <c r="U1228" t="str">
        <f t="shared" si="676"/>
        <v>ACC530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1</v>
      </c>
      <c r="AH1228">
        <v>0</v>
      </c>
      <c r="AI1228" t="s">
        <v>513</v>
      </c>
      <c r="AJ1228">
        <v>34.208722000000002</v>
      </c>
      <c r="AK1228" t="s">
        <v>514</v>
      </c>
      <c r="AL1228">
        <v>-116.956844</v>
      </c>
      <c r="AM1228">
        <v>100</v>
      </c>
      <c r="AN1228">
        <v>9100</v>
      </c>
      <c r="AO1228" t="s">
        <v>118</v>
      </c>
      <c r="AP1228">
        <v>-107</v>
      </c>
      <c r="AQ1228">
        <v>-66</v>
      </c>
      <c r="AR1228">
        <v>-64</v>
      </c>
      <c r="AZ1228">
        <v>1200</v>
      </c>
      <c r="BA1228">
        <v>1</v>
      </c>
      <c r="BB1228" t="str">
        <f t="shared" si="677"/>
        <v xml:space="preserve">N9217B  </v>
      </c>
      <c r="BC1228">
        <v>1</v>
      </c>
      <c r="BE1228">
        <v>0</v>
      </c>
      <c r="BF1228">
        <v>0</v>
      </c>
      <c r="BG1228">
        <v>0</v>
      </c>
      <c r="BH1228">
        <v>9075</v>
      </c>
      <c r="BI1228">
        <v>1</v>
      </c>
      <c r="BJ1228">
        <v>0</v>
      </c>
      <c r="BK1228">
        <v>0</v>
      </c>
      <c r="BL1228">
        <v>0</v>
      </c>
      <c r="BO1228">
        <v>0</v>
      </c>
      <c r="BP1228">
        <v>0</v>
      </c>
      <c r="BW1228" t="str">
        <f t="shared" si="680"/>
        <v>14:52:05.885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293</v>
      </c>
      <c r="CR1228">
        <v>2</v>
      </c>
      <c r="CW1228">
        <v>15283466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25">
      <c r="A1229" t="str">
        <f t="shared" si="678"/>
        <v>06/05/2020 14:52:00.248</v>
      </c>
      <c r="C1229" t="str">
        <f t="shared" si="660"/>
        <v>FFDFD3C0</v>
      </c>
      <c r="D1229" t="s">
        <v>141</v>
      </c>
      <c r="E1229">
        <v>20</v>
      </c>
      <c r="F1229">
        <v>1020</v>
      </c>
      <c r="G1229" t="s">
        <v>114</v>
      </c>
      <c r="J1229" t="s">
        <v>142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679"/>
        <v>14:52:05.883</v>
      </c>
      <c r="T1229" t="str">
        <f t="shared" si="679"/>
        <v>14:52:05.883</v>
      </c>
      <c r="U1229" t="str">
        <f t="shared" si="676"/>
        <v>ACC530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1</v>
      </c>
      <c r="AH1229">
        <v>0</v>
      </c>
      <c r="AI1229" t="s">
        <v>513</v>
      </c>
      <c r="AJ1229">
        <v>34.208722000000002</v>
      </c>
      <c r="AK1229" t="s">
        <v>514</v>
      </c>
      <c r="AL1229">
        <v>-116.956844</v>
      </c>
      <c r="AM1229">
        <v>100</v>
      </c>
      <c r="AN1229">
        <v>9100</v>
      </c>
      <c r="AO1229" t="s">
        <v>118</v>
      </c>
      <c r="AP1229">
        <v>-107</v>
      </c>
      <c r="AQ1229">
        <v>-66</v>
      </c>
      <c r="AR1229">
        <v>-64</v>
      </c>
      <c r="AZ1229">
        <v>1200</v>
      </c>
      <c r="BA1229">
        <v>1</v>
      </c>
      <c r="BB1229" t="str">
        <f t="shared" si="677"/>
        <v xml:space="preserve">N9217B  </v>
      </c>
      <c r="BC1229">
        <v>1</v>
      </c>
      <c r="BE1229">
        <v>0</v>
      </c>
      <c r="BF1229">
        <v>0</v>
      </c>
      <c r="BG1229">
        <v>0</v>
      </c>
      <c r="BH1229">
        <v>9075</v>
      </c>
      <c r="BI1229">
        <v>1</v>
      </c>
      <c r="BJ1229">
        <v>0</v>
      </c>
      <c r="BK1229">
        <v>0</v>
      </c>
      <c r="BL1229">
        <v>0</v>
      </c>
      <c r="BO1229">
        <v>0</v>
      </c>
      <c r="BP1229">
        <v>0</v>
      </c>
      <c r="BW1229" t="str">
        <f t="shared" si="680"/>
        <v>14:52:05.885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293</v>
      </c>
      <c r="CR1229">
        <v>2</v>
      </c>
      <c r="CW1229">
        <v>15283466</v>
      </c>
      <c r="CY1229">
        <v>0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25">
      <c r="A1230" t="str">
        <f t="shared" si="678"/>
        <v>06/05/2020 14:52:00.248</v>
      </c>
      <c r="C1230" t="str">
        <f t="shared" si="660"/>
        <v>FFDFD3C0</v>
      </c>
      <c r="D1230" t="s">
        <v>143</v>
      </c>
      <c r="E1230">
        <v>10</v>
      </c>
      <c r="F1230">
        <v>3010</v>
      </c>
      <c r="G1230" t="s">
        <v>144</v>
      </c>
      <c r="J1230" t="s">
        <v>145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79"/>
        <v>14:52:05.883</v>
      </c>
      <c r="T1230" t="str">
        <f t="shared" si="679"/>
        <v>14:52:05.883</v>
      </c>
      <c r="U1230" t="str">
        <f t="shared" si="676"/>
        <v>ACC530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1</v>
      </c>
      <c r="AH1230">
        <v>0</v>
      </c>
      <c r="AI1230" t="s">
        <v>513</v>
      </c>
      <c r="AJ1230">
        <v>34.208722000000002</v>
      </c>
      <c r="AK1230" t="s">
        <v>514</v>
      </c>
      <c r="AL1230">
        <v>-116.956844</v>
      </c>
      <c r="AM1230">
        <v>100</v>
      </c>
      <c r="AN1230">
        <v>9100</v>
      </c>
      <c r="AO1230" t="s">
        <v>118</v>
      </c>
      <c r="AP1230">
        <v>-107</v>
      </c>
      <c r="AQ1230">
        <v>-66</v>
      </c>
      <c r="AR1230">
        <v>-64</v>
      </c>
      <c r="AZ1230">
        <v>1200</v>
      </c>
      <c r="BA1230">
        <v>1</v>
      </c>
      <c r="BB1230" t="str">
        <f t="shared" si="677"/>
        <v xml:space="preserve">N9217B  </v>
      </c>
      <c r="BC1230">
        <v>1</v>
      </c>
      <c r="BE1230">
        <v>0</v>
      </c>
      <c r="BF1230">
        <v>0</v>
      </c>
      <c r="BG1230">
        <v>0</v>
      </c>
      <c r="BH1230">
        <v>9075</v>
      </c>
      <c r="BI1230">
        <v>1</v>
      </c>
      <c r="BJ1230">
        <v>0</v>
      </c>
      <c r="BK1230">
        <v>0</v>
      </c>
      <c r="BL1230">
        <v>0</v>
      </c>
      <c r="BO1230">
        <v>0</v>
      </c>
      <c r="BP1230">
        <v>0</v>
      </c>
      <c r="BW1230" t="str">
        <f t="shared" si="680"/>
        <v>14:52:05.885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293</v>
      </c>
      <c r="CR1230">
        <v>2</v>
      </c>
      <c r="CW1230">
        <v>15283466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25">
      <c r="A1231" t="str">
        <f t="shared" si="678"/>
        <v>06/05/2020 14:52:00.248</v>
      </c>
      <c r="C1231" t="str">
        <f t="shared" si="660"/>
        <v>FFDFD3C0</v>
      </c>
      <c r="D1231" t="s">
        <v>113</v>
      </c>
      <c r="E1231">
        <v>3</v>
      </c>
      <c r="H1231">
        <v>166</v>
      </c>
      <c r="I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79"/>
        <v>14:52:05.883</v>
      </c>
      <c r="T1231" t="str">
        <f t="shared" si="679"/>
        <v>14:52:05.883</v>
      </c>
      <c r="U1231" t="str">
        <f t="shared" si="676"/>
        <v>ACC530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1</v>
      </c>
      <c r="AH1231">
        <v>0</v>
      </c>
      <c r="AI1231" t="s">
        <v>513</v>
      </c>
      <c r="AJ1231">
        <v>34.208722000000002</v>
      </c>
      <c r="AK1231" t="s">
        <v>514</v>
      </c>
      <c r="AL1231">
        <v>-116.956844</v>
      </c>
      <c r="AM1231">
        <v>100</v>
      </c>
      <c r="AN1231">
        <v>9100</v>
      </c>
      <c r="AO1231" t="s">
        <v>118</v>
      </c>
      <c r="AP1231">
        <v>-107</v>
      </c>
      <c r="AQ1231">
        <v>-66</v>
      </c>
      <c r="AR1231">
        <v>-64</v>
      </c>
      <c r="AZ1231">
        <v>1200</v>
      </c>
      <c r="BA1231">
        <v>1</v>
      </c>
      <c r="BB1231" t="str">
        <f t="shared" si="677"/>
        <v xml:space="preserve">N9217B  </v>
      </c>
      <c r="BC1231">
        <v>1</v>
      </c>
      <c r="BE1231">
        <v>0</v>
      </c>
      <c r="BF1231">
        <v>0</v>
      </c>
      <c r="BG1231">
        <v>0</v>
      </c>
      <c r="BH1231">
        <v>9075</v>
      </c>
      <c r="BI1231">
        <v>1</v>
      </c>
      <c r="BJ1231">
        <v>0</v>
      </c>
      <c r="BK1231">
        <v>0</v>
      </c>
      <c r="BL1231">
        <v>0</v>
      </c>
      <c r="BO1231">
        <v>0</v>
      </c>
      <c r="BP1231">
        <v>0</v>
      </c>
      <c r="BW1231" t="str">
        <f t="shared" si="680"/>
        <v>14:52:05.885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293</v>
      </c>
      <c r="CR1231">
        <v>2</v>
      </c>
      <c r="CW1231">
        <v>15283466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25">
      <c r="A1232" t="str">
        <f>"06/05/2020 14:52:01.264"</f>
        <v>06/05/2020 14:52:01.264</v>
      </c>
      <c r="C1232" t="str">
        <f t="shared" si="660"/>
        <v>FFDFD3C0</v>
      </c>
      <c r="D1232" t="s">
        <v>151</v>
      </c>
      <c r="E1232">
        <v>9</v>
      </c>
      <c r="H1232">
        <v>226</v>
      </c>
      <c r="I1232" t="s">
        <v>152</v>
      </c>
      <c r="J1232" t="s">
        <v>150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ref="S1232:T1236" si="681">"14:52:06.914"</f>
        <v>14:52:06.914</v>
      </c>
      <c r="T1232" t="str">
        <f t="shared" si="681"/>
        <v>14:52:06.914</v>
      </c>
      <c r="U1232" t="str">
        <f t="shared" si="676"/>
        <v>ACC530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1</v>
      </c>
      <c r="AH1232">
        <v>0</v>
      </c>
      <c r="AI1232" t="s">
        <v>515</v>
      </c>
      <c r="AJ1232">
        <v>34.208399999999997</v>
      </c>
      <c r="AK1232" t="s">
        <v>516</v>
      </c>
      <c r="AL1232">
        <v>-116.957424</v>
      </c>
      <c r="AM1232">
        <v>100</v>
      </c>
      <c r="AN1232">
        <v>9000</v>
      </c>
      <c r="AO1232" t="s">
        <v>118</v>
      </c>
      <c r="AP1232">
        <v>-107</v>
      </c>
      <c r="AQ1232">
        <v>-66</v>
      </c>
      <c r="AR1232">
        <v>-192</v>
      </c>
      <c r="AZ1232">
        <v>1200</v>
      </c>
      <c r="BA1232">
        <v>1</v>
      </c>
      <c r="BB1232" t="str">
        <f t="shared" si="677"/>
        <v xml:space="preserve">N9217B  </v>
      </c>
      <c r="BC1232">
        <v>1</v>
      </c>
      <c r="BE1232">
        <v>0</v>
      </c>
      <c r="BF1232">
        <v>0</v>
      </c>
      <c r="BG1232">
        <v>0</v>
      </c>
      <c r="BH1232">
        <v>9075</v>
      </c>
      <c r="BI1232">
        <v>1</v>
      </c>
      <c r="BJ1232">
        <v>0</v>
      </c>
      <c r="BK1232">
        <v>0</v>
      </c>
      <c r="BL1232">
        <v>0</v>
      </c>
      <c r="BO1232">
        <v>0</v>
      </c>
      <c r="BP1232">
        <v>0</v>
      </c>
      <c r="BW1232" t="str">
        <f>"14:52:06.920"</f>
        <v>14:52:06.920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293</v>
      </c>
      <c r="CR1232">
        <v>1</v>
      </c>
      <c r="CW1232">
        <v>15283583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25">
      <c r="A1233" t="str">
        <f>"06/05/2020 14:52:01.264"</f>
        <v>06/05/2020 14:52:01.264</v>
      </c>
      <c r="C1233" t="str">
        <f t="shared" si="660"/>
        <v>FFDFD3C0</v>
      </c>
      <c r="D1233" t="s">
        <v>151</v>
      </c>
      <c r="E1233">
        <v>8</v>
      </c>
      <c r="H1233">
        <v>225</v>
      </c>
      <c r="I1233" t="s">
        <v>353</v>
      </c>
      <c r="J1233" t="s">
        <v>150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681"/>
        <v>14:52:06.914</v>
      </c>
      <c r="T1233" t="str">
        <f t="shared" si="681"/>
        <v>14:52:06.914</v>
      </c>
      <c r="U1233" t="str">
        <f t="shared" si="676"/>
        <v>ACC530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1</v>
      </c>
      <c r="AH1233">
        <v>0</v>
      </c>
      <c r="AI1233" t="s">
        <v>515</v>
      </c>
      <c r="AJ1233">
        <v>34.208399999999997</v>
      </c>
      <c r="AK1233" t="s">
        <v>516</v>
      </c>
      <c r="AL1233">
        <v>-116.957424</v>
      </c>
      <c r="AM1233">
        <v>100</v>
      </c>
      <c r="AN1233">
        <v>9000</v>
      </c>
      <c r="AO1233" t="s">
        <v>118</v>
      </c>
      <c r="AP1233">
        <v>-107</v>
      </c>
      <c r="AQ1233">
        <v>-66</v>
      </c>
      <c r="AR1233">
        <v>-192</v>
      </c>
      <c r="AZ1233">
        <v>1200</v>
      </c>
      <c r="BA1233">
        <v>1</v>
      </c>
      <c r="BB1233" t="str">
        <f t="shared" si="677"/>
        <v xml:space="preserve">N9217B  </v>
      </c>
      <c r="BC1233">
        <v>1</v>
      </c>
      <c r="BE1233">
        <v>0</v>
      </c>
      <c r="BF1233">
        <v>0</v>
      </c>
      <c r="BG1233">
        <v>0</v>
      </c>
      <c r="BH1233">
        <v>9075</v>
      </c>
      <c r="BI1233">
        <v>1</v>
      </c>
      <c r="BJ1233">
        <v>0</v>
      </c>
      <c r="BK1233">
        <v>0</v>
      </c>
      <c r="BL1233">
        <v>0</v>
      </c>
      <c r="BO1233">
        <v>0</v>
      </c>
      <c r="BP1233">
        <v>0</v>
      </c>
      <c r="BW1233" t="str">
        <f>"14:52:06.920"</f>
        <v>14:52:06.920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285</v>
      </c>
      <c r="CR1233">
        <v>0</v>
      </c>
      <c r="CW1233">
        <v>8850401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25">
      <c r="A1234" t="str">
        <f>"06/05/2020 14:52:01.264"</f>
        <v>06/05/2020 14:52:01.264</v>
      </c>
      <c r="C1234" t="str">
        <f t="shared" si="660"/>
        <v>FFDFD3C0</v>
      </c>
      <c r="D1234" t="s">
        <v>148</v>
      </c>
      <c r="E1234">
        <v>8</v>
      </c>
      <c r="H1234">
        <v>50</v>
      </c>
      <c r="I1234" t="s">
        <v>149</v>
      </c>
      <c r="J1234" t="s">
        <v>150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681"/>
        <v>14:52:06.914</v>
      </c>
      <c r="T1234" t="str">
        <f t="shared" si="681"/>
        <v>14:52:06.914</v>
      </c>
      <c r="U1234" t="str">
        <f t="shared" si="676"/>
        <v>ACC530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1</v>
      </c>
      <c r="AH1234">
        <v>0</v>
      </c>
      <c r="AI1234" t="s">
        <v>515</v>
      </c>
      <c r="AJ1234">
        <v>34.208399999999997</v>
      </c>
      <c r="AK1234" t="s">
        <v>516</v>
      </c>
      <c r="AL1234">
        <v>-116.957424</v>
      </c>
      <c r="AM1234">
        <v>100</v>
      </c>
      <c r="AN1234">
        <v>9000</v>
      </c>
      <c r="AO1234" t="s">
        <v>118</v>
      </c>
      <c r="AP1234">
        <v>-107</v>
      </c>
      <c r="AQ1234">
        <v>-66</v>
      </c>
      <c r="AR1234">
        <v>-192</v>
      </c>
      <c r="AZ1234">
        <v>1200</v>
      </c>
      <c r="BA1234">
        <v>1</v>
      </c>
      <c r="BB1234" t="str">
        <f t="shared" si="677"/>
        <v xml:space="preserve">N9217B  </v>
      </c>
      <c r="BC1234">
        <v>1</v>
      </c>
      <c r="BE1234">
        <v>0</v>
      </c>
      <c r="BF1234">
        <v>0</v>
      </c>
      <c r="BG1234">
        <v>0</v>
      </c>
      <c r="BH1234">
        <v>9075</v>
      </c>
      <c r="BI1234">
        <v>1</v>
      </c>
      <c r="BJ1234">
        <v>0</v>
      </c>
      <c r="BK1234">
        <v>0</v>
      </c>
      <c r="BL1234">
        <v>0</v>
      </c>
      <c r="BO1234">
        <v>0</v>
      </c>
      <c r="BP1234">
        <v>0</v>
      </c>
      <c r="BW1234" t="str">
        <f>"14:52:06.920"</f>
        <v>14:52:06.920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293</v>
      </c>
      <c r="CR1234">
        <v>1</v>
      </c>
      <c r="CW1234">
        <v>15283583</v>
      </c>
      <c r="CY1234">
        <v>0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25">
      <c r="A1235" t="str">
        <f>"06/05/2020 14:52:01.264"</f>
        <v>06/05/2020 14:52:01.264</v>
      </c>
      <c r="C1235" t="str">
        <f t="shared" si="660"/>
        <v>FFDFD3C0</v>
      </c>
      <c r="D1235" t="s">
        <v>141</v>
      </c>
      <c r="E1235">
        <v>20</v>
      </c>
      <c r="F1235">
        <v>1020</v>
      </c>
      <c r="G1235" t="s">
        <v>114</v>
      </c>
      <c r="J1235" t="s">
        <v>142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681"/>
        <v>14:52:06.914</v>
      </c>
      <c r="T1235" t="str">
        <f t="shared" si="681"/>
        <v>14:52:06.914</v>
      </c>
      <c r="U1235" t="str">
        <f t="shared" si="676"/>
        <v>ACC530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1</v>
      </c>
      <c r="AH1235">
        <v>0</v>
      </c>
      <c r="AI1235" t="s">
        <v>515</v>
      </c>
      <c r="AJ1235">
        <v>34.208399999999997</v>
      </c>
      <c r="AK1235" t="s">
        <v>516</v>
      </c>
      <c r="AL1235">
        <v>-116.957424</v>
      </c>
      <c r="AM1235">
        <v>100</v>
      </c>
      <c r="AN1235">
        <v>9000</v>
      </c>
      <c r="AO1235" t="s">
        <v>118</v>
      </c>
      <c r="AP1235">
        <v>-107</v>
      </c>
      <c r="AQ1235">
        <v>-66</v>
      </c>
      <c r="AR1235">
        <v>-192</v>
      </c>
      <c r="AZ1235">
        <v>1200</v>
      </c>
      <c r="BA1235">
        <v>1</v>
      </c>
      <c r="BB1235" t="str">
        <f t="shared" si="677"/>
        <v xml:space="preserve">N9217B  </v>
      </c>
      <c r="BC1235">
        <v>1</v>
      </c>
      <c r="BE1235">
        <v>0</v>
      </c>
      <c r="BF1235">
        <v>0</v>
      </c>
      <c r="BG1235">
        <v>0</v>
      </c>
      <c r="BH1235">
        <v>9075</v>
      </c>
      <c r="BI1235">
        <v>1</v>
      </c>
      <c r="BJ1235">
        <v>0</v>
      </c>
      <c r="BK1235">
        <v>0</v>
      </c>
      <c r="BL1235">
        <v>0</v>
      </c>
      <c r="BO1235">
        <v>0</v>
      </c>
      <c r="BP1235">
        <v>0</v>
      </c>
      <c r="BW1235" t="str">
        <f>"14:52:06.920"</f>
        <v>14:52:06.920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293</v>
      </c>
      <c r="CR1235">
        <v>1</v>
      </c>
      <c r="CW1235">
        <v>15283583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25">
      <c r="A1236" t="str">
        <f>"06/05/2020 14:52:01.264"</f>
        <v>06/05/2020 14:52:01.264</v>
      </c>
      <c r="C1236" t="str">
        <f t="shared" si="660"/>
        <v>FFDFD3C0</v>
      </c>
      <c r="D1236" t="s">
        <v>113</v>
      </c>
      <c r="E1236">
        <v>3</v>
      </c>
      <c r="H1236">
        <v>166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681"/>
        <v>14:52:06.914</v>
      </c>
      <c r="T1236" t="str">
        <f t="shared" si="681"/>
        <v>14:52:06.914</v>
      </c>
      <c r="U1236" t="str">
        <f t="shared" si="676"/>
        <v>ACC530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1</v>
      </c>
      <c r="AH1236">
        <v>0</v>
      </c>
      <c r="AI1236" t="s">
        <v>515</v>
      </c>
      <c r="AJ1236">
        <v>34.208399999999997</v>
      </c>
      <c r="AK1236" t="s">
        <v>516</v>
      </c>
      <c r="AL1236">
        <v>-116.957424</v>
      </c>
      <c r="AM1236">
        <v>100</v>
      </c>
      <c r="AN1236">
        <v>9000</v>
      </c>
      <c r="AO1236" t="s">
        <v>118</v>
      </c>
      <c r="AP1236">
        <v>-107</v>
      </c>
      <c r="AQ1236">
        <v>-66</v>
      </c>
      <c r="AR1236">
        <v>-192</v>
      </c>
      <c r="AZ1236">
        <v>1200</v>
      </c>
      <c r="BA1236">
        <v>1</v>
      </c>
      <c r="BB1236" t="str">
        <f t="shared" si="677"/>
        <v xml:space="preserve">N9217B  </v>
      </c>
      <c r="BC1236">
        <v>1</v>
      </c>
      <c r="BE1236">
        <v>0</v>
      </c>
      <c r="BF1236">
        <v>0</v>
      </c>
      <c r="BG1236">
        <v>0</v>
      </c>
      <c r="BH1236">
        <v>9075</v>
      </c>
      <c r="BI1236">
        <v>1</v>
      </c>
      <c r="BJ1236">
        <v>0</v>
      </c>
      <c r="BK1236">
        <v>0</v>
      </c>
      <c r="BL1236">
        <v>0</v>
      </c>
      <c r="BO1236">
        <v>0</v>
      </c>
      <c r="BP1236">
        <v>0</v>
      </c>
      <c r="BW1236" t="str">
        <f>"14:52:06.920"</f>
        <v>14:52:06.920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293</v>
      </c>
      <c r="CR1236">
        <v>1</v>
      </c>
      <c r="CW1236">
        <v>15283583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25">
      <c r="A1237" t="str">
        <f t="shared" ref="A1237:A1243" si="682">"06/05/2020 14:52:02.219"</f>
        <v>06/05/2020 14:52:02.219</v>
      </c>
      <c r="C1237" t="str">
        <f t="shared" si="660"/>
        <v>FFDFD3C0</v>
      </c>
      <c r="D1237" t="s">
        <v>151</v>
      </c>
      <c r="E1237">
        <v>8</v>
      </c>
      <c r="H1237">
        <v>225</v>
      </c>
      <c r="I1237" t="s">
        <v>353</v>
      </c>
      <c r="J1237" t="s">
        <v>150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ref="S1237:T1243" si="683">"14:52:07.875"</f>
        <v>14:52:07.875</v>
      </c>
      <c r="T1237" t="str">
        <f t="shared" si="683"/>
        <v>14:52:07.875</v>
      </c>
      <c r="U1237" t="str">
        <f t="shared" si="676"/>
        <v>ACC530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1</v>
      </c>
      <c r="AH1237">
        <v>0</v>
      </c>
      <c r="AI1237" t="s">
        <v>517</v>
      </c>
      <c r="AJ1237">
        <v>34.208120999999998</v>
      </c>
      <c r="AK1237" t="s">
        <v>518</v>
      </c>
      <c r="AL1237">
        <v>-116.957982</v>
      </c>
      <c r="AM1237">
        <v>100</v>
      </c>
      <c r="AN1237">
        <v>9000</v>
      </c>
      <c r="AO1237" t="s">
        <v>118</v>
      </c>
      <c r="AP1237">
        <v>-107</v>
      </c>
      <c r="AQ1237">
        <v>-66</v>
      </c>
      <c r="AR1237">
        <v>-192</v>
      </c>
      <c r="AZ1237">
        <v>1200</v>
      </c>
      <c r="BA1237">
        <v>1</v>
      </c>
      <c r="BB1237" t="str">
        <f t="shared" si="677"/>
        <v xml:space="preserve">N9217B  </v>
      </c>
      <c r="BC1237">
        <v>1</v>
      </c>
      <c r="BE1237">
        <v>0</v>
      </c>
      <c r="BF1237">
        <v>0</v>
      </c>
      <c r="BG1237">
        <v>0</v>
      </c>
      <c r="BH1237">
        <v>9075</v>
      </c>
      <c r="BI1237">
        <v>1</v>
      </c>
      <c r="BJ1237">
        <v>0</v>
      </c>
      <c r="BK1237">
        <v>0</v>
      </c>
      <c r="BL1237">
        <v>0</v>
      </c>
      <c r="BO1237">
        <v>0</v>
      </c>
      <c r="BP1237">
        <v>0</v>
      </c>
      <c r="BW1237" t="str">
        <f t="shared" ref="BW1237:BW1243" si="684">"14:52:07.880"</f>
        <v>14:52:07.880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6</v>
      </c>
      <c r="CP1237" t="s">
        <v>119</v>
      </c>
      <c r="CQ1237">
        <v>285</v>
      </c>
      <c r="CR1237">
        <v>0</v>
      </c>
      <c r="CW1237">
        <v>8850481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25">
      <c r="A1238" t="str">
        <f t="shared" si="682"/>
        <v>06/05/2020 14:52:02.219</v>
      </c>
      <c r="C1238" t="str">
        <f t="shared" si="660"/>
        <v>FFDFD3C0</v>
      </c>
      <c r="D1238" t="s">
        <v>134</v>
      </c>
      <c r="E1238">
        <v>7</v>
      </c>
      <c r="F1238">
        <v>2007</v>
      </c>
      <c r="G1238" t="s">
        <v>135</v>
      </c>
      <c r="J1238" t="s">
        <v>136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83"/>
        <v>14:52:07.875</v>
      </c>
      <c r="T1238" t="str">
        <f t="shared" si="683"/>
        <v>14:52:07.875</v>
      </c>
      <c r="U1238" t="str">
        <f t="shared" si="676"/>
        <v>ACC530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1</v>
      </c>
      <c r="AH1238">
        <v>0</v>
      </c>
      <c r="AI1238" t="s">
        <v>517</v>
      </c>
      <c r="AJ1238">
        <v>34.208120999999998</v>
      </c>
      <c r="AK1238" t="s">
        <v>518</v>
      </c>
      <c r="AL1238">
        <v>-116.957982</v>
      </c>
      <c r="AM1238">
        <v>100</v>
      </c>
      <c r="AN1238">
        <v>9000</v>
      </c>
      <c r="AO1238" t="s">
        <v>118</v>
      </c>
      <c r="AP1238">
        <v>-107</v>
      </c>
      <c r="AQ1238">
        <v>-66</v>
      </c>
      <c r="AR1238">
        <v>-192</v>
      </c>
      <c r="AZ1238">
        <v>1200</v>
      </c>
      <c r="BA1238">
        <v>1</v>
      </c>
      <c r="BB1238" t="str">
        <f t="shared" si="677"/>
        <v xml:space="preserve">N9217B  </v>
      </c>
      <c r="BC1238">
        <v>1</v>
      </c>
      <c r="BE1238">
        <v>0</v>
      </c>
      <c r="BF1238">
        <v>0</v>
      </c>
      <c r="BG1238">
        <v>0</v>
      </c>
      <c r="BH1238">
        <v>9075</v>
      </c>
      <c r="BI1238">
        <v>1</v>
      </c>
      <c r="BJ1238">
        <v>0</v>
      </c>
      <c r="BK1238">
        <v>0</v>
      </c>
      <c r="BL1238">
        <v>0</v>
      </c>
      <c r="BO1238">
        <v>0</v>
      </c>
      <c r="BP1238">
        <v>0</v>
      </c>
      <c r="BW1238" t="str">
        <f t="shared" si="684"/>
        <v>14:52:07.880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6</v>
      </c>
      <c r="CP1238" t="s">
        <v>119</v>
      </c>
      <c r="CQ1238">
        <v>285</v>
      </c>
      <c r="CR1238">
        <v>0</v>
      </c>
      <c r="CW1238">
        <v>8850481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25">
      <c r="A1239" t="str">
        <f t="shared" si="682"/>
        <v>06/05/2020 14:52:02.219</v>
      </c>
      <c r="C1239" t="str">
        <f t="shared" si="660"/>
        <v>FFDFD3C0</v>
      </c>
      <c r="D1239" t="s">
        <v>151</v>
      </c>
      <c r="E1239">
        <v>9</v>
      </c>
      <c r="H1239">
        <v>226</v>
      </c>
      <c r="I1239" t="s">
        <v>152</v>
      </c>
      <c r="J1239" t="s">
        <v>150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83"/>
        <v>14:52:07.875</v>
      </c>
      <c r="T1239" t="str">
        <f t="shared" si="683"/>
        <v>14:52:07.875</v>
      </c>
      <c r="U1239" t="str">
        <f t="shared" si="676"/>
        <v>ACC530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1</v>
      </c>
      <c r="AH1239">
        <v>0</v>
      </c>
      <c r="AI1239" t="s">
        <v>517</v>
      </c>
      <c r="AJ1239">
        <v>34.208120999999998</v>
      </c>
      <c r="AK1239" t="s">
        <v>518</v>
      </c>
      <c r="AL1239">
        <v>-116.957982</v>
      </c>
      <c r="AM1239">
        <v>100</v>
      </c>
      <c r="AN1239">
        <v>9000</v>
      </c>
      <c r="AO1239" t="s">
        <v>118</v>
      </c>
      <c r="AP1239">
        <v>-107</v>
      </c>
      <c r="AQ1239">
        <v>-66</v>
      </c>
      <c r="AR1239">
        <v>-192</v>
      </c>
      <c r="AZ1239">
        <v>1200</v>
      </c>
      <c r="BA1239">
        <v>1</v>
      </c>
      <c r="BB1239" t="str">
        <f t="shared" si="677"/>
        <v xml:space="preserve">N9217B  </v>
      </c>
      <c r="BC1239">
        <v>1</v>
      </c>
      <c r="BE1239">
        <v>0</v>
      </c>
      <c r="BF1239">
        <v>0</v>
      </c>
      <c r="BG1239">
        <v>0</v>
      </c>
      <c r="BH1239">
        <v>9075</v>
      </c>
      <c r="BI1239">
        <v>1</v>
      </c>
      <c r="BJ1239">
        <v>0</v>
      </c>
      <c r="BK1239">
        <v>0</v>
      </c>
      <c r="BL1239">
        <v>0</v>
      </c>
      <c r="BO1239">
        <v>0</v>
      </c>
      <c r="BP1239">
        <v>0</v>
      </c>
      <c r="BW1239" t="str">
        <f t="shared" si="684"/>
        <v>14:52:07.880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285</v>
      </c>
      <c r="CR1239">
        <v>0</v>
      </c>
      <c r="CW1239">
        <v>8850481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25">
      <c r="A1240" t="str">
        <f t="shared" si="682"/>
        <v>06/05/2020 14:52:02.219</v>
      </c>
      <c r="C1240" t="str">
        <f t="shared" si="660"/>
        <v>FFDFD3C0</v>
      </c>
      <c r="D1240" t="s">
        <v>148</v>
      </c>
      <c r="E1240">
        <v>8</v>
      </c>
      <c r="H1240">
        <v>50</v>
      </c>
      <c r="I1240" t="s">
        <v>149</v>
      </c>
      <c r="J1240" t="s">
        <v>150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683"/>
        <v>14:52:07.875</v>
      </c>
      <c r="T1240" t="str">
        <f t="shared" si="683"/>
        <v>14:52:07.875</v>
      </c>
      <c r="U1240" t="str">
        <f t="shared" si="676"/>
        <v>ACC530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1</v>
      </c>
      <c r="AH1240">
        <v>0</v>
      </c>
      <c r="AI1240" t="s">
        <v>517</v>
      </c>
      <c r="AJ1240">
        <v>34.208120999999998</v>
      </c>
      <c r="AK1240" t="s">
        <v>518</v>
      </c>
      <c r="AL1240">
        <v>-116.957982</v>
      </c>
      <c r="AM1240">
        <v>100</v>
      </c>
      <c r="AN1240">
        <v>9000</v>
      </c>
      <c r="AO1240" t="s">
        <v>118</v>
      </c>
      <c r="AP1240">
        <v>-107</v>
      </c>
      <c r="AQ1240">
        <v>-66</v>
      </c>
      <c r="AR1240">
        <v>-192</v>
      </c>
      <c r="AZ1240">
        <v>1200</v>
      </c>
      <c r="BA1240">
        <v>1</v>
      </c>
      <c r="BB1240" t="str">
        <f t="shared" si="677"/>
        <v xml:space="preserve">N9217B  </v>
      </c>
      <c r="BC1240">
        <v>1</v>
      </c>
      <c r="BE1240">
        <v>0</v>
      </c>
      <c r="BF1240">
        <v>0</v>
      </c>
      <c r="BG1240">
        <v>0</v>
      </c>
      <c r="BH1240">
        <v>9075</v>
      </c>
      <c r="BI1240">
        <v>1</v>
      </c>
      <c r="BJ1240">
        <v>0</v>
      </c>
      <c r="BK1240">
        <v>0</v>
      </c>
      <c r="BL1240">
        <v>0</v>
      </c>
      <c r="BO1240">
        <v>0</v>
      </c>
      <c r="BP1240">
        <v>0</v>
      </c>
      <c r="BW1240" t="str">
        <f t="shared" si="684"/>
        <v>14:52:07.880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285</v>
      </c>
      <c r="CR1240">
        <v>0</v>
      </c>
      <c r="CW1240">
        <v>8850481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25">
      <c r="A1241" t="str">
        <f t="shared" si="682"/>
        <v>06/05/2020 14:52:02.219</v>
      </c>
      <c r="C1241" t="str">
        <f t="shared" si="660"/>
        <v>FFDFD3C0</v>
      </c>
      <c r="D1241" t="s">
        <v>141</v>
      </c>
      <c r="E1241">
        <v>20</v>
      </c>
      <c r="F1241">
        <v>1020</v>
      </c>
      <c r="G1241" t="s">
        <v>114</v>
      </c>
      <c r="J1241" t="s">
        <v>142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683"/>
        <v>14:52:07.875</v>
      </c>
      <c r="T1241" t="str">
        <f t="shared" si="683"/>
        <v>14:52:07.875</v>
      </c>
      <c r="U1241" t="str">
        <f t="shared" si="676"/>
        <v>ACC530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1</v>
      </c>
      <c r="AH1241">
        <v>0</v>
      </c>
      <c r="AI1241" t="s">
        <v>517</v>
      </c>
      <c r="AJ1241">
        <v>34.208120999999998</v>
      </c>
      <c r="AK1241" t="s">
        <v>518</v>
      </c>
      <c r="AL1241">
        <v>-116.957982</v>
      </c>
      <c r="AM1241">
        <v>100</v>
      </c>
      <c r="AN1241">
        <v>9000</v>
      </c>
      <c r="AO1241" t="s">
        <v>118</v>
      </c>
      <c r="AP1241">
        <v>-107</v>
      </c>
      <c r="AQ1241">
        <v>-66</v>
      </c>
      <c r="AR1241">
        <v>-192</v>
      </c>
      <c r="AZ1241">
        <v>1200</v>
      </c>
      <c r="BA1241">
        <v>1</v>
      </c>
      <c r="BB1241" t="str">
        <f t="shared" si="677"/>
        <v xml:space="preserve">N9217B  </v>
      </c>
      <c r="BC1241">
        <v>1</v>
      </c>
      <c r="BE1241">
        <v>0</v>
      </c>
      <c r="BF1241">
        <v>0</v>
      </c>
      <c r="BG1241">
        <v>0</v>
      </c>
      <c r="BH1241">
        <v>9075</v>
      </c>
      <c r="BI1241">
        <v>1</v>
      </c>
      <c r="BJ1241">
        <v>0</v>
      </c>
      <c r="BK1241">
        <v>0</v>
      </c>
      <c r="BL1241">
        <v>0</v>
      </c>
      <c r="BO1241">
        <v>0</v>
      </c>
      <c r="BP1241">
        <v>0</v>
      </c>
      <c r="BW1241" t="str">
        <f t="shared" si="684"/>
        <v>14:52:07.880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285</v>
      </c>
      <c r="CR1241">
        <v>0</v>
      </c>
      <c r="CW1241">
        <v>8850481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25">
      <c r="A1242" t="str">
        <f t="shared" si="682"/>
        <v>06/05/2020 14:52:02.219</v>
      </c>
      <c r="C1242" t="str">
        <f t="shared" si="660"/>
        <v>FFDFD3C0</v>
      </c>
      <c r="D1242" t="s">
        <v>148</v>
      </c>
      <c r="E1242">
        <v>11</v>
      </c>
      <c r="H1242">
        <v>53</v>
      </c>
      <c r="I1242" t="s">
        <v>364</v>
      </c>
      <c r="J1242" t="s">
        <v>150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683"/>
        <v>14:52:07.875</v>
      </c>
      <c r="T1242" t="str">
        <f t="shared" si="683"/>
        <v>14:52:07.875</v>
      </c>
      <c r="U1242" t="str">
        <f t="shared" si="676"/>
        <v>ACC530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1</v>
      </c>
      <c r="AH1242">
        <v>0</v>
      </c>
      <c r="AI1242" t="s">
        <v>517</v>
      </c>
      <c r="AJ1242">
        <v>34.208120999999998</v>
      </c>
      <c r="AK1242" t="s">
        <v>518</v>
      </c>
      <c r="AL1242">
        <v>-116.957982</v>
      </c>
      <c r="AM1242">
        <v>100</v>
      </c>
      <c r="AN1242">
        <v>9000</v>
      </c>
      <c r="AO1242" t="s">
        <v>118</v>
      </c>
      <c r="AP1242">
        <v>-107</v>
      </c>
      <c r="AQ1242">
        <v>-66</v>
      </c>
      <c r="AR1242">
        <v>-192</v>
      </c>
      <c r="AZ1242">
        <v>1200</v>
      </c>
      <c r="BA1242">
        <v>1</v>
      </c>
      <c r="BB1242" t="str">
        <f t="shared" si="677"/>
        <v xml:space="preserve">N9217B  </v>
      </c>
      <c r="BC1242">
        <v>1</v>
      </c>
      <c r="BE1242">
        <v>0</v>
      </c>
      <c r="BF1242">
        <v>0</v>
      </c>
      <c r="BG1242">
        <v>0</v>
      </c>
      <c r="BH1242">
        <v>9075</v>
      </c>
      <c r="BI1242">
        <v>1</v>
      </c>
      <c r="BJ1242">
        <v>0</v>
      </c>
      <c r="BK1242">
        <v>0</v>
      </c>
      <c r="BL1242">
        <v>0</v>
      </c>
      <c r="BO1242">
        <v>0</v>
      </c>
      <c r="BP1242">
        <v>0</v>
      </c>
      <c r="BW1242" t="str">
        <f t="shared" si="684"/>
        <v>14:52:07.880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285</v>
      </c>
      <c r="CR1242">
        <v>0</v>
      </c>
      <c r="CW1242">
        <v>8850481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25">
      <c r="A1243" t="str">
        <f t="shared" si="682"/>
        <v>06/05/2020 14:52:02.219</v>
      </c>
      <c r="C1243" t="str">
        <f t="shared" si="660"/>
        <v>FFDFD3C0</v>
      </c>
      <c r="D1243" t="s">
        <v>113</v>
      </c>
      <c r="E1243">
        <v>3</v>
      </c>
      <c r="H1243">
        <v>166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683"/>
        <v>14:52:07.875</v>
      </c>
      <c r="T1243" t="str">
        <f t="shared" si="683"/>
        <v>14:52:07.875</v>
      </c>
      <c r="U1243" t="str">
        <f t="shared" si="676"/>
        <v>ACC530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1</v>
      </c>
      <c r="AH1243">
        <v>0</v>
      </c>
      <c r="AI1243" t="s">
        <v>517</v>
      </c>
      <c r="AJ1243">
        <v>34.208120999999998</v>
      </c>
      <c r="AK1243" t="s">
        <v>518</v>
      </c>
      <c r="AL1243">
        <v>-116.957982</v>
      </c>
      <c r="AM1243">
        <v>100</v>
      </c>
      <c r="AN1243">
        <v>9000</v>
      </c>
      <c r="AO1243" t="s">
        <v>118</v>
      </c>
      <c r="AP1243">
        <v>-107</v>
      </c>
      <c r="AQ1243">
        <v>-66</v>
      </c>
      <c r="AR1243">
        <v>-192</v>
      </c>
      <c r="AZ1243">
        <v>1200</v>
      </c>
      <c r="BA1243">
        <v>1</v>
      </c>
      <c r="BB1243" t="str">
        <f t="shared" si="677"/>
        <v xml:space="preserve">N9217B  </v>
      </c>
      <c r="BC1243">
        <v>1</v>
      </c>
      <c r="BE1243">
        <v>0</v>
      </c>
      <c r="BF1243">
        <v>0</v>
      </c>
      <c r="BG1243">
        <v>0</v>
      </c>
      <c r="BH1243">
        <v>9075</v>
      </c>
      <c r="BI1243">
        <v>1</v>
      </c>
      <c r="BJ1243">
        <v>0</v>
      </c>
      <c r="BK1243">
        <v>0</v>
      </c>
      <c r="BL1243">
        <v>0</v>
      </c>
      <c r="BO1243">
        <v>0</v>
      </c>
      <c r="BP1243">
        <v>0</v>
      </c>
      <c r="BW1243" t="str">
        <f t="shared" si="684"/>
        <v>14:52:07.880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285</v>
      </c>
      <c r="CR1243">
        <v>0</v>
      </c>
      <c r="CW1243">
        <v>8850481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25">
      <c r="A1244" t="str">
        <f t="shared" ref="A1244:A1250" si="685">"06/05/2020 14:52:03.194"</f>
        <v>06/05/2020 14:52:03.194</v>
      </c>
      <c r="C1244" t="str">
        <f t="shared" si="660"/>
        <v>FFDFD3C0</v>
      </c>
      <c r="D1244" t="s">
        <v>148</v>
      </c>
      <c r="E1244">
        <v>11</v>
      </c>
      <c r="H1244">
        <v>53</v>
      </c>
      <c r="I1244" t="s">
        <v>364</v>
      </c>
      <c r="J1244" t="s">
        <v>150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ref="S1244:T1250" si="686">"14:52:08.852"</f>
        <v>14:52:08.852</v>
      </c>
      <c r="T1244" t="str">
        <f t="shared" si="686"/>
        <v>14:52:08.852</v>
      </c>
      <c r="U1244" t="str">
        <f t="shared" si="676"/>
        <v>ACC530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1</v>
      </c>
      <c r="AH1244">
        <v>0</v>
      </c>
      <c r="AI1244" t="s">
        <v>519</v>
      </c>
      <c r="AJ1244">
        <v>34.207864000000001</v>
      </c>
      <c r="AK1244" t="s">
        <v>520</v>
      </c>
      <c r="AL1244">
        <v>-116.95860399999999</v>
      </c>
      <c r="AM1244">
        <v>100</v>
      </c>
      <c r="AN1244">
        <v>9000</v>
      </c>
      <c r="AO1244" t="s">
        <v>118</v>
      </c>
      <c r="AP1244">
        <v>-107</v>
      </c>
      <c r="AQ1244">
        <v>-66</v>
      </c>
      <c r="AR1244">
        <v>-256</v>
      </c>
      <c r="AZ1244">
        <v>1200</v>
      </c>
      <c r="BA1244">
        <v>1</v>
      </c>
      <c r="BB1244" t="str">
        <f t="shared" si="677"/>
        <v xml:space="preserve">N9217B  </v>
      </c>
      <c r="BC1244">
        <v>1</v>
      </c>
      <c r="BE1244">
        <v>0</v>
      </c>
      <c r="BF1244">
        <v>0</v>
      </c>
      <c r="BG1244">
        <v>0</v>
      </c>
      <c r="BH1244">
        <v>9075</v>
      </c>
      <c r="BI1244">
        <v>1</v>
      </c>
      <c r="BJ1244">
        <v>0</v>
      </c>
      <c r="BK1244">
        <v>0</v>
      </c>
      <c r="BL1244">
        <v>0</v>
      </c>
      <c r="BO1244">
        <v>0</v>
      </c>
      <c r="BP1244">
        <v>0</v>
      </c>
      <c r="BW1244" t="str">
        <f t="shared" ref="BW1244:BW1250" si="687">"14:52:08.855"</f>
        <v>14:52:08.855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293</v>
      </c>
      <c r="CR1244">
        <v>1</v>
      </c>
      <c r="CW1244">
        <v>15283798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25">
      <c r="A1245" t="str">
        <f t="shared" si="685"/>
        <v>06/05/2020 14:52:03.194</v>
      </c>
      <c r="C1245" t="str">
        <f t="shared" si="660"/>
        <v>FFDFD3C0</v>
      </c>
      <c r="D1245" t="s">
        <v>113</v>
      </c>
      <c r="E1245">
        <v>3</v>
      </c>
      <c r="H1245">
        <v>166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86"/>
        <v>14:52:08.852</v>
      </c>
      <c r="T1245" t="str">
        <f t="shared" si="686"/>
        <v>14:52:08.852</v>
      </c>
      <c r="U1245" t="str">
        <f t="shared" si="676"/>
        <v>ACC530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1</v>
      </c>
      <c r="AH1245">
        <v>0</v>
      </c>
      <c r="AI1245" t="s">
        <v>519</v>
      </c>
      <c r="AJ1245">
        <v>34.207864000000001</v>
      </c>
      <c r="AK1245" t="s">
        <v>520</v>
      </c>
      <c r="AL1245">
        <v>-116.95860399999999</v>
      </c>
      <c r="AM1245">
        <v>100</v>
      </c>
      <c r="AN1245">
        <v>9000</v>
      </c>
      <c r="AO1245" t="s">
        <v>118</v>
      </c>
      <c r="AP1245">
        <v>-107</v>
      </c>
      <c r="AQ1245">
        <v>-66</v>
      </c>
      <c r="AR1245">
        <v>-256</v>
      </c>
      <c r="AZ1245">
        <v>1200</v>
      </c>
      <c r="BA1245">
        <v>1</v>
      </c>
      <c r="BB1245" t="str">
        <f t="shared" si="677"/>
        <v xml:space="preserve">N9217B  </v>
      </c>
      <c r="BC1245">
        <v>1</v>
      </c>
      <c r="BE1245">
        <v>0</v>
      </c>
      <c r="BF1245">
        <v>0</v>
      </c>
      <c r="BG1245">
        <v>0</v>
      </c>
      <c r="BH1245">
        <v>9075</v>
      </c>
      <c r="BI1245">
        <v>1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 t="shared" si="687"/>
        <v>14:52:08.855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293</v>
      </c>
      <c r="CR1245">
        <v>1</v>
      </c>
      <c r="CW1245">
        <v>15283798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25">
      <c r="A1246" t="str">
        <f t="shared" si="685"/>
        <v>06/05/2020 14:52:03.194</v>
      </c>
      <c r="C1246" t="str">
        <f t="shared" si="660"/>
        <v>FFDFD3C0</v>
      </c>
      <c r="D1246" t="s">
        <v>134</v>
      </c>
      <c r="E1246">
        <v>7</v>
      </c>
      <c r="F1246">
        <v>2007</v>
      </c>
      <c r="G1246" t="s">
        <v>135</v>
      </c>
      <c r="J1246" t="s">
        <v>136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86"/>
        <v>14:52:08.852</v>
      </c>
      <c r="T1246" t="str">
        <f t="shared" si="686"/>
        <v>14:52:08.852</v>
      </c>
      <c r="U1246" t="str">
        <f t="shared" si="676"/>
        <v>ACC530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1</v>
      </c>
      <c r="AH1246">
        <v>0</v>
      </c>
      <c r="AI1246" t="s">
        <v>519</v>
      </c>
      <c r="AJ1246">
        <v>34.207864000000001</v>
      </c>
      <c r="AK1246" t="s">
        <v>520</v>
      </c>
      <c r="AL1246">
        <v>-116.95860399999999</v>
      </c>
      <c r="AM1246">
        <v>100</v>
      </c>
      <c r="AN1246">
        <v>9000</v>
      </c>
      <c r="AO1246" t="s">
        <v>118</v>
      </c>
      <c r="AP1246">
        <v>-107</v>
      </c>
      <c r="AQ1246">
        <v>-66</v>
      </c>
      <c r="AR1246">
        <v>-256</v>
      </c>
      <c r="AZ1246">
        <v>1200</v>
      </c>
      <c r="BA1246">
        <v>1</v>
      </c>
      <c r="BB1246" t="str">
        <f t="shared" si="677"/>
        <v xml:space="preserve">N9217B  </v>
      </c>
      <c r="BC1246">
        <v>1</v>
      </c>
      <c r="BE1246">
        <v>0</v>
      </c>
      <c r="BF1246">
        <v>0</v>
      </c>
      <c r="BG1246">
        <v>0</v>
      </c>
      <c r="BH1246">
        <v>9075</v>
      </c>
      <c r="BI1246">
        <v>1</v>
      </c>
      <c r="BJ1246">
        <v>0</v>
      </c>
      <c r="BK1246">
        <v>0</v>
      </c>
      <c r="BL1246">
        <v>0</v>
      </c>
      <c r="BO1246">
        <v>0</v>
      </c>
      <c r="BP1246">
        <v>0</v>
      </c>
      <c r="BW1246" t="str">
        <f t="shared" si="687"/>
        <v>14:52:08.855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293</v>
      </c>
      <c r="CR1246">
        <v>1</v>
      </c>
      <c r="CW1246">
        <v>15283798</v>
      </c>
      <c r="CY1246">
        <v>0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25">
      <c r="A1247" t="str">
        <f t="shared" si="685"/>
        <v>06/05/2020 14:52:03.194</v>
      </c>
      <c r="C1247" t="str">
        <f t="shared" si="660"/>
        <v>FFDFD3C0</v>
      </c>
      <c r="D1247" t="s">
        <v>151</v>
      </c>
      <c r="E1247">
        <v>8</v>
      </c>
      <c r="H1247">
        <v>225</v>
      </c>
      <c r="I1247" t="s">
        <v>353</v>
      </c>
      <c r="J1247" t="s">
        <v>150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686"/>
        <v>14:52:08.852</v>
      </c>
      <c r="T1247" t="str">
        <f t="shared" si="686"/>
        <v>14:52:08.852</v>
      </c>
      <c r="U1247" t="str">
        <f t="shared" si="676"/>
        <v>ACC530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1</v>
      </c>
      <c r="AH1247">
        <v>0</v>
      </c>
      <c r="AI1247" t="s">
        <v>519</v>
      </c>
      <c r="AJ1247">
        <v>34.207864000000001</v>
      </c>
      <c r="AK1247" t="s">
        <v>520</v>
      </c>
      <c r="AL1247">
        <v>-116.95860399999999</v>
      </c>
      <c r="AM1247">
        <v>100</v>
      </c>
      <c r="AN1247">
        <v>9000</v>
      </c>
      <c r="AO1247" t="s">
        <v>118</v>
      </c>
      <c r="AP1247">
        <v>-107</v>
      </c>
      <c r="AQ1247">
        <v>-66</v>
      </c>
      <c r="AR1247">
        <v>-256</v>
      </c>
      <c r="AZ1247">
        <v>1200</v>
      </c>
      <c r="BA1247">
        <v>1</v>
      </c>
      <c r="BB1247" t="str">
        <f t="shared" si="677"/>
        <v xml:space="preserve">N9217B  </v>
      </c>
      <c r="BC1247">
        <v>1</v>
      </c>
      <c r="BE1247">
        <v>0</v>
      </c>
      <c r="BF1247">
        <v>0</v>
      </c>
      <c r="BG1247">
        <v>0</v>
      </c>
      <c r="BH1247">
        <v>9075</v>
      </c>
      <c r="BI1247">
        <v>1</v>
      </c>
      <c r="BJ1247">
        <v>0</v>
      </c>
      <c r="BK1247">
        <v>0</v>
      </c>
      <c r="BL1247">
        <v>0</v>
      </c>
      <c r="BO1247">
        <v>0</v>
      </c>
      <c r="BP1247">
        <v>0</v>
      </c>
      <c r="BW1247" t="str">
        <f t="shared" si="687"/>
        <v>14:52:08.855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285</v>
      </c>
      <c r="CR1247">
        <v>0</v>
      </c>
      <c r="CW1247">
        <v>8850560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25">
      <c r="A1248" t="str">
        <f t="shared" si="685"/>
        <v>06/05/2020 14:52:03.194</v>
      </c>
      <c r="C1248" t="str">
        <f t="shared" si="660"/>
        <v>FFDFD3C0</v>
      </c>
      <c r="D1248" t="s">
        <v>151</v>
      </c>
      <c r="E1248">
        <v>9</v>
      </c>
      <c r="H1248">
        <v>226</v>
      </c>
      <c r="I1248" t="s">
        <v>152</v>
      </c>
      <c r="J1248" t="s">
        <v>150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686"/>
        <v>14:52:08.852</v>
      </c>
      <c r="T1248" t="str">
        <f t="shared" si="686"/>
        <v>14:52:08.852</v>
      </c>
      <c r="U1248" t="str">
        <f t="shared" si="676"/>
        <v>ACC530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1</v>
      </c>
      <c r="AH1248">
        <v>0</v>
      </c>
      <c r="AI1248" t="s">
        <v>519</v>
      </c>
      <c r="AJ1248">
        <v>34.207864000000001</v>
      </c>
      <c r="AK1248" t="s">
        <v>520</v>
      </c>
      <c r="AL1248">
        <v>-116.95860399999999</v>
      </c>
      <c r="AM1248">
        <v>100</v>
      </c>
      <c r="AN1248">
        <v>9000</v>
      </c>
      <c r="AO1248" t="s">
        <v>118</v>
      </c>
      <c r="AP1248">
        <v>-107</v>
      </c>
      <c r="AQ1248">
        <v>-66</v>
      </c>
      <c r="AR1248">
        <v>-256</v>
      </c>
      <c r="AZ1248">
        <v>1200</v>
      </c>
      <c r="BA1248">
        <v>1</v>
      </c>
      <c r="BB1248" t="str">
        <f t="shared" si="677"/>
        <v xml:space="preserve">N9217B  </v>
      </c>
      <c r="BC1248">
        <v>1</v>
      </c>
      <c r="BE1248">
        <v>0</v>
      </c>
      <c r="BF1248">
        <v>0</v>
      </c>
      <c r="BG1248">
        <v>0</v>
      </c>
      <c r="BH1248">
        <v>9075</v>
      </c>
      <c r="BI1248">
        <v>1</v>
      </c>
      <c r="BJ1248">
        <v>0</v>
      </c>
      <c r="BK1248">
        <v>0</v>
      </c>
      <c r="BL1248">
        <v>0</v>
      </c>
      <c r="BO1248">
        <v>0</v>
      </c>
      <c r="BP1248">
        <v>0</v>
      </c>
      <c r="BW1248" t="str">
        <f t="shared" si="687"/>
        <v>14:52:08.855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293</v>
      </c>
      <c r="CR1248">
        <v>1</v>
      </c>
      <c r="CW1248">
        <v>15283798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25">
      <c r="A1249" t="str">
        <f t="shared" si="685"/>
        <v>06/05/2020 14:52:03.194</v>
      </c>
      <c r="C1249" t="str">
        <f t="shared" si="660"/>
        <v>FFDFD3C0</v>
      </c>
      <c r="D1249" t="s">
        <v>141</v>
      </c>
      <c r="E1249">
        <v>20</v>
      </c>
      <c r="F1249">
        <v>1020</v>
      </c>
      <c r="G1249" t="s">
        <v>114</v>
      </c>
      <c r="J1249" t="s">
        <v>142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686"/>
        <v>14:52:08.852</v>
      </c>
      <c r="T1249" t="str">
        <f t="shared" si="686"/>
        <v>14:52:08.852</v>
      </c>
      <c r="U1249" t="str">
        <f t="shared" si="676"/>
        <v>ACC530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1</v>
      </c>
      <c r="AH1249">
        <v>0</v>
      </c>
      <c r="AI1249" t="s">
        <v>519</v>
      </c>
      <c r="AJ1249">
        <v>34.207864000000001</v>
      </c>
      <c r="AK1249" t="s">
        <v>520</v>
      </c>
      <c r="AL1249">
        <v>-116.95860399999999</v>
      </c>
      <c r="AM1249">
        <v>100</v>
      </c>
      <c r="AN1249">
        <v>9000</v>
      </c>
      <c r="AO1249" t="s">
        <v>118</v>
      </c>
      <c r="AP1249">
        <v>-107</v>
      </c>
      <c r="AQ1249">
        <v>-66</v>
      </c>
      <c r="AR1249">
        <v>-256</v>
      </c>
      <c r="AZ1249">
        <v>1200</v>
      </c>
      <c r="BA1249">
        <v>1</v>
      </c>
      <c r="BB1249" t="str">
        <f t="shared" si="677"/>
        <v xml:space="preserve">N9217B  </v>
      </c>
      <c r="BC1249">
        <v>1</v>
      </c>
      <c r="BE1249">
        <v>0</v>
      </c>
      <c r="BF1249">
        <v>0</v>
      </c>
      <c r="BG1249">
        <v>0</v>
      </c>
      <c r="BH1249">
        <v>9075</v>
      </c>
      <c r="BI1249">
        <v>1</v>
      </c>
      <c r="BJ1249">
        <v>0</v>
      </c>
      <c r="BK1249">
        <v>0</v>
      </c>
      <c r="BL1249">
        <v>0</v>
      </c>
      <c r="BO1249">
        <v>0</v>
      </c>
      <c r="BP1249">
        <v>0</v>
      </c>
      <c r="BW1249" t="str">
        <f t="shared" si="687"/>
        <v>14:52:08.855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293</v>
      </c>
      <c r="CR1249">
        <v>1</v>
      </c>
      <c r="CW1249">
        <v>15283798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25">
      <c r="A1250" t="str">
        <f t="shared" si="685"/>
        <v>06/05/2020 14:52:03.194</v>
      </c>
      <c r="C1250" t="str">
        <f t="shared" si="660"/>
        <v>FFDFD3C0</v>
      </c>
      <c r="D1250" t="s">
        <v>148</v>
      </c>
      <c r="E1250">
        <v>8</v>
      </c>
      <c r="H1250">
        <v>50</v>
      </c>
      <c r="I1250" t="s">
        <v>149</v>
      </c>
      <c r="J1250" t="s">
        <v>150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686"/>
        <v>14:52:08.852</v>
      </c>
      <c r="T1250" t="str">
        <f t="shared" si="686"/>
        <v>14:52:08.852</v>
      </c>
      <c r="U1250" t="str">
        <f t="shared" si="676"/>
        <v>ACC530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1</v>
      </c>
      <c r="AH1250">
        <v>0</v>
      </c>
      <c r="AI1250" t="s">
        <v>519</v>
      </c>
      <c r="AJ1250">
        <v>34.207864000000001</v>
      </c>
      <c r="AK1250" t="s">
        <v>520</v>
      </c>
      <c r="AL1250">
        <v>-116.95860399999999</v>
      </c>
      <c r="AM1250">
        <v>100</v>
      </c>
      <c r="AN1250">
        <v>9000</v>
      </c>
      <c r="AO1250" t="s">
        <v>118</v>
      </c>
      <c r="AP1250">
        <v>-107</v>
      </c>
      <c r="AQ1250">
        <v>-66</v>
      </c>
      <c r="AR1250">
        <v>-256</v>
      </c>
      <c r="AZ1250">
        <v>1200</v>
      </c>
      <c r="BA1250">
        <v>1</v>
      </c>
      <c r="BB1250" t="str">
        <f t="shared" si="677"/>
        <v xml:space="preserve">N9217B  </v>
      </c>
      <c r="BC1250">
        <v>1</v>
      </c>
      <c r="BE1250">
        <v>0</v>
      </c>
      <c r="BF1250">
        <v>0</v>
      </c>
      <c r="BG1250">
        <v>0</v>
      </c>
      <c r="BH1250">
        <v>9075</v>
      </c>
      <c r="BI1250">
        <v>1</v>
      </c>
      <c r="BJ1250">
        <v>0</v>
      </c>
      <c r="BK1250">
        <v>0</v>
      </c>
      <c r="BL1250">
        <v>0</v>
      </c>
      <c r="BO1250">
        <v>0</v>
      </c>
      <c r="BP1250">
        <v>0</v>
      </c>
      <c r="BW1250" t="str">
        <f t="shared" si="687"/>
        <v>14:52:08.855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293</v>
      </c>
      <c r="CR1250">
        <v>1</v>
      </c>
      <c r="CW1250">
        <v>15283798</v>
      </c>
      <c r="CY1250">
        <v>0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25">
      <c r="A1251" t="str">
        <f t="shared" ref="A1251:A1257" si="688">"06/05/2020 14:52:04.195"</f>
        <v>06/05/2020 14:52:04.195</v>
      </c>
      <c r="C1251" t="str">
        <f t="shared" ref="C1251:C1314" si="689">"FFDFD3C0"</f>
        <v>FFDFD3C0</v>
      </c>
      <c r="D1251" t="s">
        <v>141</v>
      </c>
      <c r="E1251">
        <v>20</v>
      </c>
      <c r="F1251">
        <v>1020</v>
      </c>
      <c r="G1251" t="s">
        <v>114</v>
      </c>
      <c r="J1251" t="s">
        <v>142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ref="S1251:T1257" si="690">"14:52:09.859"</f>
        <v>14:52:09.859</v>
      </c>
      <c r="T1251" t="str">
        <f t="shared" si="690"/>
        <v>14:52:09.859</v>
      </c>
      <c r="U1251" t="str">
        <f t="shared" si="676"/>
        <v>ACC530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1</v>
      </c>
      <c r="AH1251">
        <v>0</v>
      </c>
      <c r="AI1251" t="s">
        <v>521</v>
      </c>
      <c r="AJ1251">
        <v>34.207520000000002</v>
      </c>
      <c r="AK1251" t="s">
        <v>522</v>
      </c>
      <c r="AL1251">
        <v>-116.959183</v>
      </c>
      <c r="AM1251">
        <v>100</v>
      </c>
      <c r="AN1251">
        <v>9000</v>
      </c>
      <c r="AO1251" t="s">
        <v>118</v>
      </c>
      <c r="AP1251">
        <v>-107</v>
      </c>
      <c r="AQ1251">
        <v>-66</v>
      </c>
      <c r="AR1251">
        <v>-256</v>
      </c>
      <c r="AZ1251">
        <v>1200</v>
      </c>
      <c r="BA1251">
        <v>1</v>
      </c>
      <c r="BB1251" t="str">
        <f t="shared" si="677"/>
        <v xml:space="preserve">N9217B  </v>
      </c>
      <c r="BC1251">
        <v>1</v>
      </c>
      <c r="BE1251">
        <v>0</v>
      </c>
      <c r="BF1251">
        <v>0</v>
      </c>
      <c r="BG1251">
        <v>0</v>
      </c>
      <c r="BH1251">
        <v>9075</v>
      </c>
      <c r="BI1251">
        <v>1</v>
      </c>
      <c r="BJ1251">
        <v>0</v>
      </c>
      <c r="BK1251">
        <v>0</v>
      </c>
      <c r="BL1251">
        <v>0</v>
      </c>
      <c r="BO1251">
        <v>0</v>
      </c>
      <c r="BP1251">
        <v>0</v>
      </c>
      <c r="BW1251" t="str">
        <f t="shared" ref="BW1251:BW1257" si="691">"14:52:09.859"</f>
        <v>14:52:09.859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293</v>
      </c>
      <c r="CR1251">
        <v>1</v>
      </c>
      <c r="CW1251">
        <v>15283911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25">
      <c r="A1252" t="str">
        <f t="shared" si="688"/>
        <v>06/05/2020 14:52:04.195</v>
      </c>
      <c r="C1252" t="str">
        <f t="shared" si="689"/>
        <v>FFDFD3C0</v>
      </c>
      <c r="D1252" t="s">
        <v>151</v>
      </c>
      <c r="E1252">
        <v>8</v>
      </c>
      <c r="H1252">
        <v>225</v>
      </c>
      <c r="I1252" t="s">
        <v>353</v>
      </c>
      <c r="J1252" t="s">
        <v>150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90"/>
        <v>14:52:09.859</v>
      </c>
      <c r="T1252" t="str">
        <f t="shared" si="690"/>
        <v>14:52:09.859</v>
      </c>
      <c r="U1252" t="str">
        <f t="shared" si="676"/>
        <v>ACC530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1</v>
      </c>
      <c r="AH1252">
        <v>0</v>
      </c>
      <c r="AI1252" t="s">
        <v>521</v>
      </c>
      <c r="AJ1252">
        <v>34.207520000000002</v>
      </c>
      <c r="AK1252" t="s">
        <v>522</v>
      </c>
      <c r="AL1252">
        <v>-116.959183</v>
      </c>
      <c r="AM1252">
        <v>100</v>
      </c>
      <c r="AN1252">
        <v>9000</v>
      </c>
      <c r="AO1252" t="s">
        <v>118</v>
      </c>
      <c r="AP1252">
        <v>-107</v>
      </c>
      <c r="AQ1252">
        <v>-66</v>
      </c>
      <c r="AR1252">
        <v>-256</v>
      </c>
      <c r="AZ1252">
        <v>1200</v>
      </c>
      <c r="BA1252">
        <v>1</v>
      </c>
      <c r="BB1252" t="str">
        <f t="shared" si="677"/>
        <v xml:space="preserve">N9217B  </v>
      </c>
      <c r="BC1252">
        <v>1</v>
      </c>
      <c r="BE1252">
        <v>0</v>
      </c>
      <c r="BF1252">
        <v>0</v>
      </c>
      <c r="BG1252">
        <v>0</v>
      </c>
      <c r="BH1252">
        <v>9075</v>
      </c>
      <c r="BI1252">
        <v>1</v>
      </c>
      <c r="BJ1252">
        <v>0</v>
      </c>
      <c r="BK1252">
        <v>0</v>
      </c>
      <c r="BL1252">
        <v>0</v>
      </c>
      <c r="BO1252">
        <v>0</v>
      </c>
      <c r="BP1252">
        <v>0</v>
      </c>
      <c r="BW1252" t="str">
        <f t="shared" si="691"/>
        <v>14:52:09.859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6</v>
      </c>
      <c r="CP1252" t="s">
        <v>119</v>
      </c>
      <c r="CQ1252">
        <v>285</v>
      </c>
      <c r="CR1252">
        <v>0</v>
      </c>
      <c r="CW1252">
        <v>8850648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25">
      <c r="A1253" t="str">
        <f t="shared" si="688"/>
        <v>06/05/2020 14:52:04.195</v>
      </c>
      <c r="C1253" t="str">
        <f t="shared" si="689"/>
        <v>FFDFD3C0</v>
      </c>
      <c r="D1253" t="s">
        <v>151</v>
      </c>
      <c r="E1253">
        <v>9</v>
      </c>
      <c r="H1253">
        <v>226</v>
      </c>
      <c r="I1253" t="s">
        <v>152</v>
      </c>
      <c r="J1253" t="s">
        <v>150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90"/>
        <v>14:52:09.859</v>
      </c>
      <c r="T1253" t="str">
        <f t="shared" si="690"/>
        <v>14:52:09.859</v>
      </c>
      <c r="U1253" t="str">
        <f t="shared" si="676"/>
        <v>ACC530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1</v>
      </c>
      <c r="AH1253">
        <v>0</v>
      </c>
      <c r="AI1253" t="s">
        <v>521</v>
      </c>
      <c r="AJ1253">
        <v>34.207520000000002</v>
      </c>
      <c r="AK1253" t="s">
        <v>522</v>
      </c>
      <c r="AL1253">
        <v>-116.959183</v>
      </c>
      <c r="AM1253">
        <v>100</v>
      </c>
      <c r="AN1253">
        <v>9000</v>
      </c>
      <c r="AO1253" t="s">
        <v>118</v>
      </c>
      <c r="AP1253">
        <v>-107</v>
      </c>
      <c r="AQ1253">
        <v>-66</v>
      </c>
      <c r="AR1253">
        <v>-256</v>
      </c>
      <c r="AZ1253">
        <v>1200</v>
      </c>
      <c r="BA1253">
        <v>1</v>
      </c>
      <c r="BB1253" t="str">
        <f t="shared" si="677"/>
        <v xml:space="preserve">N9217B  </v>
      </c>
      <c r="BC1253">
        <v>1</v>
      </c>
      <c r="BE1253">
        <v>0</v>
      </c>
      <c r="BF1253">
        <v>0</v>
      </c>
      <c r="BG1253">
        <v>0</v>
      </c>
      <c r="BH1253">
        <v>9075</v>
      </c>
      <c r="BI1253">
        <v>1</v>
      </c>
      <c r="BJ1253">
        <v>0</v>
      </c>
      <c r="BK1253">
        <v>0</v>
      </c>
      <c r="BL1253">
        <v>0</v>
      </c>
      <c r="BO1253">
        <v>0</v>
      </c>
      <c r="BP1253">
        <v>0</v>
      </c>
      <c r="BW1253" t="str">
        <f t="shared" si="691"/>
        <v>14:52:09.859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293</v>
      </c>
      <c r="CR1253">
        <v>1</v>
      </c>
      <c r="CW1253">
        <v>15283911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25">
      <c r="A1254" t="str">
        <f t="shared" si="688"/>
        <v>06/05/2020 14:52:04.195</v>
      </c>
      <c r="C1254" t="str">
        <f t="shared" si="689"/>
        <v>FFDFD3C0</v>
      </c>
      <c r="D1254" t="s">
        <v>148</v>
      </c>
      <c r="E1254">
        <v>8</v>
      </c>
      <c r="H1254">
        <v>50</v>
      </c>
      <c r="I1254" t="s">
        <v>149</v>
      </c>
      <c r="J1254" t="s">
        <v>150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690"/>
        <v>14:52:09.859</v>
      </c>
      <c r="T1254" t="str">
        <f t="shared" si="690"/>
        <v>14:52:09.859</v>
      </c>
      <c r="U1254" t="str">
        <f t="shared" si="676"/>
        <v>ACC530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1</v>
      </c>
      <c r="AH1254">
        <v>0</v>
      </c>
      <c r="AI1254" t="s">
        <v>521</v>
      </c>
      <c r="AJ1254">
        <v>34.207520000000002</v>
      </c>
      <c r="AK1254" t="s">
        <v>522</v>
      </c>
      <c r="AL1254">
        <v>-116.959183</v>
      </c>
      <c r="AM1254">
        <v>100</v>
      </c>
      <c r="AN1254">
        <v>9000</v>
      </c>
      <c r="AO1254" t="s">
        <v>118</v>
      </c>
      <c r="AP1254">
        <v>-107</v>
      </c>
      <c r="AQ1254">
        <v>-66</v>
      </c>
      <c r="AR1254">
        <v>-256</v>
      </c>
      <c r="AZ1254">
        <v>1200</v>
      </c>
      <c r="BA1254">
        <v>1</v>
      </c>
      <c r="BB1254" t="str">
        <f t="shared" si="677"/>
        <v xml:space="preserve">N9217B  </v>
      </c>
      <c r="BC1254">
        <v>1</v>
      </c>
      <c r="BE1254">
        <v>0</v>
      </c>
      <c r="BF1254">
        <v>0</v>
      </c>
      <c r="BG1254">
        <v>0</v>
      </c>
      <c r="BH1254">
        <v>9075</v>
      </c>
      <c r="BI1254">
        <v>1</v>
      </c>
      <c r="BJ1254">
        <v>0</v>
      </c>
      <c r="BK1254">
        <v>0</v>
      </c>
      <c r="BL1254">
        <v>0</v>
      </c>
      <c r="BO1254">
        <v>0</v>
      </c>
      <c r="BP1254">
        <v>0</v>
      </c>
      <c r="BW1254" t="str">
        <f t="shared" si="691"/>
        <v>14:52:09.859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293</v>
      </c>
      <c r="CR1254">
        <v>1</v>
      </c>
      <c r="CW1254">
        <v>15283911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25">
      <c r="A1255" t="str">
        <f t="shared" si="688"/>
        <v>06/05/2020 14:52:04.195</v>
      </c>
      <c r="C1255" t="str">
        <f t="shared" si="689"/>
        <v>FFDFD3C0</v>
      </c>
      <c r="D1255" t="s">
        <v>148</v>
      </c>
      <c r="E1255">
        <v>11</v>
      </c>
      <c r="H1255">
        <v>53</v>
      </c>
      <c r="I1255" t="s">
        <v>364</v>
      </c>
      <c r="J1255" t="s">
        <v>150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690"/>
        <v>14:52:09.859</v>
      </c>
      <c r="T1255" t="str">
        <f t="shared" si="690"/>
        <v>14:52:09.859</v>
      </c>
      <c r="U1255" t="str">
        <f t="shared" si="676"/>
        <v>ACC530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1</v>
      </c>
      <c r="AH1255">
        <v>0</v>
      </c>
      <c r="AI1255" t="s">
        <v>521</v>
      </c>
      <c r="AJ1255">
        <v>34.207520000000002</v>
      </c>
      <c r="AK1255" t="s">
        <v>522</v>
      </c>
      <c r="AL1255">
        <v>-116.959183</v>
      </c>
      <c r="AM1255">
        <v>100</v>
      </c>
      <c r="AN1255">
        <v>9000</v>
      </c>
      <c r="AO1255" t="s">
        <v>118</v>
      </c>
      <c r="AP1255">
        <v>-107</v>
      </c>
      <c r="AQ1255">
        <v>-66</v>
      </c>
      <c r="AR1255">
        <v>-256</v>
      </c>
      <c r="AZ1255">
        <v>1200</v>
      </c>
      <c r="BA1255">
        <v>1</v>
      </c>
      <c r="BB1255" t="str">
        <f t="shared" si="677"/>
        <v xml:space="preserve">N9217B  </v>
      </c>
      <c r="BC1255">
        <v>1</v>
      </c>
      <c r="BE1255">
        <v>0</v>
      </c>
      <c r="BF1255">
        <v>0</v>
      </c>
      <c r="BG1255">
        <v>0</v>
      </c>
      <c r="BH1255">
        <v>9075</v>
      </c>
      <c r="BI1255">
        <v>1</v>
      </c>
      <c r="BJ1255">
        <v>0</v>
      </c>
      <c r="BK1255">
        <v>0</v>
      </c>
      <c r="BL1255">
        <v>0</v>
      </c>
      <c r="BO1255">
        <v>0</v>
      </c>
      <c r="BP1255">
        <v>0</v>
      </c>
      <c r="BW1255" t="str">
        <f t="shared" si="691"/>
        <v>14:52:09.859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293</v>
      </c>
      <c r="CR1255">
        <v>1</v>
      </c>
      <c r="CW1255">
        <v>15283911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25">
      <c r="A1256" t="str">
        <f t="shared" si="688"/>
        <v>06/05/2020 14:52:04.195</v>
      </c>
      <c r="C1256" t="str">
        <f t="shared" si="689"/>
        <v>FFDFD3C0</v>
      </c>
      <c r="D1256" t="s">
        <v>113</v>
      </c>
      <c r="E1256">
        <v>3</v>
      </c>
      <c r="H1256">
        <v>166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690"/>
        <v>14:52:09.859</v>
      </c>
      <c r="T1256" t="str">
        <f t="shared" si="690"/>
        <v>14:52:09.859</v>
      </c>
      <c r="U1256" t="str">
        <f t="shared" si="676"/>
        <v>ACC530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1</v>
      </c>
      <c r="AH1256">
        <v>0</v>
      </c>
      <c r="AI1256" t="s">
        <v>521</v>
      </c>
      <c r="AJ1256">
        <v>34.207520000000002</v>
      </c>
      <c r="AK1256" t="s">
        <v>522</v>
      </c>
      <c r="AL1256">
        <v>-116.959183</v>
      </c>
      <c r="AM1256">
        <v>100</v>
      </c>
      <c r="AN1256">
        <v>9000</v>
      </c>
      <c r="AO1256" t="s">
        <v>118</v>
      </c>
      <c r="AP1256">
        <v>-107</v>
      </c>
      <c r="AQ1256">
        <v>-66</v>
      </c>
      <c r="AR1256">
        <v>-256</v>
      </c>
      <c r="AZ1256">
        <v>1200</v>
      </c>
      <c r="BA1256">
        <v>1</v>
      </c>
      <c r="BB1256" t="str">
        <f t="shared" si="677"/>
        <v xml:space="preserve">N9217B  </v>
      </c>
      <c r="BC1256">
        <v>1</v>
      </c>
      <c r="BE1256">
        <v>0</v>
      </c>
      <c r="BF1256">
        <v>0</v>
      </c>
      <c r="BG1256">
        <v>0</v>
      </c>
      <c r="BH1256">
        <v>9075</v>
      </c>
      <c r="BI1256">
        <v>1</v>
      </c>
      <c r="BJ1256">
        <v>0</v>
      </c>
      <c r="BK1256">
        <v>0</v>
      </c>
      <c r="BL1256">
        <v>0</v>
      </c>
      <c r="BO1256">
        <v>0</v>
      </c>
      <c r="BP1256">
        <v>0</v>
      </c>
      <c r="BW1256" t="str">
        <f t="shared" si="691"/>
        <v>14:52:09.859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293</v>
      </c>
      <c r="CR1256">
        <v>1</v>
      </c>
      <c r="CW1256">
        <v>15283911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25">
      <c r="A1257" t="str">
        <f t="shared" si="688"/>
        <v>06/05/2020 14:52:04.195</v>
      </c>
      <c r="C1257" t="str">
        <f t="shared" si="689"/>
        <v>FFDFD3C0</v>
      </c>
      <c r="D1257" t="s">
        <v>134</v>
      </c>
      <c r="E1257">
        <v>7</v>
      </c>
      <c r="F1257">
        <v>2007</v>
      </c>
      <c r="G1257" t="s">
        <v>135</v>
      </c>
      <c r="J1257" t="s">
        <v>136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690"/>
        <v>14:52:09.859</v>
      </c>
      <c r="T1257" t="str">
        <f t="shared" si="690"/>
        <v>14:52:09.859</v>
      </c>
      <c r="U1257" t="str">
        <f t="shared" si="676"/>
        <v>ACC530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9</v>
      </c>
      <c r="AE1257">
        <v>0</v>
      </c>
      <c r="AF1257">
        <v>3</v>
      </c>
      <c r="AG1257">
        <v>1</v>
      </c>
      <c r="AH1257">
        <v>0</v>
      </c>
      <c r="AI1257" t="s">
        <v>521</v>
      </c>
      <c r="AJ1257">
        <v>34.207520000000002</v>
      </c>
      <c r="AK1257" t="s">
        <v>522</v>
      </c>
      <c r="AL1257">
        <v>-116.959183</v>
      </c>
      <c r="AM1257">
        <v>100</v>
      </c>
      <c r="AN1257">
        <v>9000</v>
      </c>
      <c r="AO1257" t="s">
        <v>118</v>
      </c>
      <c r="AP1257">
        <v>-107</v>
      </c>
      <c r="AQ1257">
        <v>-66</v>
      </c>
      <c r="AR1257">
        <v>-256</v>
      </c>
      <c r="AZ1257">
        <v>1200</v>
      </c>
      <c r="BA1257">
        <v>1</v>
      </c>
      <c r="BB1257" t="str">
        <f t="shared" si="677"/>
        <v xml:space="preserve">N9217B  </v>
      </c>
      <c r="BC1257">
        <v>1</v>
      </c>
      <c r="BE1257">
        <v>0</v>
      </c>
      <c r="BF1257">
        <v>0</v>
      </c>
      <c r="BG1257">
        <v>0</v>
      </c>
      <c r="BH1257">
        <v>9075</v>
      </c>
      <c r="BI1257">
        <v>1</v>
      </c>
      <c r="BJ1257">
        <v>0</v>
      </c>
      <c r="BK1257">
        <v>0</v>
      </c>
      <c r="BL1257">
        <v>0</v>
      </c>
      <c r="BO1257">
        <v>0</v>
      </c>
      <c r="BP1257">
        <v>0</v>
      </c>
      <c r="BW1257" t="str">
        <f t="shared" si="691"/>
        <v>14:52:09.859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293</v>
      </c>
      <c r="CR1257">
        <v>1</v>
      </c>
      <c r="CW1257">
        <v>15283911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25">
      <c r="A1258" t="str">
        <f t="shared" ref="A1258:A1264" si="692">"06/05/2020 14:52:05.195"</f>
        <v>06/05/2020 14:52:05.195</v>
      </c>
      <c r="C1258" t="str">
        <f t="shared" si="689"/>
        <v>FFDFD3C0</v>
      </c>
      <c r="D1258" t="s">
        <v>134</v>
      </c>
      <c r="E1258">
        <v>7</v>
      </c>
      <c r="F1258">
        <v>2007</v>
      </c>
      <c r="G1258" t="s">
        <v>135</v>
      </c>
      <c r="J1258" t="s">
        <v>136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ref="S1258:T1264" si="693">"14:52:10.859"</f>
        <v>14:52:10.859</v>
      </c>
      <c r="T1258" t="str">
        <f t="shared" si="693"/>
        <v>14:52:10.859</v>
      </c>
      <c r="U1258" t="str">
        <f t="shared" si="676"/>
        <v>ACC530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9</v>
      </c>
      <c r="AE1258">
        <v>0</v>
      </c>
      <c r="AF1258">
        <v>3</v>
      </c>
      <c r="AG1258">
        <v>1</v>
      </c>
      <c r="AH1258">
        <v>0</v>
      </c>
      <c r="AI1258" t="s">
        <v>523</v>
      </c>
      <c r="AJ1258">
        <v>34.20722</v>
      </c>
      <c r="AK1258" t="s">
        <v>524</v>
      </c>
      <c r="AL1258">
        <v>-116.959784</v>
      </c>
      <c r="AM1258">
        <v>100</v>
      </c>
      <c r="AN1258">
        <v>9000</v>
      </c>
      <c r="AO1258" t="s">
        <v>118</v>
      </c>
      <c r="AP1258">
        <v>-106</v>
      </c>
      <c r="AQ1258">
        <v>-66</v>
      </c>
      <c r="AR1258">
        <v>-256</v>
      </c>
      <c r="AZ1258">
        <v>1200</v>
      </c>
      <c r="BA1258">
        <v>1</v>
      </c>
      <c r="BB1258" t="str">
        <f t="shared" si="677"/>
        <v xml:space="preserve">N9217B  </v>
      </c>
      <c r="BC1258">
        <v>1</v>
      </c>
      <c r="BE1258">
        <v>0</v>
      </c>
      <c r="BF1258">
        <v>0</v>
      </c>
      <c r="BG1258">
        <v>0</v>
      </c>
      <c r="BH1258">
        <v>9075</v>
      </c>
      <c r="BI1258">
        <v>1</v>
      </c>
      <c r="BJ1258">
        <v>0</v>
      </c>
      <c r="BK1258">
        <v>0</v>
      </c>
      <c r="BL1258">
        <v>0</v>
      </c>
      <c r="BO1258">
        <v>0</v>
      </c>
      <c r="BP1258">
        <v>0</v>
      </c>
      <c r="BW1258" t="str">
        <f t="shared" ref="BW1258:BW1264" si="694">"14:52:10.864"</f>
        <v>14:52:10.864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6</v>
      </c>
      <c r="CP1258" t="s">
        <v>119</v>
      </c>
      <c r="CQ1258">
        <v>293</v>
      </c>
      <c r="CR1258">
        <v>1</v>
      </c>
      <c r="CW1258">
        <v>15284026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25">
      <c r="A1259" t="str">
        <f t="shared" si="692"/>
        <v>06/05/2020 14:52:05.195</v>
      </c>
      <c r="C1259" t="str">
        <f t="shared" si="689"/>
        <v>FFDFD3C0</v>
      </c>
      <c r="D1259" t="s">
        <v>113</v>
      </c>
      <c r="E1259">
        <v>3</v>
      </c>
      <c r="H1259">
        <v>166</v>
      </c>
      <c r="I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693"/>
        <v>14:52:10.859</v>
      </c>
      <c r="T1259" t="str">
        <f t="shared" si="693"/>
        <v>14:52:10.859</v>
      </c>
      <c r="U1259" t="str">
        <f t="shared" si="676"/>
        <v>ACC530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9</v>
      </c>
      <c r="AE1259">
        <v>0</v>
      </c>
      <c r="AF1259">
        <v>3</v>
      </c>
      <c r="AG1259">
        <v>1</v>
      </c>
      <c r="AH1259">
        <v>0</v>
      </c>
      <c r="AI1259" t="s">
        <v>523</v>
      </c>
      <c r="AJ1259">
        <v>34.20722</v>
      </c>
      <c r="AK1259" t="s">
        <v>524</v>
      </c>
      <c r="AL1259">
        <v>-116.959784</v>
      </c>
      <c r="AM1259">
        <v>100</v>
      </c>
      <c r="AN1259">
        <v>9000</v>
      </c>
      <c r="AO1259" t="s">
        <v>118</v>
      </c>
      <c r="AP1259">
        <v>-106</v>
      </c>
      <c r="AQ1259">
        <v>-66</v>
      </c>
      <c r="AR1259">
        <v>-256</v>
      </c>
      <c r="AZ1259">
        <v>1200</v>
      </c>
      <c r="BA1259">
        <v>1</v>
      </c>
      <c r="BB1259" t="str">
        <f t="shared" si="677"/>
        <v xml:space="preserve">N9217B  </v>
      </c>
      <c r="BC1259">
        <v>1</v>
      </c>
      <c r="BE1259">
        <v>0</v>
      </c>
      <c r="BF1259">
        <v>0</v>
      </c>
      <c r="BG1259">
        <v>0</v>
      </c>
      <c r="BH1259">
        <v>9075</v>
      </c>
      <c r="BI1259">
        <v>1</v>
      </c>
      <c r="BJ1259">
        <v>0</v>
      </c>
      <c r="BK1259">
        <v>0</v>
      </c>
      <c r="BL1259">
        <v>0</v>
      </c>
      <c r="BO1259">
        <v>0</v>
      </c>
      <c r="BP1259">
        <v>0</v>
      </c>
      <c r="BW1259" t="str">
        <f t="shared" si="694"/>
        <v>14:52:10.864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6</v>
      </c>
      <c r="CP1259" t="s">
        <v>119</v>
      </c>
      <c r="CQ1259">
        <v>293</v>
      </c>
      <c r="CR1259">
        <v>1</v>
      </c>
      <c r="CW1259">
        <v>15284026</v>
      </c>
      <c r="CY1259">
        <v>0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25">
      <c r="A1260" t="str">
        <f t="shared" si="692"/>
        <v>06/05/2020 14:52:05.195</v>
      </c>
      <c r="C1260" t="str">
        <f t="shared" si="689"/>
        <v>FFDFD3C0</v>
      </c>
      <c r="D1260" t="s">
        <v>141</v>
      </c>
      <c r="E1260">
        <v>20</v>
      </c>
      <c r="F1260">
        <v>1020</v>
      </c>
      <c r="G1260" t="s">
        <v>114</v>
      </c>
      <c r="J1260" t="s">
        <v>142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693"/>
        <v>14:52:10.859</v>
      </c>
      <c r="T1260" t="str">
        <f t="shared" si="693"/>
        <v>14:52:10.859</v>
      </c>
      <c r="U1260" t="str">
        <f t="shared" si="676"/>
        <v>ACC530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9</v>
      </c>
      <c r="AE1260">
        <v>0</v>
      </c>
      <c r="AF1260">
        <v>3</v>
      </c>
      <c r="AG1260">
        <v>1</v>
      </c>
      <c r="AH1260">
        <v>0</v>
      </c>
      <c r="AI1260" t="s">
        <v>523</v>
      </c>
      <c r="AJ1260">
        <v>34.20722</v>
      </c>
      <c r="AK1260" t="s">
        <v>524</v>
      </c>
      <c r="AL1260">
        <v>-116.959784</v>
      </c>
      <c r="AM1260">
        <v>100</v>
      </c>
      <c r="AN1260">
        <v>9000</v>
      </c>
      <c r="AO1260" t="s">
        <v>118</v>
      </c>
      <c r="AP1260">
        <v>-106</v>
      </c>
      <c r="AQ1260">
        <v>-66</v>
      </c>
      <c r="AR1260">
        <v>-256</v>
      </c>
      <c r="AZ1260">
        <v>1200</v>
      </c>
      <c r="BA1260">
        <v>1</v>
      </c>
      <c r="BB1260" t="str">
        <f t="shared" si="677"/>
        <v xml:space="preserve">N9217B  </v>
      </c>
      <c r="BC1260">
        <v>1</v>
      </c>
      <c r="BE1260">
        <v>0</v>
      </c>
      <c r="BF1260">
        <v>0</v>
      </c>
      <c r="BG1260">
        <v>0</v>
      </c>
      <c r="BH1260">
        <v>9075</v>
      </c>
      <c r="BI1260">
        <v>1</v>
      </c>
      <c r="BJ1260">
        <v>0</v>
      </c>
      <c r="BK1260">
        <v>0</v>
      </c>
      <c r="BL1260">
        <v>0</v>
      </c>
      <c r="BO1260">
        <v>0</v>
      </c>
      <c r="BP1260">
        <v>0</v>
      </c>
      <c r="BW1260" t="str">
        <f t="shared" si="694"/>
        <v>14:52:10.864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6</v>
      </c>
      <c r="CP1260" t="s">
        <v>119</v>
      </c>
      <c r="CQ1260">
        <v>293</v>
      </c>
      <c r="CR1260">
        <v>1</v>
      </c>
      <c r="CW1260">
        <v>15284026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25">
      <c r="A1261" t="str">
        <f t="shared" si="692"/>
        <v>06/05/2020 14:52:05.195</v>
      </c>
      <c r="C1261" t="str">
        <f t="shared" si="689"/>
        <v>FFDFD3C0</v>
      </c>
      <c r="D1261" t="s">
        <v>151</v>
      </c>
      <c r="E1261">
        <v>8</v>
      </c>
      <c r="H1261">
        <v>225</v>
      </c>
      <c r="I1261" t="s">
        <v>353</v>
      </c>
      <c r="J1261" t="s">
        <v>150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693"/>
        <v>14:52:10.859</v>
      </c>
      <c r="T1261" t="str">
        <f t="shared" si="693"/>
        <v>14:52:10.859</v>
      </c>
      <c r="U1261" t="str">
        <f t="shared" si="676"/>
        <v>ACC530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9</v>
      </c>
      <c r="AE1261">
        <v>0</v>
      </c>
      <c r="AF1261">
        <v>3</v>
      </c>
      <c r="AG1261">
        <v>1</v>
      </c>
      <c r="AH1261">
        <v>0</v>
      </c>
      <c r="AI1261" t="s">
        <v>523</v>
      </c>
      <c r="AJ1261">
        <v>34.20722</v>
      </c>
      <c r="AK1261" t="s">
        <v>524</v>
      </c>
      <c r="AL1261">
        <v>-116.959784</v>
      </c>
      <c r="AM1261">
        <v>100</v>
      </c>
      <c r="AN1261">
        <v>9000</v>
      </c>
      <c r="AO1261" t="s">
        <v>118</v>
      </c>
      <c r="AP1261">
        <v>-106</v>
      </c>
      <c r="AQ1261">
        <v>-66</v>
      </c>
      <c r="AR1261">
        <v>-256</v>
      </c>
      <c r="AZ1261">
        <v>1200</v>
      </c>
      <c r="BA1261">
        <v>1</v>
      </c>
      <c r="BB1261" t="str">
        <f t="shared" si="677"/>
        <v xml:space="preserve">N9217B  </v>
      </c>
      <c r="BC1261">
        <v>1</v>
      </c>
      <c r="BE1261">
        <v>0</v>
      </c>
      <c r="BF1261">
        <v>0</v>
      </c>
      <c r="BG1261">
        <v>0</v>
      </c>
      <c r="BH1261">
        <v>9075</v>
      </c>
      <c r="BI1261">
        <v>1</v>
      </c>
      <c r="BJ1261">
        <v>0</v>
      </c>
      <c r="BK1261">
        <v>0</v>
      </c>
      <c r="BL1261">
        <v>0</v>
      </c>
      <c r="BO1261">
        <v>0</v>
      </c>
      <c r="BP1261">
        <v>0</v>
      </c>
      <c r="BW1261" t="str">
        <f t="shared" si="694"/>
        <v>14:52:10.864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6</v>
      </c>
      <c r="CP1261" t="s">
        <v>119</v>
      </c>
      <c r="CQ1261">
        <v>285</v>
      </c>
      <c r="CR1261">
        <v>0</v>
      </c>
      <c r="CW1261">
        <v>8850742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25">
      <c r="A1262" t="str">
        <f t="shared" si="692"/>
        <v>06/05/2020 14:52:05.195</v>
      </c>
      <c r="C1262" t="str">
        <f t="shared" si="689"/>
        <v>FFDFD3C0</v>
      </c>
      <c r="D1262" t="s">
        <v>151</v>
      </c>
      <c r="E1262">
        <v>9</v>
      </c>
      <c r="H1262">
        <v>226</v>
      </c>
      <c r="I1262" t="s">
        <v>152</v>
      </c>
      <c r="J1262" t="s">
        <v>150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693"/>
        <v>14:52:10.859</v>
      </c>
      <c r="T1262" t="str">
        <f t="shared" si="693"/>
        <v>14:52:10.859</v>
      </c>
      <c r="U1262" t="str">
        <f t="shared" si="676"/>
        <v>ACC530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9</v>
      </c>
      <c r="AE1262">
        <v>0</v>
      </c>
      <c r="AF1262">
        <v>3</v>
      </c>
      <c r="AG1262">
        <v>1</v>
      </c>
      <c r="AH1262">
        <v>0</v>
      </c>
      <c r="AI1262" t="s">
        <v>523</v>
      </c>
      <c r="AJ1262">
        <v>34.20722</v>
      </c>
      <c r="AK1262" t="s">
        <v>524</v>
      </c>
      <c r="AL1262">
        <v>-116.959784</v>
      </c>
      <c r="AM1262">
        <v>100</v>
      </c>
      <c r="AN1262">
        <v>9000</v>
      </c>
      <c r="AO1262" t="s">
        <v>118</v>
      </c>
      <c r="AP1262">
        <v>-106</v>
      </c>
      <c r="AQ1262">
        <v>-66</v>
      </c>
      <c r="AR1262">
        <v>-256</v>
      </c>
      <c r="AZ1262">
        <v>1200</v>
      </c>
      <c r="BA1262">
        <v>1</v>
      </c>
      <c r="BB1262" t="str">
        <f t="shared" si="677"/>
        <v xml:space="preserve">N9217B  </v>
      </c>
      <c r="BC1262">
        <v>1</v>
      </c>
      <c r="BE1262">
        <v>0</v>
      </c>
      <c r="BF1262">
        <v>0</v>
      </c>
      <c r="BG1262">
        <v>0</v>
      </c>
      <c r="BH1262">
        <v>9075</v>
      </c>
      <c r="BI1262">
        <v>1</v>
      </c>
      <c r="BJ1262">
        <v>0</v>
      </c>
      <c r="BK1262">
        <v>0</v>
      </c>
      <c r="BL1262">
        <v>0</v>
      </c>
      <c r="BO1262">
        <v>0</v>
      </c>
      <c r="BP1262">
        <v>0</v>
      </c>
      <c r="BW1262" t="str">
        <f t="shared" si="694"/>
        <v>14:52:10.864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6</v>
      </c>
      <c r="CP1262" t="s">
        <v>119</v>
      </c>
      <c r="CQ1262">
        <v>293</v>
      </c>
      <c r="CR1262">
        <v>1</v>
      </c>
      <c r="CW1262">
        <v>15284026</v>
      </c>
      <c r="CY1262">
        <v>0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25">
      <c r="A1263" t="str">
        <f t="shared" si="692"/>
        <v>06/05/2020 14:52:05.195</v>
      </c>
      <c r="C1263" t="str">
        <f t="shared" si="689"/>
        <v>FFDFD3C0</v>
      </c>
      <c r="D1263" t="s">
        <v>148</v>
      </c>
      <c r="E1263">
        <v>8</v>
      </c>
      <c r="H1263">
        <v>50</v>
      </c>
      <c r="I1263" t="s">
        <v>149</v>
      </c>
      <c r="J1263" t="s">
        <v>150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693"/>
        <v>14:52:10.859</v>
      </c>
      <c r="T1263" t="str">
        <f t="shared" si="693"/>
        <v>14:52:10.859</v>
      </c>
      <c r="U1263" t="str">
        <f t="shared" si="676"/>
        <v>ACC530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9</v>
      </c>
      <c r="AE1263">
        <v>0</v>
      </c>
      <c r="AF1263">
        <v>3</v>
      </c>
      <c r="AG1263">
        <v>1</v>
      </c>
      <c r="AH1263">
        <v>0</v>
      </c>
      <c r="AI1263" t="s">
        <v>523</v>
      </c>
      <c r="AJ1263">
        <v>34.20722</v>
      </c>
      <c r="AK1263" t="s">
        <v>524</v>
      </c>
      <c r="AL1263">
        <v>-116.959784</v>
      </c>
      <c r="AM1263">
        <v>100</v>
      </c>
      <c r="AN1263">
        <v>9000</v>
      </c>
      <c r="AO1263" t="s">
        <v>118</v>
      </c>
      <c r="AP1263">
        <v>-106</v>
      </c>
      <c r="AQ1263">
        <v>-66</v>
      </c>
      <c r="AR1263">
        <v>-256</v>
      </c>
      <c r="AZ1263">
        <v>1200</v>
      </c>
      <c r="BA1263">
        <v>1</v>
      </c>
      <c r="BB1263" t="str">
        <f t="shared" si="677"/>
        <v xml:space="preserve">N9217B  </v>
      </c>
      <c r="BC1263">
        <v>1</v>
      </c>
      <c r="BE1263">
        <v>0</v>
      </c>
      <c r="BF1263">
        <v>0</v>
      </c>
      <c r="BG1263">
        <v>0</v>
      </c>
      <c r="BH1263">
        <v>9075</v>
      </c>
      <c r="BI1263">
        <v>1</v>
      </c>
      <c r="BJ1263">
        <v>0</v>
      </c>
      <c r="BK1263">
        <v>0</v>
      </c>
      <c r="BL1263">
        <v>0</v>
      </c>
      <c r="BO1263">
        <v>0</v>
      </c>
      <c r="BP1263">
        <v>0</v>
      </c>
      <c r="BW1263" t="str">
        <f t="shared" si="694"/>
        <v>14:52:10.864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293</v>
      </c>
      <c r="CR1263">
        <v>1</v>
      </c>
      <c r="CW1263">
        <v>15284026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25">
      <c r="A1264" t="str">
        <f t="shared" si="692"/>
        <v>06/05/2020 14:52:05.195</v>
      </c>
      <c r="C1264" t="str">
        <f t="shared" si="689"/>
        <v>FFDFD3C0</v>
      </c>
      <c r="D1264" t="s">
        <v>148</v>
      </c>
      <c r="E1264">
        <v>11</v>
      </c>
      <c r="H1264">
        <v>53</v>
      </c>
      <c r="I1264" t="s">
        <v>364</v>
      </c>
      <c r="J1264" t="s">
        <v>150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693"/>
        <v>14:52:10.859</v>
      </c>
      <c r="T1264" t="str">
        <f t="shared" si="693"/>
        <v>14:52:10.859</v>
      </c>
      <c r="U1264" t="str">
        <f t="shared" si="676"/>
        <v>ACC530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9</v>
      </c>
      <c r="AE1264">
        <v>0</v>
      </c>
      <c r="AF1264">
        <v>3</v>
      </c>
      <c r="AG1264">
        <v>1</v>
      </c>
      <c r="AH1264">
        <v>0</v>
      </c>
      <c r="AI1264" t="s">
        <v>523</v>
      </c>
      <c r="AJ1264">
        <v>34.20722</v>
      </c>
      <c r="AK1264" t="s">
        <v>524</v>
      </c>
      <c r="AL1264">
        <v>-116.959784</v>
      </c>
      <c r="AM1264">
        <v>100</v>
      </c>
      <c r="AN1264">
        <v>9000</v>
      </c>
      <c r="AO1264" t="s">
        <v>118</v>
      </c>
      <c r="AP1264">
        <v>-106</v>
      </c>
      <c r="AQ1264">
        <v>-66</v>
      </c>
      <c r="AR1264">
        <v>-256</v>
      </c>
      <c r="AZ1264">
        <v>1200</v>
      </c>
      <c r="BA1264">
        <v>1</v>
      </c>
      <c r="BB1264" t="str">
        <f t="shared" si="677"/>
        <v xml:space="preserve">N9217B  </v>
      </c>
      <c r="BC1264">
        <v>1</v>
      </c>
      <c r="BE1264">
        <v>0</v>
      </c>
      <c r="BF1264">
        <v>0</v>
      </c>
      <c r="BG1264">
        <v>0</v>
      </c>
      <c r="BH1264">
        <v>9075</v>
      </c>
      <c r="BI1264">
        <v>1</v>
      </c>
      <c r="BJ1264">
        <v>0</v>
      </c>
      <c r="BK1264">
        <v>0</v>
      </c>
      <c r="BL1264">
        <v>0</v>
      </c>
      <c r="BO1264">
        <v>0</v>
      </c>
      <c r="BP1264">
        <v>0</v>
      </c>
      <c r="BW1264" t="str">
        <f t="shared" si="694"/>
        <v>14:52:10.864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6</v>
      </c>
      <c r="CP1264" t="s">
        <v>119</v>
      </c>
      <c r="CQ1264">
        <v>293</v>
      </c>
      <c r="CR1264">
        <v>1</v>
      </c>
      <c r="CW1264">
        <v>15284026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25">
      <c r="A1265" t="str">
        <f t="shared" ref="A1265:A1271" si="695">"06/05/2020 14:52:06.228"</f>
        <v>06/05/2020 14:52:06.228</v>
      </c>
      <c r="C1265" t="str">
        <f t="shared" si="689"/>
        <v>FFDFD3C0</v>
      </c>
      <c r="D1265" t="s">
        <v>148</v>
      </c>
      <c r="E1265">
        <v>11</v>
      </c>
      <c r="H1265">
        <v>53</v>
      </c>
      <c r="I1265" t="s">
        <v>364</v>
      </c>
      <c r="J1265" t="s">
        <v>150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ref="S1265:T1271" si="696">"14:52:11.898"</f>
        <v>14:52:11.898</v>
      </c>
      <c r="T1265" t="str">
        <f t="shared" si="696"/>
        <v>14:52:11.898</v>
      </c>
      <c r="U1265" t="str">
        <f t="shared" si="676"/>
        <v>ACC530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9</v>
      </c>
      <c r="AE1265">
        <v>0</v>
      </c>
      <c r="AF1265">
        <v>3</v>
      </c>
      <c r="AG1265">
        <v>1</v>
      </c>
      <c r="AH1265">
        <v>0</v>
      </c>
      <c r="AI1265" t="s">
        <v>525</v>
      </c>
      <c r="AJ1265">
        <v>34.206919999999997</v>
      </c>
      <c r="AK1265" t="s">
        <v>526</v>
      </c>
      <c r="AL1265">
        <v>-116.960385</v>
      </c>
      <c r="AM1265">
        <v>100</v>
      </c>
      <c r="AN1265">
        <v>9000</v>
      </c>
      <c r="AO1265" t="s">
        <v>118</v>
      </c>
      <c r="AP1265">
        <v>-107</v>
      </c>
      <c r="AQ1265">
        <v>-66</v>
      </c>
      <c r="AR1265">
        <v>-192</v>
      </c>
      <c r="AZ1265">
        <v>1200</v>
      </c>
      <c r="BA1265">
        <v>1</v>
      </c>
      <c r="BB1265" t="str">
        <f t="shared" si="677"/>
        <v xml:space="preserve">N9217B  </v>
      </c>
      <c r="BC1265">
        <v>1</v>
      </c>
      <c r="BE1265">
        <v>0</v>
      </c>
      <c r="BF1265">
        <v>0</v>
      </c>
      <c r="BG1265">
        <v>0</v>
      </c>
      <c r="BH1265">
        <v>9050</v>
      </c>
      <c r="BI1265">
        <v>1</v>
      </c>
      <c r="BJ1265">
        <v>0</v>
      </c>
      <c r="BK1265">
        <v>0</v>
      </c>
      <c r="BL1265">
        <v>0</v>
      </c>
      <c r="BO1265">
        <v>0</v>
      </c>
      <c r="BP1265">
        <v>0</v>
      </c>
      <c r="BW1265" t="str">
        <f t="shared" ref="BW1265:BW1271" si="697">"14:52:11.899"</f>
        <v>14:52:11.899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285</v>
      </c>
      <c r="CR1265">
        <v>0</v>
      </c>
      <c r="CW1265">
        <v>8850833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25">
      <c r="A1266" t="str">
        <f t="shared" si="695"/>
        <v>06/05/2020 14:52:06.228</v>
      </c>
      <c r="C1266" t="str">
        <f t="shared" si="689"/>
        <v>FFDFD3C0</v>
      </c>
      <c r="D1266" t="s">
        <v>134</v>
      </c>
      <c r="E1266">
        <v>7</v>
      </c>
      <c r="F1266">
        <v>2007</v>
      </c>
      <c r="G1266" t="s">
        <v>135</v>
      </c>
      <c r="J1266" t="s">
        <v>136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696"/>
        <v>14:52:11.898</v>
      </c>
      <c r="T1266" t="str">
        <f t="shared" si="696"/>
        <v>14:52:11.898</v>
      </c>
      <c r="U1266" t="str">
        <f t="shared" si="676"/>
        <v>ACC530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9</v>
      </c>
      <c r="AE1266">
        <v>0</v>
      </c>
      <c r="AF1266">
        <v>3</v>
      </c>
      <c r="AG1266">
        <v>1</v>
      </c>
      <c r="AH1266">
        <v>0</v>
      </c>
      <c r="AI1266" t="s">
        <v>525</v>
      </c>
      <c r="AJ1266">
        <v>34.206919999999997</v>
      </c>
      <c r="AK1266" t="s">
        <v>526</v>
      </c>
      <c r="AL1266">
        <v>-116.960385</v>
      </c>
      <c r="AM1266">
        <v>100</v>
      </c>
      <c r="AN1266">
        <v>9000</v>
      </c>
      <c r="AO1266" t="s">
        <v>118</v>
      </c>
      <c r="AP1266">
        <v>-107</v>
      </c>
      <c r="AQ1266">
        <v>-66</v>
      </c>
      <c r="AR1266">
        <v>-192</v>
      </c>
      <c r="AZ1266">
        <v>1200</v>
      </c>
      <c r="BA1266">
        <v>1</v>
      </c>
      <c r="BB1266" t="str">
        <f t="shared" si="677"/>
        <v xml:space="preserve">N9217B  </v>
      </c>
      <c r="BC1266">
        <v>1</v>
      </c>
      <c r="BE1266">
        <v>0</v>
      </c>
      <c r="BF1266">
        <v>0</v>
      </c>
      <c r="BG1266">
        <v>0</v>
      </c>
      <c r="BH1266">
        <v>9050</v>
      </c>
      <c r="BI1266">
        <v>1</v>
      </c>
      <c r="BJ1266">
        <v>0</v>
      </c>
      <c r="BK1266">
        <v>0</v>
      </c>
      <c r="BL1266">
        <v>0</v>
      </c>
      <c r="BO1266">
        <v>0</v>
      </c>
      <c r="BP1266">
        <v>0</v>
      </c>
      <c r="BW1266" t="str">
        <f t="shared" si="697"/>
        <v>14:52:11.899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119</v>
      </c>
      <c r="CQ1266">
        <v>285</v>
      </c>
      <c r="CR1266">
        <v>0</v>
      </c>
      <c r="CW1266">
        <v>8850833</v>
      </c>
      <c r="CY1266">
        <v>0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25">
      <c r="A1267" t="str">
        <f t="shared" si="695"/>
        <v>06/05/2020 14:52:06.228</v>
      </c>
      <c r="C1267" t="str">
        <f t="shared" si="689"/>
        <v>FFDFD3C0</v>
      </c>
      <c r="D1267" t="s">
        <v>113</v>
      </c>
      <c r="E1267">
        <v>3</v>
      </c>
      <c r="H1267">
        <v>166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696"/>
        <v>14:52:11.898</v>
      </c>
      <c r="T1267" t="str">
        <f t="shared" si="696"/>
        <v>14:52:11.898</v>
      </c>
      <c r="U1267" t="str">
        <f t="shared" si="676"/>
        <v>ACC530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9</v>
      </c>
      <c r="AE1267">
        <v>0</v>
      </c>
      <c r="AF1267">
        <v>3</v>
      </c>
      <c r="AG1267">
        <v>1</v>
      </c>
      <c r="AH1267">
        <v>0</v>
      </c>
      <c r="AI1267" t="s">
        <v>525</v>
      </c>
      <c r="AJ1267">
        <v>34.206919999999997</v>
      </c>
      <c r="AK1267" t="s">
        <v>526</v>
      </c>
      <c r="AL1267">
        <v>-116.960385</v>
      </c>
      <c r="AM1267">
        <v>100</v>
      </c>
      <c r="AN1267">
        <v>9000</v>
      </c>
      <c r="AO1267" t="s">
        <v>118</v>
      </c>
      <c r="AP1267">
        <v>-107</v>
      </c>
      <c r="AQ1267">
        <v>-66</v>
      </c>
      <c r="AR1267">
        <v>-192</v>
      </c>
      <c r="AZ1267">
        <v>1200</v>
      </c>
      <c r="BA1267">
        <v>1</v>
      </c>
      <c r="BB1267" t="str">
        <f t="shared" si="677"/>
        <v xml:space="preserve">N9217B  </v>
      </c>
      <c r="BC1267">
        <v>1</v>
      </c>
      <c r="BE1267">
        <v>0</v>
      </c>
      <c r="BF1267">
        <v>0</v>
      </c>
      <c r="BG1267">
        <v>0</v>
      </c>
      <c r="BH1267">
        <v>9050</v>
      </c>
      <c r="BI1267">
        <v>1</v>
      </c>
      <c r="BJ1267">
        <v>0</v>
      </c>
      <c r="BK1267">
        <v>0</v>
      </c>
      <c r="BL1267">
        <v>0</v>
      </c>
      <c r="BO1267">
        <v>0</v>
      </c>
      <c r="BP1267">
        <v>0</v>
      </c>
      <c r="BW1267" t="str">
        <f t="shared" si="697"/>
        <v>14:52:11.899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285</v>
      </c>
      <c r="CR1267">
        <v>0</v>
      </c>
      <c r="CW1267">
        <v>8850833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25">
      <c r="A1268" t="str">
        <f t="shared" si="695"/>
        <v>06/05/2020 14:52:06.228</v>
      </c>
      <c r="C1268" t="str">
        <f t="shared" si="689"/>
        <v>FFDFD3C0</v>
      </c>
      <c r="D1268" t="s">
        <v>141</v>
      </c>
      <c r="E1268">
        <v>20</v>
      </c>
      <c r="F1268">
        <v>1020</v>
      </c>
      <c r="G1268" t="s">
        <v>114</v>
      </c>
      <c r="J1268" t="s">
        <v>142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696"/>
        <v>14:52:11.898</v>
      </c>
      <c r="T1268" t="str">
        <f t="shared" si="696"/>
        <v>14:52:11.898</v>
      </c>
      <c r="U1268" t="str">
        <f t="shared" si="676"/>
        <v>ACC530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9</v>
      </c>
      <c r="AE1268">
        <v>0</v>
      </c>
      <c r="AF1268">
        <v>3</v>
      </c>
      <c r="AG1268">
        <v>1</v>
      </c>
      <c r="AH1268">
        <v>0</v>
      </c>
      <c r="AI1268" t="s">
        <v>525</v>
      </c>
      <c r="AJ1268">
        <v>34.206919999999997</v>
      </c>
      <c r="AK1268" t="s">
        <v>526</v>
      </c>
      <c r="AL1268">
        <v>-116.960385</v>
      </c>
      <c r="AM1268">
        <v>100</v>
      </c>
      <c r="AN1268">
        <v>9000</v>
      </c>
      <c r="AO1268" t="s">
        <v>118</v>
      </c>
      <c r="AP1268">
        <v>-107</v>
      </c>
      <c r="AQ1268">
        <v>-66</v>
      </c>
      <c r="AR1268">
        <v>-192</v>
      </c>
      <c r="AZ1268">
        <v>1200</v>
      </c>
      <c r="BA1268">
        <v>1</v>
      </c>
      <c r="BB1268" t="str">
        <f t="shared" si="677"/>
        <v xml:space="preserve">N9217B  </v>
      </c>
      <c r="BC1268">
        <v>1</v>
      </c>
      <c r="BE1268">
        <v>0</v>
      </c>
      <c r="BF1268">
        <v>0</v>
      </c>
      <c r="BG1268">
        <v>0</v>
      </c>
      <c r="BH1268">
        <v>9050</v>
      </c>
      <c r="BI1268">
        <v>1</v>
      </c>
      <c r="BJ1268">
        <v>0</v>
      </c>
      <c r="BK1268">
        <v>0</v>
      </c>
      <c r="BL1268">
        <v>0</v>
      </c>
      <c r="BO1268">
        <v>0</v>
      </c>
      <c r="BP1268">
        <v>0</v>
      </c>
      <c r="BW1268" t="str">
        <f t="shared" si="697"/>
        <v>14:52:11.899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285</v>
      </c>
      <c r="CR1268">
        <v>0</v>
      </c>
      <c r="CW1268">
        <v>8850833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25">
      <c r="A1269" t="str">
        <f t="shared" si="695"/>
        <v>06/05/2020 14:52:06.228</v>
      </c>
      <c r="C1269" t="str">
        <f t="shared" si="689"/>
        <v>FFDFD3C0</v>
      </c>
      <c r="D1269" t="s">
        <v>151</v>
      </c>
      <c r="E1269">
        <v>8</v>
      </c>
      <c r="H1269">
        <v>225</v>
      </c>
      <c r="I1269" t="s">
        <v>353</v>
      </c>
      <c r="J1269" t="s">
        <v>150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696"/>
        <v>14:52:11.898</v>
      </c>
      <c r="T1269" t="str">
        <f t="shared" si="696"/>
        <v>14:52:11.898</v>
      </c>
      <c r="U1269" t="str">
        <f t="shared" si="676"/>
        <v>ACC530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9</v>
      </c>
      <c r="AE1269">
        <v>0</v>
      </c>
      <c r="AF1269">
        <v>3</v>
      </c>
      <c r="AG1269">
        <v>1</v>
      </c>
      <c r="AH1269">
        <v>0</v>
      </c>
      <c r="AI1269" t="s">
        <v>525</v>
      </c>
      <c r="AJ1269">
        <v>34.206919999999997</v>
      </c>
      <c r="AK1269" t="s">
        <v>526</v>
      </c>
      <c r="AL1269">
        <v>-116.960385</v>
      </c>
      <c r="AM1269">
        <v>100</v>
      </c>
      <c r="AN1269">
        <v>9000</v>
      </c>
      <c r="AO1269" t="s">
        <v>118</v>
      </c>
      <c r="AP1269">
        <v>-107</v>
      </c>
      <c r="AQ1269">
        <v>-66</v>
      </c>
      <c r="AR1269">
        <v>-192</v>
      </c>
      <c r="AZ1269">
        <v>1200</v>
      </c>
      <c r="BA1269">
        <v>1</v>
      </c>
      <c r="BB1269" t="str">
        <f t="shared" si="677"/>
        <v xml:space="preserve">N9217B  </v>
      </c>
      <c r="BC1269">
        <v>1</v>
      </c>
      <c r="BE1269">
        <v>0</v>
      </c>
      <c r="BF1269">
        <v>0</v>
      </c>
      <c r="BG1269">
        <v>0</v>
      </c>
      <c r="BH1269">
        <v>9050</v>
      </c>
      <c r="BI1269">
        <v>1</v>
      </c>
      <c r="BJ1269">
        <v>0</v>
      </c>
      <c r="BK1269">
        <v>0</v>
      </c>
      <c r="BL1269">
        <v>0</v>
      </c>
      <c r="BO1269">
        <v>0</v>
      </c>
      <c r="BP1269">
        <v>0</v>
      </c>
      <c r="BW1269" t="str">
        <f t="shared" si="697"/>
        <v>14:52:11.899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285</v>
      </c>
      <c r="CR1269">
        <v>0</v>
      </c>
      <c r="CW1269">
        <v>8850833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25">
      <c r="A1270" t="str">
        <f t="shared" si="695"/>
        <v>06/05/2020 14:52:06.228</v>
      </c>
      <c r="C1270" t="str">
        <f t="shared" si="689"/>
        <v>FFDFD3C0</v>
      </c>
      <c r="D1270" t="s">
        <v>148</v>
      </c>
      <c r="E1270">
        <v>8</v>
      </c>
      <c r="H1270">
        <v>50</v>
      </c>
      <c r="I1270" t="s">
        <v>149</v>
      </c>
      <c r="J1270" t="s">
        <v>150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696"/>
        <v>14:52:11.898</v>
      </c>
      <c r="T1270" t="str">
        <f t="shared" si="696"/>
        <v>14:52:11.898</v>
      </c>
      <c r="U1270" t="str">
        <f t="shared" si="676"/>
        <v>ACC530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9</v>
      </c>
      <c r="AE1270">
        <v>0</v>
      </c>
      <c r="AF1270">
        <v>3</v>
      </c>
      <c r="AG1270">
        <v>1</v>
      </c>
      <c r="AH1270">
        <v>0</v>
      </c>
      <c r="AI1270" t="s">
        <v>525</v>
      </c>
      <c r="AJ1270">
        <v>34.206919999999997</v>
      </c>
      <c r="AK1270" t="s">
        <v>526</v>
      </c>
      <c r="AL1270">
        <v>-116.960385</v>
      </c>
      <c r="AM1270">
        <v>100</v>
      </c>
      <c r="AN1270">
        <v>9000</v>
      </c>
      <c r="AO1270" t="s">
        <v>118</v>
      </c>
      <c r="AP1270">
        <v>-107</v>
      </c>
      <c r="AQ1270">
        <v>-66</v>
      </c>
      <c r="AR1270">
        <v>-192</v>
      </c>
      <c r="AZ1270">
        <v>1200</v>
      </c>
      <c r="BA1270">
        <v>1</v>
      </c>
      <c r="BB1270" t="str">
        <f t="shared" si="677"/>
        <v xml:space="preserve">N9217B  </v>
      </c>
      <c r="BC1270">
        <v>1</v>
      </c>
      <c r="BE1270">
        <v>0</v>
      </c>
      <c r="BF1270">
        <v>0</v>
      </c>
      <c r="BG1270">
        <v>0</v>
      </c>
      <c r="BH1270">
        <v>9050</v>
      </c>
      <c r="BI1270">
        <v>1</v>
      </c>
      <c r="BJ1270">
        <v>0</v>
      </c>
      <c r="BK1270">
        <v>0</v>
      </c>
      <c r="BL1270">
        <v>0</v>
      </c>
      <c r="BO1270">
        <v>0</v>
      </c>
      <c r="BP1270">
        <v>0</v>
      </c>
      <c r="BW1270" t="str">
        <f t="shared" si="697"/>
        <v>14:52:11.899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285</v>
      </c>
      <c r="CR1270">
        <v>0</v>
      </c>
      <c r="CW1270">
        <v>8850833</v>
      </c>
      <c r="CY1270">
        <v>0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25">
      <c r="A1271" t="str">
        <f t="shared" si="695"/>
        <v>06/05/2020 14:52:06.228</v>
      </c>
      <c r="C1271" t="str">
        <f t="shared" si="689"/>
        <v>FFDFD3C0</v>
      </c>
      <c r="D1271" t="s">
        <v>151</v>
      </c>
      <c r="E1271">
        <v>9</v>
      </c>
      <c r="H1271">
        <v>226</v>
      </c>
      <c r="I1271" t="s">
        <v>152</v>
      </c>
      <c r="J1271" t="s">
        <v>150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696"/>
        <v>14:52:11.898</v>
      </c>
      <c r="T1271" t="str">
        <f t="shared" si="696"/>
        <v>14:52:11.898</v>
      </c>
      <c r="U1271" t="str">
        <f t="shared" si="676"/>
        <v>ACC530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9</v>
      </c>
      <c r="AE1271">
        <v>0</v>
      </c>
      <c r="AF1271">
        <v>3</v>
      </c>
      <c r="AG1271">
        <v>1</v>
      </c>
      <c r="AH1271">
        <v>0</v>
      </c>
      <c r="AI1271" t="s">
        <v>525</v>
      </c>
      <c r="AJ1271">
        <v>34.206919999999997</v>
      </c>
      <c r="AK1271" t="s">
        <v>526</v>
      </c>
      <c r="AL1271">
        <v>-116.960385</v>
      </c>
      <c r="AM1271">
        <v>100</v>
      </c>
      <c r="AN1271">
        <v>9000</v>
      </c>
      <c r="AO1271" t="s">
        <v>118</v>
      </c>
      <c r="AP1271">
        <v>-107</v>
      </c>
      <c r="AQ1271">
        <v>-66</v>
      </c>
      <c r="AR1271">
        <v>-192</v>
      </c>
      <c r="AZ1271">
        <v>1200</v>
      </c>
      <c r="BA1271">
        <v>1</v>
      </c>
      <c r="BB1271" t="str">
        <f t="shared" si="677"/>
        <v xml:space="preserve">N9217B  </v>
      </c>
      <c r="BC1271">
        <v>1</v>
      </c>
      <c r="BE1271">
        <v>0</v>
      </c>
      <c r="BF1271">
        <v>0</v>
      </c>
      <c r="BG1271">
        <v>0</v>
      </c>
      <c r="BH1271">
        <v>9050</v>
      </c>
      <c r="BI1271">
        <v>1</v>
      </c>
      <c r="BJ1271">
        <v>0</v>
      </c>
      <c r="BK1271">
        <v>0</v>
      </c>
      <c r="BL1271">
        <v>0</v>
      </c>
      <c r="BO1271">
        <v>0</v>
      </c>
      <c r="BP1271">
        <v>0</v>
      </c>
      <c r="BW1271" t="str">
        <f t="shared" si="697"/>
        <v>14:52:11.899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6</v>
      </c>
      <c r="CP1271" t="s">
        <v>119</v>
      </c>
      <c r="CQ1271">
        <v>285</v>
      </c>
      <c r="CR1271">
        <v>0</v>
      </c>
      <c r="CW1271">
        <v>8850833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25">
      <c r="A1272" t="str">
        <f>"06/05/2020 14:52:07.187"</f>
        <v>06/05/2020 14:52:07.187</v>
      </c>
      <c r="C1272" t="str">
        <f t="shared" si="689"/>
        <v>FFDFD3C0</v>
      </c>
      <c r="D1272" t="s">
        <v>148</v>
      </c>
      <c r="E1272">
        <v>8</v>
      </c>
      <c r="H1272">
        <v>50</v>
      </c>
      <c r="I1272" t="s">
        <v>149</v>
      </c>
      <c r="J1272" t="s">
        <v>150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"14:52:12.813"</f>
        <v>14:52:12.813</v>
      </c>
      <c r="T1272" t="str">
        <f>"14:52:12.413"</f>
        <v>14:52:12.413</v>
      </c>
      <c r="U1272" t="str">
        <f t="shared" si="676"/>
        <v>ACC530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9</v>
      </c>
      <c r="AE1272">
        <v>0</v>
      </c>
      <c r="AF1272">
        <v>3</v>
      </c>
      <c r="AG1272">
        <v>1</v>
      </c>
      <c r="AH1272">
        <v>0</v>
      </c>
      <c r="AI1272" t="s">
        <v>527</v>
      </c>
      <c r="AJ1272">
        <v>34.206619000000003</v>
      </c>
      <c r="AK1272" t="s">
        <v>528</v>
      </c>
      <c r="AL1272">
        <v>-116.960964</v>
      </c>
      <c r="AM1272">
        <v>100</v>
      </c>
      <c r="AN1272">
        <v>9000</v>
      </c>
      <c r="AO1272" t="s">
        <v>118</v>
      </c>
      <c r="AP1272">
        <v>-107</v>
      </c>
      <c r="AQ1272">
        <v>-65</v>
      </c>
      <c r="AR1272">
        <v>-64</v>
      </c>
      <c r="AZ1272">
        <v>1200</v>
      </c>
      <c r="BA1272">
        <v>1</v>
      </c>
      <c r="BB1272" t="str">
        <f t="shared" si="677"/>
        <v xml:space="preserve">N9217B  </v>
      </c>
      <c r="BC1272">
        <v>1</v>
      </c>
      <c r="BE1272">
        <v>0</v>
      </c>
      <c r="BF1272">
        <v>0</v>
      </c>
      <c r="BG1272">
        <v>0</v>
      </c>
      <c r="BH1272">
        <v>9050</v>
      </c>
      <c r="BI1272">
        <v>1</v>
      </c>
      <c r="BJ1272">
        <v>0</v>
      </c>
      <c r="BK1272">
        <v>0</v>
      </c>
      <c r="BL1272">
        <v>0</v>
      </c>
      <c r="BO1272">
        <v>0</v>
      </c>
      <c r="BP1272">
        <v>0</v>
      </c>
      <c r="BW1272" t="str">
        <f>"14:52:12.814"</f>
        <v>14:52:12.814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5</v>
      </c>
      <c r="CP1272" t="s">
        <v>119</v>
      </c>
      <c r="CQ1272">
        <v>295</v>
      </c>
      <c r="CR1272">
        <v>1</v>
      </c>
      <c r="CW1272">
        <v>12433671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25">
      <c r="A1273" t="str">
        <f>"06/05/2020 14:52:07.187"</f>
        <v>06/05/2020 14:52:07.187</v>
      </c>
      <c r="C1273" t="str">
        <f t="shared" si="689"/>
        <v>FFDFD3C0</v>
      </c>
      <c r="D1273" t="s">
        <v>134</v>
      </c>
      <c r="E1273">
        <v>7</v>
      </c>
      <c r="F1273">
        <v>2007</v>
      </c>
      <c r="G1273" t="s">
        <v>135</v>
      </c>
      <c r="J1273" t="s">
        <v>136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"14:52:12.813"</f>
        <v>14:52:12.813</v>
      </c>
      <c r="T1273" t="str">
        <f>"14:52:12.413"</f>
        <v>14:52:12.413</v>
      </c>
      <c r="U1273" t="str">
        <f t="shared" si="676"/>
        <v>ACC530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9</v>
      </c>
      <c r="AE1273">
        <v>0</v>
      </c>
      <c r="AF1273">
        <v>3</v>
      </c>
      <c r="AG1273">
        <v>1</v>
      </c>
      <c r="AH1273">
        <v>0</v>
      </c>
      <c r="AI1273" t="s">
        <v>527</v>
      </c>
      <c r="AJ1273">
        <v>34.206619000000003</v>
      </c>
      <c r="AK1273" t="s">
        <v>528</v>
      </c>
      <c r="AL1273">
        <v>-116.960964</v>
      </c>
      <c r="AM1273">
        <v>100</v>
      </c>
      <c r="AN1273">
        <v>9000</v>
      </c>
      <c r="AO1273" t="s">
        <v>118</v>
      </c>
      <c r="AP1273">
        <v>-107</v>
      </c>
      <c r="AQ1273">
        <v>-65</v>
      </c>
      <c r="AR1273">
        <v>-64</v>
      </c>
      <c r="AZ1273">
        <v>1200</v>
      </c>
      <c r="BA1273">
        <v>1</v>
      </c>
      <c r="BB1273" t="str">
        <f t="shared" si="677"/>
        <v xml:space="preserve">N9217B  </v>
      </c>
      <c r="BC1273">
        <v>1</v>
      </c>
      <c r="BE1273">
        <v>0</v>
      </c>
      <c r="BF1273">
        <v>0</v>
      </c>
      <c r="BG1273">
        <v>0</v>
      </c>
      <c r="BH1273">
        <v>9050</v>
      </c>
      <c r="BI1273">
        <v>1</v>
      </c>
      <c r="BJ1273">
        <v>0</v>
      </c>
      <c r="BK1273">
        <v>0</v>
      </c>
      <c r="BL1273">
        <v>0</v>
      </c>
      <c r="BO1273">
        <v>0</v>
      </c>
      <c r="BP1273">
        <v>0</v>
      </c>
      <c r="BW1273" t="str">
        <f>"14:52:12.814"</f>
        <v>14:52:12.814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5</v>
      </c>
      <c r="CP1273" t="s">
        <v>119</v>
      </c>
      <c r="CQ1273">
        <v>295</v>
      </c>
      <c r="CR1273">
        <v>1</v>
      </c>
      <c r="CW1273">
        <v>12433671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25">
      <c r="A1274" t="str">
        <f>"06/05/2020 14:52:07.187"</f>
        <v>06/05/2020 14:52:07.187</v>
      </c>
      <c r="C1274" t="str">
        <f t="shared" si="689"/>
        <v>FFDFD3C0</v>
      </c>
      <c r="D1274" t="s">
        <v>141</v>
      </c>
      <c r="E1274">
        <v>20</v>
      </c>
      <c r="F1274">
        <v>1020</v>
      </c>
      <c r="G1274" t="s">
        <v>114</v>
      </c>
      <c r="J1274" t="s">
        <v>142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"14:52:12.813"</f>
        <v>14:52:12.813</v>
      </c>
      <c r="T1274" t="str">
        <f>"14:52:12.413"</f>
        <v>14:52:12.413</v>
      </c>
      <c r="U1274" t="str">
        <f t="shared" si="676"/>
        <v>ACC530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9</v>
      </c>
      <c r="AE1274">
        <v>0</v>
      </c>
      <c r="AF1274">
        <v>3</v>
      </c>
      <c r="AG1274">
        <v>1</v>
      </c>
      <c r="AH1274">
        <v>0</v>
      </c>
      <c r="AI1274" t="s">
        <v>527</v>
      </c>
      <c r="AJ1274">
        <v>34.206619000000003</v>
      </c>
      <c r="AK1274" t="s">
        <v>528</v>
      </c>
      <c r="AL1274">
        <v>-116.960964</v>
      </c>
      <c r="AM1274">
        <v>100</v>
      </c>
      <c r="AN1274">
        <v>9000</v>
      </c>
      <c r="AO1274" t="s">
        <v>118</v>
      </c>
      <c r="AP1274">
        <v>-107</v>
      </c>
      <c r="AQ1274">
        <v>-65</v>
      </c>
      <c r="AR1274">
        <v>-64</v>
      </c>
      <c r="AZ1274">
        <v>1200</v>
      </c>
      <c r="BA1274">
        <v>1</v>
      </c>
      <c r="BB1274" t="str">
        <f t="shared" si="677"/>
        <v xml:space="preserve">N9217B  </v>
      </c>
      <c r="BC1274">
        <v>1</v>
      </c>
      <c r="BE1274">
        <v>0</v>
      </c>
      <c r="BF1274">
        <v>0</v>
      </c>
      <c r="BG1274">
        <v>0</v>
      </c>
      <c r="BH1274">
        <v>9050</v>
      </c>
      <c r="BI1274">
        <v>1</v>
      </c>
      <c r="BJ1274">
        <v>0</v>
      </c>
      <c r="BK1274">
        <v>0</v>
      </c>
      <c r="BL1274">
        <v>0</v>
      </c>
      <c r="BO1274">
        <v>0</v>
      </c>
      <c r="BP1274">
        <v>0</v>
      </c>
      <c r="BW1274" t="str">
        <f>"14:52:12.814"</f>
        <v>14:52:12.814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5</v>
      </c>
      <c r="CP1274" t="s">
        <v>119</v>
      </c>
      <c r="CQ1274">
        <v>295</v>
      </c>
      <c r="CR1274">
        <v>1</v>
      </c>
      <c r="CW1274">
        <v>12433671</v>
      </c>
      <c r="CY1274">
        <v>0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25">
      <c r="A1275" t="str">
        <f>"06/05/2020 14:52:07.187"</f>
        <v>06/05/2020 14:52:07.187</v>
      </c>
      <c r="C1275" t="str">
        <f t="shared" si="689"/>
        <v>FFDFD3C0</v>
      </c>
      <c r="D1275" t="s">
        <v>113</v>
      </c>
      <c r="E1275">
        <v>3</v>
      </c>
      <c r="H1275">
        <v>166</v>
      </c>
      <c r="I1275" t="s">
        <v>114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"14:52:12.813"</f>
        <v>14:52:12.813</v>
      </c>
      <c r="T1275" t="str">
        <f>"14:52:12.413"</f>
        <v>14:52:12.413</v>
      </c>
      <c r="U1275" t="str">
        <f t="shared" si="676"/>
        <v>ACC530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9</v>
      </c>
      <c r="AE1275">
        <v>0</v>
      </c>
      <c r="AF1275">
        <v>3</v>
      </c>
      <c r="AG1275">
        <v>1</v>
      </c>
      <c r="AH1275">
        <v>0</v>
      </c>
      <c r="AI1275" t="s">
        <v>527</v>
      </c>
      <c r="AJ1275">
        <v>34.206619000000003</v>
      </c>
      <c r="AK1275" t="s">
        <v>528</v>
      </c>
      <c r="AL1275">
        <v>-116.960964</v>
      </c>
      <c r="AM1275">
        <v>100</v>
      </c>
      <c r="AN1275">
        <v>9000</v>
      </c>
      <c r="AO1275" t="s">
        <v>118</v>
      </c>
      <c r="AP1275">
        <v>-107</v>
      </c>
      <c r="AQ1275">
        <v>-65</v>
      </c>
      <c r="AR1275">
        <v>-64</v>
      </c>
      <c r="AZ1275">
        <v>1200</v>
      </c>
      <c r="BA1275">
        <v>1</v>
      </c>
      <c r="BB1275" t="str">
        <f t="shared" si="677"/>
        <v xml:space="preserve">N9217B  </v>
      </c>
      <c r="BC1275">
        <v>1</v>
      </c>
      <c r="BE1275">
        <v>0</v>
      </c>
      <c r="BF1275">
        <v>0</v>
      </c>
      <c r="BG1275">
        <v>0</v>
      </c>
      <c r="BH1275">
        <v>9050</v>
      </c>
      <c r="BI1275">
        <v>1</v>
      </c>
      <c r="BJ1275">
        <v>0</v>
      </c>
      <c r="BK1275">
        <v>0</v>
      </c>
      <c r="BL1275">
        <v>0</v>
      </c>
      <c r="BO1275">
        <v>0</v>
      </c>
      <c r="BP1275">
        <v>0</v>
      </c>
      <c r="BW1275" t="str">
        <f>"14:52:12.814"</f>
        <v>14:52:12.814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5</v>
      </c>
      <c r="CP1275" t="s">
        <v>119</v>
      </c>
      <c r="CQ1275">
        <v>295</v>
      </c>
      <c r="CR1275">
        <v>1</v>
      </c>
      <c r="CW1275">
        <v>12433671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25">
      <c r="A1276" t="str">
        <f t="shared" ref="A1276:A1282" si="698">"06/05/2020 14:52:08.215"</f>
        <v>06/05/2020 14:52:08.215</v>
      </c>
      <c r="C1276" t="str">
        <f t="shared" si="689"/>
        <v>FFDFD3C0</v>
      </c>
      <c r="D1276" t="s">
        <v>134</v>
      </c>
      <c r="E1276">
        <v>7</v>
      </c>
      <c r="F1276">
        <v>2007</v>
      </c>
      <c r="G1276" t="s">
        <v>135</v>
      </c>
      <c r="J1276" t="s">
        <v>136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ref="S1276:S1282" si="699">"14:52:13.828"</f>
        <v>14:52:13.828</v>
      </c>
      <c r="T1276" t="str">
        <f t="shared" ref="T1276:T1282" si="700">"14:52:13.528"</f>
        <v>14:52:13.528</v>
      </c>
      <c r="U1276" t="str">
        <f t="shared" si="676"/>
        <v>ACC530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9</v>
      </c>
      <c r="AE1276">
        <v>0</v>
      </c>
      <c r="AF1276">
        <v>3</v>
      </c>
      <c r="AG1276">
        <v>1</v>
      </c>
      <c r="AH1276">
        <v>0</v>
      </c>
      <c r="AI1276" t="s">
        <v>529</v>
      </c>
      <c r="AJ1276">
        <v>34.206296999999999</v>
      </c>
      <c r="AK1276" t="s">
        <v>530</v>
      </c>
      <c r="AL1276">
        <v>-116.961544</v>
      </c>
      <c r="AM1276">
        <v>100</v>
      </c>
      <c r="AN1276">
        <v>9000</v>
      </c>
      <c r="AO1276" t="s">
        <v>118</v>
      </c>
      <c r="AP1276">
        <v>-107</v>
      </c>
      <c r="AQ1276">
        <v>-65</v>
      </c>
      <c r="AR1276">
        <v>-128</v>
      </c>
      <c r="AZ1276">
        <v>1200</v>
      </c>
      <c r="BA1276">
        <v>1</v>
      </c>
      <c r="BB1276" t="str">
        <f t="shared" si="677"/>
        <v xml:space="preserve">N9217B  </v>
      </c>
      <c r="BC1276">
        <v>1</v>
      </c>
      <c r="BE1276">
        <v>0</v>
      </c>
      <c r="BF1276">
        <v>0</v>
      </c>
      <c r="BG1276">
        <v>0</v>
      </c>
      <c r="BH1276">
        <v>9050</v>
      </c>
      <c r="BI1276">
        <v>1</v>
      </c>
      <c r="BJ1276">
        <v>0</v>
      </c>
      <c r="BK1276">
        <v>0</v>
      </c>
      <c r="BL1276">
        <v>0</v>
      </c>
      <c r="BO1276">
        <v>0</v>
      </c>
      <c r="BP1276">
        <v>0</v>
      </c>
      <c r="BW1276" t="str">
        <f t="shared" ref="BW1276:BW1282" si="701">"14:52:13.834"</f>
        <v>14:52:13.834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293</v>
      </c>
      <c r="CR1276">
        <v>1</v>
      </c>
      <c r="CW1276">
        <v>15284365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25">
      <c r="A1277" t="str">
        <f t="shared" si="698"/>
        <v>06/05/2020 14:52:08.215</v>
      </c>
      <c r="C1277" t="str">
        <f t="shared" si="689"/>
        <v>FFDFD3C0</v>
      </c>
      <c r="D1277" t="s">
        <v>141</v>
      </c>
      <c r="E1277">
        <v>20</v>
      </c>
      <c r="F1277">
        <v>1020</v>
      </c>
      <c r="G1277" t="s">
        <v>114</v>
      </c>
      <c r="J1277" t="s">
        <v>142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699"/>
        <v>14:52:13.828</v>
      </c>
      <c r="T1277" t="str">
        <f t="shared" si="700"/>
        <v>14:52:13.528</v>
      </c>
      <c r="U1277" t="str">
        <f t="shared" si="676"/>
        <v>ACC530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9</v>
      </c>
      <c r="AE1277">
        <v>0</v>
      </c>
      <c r="AF1277">
        <v>3</v>
      </c>
      <c r="AG1277">
        <v>1</v>
      </c>
      <c r="AH1277">
        <v>0</v>
      </c>
      <c r="AI1277" t="s">
        <v>529</v>
      </c>
      <c r="AJ1277">
        <v>34.206296999999999</v>
      </c>
      <c r="AK1277" t="s">
        <v>530</v>
      </c>
      <c r="AL1277">
        <v>-116.961544</v>
      </c>
      <c r="AM1277">
        <v>100</v>
      </c>
      <c r="AN1277">
        <v>9000</v>
      </c>
      <c r="AO1277" t="s">
        <v>118</v>
      </c>
      <c r="AP1277">
        <v>-107</v>
      </c>
      <c r="AQ1277">
        <v>-65</v>
      </c>
      <c r="AR1277">
        <v>-128</v>
      </c>
      <c r="AZ1277">
        <v>1200</v>
      </c>
      <c r="BA1277">
        <v>1</v>
      </c>
      <c r="BB1277" t="str">
        <f t="shared" si="677"/>
        <v xml:space="preserve">N9217B  </v>
      </c>
      <c r="BC1277">
        <v>1</v>
      </c>
      <c r="BE1277">
        <v>0</v>
      </c>
      <c r="BF1277">
        <v>0</v>
      </c>
      <c r="BG1277">
        <v>0</v>
      </c>
      <c r="BH1277">
        <v>9050</v>
      </c>
      <c r="BI1277">
        <v>1</v>
      </c>
      <c r="BJ1277">
        <v>0</v>
      </c>
      <c r="BK1277">
        <v>0</v>
      </c>
      <c r="BL1277">
        <v>0</v>
      </c>
      <c r="BO1277">
        <v>0</v>
      </c>
      <c r="BP1277">
        <v>0</v>
      </c>
      <c r="BW1277" t="str">
        <f t="shared" si="701"/>
        <v>14:52:13.834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293</v>
      </c>
      <c r="CR1277">
        <v>1</v>
      </c>
      <c r="CW1277">
        <v>15284365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25">
      <c r="A1278" t="str">
        <f t="shared" si="698"/>
        <v>06/05/2020 14:52:08.215</v>
      </c>
      <c r="C1278" t="str">
        <f t="shared" si="689"/>
        <v>FFDFD3C0</v>
      </c>
      <c r="D1278" t="s">
        <v>113</v>
      </c>
      <c r="E1278">
        <v>3</v>
      </c>
      <c r="H1278">
        <v>166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699"/>
        <v>14:52:13.828</v>
      </c>
      <c r="T1278" t="str">
        <f t="shared" si="700"/>
        <v>14:52:13.528</v>
      </c>
      <c r="U1278" t="str">
        <f t="shared" si="676"/>
        <v>ACC530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9</v>
      </c>
      <c r="AE1278">
        <v>0</v>
      </c>
      <c r="AF1278">
        <v>3</v>
      </c>
      <c r="AG1278">
        <v>1</v>
      </c>
      <c r="AH1278">
        <v>0</v>
      </c>
      <c r="AI1278" t="s">
        <v>529</v>
      </c>
      <c r="AJ1278">
        <v>34.206296999999999</v>
      </c>
      <c r="AK1278" t="s">
        <v>530</v>
      </c>
      <c r="AL1278">
        <v>-116.961544</v>
      </c>
      <c r="AM1278">
        <v>100</v>
      </c>
      <c r="AN1278">
        <v>9000</v>
      </c>
      <c r="AO1278" t="s">
        <v>118</v>
      </c>
      <c r="AP1278">
        <v>-107</v>
      </c>
      <c r="AQ1278">
        <v>-65</v>
      </c>
      <c r="AR1278">
        <v>-128</v>
      </c>
      <c r="AZ1278">
        <v>1200</v>
      </c>
      <c r="BA1278">
        <v>1</v>
      </c>
      <c r="BB1278" t="str">
        <f t="shared" si="677"/>
        <v xml:space="preserve">N9217B  </v>
      </c>
      <c r="BC1278">
        <v>1</v>
      </c>
      <c r="BE1278">
        <v>0</v>
      </c>
      <c r="BF1278">
        <v>0</v>
      </c>
      <c r="BG1278">
        <v>0</v>
      </c>
      <c r="BH1278">
        <v>9050</v>
      </c>
      <c r="BI1278">
        <v>1</v>
      </c>
      <c r="BJ1278">
        <v>0</v>
      </c>
      <c r="BK1278">
        <v>0</v>
      </c>
      <c r="BL1278">
        <v>0</v>
      </c>
      <c r="BO1278">
        <v>0</v>
      </c>
      <c r="BP1278">
        <v>0</v>
      </c>
      <c r="BW1278" t="str">
        <f t="shared" si="701"/>
        <v>14:52:13.834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293</v>
      </c>
      <c r="CR1278">
        <v>1</v>
      </c>
      <c r="CW1278">
        <v>15284365</v>
      </c>
      <c r="CY1278">
        <v>0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25">
      <c r="A1279" t="str">
        <f t="shared" si="698"/>
        <v>06/05/2020 14:52:08.215</v>
      </c>
      <c r="C1279" t="str">
        <f t="shared" si="689"/>
        <v>FFDFD3C0</v>
      </c>
      <c r="D1279" t="s">
        <v>151</v>
      </c>
      <c r="E1279">
        <v>8</v>
      </c>
      <c r="H1279">
        <v>225</v>
      </c>
      <c r="I1279" t="s">
        <v>353</v>
      </c>
      <c r="J1279" t="s">
        <v>150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99"/>
        <v>14:52:13.828</v>
      </c>
      <c r="T1279" t="str">
        <f t="shared" si="700"/>
        <v>14:52:13.528</v>
      </c>
      <c r="U1279" t="str">
        <f t="shared" si="676"/>
        <v>ACC530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9</v>
      </c>
      <c r="AE1279">
        <v>0</v>
      </c>
      <c r="AF1279">
        <v>3</v>
      </c>
      <c r="AG1279">
        <v>1</v>
      </c>
      <c r="AH1279">
        <v>0</v>
      </c>
      <c r="AI1279" t="s">
        <v>529</v>
      </c>
      <c r="AJ1279">
        <v>34.206296999999999</v>
      </c>
      <c r="AK1279" t="s">
        <v>530</v>
      </c>
      <c r="AL1279">
        <v>-116.961544</v>
      </c>
      <c r="AM1279">
        <v>100</v>
      </c>
      <c r="AN1279">
        <v>9000</v>
      </c>
      <c r="AO1279" t="s">
        <v>118</v>
      </c>
      <c r="AP1279">
        <v>-107</v>
      </c>
      <c r="AQ1279">
        <v>-65</v>
      </c>
      <c r="AR1279">
        <v>-128</v>
      </c>
      <c r="AZ1279">
        <v>1200</v>
      </c>
      <c r="BA1279">
        <v>1</v>
      </c>
      <c r="BB1279" t="str">
        <f t="shared" si="677"/>
        <v xml:space="preserve">N9217B  </v>
      </c>
      <c r="BC1279">
        <v>1</v>
      </c>
      <c r="BE1279">
        <v>0</v>
      </c>
      <c r="BF1279">
        <v>0</v>
      </c>
      <c r="BG1279">
        <v>0</v>
      </c>
      <c r="BH1279">
        <v>9050</v>
      </c>
      <c r="BI1279">
        <v>1</v>
      </c>
      <c r="BJ1279">
        <v>0</v>
      </c>
      <c r="BK1279">
        <v>0</v>
      </c>
      <c r="BL1279">
        <v>0</v>
      </c>
      <c r="BO1279">
        <v>0</v>
      </c>
      <c r="BP1279">
        <v>0</v>
      </c>
      <c r="BW1279" t="str">
        <f t="shared" si="701"/>
        <v>14:52:13.834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6</v>
      </c>
      <c r="CP1279" t="s">
        <v>119</v>
      </c>
      <c r="CQ1279">
        <v>285</v>
      </c>
      <c r="CR1279">
        <v>0</v>
      </c>
      <c r="CW1279">
        <v>8851006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25">
      <c r="A1280" t="str">
        <f t="shared" si="698"/>
        <v>06/05/2020 14:52:08.215</v>
      </c>
      <c r="C1280" t="str">
        <f t="shared" si="689"/>
        <v>FFDFD3C0</v>
      </c>
      <c r="D1280" t="s">
        <v>151</v>
      </c>
      <c r="E1280">
        <v>9</v>
      </c>
      <c r="H1280">
        <v>226</v>
      </c>
      <c r="I1280" t="s">
        <v>152</v>
      </c>
      <c r="J1280" t="s">
        <v>150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99"/>
        <v>14:52:13.828</v>
      </c>
      <c r="T1280" t="str">
        <f t="shared" si="700"/>
        <v>14:52:13.528</v>
      </c>
      <c r="U1280" t="str">
        <f t="shared" si="676"/>
        <v>ACC530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9</v>
      </c>
      <c r="AE1280">
        <v>0</v>
      </c>
      <c r="AF1280">
        <v>3</v>
      </c>
      <c r="AG1280">
        <v>1</v>
      </c>
      <c r="AH1280">
        <v>0</v>
      </c>
      <c r="AI1280" t="s">
        <v>529</v>
      </c>
      <c r="AJ1280">
        <v>34.206296999999999</v>
      </c>
      <c r="AK1280" t="s">
        <v>530</v>
      </c>
      <c r="AL1280">
        <v>-116.961544</v>
      </c>
      <c r="AM1280">
        <v>100</v>
      </c>
      <c r="AN1280">
        <v>9000</v>
      </c>
      <c r="AO1280" t="s">
        <v>118</v>
      </c>
      <c r="AP1280">
        <v>-107</v>
      </c>
      <c r="AQ1280">
        <v>-65</v>
      </c>
      <c r="AR1280">
        <v>-128</v>
      </c>
      <c r="AZ1280">
        <v>1200</v>
      </c>
      <c r="BA1280">
        <v>1</v>
      </c>
      <c r="BB1280" t="str">
        <f t="shared" si="677"/>
        <v xml:space="preserve">N9217B  </v>
      </c>
      <c r="BC1280">
        <v>1</v>
      </c>
      <c r="BE1280">
        <v>0</v>
      </c>
      <c r="BF1280">
        <v>0</v>
      </c>
      <c r="BG1280">
        <v>0</v>
      </c>
      <c r="BH1280">
        <v>9050</v>
      </c>
      <c r="BI1280">
        <v>1</v>
      </c>
      <c r="BJ1280">
        <v>0</v>
      </c>
      <c r="BK1280">
        <v>0</v>
      </c>
      <c r="BL1280">
        <v>0</v>
      </c>
      <c r="BO1280">
        <v>0</v>
      </c>
      <c r="BP1280">
        <v>0</v>
      </c>
      <c r="BW1280" t="str">
        <f t="shared" si="701"/>
        <v>14:52:13.834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293</v>
      </c>
      <c r="CR1280">
        <v>1</v>
      </c>
      <c r="CW1280">
        <v>15284365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25">
      <c r="A1281" t="str">
        <f t="shared" si="698"/>
        <v>06/05/2020 14:52:08.215</v>
      </c>
      <c r="C1281" t="str">
        <f t="shared" si="689"/>
        <v>FFDFD3C0</v>
      </c>
      <c r="D1281" t="s">
        <v>148</v>
      </c>
      <c r="E1281">
        <v>8</v>
      </c>
      <c r="H1281">
        <v>50</v>
      </c>
      <c r="I1281" t="s">
        <v>149</v>
      </c>
      <c r="J1281" t="s">
        <v>150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99"/>
        <v>14:52:13.828</v>
      </c>
      <c r="T1281" t="str">
        <f t="shared" si="700"/>
        <v>14:52:13.528</v>
      </c>
      <c r="U1281" t="str">
        <f t="shared" si="676"/>
        <v>ACC530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9</v>
      </c>
      <c r="AE1281">
        <v>0</v>
      </c>
      <c r="AF1281">
        <v>3</v>
      </c>
      <c r="AG1281">
        <v>1</v>
      </c>
      <c r="AH1281">
        <v>0</v>
      </c>
      <c r="AI1281" t="s">
        <v>529</v>
      </c>
      <c r="AJ1281">
        <v>34.206296999999999</v>
      </c>
      <c r="AK1281" t="s">
        <v>530</v>
      </c>
      <c r="AL1281">
        <v>-116.961544</v>
      </c>
      <c r="AM1281">
        <v>100</v>
      </c>
      <c r="AN1281">
        <v>9000</v>
      </c>
      <c r="AO1281" t="s">
        <v>118</v>
      </c>
      <c r="AP1281">
        <v>-107</v>
      </c>
      <c r="AQ1281">
        <v>-65</v>
      </c>
      <c r="AR1281">
        <v>-128</v>
      </c>
      <c r="AZ1281">
        <v>1200</v>
      </c>
      <c r="BA1281">
        <v>1</v>
      </c>
      <c r="BB1281" t="str">
        <f t="shared" si="677"/>
        <v xml:space="preserve">N9217B  </v>
      </c>
      <c r="BC1281">
        <v>1</v>
      </c>
      <c r="BE1281">
        <v>0</v>
      </c>
      <c r="BF1281">
        <v>0</v>
      </c>
      <c r="BG1281">
        <v>0</v>
      </c>
      <c r="BH1281">
        <v>9050</v>
      </c>
      <c r="BI1281">
        <v>1</v>
      </c>
      <c r="BJ1281">
        <v>0</v>
      </c>
      <c r="BK1281">
        <v>0</v>
      </c>
      <c r="BL1281">
        <v>0</v>
      </c>
      <c r="BO1281">
        <v>0</v>
      </c>
      <c r="BP1281">
        <v>0</v>
      </c>
      <c r="BW1281" t="str">
        <f t="shared" si="701"/>
        <v>14:52:13.834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293</v>
      </c>
      <c r="CR1281">
        <v>1</v>
      </c>
      <c r="CW1281">
        <v>15284365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25">
      <c r="A1282" t="str">
        <f t="shared" si="698"/>
        <v>06/05/2020 14:52:08.215</v>
      </c>
      <c r="C1282" t="str">
        <f t="shared" si="689"/>
        <v>FFDFD3C0</v>
      </c>
      <c r="D1282" t="s">
        <v>148</v>
      </c>
      <c r="E1282">
        <v>11</v>
      </c>
      <c r="H1282">
        <v>53</v>
      </c>
      <c r="I1282" t="s">
        <v>364</v>
      </c>
      <c r="J1282" t="s">
        <v>150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699"/>
        <v>14:52:13.828</v>
      </c>
      <c r="T1282" t="str">
        <f t="shared" si="700"/>
        <v>14:52:13.528</v>
      </c>
      <c r="U1282" t="str">
        <f t="shared" ref="U1282:U1345" si="702">"ACC530"</f>
        <v>ACC530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9</v>
      </c>
      <c r="AE1282">
        <v>0</v>
      </c>
      <c r="AF1282">
        <v>3</v>
      </c>
      <c r="AG1282">
        <v>1</v>
      </c>
      <c r="AH1282">
        <v>0</v>
      </c>
      <c r="AI1282" t="s">
        <v>529</v>
      </c>
      <c r="AJ1282">
        <v>34.206296999999999</v>
      </c>
      <c r="AK1282" t="s">
        <v>530</v>
      </c>
      <c r="AL1282">
        <v>-116.961544</v>
      </c>
      <c r="AM1282">
        <v>100</v>
      </c>
      <c r="AN1282">
        <v>9000</v>
      </c>
      <c r="AO1282" t="s">
        <v>118</v>
      </c>
      <c r="AP1282">
        <v>-107</v>
      </c>
      <c r="AQ1282">
        <v>-65</v>
      </c>
      <c r="AR1282">
        <v>-128</v>
      </c>
      <c r="AZ1282">
        <v>1200</v>
      </c>
      <c r="BA1282">
        <v>1</v>
      </c>
      <c r="BB1282" t="str">
        <f t="shared" si="677"/>
        <v xml:space="preserve">N9217B  </v>
      </c>
      <c r="BC1282">
        <v>1</v>
      </c>
      <c r="BE1282">
        <v>0</v>
      </c>
      <c r="BF1282">
        <v>0</v>
      </c>
      <c r="BG1282">
        <v>0</v>
      </c>
      <c r="BH1282">
        <v>9050</v>
      </c>
      <c r="BI1282">
        <v>1</v>
      </c>
      <c r="BJ1282">
        <v>0</v>
      </c>
      <c r="BK1282">
        <v>0</v>
      </c>
      <c r="BL1282">
        <v>0</v>
      </c>
      <c r="BO1282">
        <v>0</v>
      </c>
      <c r="BP1282">
        <v>0</v>
      </c>
      <c r="BW1282" t="str">
        <f t="shared" si="701"/>
        <v>14:52:13.834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293</v>
      </c>
      <c r="CR1282">
        <v>1</v>
      </c>
      <c r="CW1282">
        <v>15284365</v>
      </c>
      <c r="CY1282">
        <v>0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25">
      <c r="A1283" t="str">
        <f>"06/05/2020 14:52:09.260"</f>
        <v>06/05/2020 14:52:09.260</v>
      </c>
      <c r="C1283" t="str">
        <f t="shared" si="689"/>
        <v>FFDFD3C0</v>
      </c>
      <c r="D1283" t="s">
        <v>148</v>
      </c>
      <c r="E1283">
        <v>8</v>
      </c>
      <c r="H1283">
        <v>50</v>
      </c>
      <c r="I1283" t="s">
        <v>149</v>
      </c>
      <c r="J1283" t="s">
        <v>150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T1286" si="703">"14:52:14.906"</f>
        <v>14:52:14.906</v>
      </c>
      <c r="T1283" t="str">
        <f t="shared" si="703"/>
        <v>14:52:14.906</v>
      </c>
      <c r="U1283" t="str">
        <f t="shared" si="702"/>
        <v>ACC530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9</v>
      </c>
      <c r="AE1283">
        <v>0</v>
      </c>
      <c r="AF1283">
        <v>3</v>
      </c>
      <c r="AG1283">
        <v>1</v>
      </c>
      <c r="AH1283">
        <v>0</v>
      </c>
      <c r="AI1283" t="s">
        <v>531</v>
      </c>
      <c r="AJ1283">
        <v>34.206018</v>
      </c>
      <c r="AK1283" t="s">
        <v>532</v>
      </c>
      <c r="AL1283">
        <v>-116.962187</v>
      </c>
      <c r="AM1283">
        <v>100</v>
      </c>
      <c r="AN1283">
        <v>9000</v>
      </c>
      <c r="AO1283" t="s">
        <v>118</v>
      </c>
      <c r="AP1283">
        <v>-109</v>
      </c>
      <c r="AQ1283">
        <v>-61</v>
      </c>
      <c r="AR1283">
        <v>0</v>
      </c>
      <c r="AZ1283">
        <v>1200</v>
      </c>
      <c r="BA1283">
        <v>1</v>
      </c>
      <c r="BB1283" t="str">
        <f t="shared" si="677"/>
        <v xml:space="preserve">N9217B  </v>
      </c>
      <c r="BC1283">
        <v>1</v>
      </c>
      <c r="BE1283">
        <v>0</v>
      </c>
      <c r="BF1283">
        <v>0</v>
      </c>
      <c r="BG1283">
        <v>0</v>
      </c>
      <c r="BH1283">
        <v>9050</v>
      </c>
      <c r="BI1283">
        <v>1</v>
      </c>
      <c r="BJ1283">
        <v>0</v>
      </c>
      <c r="BK1283">
        <v>0</v>
      </c>
      <c r="BL1283">
        <v>0</v>
      </c>
      <c r="BO1283">
        <v>0</v>
      </c>
      <c r="BP1283">
        <v>0</v>
      </c>
      <c r="BW1283" t="str">
        <f>"14:52:14.914"</f>
        <v>14:52:14.914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293</v>
      </c>
      <c r="CR1283">
        <v>1</v>
      </c>
      <c r="CW1283">
        <v>15284491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25">
      <c r="A1284" t="str">
        <f>"06/05/2020 14:52:09.260"</f>
        <v>06/05/2020 14:52:09.260</v>
      </c>
      <c r="C1284" t="str">
        <f t="shared" si="689"/>
        <v>FFDFD3C0</v>
      </c>
      <c r="D1284" t="s">
        <v>151</v>
      </c>
      <c r="E1284">
        <v>8</v>
      </c>
      <c r="H1284">
        <v>225</v>
      </c>
      <c r="I1284" t="s">
        <v>353</v>
      </c>
      <c r="J1284" t="s">
        <v>150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703"/>
        <v>14:52:14.906</v>
      </c>
      <c r="T1284" t="str">
        <f t="shared" si="703"/>
        <v>14:52:14.906</v>
      </c>
      <c r="U1284" t="str">
        <f t="shared" si="702"/>
        <v>ACC530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9</v>
      </c>
      <c r="AE1284">
        <v>0</v>
      </c>
      <c r="AF1284">
        <v>3</v>
      </c>
      <c r="AG1284">
        <v>1</v>
      </c>
      <c r="AH1284">
        <v>0</v>
      </c>
      <c r="AI1284" t="s">
        <v>531</v>
      </c>
      <c r="AJ1284">
        <v>34.206018</v>
      </c>
      <c r="AK1284" t="s">
        <v>532</v>
      </c>
      <c r="AL1284">
        <v>-116.962187</v>
      </c>
      <c r="AM1284">
        <v>100</v>
      </c>
      <c r="AN1284">
        <v>9000</v>
      </c>
      <c r="AO1284" t="s">
        <v>118</v>
      </c>
      <c r="AP1284">
        <v>-109</v>
      </c>
      <c r="AQ1284">
        <v>-61</v>
      </c>
      <c r="AR1284">
        <v>0</v>
      </c>
      <c r="AZ1284">
        <v>1200</v>
      </c>
      <c r="BA1284">
        <v>1</v>
      </c>
      <c r="BB1284" t="str">
        <f t="shared" si="677"/>
        <v xml:space="preserve">N9217B  </v>
      </c>
      <c r="BC1284">
        <v>1</v>
      </c>
      <c r="BE1284">
        <v>0</v>
      </c>
      <c r="BF1284">
        <v>0</v>
      </c>
      <c r="BG1284">
        <v>0</v>
      </c>
      <c r="BH1284">
        <v>9050</v>
      </c>
      <c r="BI1284">
        <v>1</v>
      </c>
      <c r="BJ1284">
        <v>0</v>
      </c>
      <c r="BK1284">
        <v>0</v>
      </c>
      <c r="BL1284">
        <v>0</v>
      </c>
      <c r="BO1284">
        <v>0</v>
      </c>
      <c r="BP1284">
        <v>0</v>
      </c>
      <c r="BW1284" t="str">
        <f>"14:52:14.914"</f>
        <v>14:52:14.914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119</v>
      </c>
      <c r="CQ1284">
        <v>285</v>
      </c>
      <c r="CR1284">
        <v>0</v>
      </c>
      <c r="CW1284">
        <v>8851101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25">
      <c r="A1285" t="str">
        <f>"06/05/2020 14:52:09.260"</f>
        <v>06/05/2020 14:52:09.260</v>
      </c>
      <c r="C1285" t="str">
        <f t="shared" si="689"/>
        <v>FFDFD3C0</v>
      </c>
      <c r="D1285" t="s">
        <v>148</v>
      </c>
      <c r="E1285">
        <v>11</v>
      </c>
      <c r="H1285">
        <v>53</v>
      </c>
      <c r="I1285" t="s">
        <v>364</v>
      </c>
      <c r="J1285" t="s">
        <v>150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703"/>
        <v>14:52:14.906</v>
      </c>
      <c r="T1285" t="str">
        <f t="shared" si="703"/>
        <v>14:52:14.906</v>
      </c>
      <c r="U1285" t="str">
        <f t="shared" si="702"/>
        <v>ACC530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9</v>
      </c>
      <c r="AE1285">
        <v>0</v>
      </c>
      <c r="AF1285">
        <v>3</v>
      </c>
      <c r="AG1285">
        <v>1</v>
      </c>
      <c r="AH1285">
        <v>0</v>
      </c>
      <c r="AI1285" t="s">
        <v>531</v>
      </c>
      <c r="AJ1285">
        <v>34.206018</v>
      </c>
      <c r="AK1285" t="s">
        <v>532</v>
      </c>
      <c r="AL1285">
        <v>-116.962187</v>
      </c>
      <c r="AM1285">
        <v>100</v>
      </c>
      <c r="AN1285">
        <v>9000</v>
      </c>
      <c r="AO1285" t="s">
        <v>118</v>
      </c>
      <c r="AP1285">
        <v>-109</v>
      </c>
      <c r="AQ1285">
        <v>-61</v>
      </c>
      <c r="AR1285">
        <v>0</v>
      </c>
      <c r="AZ1285">
        <v>1200</v>
      </c>
      <c r="BA1285">
        <v>1</v>
      </c>
      <c r="BB1285" t="str">
        <f t="shared" ref="BB1285:BB1348" si="704">"N9217B  "</f>
        <v xml:space="preserve">N9217B  </v>
      </c>
      <c r="BC1285">
        <v>1</v>
      </c>
      <c r="BE1285">
        <v>0</v>
      </c>
      <c r="BF1285">
        <v>0</v>
      </c>
      <c r="BG1285">
        <v>0</v>
      </c>
      <c r="BH1285">
        <v>9050</v>
      </c>
      <c r="BI1285">
        <v>1</v>
      </c>
      <c r="BJ1285">
        <v>0</v>
      </c>
      <c r="BK1285">
        <v>0</v>
      </c>
      <c r="BL1285">
        <v>0</v>
      </c>
      <c r="BO1285">
        <v>0</v>
      </c>
      <c r="BP1285">
        <v>0</v>
      </c>
      <c r="BW1285" t="str">
        <f>"14:52:14.914"</f>
        <v>14:52:14.914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293</v>
      </c>
      <c r="CR1285">
        <v>1</v>
      </c>
      <c r="CW1285">
        <v>15284491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25">
      <c r="A1286" t="str">
        <f>"06/05/2020 14:52:09.260"</f>
        <v>06/05/2020 14:52:09.260</v>
      </c>
      <c r="C1286" t="str">
        <f t="shared" si="689"/>
        <v>FFDFD3C0</v>
      </c>
      <c r="D1286" t="s">
        <v>113</v>
      </c>
      <c r="E1286">
        <v>3</v>
      </c>
      <c r="H1286">
        <v>166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703"/>
        <v>14:52:14.906</v>
      </c>
      <c r="T1286" t="str">
        <f t="shared" si="703"/>
        <v>14:52:14.906</v>
      </c>
      <c r="U1286" t="str">
        <f t="shared" si="702"/>
        <v>ACC530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9</v>
      </c>
      <c r="AE1286">
        <v>0</v>
      </c>
      <c r="AF1286">
        <v>3</v>
      </c>
      <c r="AG1286">
        <v>1</v>
      </c>
      <c r="AH1286">
        <v>0</v>
      </c>
      <c r="AI1286" t="s">
        <v>531</v>
      </c>
      <c r="AJ1286">
        <v>34.206018</v>
      </c>
      <c r="AK1286" t="s">
        <v>532</v>
      </c>
      <c r="AL1286">
        <v>-116.962187</v>
      </c>
      <c r="AM1286">
        <v>100</v>
      </c>
      <c r="AN1286">
        <v>9000</v>
      </c>
      <c r="AO1286" t="s">
        <v>118</v>
      </c>
      <c r="AP1286">
        <v>-109</v>
      </c>
      <c r="AQ1286">
        <v>-61</v>
      </c>
      <c r="AR1286">
        <v>0</v>
      </c>
      <c r="AZ1286">
        <v>1200</v>
      </c>
      <c r="BA1286">
        <v>1</v>
      </c>
      <c r="BB1286" t="str">
        <f t="shared" si="704"/>
        <v xml:space="preserve">N9217B  </v>
      </c>
      <c r="BC1286">
        <v>1</v>
      </c>
      <c r="BE1286">
        <v>0</v>
      </c>
      <c r="BF1286">
        <v>0</v>
      </c>
      <c r="BG1286">
        <v>0</v>
      </c>
      <c r="BH1286">
        <v>9050</v>
      </c>
      <c r="BI1286">
        <v>1</v>
      </c>
      <c r="BJ1286">
        <v>0</v>
      </c>
      <c r="BK1286">
        <v>0</v>
      </c>
      <c r="BL1286">
        <v>0</v>
      </c>
      <c r="BO1286">
        <v>0</v>
      </c>
      <c r="BP1286">
        <v>0</v>
      </c>
      <c r="BW1286" t="str">
        <f>"14:52:14.914"</f>
        <v>14:52:14.914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293</v>
      </c>
      <c r="CR1286">
        <v>1</v>
      </c>
      <c r="CW1286">
        <v>15284491</v>
      </c>
      <c r="CY1286">
        <v>0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25">
      <c r="A1287" t="str">
        <f t="shared" ref="A1287:A1293" si="705">"06/05/2020 14:52:10.385"</f>
        <v>06/05/2020 14:52:10.385</v>
      </c>
      <c r="C1287" t="str">
        <f t="shared" si="689"/>
        <v>FFDFD3C0</v>
      </c>
      <c r="D1287" t="s">
        <v>141</v>
      </c>
      <c r="E1287">
        <v>20</v>
      </c>
      <c r="F1287">
        <v>1020</v>
      </c>
      <c r="G1287" t="s">
        <v>114</v>
      </c>
      <c r="J1287" t="s">
        <v>142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ref="S1287:S1293" si="706">"14:52:16.023"</f>
        <v>14:52:16.023</v>
      </c>
      <c r="T1287" t="str">
        <f t="shared" ref="T1287:T1293" si="707">"14:52:15.923"</f>
        <v>14:52:15.923</v>
      </c>
      <c r="U1287" t="str">
        <f t="shared" si="702"/>
        <v>ACC530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9</v>
      </c>
      <c r="AE1287">
        <v>0</v>
      </c>
      <c r="AF1287">
        <v>3</v>
      </c>
      <c r="AG1287">
        <v>1</v>
      </c>
      <c r="AH1287">
        <v>0</v>
      </c>
      <c r="AI1287" t="s">
        <v>533</v>
      </c>
      <c r="AJ1287">
        <v>34.205697000000001</v>
      </c>
      <c r="AK1287" t="s">
        <v>534</v>
      </c>
      <c r="AL1287">
        <v>-116.962852</v>
      </c>
      <c r="AM1287">
        <v>100</v>
      </c>
      <c r="AN1287">
        <v>9000</v>
      </c>
      <c r="AO1287" t="s">
        <v>118</v>
      </c>
      <c r="AP1287">
        <v>-109</v>
      </c>
      <c r="AQ1287">
        <v>-60</v>
      </c>
      <c r="AR1287">
        <v>192</v>
      </c>
      <c r="AZ1287">
        <v>1200</v>
      </c>
      <c r="BA1287">
        <v>1</v>
      </c>
      <c r="BB1287" t="str">
        <f t="shared" si="704"/>
        <v xml:space="preserve">N9217B  </v>
      </c>
      <c r="BC1287">
        <v>1</v>
      </c>
      <c r="BE1287">
        <v>0</v>
      </c>
      <c r="BF1287">
        <v>0</v>
      </c>
      <c r="BG1287">
        <v>0</v>
      </c>
      <c r="BH1287">
        <v>9050</v>
      </c>
      <c r="BI1287">
        <v>1</v>
      </c>
      <c r="BJ1287">
        <v>0</v>
      </c>
      <c r="BK1287">
        <v>0</v>
      </c>
      <c r="BL1287">
        <v>0</v>
      </c>
      <c r="BO1287">
        <v>0</v>
      </c>
      <c r="BP1287">
        <v>0</v>
      </c>
      <c r="BW1287" t="str">
        <f t="shared" ref="BW1287:BW1293" si="708">"14:52:16.024"</f>
        <v>14:52:16.024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293</v>
      </c>
      <c r="CR1287">
        <v>1</v>
      </c>
      <c r="CW1287">
        <v>15284617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25">
      <c r="A1288" t="str">
        <f t="shared" si="705"/>
        <v>06/05/2020 14:52:10.385</v>
      </c>
      <c r="C1288" t="str">
        <f t="shared" si="689"/>
        <v>FFDFD3C0</v>
      </c>
      <c r="D1288" t="s">
        <v>113</v>
      </c>
      <c r="E1288">
        <v>3</v>
      </c>
      <c r="H1288">
        <v>166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706"/>
        <v>14:52:16.023</v>
      </c>
      <c r="T1288" t="str">
        <f t="shared" si="707"/>
        <v>14:52:15.923</v>
      </c>
      <c r="U1288" t="str">
        <f t="shared" si="702"/>
        <v>ACC530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9</v>
      </c>
      <c r="AE1288">
        <v>0</v>
      </c>
      <c r="AF1288">
        <v>3</v>
      </c>
      <c r="AG1288">
        <v>1</v>
      </c>
      <c r="AH1288">
        <v>0</v>
      </c>
      <c r="AI1288" t="s">
        <v>533</v>
      </c>
      <c r="AJ1288">
        <v>34.205697000000001</v>
      </c>
      <c r="AK1288" t="s">
        <v>534</v>
      </c>
      <c r="AL1288">
        <v>-116.962852</v>
      </c>
      <c r="AM1288">
        <v>100</v>
      </c>
      <c r="AN1288">
        <v>9000</v>
      </c>
      <c r="AO1288" t="s">
        <v>118</v>
      </c>
      <c r="AP1288">
        <v>-109</v>
      </c>
      <c r="AQ1288">
        <v>-60</v>
      </c>
      <c r="AR1288">
        <v>192</v>
      </c>
      <c r="AZ1288">
        <v>1200</v>
      </c>
      <c r="BA1288">
        <v>1</v>
      </c>
      <c r="BB1288" t="str">
        <f t="shared" si="704"/>
        <v xml:space="preserve">N9217B  </v>
      </c>
      <c r="BC1288">
        <v>1</v>
      </c>
      <c r="BE1288">
        <v>0</v>
      </c>
      <c r="BF1288">
        <v>0</v>
      </c>
      <c r="BG1288">
        <v>0</v>
      </c>
      <c r="BH1288">
        <v>9050</v>
      </c>
      <c r="BI1288">
        <v>1</v>
      </c>
      <c r="BJ1288">
        <v>0</v>
      </c>
      <c r="BK1288">
        <v>0</v>
      </c>
      <c r="BL1288">
        <v>0</v>
      </c>
      <c r="BO1288">
        <v>0</v>
      </c>
      <c r="BP1288">
        <v>0</v>
      </c>
      <c r="BW1288" t="str">
        <f t="shared" si="708"/>
        <v>14:52:16.024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293</v>
      </c>
      <c r="CR1288">
        <v>1</v>
      </c>
      <c r="CW1288">
        <v>15284617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25">
      <c r="A1289" t="str">
        <f t="shared" si="705"/>
        <v>06/05/2020 14:52:10.385</v>
      </c>
      <c r="C1289" t="str">
        <f t="shared" si="689"/>
        <v>FFDFD3C0</v>
      </c>
      <c r="D1289" t="s">
        <v>151</v>
      </c>
      <c r="E1289">
        <v>8</v>
      </c>
      <c r="H1289">
        <v>225</v>
      </c>
      <c r="I1289" t="s">
        <v>353</v>
      </c>
      <c r="J1289" t="s">
        <v>150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706"/>
        <v>14:52:16.023</v>
      </c>
      <c r="T1289" t="str">
        <f t="shared" si="707"/>
        <v>14:52:15.923</v>
      </c>
      <c r="U1289" t="str">
        <f t="shared" si="702"/>
        <v>ACC530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9</v>
      </c>
      <c r="AE1289">
        <v>0</v>
      </c>
      <c r="AF1289">
        <v>3</v>
      </c>
      <c r="AG1289">
        <v>1</v>
      </c>
      <c r="AH1289">
        <v>0</v>
      </c>
      <c r="AI1289" t="s">
        <v>533</v>
      </c>
      <c r="AJ1289">
        <v>34.205697000000001</v>
      </c>
      <c r="AK1289" t="s">
        <v>534</v>
      </c>
      <c r="AL1289">
        <v>-116.962852</v>
      </c>
      <c r="AM1289">
        <v>100</v>
      </c>
      <c r="AN1289">
        <v>9000</v>
      </c>
      <c r="AO1289" t="s">
        <v>118</v>
      </c>
      <c r="AP1289">
        <v>-109</v>
      </c>
      <c r="AQ1289">
        <v>-60</v>
      </c>
      <c r="AR1289">
        <v>192</v>
      </c>
      <c r="AZ1289">
        <v>1200</v>
      </c>
      <c r="BA1289">
        <v>1</v>
      </c>
      <c r="BB1289" t="str">
        <f t="shared" si="704"/>
        <v xml:space="preserve">N9217B  </v>
      </c>
      <c r="BC1289">
        <v>1</v>
      </c>
      <c r="BE1289">
        <v>0</v>
      </c>
      <c r="BF1289">
        <v>0</v>
      </c>
      <c r="BG1289">
        <v>0</v>
      </c>
      <c r="BH1289">
        <v>9050</v>
      </c>
      <c r="BI1289">
        <v>1</v>
      </c>
      <c r="BJ1289">
        <v>0</v>
      </c>
      <c r="BK1289">
        <v>0</v>
      </c>
      <c r="BL1289">
        <v>0</v>
      </c>
      <c r="BO1289">
        <v>0</v>
      </c>
      <c r="BP1289">
        <v>0</v>
      </c>
      <c r="BW1289" t="str">
        <f t="shared" si="708"/>
        <v>14:52:16.024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6</v>
      </c>
      <c r="CP1289" t="s">
        <v>119</v>
      </c>
      <c r="CQ1289">
        <v>285</v>
      </c>
      <c r="CR1289">
        <v>0</v>
      </c>
      <c r="CW1289">
        <v>8851199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25">
      <c r="A1290" t="str">
        <f t="shared" si="705"/>
        <v>06/05/2020 14:52:10.385</v>
      </c>
      <c r="C1290" t="str">
        <f t="shared" si="689"/>
        <v>FFDFD3C0</v>
      </c>
      <c r="D1290" t="s">
        <v>148</v>
      </c>
      <c r="E1290">
        <v>8</v>
      </c>
      <c r="H1290">
        <v>50</v>
      </c>
      <c r="I1290" t="s">
        <v>149</v>
      </c>
      <c r="J1290" t="s">
        <v>150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706"/>
        <v>14:52:16.023</v>
      </c>
      <c r="T1290" t="str">
        <f t="shared" si="707"/>
        <v>14:52:15.923</v>
      </c>
      <c r="U1290" t="str">
        <f t="shared" si="702"/>
        <v>ACC530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9</v>
      </c>
      <c r="AE1290">
        <v>0</v>
      </c>
      <c r="AF1290">
        <v>3</v>
      </c>
      <c r="AG1290">
        <v>1</v>
      </c>
      <c r="AH1290">
        <v>0</v>
      </c>
      <c r="AI1290" t="s">
        <v>533</v>
      </c>
      <c r="AJ1290">
        <v>34.205697000000001</v>
      </c>
      <c r="AK1290" t="s">
        <v>534</v>
      </c>
      <c r="AL1290">
        <v>-116.962852</v>
      </c>
      <c r="AM1290">
        <v>100</v>
      </c>
      <c r="AN1290">
        <v>9000</v>
      </c>
      <c r="AO1290" t="s">
        <v>118</v>
      </c>
      <c r="AP1290">
        <v>-109</v>
      </c>
      <c r="AQ1290">
        <v>-60</v>
      </c>
      <c r="AR1290">
        <v>192</v>
      </c>
      <c r="AZ1290">
        <v>1200</v>
      </c>
      <c r="BA1290">
        <v>1</v>
      </c>
      <c r="BB1290" t="str">
        <f t="shared" si="704"/>
        <v xml:space="preserve">N9217B  </v>
      </c>
      <c r="BC1290">
        <v>1</v>
      </c>
      <c r="BE1290">
        <v>0</v>
      </c>
      <c r="BF1290">
        <v>0</v>
      </c>
      <c r="BG1290">
        <v>0</v>
      </c>
      <c r="BH1290">
        <v>9050</v>
      </c>
      <c r="BI1290">
        <v>1</v>
      </c>
      <c r="BJ1290">
        <v>0</v>
      </c>
      <c r="BK1290">
        <v>0</v>
      </c>
      <c r="BL1290">
        <v>0</v>
      </c>
      <c r="BO1290">
        <v>0</v>
      </c>
      <c r="BP1290">
        <v>0</v>
      </c>
      <c r="BW1290" t="str">
        <f t="shared" si="708"/>
        <v>14:52:16.024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293</v>
      </c>
      <c r="CR1290">
        <v>1</v>
      </c>
      <c r="CW1290">
        <v>15284617</v>
      </c>
      <c r="CY1290">
        <v>0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25">
      <c r="A1291" t="str">
        <f t="shared" si="705"/>
        <v>06/05/2020 14:52:10.385</v>
      </c>
      <c r="C1291" t="str">
        <f t="shared" si="689"/>
        <v>FFDFD3C0</v>
      </c>
      <c r="D1291" t="s">
        <v>151</v>
      </c>
      <c r="E1291">
        <v>9</v>
      </c>
      <c r="H1291">
        <v>226</v>
      </c>
      <c r="I1291" t="s">
        <v>152</v>
      </c>
      <c r="J1291" t="s">
        <v>150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706"/>
        <v>14:52:16.023</v>
      </c>
      <c r="T1291" t="str">
        <f t="shared" si="707"/>
        <v>14:52:15.923</v>
      </c>
      <c r="U1291" t="str">
        <f t="shared" si="702"/>
        <v>ACC530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9</v>
      </c>
      <c r="AE1291">
        <v>0</v>
      </c>
      <c r="AF1291">
        <v>3</v>
      </c>
      <c r="AG1291">
        <v>1</v>
      </c>
      <c r="AH1291">
        <v>0</v>
      </c>
      <c r="AI1291" t="s">
        <v>533</v>
      </c>
      <c r="AJ1291">
        <v>34.205697000000001</v>
      </c>
      <c r="AK1291" t="s">
        <v>534</v>
      </c>
      <c r="AL1291">
        <v>-116.962852</v>
      </c>
      <c r="AM1291">
        <v>100</v>
      </c>
      <c r="AN1291">
        <v>9000</v>
      </c>
      <c r="AO1291" t="s">
        <v>118</v>
      </c>
      <c r="AP1291">
        <v>-109</v>
      </c>
      <c r="AQ1291">
        <v>-60</v>
      </c>
      <c r="AR1291">
        <v>192</v>
      </c>
      <c r="AZ1291">
        <v>1200</v>
      </c>
      <c r="BA1291">
        <v>1</v>
      </c>
      <c r="BB1291" t="str">
        <f t="shared" si="704"/>
        <v xml:space="preserve">N9217B  </v>
      </c>
      <c r="BC1291">
        <v>1</v>
      </c>
      <c r="BE1291">
        <v>0</v>
      </c>
      <c r="BF1291">
        <v>0</v>
      </c>
      <c r="BG1291">
        <v>0</v>
      </c>
      <c r="BH1291">
        <v>9050</v>
      </c>
      <c r="BI1291">
        <v>1</v>
      </c>
      <c r="BJ1291">
        <v>0</v>
      </c>
      <c r="BK1291">
        <v>0</v>
      </c>
      <c r="BL1291">
        <v>0</v>
      </c>
      <c r="BO1291">
        <v>0</v>
      </c>
      <c r="BP1291">
        <v>0</v>
      </c>
      <c r="BW1291" t="str">
        <f t="shared" si="708"/>
        <v>14:52:16.024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293</v>
      </c>
      <c r="CR1291">
        <v>1</v>
      </c>
      <c r="CW1291">
        <v>15284617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25">
      <c r="A1292" t="str">
        <f t="shared" si="705"/>
        <v>06/05/2020 14:52:10.385</v>
      </c>
      <c r="C1292" t="str">
        <f t="shared" si="689"/>
        <v>FFDFD3C0</v>
      </c>
      <c r="D1292" t="s">
        <v>148</v>
      </c>
      <c r="E1292">
        <v>11</v>
      </c>
      <c r="H1292">
        <v>53</v>
      </c>
      <c r="I1292" t="s">
        <v>364</v>
      </c>
      <c r="J1292" t="s">
        <v>150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706"/>
        <v>14:52:16.023</v>
      </c>
      <c r="T1292" t="str">
        <f t="shared" si="707"/>
        <v>14:52:15.923</v>
      </c>
      <c r="U1292" t="str">
        <f t="shared" si="702"/>
        <v>ACC530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9</v>
      </c>
      <c r="AE1292">
        <v>0</v>
      </c>
      <c r="AF1292">
        <v>3</v>
      </c>
      <c r="AG1292">
        <v>1</v>
      </c>
      <c r="AH1292">
        <v>0</v>
      </c>
      <c r="AI1292" t="s">
        <v>533</v>
      </c>
      <c r="AJ1292">
        <v>34.205697000000001</v>
      </c>
      <c r="AK1292" t="s">
        <v>534</v>
      </c>
      <c r="AL1292">
        <v>-116.962852</v>
      </c>
      <c r="AM1292">
        <v>100</v>
      </c>
      <c r="AN1292">
        <v>9000</v>
      </c>
      <c r="AO1292" t="s">
        <v>118</v>
      </c>
      <c r="AP1292">
        <v>-109</v>
      </c>
      <c r="AQ1292">
        <v>-60</v>
      </c>
      <c r="AR1292">
        <v>192</v>
      </c>
      <c r="AZ1292">
        <v>1200</v>
      </c>
      <c r="BA1292">
        <v>1</v>
      </c>
      <c r="BB1292" t="str">
        <f t="shared" si="704"/>
        <v xml:space="preserve">N9217B  </v>
      </c>
      <c r="BC1292">
        <v>1</v>
      </c>
      <c r="BE1292">
        <v>0</v>
      </c>
      <c r="BF1292">
        <v>0</v>
      </c>
      <c r="BG1292">
        <v>0</v>
      </c>
      <c r="BH1292">
        <v>9050</v>
      </c>
      <c r="BI1292">
        <v>1</v>
      </c>
      <c r="BJ1292">
        <v>0</v>
      </c>
      <c r="BK1292">
        <v>0</v>
      </c>
      <c r="BL1292">
        <v>0</v>
      </c>
      <c r="BO1292">
        <v>0</v>
      </c>
      <c r="BP1292">
        <v>0</v>
      </c>
      <c r="BW1292" t="str">
        <f t="shared" si="708"/>
        <v>14:52:16.024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293</v>
      </c>
      <c r="CR1292">
        <v>1</v>
      </c>
      <c r="CW1292">
        <v>15284617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25">
      <c r="A1293" t="str">
        <f t="shared" si="705"/>
        <v>06/05/2020 14:52:10.385</v>
      </c>
      <c r="C1293" t="str">
        <f t="shared" si="689"/>
        <v>FFDFD3C0</v>
      </c>
      <c r="D1293" t="s">
        <v>134</v>
      </c>
      <c r="E1293">
        <v>7</v>
      </c>
      <c r="F1293">
        <v>2007</v>
      </c>
      <c r="G1293" t="s">
        <v>135</v>
      </c>
      <c r="J1293" t="s">
        <v>136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706"/>
        <v>14:52:16.023</v>
      </c>
      <c r="T1293" t="str">
        <f t="shared" si="707"/>
        <v>14:52:15.923</v>
      </c>
      <c r="U1293" t="str">
        <f t="shared" si="702"/>
        <v>ACC530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9</v>
      </c>
      <c r="AE1293">
        <v>0</v>
      </c>
      <c r="AF1293">
        <v>3</v>
      </c>
      <c r="AG1293">
        <v>1</v>
      </c>
      <c r="AH1293">
        <v>0</v>
      </c>
      <c r="AI1293" t="s">
        <v>533</v>
      </c>
      <c r="AJ1293">
        <v>34.205697000000001</v>
      </c>
      <c r="AK1293" t="s">
        <v>534</v>
      </c>
      <c r="AL1293">
        <v>-116.962852</v>
      </c>
      <c r="AM1293">
        <v>100</v>
      </c>
      <c r="AN1293">
        <v>9000</v>
      </c>
      <c r="AO1293" t="s">
        <v>118</v>
      </c>
      <c r="AP1293">
        <v>-109</v>
      </c>
      <c r="AQ1293">
        <v>-60</v>
      </c>
      <c r="AR1293">
        <v>192</v>
      </c>
      <c r="AZ1293">
        <v>1200</v>
      </c>
      <c r="BA1293">
        <v>1</v>
      </c>
      <c r="BB1293" t="str">
        <f t="shared" si="704"/>
        <v xml:space="preserve">N9217B  </v>
      </c>
      <c r="BC1293">
        <v>1</v>
      </c>
      <c r="BE1293">
        <v>0</v>
      </c>
      <c r="BF1293">
        <v>0</v>
      </c>
      <c r="BG1293">
        <v>0</v>
      </c>
      <c r="BH1293">
        <v>9050</v>
      </c>
      <c r="BI1293">
        <v>1</v>
      </c>
      <c r="BJ1293">
        <v>0</v>
      </c>
      <c r="BK1293">
        <v>0</v>
      </c>
      <c r="BL1293">
        <v>0</v>
      </c>
      <c r="BO1293">
        <v>0</v>
      </c>
      <c r="BP1293">
        <v>0</v>
      </c>
      <c r="BW1293" t="str">
        <f t="shared" si="708"/>
        <v>14:52:16.024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293</v>
      </c>
      <c r="CR1293">
        <v>1</v>
      </c>
      <c r="CW1293">
        <v>15284617</v>
      </c>
      <c r="CY1293">
        <v>0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25">
      <c r="A1294" t="str">
        <f t="shared" ref="A1294:A1300" si="709">"06/05/2020 14:52:11.410"</f>
        <v>06/05/2020 14:52:11.410</v>
      </c>
      <c r="C1294" t="str">
        <f t="shared" si="689"/>
        <v>FFDFD3C0</v>
      </c>
      <c r="D1294" t="s">
        <v>113</v>
      </c>
      <c r="E1294">
        <v>3</v>
      </c>
      <c r="H1294">
        <v>166</v>
      </c>
      <c r="I1294" t="s">
        <v>114</v>
      </c>
      <c r="J1294" t="s">
        <v>115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ref="S1294:S1300" si="710">"14:52:17.070"</f>
        <v>14:52:17.070</v>
      </c>
      <c r="T1294" t="str">
        <f t="shared" ref="T1294:T1300" si="711">"14:52:16.870"</f>
        <v>14:52:16.870</v>
      </c>
      <c r="U1294" t="str">
        <f t="shared" si="702"/>
        <v>ACC530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9</v>
      </c>
      <c r="AE1294">
        <v>0</v>
      </c>
      <c r="AF1294">
        <v>3</v>
      </c>
      <c r="AG1294">
        <v>1</v>
      </c>
      <c r="AH1294">
        <v>0</v>
      </c>
      <c r="AI1294" t="s">
        <v>535</v>
      </c>
      <c r="AJ1294">
        <v>34.205418000000002</v>
      </c>
      <c r="AK1294" t="s">
        <v>536</v>
      </c>
      <c r="AL1294">
        <v>-116.963475</v>
      </c>
      <c r="AM1294">
        <v>100</v>
      </c>
      <c r="AN1294">
        <v>9000</v>
      </c>
      <c r="AO1294" t="s">
        <v>118</v>
      </c>
      <c r="AP1294">
        <v>-108</v>
      </c>
      <c r="AQ1294">
        <v>-60</v>
      </c>
      <c r="AR1294">
        <v>192</v>
      </c>
      <c r="AZ1294">
        <v>1200</v>
      </c>
      <c r="BA1294">
        <v>1</v>
      </c>
      <c r="BB1294" t="str">
        <f t="shared" si="704"/>
        <v xml:space="preserve">N9217B  </v>
      </c>
      <c r="BC1294">
        <v>1</v>
      </c>
      <c r="BE1294">
        <v>0</v>
      </c>
      <c r="BF1294">
        <v>0</v>
      </c>
      <c r="BG1294">
        <v>0</v>
      </c>
      <c r="BH1294">
        <v>9050</v>
      </c>
      <c r="BI1294">
        <v>1</v>
      </c>
      <c r="BJ1294">
        <v>0</v>
      </c>
      <c r="BK1294">
        <v>0</v>
      </c>
      <c r="BL1294">
        <v>0</v>
      </c>
      <c r="BO1294">
        <v>0</v>
      </c>
      <c r="BP1294">
        <v>0</v>
      </c>
      <c r="BW1294" t="str">
        <f t="shared" ref="BW1294:BW1300" si="712">"14:52:17.074"</f>
        <v>14:52:17.074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293</v>
      </c>
      <c r="CR1294">
        <v>1</v>
      </c>
      <c r="CW1294">
        <v>15284736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25">
      <c r="A1295" t="str">
        <f t="shared" si="709"/>
        <v>06/05/2020 14:52:11.410</v>
      </c>
      <c r="C1295" t="str">
        <f t="shared" si="689"/>
        <v>FFDFD3C0</v>
      </c>
      <c r="D1295" t="s">
        <v>151</v>
      </c>
      <c r="E1295">
        <v>8</v>
      </c>
      <c r="H1295">
        <v>225</v>
      </c>
      <c r="I1295" t="s">
        <v>353</v>
      </c>
      <c r="J1295" t="s">
        <v>150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710"/>
        <v>14:52:17.070</v>
      </c>
      <c r="T1295" t="str">
        <f t="shared" si="711"/>
        <v>14:52:16.870</v>
      </c>
      <c r="U1295" t="str">
        <f t="shared" si="702"/>
        <v>ACC530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9</v>
      </c>
      <c r="AE1295">
        <v>0</v>
      </c>
      <c r="AF1295">
        <v>3</v>
      </c>
      <c r="AG1295">
        <v>1</v>
      </c>
      <c r="AH1295">
        <v>0</v>
      </c>
      <c r="AI1295" t="s">
        <v>535</v>
      </c>
      <c r="AJ1295">
        <v>34.205418000000002</v>
      </c>
      <c r="AK1295" t="s">
        <v>536</v>
      </c>
      <c r="AL1295">
        <v>-116.963475</v>
      </c>
      <c r="AM1295">
        <v>100</v>
      </c>
      <c r="AN1295">
        <v>9000</v>
      </c>
      <c r="AO1295" t="s">
        <v>118</v>
      </c>
      <c r="AP1295">
        <v>-108</v>
      </c>
      <c r="AQ1295">
        <v>-60</v>
      </c>
      <c r="AR1295">
        <v>192</v>
      </c>
      <c r="AZ1295">
        <v>1200</v>
      </c>
      <c r="BA1295">
        <v>1</v>
      </c>
      <c r="BB1295" t="str">
        <f t="shared" si="704"/>
        <v xml:space="preserve">N9217B  </v>
      </c>
      <c r="BC1295">
        <v>1</v>
      </c>
      <c r="BE1295">
        <v>0</v>
      </c>
      <c r="BF1295">
        <v>0</v>
      </c>
      <c r="BG1295">
        <v>0</v>
      </c>
      <c r="BH1295">
        <v>9050</v>
      </c>
      <c r="BI1295">
        <v>1</v>
      </c>
      <c r="BJ1295">
        <v>0</v>
      </c>
      <c r="BK1295">
        <v>0</v>
      </c>
      <c r="BL1295">
        <v>0</v>
      </c>
      <c r="BO1295">
        <v>0</v>
      </c>
      <c r="BP1295">
        <v>0</v>
      </c>
      <c r="BW1295" t="str">
        <f t="shared" si="712"/>
        <v>14:52:17.074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6</v>
      </c>
      <c r="CP1295" t="s">
        <v>119</v>
      </c>
      <c r="CQ1295">
        <v>285</v>
      </c>
      <c r="CR1295">
        <v>0</v>
      </c>
      <c r="CW1295">
        <v>8851285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25">
      <c r="A1296" t="str">
        <f t="shared" si="709"/>
        <v>06/05/2020 14:52:11.410</v>
      </c>
      <c r="C1296" t="str">
        <f t="shared" si="689"/>
        <v>FFDFD3C0</v>
      </c>
      <c r="D1296" t="s">
        <v>148</v>
      </c>
      <c r="E1296">
        <v>8</v>
      </c>
      <c r="H1296">
        <v>50</v>
      </c>
      <c r="I1296" t="s">
        <v>149</v>
      </c>
      <c r="J1296" t="s">
        <v>150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710"/>
        <v>14:52:17.070</v>
      </c>
      <c r="T1296" t="str">
        <f t="shared" si="711"/>
        <v>14:52:16.870</v>
      </c>
      <c r="U1296" t="str">
        <f t="shared" si="702"/>
        <v>ACC530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9</v>
      </c>
      <c r="AE1296">
        <v>0</v>
      </c>
      <c r="AF1296">
        <v>3</v>
      </c>
      <c r="AG1296">
        <v>1</v>
      </c>
      <c r="AH1296">
        <v>0</v>
      </c>
      <c r="AI1296" t="s">
        <v>535</v>
      </c>
      <c r="AJ1296">
        <v>34.205418000000002</v>
      </c>
      <c r="AK1296" t="s">
        <v>536</v>
      </c>
      <c r="AL1296">
        <v>-116.963475</v>
      </c>
      <c r="AM1296">
        <v>100</v>
      </c>
      <c r="AN1296">
        <v>9000</v>
      </c>
      <c r="AO1296" t="s">
        <v>118</v>
      </c>
      <c r="AP1296">
        <v>-108</v>
      </c>
      <c r="AQ1296">
        <v>-60</v>
      </c>
      <c r="AR1296">
        <v>192</v>
      </c>
      <c r="AZ1296">
        <v>1200</v>
      </c>
      <c r="BA1296">
        <v>1</v>
      </c>
      <c r="BB1296" t="str">
        <f t="shared" si="704"/>
        <v xml:space="preserve">N9217B  </v>
      </c>
      <c r="BC1296">
        <v>1</v>
      </c>
      <c r="BE1296">
        <v>0</v>
      </c>
      <c r="BF1296">
        <v>0</v>
      </c>
      <c r="BG1296">
        <v>0</v>
      </c>
      <c r="BH1296">
        <v>9050</v>
      </c>
      <c r="BI1296">
        <v>1</v>
      </c>
      <c r="BJ1296">
        <v>0</v>
      </c>
      <c r="BK1296">
        <v>0</v>
      </c>
      <c r="BL1296">
        <v>0</v>
      </c>
      <c r="BO1296">
        <v>0</v>
      </c>
      <c r="BP1296">
        <v>0</v>
      </c>
      <c r="BW1296" t="str">
        <f t="shared" si="712"/>
        <v>14:52:17.074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293</v>
      </c>
      <c r="CR1296">
        <v>1</v>
      </c>
      <c r="CW1296">
        <v>15284736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25">
      <c r="A1297" t="str">
        <f t="shared" si="709"/>
        <v>06/05/2020 14:52:11.410</v>
      </c>
      <c r="C1297" t="str">
        <f t="shared" si="689"/>
        <v>FFDFD3C0</v>
      </c>
      <c r="D1297" t="s">
        <v>151</v>
      </c>
      <c r="E1297">
        <v>9</v>
      </c>
      <c r="H1297">
        <v>226</v>
      </c>
      <c r="I1297" t="s">
        <v>152</v>
      </c>
      <c r="J1297" t="s">
        <v>150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710"/>
        <v>14:52:17.070</v>
      </c>
      <c r="T1297" t="str">
        <f t="shared" si="711"/>
        <v>14:52:16.870</v>
      </c>
      <c r="U1297" t="str">
        <f t="shared" si="702"/>
        <v>ACC530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9</v>
      </c>
      <c r="AE1297">
        <v>0</v>
      </c>
      <c r="AF1297">
        <v>3</v>
      </c>
      <c r="AG1297">
        <v>1</v>
      </c>
      <c r="AH1297">
        <v>0</v>
      </c>
      <c r="AI1297" t="s">
        <v>535</v>
      </c>
      <c r="AJ1297">
        <v>34.205418000000002</v>
      </c>
      <c r="AK1297" t="s">
        <v>536</v>
      </c>
      <c r="AL1297">
        <v>-116.963475</v>
      </c>
      <c r="AM1297">
        <v>100</v>
      </c>
      <c r="AN1297">
        <v>9000</v>
      </c>
      <c r="AO1297" t="s">
        <v>118</v>
      </c>
      <c r="AP1297">
        <v>-108</v>
      </c>
      <c r="AQ1297">
        <v>-60</v>
      </c>
      <c r="AR1297">
        <v>192</v>
      </c>
      <c r="AZ1297">
        <v>1200</v>
      </c>
      <c r="BA1297">
        <v>1</v>
      </c>
      <c r="BB1297" t="str">
        <f t="shared" si="704"/>
        <v xml:space="preserve">N9217B  </v>
      </c>
      <c r="BC1297">
        <v>1</v>
      </c>
      <c r="BE1297">
        <v>0</v>
      </c>
      <c r="BF1297">
        <v>0</v>
      </c>
      <c r="BG1297">
        <v>0</v>
      </c>
      <c r="BH1297">
        <v>9050</v>
      </c>
      <c r="BI1297">
        <v>1</v>
      </c>
      <c r="BJ1297">
        <v>0</v>
      </c>
      <c r="BK1297">
        <v>0</v>
      </c>
      <c r="BL1297">
        <v>0</v>
      </c>
      <c r="BO1297">
        <v>0</v>
      </c>
      <c r="BP1297">
        <v>0</v>
      </c>
      <c r="BW1297" t="str">
        <f t="shared" si="712"/>
        <v>14:52:17.074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293</v>
      </c>
      <c r="CR1297">
        <v>1</v>
      </c>
      <c r="CW1297">
        <v>15284736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25">
      <c r="A1298" t="str">
        <f t="shared" si="709"/>
        <v>06/05/2020 14:52:11.410</v>
      </c>
      <c r="C1298" t="str">
        <f t="shared" si="689"/>
        <v>FFDFD3C0</v>
      </c>
      <c r="D1298" t="s">
        <v>148</v>
      </c>
      <c r="E1298">
        <v>11</v>
      </c>
      <c r="H1298">
        <v>53</v>
      </c>
      <c r="I1298" t="s">
        <v>364</v>
      </c>
      <c r="J1298" t="s">
        <v>150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710"/>
        <v>14:52:17.070</v>
      </c>
      <c r="T1298" t="str">
        <f t="shared" si="711"/>
        <v>14:52:16.870</v>
      </c>
      <c r="U1298" t="str">
        <f t="shared" si="702"/>
        <v>ACC530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9</v>
      </c>
      <c r="AE1298">
        <v>0</v>
      </c>
      <c r="AF1298">
        <v>3</v>
      </c>
      <c r="AG1298">
        <v>1</v>
      </c>
      <c r="AH1298">
        <v>0</v>
      </c>
      <c r="AI1298" t="s">
        <v>535</v>
      </c>
      <c r="AJ1298">
        <v>34.205418000000002</v>
      </c>
      <c r="AK1298" t="s">
        <v>536</v>
      </c>
      <c r="AL1298">
        <v>-116.963475</v>
      </c>
      <c r="AM1298">
        <v>100</v>
      </c>
      <c r="AN1298">
        <v>9000</v>
      </c>
      <c r="AO1298" t="s">
        <v>118</v>
      </c>
      <c r="AP1298">
        <v>-108</v>
      </c>
      <c r="AQ1298">
        <v>-60</v>
      </c>
      <c r="AR1298">
        <v>192</v>
      </c>
      <c r="AZ1298">
        <v>1200</v>
      </c>
      <c r="BA1298">
        <v>1</v>
      </c>
      <c r="BB1298" t="str">
        <f t="shared" si="704"/>
        <v xml:space="preserve">N9217B  </v>
      </c>
      <c r="BC1298">
        <v>1</v>
      </c>
      <c r="BE1298">
        <v>0</v>
      </c>
      <c r="BF1298">
        <v>0</v>
      </c>
      <c r="BG1298">
        <v>0</v>
      </c>
      <c r="BH1298">
        <v>9050</v>
      </c>
      <c r="BI1298">
        <v>1</v>
      </c>
      <c r="BJ1298">
        <v>0</v>
      </c>
      <c r="BK1298">
        <v>0</v>
      </c>
      <c r="BL1298">
        <v>0</v>
      </c>
      <c r="BO1298">
        <v>0</v>
      </c>
      <c r="BP1298">
        <v>0</v>
      </c>
      <c r="BW1298" t="str">
        <f t="shared" si="712"/>
        <v>14:52:17.074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293</v>
      </c>
      <c r="CR1298">
        <v>1</v>
      </c>
      <c r="CW1298">
        <v>15284736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25">
      <c r="A1299" t="str">
        <f t="shared" si="709"/>
        <v>06/05/2020 14:52:11.410</v>
      </c>
      <c r="C1299" t="str">
        <f t="shared" si="689"/>
        <v>FFDFD3C0</v>
      </c>
      <c r="D1299" t="s">
        <v>134</v>
      </c>
      <c r="E1299">
        <v>7</v>
      </c>
      <c r="F1299">
        <v>2007</v>
      </c>
      <c r="G1299" t="s">
        <v>135</v>
      </c>
      <c r="J1299" t="s">
        <v>136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710"/>
        <v>14:52:17.070</v>
      </c>
      <c r="T1299" t="str">
        <f t="shared" si="711"/>
        <v>14:52:16.870</v>
      </c>
      <c r="U1299" t="str">
        <f t="shared" si="702"/>
        <v>ACC530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9</v>
      </c>
      <c r="AE1299">
        <v>0</v>
      </c>
      <c r="AF1299">
        <v>3</v>
      </c>
      <c r="AG1299">
        <v>1</v>
      </c>
      <c r="AH1299">
        <v>0</v>
      </c>
      <c r="AI1299" t="s">
        <v>535</v>
      </c>
      <c r="AJ1299">
        <v>34.205418000000002</v>
      </c>
      <c r="AK1299" t="s">
        <v>536</v>
      </c>
      <c r="AL1299">
        <v>-116.963475</v>
      </c>
      <c r="AM1299">
        <v>100</v>
      </c>
      <c r="AN1299">
        <v>9000</v>
      </c>
      <c r="AO1299" t="s">
        <v>118</v>
      </c>
      <c r="AP1299">
        <v>-108</v>
      </c>
      <c r="AQ1299">
        <v>-60</v>
      </c>
      <c r="AR1299">
        <v>192</v>
      </c>
      <c r="AZ1299">
        <v>1200</v>
      </c>
      <c r="BA1299">
        <v>1</v>
      </c>
      <c r="BB1299" t="str">
        <f t="shared" si="704"/>
        <v xml:space="preserve">N9217B  </v>
      </c>
      <c r="BC1299">
        <v>1</v>
      </c>
      <c r="BE1299">
        <v>0</v>
      </c>
      <c r="BF1299">
        <v>0</v>
      </c>
      <c r="BG1299">
        <v>0</v>
      </c>
      <c r="BH1299">
        <v>9050</v>
      </c>
      <c r="BI1299">
        <v>1</v>
      </c>
      <c r="BJ1299">
        <v>0</v>
      </c>
      <c r="BK1299">
        <v>0</v>
      </c>
      <c r="BL1299">
        <v>0</v>
      </c>
      <c r="BO1299">
        <v>0</v>
      </c>
      <c r="BP1299">
        <v>0</v>
      </c>
      <c r="BW1299" t="str">
        <f t="shared" si="712"/>
        <v>14:52:17.074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293</v>
      </c>
      <c r="CR1299">
        <v>1</v>
      </c>
      <c r="CW1299">
        <v>15284736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25">
      <c r="A1300" t="str">
        <f t="shared" si="709"/>
        <v>06/05/2020 14:52:11.410</v>
      </c>
      <c r="C1300" t="str">
        <f t="shared" si="689"/>
        <v>FFDFD3C0</v>
      </c>
      <c r="D1300" t="s">
        <v>141</v>
      </c>
      <c r="E1300">
        <v>20</v>
      </c>
      <c r="F1300">
        <v>1020</v>
      </c>
      <c r="G1300" t="s">
        <v>114</v>
      </c>
      <c r="J1300" t="s">
        <v>142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710"/>
        <v>14:52:17.070</v>
      </c>
      <c r="T1300" t="str">
        <f t="shared" si="711"/>
        <v>14:52:16.870</v>
      </c>
      <c r="U1300" t="str">
        <f t="shared" si="702"/>
        <v>ACC530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9</v>
      </c>
      <c r="AE1300">
        <v>0</v>
      </c>
      <c r="AF1300">
        <v>3</v>
      </c>
      <c r="AG1300">
        <v>1</v>
      </c>
      <c r="AH1300">
        <v>0</v>
      </c>
      <c r="AI1300" t="s">
        <v>535</v>
      </c>
      <c r="AJ1300">
        <v>34.205418000000002</v>
      </c>
      <c r="AK1300" t="s">
        <v>536</v>
      </c>
      <c r="AL1300">
        <v>-116.963475</v>
      </c>
      <c r="AM1300">
        <v>100</v>
      </c>
      <c r="AN1300">
        <v>9000</v>
      </c>
      <c r="AO1300" t="s">
        <v>118</v>
      </c>
      <c r="AP1300">
        <v>-108</v>
      </c>
      <c r="AQ1300">
        <v>-60</v>
      </c>
      <c r="AR1300">
        <v>192</v>
      </c>
      <c r="AZ1300">
        <v>1200</v>
      </c>
      <c r="BA1300">
        <v>1</v>
      </c>
      <c r="BB1300" t="str">
        <f t="shared" si="704"/>
        <v xml:space="preserve">N9217B  </v>
      </c>
      <c r="BC1300">
        <v>1</v>
      </c>
      <c r="BE1300">
        <v>0</v>
      </c>
      <c r="BF1300">
        <v>0</v>
      </c>
      <c r="BG1300">
        <v>0</v>
      </c>
      <c r="BH1300">
        <v>9050</v>
      </c>
      <c r="BI1300">
        <v>1</v>
      </c>
      <c r="BJ1300">
        <v>0</v>
      </c>
      <c r="BK1300">
        <v>0</v>
      </c>
      <c r="BL1300">
        <v>0</v>
      </c>
      <c r="BO1300">
        <v>0</v>
      </c>
      <c r="BP1300">
        <v>0</v>
      </c>
      <c r="BW1300" t="str">
        <f t="shared" si="712"/>
        <v>14:52:17.074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293</v>
      </c>
      <c r="CR1300">
        <v>1</v>
      </c>
      <c r="CW1300">
        <v>15284736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25">
      <c r="A1301" t="str">
        <f t="shared" ref="A1301:A1307" si="713">"06/05/2020 14:52:12.439"</f>
        <v>06/05/2020 14:52:12.439</v>
      </c>
      <c r="C1301" t="str">
        <f t="shared" si="689"/>
        <v>FFDFD3C0</v>
      </c>
      <c r="D1301" t="s">
        <v>151</v>
      </c>
      <c r="E1301">
        <v>8</v>
      </c>
      <c r="H1301">
        <v>225</v>
      </c>
      <c r="I1301" t="s">
        <v>353</v>
      </c>
      <c r="J1301" t="s">
        <v>150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7" si="714">"14:52:18.078"</f>
        <v>14:52:18.078</v>
      </c>
      <c r="T1301" t="str">
        <f t="shared" ref="T1301:T1307" si="715">"14:52:17.678"</f>
        <v>14:52:17.678</v>
      </c>
      <c r="U1301" t="str">
        <f t="shared" si="702"/>
        <v>ACC530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9</v>
      </c>
      <c r="AE1301">
        <v>0</v>
      </c>
      <c r="AF1301">
        <v>3</v>
      </c>
      <c r="AG1301">
        <v>1</v>
      </c>
      <c r="AH1301">
        <v>0</v>
      </c>
      <c r="AI1301" t="s">
        <v>537</v>
      </c>
      <c r="AJ1301">
        <v>34.205117000000001</v>
      </c>
      <c r="AK1301" t="s">
        <v>538</v>
      </c>
      <c r="AL1301">
        <v>-116.964097</v>
      </c>
      <c r="AM1301">
        <v>100</v>
      </c>
      <c r="AN1301">
        <v>9000</v>
      </c>
      <c r="AO1301" t="s">
        <v>118</v>
      </c>
      <c r="AP1301">
        <v>-108</v>
      </c>
      <c r="AQ1301">
        <v>-60</v>
      </c>
      <c r="AR1301">
        <v>128</v>
      </c>
      <c r="AZ1301">
        <v>1200</v>
      </c>
      <c r="BA1301">
        <v>1</v>
      </c>
      <c r="BB1301" t="str">
        <f t="shared" si="704"/>
        <v xml:space="preserve">N9217B  </v>
      </c>
      <c r="BC1301">
        <v>1</v>
      </c>
      <c r="BE1301">
        <v>0</v>
      </c>
      <c r="BF1301">
        <v>0</v>
      </c>
      <c r="BG1301">
        <v>0</v>
      </c>
      <c r="BH1301">
        <v>9050</v>
      </c>
      <c r="BI1301">
        <v>1</v>
      </c>
      <c r="BJ1301">
        <v>0</v>
      </c>
      <c r="BK1301">
        <v>0</v>
      </c>
      <c r="BL1301">
        <v>0</v>
      </c>
      <c r="BO1301">
        <v>0</v>
      </c>
      <c r="BP1301">
        <v>0</v>
      </c>
      <c r="BW1301" t="str">
        <f t="shared" ref="BW1301:BW1307" si="716">"14:52:18.079"</f>
        <v>14:52:18.079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6</v>
      </c>
      <c r="CP1301" t="s">
        <v>119</v>
      </c>
      <c r="CQ1301">
        <v>285</v>
      </c>
      <c r="CR1301">
        <v>0</v>
      </c>
      <c r="CW1301">
        <v>8851371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25">
      <c r="A1302" t="str">
        <f t="shared" si="713"/>
        <v>06/05/2020 14:52:12.439</v>
      </c>
      <c r="C1302" t="str">
        <f t="shared" si="689"/>
        <v>FFDFD3C0</v>
      </c>
      <c r="D1302" t="s">
        <v>148</v>
      </c>
      <c r="E1302">
        <v>8</v>
      </c>
      <c r="H1302">
        <v>50</v>
      </c>
      <c r="I1302" t="s">
        <v>149</v>
      </c>
      <c r="J1302" t="s">
        <v>150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714"/>
        <v>14:52:18.078</v>
      </c>
      <c r="T1302" t="str">
        <f t="shared" si="715"/>
        <v>14:52:17.678</v>
      </c>
      <c r="U1302" t="str">
        <f t="shared" si="702"/>
        <v>ACC530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9</v>
      </c>
      <c r="AE1302">
        <v>0</v>
      </c>
      <c r="AF1302">
        <v>3</v>
      </c>
      <c r="AG1302">
        <v>1</v>
      </c>
      <c r="AH1302">
        <v>0</v>
      </c>
      <c r="AI1302" t="s">
        <v>537</v>
      </c>
      <c r="AJ1302">
        <v>34.205117000000001</v>
      </c>
      <c r="AK1302" t="s">
        <v>538</v>
      </c>
      <c r="AL1302">
        <v>-116.964097</v>
      </c>
      <c r="AM1302">
        <v>100</v>
      </c>
      <c r="AN1302">
        <v>9000</v>
      </c>
      <c r="AO1302" t="s">
        <v>118</v>
      </c>
      <c r="AP1302">
        <v>-108</v>
      </c>
      <c r="AQ1302">
        <v>-60</v>
      </c>
      <c r="AR1302">
        <v>128</v>
      </c>
      <c r="AZ1302">
        <v>1200</v>
      </c>
      <c r="BA1302">
        <v>1</v>
      </c>
      <c r="BB1302" t="str">
        <f t="shared" si="704"/>
        <v xml:space="preserve">N9217B  </v>
      </c>
      <c r="BC1302">
        <v>1</v>
      </c>
      <c r="BE1302">
        <v>0</v>
      </c>
      <c r="BF1302">
        <v>0</v>
      </c>
      <c r="BG1302">
        <v>0</v>
      </c>
      <c r="BH1302">
        <v>9050</v>
      </c>
      <c r="BI1302">
        <v>1</v>
      </c>
      <c r="BJ1302">
        <v>0</v>
      </c>
      <c r="BK1302">
        <v>0</v>
      </c>
      <c r="BL1302">
        <v>0</v>
      </c>
      <c r="BO1302">
        <v>0</v>
      </c>
      <c r="BP1302">
        <v>0</v>
      </c>
      <c r="BW1302" t="str">
        <f t="shared" si="716"/>
        <v>14:52:18.079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6</v>
      </c>
      <c r="CP1302" t="s">
        <v>119</v>
      </c>
      <c r="CQ1302">
        <v>285</v>
      </c>
      <c r="CR1302">
        <v>0</v>
      </c>
      <c r="CW1302">
        <v>8851371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25">
      <c r="A1303" t="str">
        <f t="shared" si="713"/>
        <v>06/05/2020 14:52:12.439</v>
      </c>
      <c r="C1303" t="str">
        <f t="shared" si="689"/>
        <v>FFDFD3C0</v>
      </c>
      <c r="D1303" t="s">
        <v>151</v>
      </c>
      <c r="E1303">
        <v>9</v>
      </c>
      <c r="H1303">
        <v>226</v>
      </c>
      <c r="I1303" t="s">
        <v>152</v>
      </c>
      <c r="J1303" t="s">
        <v>150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714"/>
        <v>14:52:18.078</v>
      </c>
      <c r="T1303" t="str">
        <f t="shared" si="715"/>
        <v>14:52:17.678</v>
      </c>
      <c r="U1303" t="str">
        <f t="shared" si="702"/>
        <v>ACC530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9</v>
      </c>
      <c r="AE1303">
        <v>0</v>
      </c>
      <c r="AF1303">
        <v>3</v>
      </c>
      <c r="AG1303">
        <v>1</v>
      </c>
      <c r="AH1303">
        <v>0</v>
      </c>
      <c r="AI1303" t="s">
        <v>537</v>
      </c>
      <c r="AJ1303">
        <v>34.205117000000001</v>
      </c>
      <c r="AK1303" t="s">
        <v>538</v>
      </c>
      <c r="AL1303">
        <v>-116.964097</v>
      </c>
      <c r="AM1303">
        <v>100</v>
      </c>
      <c r="AN1303">
        <v>9000</v>
      </c>
      <c r="AO1303" t="s">
        <v>118</v>
      </c>
      <c r="AP1303">
        <v>-108</v>
      </c>
      <c r="AQ1303">
        <v>-60</v>
      </c>
      <c r="AR1303">
        <v>128</v>
      </c>
      <c r="AZ1303">
        <v>1200</v>
      </c>
      <c r="BA1303">
        <v>1</v>
      </c>
      <c r="BB1303" t="str">
        <f t="shared" si="704"/>
        <v xml:space="preserve">N9217B  </v>
      </c>
      <c r="BC1303">
        <v>1</v>
      </c>
      <c r="BE1303">
        <v>0</v>
      </c>
      <c r="BF1303">
        <v>0</v>
      </c>
      <c r="BG1303">
        <v>0</v>
      </c>
      <c r="BH1303">
        <v>9050</v>
      </c>
      <c r="BI1303">
        <v>1</v>
      </c>
      <c r="BJ1303">
        <v>0</v>
      </c>
      <c r="BK1303">
        <v>0</v>
      </c>
      <c r="BL1303">
        <v>0</v>
      </c>
      <c r="BO1303">
        <v>0</v>
      </c>
      <c r="BP1303">
        <v>0</v>
      </c>
      <c r="BW1303" t="str">
        <f t="shared" si="716"/>
        <v>14:52:18.079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6</v>
      </c>
      <c r="CP1303" t="s">
        <v>119</v>
      </c>
      <c r="CQ1303">
        <v>285</v>
      </c>
      <c r="CR1303">
        <v>0</v>
      </c>
      <c r="CW1303">
        <v>8851371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25">
      <c r="A1304" t="str">
        <f t="shared" si="713"/>
        <v>06/05/2020 14:52:12.439</v>
      </c>
      <c r="C1304" t="str">
        <f t="shared" si="689"/>
        <v>FFDFD3C0</v>
      </c>
      <c r="D1304" t="s">
        <v>148</v>
      </c>
      <c r="E1304">
        <v>11</v>
      </c>
      <c r="H1304">
        <v>53</v>
      </c>
      <c r="I1304" t="s">
        <v>364</v>
      </c>
      <c r="J1304" t="s">
        <v>150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714"/>
        <v>14:52:18.078</v>
      </c>
      <c r="T1304" t="str">
        <f t="shared" si="715"/>
        <v>14:52:17.678</v>
      </c>
      <c r="U1304" t="str">
        <f t="shared" si="702"/>
        <v>ACC530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9</v>
      </c>
      <c r="AE1304">
        <v>0</v>
      </c>
      <c r="AF1304">
        <v>3</v>
      </c>
      <c r="AG1304">
        <v>1</v>
      </c>
      <c r="AH1304">
        <v>0</v>
      </c>
      <c r="AI1304" t="s">
        <v>537</v>
      </c>
      <c r="AJ1304">
        <v>34.205117000000001</v>
      </c>
      <c r="AK1304" t="s">
        <v>538</v>
      </c>
      <c r="AL1304">
        <v>-116.964097</v>
      </c>
      <c r="AM1304">
        <v>100</v>
      </c>
      <c r="AN1304">
        <v>9000</v>
      </c>
      <c r="AO1304" t="s">
        <v>118</v>
      </c>
      <c r="AP1304">
        <v>-108</v>
      </c>
      <c r="AQ1304">
        <v>-60</v>
      </c>
      <c r="AR1304">
        <v>128</v>
      </c>
      <c r="AZ1304">
        <v>1200</v>
      </c>
      <c r="BA1304">
        <v>1</v>
      </c>
      <c r="BB1304" t="str">
        <f t="shared" si="704"/>
        <v xml:space="preserve">N9217B  </v>
      </c>
      <c r="BC1304">
        <v>1</v>
      </c>
      <c r="BE1304">
        <v>0</v>
      </c>
      <c r="BF1304">
        <v>0</v>
      </c>
      <c r="BG1304">
        <v>0</v>
      </c>
      <c r="BH1304">
        <v>9050</v>
      </c>
      <c r="BI1304">
        <v>1</v>
      </c>
      <c r="BJ1304">
        <v>0</v>
      </c>
      <c r="BK1304">
        <v>0</v>
      </c>
      <c r="BL1304">
        <v>0</v>
      </c>
      <c r="BO1304">
        <v>0</v>
      </c>
      <c r="BP1304">
        <v>0</v>
      </c>
      <c r="BW1304" t="str">
        <f t="shared" si="716"/>
        <v>14:52:18.079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6</v>
      </c>
      <c r="CP1304" t="s">
        <v>119</v>
      </c>
      <c r="CQ1304">
        <v>285</v>
      </c>
      <c r="CR1304">
        <v>0</v>
      </c>
      <c r="CW1304">
        <v>8851371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25">
      <c r="A1305" t="str">
        <f t="shared" si="713"/>
        <v>06/05/2020 14:52:12.439</v>
      </c>
      <c r="C1305" t="str">
        <f t="shared" si="689"/>
        <v>FFDFD3C0</v>
      </c>
      <c r="D1305" t="s">
        <v>134</v>
      </c>
      <c r="E1305">
        <v>7</v>
      </c>
      <c r="F1305">
        <v>2007</v>
      </c>
      <c r="G1305" t="s">
        <v>135</v>
      </c>
      <c r="J1305" t="s">
        <v>136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714"/>
        <v>14:52:18.078</v>
      </c>
      <c r="T1305" t="str">
        <f t="shared" si="715"/>
        <v>14:52:17.678</v>
      </c>
      <c r="U1305" t="str">
        <f t="shared" si="702"/>
        <v>ACC530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9</v>
      </c>
      <c r="AE1305">
        <v>0</v>
      </c>
      <c r="AF1305">
        <v>3</v>
      </c>
      <c r="AG1305">
        <v>1</v>
      </c>
      <c r="AH1305">
        <v>0</v>
      </c>
      <c r="AI1305" t="s">
        <v>537</v>
      </c>
      <c r="AJ1305">
        <v>34.205117000000001</v>
      </c>
      <c r="AK1305" t="s">
        <v>538</v>
      </c>
      <c r="AL1305">
        <v>-116.964097</v>
      </c>
      <c r="AM1305">
        <v>100</v>
      </c>
      <c r="AN1305">
        <v>9000</v>
      </c>
      <c r="AO1305" t="s">
        <v>118</v>
      </c>
      <c r="AP1305">
        <v>-108</v>
      </c>
      <c r="AQ1305">
        <v>-60</v>
      </c>
      <c r="AR1305">
        <v>128</v>
      </c>
      <c r="AZ1305">
        <v>1200</v>
      </c>
      <c r="BA1305">
        <v>1</v>
      </c>
      <c r="BB1305" t="str">
        <f t="shared" si="704"/>
        <v xml:space="preserve">N9217B  </v>
      </c>
      <c r="BC1305">
        <v>1</v>
      </c>
      <c r="BE1305">
        <v>0</v>
      </c>
      <c r="BF1305">
        <v>0</v>
      </c>
      <c r="BG1305">
        <v>0</v>
      </c>
      <c r="BH1305">
        <v>9050</v>
      </c>
      <c r="BI1305">
        <v>1</v>
      </c>
      <c r="BJ1305">
        <v>0</v>
      </c>
      <c r="BK1305">
        <v>0</v>
      </c>
      <c r="BL1305">
        <v>0</v>
      </c>
      <c r="BO1305">
        <v>0</v>
      </c>
      <c r="BP1305">
        <v>0</v>
      </c>
      <c r="BW1305" t="str">
        <f t="shared" si="716"/>
        <v>14:52:18.079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6</v>
      </c>
      <c r="CP1305" t="s">
        <v>119</v>
      </c>
      <c r="CQ1305">
        <v>285</v>
      </c>
      <c r="CR1305">
        <v>0</v>
      </c>
      <c r="CW1305">
        <v>8851371</v>
      </c>
      <c r="CY1305">
        <v>0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25">
      <c r="A1306" t="str">
        <f t="shared" si="713"/>
        <v>06/05/2020 14:52:12.439</v>
      </c>
      <c r="C1306" t="str">
        <f t="shared" si="689"/>
        <v>FFDFD3C0</v>
      </c>
      <c r="D1306" t="s">
        <v>141</v>
      </c>
      <c r="E1306">
        <v>20</v>
      </c>
      <c r="F1306">
        <v>1020</v>
      </c>
      <c r="G1306" t="s">
        <v>114</v>
      </c>
      <c r="J1306" t="s">
        <v>142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714"/>
        <v>14:52:18.078</v>
      </c>
      <c r="T1306" t="str">
        <f t="shared" si="715"/>
        <v>14:52:17.678</v>
      </c>
      <c r="U1306" t="str">
        <f t="shared" si="702"/>
        <v>ACC530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9</v>
      </c>
      <c r="AE1306">
        <v>0</v>
      </c>
      <c r="AF1306">
        <v>3</v>
      </c>
      <c r="AG1306">
        <v>1</v>
      </c>
      <c r="AH1306">
        <v>0</v>
      </c>
      <c r="AI1306" t="s">
        <v>537</v>
      </c>
      <c r="AJ1306">
        <v>34.205117000000001</v>
      </c>
      <c r="AK1306" t="s">
        <v>538</v>
      </c>
      <c r="AL1306">
        <v>-116.964097</v>
      </c>
      <c r="AM1306">
        <v>100</v>
      </c>
      <c r="AN1306">
        <v>9000</v>
      </c>
      <c r="AO1306" t="s">
        <v>118</v>
      </c>
      <c r="AP1306">
        <v>-108</v>
      </c>
      <c r="AQ1306">
        <v>-60</v>
      </c>
      <c r="AR1306">
        <v>128</v>
      </c>
      <c r="AZ1306">
        <v>1200</v>
      </c>
      <c r="BA1306">
        <v>1</v>
      </c>
      <c r="BB1306" t="str">
        <f t="shared" si="704"/>
        <v xml:space="preserve">N9217B  </v>
      </c>
      <c r="BC1306">
        <v>1</v>
      </c>
      <c r="BE1306">
        <v>0</v>
      </c>
      <c r="BF1306">
        <v>0</v>
      </c>
      <c r="BG1306">
        <v>0</v>
      </c>
      <c r="BH1306">
        <v>9050</v>
      </c>
      <c r="BI1306">
        <v>1</v>
      </c>
      <c r="BJ1306">
        <v>0</v>
      </c>
      <c r="BK1306">
        <v>0</v>
      </c>
      <c r="BL1306">
        <v>0</v>
      </c>
      <c r="BO1306">
        <v>0</v>
      </c>
      <c r="BP1306">
        <v>0</v>
      </c>
      <c r="BW1306" t="str">
        <f t="shared" si="716"/>
        <v>14:52:18.079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6</v>
      </c>
      <c r="CP1306" t="s">
        <v>119</v>
      </c>
      <c r="CQ1306">
        <v>285</v>
      </c>
      <c r="CR1306">
        <v>0</v>
      </c>
      <c r="CW1306">
        <v>8851371</v>
      </c>
      <c r="CY1306">
        <v>0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25">
      <c r="A1307" t="str">
        <f t="shared" si="713"/>
        <v>06/05/2020 14:52:12.439</v>
      </c>
      <c r="C1307" t="str">
        <f t="shared" si="689"/>
        <v>FFDFD3C0</v>
      </c>
      <c r="D1307" t="s">
        <v>113</v>
      </c>
      <c r="E1307">
        <v>3</v>
      </c>
      <c r="H1307">
        <v>166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714"/>
        <v>14:52:18.078</v>
      </c>
      <c r="T1307" t="str">
        <f t="shared" si="715"/>
        <v>14:52:17.678</v>
      </c>
      <c r="U1307" t="str">
        <f t="shared" si="702"/>
        <v>ACC530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9</v>
      </c>
      <c r="AE1307">
        <v>0</v>
      </c>
      <c r="AF1307">
        <v>3</v>
      </c>
      <c r="AG1307">
        <v>1</v>
      </c>
      <c r="AH1307">
        <v>0</v>
      </c>
      <c r="AI1307" t="s">
        <v>537</v>
      </c>
      <c r="AJ1307">
        <v>34.205117000000001</v>
      </c>
      <c r="AK1307" t="s">
        <v>538</v>
      </c>
      <c r="AL1307">
        <v>-116.964097</v>
      </c>
      <c r="AM1307">
        <v>100</v>
      </c>
      <c r="AN1307">
        <v>9000</v>
      </c>
      <c r="AO1307" t="s">
        <v>118</v>
      </c>
      <c r="AP1307">
        <v>-108</v>
      </c>
      <c r="AQ1307">
        <v>-60</v>
      </c>
      <c r="AR1307">
        <v>128</v>
      </c>
      <c r="AZ1307">
        <v>1200</v>
      </c>
      <c r="BA1307">
        <v>1</v>
      </c>
      <c r="BB1307" t="str">
        <f t="shared" si="704"/>
        <v xml:space="preserve">N9217B  </v>
      </c>
      <c r="BC1307">
        <v>1</v>
      </c>
      <c r="BE1307">
        <v>0</v>
      </c>
      <c r="BF1307">
        <v>0</v>
      </c>
      <c r="BG1307">
        <v>0</v>
      </c>
      <c r="BH1307">
        <v>9050</v>
      </c>
      <c r="BI1307">
        <v>1</v>
      </c>
      <c r="BJ1307">
        <v>0</v>
      </c>
      <c r="BK1307">
        <v>0</v>
      </c>
      <c r="BL1307">
        <v>0</v>
      </c>
      <c r="BO1307">
        <v>0</v>
      </c>
      <c r="BP1307">
        <v>0</v>
      </c>
      <c r="BW1307" t="str">
        <f t="shared" si="716"/>
        <v>14:52:18.079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6</v>
      </c>
      <c r="CP1307" t="s">
        <v>119</v>
      </c>
      <c r="CQ1307">
        <v>285</v>
      </c>
      <c r="CR1307">
        <v>0</v>
      </c>
      <c r="CW1307">
        <v>8851371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25">
      <c r="A1308" t="str">
        <f t="shared" ref="A1308:A1314" si="717">"06/05/2020 14:52:13.451"</f>
        <v>06/05/2020 14:52:13.451</v>
      </c>
      <c r="C1308" t="str">
        <f t="shared" si="689"/>
        <v>FFDFD3C0</v>
      </c>
      <c r="D1308" t="s">
        <v>151</v>
      </c>
      <c r="E1308">
        <v>8</v>
      </c>
      <c r="H1308">
        <v>225</v>
      </c>
      <c r="I1308" t="s">
        <v>353</v>
      </c>
      <c r="J1308" t="s">
        <v>150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ref="S1308:S1314" si="718">"14:52:19.078"</f>
        <v>14:52:19.078</v>
      </c>
      <c r="T1308" t="str">
        <f t="shared" ref="T1308:T1314" si="719">"14:52:18.878"</f>
        <v>14:52:18.878</v>
      </c>
      <c r="U1308" t="str">
        <f t="shared" si="702"/>
        <v>ACC530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9</v>
      </c>
      <c r="AE1308">
        <v>0</v>
      </c>
      <c r="AF1308">
        <v>3</v>
      </c>
      <c r="AG1308">
        <v>1</v>
      </c>
      <c r="AH1308">
        <v>0</v>
      </c>
      <c r="AI1308" t="s">
        <v>539</v>
      </c>
      <c r="AJ1308">
        <v>34.204859999999996</v>
      </c>
      <c r="AK1308" t="s">
        <v>540</v>
      </c>
      <c r="AL1308">
        <v>-116.964741</v>
      </c>
      <c r="AM1308">
        <v>100</v>
      </c>
      <c r="AN1308">
        <v>9000</v>
      </c>
      <c r="AO1308" t="s">
        <v>118</v>
      </c>
      <c r="AP1308">
        <v>-108</v>
      </c>
      <c r="AQ1308">
        <v>-59</v>
      </c>
      <c r="AR1308">
        <v>192</v>
      </c>
      <c r="AZ1308">
        <v>1200</v>
      </c>
      <c r="BA1308">
        <v>1</v>
      </c>
      <c r="BB1308" t="str">
        <f t="shared" si="704"/>
        <v xml:space="preserve">N9217B  </v>
      </c>
      <c r="BC1308">
        <v>1</v>
      </c>
      <c r="BE1308">
        <v>0</v>
      </c>
      <c r="BF1308">
        <v>0</v>
      </c>
      <c r="BG1308">
        <v>0</v>
      </c>
      <c r="BH1308">
        <v>9050</v>
      </c>
      <c r="BI1308">
        <v>1</v>
      </c>
      <c r="BJ1308">
        <v>0</v>
      </c>
      <c r="BK1308">
        <v>0</v>
      </c>
      <c r="BL1308">
        <v>0</v>
      </c>
      <c r="BO1308">
        <v>0</v>
      </c>
      <c r="BP1308">
        <v>0</v>
      </c>
      <c r="BW1308" t="str">
        <f t="shared" ref="BW1308:BW1314" si="720">"14:52:19.084"</f>
        <v>14:52:19.084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6</v>
      </c>
      <c r="CP1308" t="s">
        <v>119</v>
      </c>
      <c r="CQ1308">
        <v>285</v>
      </c>
      <c r="CR1308">
        <v>0</v>
      </c>
      <c r="CW1308">
        <v>8851462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25">
      <c r="A1309" t="str">
        <f t="shared" si="717"/>
        <v>06/05/2020 14:52:13.451</v>
      </c>
      <c r="C1309" t="str">
        <f t="shared" si="689"/>
        <v>FFDFD3C0</v>
      </c>
      <c r="D1309" t="s">
        <v>148</v>
      </c>
      <c r="E1309">
        <v>8</v>
      </c>
      <c r="H1309">
        <v>50</v>
      </c>
      <c r="I1309" t="s">
        <v>149</v>
      </c>
      <c r="J1309" t="s">
        <v>150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718"/>
        <v>14:52:19.078</v>
      </c>
      <c r="T1309" t="str">
        <f t="shared" si="719"/>
        <v>14:52:18.878</v>
      </c>
      <c r="U1309" t="str">
        <f t="shared" si="702"/>
        <v>ACC530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9</v>
      </c>
      <c r="AE1309">
        <v>0</v>
      </c>
      <c r="AF1309">
        <v>3</v>
      </c>
      <c r="AG1309">
        <v>1</v>
      </c>
      <c r="AH1309">
        <v>0</v>
      </c>
      <c r="AI1309" t="s">
        <v>539</v>
      </c>
      <c r="AJ1309">
        <v>34.204859999999996</v>
      </c>
      <c r="AK1309" t="s">
        <v>540</v>
      </c>
      <c r="AL1309">
        <v>-116.964741</v>
      </c>
      <c r="AM1309">
        <v>100</v>
      </c>
      <c r="AN1309">
        <v>9000</v>
      </c>
      <c r="AO1309" t="s">
        <v>118</v>
      </c>
      <c r="AP1309">
        <v>-108</v>
      </c>
      <c r="AQ1309">
        <v>-59</v>
      </c>
      <c r="AR1309">
        <v>192</v>
      </c>
      <c r="AZ1309">
        <v>1200</v>
      </c>
      <c r="BA1309">
        <v>1</v>
      </c>
      <c r="BB1309" t="str">
        <f t="shared" si="704"/>
        <v xml:space="preserve">N9217B  </v>
      </c>
      <c r="BC1309">
        <v>1</v>
      </c>
      <c r="BE1309">
        <v>0</v>
      </c>
      <c r="BF1309">
        <v>0</v>
      </c>
      <c r="BG1309">
        <v>0</v>
      </c>
      <c r="BH1309">
        <v>9050</v>
      </c>
      <c r="BI1309">
        <v>1</v>
      </c>
      <c r="BJ1309">
        <v>0</v>
      </c>
      <c r="BK1309">
        <v>0</v>
      </c>
      <c r="BL1309">
        <v>0</v>
      </c>
      <c r="BO1309">
        <v>0</v>
      </c>
      <c r="BP1309">
        <v>0</v>
      </c>
      <c r="BW1309" t="str">
        <f t="shared" si="720"/>
        <v>14:52:19.084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6</v>
      </c>
      <c r="CP1309" t="s">
        <v>119</v>
      </c>
      <c r="CQ1309">
        <v>285</v>
      </c>
      <c r="CR1309">
        <v>0</v>
      </c>
      <c r="CW1309">
        <v>8851462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25">
      <c r="A1310" t="str">
        <f t="shared" si="717"/>
        <v>06/05/2020 14:52:13.451</v>
      </c>
      <c r="C1310" t="str">
        <f t="shared" si="689"/>
        <v>FFDFD3C0</v>
      </c>
      <c r="D1310" t="s">
        <v>151</v>
      </c>
      <c r="E1310">
        <v>9</v>
      </c>
      <c r="H1310">
        <v>226</v>
      </c>
      <c r="I1310" t="s">
        <v>152</v>
      </c>
      <c r="J1310" t="s">
        <v>150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718"/>
        <v>14:52:19.078</v>
      </c>
      <c r="T1310" t="str">
        <f t="shared" si="719"/>
        <v>14:52:18.878</v>
      </c>
      <c r="U1310" t="str">
        <f t="shared" si="702"/>
        <v>ACC530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9</v>
      </c>
      <c r="AE1310">
        <v>0</v>
      </c>
      <c r="AF1310">
        <v>3</v>
      </c>
      <c r="AG1310">
        <v>1</v>
      </c>
      <c r="AH1310">
        <v>0</v>
      </c>
      <c r="AI1310" t="s">
        <v>539</v>
      </c>
      <c r="AJ1310">
        <v>34.204859999999996</v>
      </c>
      <c r="AK1310" t="s">
        <v>540</v>
      </c>
      <c r="AL1310">
        <v>-116.964741</v>
      </c>
      <c r="AM1310">
        <v>100</v>
      </c>
      <c r="AN1310">
        <v>9000</v>
      </c>
      <c r="AO1310" t="s">
        <v>118</v>
      </c>
      <c r="AP1310">
        <v>-108</v>
      </c>
      <c r="AQ1310">
        <v>-59</v>
      </c>
      <c r="AR1310">
        <v>192</v>
      </c>
      <c r="AZ1310">
        <v>1200</v>
      </c>
      <c r="BA1310">
        <v>1</v>
      </c>
      <c r="BB1310" t="str">
        <f t="shared" si="704"/>
        <v xml:space="preserve">N9217B  </v>
      </c>
      <c r="BC1310">
        <v>1</v>
      </c>
      <c r="BE1310">
        <v>0</v>
      </c>
      <c r="BF1310">
        <v>0</v>
      </c>
      <c r="BG1310">
        <v>0</v>
      </c>
      <c r="BH1310">
        <v>9050</v>
      </c>
      <c r="BI1310">
        <v>1</v>
      </c>
      <c r="BJ1310">
        <v>0</v>
      </c>
      <c r="BK1310">
        <v>0</v>
      </c>
      <c r="BL1310">
        <v>0</v>
      </c>
      <c r="BO1310">
        <v>0</v>
      </c>
      <c r="BP1310">
        <v>0</v>
      </c>
      <c r="BW1310" t="str">
        <f t="shared" si="720"/>
        <v>14:52:19.084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6</v>
      </c>
      <c r="CP1310" t="s">
        <v>119</v>
      </c>
      <c r="CQ1310">
        <v>285</v>
      </c>
      <c r="CR1310">
        <v>0</v>
      </c>
      <c r="CW1310">
        <v>8851462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25">
      <c r="A1311" t="str">
        <f t="shared" si="717"/>
        <v>06/05/2020 14:52:13.451</v>
      </c>
      <c r="C1311" t="str">
        <f t="shared" si="689"/>
        <v>FFDFD3C0</v>
      </c>
      <c r="D1311" t="s">
        <v>134</v>
      </c>
      <c r="E1311">
        <v>7</v>
      </c>
      <c r="F1311">
        <v>2007</v>
      </c>
      <c r="G1311" t="s">
        <v>135</v>
      </c>
      <c r="J1311" t="s">
        <v>136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718"/>
        <v>14:52:19.078</v>
      </c>
      <c r="T1311" t="str">
        <f t="shared" si="719"/>
        <v>14:52:18.878</v>
      </c>
      <c r="U1311" t="str">
        <f t="shared" si="702"/>
        <v>ACC530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9</v>
      </c>
      <c r="AE1311">
        <v>0</v>
      </c>
      <c r="AF1311">
        <v>3</v>
      </c>
      <c r="AG1311">
        <v>1</v>
      </c>
      <c r="AH1311">
        <v>0</v>
      </c>
      <c r="AI1311" t="s">
        <v>539</v>
      </c>
      <c r="AJ1311">
        <v>34.204859999999996</v>
      </c>
      <c r="AK1311" t="s">
        <v>540</v>
      </c>
      <c r="AL1311">
        <v>-116.964741</v>
      </c>
      <c r="AM1311">
        <v>100</v>
      </c>
      <c r="AN1311">
        <v>9000</v>
      </c>
      <c r="AO1311" t="s">
        <v>118</v>
      </c>
      <c r="AP1311">
        <v>-108</v>
      </c>
      <c r="AQ1311">
        <v>-59</v>
      </c>
      <c r="AR1311">
        <v>192</v>
      </c>
      <c r="AZ1311">
        <v>1200</v>
      </c>
      <c r="BA1311">
        <v>1</v>
      </c>
      <c r="BB1311" t="str">
        <f t="shared" si="704"/>
        <v xml:space="preserve">N9217B  </v>
      </c>
      <c r="BC1311">
        <v>1</v>
      </c>
      <c r="BE1311">
        <v>0</v>
      </c>
      <c r="BF1311">
        <v>0</v>
      </c>
      <c r="BG1311">
        <v>0</v>
      </c>
      <c r="BH1311">
        <v>9050</v>
      </c>
      <c r="BI1311">
        <v>1</v>
      </c>
      <c r="BJ1311">
        <v>0</v>
      </c>
      <c r="BK1311">
        <v>0</v>
      </c>
      <c r="BL1311">
        <v>0</v>
      </c>
      <c r="BO1311">
        <v>0</v>
      </c>
      <c r="BP1311">
        <v>0</v>
      </c>
      <c r="BW1311" t="str">
        <f t="shared" si="720"/>
        <v>14:52:19.084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6</v>
      </c>
      <c r="CP1311" t="s">
        <v>119</v>
      </c>
      <c r="CQ1311">
        <v>285</v>
      </c>
      <c r="CR1311">
        <v>0</v>
      </c>
      <c r="CW1311">
        <v>8851462</v>
      </c>
      <c r="CY1311">
        <v>0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25">
      <c r="A1312" t="str">
        <f t="shared" si="717"/>
        <v>06/05/2020 14:52:13.451</v>
      </c>
      <c r="C1312" t="str">
        <f t="shared" si="689"/>
        <v>FFDFD3C0</v>
      </c>
      <c r="D1312" t="s">
        <v>148</v>
      </c>
      <c r="E1312">
        <v>11</v>
      </c>
      <c r="H1312">
        <v>53</v>
      </c>
      <c r="I1312" t="s">
        <v>364</v>
      </c>
      <c r="J1312" t="s">
        <v>150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718"/>
        <v>14:52:19.078</v>
      </c>
      <c r="T1312" t="str">
        <f t="shared" si="719"/>
        <v>14:52:18.878</v>
      </c>
      <c r="U1312" t="str">
        <f t="shared" si="702"/>
        <v>ACC530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9</v>
      </c>
      <c r="AE1312">
        <v>0</v>
      </c>
      <c r="AF1312">
        <v>3</v>
      </c>
      <c r="AG1312">
        <v>1</v>
      </c>
      <c r="AH1312">
        <v>0</v>
      </c>
      <c r="AI1312" t="s">
        <v>539</v>
      </c>
      <c r="AJ1312">
        <v>34.204859999999996</v>
      </c>
      <c r="AK1312" t="s">
        <v>540</v>
      </c>
      <c r="AL1312">
        <v>-116.964741</v>
      </c>
      <c r="AM1312">
        <v>100</v>
      </c>
      <c r="AN1312">
        <v>9000</v>
      </c>
      <c r="AO1312" t="s">
        <v>118</v>
      </c>
      <c r="AP1312">
        <v>-108</v>
      </c>
      <c r="AQ1312">
        <v>-59</v>
      </c>
      <c r="AR1312">
        <v>192</v>
      </c>
      <c r="AZ1312">
        <v>1200</v>
      </c>
      <c r="BA1312">
        <v>1</v>
      </c>
      <c r="BB1312" t="str">
        <f t="shared" si="704"/>
        <v xml:space="preserve">N9217B  </v>
      </c>
      <c r="BC1312">
        <v>1</v>
      </c>
      <c r="BE1312">
        <v>0</v>
      </c>
      <c r="BF1312">
        <v>0</v>
      </c>
      <c r="BG1312">
        <v>0</v>
      </c>
      <c r="BH1312">
        <v>9050</v>
      </c>
      <c r="BI1312">
        <v>1</v>
      </c>
      <c r="BJ1312">
        <v>0</v>
      </c>
      <c r="BK1312">
        <v>0</v>
      </c>
      <c r="BL1312">
        <v>0</v>
      </c>
      <c r="BO1312">
        <v>0</v>
      </c>
      <c r="BP1312">
        <v>0</v>
      </c>
      <c r="BW1312" t="str">
        <f t="shared" si="720"/>
        <v>14:52:19.084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6</v>
      </c>
      <c r="CP1312" t="s">
        <v>119</v>
      </c>
      <c r="CQ1312">
        <v>285</v>
      </c>
      <c r="CR1312">
        <v>0</v>
      </c>
      <c r="CW1312">
        <v>8851462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25">
      <c r="A1313" t="str">
        <f t="shared" si="717"/>
        <v>06/05/2020 14:52:13.451</v>
      </c>
      <c r="C1313" t="str">
        <f t="shared" si="689"/>
        <v>FFDFD3C0</v>
      </c>
      <c r="D1313" t="s">
        <v>141</v>
      </c>
      <c r="E1313">
        <v>20</v>
      </c>
      <c r="F1313">
        <v>1020</v>
      </c>
      <c r="G1313" t="s">
        <v>114</v>
      </c>
      <c r="J1313" t="s">
        <v>142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718"/>
        <v>14:52:19.078</v>
      </c>
      <c r="T1313" t="str">
        <f t="shared" si="719"/>
        <v>14:52:18.878</v>
      </c>
      <c r="U1313" t="str">
        <f t="shared" si="702"/>
        <v>ACC530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9</v>
      </c>
      <c r="AE1313">
        <v>0</v>
      </c>
      <c r="AF1313">
        <v>3</v>
      </c>
      <c r="AG1313">
        <v>1</v>
      </c>
      <c r="AH1313">
        <v>0</v>
      </c>
      <c r="AI1313" t="s">
        <v>539</v>
      </c>
      <c r="AJ1313">
        <v>34.204859999999996</v>
      </c>
      <c r="AK1313" t="s">
        <v>540</v>
      </c>
      <c r="AL1313">
        <v>-116.964741</v>
      </c>
      <c r="AM1313">
        <v>100</v>
      </c>
      <c r="AN1313">
        <v>9000</v>
      </c>
      <c r="AO1313" t="s">
        <v>118</v>
      </c>
      <c r="AP1313">
        <v>-108</v>
      </c>
      <c r="AQ1313">
        <v>-59</v>
      </c>
      <c r="AR1313">
        <v>192</v>
      </c>
      <c r="AZ1313">
        <v>1200</v>
      </c>
      <c r="BA1313">
        <v>1</v>
      </c>
      <c r="BB1313" t="str">
        <f t="shared" si="704"/>
        <v xml:space="preserve">N9217B  </v>
      </c>
      <c r="BC1313">
        <v>1</v>
      </c>
      <c r="BE1313">
        <v>0</v>
      </c>
      <c r="BF1313">
        <v>0</v>
      </c>
      <c r="BG1313">
        <v>0</v>
      </c>
      <c r="BH1313">
        <v>9050</v>
      </c>
      <c r="BI1313">
        <v>1</v>
      </c>
      <c r="BJ1313">
        <v>0</v>
      </c>
      <c r="BK1313">
        <v>0</v>
      </c>
      <c r="BL1313">
        <v>0</v>
      </c>
      <c r="BO1313">
        <v>0</v>
      </c>
      <c r="BP1313">
        <v>0</v>
      </c>
      <c r="BW1313" t="str">
        <f t="shared" si="720"/>
        <v>14:52:19.084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6</v>
      </c>
      <c r="CP1313" t="s">
        <v>119</v>
      </c>
      <c r="CQ1313">
        <v>285</v>
      </c>
      <c r="CR1313">
        <v>0</v>
      </c>
      <c r="CW1313">
        <v>8851462</v>
      </c>
      <c r="CY1313">
        <v>0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25">
      <c r="A1314" t="str">
        <f t="shared" si="717"/>
        <v>06/05/2020 14:52:13.451</v>
      </c>
      <c r="C1314" t="str">
        <f t="shared" si="689"/>
        <v>FFDFD3C0</v>
      </c>
      <c r="D1314" t="s">
        <v>113</v>
      </c>
      <c r="E1314">
        <v>3</v>
      </c>
      <c r="H1314">
        <v>166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718"/>
        <v>14:52:19.078</v>
      </c>
      <c r="T1314" t="str">
        <f t="shared" si="719"/>
        <v>14:52:18.878</v>
      </c>
      <c r="U1314" t="str">
        <f t="shared" si="702"/>
        <v>ACC530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9</v>
      </c>
      <c r="AE1314">
        <v>0</v>
      </c>
      <c r="AF1314">
        <v>3</v>
      </c>
      <c r="AG1314">
        <v>1</v>
      </c>
      <c r="AH1314">
        <v>0</v>
      </c>
      <c r="AI1314" t="s">
        <v>539</v>
      </c>
      <c r="AJ1314">
        <v>34.204859999999996</v>
      </c>
      <c r="AK1314" t="s">
        <v>540</v>
      </c>
      <c r="AL1314">
        <v>-116.964741</v>
      </c>
      <c r="AM1314">
        <v>100</v>
      </c>
      <c r="AN1314">
        <v>9000</v>
      </c>
      <c r="AO1314" t="s">
        <v>118</v>
      </c>
      <c r="AP1314">
        <v>-108</v>
      </c>
      <c r="AQ1314">
        <v>-59</v>
      </c>
      <c r="AR1314">
        <v>192</v>
      </c>
      <c r="AZ1314">
        <v>1200</v>
      </c>
      <c r="BA1314">
        <v>1</v>
      </c>
      <c r="BB1314" t="str">
        <f t="shared" si="704"/>
        <v xml:space="preserve">N9217B  </v>
      </c>
      <c r="BC1314">
        <v>1</v>
      </c>
      <c r="BE1314">
        <v>0</v>
      </c>
      <c r="BF1314">
        <v>0</v>
      </c>
      <c r="BG1314">
        <v>0</v>
      </c>
      <c r="BH1314">
        <v>9050</v>
      </c>
      <c r="BI1314">
        <v>1</v>
      </c>
      <c r="BJ1314">
        <v>0</v>
      </c>
      <c r="BK1314">
        <v>0</v>
      </c>
      <c r="BL1314">
        <v>0</v>
      </c>
      <c r="BO1314">
        <v>0</v>
      </c>
      <c r="BP1314">
        <v>0</v>
      </c>
      <c r="BW1314" t="str">
        <f t="shared" si="720"/>
        <v>14:52:19.084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6</v>
      </c>
      <c r="CP1314" t="s">
        <v>119</v>
      </c>
      <c r="CQ1314">
        <v>285</v>
      </c>
      <c r="CR1314">
        <v>0</v>
      </c>
      <c r="CW1314">
        <v>8851462</v>
      </c>
      <c r="CY1314">
        <v>0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25">
      <c r="A1315" t="str">
        <f t="shared" ref="A1315:A1320" si="721">"06/05/2020 14:52:14.363"</f>
        <v>06/05/2020 14:52:14.363</v>
      </c>
      <c r="C1315" t="str">
        <f t="shared" ref="C1315:C1378" si="722">"FFDFD3C0"</f>
        <v>FFDFD3C0</v>
      </c>
      <c r="D1315" t="s">
        <v>148</v>
      </c>
      <c r="E1315">
        <v>8</v>
      </c>
      <c r="H1315">
        <v>50</v>
      </c>
      <c r="I1315" t="s">
        <v>149</v>
      </c>
      <c r="J1315" t="s">
        <v>150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ref="S1315:T1320" si="723">"14:52:20.008"</f>
        <v>14:52:20.008</v>
      </c>
      <c r="T1315" t="str">
        <f t="shared" si="723"/>
        <v>14:52:20.008</v>
      </c>
      <c r="U1315" t="str">
        <f t="shared" si="702"/>
        <v>ACC530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9</v>
      </c>
      <c r="AE1315">
        <v>0</v>
      </c>
      <c r="AF1315">
        <v>3</v>
      </c>
      <c r="AG1315">
        <v>1</v>
      </c>
      <c r="AH1315">
        <v>0</v>
      </c>
      <c r="AI1315" t="s">
        <v>541</v>
      </c>
      <c r="AJ1315">
        <v>34.204602000000001</v>
      </c>
      <c r="AK1315" t="s">
        <v>542</v>
      </c>
      <c r="AL1315">
        <v>-116.965277</v>
      </c>
      <c r="AM1315">
        <v>100</v>
      </c>
      <c r="AN1315">
        <v>9000</v>
      </c>
      <c r="AO1315" t="s">
        <v>118</v>
      </c>
      <c r="AP1315">
        <v>-108</v>
      </c>
      <c r="AQ1315">
        <v>-57</v>
      </c>
      <c r="AR1315">
        <v>64</v>
      </c>
      <c r="AZ1315">
        <v>1200</v>
      </c>
      <c r="BA1315">
        <v>1</v>
      </c>
      <c r="BB1315" t="str">
        <f t="shared" si="704"/>
        <v xml:space="preserve">N9217B  </v>
      </c>
      <c r="BC1315">
        <v>1</v>
      </c>
      <c r="BE1315">
        <v>0</v>
      </c>
      <c r="BF1315">
        <v>0</v>
      </c>
      <c r="BG1315">
        <v>0</v>
      </c>
      <c r="BH1315">
        <v>9075</v>
      </c>
      <c r="BI1315">
        <v>1</v>
      </c>
      <c r="BJ1315">
        <v>0</v>
      </c>
      <c r="BK1315">
        <v>0</v>
      </c>
      <c r="BL1315">
        <v>0</v>
      </c>
      <c r="BO1315">
        <v>0</v>
      </c>
      <c r="BP1315">
        <v>0</v>
      </c>
      <c r="BW1315" t="str">
        <f t="shared" ref="BW1315:BW1320" si="724">"14:52:20.013"</f>
        <v>14:52:20.013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293</v>
      </c>
      <c r="CR1315">
        <v>1</v>
      </c>
      <c r="CW1315">
        <v>15285082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25">
      <c r="A1316" t="str">
        <f t="shared" si="721"/>
        <v>06/05/2020 14:52:14.363</v>
      </c>
      <c r="C1316" t="str">
        <f t="shared" si="722"/>
        <v>FFDFD3C0</v>
      </c>
      <c r="D1316" t="s">
        <v>134</v>
      </c>
      <c r="E1316">
        <v>7</v>
      </c>
      <c r="F1316">
        <v>2007</v>
      </c>
      <c r="G1316" t="s">
        <v>135</v>
      </c>
      <c r="J1316" t="s">
        <v>136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723"/>
        <v>14:52:20.008</v>
      </c>
      <c r="T1316" t="str">
        <f t="shared" si="723"/>
        <v>14:52:20.008</v>
      </c>
      <c r="U1316" t="str">
        <f t="shared" si="702"/>
        <v>ACC530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9</v>
      </c>
      <c r="AE1316">
        <v>0</v>
      </c>
      <c r="AF1316">
        <v>3</v>
      </c>
      <c r="AG1316">
        <v>1</v>
      </c>
      <c r="AH1316">
        <v>0</v>
      </c>
      <c r="AI1316" t="s">
        <v>541</v>
      </c>
      <c r="AJ1316">
        <v>34.204602000000001</v>
      </c>
      <c r="AK1316" t="s">
        <v>542</v>
      </c>
      <c r="AL1316">
        <v>-116.965277</v>
      </c>
      <c r="AM1316">
        <v>100</v>
      </c>
      <c r="AN1316">
        <v>9000</v>
      </c>
      <c r="AO1316" t="s">
        <v>118</v>
      </c>
      <c r="AP1316">
        <v>-108</v>
      </c>
      <c r="AQ1316">
        <v>-57</v>
      </c>
      <c r="AR1316">
        <v>64</v>
      </c>
      <c r="AZ1316">
        <v>1200</v>
      </c>
      <c r="BA1316">
        <v>1</v>
      </c>
      <c r="BB1316" t="str">
        <f t="shared" si="704"/>
        <v xml:space="preserve">N9217B  </v>
      </c>
      <c r="BC1316">
        <v>1</v>
      </c>
      <c r="BE1316">
        <v>0</v>
      </c>
      <c r="BF1316">
        <v>0</v>
      </c>
      <c r="BG1316">
        <v>0</v>
      </c>
      <c r="BH1316">
        <v>9075</v>
      </c>
      <c r="BI1316">
        <v>1</v>
      </c>
      <c r="BJ1316">
        <v>0</v>
      </c>
      <c r="BK1316">
        <v>0</v>
      </c>
      <c r="BL1316">
        <v>0</v>
      </c>
      <c r="BO1316">
        <v>0</v>
      </c>
      <c r="BP1316">
        <v>0</v>
      </c>
      <c r="BW1316" t="str">
        <f t="shared" si="724"/>
        <v>14:52:20.013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293</v>
      </c>
      <c r="CR1316">
        <v>1</v>
      </c>
      <c r="CW1316">
        <v>15285082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25">
      <c r="A1317" t="str">
        <f t="shared" si="721"/>
        <v>06/05/2020 14:52:14.363</v>
      </c>
      <c r="C1317" t="str">
        <f t="shared" si="722"/>
        <v>FFDFD3C0</v>
      </c>
      <c r="D1317" t="s">
        <v>141</v>
      </c>
      <c r="E1317">
        <v>20</v>
      </c>
      <c r="F1317">
        <v>1020</v>
      </c>
      <c r="G1317" t="s">
        <v>114</v>
      </c>
      <c r="J1317" t="s">
        <v>142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723"/>
        <v>14:52:20.008</v>
      </c>
      <c r="T1317" t="str">
        <f t="shared" si="723"/>
        <v>14:52:20.008</v>
      </c>
      <c r="U1317" t="str">
        <f t="shared" si="702"/>
        <v>ACC530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9</v>
      </c>
      <c r="AE1317">
        <v>0</v>
      </c>
      <c r="AF1317">
        <v>3</v>
      </c>
      <c r="AG1317">
        <v>1</v>
      </c>
      <c r="AH1317">
        <v>0</v>
      </c>
      <c r="AI1317" t="s">
        <v>541</v>
      </c>
      <c r="AJ1317">
        <v>34.204602000000001</v>
      </c>
      <c r="AK1317" t="s">
        <v>542</v>
      </c>
      <c r="AL1317">
        <v>-116.965277</v>
      </c>
      <c r="AM1317">
        <v>100</v>
      </c>
      <c r="AN1317">
        <v>9000</v>
      </c>
      <c r="AO1317" t="s">
        <v>118</v>
      </c>
      <c r="AP1317">
        <v>-108</v>
      </c>
      <c r="AQ1317">
        <v>-57</v>
      </c>
      <c r="AR1317">
        <v>64</v>
      </c>
      <c r="AZ1317">
        <v>1200</v>
      </c>
      <c r="BA1317">
        <v>1</v>
      </c>
      <c r="BB1317" t="str">
        <f t="shared" si="704"/>
        <v xml:space="preserve">N9217B  </v>
      </c>
      <c r="BC1317">
        <v>1</v>
      </c>
      <c r="BE1317">
        <v>0</v>
      </c>
      <c r="BF1317">
        <v>0</v>
      </c>
      <c r="BG1317">
        <v>0</v>
      </c>
      <c r="BH1317">
        <v>9075</v>
      </c>
      <c r="BI1317">
        <v>1</v>
      </c>
      <c r="BJ1317">
        <v>0</v>
      </c>
      <c r="BK1317">
        <v>0</v>
      </c>
      <c r="BL1317">
        <v>0</v>
      </c>
      <c r="BO1317">
        <v>0</v>
      </c>
      <c r="BP1317">
        <v>0</v>
      </c>
      <c r="BW1317" t="str">
        <f t="shared" si="724"/>
        <v>14:52:20.013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293</v>
      </c>
      <c r="CR1317">
        <v>1</v>
      </c>
      <c r="CW1317">
        <v>15285082</v>
      </c>
      <c r="CY1317">
        <v>0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25">
      <c r="A1318" t="str">
        <f t="shared" si="721"/>
        <v>06/05/2020 14:52:14.363</v>
      </c>
      <c r="C1318" t="str">
        <f t="shared" si="722"/>
        <v>FFDFD3C0</v>
      </c>
      <c r="D1318" t="s">
        <v>151</v>
      </c>
      <c r="E1318">
        <v>9</v>
      </c>
      <c r="H1318">
        <v>226</v>
      </c>
      <c r="I1318" t="s">
        <v>152</v>
      </c>
      <c r="J1318" t="s">
        <v>150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723"/>
        <v>14:52:20.008</v>
      </c>
      <c r="T1318" t="str">
        <f t="shared" si="723"/>
        <v>14:52:20.008</v>
      </c>
      <c r="U1318" t="str">
        <f t="shared" si="702"/>
        <v>ACC530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9</v>
      </c>
      <c r="AE1318">
        <v>0</v>
      </c>
      <c r="AF1318">
        <v>3</v>
      </c>
      <c r="AG1318">
        <v>1</v>
      </c>
      <c r="AH1318">
        <v>0</v>
      </c>
      <c r="AI1318" t="s">
        <v>541</v>
      </c>
      <c r="AJ1318">
        <v>34.204602000000001</v>
      </c>
      <c r="AK1318" t="s">
        <v>542</v>
      </c>
      <c r="AL1318">
        <v>-116.965277</v>
      </c>
      <c r="AM1318">
        <v>100</v>
      </c>
      <c r="AN1318">
        <v>9000</v>
      </c>
      <c r="AO1318" t="s">
        <v>118</v>
      </c>
      <c r="AP1318">
        <v>-108</v>
      </c>
      <c r="AQ1318">
        <v>-57</v>
      </c>
      <c r="AR1318">
        <v>64</v>
      </c>
      <c r="AZ1318">
        <v>1200</v>
      </c>
      <c r="BA1318">
        <v>1</v>
      </c>
      <c r="BB1318" t="str">
        <f t="shared" si="704"/>
        <v xml:space="preserve">N9217B  </v>
      </c>
      <c r="BC1318">
        <v>1</v>
      </c>
      <c r="BE1318">
        <v>0</v>
      </c>
      <c r="BF1318">
        <v>0</v>
      </c>
      <c r="BG1318">
        <v>0</v>
      </c>
      <c r="BH1318">
        <v>9075</v>
      </c>
      <c r="BI1318">
        <v>1</v>
      </c>
      <c r="BJ1318">
        <v>0</v>
      </c>
      <c r="BK1318">
        <v>0</v>
      </c>
      <c r="BL1318">
        <v>0</v>
      </c>
      <c r="BO1318">
        <v>0</v>
      </c>
      <c r="BP1318">
        <v>0</v>
      </c>
      <c r="BW1318" t="str">
        <f t="shared" si="724"/>
        <v>14:52:20.013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293</v>
      </c>
      <c r="CR1318">
        <v>1</v>
      </c>
      <c r="CW1318">
        <v>15285082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25">
      <c r="A1319" t="str">
        <f t="shared" si="721"/>
        <v>06/05/2020 14:52:14.363</v>
      </c>
      <c r="C1319" t="str">
        <f t="shared" si="722"/>
        <v>FFDFD3C0</v>
      </c>
      <c r="D1319" t="s">
        <v>148</v>
      </c>
      <c r="E1319">
        <v>11</v>
      </c>
      <c r="H1319">
        <v>53</v>
      </c>
      <c r="I1319" t="s">
        <v>364</v>
      </c>
      <c r="J1319" t="s">
        <v>150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723"/>
        <v>14:52:20.008</v>
      </c>
      <c r="T1319" t="str">
        <f t="shared" si="723"/>
        <v>14:52:20.008</v>
      </c>
      <c r="U1319" t="str">
        <f t="shared" si="702"/>
        <v>ACC530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9</v>
      </c>
      <c r="AE1319">
        <v>0</v>
      </c>
      <c r="AF1319">
        <v>3</v>
      </c>
      <c r="AG1319">
        <v>1</v>
      </c>
      <c r="AH1319">
        <v>0</v>
      </c>
      <c r="AI1319" t="s">
        <v>541</v>
      </c>
      <c r="AJ1319">
        <v>34.204602000000001</v>
      </c>
      <c r="AK1319" t="s">
        <v>542</v>
      </c>
      <c r="AL1319">
        <v>-116.965277</v>
      </c>
      <c r="AM1319">
        <v>100</v>
      </c>
      <c r="AN1319">
        <v>9000</v>
      </c>
      <c r="AO1319" t="s">
        <v>118</v>
      </c>
      <c r="AP1319">
        <v>-108</v>
      </c>
      <c r="AQ1319">
        <v>-57</v>
      </c>
      <c r="AR1319">
        <v>64</v>
      </c>
      <c r="AZ1319">
        <v>1200</v>
      </c>
      <c r="BA1319">
        <v>1</v>
      </c>
      <c r="BB1319" t="str">
        <f t="shared" si="704"/>
        <v xml:space="preserve">N9217B  </v>
      </c>
      <c r="BC1319">
        <v>1</v>
      </c>
      <c r="BE1319">
        <v>0</v>
      </c>
      <c r="BF1319">
        <v>0</v>
      </c>
      <c r="BG1319">
        <v>0</v>
      </c>
      <c r="BH1319">
        <v>9075</v>
      </c>
      <c r="BI1319">
        <v>1</v>
      </c>
      <c r="BJ1319">
        <v>0</v>
      </c>
      <c r="BK1319">
        <v>0</v>
      </c>
      <c r="BL1319">
        <v>0</v>
      </c>
      <c r="BO1319">
        <v>0</v>
      </c>
      <c r="BP1319">
        <v>0</v>
      </c>
      <c r="BW1319" t="str">
        <f t="shared" si="724"/>
        <v>14:52:20.013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293</v>
      </c>
      <c r="CR1319">
        <v>1</v>
      </c>
      <c r="CW1319">
        <v>15285082</v>
      </c>
      <c r="CY1319">
        <v>0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25">
      <c r="A1320" t="str">
        <f t="shared" si="721"/>
        <v>06/05/2020 14:52:14.363</v>
      </c>
      <c r="C1320" t="str">
        <f t="shared" si="722"/>
        <v>FFDFD3C0</v>
      </c>
      <c r="D1320" t="s">
        <v>113</v>
      </c>
      <c r="E1320">
        <v>3</v>
      </c>
      <c r="H1320">
        <v>166</v>
      </c>
      <c r="I1320" t="s">
        <v>114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723"/>
        <v>14:52:20.008</v>
      </c>
      <c r="T1320" t="str">
        <f t="shared" si="723"/>
        <v>14:52:20.008</v>
      </c>
      <c r="U1320" t="str">
        <f t="shared" si="702"/>
        <v>ACC530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9</v>
      </c>
      <c r="AE1320">
        <v>0</v>
      </c>
      <c r="AF1320">
        <v>3</v>
      </c>
      <c r="AG1320">
        <v>1</v>
      </c>
      <c r="AH1320">
        <v>0</v>
      </c>
      <c r="AI1320" t="s">
        <v>541</v>
      </c>
      <c r="AJ1320">
        <v>34.204602000000001</v>
      </c>
      <c r="AK1320" t="s">
        <v>542</v>
      </c>
      <c r="AL1320">
        <v>-116.965277</v>
      </c>
      <c r="AM1320">
        <v>100</v>
      </c>
      <c r="AN1320">
        <v>9000</v>
      </c>
      <c r="AO1320" t="s">
        <v>118</v>
      </c>
      <c r="AP1320">
        <v>-108</v>
      </c>
      <c r="AQ1320">
        <v>-57</v>
      </c>
      <c r="AR1320">
        <v>64</v>
      </c>
      <c r="AZ1320">
        <v>1200</v>
      </c>
      <c r="BA1320">
        <v>1</v>
      </c>
      <c r="BB1320" t="str">
        <f t="shared" si="704"/>
        <v xml:space="preserve">N9217B  </v>
      </c>
      <c r="BC1320">
        <v>1</v>
      </c>
      <c r="BE1320">
        <v>0</v>
      </c>
      <c r="BF1320">
        <v>0</v>
      </c>
      <c r="BG1320">
        <v>0</v>
      </c>
      <c r="BH1320">
        <v>9075</v>
      </c>
      <c r="BI1320">
        <v>1</v>
      </c>
      <c r="BJ1320">
        <v>0</v>
      </c>
      <c r="BK1320">
        <v>0</v>
      </c>
      <c r="BL1320">
        <v>0</v>
      </c>
      <c r="BO1320">
        <v>0</v>
      </c>
      <c r="BP1320">
        <v>0</v>
      </c>
      <c r="BW1320" t="str">
        <f t="shared" si="724"/>
        <v>14:52:20.013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293</v>
      </c>
      <c r="CR1320">
        <v>1</v>
      </c>
      <c r="CW1320">
        <v>15285082</v>
      </c>
      <c r="CY1320">
        <v>0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25">
      <c r="A1321" t="str">
        <f t="shared" ref="A1321:A1327" si="725">"06/05/2020 14:52:15.349"</f>
        <v>06/05/2020 14:52:15.349</v>
      </c>
      <c r="C1321" t="str">
        <f t="shared" si="722"/>
        <v>FFDFD3C0</v>
      </c>
      <c r="D1321" t="s">
        <v>113</v>
      </c>
      <c r="E1321">
        <v>3</v>
      </c>
      <c r="H1321">
        <v>166</v>
      </c>
      <c r="I1321" t="s">
        <v>114</v>
      </c>
      <c r="J1321" t="s">
        <v>115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"14:52:21.016"</f>
        <v>14:52:21.016</v>
      </c>
      <c r="T1321" t="str">
        <f>"14:52:21.016"</f>
        <v>14:52:21.016</v>
      </c>
      <c r="U1321" t="str">
        <f t="shared" si="702"/>
        <v>ACC530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9</v>
      </c>
      <c r="AE1321">
        <v>0</v>
      </c>
      <c r="AF1321">
        <v>3</v>
      </c>
      <c r="AG1321">
        <v>1</v>
      </c>
      <c r="AH1321">
        <v>0</v>
      </c>
      <c r="AI1321" t="s">
        <v>543</v>
      </c>
      <c r="AJ1321">
        <v>34.204345000000004</v>
      </c>
      <c r="AK1321" t="s">
        <v>544</v>
      </c>
      <c r="AL1321">
        <v>-116.965878</v>
      </c>
      <c r="AM1321">
        <v>100</v>
      </c>
      <c r="AN1321">
        <v>9000</v>
      </c>
      <c r="AO1321" t="s">
        <v>118</v>
      </c>
      <c r="AP1321">
        <v>-108</v>
      </c>
      <c r="AQ1321">
        <v>-56</v>
      </c>
      <c r="AR1321">
        <v>-64</v>
      </c>
      <c r="AZ1321">
        <v>1200</v>
      </c>
      <c r="BA1321">
        <v>1</v>
      </c>
      <c r="BB1321" t="str">
        <f t="shared" si="704"/>
        <v xml:space="preserve">N9217B  </v>
      </c>
      <c r="BC1321">
        <v>1</v>
      </c>
      <c r="BE1321">
        <v>0</v>
      </c>
      <c r="BF1321">
        <v>0</v>
      </c>
      <c r="BG1321">
        <v>0</v>
      </c>
      <c r="BH1321">
        <v>9075</v>
      </c>
      <c r="BI1321">
        <v>1</v>
      </c>
      <c r="BJ1321">
        <v>0</v>
      </c>
      <c r="BK1321">
        <v>0</v>
      </c>
      <c r="BL1321">
        <v>0</v>
      </c>
      <c r="BO1321">
        <v>0</v>
      </c>
      <c r="BP1321">
        <v>0</v>
      </c>
      <c r="BW1321" t="str">
        <f>"14:52:21.019"</f>
        <v>14:52:21.019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5</v>
      </c>
      <c r="CP1321" t="s">
        <v>119</v>
      </c>
      <c r="CQ1321">
        <v>295</v>
      </c>
      <c r="CR1321">
        <v>2</v>
      </c>
      <c r="CW1321">
        <v>12434447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25">
      <c r="A1322" t="str">
        <f t="shared" si="725"/>
        <v>06/05/2020 14:52:15.349</v>
      </c>
      <c r="C1322" t="str">
        <f t="shared" si="722"/>
        <v>FFDFD3C0</v>
      </c>
      <c r="D1322" t="s">
        <v>151</v>
      </c>
      <c r="E1322">
        <v>8</v>
      </c>
      <c r="H1322">
        <v>225</v>
      </c>
      <c r="I1322" t="s">
        <v>353</v>
      </c>
      <c r="J1322" t="s">
        <v>150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ref="S1322:S1327" si="726">"14:52:21.016"</f>
        <v>14:52:21.016</v>
      </c>
      <c r="T1322" t="str">
        <f>"14:52:19.416"</f>
        <v>14:52:19.416</v>
      </c>
      <c r="U1322" t="str">
        <f t="shared" si="702"/>
        <v>ACC530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9</v>
      </c>
      <c r="AE1322">
        <v>0</v>
      </c>
      <c r="AF1322">
        <v>3</v>
      </c>
      <c r="AG1322">
        <v>1</v>
      </c>
      <c r="AH1322">
        <v>0</v>
      </c>
      <c r="AI1322" t="s">
        <v>543</v>
      </c>
      <c r="AJ1322">
        <v>34.204345000000004</v>
      </c>
      <c r="AK1322" t="s">
        <v>544</v>
      </c>
      <c r="AL1322">
        <v>-116.965878</v>
      </c>
      <c r="AM1322">
        <v>100</v>
      </c>
      <c r="AN1322">
        <v>9000</v>
      </c>
      <c r="AO1322" t="s">
        <v>118</v>
      </c>
      <c r="AP1322">
        <v>-108</v>
      </c>
      <c r="AQ1322">
        <v>-57</v>
      </c>
      <c r="AR1322">
        <v>128</v>
      </c>
      <c r="AZ1322">
        <v>1200</v>
      </c>
      <c r="BA1322">
        <v>1</v>
      </c>
      <c r="BB1322" t="str">
        <f t="shared" si="704"/>
        <v xml:space="preserve">N9217B  </v>
      </c>
      <c r="BC1322">
        <v>1</v>
      </c>
      <c r="BE1322">
        <v>0</v>
      </c>
      <c r="BF1322">
        <v>0</v>
      </c>
      <c r="BG1322">
        <v>0</v>
      </c>
      <c r="BH1322">
        <v>9075</v>
      </c>
      <c r="BI1322">
        <v>1</v>
      </c>
      <c r="BJ1322">
        <v>0</v>
      </c>
      <c r="BK1322">
        <v>0</v>
      </c>
      <c r="BL1322">
        <v>0</v>
      </c>
      <c r="BO1322">
        <v>0</v>
      </c>
      <c r="BP1322">
        <v>0</v>
      </c>
      <c r="BW1322" t="str">
        <f>"14:52:21.019"</f>
        <v>14:52:21.019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2</v>
      </c>
      <c r="CP1322" t="s">
        <v>119</v>
      </c>
      <c r="CQ1322">
        <v>286</v>
      </c>
      <c r="CR1322">
        <v>3</v>
      </c>
      <c r="CW1322">
        <v>826625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25">
      <c r="A1323" t="str">
        <f t="shared" si="725"/>
        <v>06/05/2020 14:52:15.349</v>
      </c>
      <c r="C1323" t="str">
        <f t="shared" si="722"/>
        <v>FFDFD3C0</v>
      </c>
      <c r="D1323" t="s">
        <v>134</v>
      </c>
      <c r="E1323">
        <v>7</v>
      </c>
      <c r="F1323">
        <v>2007</v>
      </c>
      <c r="G1323" t="s">
        <v>135</v>
      </c>
      <c r="J1323" t="s">
        <v>136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726"/>
        <v>14:52:21.016</v>
      </c>
      <c r="T1323" t="str">
        <f>"14:52:21.016"</f>
        <v>14:52:21.016</v>
      </c>
      <c r="U1323" t="str">
        <f t="shared" si="702"/>
        <v>ACC530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9</v>
      </c>
      <c r="AE1323">
        <v>0</v>
      </c>
      <c r="AF1323">
        <v>3</v>
      </c>
      <c r="AG1323">
        <v>1</v>
      </c>
      <c r="AH1323">
        <v>0</v>
      </c>
      <c r="AI1323" t="s">
        <v>543</v>
      </c>
      <c r="AJ1323">
        <v>34.204345000000004</v>
      </c>
      <c r="AK1323" t="s">
        <v>544</v>
      </c>
      <c r="AL1323">
        <v>-116.965878</v>
      </c>
      <c r="AM1323">
        <v>100</v>
      </c>
      <c r="AN1323">
        <v>9000</v>
      </c>
      <c r="AO1323" t="s">
        <v>118</v>
      </c>
      <c r="AP1323">
        <v>-108</v>
      </c>
      <c r="AQ1323">
        <v>-56</v>
      </c>
      <c r="AR1323">
        <v>-64</v>
      </c>
      <c r="AZ1323">
        <v>1200</v>
      </c>
      <c r="BA1323">
        <v>1</v>
      </c>
      <c r="BB1323" t="str">
        <f t="shared" si="704"/>
        <v xml:space="preserve">N9217B  </v>
      </c>
      <c r="BC1323">
        <v>1</v>
      </c>
      <c r="BE1323">
        <v>0</v>
      </c>
      <c r="BF1323">
        <v>0</v>
      </c>
      <c r="BG1323">
        <v>0</v>
      </c>
      <c r="BH1323">
        <v>9075</v>
      </c>
      <c r="BI1323">
        <v>1</v>
      </c>
      <c r="BJ1323">
        <v>0</v>
      </c>
      <c r="BK1323">
        <v>0</v>
      </c>
      <c r="BL1323">
        <v>0</v>
      </c>
      <c r="BO1323">
        <v>0</v>
      </c>
      <c r="BP1323">
        <v>0</v>
      </c>
      <c r="BW1323" t="str">
        <f>"14:52:21.019"</f>
        <v>14:52:21.019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5</v>
      </c>
      <c r="CP1323" t="s">
        <v>119</v>
      </c>
      <c r="CQ1323">
        <v>295</v>
      </c>
      <c r="CR1323">
        <v>2</v>
      </c>
      <c r="CW1323">
        <v>12434447</v>
      </c>
      <c r="CY1323">
        <v>0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25">
      <c r="A1324" t="str">
        <f t="shared" si="725"/>
        <v>06/05/2020 14:52:15.349</v>
      </c>
      <c r="C1324" t="str">
        <f t="shared" si="722"/>
        <v>FFDFD3C0</v>
      </c>
      <c r="D1324" t="s">
        <v>148</v>
      </c>
      <c r="E1324">
        <v>8</v>
      </c>
      <c r="H1324">
        <v>50</v>
      </c>
      <c r="I1324" t="s">
        <v>149</v>
      </c>
      <c r="J1324" t="s">
        <v>150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726"/>
        <v>14:52:21.016</v>
      </c>
      <c r="T1324" t="str">
        <f>"14:52:21.016"</f>
        <v>14:52:21.016</v>
      </c>
      <c r="U1324" t="str">
        <f t="shared" si="702"/>
        <v>ACC530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9</v>
      </c>
      <c r="AE1324">
        <v>0</v>
      </c>
      <c r="AF1324">
        <v>3</v>
      </c>
      <c r="AG1324">
        <v>1</v>
      </c>
      <c r="AH1324">
        <v>0</v>
      </c>
      <c r="AI1324" t="s">
        <v>543</v>
      </c>
      <c r="AJ1324">
        <v>34.204345000000004</v>
      </c>
      <c r="AK1324" t="s">
        <v>544</v>
      </c>
      <c r="AL1324">
        <v>-116.965878</v>
      </c>
      <c r="AM1324">
        <v>100</v>
      </c>
      <c r="AN1324">
        <v>9000</v>
      </c>
      <c r="AO1324" t="s">
        <v>118</v>
      </c>
      <c r="AP1324">
        <v>-108</v>
      </c>
      <c r="AQ1324">
        <v>-56</v>
      </c>
      <c r="AR1324">
        <v>-64</v>
      </c>
      <c r="AZ1324">
        <v>1200</v>
      </c>
      <c r="BA1324">
        <v>1</v>
      </c>
      <c r="BB1324" t="str">
        <f t="shared" si="704"/>
        <v xml:space="preserve">N9217B  </v>
      </c>
      <c r="BC1324">
        <v>1</v>
      </c>
      <c r="BE1324">
        <v>0</v>
      </c>
      <c r="BF1324">
        <v>0</v>
      </c>
      <c r="BG1324">
        <v>0</v>
      </c>
      <c r="BH1324">
        <v>9075</v>
      </c>
      <c r="BI1324">
        <v>1</v>
      </c>
      <c r="BJ1324">
        <v>0</v>
      </c>
      <c r="BK1324">
        <v>0</v>
      </c>
      <c r="BL1324">
        <v>0</v>
      </c>
      <c r="BO1324">
        <v>0</v>
      </c>
      <c r="BP1324">
        <v>0</v>
      </c>
      <c r="BW1324" t="str">
        <f>"14:52:21.019"</f>
        <v>14:52:21.019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5</v>
      </c>
      <c r="CP1324" t="s">
        <v>119</v>
      </c>
      <c r="CQ1324">
        <v>295</v>
      </c>
      <c r="CR1324">
        <v>2</v>
      </c>
      <c r="CW1324">
        <v>12434447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25">
      <c r="A1325" t="str">
        <f t="shared" si="725"/>
        <v>06/05/2020 14:52:15.349</v>
      </c>
      <c r="C1325" t="str">
        <f t="shared" si="722"/>
        <v>FFDFD3C0</v>
      </c>
      <c r="D1325" t="s">
        <v>141</v>
      </c>
      <c r="E1325">
        <v>20</v>
      </c>
      <c r="F1325">
        <v>1020</v>
      </c>
      <c r="G1325" t="s">
        <v>114</v>
      </c>
      <c r="J1325" t="s">
        <v>142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726"/>
        <v>14:52:21.016</v>
      </c>
      <c r="T1325" t="str">
        <f>"14:52:21.016"</f>
        <v>14:52:21.016</v>
      </c>
      <c r="U1325" t="str">
        <f t="shared" si="702"/>
        <v>ACC530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9</v>
      </c>
      <c r="AE1325">
        <v>0</v>
      </c>
      <c r="AF1325">
        <v>3</v>
      </c>
      <c r="AG1325">
        <v>1</v>
      </c>
      <c r="AH1325">
        <v>0</v>
      </c>
      <c r="AI1325" t="s">
        <v>543</v>
      </c>
      <c r="AJ1325">
        <v>34.204345000000004</v>
      </c>
      <c r="AK1325" t="s">
        <v>544</v>
      </c>
      <c r="AL1325">
        <v>-116.965878</v>
      </c>
      <c r="AM1325">
        <v>100</v>
      </c>
      <c r="AN1325">
        <v>9000</v>
      </c>
      <c r="AO1325" t="s">
        <v>118</v>
      </c>
      <c r="AP1325">
        <v>-108</v>
      </c>
      <c r="AQ1325">
        <v>-56</v>
      </c>
      <c r="AR1325">
        <v>-64</v>
      </c>
      <c r="AZ1325">
        <v>1200</v>
      </c>
      <c r="BA1325">
        <v>1</v>
      </c>
      <c r="BB1325" t="str">
        <f t="shared" si="704"/>
        <v xml:space="preserve">N9217B  </v>
      </c>
      <c r="BC1325">
        <v>1</v>
      </c>
      <c r="BE1325">
        <v>0</v>
      </c>
      <c r="BF1325">
        <v>0</v>
      </c>
      <c r="BG1325">
        <v>0</v>
      </c>
      <c r="BH1325">
        <v>9075</v>
      </c>
      <c r="BI1325">
        <v>1</v>
      </c>
      <c r="BJ1325">
        <v>0</v>
      </c>
      <c r="BK1325">
        <v>0</v>
      </c>
      <c r="BL1325">
        <v>0</v>
      </c>
      <c r="BO1325">
        <v>0</v>
      </c>
      <c r="BP1325">
        <v>0</v>
      </c>
      <c r="BW1325" t="str">
        <f>"14:52:21.019"</f>
        <v>14:52:21.019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5</v>
      </c>
      <c r="CP1325" t="s">
        <v>119</v>
      </c>
      <c r="CQ1325">
        <v>295</v>
      </c>
      <c r="CR1325">
        <v>2</v>
      </c>
      <c r="CW1325">
        <v>12434447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25">
      <c r="A1326" t="str">
        <f t="shared" si="725"/>
        <v>06/05/2020 14:52:15.349</v>
      </c>
      <c r="C1326" t="str">
        <f t="shared" si="722"/>
        <v>FFDFD3C0</v>
      </c>
      <c r="D1326" t="s">
        <v>151</v>
      </c>
      <c r="E1326">
        <v>9</v>
      </c>
      <c r="H1326">
        <v>226</v>
      </c>
      <c r="I1326" t="s">
        <v>152</v>
      </c>
      <c r="J1326" t="s">
        <v>150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726"/>
        <v>14:52:21.016</v>
      </c>
      <c r="T1326" t="str">
        <f>"14:52:21.016"</f>
        <v>14:52:21.016</v>
      </c>
      <c r="U1326" t="str">
        <f t="shared" si="702"/>
        <v>ACC530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9</v>
      </c>
      <c r="AE1326">
        <v>0</v>
      </c>
      <c r="AF1326">
        <v>3</v>
      </c>
      <c r="AG1326">
        <v>1</v>
      </c>
      <c r="AH1326">
        <v>0</v>
      </c>
      <c r="AI1326" t="s">
        <v>543</v>
      </c>
      <c r="AJ1326">
        <v>34.204345000000004</v>
      </c>
      <c r="AK1326" t="s">
        <v>544</v>
      </c>
      <c r="AL1326">
        <v>-116.965878</v>
      </c>
      <c r="AM1326">
        <v>100</v>
      </c>
      <c r="AN1326">
        <v>9000</v>
      </c>
      <c r="AO1326" t="s">
        <v>118</v>
      </c>
      <c r="AP1326">
        <v>-108</v>
      </c>
      <c r="AQ1326">
        <v>-56</v>
      </c>
      <c r="AR1326">
        <v>-64</v>
      </c>
      <c r="AZ1326">
        <v>1200</v>
      </c>
      <c r="BA1326">
        <v>1</v>
      </c>
      <c r="BB1326" t="str">
        <f t="shared" si="704"/>
        <v xml:space="preserve">N9217B  </v>
      </c>
      <c r="BC1326">
        <v>1</v>
      </c>
      <c r="BE1326">
        <v>0</v>
      </c>
      <c r="BF1326">
        <v>0</v>
      </c>
      <c r="BG1326">
        <v>0</v>
      </c>
      <c r="BH1326">
        <v>9075</v>
      </c>
      <c r="BI1326">
        <v>1</v>
      </c>
      <c r="BJ1326">
        <v>0</v>
      </c>
      <c r="BK1326">
        <v>0</v>
      </c>
      <c r="BL1326">
        <v>0</v>
      </c>
      <c r="BO1326">
        <v>0</v>
      </c>
      <c r="BP1326">
        <v>0</v>
      </c>
      <c r="BW1326" t="str">
        <f>"14:52:21.018"</f>
        <v>14:52:21.018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5</v>
      </c>
      <c r="CP1326" t="s">
        <v>119</v>
      </c>
      <c r="CQ1326">
        <v>293</v>
      </c>
      <c r="CR1326">
        <v>1</v>
      </c>
      <c r="CW1326">
        <v>15285200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25">
      <c r="A1327" t="str">
        <f t="shared" si="725"/>
        <v>06/05/2020 14:52:15.349</v>
      </c>
      <c r="C1327" t="str">
        <f t="shared" si="722"/>
        <v>FFDFD3C0</v>
      </c>
      <c r="D1327" t="s">
        <v>148</v>
      </c>
      <c r="E1327">
        <v>11</v>
      </c>
      <c r="H1327">
        <v>53</v>
      </c>
      <c r="I1327" t="s">
        <v>364</v>
      </c>
      <c r="J1327" t="s">
        <v>150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726"/>
        <v>14:52:21.016</v>
      </c>
      <c r="T1327" t="str">
        <f>"14:52:21.016"</f>
        <v>14:52:21.016</v>
      </c>
      <c r="U1327" t="str">
        <f t="shared" si="702"/>
        <v>ACC530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9</v>
      </c>
      <c r="AE1327">
        <v>0</v>
      </c>
      <c r="AF1327">
        <v>3</v>
      </c>
      <c r="AG1327">
        <v>1</v>
      </c>
      <c r="AH1327">
        <v>0</v>
      </c>
      <c r="AI1327" t="s">
        <v>543</v>
      </c>
      <c r="AJ1327">
        <v>34.204345000000004</v>
      </c>
      <c r="AK1327" t="s">
        <v>544</v>
      </c>
      <c r="AL1327">
        <v>-116.965878</v>
      </c>
      <c r="AM1327">
        <v>100</v>
      </c>
      <c r="AN1327">
        <v>9000</v>
      </c>
      <c r="AO1327" t="s">
        <v>118</v>
      </c>
      <c r="AP1327">
        <v>-108</v>
      </c>
      <c r="AQ1327">
        <v>-56</v>
      </c>
      <c r="AR1327">
        <v>-64</v>
      </c>
      <c r="AZ1327">
        <v>1200</v>
      </c>
      <c r="BA1327">
        <v>1</v>
      </c>
      <c r="BB1327" t="str">
        <f t="shared" si="704"/>
        <v xml:space="preserve">N9217B  </v>
      </c>
      <c r="BC1327">
        <v>1</v>
      </c>
      <c r="BE1327">
        <v>0</v>
      </c>
      <c r="BF1327">
        <v>0</v>
      </c>
      <c r="BG1327">
        <v>0</v>
      </c>
      <c r="BH1327">
        <v>9075</v>
      </c>
      <c r="BI1327">
        <v>1</v>
      </c>
      <c r="BJ1327">
        <v>0</v>
      </c>
      <c r="BK1327">
        <v>0</v>
      </c>
      <c r="BL1327">
        <v>0</v>
      </c>
      <c r="BO1327">
        <v>0</v>
      </c>
      <c r="BP1327">
        <v>0</v>
      </c>
      <c r="BW1327" t="str">
        <f>"14:52:21.018"</f>
        <v>14:52:21.018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5</v>
      </c>
      <c r="CP1327" t="s">
        <v>119</v>
      </c>
      <c r="CQ1327">
        <v>293</v>
      </c>
      <c r="CR1327">
        <v>1</v>
      </c>
      <c r="CW1327">
        <v>15285200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25">
      <c r="A1328" t="str">
        <f>"06/05/2020 14:52:16.284"</f>
        <v>06/05/2020 14:52:16.284</v>
      </c>
      <c r="C1328" t="str">
        <f t="shared" si="722"/>
        <v>FFDFD3C0</v>
      </c>
      <c r="D1328" t="s">
        <v>148</v>
      </c>
      <c r="E1328">
        <v>8</v>
      </c>
      <c r="H1328">
        <v>50</v>
      </c>
      <c r="I1328" t="s">
        <v>149</v>
      </c>
      <c r="J1328" t="s">
        <v>150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ref="S1328:T1332" si="727">"14:52:21.945"</f>
        <v>14:52:21.945</v>
      </c>
      <c r="T1328" t="str">
        <f t="shared" si="727"/>
        <v>14:52:21.945</v>
      </c>
      <c r="U1328" t="str">
        <f t="shared" si="702"/>
        <v>ACC530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9</v>
      </c>
      <c r="AE1328">
        <v>0</v>
      </c>
      <c r="AF1328">
        <v>3</v>
      </c>
      <c r="AG1328">
        <v>1</v>
      </c>
      <c r="AH1328">
        <v>0</v>
      </c>
      <c r="AI1328" t="s">
        <v>545</v>
      </c>
      <c r="AJ1328">
        <v>34.204109000000003</v>
      </c>
      <c r="AK1328" t="s">
        <v>546</v>
      </c>
      <c r="AL1328">
        <v>-116.96645700000001</v>
      </c>
      <c r="AM1328">
        <v>100</v>
      </c>
      <c r="AN1328">
        <v>9000</v>
      </c>
      <c r="AO1328" t="s">
        <v>118</v>
      </c>
      <c r="AP1328">
        <v>-107</v>
      </c>
      <c r="AQ1328">
        <v>-56</v>
      </c>
      <c r="AR1328">
        <v>-64</v>
      </c>
      <c r="AZ1328">
        <v>1200</v>
      </c>
      <c r="BA1328">
        <v>1</v>
      </c>
      <c r="BB1328" t="str">
        <f t="shared" si="704"/>
        <v xml:space="preserve">N9217B  </v>
      </c>
      <c r="BC1328">
        <v>1</v>
      </c>
      <c r="BE1328">
        <v>0</v>
      </c>
      <c r="BF1328">
        <v>0</v>
      </c>
      <c r="BG1328">
        <v>0</v>
      </c>
      <c r="BH1328">
        <v>9075</v>
      </c>
      <c r="BI1328">
        <v>1</v>
      </c>
      <c r="BJ1328">
        <v>0</v>
      </c>
      <c r="BK1328">
        <v>0</v>
      </c>
      <c r="BL1328">
        <v>0</v>
      </c>
      <c r="BO1328">
        <v>0</v>
      </c>
      <c r="BP1328">
        <v>0</v>
      </c>
      <c r="BW1328" t="str">
        <f>"14:52:21.949"</f>
        <v>14:52:21.949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6</v>
      </c>
      <c r="CP1328" t="s">
        <v>119</v>
      </c>
      <c r="CQ1328">
        <v>295</v>
      </c>
      <c r="CR1328">
        <v>1</v>
      </c>
      <c r="CW1328">
        <v>12434538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25">
      <c r="A1329" t="str">
        <f>"06/05/2020 14:52:16.284"</f>
        <v>06/05/2020 14:52:16.284</v>
      </c>
      <c r="C1329" t="str">
        <f t="shared" si="722"/>
        <v>FFDFD3C0</v>
      </c>
      <c r="D1329" t="s">
        <v>134</v>
      </c>
      <c r="E1329">
        <v>7</v>
      </c>
      <c r="F1329">
        <v>2007</v>
      </c>
      <c r="G1329" t="s">
        <v>135</v>
      </c>
      <c r="J1329" t="s">
        <v>136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727"/>
        <v>14:52:21.945</v>
      </c>
      <c r="T1329" t="str">
        <f t="shared" si="727"/>
        <v>14:52:21.945</v>
      </c>
      <c r="U1329" t="str">
        <f t="shared" si="702"/>
        <v>ACC530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9</v>
      </c>
      <c r="AE1329">
        <v>0</v>
      </c>
      <c r="AF1329">
        <v>3</v>
      </c>
      <c r="AG1329">
        <v>1</v>
      </c>
      <c r="AH1329">
        <v>0</v>
      </c>
      <c r="AI1329" t="s">
        <v>545</v>
      </c>
      <c r="AJ1329">
        <v>34.204109000000003</v>
      </c>
      <c r="AK1329" t="s">
        <v>546</v>
      </c>
      <c r="AL1329">
        <v>-116.96645700000001</v>
      </c>
      <c r="AM1329">
        <v>100</v>
      </c>
      <c r="AN1329">
        <v>9000</v>
      </c>
      <c r="AO1329" t="s">
        <v>118</v>
      </c>
      <c r="AP1329">
        <v>-107</v>
      </c>
      <c r="AQ1329">
        <v>-56</v>
      </c>
      <c r="AR1329">
        <v>-64</v>
      </c>
      <c r="AZ1329">
        <v>1200</v>
      </c>
      <c r="BA1329">
        <v>1</v>
      </c>
      <c r="BB1329" t="str">
        <f t="shared" si="704"/>
        <v xml:space="preserve">N9217B  </v>
      </c>
      <c r="BC1329">
        <v>1</v>
      </c>
      <c r="BE1329">
        <v>0</v>
      </c>
      <c r="BF1329">
        <v>0</v>
      </c>
      <c r="BG1329">
        <v>0</v>
      </c>
      <c r="BH1329">
        <v>9075</v>
      </c>
      <c r="BI1329">
        <v>1</v>
      </c>
      <c r="BJ1329">
        <v>0</v>
      </c>
      <c r="BK1329">
        <v>0</v>
      </c>
      <c r="BL1329">
        <v>0</v>
      </c>
      <c r="BO1329">
        <v>0</v>
      </c>
      <c r="BP1329">
        <v>0</v>
      </c>
      <c r="BW1329" t="str">
        <f>"14:52:21.949"</f>
        <v>14:52:21.949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6</v>
      </c>
      <c r="CP1329" t="s">
        <v>119</v>
      </c>
      <c r="CQ1329">
        <v>295</v>
      </c>
      <c r="CR1329">
        <v>1</v>
      </c>
      <c r="CW1329">
        <v>12434538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25">
      <c r="A1330" t="str">
        <f>"06/05/2020 14:52:16.284"</f>
        <v>06/05/2020 14:52:16.284</v>
      </c>
      <c r="C1330" t="str">
        <f t="shared" si="722"/>
        <v>FFDFD3C0</v>
      </c>
      <c r="D1330" t="s">
        <v>141</v>
      </c>
      <c r="E1330">
        <v>20</v>
      </c>
      <c r="F1330">
        <v>1020</v>
      </c>
      <c r="G1330" t="s">
        <v>114</v>
      </c>
      <c r="J1330" t="s">
        <v>142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727"/>
        <v>14:52:21.945</v>
      </c>
      <c r="T1330" t="str">
        <f t="shared" si="727"/>
        <v>14:52:21.945</v>
      </c>
      <c r="U1330" t="str">
        <f t="shared" si="702"/>
        <v>ACC530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9</v>
      </c>
      <c r="AE1330">
        <v>0</v>
      </c>
      <c r="AF1330">
        <v>3</v>
      </c>
      <c r="AG1330">
        <v>1</v>
      </c>
      <c r="AH1330">
        <v>0</v>
      </c>
      <c r="AI1330" t="s">
        <v>545</v>
      </c>
      <c r="AJ1330">
        <v>34.204109000000003</v>
      </c>
      <c r="AK1330" t="s">
        <v>546</v>
      </c>
      <c r="AL1330">
        <v>-116.96645700000001</v>
      </c>
      <c r="AM1330">
        <v>100</v>
      </c>
      <c r="AN1330">
        <v>9000</v>
      </c>
      <c r="AO1330" t="s">
        <v>118</v>
      </c>
      <c r="AP1330">
        <v>-107</v>
      </c>
      <c r="AQ1330">
        <v>-56</v>
      </c>
      <c r="AR1330">
        <v>-64</v>
      </c>
      <c r="AZ1330">
        <v>1200</v>
      </c>
      <c r="BA1330">
        <v>1</v>
      </c>
      <c r="BB1330" t="str">
        <f t="shared" si="704"/>
        <v xml:space="preserve">N9217B  </v>
      </c>
      <c r="BC1330">
        <v>1</v>
      </c>
      <c r="BE1330">
        <v>0</v>
      </c>
      <c r="BF1330">
        <v>0</v>
      </c>
      <c r="BG1330">
        <v>0</v>
      </c>
      <c r="BH1330">
        <v>9075</v>
      </c>
      <c r="BI1330">
        <v>1</v>
      </c>
      <c r="BJ1330">
        <v>0</v>
      </c>
      <c r="BK1330">
        <v>0</v>
      </c>
      <c r="BL1330">
        <v>0</v>
      </c>
      <c r="BO1330">
        <v>0</v>
      </c>
      <c r="BP1330">
        <v>0</v>
      </c>
      <c r="BW1330" t="str">
        <f>"14:52:21.949"</f>
        <v>14:52:21.949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6</v>
      </c>
      <c r="CP1330" t="s">
        <v>119</v>
      </c>
      <c r="CQ1330">
        <v>295</v>
      </c>
      <c r="CR1330">
        <v>1</v>
      </c>
      <c r="CW1330">
        <v>12434538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25">
      <c r="A1331" t="str">
        <f>"06/05/2020 14:52:16.284"</f>
        <v>06/05/2020 14:52:16.284</v>
      </c>
      <c r="C1331" t="str">
        <f t="shared" si="722"/>
        <v>FFDFD3C0</v>
      </c>
      <c r="D1331" t="s">
        <v>151</v>
      </c>
      <c r="E1331">
        <v>9</v>
      </c>
      <c r="H1331">
        <v>226</v>
      </c>
      <c r="I1331" t="s">
        <v>152</v>
      </c>
      <c r="J1331" t="s">
        <v>150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727"/>
        <v>14:52:21.945</v>
      </c>
      <c r="T1331" t="str">
        <f t="shared" si="727"/>
        <v>14:52:21.945</v>
      </c>
      <c r="U1331" t="str">
        <f t="shared" si="702"/>
        <v>ACC530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9</v>
      </c>
      <c r="AE1331">
        <v>0</v>
      </c>
      <c r="AF1331">
        <v>3</v>
      </c>
      <c r="AG1331">
        <v>1</v>
      </c>
      <c r="AH1331">
        <v>0</v>
      </c>
      <c r="AI1331" t="s">
        <v>545</v>
      </c>
      <c r="AJ1331">
        <v>34.204109000000003</v>
      </c>
      <c r="AK1331" t="s">
        <v>546</v>
      </c>
      <c r="AL1331">
        <v>-116.96645700000001</v>
      </c>
      <c r="AM1331">
        <v>100</v>
      </c>
      <c r="AN1331">
        <v>9000</v>
      </c>
      <c r="AO1331" t="s">
        <v>118</v>
      </c>
      <c r="AP1331">
        <v>-107</v>
      </c>
      <c r="AQ1331">
        <v>-56</v>
      </c>
      <c r="AR1331">
        <v>-64</v>
      </c>
      <c r="AZ1331">
        <v>1200</v>
      </c>
      <c r="BA1331">
        <v>1</v>
      </c>
      <c r="BB1331" t="str">
        <f t="shared" si="704"/>
        <v xml:space="preserve">N9217B  </v>
      </c>
      <c r="BC1331">
        <v>1</v>
      </c>
      <c r="BE1331">
        <v>0</v>
      </c>
      <c r="BF1331">
        <v>0</v>
      </c>
      <c r="BG1331">
        <v>0</v>
      </c>
      <c r="BH1331">
        <v>9075</v>
      </c>
      <c r="BI1331">
        <v>1</v>
      </c>
      <c r="BJ1331">
        <v>0</v>
      </c>
      <c r="BK1331">
        <v>0</v>
      </c>
      <c r="BL1331">
        <v>0</v>
      </c>
      <c r="BO1331">
        <v>0</v>
      </c>
      <c r="BP1331">
        <v>0</v>
      </c>
      <c r="BW1331" t="str">
        <f>"14:52:21.948"</f>
        <v>14:52:21.948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5</v>
      </c>
      <c r="CP1331" t="s">
        <v>119</v>
      </c>
      <c r="CQ1331">
        <v>293</v>
      </c>
      <c r="CR1331">
        <v>2</v>
      </c>
      <c r="CW1331">
        <v>15285309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25">
      <c r="A1332" t="str">
        <f>"06/05/2020 14:52:16.284"</f>
        <v>06/05/2020 14:52:16.284</v>
      </c>
      <c r="C1332" t="str">
        <f t="shared" si="722"/>
        <v>FFDFD3C0</v>
      </c>
      <c r="D1332" t="s">
        <v>148</v>
      </c>
      <c r="E1332">
        <v>11</v>
      </c>
      <c r="H1332">
        <v>53</v>
      </c>
      <c r="I1332" t="s">
        <v>364</v>
      </c>
      <c r="J1332" t="s">
        <v>150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727"/>
        <v>14:52:21.945</v>
      </c>
      <c r="T1332" t="str">
        <f t="shared" si="727"/>
        <v>14:52:21.945</v>
      </c>
      <c r="U1332" t="str">
        <f t="shared" si="702"/>
        <v>ACC530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9</v>
      </c>
      <c r="AE1332">
        <v>0</v>
      </c>
      <c r="AF1332">
        <v>3</v>
      </c>
      <c r="AG1332">
        <v>1</v>
      </c>
      <c r="AH1332">
        <v>0</v>
      </c>
      <c r="AI1332" t="s">
        <v>545</v>
      </c>
      <c r="AJ1332">
        <v>34.204109000000003</v>
      </c>
      <c r="AK1332" t="s">
        <v>546</v>
      </c>
      <c r="AL1332">
        <v>-116.96645700000001</v>
      </c>
      <c r="AM1332">
        <v>100</v>
      </c>
      <c r="AN1332">
        <v>9000</v>
      </c>
      <c r="AO1332" t="s">
        <v>118</v>
      </c>
      <c r="AP1332">
        <v>-107</v>
      </c>
      <c r="AQ1332">
        <v>-56</v>
      </c>
      <c r="AR1332">
        <v>-64</v>
      </c>
      <c r="AZ1332">
        <v>1200</v>
      </c>
      <c r="BA1332">
        <v>1</v>
      </c>
      <c r="BB1332" t="str">
        <f t="shared" si="704"/>
        <v xml:space="preserve">N9217B  </v>
      </c>
      <c r="BC1332">
        <v>1</v>
      </c>
      <c r="BE1332">
        <v>0</v>
      </c>
      <c r="BF1332">
        <v>0</v>
      </c>
      <c r="BG1332">
        <v>0</v>
      </c>
      <c r="BH1332">
        <v>9075</v>
      </c>
      <c r="BI1332">
        <v>1</v>
      </c>
      <c r="BJ1332">
        <v>0</v>
      </c>
      <c r="BK1332">
        <v>0</v>
      </c>
      <c r="BL1332">
        <v>0</v>
      </c>
      <c r="BO1332">
        <v>0</v>
      </c>
      <c r="BP1332">
        <v>0</v>
      </c>
      <c r="BW1332" t="str">
        <f>"14:52:21.948"</f>
        <v>14:52:21.948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5</v>
      </c>
      <c r="CP1332" t="s">
        <v>119</v>
      </c>
      <c r="CQ1332">
        <v>293</v>
      </c>
      <c r="CR1332">
        <v>2</v>
      </c>
      <c r="CW1332">
        <v>15285309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25">
      <c r="A1333" t="str">
        <f t="shared" ref="A1333:A1338" si="728">"06/05/2020 14:52:17.369"</f>
        <v>06/05/2020 14:52:17.369</v>
      </c>
      <c r="C1333" t="str">
        <f t="shared" si="722"/>
        <v>FFDFD3C0</v>
      </c>
      <c r="D1333" t="s">
        <v>113</v>
      </c>
      <c r="E1333">
        <v>3</v>
      </c>
      <c r="H1333">
        <v>166</v>
      </c>
      <c r="I1333" t="s">
        <v>114</v>
      </c>
      <c r="J1333" t="s">
        <v>115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ref="S1333:T1338" si="729">"14:52:23.023"</f>
        <v>14:52:23.023</v>
      </c>
      <c r="T1333" t="str">
        <f t="shared" si="729"/>
        <v>14:52:23.023</v>
      </c>
      <c r="U1333" t="str">
        <f t="shared" si="702"/>
        <v>ACC530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9</v>
      </c>
      <c r="AE1333">
        <v>0</v>
      </c>
      <c r="AF1333">
        <v>3</v>
      </c>
      <c r="AG1333">
        <v>1</v>
      </c>
      <c r="AH1333">
        <v>0</v>
      </c>
      <c r="AI1333" t="s">
        <v>547</v>
      </c>
      <c r="AJ1333">
        <v>34.203830000000004</v>
      </c>
      <c r="AK1333" t="s">
        <v>548</v>
      </c>
      <c r="AL1333">
        <v>-116.96708</v>
      </c>
      <c r="AM1333">
        <v>100</v>
      </c>
      <c r="AN1333">
        <v>9000</v>
      </c>
      <c r="AO1333" t="s">
        <v>118</v>
      </c>
      <c r="AP1333">
        <v>-107</v>
      </c>
      <c r="AQ1333">
        <v>-55</v>
      </c>
      <c r="AR1333">
        <v>-128</v>
      </c>
      <c r="AZ1333">
        <v>1200</v>
      </c>
      <c r="BA1333">
        <v>1</v>
      </c>
      <c r="BB1333" t="str">
        <f t="shared" si="704"/>
        <v xml:space="preserve">N9217B  </v>
      </c>
      <c r="BC1333">
        <v>1</v>
      </c>
      <c r="BE1333">
        <v>0</v>
      </c>
      <c r="BF1333">
        <v>0</v>
      </c>
      <c r="BG1333">
        <v>0</v>
      </c>
      <c r="BH1333">
        <v>9075</v>
      </c>
      <c r="BI1333">
        <v>1</v>
      </c>
      <c r="BJ1333">
        <v>0</v>
      </c>
      <c r="BK1333">
        <v>0</v>
      </c>
      <c r="BL1333">
        <v>0</v>
      </c>
      <c r="BO1333">
        <v>0</v>
      </c>
      <c r="BP1333">
        <v>0</v>
      </c>
      <c r="BW1333" t="str">
        <f t="shared" ref="BW1333:BW1338" si="730">"14:52:23.028"</f>
        <v>14:52:23.028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6</v>
      </c>
      <c r="CP1333" t="s">
        <v>119</v>
      </c>
      <c r="CQ1333">
        <v>293</v>
      </c>
      <c r="CR1333">
        <v>1</v>
      </c>
      <c r="CW1333">
        <v>15285442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25">
      <c r="A1334" t="str">
        <f t="shared" si="728"/>
        <v>06/05/2020 14:52:17.369</v>
      </c>
      <c r="C1334" t="str">
        <f t="shared" si="722"/>
        <v>FFDFD3C0</v>
      </c>
      <c r="D1334" t="s">
        <v>148</v>
      </c>
      <c r="E1334">
        <v>8</v>
      </c>
      <c r="H1334">
        <v>50</v>
      </c>
      <c r="I1334" t="s">
        <v>149</v>
      </c>
      <c r="J1334" t="s">
        <v>150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729"/>
        <v>14:52:23.023</v>
      </c>
      <c r="T1334" t="str">
        <f t="shared" si="729"/>
        <v>14:52:23.023</v>
      </c>
      <c r="U1334" t="str">
        <f t="shared" si="702"/>
        <v>ACC530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9</v>
      </c>
      <c r="AE1334">
        <v>0</v>
      </c>
      <c r="AF1334">
        <v>3</v>
      </c>
      <c r="AG1334">
        <v>1</v>
      </c>
      <c r="AH1334">
        <v>0</v>
      </c>
      <c r="AI1334" t="s">
        <v>547</v>
      </c>
      <c r="AJ1334">
        <v>34.203830000000004</v>
      </c>
      <c r="AK1334" t="s">
        <v>548</v>
      </c>
      <c r="AL1334">
        <v>-116.96708</v>
      </c>
      <c r="AM1334">
        <v>100</v>
      </c>
      <c r="AN1334">
        <v>9000</v>
      </c>
      <c r="AO1334" t="s">
        <v>118</v>
      </c>
      <c r="AP1334">
        <v>-107</v>
      </c>
      <c r="AQ1334">
        <v>-55</v>
      </c>
      <c r="AR1334">
        <v>-128</v>
      </c>
      <c r="AZ1334">
        <v>1200</v>
      </c>
      <c r="BA1334">
        <v>1</v>
      </c>
      <c r="BB1334" t="str">
        <f t="shared" si="704"/>
        <v xml:space="preserve">N9217B  </v>
      </c>
      <c r="BC1334">
        <v>1</v>
      </c>
      <c r="BE1334">
        <v>0</v>
      </c>
      <c r="BF1334">
        <v>0</v>
      </c>
      <c r="BG1334">
        <v>0</v>
      </c>
      <c r="BH1334">
        <v>9075</v>
      </c>
      <c r="BI1334">
        <v>1</v>
      </c>
      <c r="BJ1334">
        <v>0</v>
      </c>
      <c r="BK1334">
        <v>0</v>
      </c>
      <c r="BL1334">
        <v>0</v>
      </c>
      <c r="BO1334">
        <v>0</v>
      </c>
      <c r="BP1334">
        <v>0</v>
      </c>
      <c r="BW1334" t="str">
        <f t="shared" si="730"/>
        <v>14:52:23.028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6</v>
      </c>
      <c r="CP1334" t="s">
        <v>119</v>
      </c>
      <c r="CQ1334">
        <v>293</v>
      </c>
      <c r="CR1334">
        <v>1</v>
      </c>
      <c r="CW1334">
        <v>15285442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25">
      <c r="A1335" t="str">
        <f t="shared" si="728"/>
        <v>06/05/2020 14:52:17.369</v>
      </c>
      <c r="C1335" t="str">
        <f t="shared" si="722"/>
        <v>FFDFD3C0</v>
      </c>
      <c r="D1335" t="s">
        <v>134</v>
      </c>
      <c r="E1335">
        <v>7</v>
      </c>
      <c r="F1335">
        <v>2007</v>
      </c>
      <c r="G1335" t="s">
        <v>135</v>
      </c>
      <c r="J1335" t="s">
        <v>136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729"/>
        <v>14:52:23.023</v>
      </c>
      <c r="T1335" t="str">
        <f t="shared" si="729"/>
        <v>14:52:23.023</v>
      </c>
      <c r="U1335" t="str">
        <f t="shared" si="702"/>
        <v>ACC530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9</v>
      </c>
      <c r="AE1335">
        <v>0</v>
      </c>
      <c r="AF1335">
        <v>3</v>
      </c>
      <c r="AG1335">
        <v>1</v>
      </c>
      <c r="AH1335">
        <v>0</v>
      </c>
      <c r="AI1335" t="s">
        <v>547</v>
      </c>
      <c r="AJ1335">
        <v>34.203830000000004</v>
      </c>
      <c r="AK1335" t="s">
        <v>548</v>
      </c>
      <c r="AL1335">
        <v>-116.96708</v>
      </c>
      <c r="AM1335">
        <v>100</v>
      </c>
      <c r="AN1335">
        <v>9000</v>
      </c>
      <c r="AO1335" t="s">
        <v>118</v>
      </c>
      <c r="AP1335">
        <v>-107</v>
      </c>
      <c r="AQ1335">
        <v>-55</v>
      </c>
      <c r="AR1335">
        <v>-128</v>
      </c>
      <c r="AZ1335">
        <v>1200</v>
      </c>
      <c r="BA1335">
        <v>1</v>
      </c>
      <c r="BB1335" t="str">
        <f t="shared" si="704"/>
        <v xml:space="preserve">N9217B  </v>
      </c>
      <c r="BC1335">
        <v>1</v>
      </c>
      <c r="BE1335">
        <v>0</v>
      </c>
      <c r="BF1335">
        <v>0</v>
      </c>
      <c r="BG1335">
        <v>0</v>
      </c>
      <c r="BH1335">
        <v>9075</v>
      </c>
      <c r="BI1335">
        <v>1</v>
      </c>
      <c r="BJ1335">
        <v>0</v>
      </c>
      <c r="BK1335">
        <v>0</v>
      </c>
      <c r="BL1335">
        <v>0</v>
      </c>
      <c r="BO1335">
        <v>0</v>
      </c>
      <c r="BP1335">
        <v>0</v>
      </c>
      <c r="BW1335" t="str">
        <f t="shared" si="730"/>
        <v>14:52:23.028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6</v>
      </c>
      <c r="CP1335" t="s">
        <v>119</v>
      </c>
      <c r="CQ1335">
        <v>293</v>
      </c>
      <c r="CR1335">
        <v>1</v>
      </c>
      <c r="CW1335">
        <v>15285442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25">
      <c r="A1336" t="str">
        <f t="shared" si="728"/>
        <v>06/05/2020 14:52:17.369</v>
      </c>
      <c r="C1336" t="str">
        <f t="shared" si="722"/>
        <v>FFDFD3C0</v>
      </c>
      <c r="D1336" t="s">
        <v>141</v>
      </c>
      <c r="E1336">
        <v>20</v>
      </c>
      <c r="F1336">
        <v>1020</v>
      </c>
      <c r="G1336" t="s">
        <v>114</v>
      </c>
      <c r="J1336" t="s">
        <v>142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729"/>
        <v>14:52:23.023</v>
      </c>
      <c r="T1336" t="str">
        <f t="shared" si="729"/>
        <v>14:52:23.023</v>
      </c>
      <c r="U1336" t="str">
        <f t="shared" si="702"/>
        <v>ACC530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9</v>
      </c>
      <c r="AE1336">
        <v>0</v>
      </c>
      <c r="AF1336">
        <v>3</v>
      </c>
      <c r="AG1336">
        <v>1</v>
      </c>
      <c r="AH1336">
        <v>0</v>
      </c>
      <c r="AI1336" t="s">
        <v>547</v>
      </c>
      <c r="AJ1336">
        <v>34.203830000000004</v>
      </c>
      <c r="AK1336" t="s">
        <v>548</v>
      </c>
      <c r="AL1336">
        <v>-116.96708</v>
      </c>
      <c r="AM1336">
        <v>100</v>
      </c>
      <c r="AN1336">
        <v>9000</v>
      </c>
      <c r="AO1336" t="s">
        <v>118</v>
      </c>
      <c r="AP1336">
        <v>-107</v>
      </c>
      <c r="AQ1336">
        <v>-55</v>
      </c>
      <c r="AR1336">
        <v>-128</v>
      </c>
      <c r="AZ1336">
        <v>1200</v>
      </c>
      <c r="BA1336">
        <v>1</v>
      </c>
      <c r="BB1336" t="str">
        <f t="shared" si="704"/>
        <v xml:space="preserve">N9217B  </v>
      </c>
      <c r="BC1336">
        <v>1</v>
      </c>
      <c r="BE1336">
        <v>0</v>
      </c>
      <c r="BF1336">
        <v>0</v>
      </c>
      <c r="BG1336">
        <v>0</v>
      </c>
      <c r="BH1336">
        <v>9075</v>
      </c>
      <c r="BI1336">
        <v>1</v>
      </c>
      <c r="BJ1336">
        <v>0</v>
      </c>
      <c r="BK1336">
        <v>0</v>
      </c>
      <c r="BL1336">
        <v>0</v>
      </c>
      <c r="BO1336">
        <v>0</v>
      </c>
      <c r="BP1336">
        <v>0</v>
      </c>
      <c r="BW1336" t="str">
        <f t="shared" si="730"/>
        <v>14:52:23.028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6</v>
      </c>
      <c r="CP1336" t="s">
        <v>119</v>
      </c>
      <c r="CQ1336">
        <v>293</v>
      </c>
      <c r="CR1336">
        <v>1</v>
      </c>
      <c r="CW1336">
        <v>15285442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25">
      <c r="A1337" t="str">
        <f t="shared" si="728"/>
        <v>06/05/2020 14:52:17.369</v>
      </c>
      <c r="C1337" t="str">
        <f t="shared" si="722"/>
        <v>FFDFD3C0</v>
      </c>
      <c r="D1337" t="s">
        <v>151</v>
      </c>
      <c r="E1337">
        <v>9</v>
      </c>
      <c r="H1337">
        <v>226</v>
      </c>
      <c r="I1337" t="s">
        <v>152</v>
      </c>
      <c r="J1337" t="s">
        <v>150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729"/>
        <v>14:52:23.023</v>
      </c>
      <c r="T1337" t="str">
        <f t="shared" si="729"/>
        <v>14:52:23.023</v>
      </c>
      <c r="U1337" t="str">
        <f t="shared" si="702"/>
        <v>ACC530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9</v>
      </c>
      <c r="AE1337">
        <v>0</v>
      </c>
      <c r="AF1337">
        <v>3</v>
      </c>
      <c r="AG1337">
        <v>1</v>
      </c>
      <c r="AH1337">
        <v>0</v>
      </c>
      <c r="AI1337" t="s">
        <v>547</v>
      </c>
      <c r="AJ1337">
        <v>34.203830000000004</v>
      </c>
      <c r="AK1337" t="s">
        <v>548</v>
      </c>
      <c r="AL1337">
        <v>-116.96708</v>
      </c>
      <c r="AM1337">
        <v>100</v>
      </c>
      <c r="AN1337">
        <v>9000</v>
      </c>
      <c r="AO1337" t="s">
        <v>118</v>
      </c>
      <c r="AP1337">
        <v>-107</v>
      </c>
      <c r="AQ1337">
        <v>-55</v>
      </c>
      <c r="AR1337">
        <v>-128</v>
      </c>
      <c r="AZ1337">
        <v>1200</v>
      </c>
      <c r="BA1337">
        <v>1</v>
      </c>
      <c r="BB1337" t="str">
        <f t="shared" si="704"/>
        <v xml:space="preserve">N9217B  </v>
      </c>
      <c r="BC1337">
        <v>1</v>
      </c>
      <c r="BE1337">
        <v>0</v>
      </c>
      <c r="BF1337">
        <v>0</v>
      </c>
      <c r="BG1337">
        <v>0</v>
      </c>
      <c r="BH1337">
        <v>9075</v>
      </c>
      <c r="BI1337">
        <v>1</v>
      </c>
      <c r="BJ1337">
        <v>0</v>
      </c>
      <c r="BK1337">
        <v>0</v>
      </c>
      <c r="BL1337">
        <v>0</v>
      </c>
      <c r="BO1337">
        <v>0</v>
      </c>
      <c r="BP1337">
        <v>0</v>
      </c>
      <c r="BW1337" t="str">
        <f t="shared" si="730"/>
        <v>14:52:23.028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6</v>
      </c>
      <c r="CP1337" t="s">
        <v>119</v>
      </c>
      <c r="CQ1337">
        <v>293</v>
      </c>
      <c r="CR1337">
        <v>1</v>
      </c>
      <c r="CW1337">
        <v>15285442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25">
      <c r="A1338" t="str">
        <f t="shared" si="728"/>
        <v>06/05/2020 14:52:17.369</v>
      </c>
      <c r="C1338" t="str">
        <f t="shared" si="722"/>
        <v>FFDFD3C0</v>
      </c>
      <c r="D1338" t="s">
        <v>148</v>
      </c>
      <c r="E1338">
        <v>11</v>
      </c>
      <c r="H1338">
        <v>53</v>
      </c>
      <c r="I1338" t="s">
        <v>364</v>
      </c>
      <c r="J1338" t="s">
        <v>150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729"/>
        <v>14:52:23.023</v>
      </c>
      <c r="T1338" t="str">
        <f t="shared" si="729"/>
        <v>14:52:23.023</v>
      </c>
      <c r="U1338" t="str">
        <f t="shared" si="702"/>
        <v>ACC530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9</v>
      </c>
      <c r="AE1338">
        <v>0</v>
      </c>
      <c r="AF1338">
        <v>3</v>
      </c>
      <c r="AG1338">
        <v>1</v>
      </c>
      <c r="AH1338">
        <v>0</v>
      </c>
      <c r="AI1338" t="s">
        <v>547</v>
      </c>
      <c r="AJ1338">
        <v>34.203830000000004</v>
      </c>
      <c r="AK1338" t="s">
        <v>548</v>
      </c>
      <c r="AL1338">
        <v>-116.96708</v>
      </c>
      <c r="AM1338">
        <v>100</v>
      </c>
      <c r="AN1338">
        <v>9000</v>
      </c>
      <c r="AO1338" t="s">
        <v>118</v>
      </c>
      <c r="AP1338">
        <v>-107</v>
      </c>
      <c r="AQ1338">
        <v>-55</v>
      </c>
      <c r="AR1338">
        <v>-128</v>
      </c>
      <c r="AZ1338">
        <v>1200</v>
      </c>
      <c r="BA1338">
        <v>1</v>
      </c>
      <c r="BB1338" t="str">
        <f t="shared" si="704"/>
        <v xml:space="preserve">N9217B  </v>
      </c>
      <c r="BC1338">
        <v>1</v>
      </c>
      <c r="BE1338">
        <v>0</v>
      </c>
      <c r="BF1338">
        <v>0</v>
      </c>
      <c r="BG1338">
        <v>0</v>
      </c>
      <c r="BH1338">
        <v>9075</v>
      </c>
      <c r="BI1338">
        <v>1</v>
      </c>
      <c r="BJ1338">
        <v>0</v>
      </c>
      <c r="BK1338">
        <v>0</v>
      </c>
      <c r="BL1338">
        <v>0</v>
      </c>
      <c r="BO1338">
        <v>0</v>
      </c>
      <c r="BP1338">
        <v>0</v>
      </c>
      <c r="BW1338" t="str">
        <f t="shared" si="730"/>
        <v>14:52:23.028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293</v>
      </c>
      <c r="CR1338">
        <v>1</v>
      </c>
      <c r="CW1338">
        <v>15285442</v>
      </c>
      <c r="CY1338">
        <v>0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25">
      <c r="A1339" t="str">
        <f t="shared" ref="A1339:A1345" si="731">"06/05/2020 14:52:18.379"</f>
        <v>06/05/2020 14:52:18.379</v>
      </c>
      <c r="C1339" t="str">
        <f t="shared" si="722"/>
        <v>FFDFD3C0</v>
      </c>
      <c r="D1339" t="s">
        <v>113</v>
      </c>
      <c r="E1339">
        <v>3</v>
      </c>
      <c r="H1339">
        <v>166</v>
      </c>
      <c r="I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S1345" si="732">"14:52:24.000"</f>
        <v>14:52:24.000</v>
      </c>
      <c r="T1339" t="str">
        <f t="shared" ref="T1339:T1345" si="733">"14:52:23.900"</f>
        <v>14:52:23.900</v>
      </c>
      <c r="U1339" t="str">
        <f t="shared" si="702"/>
        <v>ACC530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9</v>
      </c>
      <c r="AE1339">
        <v>0</v>
      </c>
      <c r="AF1339">
        <v>3</v>
      </c>
      <c r="AG1339">
        <v>1</v>
      </c>
      <c r="AH1339">
        <v>0</v>
      </c>
      <c r="AI1339" t="s">
        <v>549</v>
      </c>
      <c r="AJ1339">
        <v>34.203594000000002</v>
      </c>
      <c r="AK1339" t="s">
        <v>550</v>
      </c>
      <c r="AL1339">
        <v>-116.96768</v>
      </c>
      <c r="AM1339">
        <v>100</v>
      </c>
      <c r="AN1339">
        <v>9000</v>
      </c>
      <c r="AO1339" t="s">
        <v>118</v>
      </c>
      <c r="AP1339">
        <v>-107</v>
      </c>
      <c r="AQ1339">
        <v>-55</v>
      </c>
      <c r="AR1339">
        <v>-192</v>
      </c>
      <c r="AZ1339">
        <v>1200</v>
      </c>
      <c r="BA1339">
        <v>1</v>
      </c>
      <c r="BB1339" t="str">
        <f t="shared" si="704"/>
        <v xml:space="preserve">N9217B  </v>
      </c>
      <c r="BC1339">
        <v>1</v>
      </c>
      <c r="BE1339">
        <v>0</v>
      </c>
      <c r="BF1339">
        <v>0</v>
      </c>
      <c r="BG1339">
        <v>0</v>
      </c>
      <c r="BH1339">
        <v>9075</v>
      </c>
      <c r="BI1339">
        <v>1</v>
      </c>
      <c r="BJ1339">
        <v>0</v>
      </c>
      <c r="BK1339">
        <v>0</v>
      </c>
      <c r="BL1339">
        <v>0</v>
      </c>
      <c r="BO1339">
        <v>0</v>
      </c>
      <c r="BP1339">
        <v>0</v>
      </c>
      <c r="BW1339" t="str">
        <f t="shared" ref="BW1339:BW1345" si="734">"14:52:24.003"</f>
        <v>14:52:24.003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295</v>
      </c>
      <c r="CR1339">
        <v>2</v>
      </c>
      <c r="CW1339">
        <v>12434733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25">
      <c r="A1340" t="str">
        <f t="shared" si="731"/>
        <v>06/05/2020 14:52:18.379</v>
      </c>
      <c r="C1340" t="str">
        <f t="shared" si="722"/>
        <v>FFDFD3C0</v>
      </c>
      <c r="D1340" t="s">
        <v>134</v>
      </c>
      <c r="E1340">
        <v>7</v>
      </c>
      <c r="F1340">
        <v>2007</v>
      </c>
      <c r="G1340" t="s">
        <v>135</v>
      </c>
      <c r="J1340" t="s">
        <v>136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732"/>
        <v>14:52:24.000</v>
      </c>
      <c r="T1340" t="str">
        <f t="shared" si="733"/>
        <v>14:52:23.900</v>
      </c>
      <c r="U1340" t="str">
        <f t="shared" si="702"/>
        <v>ACC530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9</v>
      </c>
      <c r="AE1340">
        <v>0</v>
      </c>
      <c r="AF1340">
        <v>3</v>
      </c>
      <c r="AG1340">
        <v>1</v>
      </c>
      <c r="AH1340">
        <v>0</v>
      </c>
      <c r="AI1340" t="s">
        <v>549</v>
      </c>
      <c r="AJ1340">
        <v>34.203594000000002</v>
      </c>
      <c r="AK1340" t="s">
        <v>550</v>
      </c>
      <c r="AL1340">
        <v>-116.96768</v>
      </c>
      <c r="AM1340">
        <v>100</v>
      </c>
      <c r="AN1340">
        <v>9000</v>
      </c>
      <c r="AO1340" t="s">
        <v>118</v>
      </c>
      <c r="AP1340">
        <v>-107</v>
      </c>
      <c r="AQ1340">
        <v>-55</v>
      </c>
      <c r="AR1340">
        <v>-192</v>
      </c>
      <c r="AZ1340">
        <v>1200</v>
      </c>
      <c r="BA1340">
        <v>1</v>
      </c>
      <c r="BB1340" t="str">
        <f t="shared" si="704"/>
        <v xml:space="preserve">N9217B  </v>
      </c>
      <c r="BC1340">
        <v>1</v>
      </c>
      <c r="BE1340">
        <v>0</v>
      </c>
      <c r="BF1340">
        <v>0</v>
      </c>
      <c r="BG1340">
        <v>0</v>
      </c>
      <c r="BH1340">
        <v>9075</v>
      </c>
      <c r="BI1340">
        <v>1</v>
      </c>
      <c r="BJ1340">
        <v>0</v>
      </c>
      <c r="BK1340">
        <v>0</v>
      </c>
      <c r="BL1340">
        <v>0</v>
      </c>
      <c r="BO1340">
        <v>0</v>
      </c>
      <c r="BP1340">
        <v>0</v>
      </c>
      <c r="BW1340" t="str">
        <f t="shared" si="734"/>
        <v>14:52:24.003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295</v>
      </c>
      <c r="CR1340">
        <v>2</v>
      </c>
      <c r="CW1340">
        <v>12434733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25">
      <c r="A1341" t="str">
        <f t="shared" si="731"/>
        <v>06/05/2020 14:52:18.379</v>
      </c>
      <c r="C1341" t="str">
        <f t="shared" si="722"/>
        <v>FFDFD3C0</v>
      </c>
      <c r="D1341" t="s">
        <v>151</v>
      </c>
      <c r="E1341">
        <v>8</v>
      </c>
      <c r="H1341">
        <v>225</v>
      </c>
      <c r="I1341" t="s">
        <v>353</v>
      </c>
      <c r="J1341" t="s">
        <v>150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732"/>
        <v>14:52:24.000</v>
      </c>
      <c r="T1341" t="str">
        <f t="shared" si="733"/>
        <v>14:52:23.900</v>
      </c>
      <c r="U1341" t="str">
        <f t="shared" si="702"/>
        <v>ACC530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9</v>
      </c>
      <c r="AE1341">
        <v>0</v>
      </c>
      <c r="AF1341">
        <v>3</v>
      </c>
      <c r="AG1341">
        <v>1</v>
      </c>
      <c r="AH1341">
        <v>0</v>
      </c>
      <c r="AI1341" t="s">
        <v>549</v>
      </c>
      <c r="AJ1341">
        <v>34.203594000000002</v>
      </c>
      <c r="AK1341" t="s">
        <v>550</v>
      </c>
      <c r="AL1341">
        <v>-116.96768</v>
      </c>
      <c r="AM1341">
        <v>100</v>
      </c>
      <c r="AN1341">
        <v>9000</v>
      </c>
      <c r="AO1341" t="s">
        <v>118</v>
      </c>
      <c r="AP1341">
        <v>-107</v>
      </c>
      <c r="AQ1341">
        <v>-55</v>
      </c>
      <c r="AR1341">
        <v>-192</v>
      </c>
      <c r="AZ1341">
        <v>1200</v>
      </c>
      <c r="BA1341">
        <v>1</v>
      </c>
      <c r="BB1341" t="str">
        <f t="shared" si="704"/>
        <v xml:space="preserve">N9217B  </v>
      </c>
      <c r="BC1341">
        <v>1</v>
      </c>
      <c r="BE1341">
        <v>0</v>
      </c>
      <c r="BF1341">
        <v>0</v>
      </c>
      <c r="BG1341">
        <v>0</v>
      </c>
      <c r="BH1341">
        <v>9075</v>
      </c>
      <c r="BI1341">
        <v>1</v>
      </c>
      <c r="BJ1341">
        <v>0</v>
      </c>
      <c r="BK1341">
        <v>0</v>
      </c>
      <c r="BL1341">
        <v>0</v>
      </c>
      <c r="BO1341">
        <v>0</v>
      </c>
      <c r="BP1341">
        <v>0</v>
      </c>
      <c r="BW1341" t="str">
        <f t="shared" si="734"/>
        <v>14:52:24.003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285</v>
      </c>
      <c r="CR1341">
        <v>0</v>
      </c>
      <c r="CW1341">
        <v>8851897</v>
      </c>
      <c r="CY1341">
        <v>0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25">
      <c r="A1342" t="str">
        <f t="shared" si="731"/>
        <v>06/05/2020 14:52:18.379</v>
      </c>
      <c r="C1342" t="str">
        <f t="shared" si="722"/>
        <v>FFDFD3C0</v>
      </c>
      <c r="D1342" t="s">
        <v>141</v>
      </c>
      <c r="E1342">
        <v>20</v>
      </c>
      <c r="F1342">
        <v>1020</v>
      </c>
      <c r="G1342" t="s">
        <v>114</v>
      </c>
      <c r="J1342" t="s">
        <v>142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732"/>
        <v>14:52:24.000</v>
      </c>
      <c r="T1342" t="str">
        <f t="shared" si="733"/>
        <v>14:52:23.900</v>
      </c>
      <c r="U1342" t="str">
        <f t="shared" si="702"/>
        <v>ACC530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9</v>
      </c>
      <c r="AE1342">
        <v>0</v>
      </c>
      <c r="AF1342">
        <v>3</v>
      </c>
      <c r="AG1342">
        <v>1</v>
      </c>
      <c r="AH1342">
        <v>0</v>
      </c>
      <c r="AI1342" t="s">
        <v>549</v>
      </c>
      <c r="AJ1342">
        <v>34.203594000000002</v>
      </c>
      <c r="AK1342" t="s">
        <v>550</v>
      </c>
      <c r="AL1342">
        <v>-116.96768</v>
      </c>
      <c r="AM1342">
        <v>100</v>
      </c>
      <c r="AN1342">
        <v>9000</v>
      </c>
      <c r="AO1342" t="s">
        <v>118</v>
      </c>
      <c r="AP1342">
        <v>-107</v>
      </c>
      <c r="AQ1342">
        <v>-55</v>
      </c>
      <c r="AR1342">
        <v>-192</v>
      </c>
      <c r="AZ1342">
        <v>1200</v>
      </c>
      <c r="BA1342">
        <v>1</v>
      </c>
      <c r="BB1342" t="str">
        <f t="shared" si="704"/>
        <v xml:space="preserve">N9217B  </v>
      </c>
      <c r="BC1342">
        <v>1</v>
      </c>
      <c r="BE1342">
        <v>0</v>
      </c>
      <c r="BF1342">
        <v>0</v>
      </c>
      <c r="BG1342">
        <v>0</v>
      </c>
      <c r="BH1342">
        <v>9075</v>
      </c>
      <c r="BI1342">
        <v>1</v>
      </c>
      <c r="BJ1342">
        <v>0</v>
      </c>
      <c r="BK1342">
        <v>0</v>
      </c>
      <c r="BL1342">
        <v>0</v>
      </c>
      <c r="BO1342">
        <v>0</v>
      </c>
      <c r="BP1342">
        <v>0</v>
      </c>
      <c r="BW1342" t="str">
        <f t="shared" si="734"/>
        <v>14:52:24.003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295</v>
      </c>
      <c r="CR1342">
        <v>2</v>
      </c>
      <c r="CW1342">
        <v>12434733</v>
      </c>
      <c r="CY1342">
        <v>0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25">
      <c r="A1343" t="str">
        <f t="shared" si="731"/>
        <v>06/05/2020 14:52:18.379</v>
      </c>
      <c r="C1343" t="str">
        <f t="shared" si="722"/>
        <v>FFDFD3C0</v>
      </c>
      <c r="D1343" t="s">
        <v>148</v>
      </c>
      <c r="E1343">
        <v>8</v>
      </c>
      <c r="H1343">
        <v>50</v>
      </c>
      <c r="I1343" t="s">
        <v>149</v>
      </c>
      <c r="J1343" t="s">
        <v>150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732"/>
        <v>14:52:24.000</v>
      </c>
      <c r="T1343" t="str">
        <f t="shared" si="733"/>
        <v>14:52:23.900</v>
      </c>
      <c r="U1343" t="str">
        <f t="shared" si="702"/>
        <v>ACC530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9</v>
      </c>
      <c r="AE1343">
        <v>0</v>
      </c>
      <c r="AF1343">
        <v>3</v>
      </c>
      <c r="AG1343">
        <v>1</v>
      </c>
      <c r="AH1343">
        <v>0</v>
      </c>
      <c r="AI1343" t="s">
        <v>549</v>
      </c>
      <c r="AJ1343">
        <v>34.203594000000002</v>
      </c>
      <c r="AK1343" t="s">
        <v>550</v>
      </c>
      <c r="AL1343">
        <v>-116.96768</v>
      </c>
      <c r="AM1343">
        <v>100</v>
      </c>
      <c r="AN1343">
        <v>9000</v>
      </c>
      <c r="AO1343" t="s">
        <v>118</v>
      </c>
      <c r="AP1343">
        <v>-107</v>
      </c>
      <c r="AQ1343">
        <v>-55</v>
      </c>
      <c r="AR1343">
        <v>-192</v>
      </c>
      <c r="AZ1343">
        <v>1200</v>
      </c>
      <c r="BA1343">
        <v>1</v>
      </c>
      <c r="BB1343" t="str">
        <f t="shared" si="704"/>
        <v xml:space="preserve">N9217B  </v>
      </c>
      <c r="BC1343">
        <v>1</v>
      </c>
      <c r="BE1343">
        <v>0</v>
      </c>
      <c r="BF1343">
        <v>0</v>
      </c>
      <c r="BG1343">
        <v>0</v>
      </c>
      <c r="BH1343">
        <v>9075</v>
      </c>
      <c r="BI1343">
        <v>1</v>
      </c>
      <c r="BJ1343">
        <v>0</v>
      </c>
      <c r="BK1343">
        <v>0</v>
      </c>
      <c r="BL1343">
        <v>0</v>
      </c>
      <c r="BO1343">
        <v>0</v>
      </c>
      <c r="BP1343">
        <v>0</v>
      </c>
      <c r="BW1343" t="str">
        <f t="shared" si="734"/>
        <v>14:52:24.003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295</v>
      </c>
      <c r="CR1343">
        <v>2</v>
      </c>
      <c r="CW1343">
        <v>12434733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25">
      <c r="A1344" t="str">
        <f t="shared" si="731"/>
        <v>06/05/2020 14:52:18.379</v>
      </c>
      <c r="C1344" t="str">
        <f t="shared" si="722"/>
        <v>FFDFD3C0</v>
      </c>
      <c r="D1344" t="s">
        <v>151</v>
      </c>
      <c r="E1344">
        <v>9</v>
      </c>
      <c r="H1344">
        <v>226</v>
      </c>
      <c r="I1344" t="s">
        <v>152</v>
      </c>
      <c r="J1344" t="s">
        <v>150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732"/>
        <v>14:52:24.000</v>
      </c>
      <c r="T1344" t="str">
        <f t="shared" si="733"/>
        <v>14:52:23.900</v>
      </c>
      <c r="U1344" t="str">
        <f t="shared" si="702"/>
        <v>ACC530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9</v>
      </c>
      <c r="AE1344">
        <v>0</v>
      </c>
      <c r="AF1344">
        <v>3</v>
      </c>
      <c r="AG1344">
        <v>1</v>
      </c>
      <c r="AH1344">
        <v>0</v>
      </c>
      <c r="AI1344" t="s">
        <v>549</v>
      </c>
      <c r="AJ1344">
        <v>34.203594000000002</v>
      </c>
      <c r="AK1344" t="s">
        <v>550</v>
      </c>
      <c r="AL1344">
        <v>-116.96768</v>
      </c>
      <c r="AM1344">
        <v>100</v>
      </c>
      <c r="AN1344">
        <v>9000</v>
      </c>
      <c r="AO1344" t="s">
        <v>118</v>
      </c>
      <c r="AP1344">
        <v>-107</v>
      </c>
      <c r="AQ1344">
        <v>-55</v>
      </c>
      <c r="AR1344">
        <v>-192</v>
      </c>
      <c r="AZ1344">
        <v>1200</v>
      </c>
      <c r="BA1344">
        <v>1</v>
      </c>
      <c r="BB1344" t="str">
        <f t="shared" si="704"/>
        <v xml:space="preserve">N9217B  </v>
      </c>
      <c r="BC1344">
        <v>1</v>
      </c>
      <c r="BE1344">
        <v>0</v>
      </c>
      <c r="BF1344">
        <v>0</v>
      </c>
      <c r="BG1344">
        <v>0</v>
      </c>
      <c r="BH1344">
        <v>9075</v>
      </c>
      <c r="BI1344">
        <v>1</v>
      </c>
      <c r="BJ1344">
        <v>0</v>
      </c>
      <c r="BK1344">
        <v>0</v>
      </c>
      <c r="BL1344">
        <v>0</v>
      </c>
      <c r="BO1344">
        <v>0</v>
      </c>
      <c r="BP1344">
        <v>0</v>
      </c>
      <c r="BW1344" t="str">
        <f t="shared" si="734"/>
        <v>14:52:24.003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285</v>
      </c>
      <c r="CR1344">
        <v>0</v>
      </c>
      <c r="CW1344">
        <v>8851897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25">
      <c r="A1345" t="str">
        <f t="shared" si="731"/>
        <v>06/05/2020 14:52:18.379</v>
      </c>
      <c r="C1345" t="str">
        <f t="shared" si="722"/>
        <v>FFDFD3C0</v>
      </c>
      <c r="D1345" t="s">
        <v>148</v>
      </c>
      <c r="E1345">
        <v>11</v>
      </c>
      <c r="H1345">
        <v>53</v>
      </c>
      <c r="I1345" t="s">
        <v>364</v>
      </c>
      <c r="J1345" t="s">
        <v>150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732"/>
        <v>14:52:24.000</v>
      </c>
      <c r="T1345" t="str">
        <f t="shared" si="733"/>
        <v>14:52:23.900</v>
      </c>
      <c r="U1345" t="str">
        <f t="shared" si="702"/>
        <v>ACC530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9</v>
      </c>
      <c r="AE1345">
        <v>0</v>
      </c>
      <c r="AF1345">
        <v>3</v>
      </c>
      <c r="AG1345">
        <v>1</v>
      </c>
      <c r="AH1345">
        <v>0</v>
      </c>
      <c r="AI1345" t="s">
        <v>549</v>
      </c>
      <c r="AJ1345">
        <v>34.203594000000002</v>
      </c>
      <c r="AK1345" t="s">
        <v>550</v>
      </c>
      <c r="AL1345">
        <v>-116.96768</v>
      </c>
      <c r="AM1345">
        <v>100</v>
      </c>
      <c r="AN1345">
        <v>9000</v>
      </c>
      <c r="AO1345" t="s">
        <v>118</v>
      </c>
      <c r="AP1345">
        <v>-107</v>
      </c>
      <c r="AQ1345">
        <v>-55</v>
      </c>
      <c r="AR1345">
        <v>-192</v>
      </c>
      <c r="AZ1345">
        <v>1200</v>
      </c>
      <c r="BA1345">
        <v>1</v>
      </c>
      <c r="BB1345" t="str">
        <f t="shared" si="704"/>
        <v xml:space="preserve">N9217B  </v>
      </c>
      <c r="BC1345">
        <v>1</v>
      </c>
      <c r="BE1345">
        <v>0</v>
      </c>
      <c r="BF1345">
        <v>0</v>
      </c>
      <c r="BG1345">
        <v>0</v>
      </c>
      <c r="BH1345">
        <v>9075</v>
      </c>
      <c r="BI1345">
        <v>1</v>
      </c>
      <c r="BJ1345">
        <v>0</v>
      </c>
      <c r="BK1345">
        <v>0</v>
      </c>
      <c r="BL1345">
        <v>0</v>
      </c>
      <c r="BO1345">
        <v>0</v>
      </c>
      <c r="BP1345">
        <v>0</v>
      </c>
      <c r="BW1345" t="str">
        <f t="shared" si="734"/>
        <v>14:52:24.003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6</v>
      </c>
      <c r="CP1345" t="s">
        <v>119</v>
      </c>
      <c r="CQ1345">
        <v>285</v>
      </c>
      <c r="CR1345">
        <v>0</v>
      </c>
      <c r="CW1345">
        <v>8851897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25">
      <c r="A1346" t="str">
        <f t="shared" ref="A1346:A1352" si="735">"06/05/2020 14:52:19.424"</f>
        <v>06/05/2020 14:52:19.424</v>
      </c>
      <c r="C1346" t="str">
        <f t="shared" si="722"/>
        <v>FFDFD3C0</v>
      </c>
      <c r="D1346" t="s">
        <v>151</v>
      </c>
      <c r="E1346">
        <v>9</v>
      </c>
      <c r="H1346">
        <v>226</v>
      </c>
      <c r="I1346" t="s">
        <v>152</v>
      </c>
      <c r="J1346" t="s">
        <v>150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ref="S1346:T1352" si="736">"14:52:25.063"</f>
        <v>14:52:25.063</v>
      </c>
      <c r="T1346" t="str">
        <f t="shared" si="736"/>
        <v>14:52:25.063</v>
      </c>
      <c r="U1346" t="str">
        <f t="shared" ref="U1346:U1409" si="737">"ACC530"</f>
        <v>ACC530</v>
      </c>
      <c r="V1346">
        <v>0</v>
      </c>
      <c r="W1346">
        <v>0</v>
      </c>
      <c r="X1346">
        <v>1</v>
      </c>
      <c r="Z1346">
        <v>0</v>
      </c>
      <c r="AA1346">
        <v>9</v>
      </c>
      <c r="AB1346">
        <v>3</v>
      </c>
      <c r="AC1346">
        <v>0</v>
      </c>
      <c r="AD1346">
        <v>9</v>
      </c>
      <c r="AE1346">
        <v>0</v>
      </c>
      <c r="AF1346">
        <v>3</v>
      </c>
      <c r="AG1346">
        <v>1</v>
      </c>
      <c r="AH1346">
        <v>0</v>
      </c>
      <c r="AI1346" t="s">
        <v>551</v>
      </c>
      <c r="AJ1346">
        <v>34.203336</v>
      </c>
      <c r="AK1346" t="s">
        <v>552</v>
      </c>
      <c r="AL1346">
        <v>-116.968281</v>
      </c>
      <c r="AM1346">
        <v>100</v>
      </c>
      <c r="AN1346">
        <v>9000</v>
      </c>
      <c r="AO1346" t="s">
        <v>118</v>
      </c>
      <c r="AP1346">
        <v>-107</v>
      </c>
      <c r="AQ1346">
        <v>-54</v>
      </c>
      <c r="AR1346">
        <v>-320</v>
      </c>
      <c r="AZ1346">
        <v>1200</v>
      </c>
      <c r="BA1346">
        <v>1</v>
      </c>
      <c r="BB1346" t="str">
        <f t="shared" si="704"/>
        <v xml:space="preserve">N9217B  </v>
      </c>
      <c r="BC1346">
        <v>1</v>
      </c>
      <c r="BE1346">
        <v>0</v>
      </c>
      <c r="BF1346">
        <v>0</v>
      </c>
      <c r="BG1346">
        <v>0</v>
      </c>
      <c r="BH1346">
        <v>9050</v>
      </c>
      <c r="BI1346">
        <v>1</v>
      </c>
      <c r="BJ1346">
        <v>0</v>
      </c>
      <c r="BK1346">
        <v>0</v>
      </c>
      <c r="BL1346">
        <v>0</v>
      </c>
      <c r="BO1346">
        <v>0</v>
      </c>
      <c r="BP1346">
        <v>0</v>
      </c>
      <c r="BW1346" t="str">
        <f t="shared" ref="BW1346:BW1352" si="738">"14:52:25.068"</f>
        <v>14:52:25.068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6</v>
      </c>
      <c r="CP1346" t="s">
        <v>119</v>
      </c>
      <c r="CQ1346">
        <v>293</v>
      </c>
      <c r="CR1346">
        <v>2</v>
      </c>
      <c r="CW1346">
        <v>15285673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25">
      <c r="A1347" t="str">
        <f t="shared" si="735"/>
        <v>06/05/2020 14:52:19.424</v>
      </c>
      <c r="C1347" t="str">
        <f t="shared" si="722"/>
        <v>FFDFD3C0</v>
      </c>
      <c r="D1347" t="s">
        <v>148</v>
      </c>
      <c r="E1347">
        <v>11</v>
      </c>
      <c r="H1347">
        <v>53</v>
      </c>
      <c r="I1347" t="s">
        <v>364</v>
      </c>
      <c r="J1347" t="s">
        <v>150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736"/>
        <v>14:52:25.063</v>
      </c>
      <c r="T1347" t="str">
        <f t="shared" si="736"/>
        <v>14:52:25.063</v>
      </c>
      <c r="U1347" t="str">
        <f t="shared" si="737"/>
        <v>ACC530</v>
      </c>
      <c r="V1347">
        <v>0</v>
      </c>
      <c r="W1347">
        <v>0</v>
      </c>
      <c r="X1347">
        <v>1</v>
      </c>
      <c r="Z1347">
        <v>0</v>
      </c>
      <c r="AA1347">
        <v>9</v>
      </c>
      <c r="AB1347">
        <v>3</v>
      </c>
      <c r="AC1347">
        <v>0</v>
      </c>
      <c r="AD1347">
        <v>9</v>
      </c>
      <c r="AE1347">
        <v>0</v>
      </c>
      <c r="AF1347">
        <v>3</v>
      </c>
      <c r="AG1347">
        <v>1</v>
      </c>
      <c r="AH1347">
        <v>0</v>
      </c>
      <c r="AI1347" t="s">
        <v>551</v>
      </c>
      <c r="AJ1347">
        <v>34.203336</v>
      </c>
      <c r="AK1347" t="s">
        <v>552</v>
      </c>
      <c r="AL1347">
        <v>-116.968281</v>
      </c>
      <c r="AM1347">
        <v>100</v>
      </c>
      <c r="AN1347">
        <v>9000</v>
      </c>
      <c r="AO1347" t="s">
        <v>118</v>
      </c>
      <c r="AP1347">
        <v>-107</v>
      </c>
      <c r="AQ1347">
        <v>-54</v>
      </c>
      <c r="AR1347">
        <v>-320</v>
      </c>
      <c r="AZ1347">
        <v>1200</v>
      </c>
      <c r="BA1347">
        <v>1</v>
      </c>
      <c r="BB1347" t="str">
        <f t="shared" si="704"/>
        <v xml:space="preserve">N9217B  </v>
      </c>
      <c r="BC1347">
        <v>1</v>
      </c>
      <c r="BE1347">
        <v>0</v>
      </c>
      <c r="BF1347">
        <v>0</v>
      </c>
      <c r="BG1347">
        <v>0</v>
      </c>
      <c r="BH1347">
        <v>9050</v>
      </c>
      <c r="BI1347">
        <v>1</v>
      </c>
      <c r="BJ1347">
        <v>0</v>
      </c>
      <c r="BK1347">
        <v>0</v>
      </c>
      <c r="BL1347">
        <v>0</v>
      </c>
      <c r="BO1347">
        <v>0</v>
      </c>
      <c r="BP1347">
        <v>0</v>
      </c>
      <c r="BW1347" t="str">
        <f t="shared" si="738"/>
        <v>14:52:25.068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6</v>
      </c>
      <c r="CP1347" t="s">
        <v>119</v>
      </c>
      <c r="CQ1347">
        <v>293</v>
      </c>
      <c r="CR1347">
        <v>2</v>
      </c>
      <c r="CW1347">
        <v>15285673</v>
      </c>
      <c r="CY1347">
        <v>0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25">
      <c r="A1348" t="str">
        <f t="shared" si="735"/>
        <v>06/05/2020 14:52:19.424</v>
      </c>
      <c r="C1348" t="str">
        <f t="shared" si="722"/>
        <v>FFDFD3C0</v>
      </c>
      <c r="D1348" t="s">
        <v>113</v>
      </c>
      <c r="E1348">
        <v>3</v>
      </c>
      <c r="H1348">
        <v>166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736"/>
        <v>14:52:25.063</v>
      </c>
      <c r="T1348" t="str">
        <f t="shared" si="736"/>
        <v>14:52:25.063</v>
      </c>
      <c r="U1348" t="str">
        <f t="shared" si="737"/>
        <v>ACC530</v>
      </c>
      <c r="V1348">
        <v>0</v>
      </c>
      <c r="W1348">
        <v>0</v>
      </c>
      <c r="X1348">
        <v>1</v>
      </c>
      <c r="Z1348">
        <v>0</v>
      </c>
      <c r="AA1348">
        <v>9</v>
      </c>
      <c r="AB1348">
        <v>3</v>
      </c>
      <c r="AC1348">
        <v>0</v>
      </c>
      <c r="AD1348">
        <v>9</v>
      </c>
      <c r="AE1348">
        <v>0</v>
      </c>
      <c r="AF1348">
        <v>3</v>
      </c>
      <c r="AG1348">
        <v>1</v>
      </c>
      <c r="AH1348">
        <v>0</v>
      </c>
      <c r="AI1348" t="s">
        <v>551</v>
      </c>
      <c r="AJ1348">
        <v>34.203336</v>
      </c>
      <c r="AK1348" t="s">
        <v>552</v>
      </c>
      <c r="AL1348">
        <v>-116.968281</v>
      </c>
      <c r="AM1348">
        <v>100</v>
      </c>
      <c r="AN1348">
        <v>9000</v>
      </c>
      <c r="AO1348" t="s">
        <v>118</v>
      </c>
      <c r="AP1348">
        <v>-107</v>
      </c>
      <c r="AQ1348">
        <v>-54</v>
      </c>
      <c r="AR1348">
        <v>-320</v>
      </c>
      <c r="AZ1348">
        <v>1200</v>
      </c>
      <c r="BA1348">
        <v>1</v>
      </c>
      <c r="BB1348" t="str">
        <f t="shared" si="704"/>
        <v xml:space="preserve">N9217B  </v>
      </c>
      <c r="BC1348">
        <v>1</v>
      </c>
      <c r="BE1348">
        <v>0</v>
      </c>
      <c r="BF1348">
        <v>0</v>
      </c>
      <c r="BG1348">
        <v>0</v>
      </c>
      <c r="BH1348">
        <v>9050</v>
      </c>
      <c r="BI1348">
        <v>1</v>
      </c>
      <c r="BJ1348">
        <v>0</v>
      </c>
      <c r="BK1348">
        <v>0</v>
      </c>
      <c r="BL1348">
        <v>0</v>
      </c>
      <c r="BO1348">
        <v>0</v>
      </c>
      <c r="BP1348">
        <v>0</v>
      </c>
      <c r="BW1348" t="str">
        <f t="shared" si="738"/>
        <v>14:52:25.068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6</v>
      </c>
      <c r="CP1348" t="s">
        <v>119</v>
      </c>
      <c r="CQ1348">
        <v>293</v>
      </c>
      <c r="CR1348">
        <v>2</v>
      </c>
      <c r="CW1348">
        <v>15285673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25">
      <c r="A1349" t="str">
        <f t="shared" si="735"/>
        <v>06/05/2020 14:52:19.424</v>
      </c>
      <c r="C1349" t="str">
        <f t="shared" si="722"/>
        <v>FFDFD3C0</v>
      </c>
      <c r="D1349" t="s">
        <v>134</v>
      </c>
      <c r="E1349">
        <v>7</v>
      </c>
      <c r="F1349">
        <v>2007</v>
      </c>
      <c r="G1349" t="s">
        <v>135</v>
      </c>
      <c r="J1349" t="s">
        <v>136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736"/>
        <v>14:52:25.063</v>
      </c>
      <c r="T1349" t="str">
        <f t="shared" si="736"/>
        <v>14:52:25.063</v>
      </c>
      <c r="U1349" t="str">
        <f t="shared" si="737"/>
        <v>ACC530</v>
      </c>
      <c r="V1349">
        <v>0</v>
      </c>
      <c r="W1349">
        <v>0</v>
      </c>
      <c r="X1349">
        <v>1</v>
      </c>
      <c r="Z1349">
        <v>0</v>
      </c>
      <c r="AA1349">
        <v>9</v>
      </c>
      <c r="AB1349">
        <v>3</v>
      </c>
      <c r="AC1349">
        <v>0</v>
      </c>
      <c r="AD1349">
        <v>9</v>
      </c>
      <c r="AE1349">
        <v>0</v>
      </c>
      <c r="AF1349">
        <v>3</v>
      </c>
      <c r="AG1349">
        <v>1</v>
      </c>
      <c r="AH1349">
        <v>0</v>
      </c>
      <c r="AI1349" t="s">
        <v>551</v>
      </c>
      <c r="AJ1349">
        <v>34.203336</v>
      </c>
      <c r="AK1349" t="s">
        <v>552</v>
      </c>
      <c r="AL1349">
        <v>-116.968281</v>
      </c>
      <c r="AM1349">
        <v>100</v>
      </c>
      <c r="AN1349">
        <v>9000</v>
      </c>
      <c r="AO1349" t="s">
        <v>118</v>
      </c>
      <c r="AP1349">
        <v>-107</v>
      </c>
      <c r="AQ1349">
        <v>-54</v>
      </c>
      <c r="AR1349">
        <v>-320</v>
      </c>
      <c r="AZ1349">
        <v>1200</v>
      </c>
      <c r="BA1349">
        <v>1</v>
      </c>
      <c r="BB1349" t="str">
        <f t="shared" ref="BB1349:BB1412" si="739">"N9217B  "</f>
        <v xml:space="preserve">N9217B  </v>
      </c>
      <c r="BC1349">
        <v>1</v>
      </c>
      <c r="BE1349">
        <v>0</v>
      </c>
      <c r="BF1349">
        <v>0</v>
      </c>
      <c r="BG1349">
        <v>0</v>
      </c>
      <c r="BH1349">
        <v>9050</v>
      </c>
      <c r="BI1349">
        <v>1</v>
      </c>
      <c r="BJ1349">
        <v>0</v>
      </c>
      <c r="BK1349">
        <v>0</v>
      </c>
      <c r="BL1349">
        <v>0</v>
      </c>
      <c r="BO1349">
        <v>0</v>
      </c>
      <c r="BP1349">
        <v>0</v>
      </c>
      <c r="BW1349" t="str">
        <f t="shared" si="738"/>
        <v>14:52:25.068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6</v>
      </c>
      <c r="CP1349" t="s">
        <v>119</v>
      </c>
      <c r="CQ1349">
        <v>293</v>
      </c>
      <c r="CR1349">
        <v>2</v>
      </c>
      <c r="CW1349">
        <v>15285673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25">
      <c r="A1350" t="str">
        <f t="shared" si="735"/>
        <v>06/05/2020 14:52:19.424</v>
      </c>
      <c r="C1350" t="str">
        <f t="shared" si="722"/>
        <v>FFDFD3C0</v>
      </c>
      <c r="D1350" t="s">
        <v>141</v>
      </c>
      <c r="E1350">
        <v>20</v>
      </c>
      <c r="F1350">
        <v>1020</v>
      </c>
      <c r="G1350" t="s">
        <v>114</v>
      </c>
      <c r="J1350" t="s">
        <v>142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736"/>
        <v>14:52:25.063</v>
      </c>
      <c r="T1350" t="str">
        <f t="shared" si="736"/>
        <v>14:52:25.063</v>
      </c>
      <c r="U1350" t="str">
        <f t="shared" si="737"/>
        <v>ACC530</v>
      </c>
      <c r="V1350">
        <v>0</v>
      </c>
      <c r="W1350">
        <v>0</v>
      </c>
      <c r="X1350">
        <v>1</v>
      </c>
      <c r="Z1350">
        <v>0</v>
      </c>
      <c r="AA1350">
        <v>9</v>
      </c>
      <c r="AB1350">
        <v>3</v>
      </c>
      <c r="AC1350">
        <v>0</v>
      </c>
      <c r="AD1350">
        <v>9</v>
      </c>
      <c r="AE1350">
        <v>0</v>
      </c>
      <c r="AF1350">
        <v>3</v>
      </c>
      <c r="AG1350">
        <v>1</v>
      </c>
      <c r="AH1350">
        <v>0</v>
      </c>
      <c r="AI1350" t="s">
        <v>551</v>
      </c>
      <c r="AJ1350">
        <v>34.203336</v>
      </c>
      <c r="AK1350" t="s">
        <v>552</v>
      </c>
      <c r="AL1350">
        <v>-116.968281</v>
      </c>
      <c r="AM1350">
        <v>100</v>
      </c>
      <c r="AN1350">
        <v>9000</v>
      </c>
      <c r="AO1350" t="s">
        <v>118</v>
      </c>
      <c r="AP1350">
        <v>-107</v>
      </c>
      <c r="AQ1350">
        <v>-54</v>
      </c>
      <c r="AR1350">
        <v>-320</v>
      </c>
      <c r="AZ1350">
        <v>1200</v>
      </c>
      <c r="BA1350">
        <v>1</v>
      </c>
      <c r="BB1350" t="str">
        <f t="shared" si="739"/>
        <v xml:space="preserve">N9217B  </v>
      </c>
      <c r="BC1350">
        <v>1</v>
      </c>
      <c r="BE1350">
        <v>0</v>
      </c>
      <c r="BF1350">
        <v>0</v>
      </c>
      <c r="BG1350">
        <v>0</v>
      </c>
      <c r="BH1350">
        <v>9050</v>
      </c>
      <c r="BI1350">
        <v>1</v>
      </c>
      <c r="BJ1350">
        <v>0</v>
      </c>
      <c r="BK1350">
        <v>0</v>
      </c>
      <c r="BL1350">
        <v>0</v>
      </c>
      <c r="BO1350">
        <v>0</v>
      </c>
      <c r="BP1350">
        <v>0</v>
      </c>
      <c r="BW1350" t="str">
        <f t="shared" si="738"/>
        <v>14:52:25.068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6</v>
      </c>
      <c r="CP1350" t="s">
        <v>119</v>
      </c>
      <c r="CQ1350">
        <v>293</v>
      </c>
      <c r="CR1350">
        <v>2</v>
      </c>
      <c r="CW1350">
        <v>15285673</v>
      </c>
      <c r="CY1350">
        <v>0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25">
      <c r="A1351" t="str">
        <f t="shared" si="735"/>
        <v>06/05/2020 14:52:19.424</v>
      </c>
      <c r="C1351" t="str">
        <f t="shared" si="722"/>
        <v>FFDFD3C0</v>
      </c>
      <c r="D1351" t="s">
        <v>148</v>
      </c>
      <c r="E1351">
        <v>8</v>
      </c>
      <c r="H1351">
        <v>50</v>
      </c>
      <c r="I1351" t="s">
        <v>149</v>
      </c>
      <c r="J1351" t="s">
        <v>150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736"/>
        <v>14:52:25.063</v>
      </c>
      <c r="T1351" t="str">
        <f t="shared" si="736"/>
        <v>14:52:25.063</v>
      </c>
      <c r="U1351" t="str">
        <f t="shared" si="737"/>
        <v>ACC530</v>
      </c>
      <c r="V1351">
        <v>0</v>
      </c>
      <c r="W1351">
        <v>0</v>
      </c>
      <c r="X1351">
        <v>1</v>
      </c>
      <c r="Z1351">
        <v>0</v>
      </c>
      <c r="AA1351">
        <v>9</v>
      </c>
      <c r="AB1351">
        <v>3</v>
      </c>
      <c r="AC1351">
        <v>0</v>
      </c>
      <c r="AD1351">
        <v>9</v>
      </c>
      <c r="AE1351">
        <v>0</v>
      </c>
      <c r="AF1351">
        <v>3</v>
      </c>
      <c r="AG1351">
        <v>1</v>
      </c>
      <c r="AH1351">
        <v>0</v>
      </c>
      <c r="AI1351" t="s">
        <v>551</v>
      </c>
      <c r="AJ1351">
        <v>34.203336</v>
      </c>
      <c r="AK1351" t="s">
        <v>552</v>
      </c>
      <c r="AL1351">
        <v>-116.968281</v>
      </c>
      <c r="AM1351">
        <v>100</v>
      </c>
      <c r="AN1351">
        <v>9000</v>
      </c>
      <c r="AO1351" t="s">
        <v>118</v>
      </c>
      <c r="AP1351">
        <v>-107</v>
      </c>
      <c r="AQ1351">
        <v>-54</v>
      </c>
      <c r="AR1351">
        <v>-320</v>
      </c>
      <c r="AZ1351">
        <v>1200</v>
      </c>
      <c r="BA1351">
        <v>1</v>
      </c>
      <c r="BB1351" t="str">
        <f t="shared" si="739"/>
        <v xml:space="preserve">N9217B  </v>
      </c>
      <c r="BC1351">
        <v>1</v>
      </c>
      <c r="BE1351">
        <v>0</v>
      </c>
      <c r="BF1351">
        <v>0</v>
      </c>
      <c r="BG1351">
        <v>0</v>
      </c>
      <c r="BH1351">
        <v>9050</v>
      </c>
      <c r="BI1351">
        <v>1</v>
      </c>
      <c r="BJ1351">
        <v>0</v>
      </c>
      <c r="BK1351">
        <v>0</v>
      </c>
      <c r="BL1351">
        <v>0</v>
      </c>
      <c r="BO1351">
        <v>0</v>
      </c>
      <c r="BP1351">
        <v>0</v>
      </c>
      <c r="BW1351" t="str">
        <f t="shared" si="738"/>
        <v>14:52:25.068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6</v>
      </c>
      <c r="CP1351" t="s">
        <v>119</v>
      </c>
      <c r="CQ1351">
        <v>293</v>
      </c>
      <c r="CR1351">
        <v>2</v>
      </c>
      <c r="CW1351">
        <v>15285673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25">
      <c r="A1352" t="str">
        <f t="shared" si="735"/>
        <v>06/05/2020 14:52:19.424</v>
      </c>
      <c r="C1352" t="str">
        <f t="shared" si="722"/>
        <v>FFDFD3C0</v>
      </c>
      <c r="D1352" t="s">
        <v>151</v>
      </c>
      <c r="E1352">
        <v>8</v>
      </c>
      <c r="H1352">
        <v>225</v>
      </c>
      <c r="I1352" t="s">
        <v>353</v>
      </c>
      <c r="J1352" t="s">
        <v>150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736"/>
        <v>14:52:25.063</v>
      </c>
      <c r="T1352" t="str">
        <f t="shared" si="736"/>
        <v>14:52:25.063</v>
      </c>
      <c r="U1352" t="str">
        <f t="shared" si="737"/>
        <v>ACC530</v>
      </c>
      <c r="V1352">
        <v>0</v>
      </c>
      <c r="W1352">
        <v>0</v>
      </c>
      <c r="X1352">
        <v>1</v>
      </c>
      <c r="Z1352">
        <v>0</v>
      </c>
      <c r="AA1352">
        <v>9</v>
      </c>
      <c r="AB1352">
        <v>3</v>
      </c>
      <c r="AC1352">
        <v>0</v>
      </c>
      <c r="AD1352">
        <v>9</v>
      </c>
      <c r="AE1352">
        <v>0</v>
      </c>
      <c r="AF1352">
        <v>3</v>
      </c>
      <c r="AG1352">
        <v>1</v>
      </c>
      <c r="AH1352">
        <v>0</v>
      </c>
      <c r="AI1352" t="s">
        <v>551</v>
      </c>
      <c r="AJ1352">
        <v>34.203336</v>
      </c>
      <c r="AK1352" t="s">
        <v>552</v>
      </c>
      <c r="AL1352">
        <v>-116.968281</v>
      </c>
      <c r="AM1352">
        <v>100</v>
      </c>
      <c r="AN1352">
        <v>9000</v>
      </c>
      <c r="AO1352" t="s">
        <v>118</v>
      </c>
      <c r="AP1352">
        <v>-107</v>
      </c>
      <c r="AQ1352">
        <v>-54</v>
      </c>
      <c r="AR1352">
        <v>-320</v>
      </c>
      <c r="AZ1352">
        <v>1200</v>
      </c>
      <c r="BA1352">
        <v>1</v>
      </c>
      <c r="BB1352" t="str">
        <f t="shared" si="739"/>
        <v xml:space="preserve">N9217B  </v>
      </c>
      <c r="BC1352">
        <v>1</v>
      </c>
      <c r="BE1352">
        <v>0</v>
      </c>
      <c r="BF1352">
        <v>0</v>
      </c>
      <c r="BG1352">
        <v>0</v>
      </c>
      <c r="BH1352">
        <v>9050</v>
      </c>
      <c r="BI1352">
        <v>1</v>
      </c>
      <c r="BJ1352">
        <v>0</v>
      </c>
      <c r="BK1352">
        <v>0</v>
      </c>
      <c r="BL1352">
        <v>0</v>
      </c>
      <c r="BO1352">
        <v>0</v>
      </c>
      <c r="BP1352">
        <v>0</v>
      </c>
      <c r="BW1352" t="str">
        <f t="shared" si="738"/>
        <v>14:52:25.068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5</v>
      </c>
      <c r="CP1352" t="s">
        <v>119</v>
      </c>
      <c r="CQ1352">
        <v>285</v>
      </c>
      <c r="CR1352">
        <v>0</v>
      </c>
      <c r="CW1352">
        <v>8851992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25">
      <c r="A1353" t="str">
        <f t="shared" ref="A1353:A1359" si="740">"06/05/2020 14:52:20.524"</f>
        <v>06/05/2020 14:52:20.524</v>
      </c>
      <c r="C1353" t="str">
        <f t="shared" si="722"/>
        <v>FFDFD3C0</v>
      </c>
      <c r="D1353" t="s">
        <v>134</v>
      </c>
      <c r="E1353">
        <v>7</v>
      </c>
      <c r="F1353">
        <v>2007</v>
      </c>
      <c r="G1353" t="s">
        <v>135</v>
      </c>
      <c r="J1353" t="s">
        <v>136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ref="S1353:S1359" si="741">"14:52:26.141"</f>
        <v>14:52:26.141</v>
      </c>
      <c r="T1353" t="str">
        <f>"14:52:26.041"</f>
        <v>14:52:26.041</v>
      </c>
      <c r="U1353" t="str">
        <f t="shared" si="737"/>
        <v>ACC530</v>
      </c>
      <c r="V1353">
        <v>0</v>
      </c>
      <c r="W1353">
        <v>0</v>
      </c>
      <c r="X1353">
        <v>1</v>
      </c>
      <c r="Z1353">
        <v>0</v>
      </c>
      <c r="AA1353">
        <v>9</v>
      </c>
      <c r="AB1353">
        <v>3</v>
      </c>
      <c r="AC1353">
        <v>0</v>
      </c>
      <c r="AD1353">
        <v>9</v>
      </c>
      <c r="AE1353">
        <v>0</v>
      </c>
      <c r="AF1353">
        <v>3</v>
      </c>
      <c r="AG1353">
        <v>1</v>
      </c>
      <c r="AH1353">
        <v>0</v>
      </c>
      <c r="AI1353" t="s">
        <v>553</v>
      </c>
      <c r="AJ1353">
        <v>34.203057000000001</v>
      </c>
      <c r="AK1353" t="s">
        <v>554</v>
      </c>
      <c r="AL1353">
        <v>-116.968968</v>
      </c>
      <c r="AM1353">
        <v>100</v>
      </c>
      <c r="AN1353">
        <v>9000</v>
      </c>
      <c r="AO1353" t="s">
        <v>118</v>
      </c>
      <c r="AP1353">
        <v>-107</v>
      </c>
      <c r="AQ1353">
        <v>-54</v>
      </c>
      <c r="AR1353">
        <v>-320</v>
      </c>
      <c r="AZ1353">
        <v>1200</v>
      </c>
      <c r="BA1353">
        <v>1</v>
      </c>
      <c r="BB1353" t="str">
        <f t="shared" si="739"/>
        <v xml:space="preserve">N9217B  </v>
      </c>
      <c r="BC1353">
        <v>1</v>
      </c>
      <c r="BE1353">
        <v>0</v>
      </c>
      <c r="BF1353">
        <v>0</v>
      </c>
      <c r="BG1353">
        <v>0</v>
      </c>
      <c r="BH1353">
        <v>9050</v>
      </c>
      <c r="BI1353">
        <v>1</v>
      </c>
      <c r="BJ1353">
        <v>0</v>
      </c>
      <c r="BK1353">
        <v>0</v>
      </c>
      <c r="BL1353">
        <v>0</v>
      </c>
      <c r="BO1353">
        <v>0</v>
      </c>
      <c r="BP1353">
        <v>0</v>
      </c>
      <c r="BW1353" t="str">
        <f t="shared" ref="BW1353:BW1359" si="742">"14:52:26.148"</f>
        <v>14:52:26.148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6</v>
      </c>
      <c r="CP1353" t="s">
        <v>119</v>
      </c>
      <c r="CQ1353">
        <v>293</v>
      </c>
      <c r="CR1353">
        <v>1</v>
      </c>
      <c r="CW1353">
        <v>15285794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25">
      <c r="A1354" t="str">
        <f t="shared" si="740"/>
        <v>06/05/2020 14:52:20.524</v>
      </c>
      <c r="C1354" t="str">
        <f t="shared" si="722"/>
        <v>FFDFD3C0</v>
      </c>
      <c r="D1354" t="s">
        <v>148</v>
      </c>
      <c r="E1354">
        <v>8</v>
      </c>
      <c r="H1354">
        <v>50</v>
      </c>
      <c r="I1354" t="s">
        <v>149</v>
      </c>
      <c r="J1354" t="s">
        <v>150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741"/>
        <v>14:52:26.141</v>
      </c>
      <c r="T1354" t="str">
        <f>"14:52:26.041"</f>
        <v>14:52:26.041</v>
      </c>
      <c r="U1354" t="str">
        <f t="shared" si="737"/>
        <v>ACC530</v>
      </c>
      <c r="V1354">
        <v>0</v>
      </c>
      <c r="W1354">
        <v>0</v>
      </c>
      <c r="X1354">
        <v>1</v>
      </c>
      <c r="Z1354">
        <v>0</v>
      </c>
      <c r="AA1354">
        <v>9</v>
      </c>
      <c r="AB1354">
        <v>3</v>
      </c>
      <c r="AC1354">
        <v>0</v>
      </c>
      <c r="AD1354">
        <v>9</v>
      </c>
      <c r="AE1354">
        <v>0</v>
      </c>
      <c r="AF1354">
        <v>3</v>
      </c>
      <c r="AG1354">
        <v>1</v>
      </c>
      <c r="AH1354">
        <v>0</v>
      </c>
      <c r="AI1354" t="s">
        <v>553</v>
      </c>
      <c r="AJ1354">
        <v>34.203057000000001</v>
      </c>
      <c r="AK1354" t="s">
        <v>554</v>
      </c>
      <c r="AL1354">
        <v>-116.968968</v>
      </c>
      <c r="AM1354">
        <v>100</v>
      </c>
      <c r="AN1354">
        <v>9000</v>
      </c>
      <c r="AO1354" t="s">
        <v>118</v>
      </c>
      <c r="AP1354">
        <v>-107</v>
      </c>
      <c r="AQ1354">
        <v>-54</v>
      </c>
      <c r="AR1354">
        <v>-320</v>
      </c>
      <c r="AZ1354">
        <v>1200</v>
      </c>
      <c r="BA1354">
        <v>1</v>
      </c>
      <c r="BB1354" t="str">
        <f t="shared" si="739"/>
        <v xml:space="preserve">N9217B  </v>
      </c>
      <c r="BC1354">
        <v>1</v>
      </c>
      <c r="BE1354">
        <v>0</v>
      </c>
      <c r="BF1354">
        <v>0</v>
      </c>
      <c r="BG1354">
        <v>0</v>
      </c>
      <c r="BH1354">
        <v>9050</v>
      </c>
      <c r="BI1354">
        <v>1</v>
      </c>
      <c r="BJ1354">
        <v>0</v>
      </c>
      <c r="BK1354">
        <v>0</v>
      </c>
      <c r="BL1354">
        <v>0</v>
      </c>
      <c r="BO1354">
        <v>0</v>
      </c>
      <c r="BP1354">
        <v>0</v>
      </c>
      <c r="BW1354" t="str">
        <f t="shared" si="742"/>
        <v>14:52:26.148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6</v>
      </c>
      <c r="CP1354" t="s">
        <v>119</v>
      </c>
      <c r="CQ1354">
        <v>293</v>
      </c>
      <c r="CR1354">
        <v>1</v>
      </c>
      <c r="CW1354">
        <v>15285794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25">
      <c r="A1355" t="str">
        <f t="shared" si="740"/>
        <v>06/05/2020 14:52:20.524</v>
      </c>
      <c r="C1355" t="str">
        <f t="shared" si="722"/>
        <v>FFDFD3C0</v>
      </c>
      <c r="D1355" t="s">
        <v>141</v>
      </c>
      <c r="E1355">
        <v>20</v>
      </c>
      <c r="F1355">
        <v>1020</v>
      </c>
      <c r="G1355" t="s">
        <v>114</v>
      </c>
      <c r="J1355" t="s">
        <v>142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741"/>
        <v>14:52:26.141</v>
      </c>
      <c r="T1355" t="str">
        <f>"14:52:26.041"</f>
        <v>14:52:26.041</v>
      </c>
      <c r="U1355" t="str">
        <f t="shared" si="737"/>
        <v>ACC530</v>
      </c>
      <c r="V1355">
        <v>0</v>
      </c>
      <c r="W1355">
        <v>0</v>
      </c>
      <c r="X1355">
        <v>1</v>
      </c>
      <c r="Z1355">
        <v>0</v>
      </c>
      <c r="AA1355">
        <v>9</v>
      </c>
      <c r="AB1355">
        <v>3</v>
      </c>
      <c r="AC1355">
        <v>0</v>
      </c>
      <c r="AD1355">
        <v>9</v>
      </c>
      <c r="AE1355">
        <v>0</v>
      </c>
      <c r="AF1355">
        <v>3</v>
      </c>
      <c r="AG1355">
        <v>1</v>
      </c>
      <c r="AH1355">
        <v>0</v>
      </c>
      <c r="AI1355" t="s">
        <v>553</v>
      </c>
      <c r="AJ1355">
        <v>34.203057000000001</v>
      </c>
      <c r="AK1355" t="s">
        <v>554</v>
      </c>
      <c r="AL1355">
        <v>-116.968968</v>
      </c>
      <c r="AM1355">
        <v>100</v>
      </c>
      <c r="AN1355">
        <v>9000</v>
      </c>
      <c r="AO1355" t="s">
        <v>118</v>
      </c>
      <c r="AP1355">
        <v>-107</v>
      </c>
      <c r="AQ1355">
        <v>-54</v>
      </c>
      <c r="AR1355">
        <v>-320</v>
      </c>
      <c r="AZ1355">
        <v>1200</v>
      </c>
      <c r="BA1355">
        <v>1</v>
      </c>
      <c r="BB1355" t="str">
        <f t="shared" si="739"/>
        <v xml:space="preserve">N9217B  </v>
      </c>
      <c r="BC1355">
        <v>1</v>
      </c>
      <c r="BE1355">
        <v>0</v>
      </c>
      <c r="BF1355">
        <v>0</v>
      </c>
      <c r="BG1355">
        <v>0</v>
      </c>
      <c r="BH1355">
        <v>9050</v>
      </c>
      <c r="BI1355">
        <v>1</v>
      </c>
      <c r="BJ1355">
        <v>0</v>
      </c>
      <c r="BK1355">
        <v>0</v>
      </c>
      <c r="BL1355">
        <v>0</v>
      </c>
      <c r="BO1355">
        <v>0</v>
      </c>
      <c r="BP1355">
        <v>0</v>
      </c>
      <c r="BW1355" t="str">
        <f t="shared" si="742"/>
        <v>14:52:26.148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6</v>
      </c>
      <c r="CP1355" t="s">
        <v>119</v>
      </c>
      <c r="CQ1355">
        <v>293</v>
      </c>
      <c r="CR1355">
        <v>1</v>
      </c>
      <c r="CW1355">
        <v>15285794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25">
      <c r="A1356" t="str">
        <f t="shared" si="740"/>
        <v>06/05/2020 14:52:20.524</v>
      </c>
      <c r="C1356" t="str">
        <f t="shared" si="722"/>
        <v>FFDFD3C0</v>
      </c>
      <c r="D1356" t="s">
        <v>151</v>
      </c>
      <c r="E1356">
        <v>8</v>
      </c>
      <c r="H1356">
        <v>225</v>
      </c>
      <c r="I1356" t="s">
        <v>353</v>
      </c>
      <c r="J1356" t="s">
        <v>150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741"/>
        <v>14:52:26.141</v>
      </c>
      <c r="T1356" t="str">
        <f>"14:52:25.641"</f>
        <v>14:52:25.641</v>
      </c>
      <c r="U1356" t="str">
        <f t="shared" si="737"/>
        <v>ACC530</v>
      </c>
      <c r="V1356">
        <v>0</v>
      </c>
      <c r="W1356">
        <v>0</v>
      </c>
      <c r="X1356">
        <v>1</v>
      </c>
      <c r="Z1356">
        <v>0</v>
      </c>
      <c r="AA1356">
        <v>9</v>
      </c>
      <c r="AB1356">
        <v>3</v>
      </c>
      <c r="AC1356">
        <v>0</v>
      </c>
      <c r="AD1356">
        <v>9</v>
      </c>
      <c r="AE1356">
        <v>0</v>
      </c>
      <c r="AF1356">
        <v>3</v>
      </c>
      <c r="AG1356">
        <v>1</v>
      </c>
      <c r="AH1356">
        <v>0</v>
      </c>
      <c r="AI1356" t="s">
        <v>553</v>
      </c>
      <c r="AJ1356">
        <v>34.203057000000001</v>
      </c>
      <c r="AK1356" t="s">
        <v>554</v>
      </c>
      <c r="AL1356">
        <v>-116.968968</v>
      </c>
      <c r="AM1356">
        <v>100</v>
      </c>
      <c r="AN1356">
        <v>9000</v>
      </c>
      <c r="AO1356" t="s">
        <v>118</v>
      </c>
      <c r="AP1356">
        <v>-107</v>
      </c>
      <c r="AQ1356">
        <v>-54</v>
      </c>
      <c r="AR1356">
        <v>-256</v>
      </c>
      <c r="AZ1356">
        <v>1200</v>
      </c>
      <c r="BA1356">
        <v>1</v>
      </c>
      <c r="BB1356" t="str">
        <f t="shared" si="739"/>
        <v xml:space="preserve">N9217B  </v>
      </c>
      <c r="BC1356">
        <v>1</v>
      </c>
      <c r="BE1356">
        <v>0</v>
      </c>
      <c r="BF1356">
        <v>0</v>
      </c>
      <c r="BG1356">
        <v>0</v>
      </c>
      <c r="BH1356">
        <v>9050</v>
      </c>
      <c r="BI1356">
        <v>1</v>
      </c>
      <c r="BJ1356">
        <v>0</v>
      </c>
      <c r="BK1356">
        <v>0</v>
      </c>
      <c r="BL1356">
        <v>0</v>
      </c>
      <c r="BO1356">
        <v>0</v>
      </c>
      <c r="BP1356">
        <v>0</v>
      </c>
      <c r="BW1356" t="str">
        <f t="shared" si="742"/>
        <v>14:52:26.148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5</v>
      </c>
      <c r="CP1356" t="s">
        <v>119</v>
      </c>
      <c r="CQ1356">
        <v>285</v>
      </c>
      <c r="CR1356">
        <v>0</v>
      </c>
      <c r="CW1356">
        <v>8852086</v>
      </c>
      <c r="CY1356">
        <v>0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25">
      <c r="A1357" t="str">
        <f t="shared" si="740"/>
        <v>06/05/2020 14:52:20.524</v>
      </c>
      <c r="C1357" t="str">
        <f t="shared" si="722"/>
        <v>FFDFD3C0</v>
      </c>
      <c r="D1357" t="s">
        <v>151</v>
      </c>
      <c r="E1357">
        <v>9</v>
      </c>
      <c r="H1357">
        <v>226</v>
      </c>
      <c r="I1357" t="s">
        <v>152</v>
      </c>
      <c r="J1357" t="s">
        <v>150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741"/>
        <v>14:52:26.141</v>
      </c>
      <c r="T1357" t="str">
        <f>"14:52:26.041"</f>
        <v>14:52:26.041</v>
      </c>
      <c r="U1357" t="str">
        <f t="shared" si="737"/>
        <v>ACC530</v>
      </c>
      <c r="V1357">
        <v>0</v>
      </c>
      <c r="W1357">
        <v>0</v>
      </c>
      <c r="X1357">
        <v>1</v>
      </c>
      <c r="Z1357">
        <v>0</v>
      </c>
      <c r="AA1357">
        <v>9</v>
      </c>
      <c r="AB1357">
        <v>3</v>
      </c>
      <c r="AC1357">
        <v>0</v>
      </c>
      <c r="AD1357">
        <v>9</v>
      </c>
      <c r="AE1357">
        <v>0</v>
      </c>
      <c r="AF1357">
        <v>3</v>
      </c>
      <c r="AG1357">
        <v>1</v>
      </c>
      <c r="AH1357">
        <v>0</v>
      </c>
      <c r="AI1357" t="s">
        <v>553</v>
      </c>
      <c r="AJ1357">
        <v>34.203057000000001</v>
      </c>
      <c r="AK1357" t="s">
        <v>554</v>
      </c>
      <c r="AL1357">
        <v>-116.968968</v>
      </c>
      <c r="AM1357">
        <v>100</v>
      </c>
      <c r="AN1357">
        <v>9000</v>
      </c>
      <c r="AO1357" t="s">
        <v>118</v>
      </c>
      <c r="AP1357">
        <v>-107</v>
      </c>
      <c r="AQ1357">
        <v>-54</v>
      </c>
      <c r="AR1357">
        <v>-320</v>
      </c>
      <c r="AZ1357">
        <v>1200</v>
      </c>
      <c r="BA1357">
        <v>1</v>
      </c>
      <c r="BB1357" t="str">
        <f t="shared" si="739"/>
        <v xml:space="preserve">N9217B  </v>
      </c>
      <c r="BC1357">
        <v>1</v>
      </c>
      <c r="BE1357">
        <v>0</v>
      </c>
      <c r="BF1357">
        <v>0</v>
      </c>
      <c r="BG1357">
        <v>0</v>
      </c>
      <c r="BH1357">
        <v>9050</v>
      </c>
      <c r="BI1357">
        <v>1</v>
      </c>
      <c r="BJ1357">
        <v>0</v>
      </c>
      <c r="BK1357">
        <v>0</v>
      </c>
      <c r="BL1357">
        <v>0</v>
      </c>
      <c r="BO1357">
        <v>0</v>
      </c>
      <c r="BP1357">
        <v>0</v>
      </c>
      <c r="BW1357" t="str">
        <f t="shared" si="742"/>
        <v>14:52:26.148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6</v>
      </c>
      <c r="CP1357" t="s">
        <v>119</v>
      </c>
      <c r="CQ1357">
        <v>293</v>
      </c>
      <c r="CR1357">
        <v>1</v>
      </c>
      <c r="CW1357">
        <v>15285794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25">
      <c r="A1358" t="str">
        <f t="shared" si="740"/>
        <v>06/05/2020 14:52:20.524</v>
      </c>
      <c r="C1358" t="str">
        <f t="shared" si="722"/>
        <v>FFDFD3C0</v>
      </c>
      <c r="D1358" t="s">
        <v>148</v>
      </c>
      <c r="E1358">
        <v>11</v>
      </c>
      <c r="H1358">
        <v>53</v>
      </c>
      <c r="I1358" t="s">
        <v>364</v>
      </c>
      <c r="J1358" t="s">
        <v>150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741"/>
        <v>14:52:26.141</v>
      </c>
      <c r="T1358" t="str">
        <f>"14:52:26.041"</f>
        <v>14:52:26.041</v>
      </c>
      <c r="U1358" t="str">
        <f t="shared" si="737"/>
        <v>ACC530</v>
      </c>
      <c r="V1358">
        <v>0</v>
      </c>
      <c r="W1358">
        <v>0</v>
      </c>
      <c r="X1358">
        <v>1</v>
      </c>
      <c r="Z1358">
        <v>0</v>
      </c>
      <c r="AA1358">
        <v>9</v>
      </c>
      <c r="AB1358">
        <v>3</v>
      </c>
      <c r="AC1358">
        <v>0</v>
      </c>
      <c r="AD1358">
        <v>9</v>
      </c>
      <c r="AE1358">
        <v>0</v>
      </c>
      <c r="AF1358">
        <v>3</v>
      </c>
      <c r="AG1358">
        <v>1</v>
      </c>
      <c r="AH1358">
        <v>0</v>
      </c>
      <c r="AI1358" t="s">
        <v>553</v>
      </c>
      <c r="AJ1358">
        <v>34.203057000000001</v>
      </c>
      <c r="AK1358" t="s">
        <v>554</v>
      </c>
      <c r="AL1358">
        <v>-116.968968</v>
      </c>
      <c r="AM1358">
        <v>100</v>
      </c>
      <c r="AN1358">
        <v>9000</v>
      </c>
      <c r="AO1358" t="s">
        <v>118</v>
      </c>
      <c r="AP1358">
        <v>-107</v>
      </c>
      <c r="AQ1358">
        <v>-54</v>
      </c>
      <c r="AR1358">
        <v>-320</v>
      </c>
      <c r="AZ1358">
        <v>1200</v>
      </c>
      <c r="BA1358">
        <v>1</v>
      </c>
      <c r="BB1358" t="str">
        <f t="shared" si="739"/>
        <v xml:space="preserve">N9217B  </v>
      </c>
      <c r="BC1358">
        <v>1</v>
      </c>
      <c r="BE1358">
        <v>0</v>
      </c>
      <c r="BF1358">
        <v>0</v>
      </c>
      <c r="BG1358">
        <v>0</v>
      </c>
      <c r="BH1358">
        <v>9050</v>
      </c>
      <c r="BI1358">
        <v>1</v>
      </c>
      <c r="BJ1358">
        <v>0</v>
      </c>
      <c r="BK1358">
        <v>0</v>
      </c>
      <c r="BL1358">
        <v>0</v>
      </c>
      <c r="BO1358">
        <v>0</v>
      </c>
      <c r="BP1358">
        <v>0</v>
      </c>
      <c r="BW1358" t="str">
        <f t="shared" si="742"/>
        <v>14:52:26.148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6</v>
      </c>
      <c r="CP1358" t="s">
        <v>119</v>
      </c>
      <c r="CQ1358">
        <v>293</v>
      </c>
      <c r="CR1358">
        <v>1</v>
      </c>
      <c r="CW1358">
        <v>15285794</v>
      </c>
      <c r="CY1358">
        <v>0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25">
      <c r="A1359" t="str">
        <f t="shared" si="740"/>
        <v>06/05/2020 14:52:20.524</v>
      </c>
      <c r="C1359" t="str">
        <f t="shared" si="722"/>
        <v>FFDFD3C0</v>
      </c>
      <c r="D1359" t="s">
        <v>113</v>
      </c>
      <c r="E1359">
        <v>3</v>
      </c>
      <c r="H1359">
        <v>166</v>
      </c>
      <c r="I1359" t="s">
        <v>114</v>
      </c>
      <c r="J1359" t="s">
        <v>115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741"/>
        <v>14:52:26.141</v>
      </c>
      <c r="T1359" t="str">
        <f>"14:52:26.041"</f>
        <v>14:52:26.041</v>
      </c>
      <c r="U1359" t="str">
        <f t="shared" si="737"/>
        <v>ACC530</v>
      </c>
      <c r="V1359">
        <v>0</v>
      </c>
      <c r="W1359">
        <v>0</v>
      </c>
      <c r="X1359">
        <v>1</v>
      </c>
      <c r="Z1359">
        <v>0</v>
      </c>
      <c r="AA1359">
        <v>9</v>
      </c>
      <c r="AB1359">
        <v>3</v>
      </c>
      <c r="AC1359">
        <v>0</v>
      </c>
      <c r="AD1359">
        <v>9</v>
      </c>
      <c r="AE1359">
        <v>0</v>
      </c>
      <c r="AF1359">
        <v>3</v>
      </c>
      <c r="AG1359">
        <v>1</v>
      </c>
      <c r="AH1359">
        <v>0</v>
      </c>
      <c r="AI1359" t="s">
        <v>553</v>
      </c>
      <c r="AJ1359">
        <v>34.203057000000001</v>
      </c>
      <c r="AK1359" t="s">
        <v>554</v>
      </c>
      <c r="AL1359">
        <v>-116.968968</v>
      </c>
      <c r="AM1359">
        <v>100</v>
      </c>
      <c r="AN1359">
        <v>9000</v>
      </c>
      <c r="AO1359" t="s">
        <v>118</v>
      </c>
      <c r="AP1359">
        <v>-107</v>
      </c>
      <c r="AQ1359">
        <v>-54</v>
      </c>
      <c r="AR1359">
        <v>-320</v>
      </c>
      <c r="AZ1359">
        <v>1200</v>
      </c>
      <c r="BA1359">
        <v>1</v>
      </c>
      <c r="BB1359" t="str">
        <f t="shared" si="739"/>
        <v xml:space="preserve">N9217B  </v>
      </c>
      <c r="BC1359">
        <v>1</v>
      </c>
      <c r="BE1359">
        <v>0</v>
      </c>
      <c r="BF1359">
        <v>0</v>
      </c>
      <c r="BG1359">
        <v>0</v>
      </c>
      <c r="BH1359">
        <v>9050</v>
      </c>
      <c r="BI1359">
        <v>1</v>
      </c>
      <c r="BJ1359">
        <v>0</v>
      </c>
      <c r="BK1359">
        <v>0</v>
      </c>
      <c r="BL1359">
        <v>0</v>
      </c>
      <c r="BO1359">
        <v>0</v>
      </c>
      <c r="BP1359">
        <v>0</v>
      </c>
      <c r="BW1359" t="str">
        <f t="shared" si="742"/>
        <v>14:52:26.148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6</v>
      </c>
      <c r="CP1359" t="s">
        <v>119</v>
      </c>
      <c r="CQ1359">
        <v>293</v>
      </c>
      <c r="CR1359">
        <v>1</v>
      </c>
      <c r="CW1359">
        <v>15285794</v>
      </c>
      <c r="CY1359">
        <v>0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25">
      <c r="A1360" t="str">
        <f t="shared" ref="A1360:A1366" si="743">"06/05/2020 14:52:21.480"</f>
        <v>06/05/2020 14:52:21.480</v>
      </c>
      <c r="C1360" t="str">
        <f t="shared" si="722"/>
        <v>FFDFD3C0</v>
      </c>
      <c r="D1360" t="s">
        <v>134</v>
      </c>
      <c r="E1360">
        <v>7</v>
      </c>
      <c r="F1360">
        <v>2007</v>
      </c>
      <c r="G1360" t="s">
        <v>135</v>
      </c>
      <c r="J1360" t="s">
        <v>136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ref="S1360:S1366" si="744">"14:52:27.086"</f>
        <v>14:52:27.086</v>
      </c>
      <c r="T1360" t="str">
        <f t="shared" ref="T1360:T1366" si="745">"14:52:26.886"</f>
        <v>14:52:26.886</v>
      </c>
      <c r="U1360" t="str">
        <f t="shared" si="737"/>
        <v>ACC530</v>
      </c>
      <c r="V1360">
        <v>0</v>
      </c>
      <c r="W1360">
        <v>0</v>
      </c>
      <c r="X1360">
        <v>1</v>
      </c>
      <c r="Z1360">
        <v>0</v>
      </c>
      <c r="AA1360">
        <v>9</v>
      </c>
      <c r="AB1360">
        <v>3</v>
      </c>
      <c r="AC1360">
        <v>0</v>
      </c>
      <c r="AD1360">
        <v>9</v>
      </c>
      <c r="AE1360">
        <v>0</v>
      </c>
      <c r="AF1360">
        <v>3</v>
      </c>
      <c r="AG1360">
        <v>1</v>
      </c>
      <c r="AH1360">
        <v>0</v>
      </c>
      <c r="AI1360" t="s">
        <v>555</v>
      </c>
      <c r="AJ1360">
        <v>34.202821</v>
      </c>
      <c r="AK1360" t="s">
        <v>556</v>
      </c>
      <c r="AL1360">
        <v>-116.96954700000001</v>
      </c>
      <c r="AM1360">
        <v>100</v>
      </c>
      <c r="AN1360">
        <v>9000</v>
      </c>
      <c r="AO1360" t="s">
        <v>118</v>
      </c>
      <c r="AP1360">
        <v>-107</v>
      </c>
      <c r="AQ1360">
        <v>-55</v>
      </c>
      <c r="AR1360">
        <v>-448</v>
      </c>
      <c r="AZ1360">
        <v>1200</v>
      </c>
      <c r="BA1360">
        <v>1</v>
      </c>
      <c r="BB1360" t="str">
        <f t="shared" si="739"/>
        <v xml:space="preserve">N9217B  </v>
      </c>
      <c r="BC1360">
        <v>1</v>
      </c>
      <c r="BE1360">
        <v>0</v>
      </c>
      <c r="BF1360">
        <v>0</v>
      </c>
      <c r="BG1360">
        <v>0</v>
      </c>
      <c r="BH1360">
        <v>9050</v>
      </c>
      <c r="BI1360">
        <v>1</v>
      </c>
      <c r="BJ1360">
        <v>0</v>
      </c>
      <c r="BK1360">
        <v>0</v>
      </c>
      <c r="BL1360">
        <v>0</v>
      </c>
      <c r="BO1360">
        <v>0</v>
      </c>
      <c r="BP1360">
        <v>0</v>
      </c>
      <c r="BW1360" t="str">
        <f t="shared" ref="BW1360:BW1366" si="746">"14:52:27.093"</f>
        <v>14:52:27.093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6</v>
      </c>
      <c r="CP1360" t="s">
        <v>119</v>
      </c>
      <c r="CQ1360">
        <v>293</v>
      </c>
      <c r="CR1360">
        <v>2</v>
      </c>
      <c r="CW1360">
        <v>15285901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25">
      <c r="A1361" t="str">
        <f t="shared" si="743"/>
        <v>06/05/2020 14:52:21.480</v>
      </c>
      <c r="C1361" t="str">
        <f t="shared" si="722"/>
        <v>FFDFD3C0</v>
      </c>
      <c r="D1361" t="s">
        <v>141</v>
      </c>
      <c r="E1361">
        <v>20</v>
      </c>
      <c r="F1361">
        <v>1020</v>
      </c>
      <c r="G1361" t="s">
        <v>114</v>
      </c>
      <c r="J1361" t="s">
        <v>142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744"/>
        <v>14:52:27.086</v>
      </c>
      <c r="T1361" t="str">
        <f t="shared" si="745"/>
        <v>14:52:26.886</v>
      </c>
      <c r="U1361" t="str">
        <f t="shared" si="737"/>
        <v>ACC530</v>
      </c>
      <c r="V1361">
        <v>0</v>
      </c>
      <c r="W1361">
        <v>0</v>
      </c>
      <c r="X1361">
        <v>1</v>
      </c>
      <c r="Z1361">
        <v>0</v>
      </c>
      <c r="AA1361">
        <v>9</v>
      </c>
      <c r="AB1361">
        <v>3</v>
      </c>
      <c r="AC1361">
        <v>0</v>
      </c>
      <c r="AD1361">
        <v>9</v>
      </c>
      <c r="AE1361">
        <v>0</v>
      </c>
      <c r="AF1361">
        <v>3</v>
      </c>
      <c r="AG1361">
        <v>1</v>
      </c>
      <c r="AH1361">
        <v>0</v>
      </c>
      <c r="AI1361" t="s">
        <v>555</v>
      </c>
      <c r="AJ1361">
        <v>34.202821</v>
      </c>
      <c r="AK1361" t="s">
        <v>556</v>
      </c>
      <c r="AL1361">
        <v>-116.96954700000001</v>
      </c>
      <c r="AM1361">
        <v>100</v>
      </c>
      <c r="AN1361">
        <v>9000</v>
      </c>
      <c r="AO1361" t="s">
        <v>118</v>
      </c>
      <c r="AP1361">
        <v>-107</v>
      </c>
      <c r="AQ1361">
        <v>-55</v>
      </c>
      <c r="AR1361">
        <v>-448</v>
      </c>
      <c r="AZ1361">
        <v>1200</v>
      </c>
      <c r="BA1361">
        <v>1</v>
      </c>
      <c r="BB1361" t="str">
        <f t="shared" si="739"/>
        <v xml:space="preserve">N9217B  </v>
      </c>
      <c r="BC1361">
        <v>1</v>
      </c>
      <c r="BE1361">
        <v>0</v>
      </c>
      <c r="BF1361">
        <v>0</v>
      </c>
      <c r="BG1361">
        <v>0</v>
      </c>
      <c r="BH1361">
        <v>9050</v>
      </c>
      <c r="BI1361">
        <v>1</v>
      </c>
      <c r="BJ1361">
        <v>0</v>
      </c>
      <c r="BK1361">
        <v>0</v>
      </c>
      <c r="BL1361">
        <v>0</v>
      </c>
      <c r="BO1361">
        <v>0</v>
      </c>
      <c r="BP1361">
        <v>0</v>
      </c>
      <c r="BW1361" t="str">
        <f t="shared" si="746"/>
        <v>14:52:27.093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293</v>
      </c>
      <c r="CR1361">
        <v>2</v>
      </c>
      <c r="CW1361">
        <v>15285901</v>
      </c>
      <c r="CY1361">
        <v>0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25">
      <c r="A1362" t="str">
        <f t="shared" si="743"/>
        <v>06/05/2020 14:52:21.480</v>
      </c>
      <c r="C1362" t="str">
        <f t="shared" si="722"/>
        <v>FFDFD3C0</v>
      </c>
      <c r="D1362" t="s">
        <v>148</v>
      </c>
      <c r="E1362">
        <v>8</v>
      </c>
      <c r="H1362">
        <v>50</v>
      </c>
      <c r="I1362" t="s">
        <v>149</v>
      </c>
      <c r="J1362" t="s">
        <v>150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744"/>
        <v>14:52:27.086</v>
      </c>
      <c r="T1362" t="str">
        <f t="shared" si="745"/>
        <v>14:52:26.886</v>
      </c>
      <c r="U1362" t="str">
        <f t="shared" si="737"/>
        <v>ACC530</v>
      </c>
      <c r="V1362">
        <v>0</v>
      </c>
      <c r="W1362">
        <v>0</v>
      </c>
      <c r="X1362">
        <v>1</v>
      </c>
      <c r="Z1362">
        <v>0</v>
      </c>
      <c r="AA1362">
        <v>9</v>
      </c>
      <c r="AB1362">
        <v>3</v>
      </c>
      <c r="AC1362">
        <v>0</v>
      </c>
      <c r="AD1362">
        <v>9</v>
      </c>
      <c r="AE1362">
        <v>0</v>
      </c>
      <c r="AF1362">
        <v>3</v>
      </c>
      <c r="AG1362">
        <v>1</v>
      </c>
      <c r="AH1362">
        <v>0</v>
      </c>
      <c r="AI1362" t="s">
        <v>555</v>
      </c>
      <c r="AJ1362">
        <v>34.202821</v>
      </c>
      <c r="AK1362" t="s">
        <v>556</v>
      </c>
      <c r="AL1362">
        <v>-116.96954700000001</v>
      </c>
      <c r="AM1362">
        <v>100</v>
      </c>
      <c r="AN1362">
        <v>9000</v>
      </c>
      <c r="AO1362" t="s">
        <v>118</v>
      </c>
      <c r="AP1362">
        <v>-107</v>
      </c>
      <c r="AQ1362">
        <v>-55</v>
      </c>
      <c r="AR1362">
        <v>-448</v>
      </c>
      <c r="AZ1362">
        <v>1200</v>
      </c>
      <c r="BA1362">
        <v>1</v>
      </c>
      <c r="BB1362" t="str">
        <f t="shared" si="739"/>
        <v xml:space="preserve">N9217B  </v>
      </c>
      <c r="BC1362">
        <v>1</v>
      </c>
      <c r="BE1362">
        <v>0</v>
      </c>
      <c r="BF1362">
        <v>0</v>
      </c>
      <c r="BG1362">
        <v>0</v>
      </c>
      <c r="BH1362">
        <v>9050</v>
      </c>
      <c r="BI1362">
        <v>1</v>
      </c>
      <c r="BJ1362">
        <v>0</v>
      </c>
      <c r="BK1362">
        <v>0</v>
      </c>
      <c r="BL1362">
        <v>0</v>
      </c>
      <c r="BO1362">
        <v>0</v>
      </c>
      <c r="BP1362">
        <v>0</v>
      </c>
      <c r="BW1362" t="str">
        <f t="shared" si="746"/>
        <v>14:52:27.093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6</v>
      </c>
      <c r="CP1362" t="s">
        <v>119</v>
      </c>
      <c r="CQ1362">
        <v>293</v>
      </c>
      <c r="CR1362">
        <v>2</v>
      </c>
      <c r="CW1362">
        <v>15285901</v>
      </c>
      <c r="CY1362">
        <v>0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25">
      <c r="A1363" t="str">
        <f t="shared" si="743"/>
        <v>06/05/2020 14:52:21.480</v>
      </c>
      <c r="C1363" t="str">
        <f t="shared" si="722"/>
        <v>FFDFD3C0</v>
      </c>
      <c r="D1363" t="s">
        <v>151</v>
      </c>
      <c r="E1363">
        <v>8</v>
      </c>
      <c r="H1363">
        <v>225</v>
      </c>
      <c r="I1363" t="s">
        <v>353</v>
      </c>
      <c r="J1363" t="s">
        <v>150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744"/>
        <v>14:52:27.086</v>
      </c>
      <c r="T1363" t="str">
        <f t="shared" si="745"/>
        <v>14:52:26.886</v>
      </c>
      <c r="U1363" t="str">
        <f t="shared" si="737"/>
        <v>ACC530</v>
      </c>
      <c r="V1363">
        <v>0</v>
      </c>
      <c r="W1363">
        <v>0</v>
      </c>
      <c r="X1363">
        <v>1</v>
      </c>
      <c r="Z1363">
        <v>0</v>
      </c>
      <c r="AA1363">
        <v>9</v>
      </c>
      <c r="AB1363">
        <v>3</v>
      </c>
      <c r="AC1363">
        <v>0</v>
      </c>
      <c r="AD1363">
        <v>9</v>
      </c>
      <c r="AE1363">
        <v>0</v>
      </c>
      <c r="AF1363">
        <v>3</v>
      </c>
      <c r="AG1363">
        <v>1</v>
      </c>
      <c r="AH1363">
        <v>0</v>
      </c>
      <c r="AI1363" t="s">
        <v>555</v>
      </c>
      <c r="AJ1363">
        <v>34.202821</v>
      </c>
      <c r="AK1363" t="s">
        <v>556</v>
      </c>
      <c r="AL1363">
        <v>-116.96954700000001</v>
      </c>
      <c r="AM1363">
        <v>100</v>
      </c>
      <c r="AN1363">
        <v>9000</v>
      </c>
      <c r="AO1363" t="s">
        <v>118</v>
      </c>
      <c r="AP1363">
        <v>-107</v>
      </c>
      <c r="AQ1363">
        <v>-55</v>
      </c>
      <c r="AR1363">
        <v>-448</v>
      </c>
      <c r="AZ1363">
        <v>1200</v>
      </c>
      <c r="BA1363">
        <v>1</v>
      </c>
      <c r="BB1363" t="str">
        <f t="shared" si="739"/>
        <v xml:space="preserve">N9217B  </v>
      </c>
      <c r="BC1363">
        <v>1</v>
      </c>
      <c r="BE1363">
        <v>0</v>
      </c>
      <c r="BF1363">
        <v>0</v>
      </c>
      <c r="BG1363">
        <v>0</v>
      </c>
      <c r="BH1363">
        <v>9050</v>
      </c>
      <c r="BI1363">
        <v>1</v>
      </c>
      <c r="BJ1363">
        <v>0</v>
      </c>
      <c r="BK1363">
        <v>0</v>
      </c>
      <c r="BL1363">
        <v>0</v>
      </c>
      <c r="BO1363">
        <v>0</v>
      </c>
      <c r="BP1363">
        <v>0</v>
      </c>
      <c r="BW1363" t="str">
        <f t="shared" si="746"/>
        <v>14:52:27.093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6</v>
      </c>
      <c r="CP1363" t="s">
        <v>119</v>
      </c>
      <c r="CQ1363">
        <v>285</v>
      </c>
      <c r="CR1363">
        <v>0</v>
      </c>
      <c r="CW1363">
        <v>8852176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25">
      <c r="A1364" t="str">
        <f t="shared" si="743"/>
        <v>06/05/2020 14:52:21.480</v>
      </c>
      <c r="C1364" t="str">
        <f t="shared" si="722"/>
        <v>FFDFD3C0</v>
      </c>
      <c r="D1364" t="s">
        <v>148</v>
      </c>
      <c r="E1364">
        <v>11</v>
      </c>
      <c r="H1364">
        <v>53</v>
      </c>
      <c r="I1364" t="s">
        <v>364</v>
      </c>
      <c r="J1364" t="s">
        <v>150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744"/>
        <v>14:52:27.086</v>
      </c>
      <c r="T1364" t="str">
        <f t="shared" si="745"/>
        <v>14:52:26.886</v>
      </c>
      <c r="U1364" t="str">
        <f t="shared" si="737"/>
        <v>ACC530</v>
      </c>
      <c r="V1364">
        <v>0</v>
      </c>
      <c r="W1364">
        <v>0</v>
      </c>
      <c r="X1364">
        <v>1</v>
      </c>
      <c r="Z1364">
        <v>0</v>
      </c>
      <c r="AA1364">
        <v>9</v>
      </c>
      <c r="AB1364">
        <v>3</v>
      </c>
      <c r="AC1364">
        <v>0</v>
      </c>
      <c r="AD1364">
        <v>9</v>
      </c>
      <c r="AE1364">
        <v>0</v>
      </c>
      <c r="AF1364">
        <v>3</v>
      </c>
      <c r="AG1364">
        <v>1</v>
      </c>
      <c r="AH1364">
        <v>0</v>
      </c>
      <c r="AI1364" t="s">
        <v>555</v>
      </c>
      <c r="AJ1364">
        <v>34.202821</v>
      </c>
      <c r="AK1364" t="s">
        <v>556</v>
      </c>
      <c r="AL1364">
        <v>-116.96954700000001</v>
      </c>
      <c r="AM1364">
        <v>100</v>
      </c>
      <c r="AN1364">
        <v>9000</v>
      </c>
      <c r="AO1364" t="s">
        <v>118</v>
      </c>
      <c r="AP1364">
        <v>-107</v>
      </c>
      <c r="AQ1364">
        <v>-55</v>
      </c>
      <c r="AR1364">
        <v>-448</v>
      </c>
      <c r="AZ1364">
        <v>1200</v>
      </c>
      <c r="BA1364">
        <v>1</v>
      </c>
      <c r="BB1364" t="str">
        <f t="shared" si="739"/>
        <v xml:space="preserve">N9217B  </v>
      </c>
      <c r="BC1364">
        <v>1</v>
      </c>
      <c r="BE1364">
        <v>0</v>
      </c>
      <c r="BF1364">
        <v>0</v>
      </c>
      <c r="BG1364">
        <v>0</v>
      </c>
      <c r="BH1364">
        <v>9050</v>
      </c>
      <c r="BI1364">
        <v>1</v>
      </c>
      <c r="BJ1364">
        <v>0</v>
      </c>
      <c r="BK1364">
        <v>0</v>
      </c>
      <c r="BL1364">
        <v>0</v>
      </c>
      <c r="BO1364">
        <v>0</v>
      </c>
      <c r="BP1364">
        <v>0</v>
      </c>
      <c r="BW1364" t="str">
        <f t="shared" si="746"/>
        <v>14:52:27.093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6</v>
      </c>
      <c r="CP1364" t="s">
        <v>119</v>
      </c>
      <c r="CQ1364">
        <v>293</v>
      </c>
      <c r="CR1364">
        <v>2</v>
      </c>
      <c r="CW1364">
        <v>15285901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25">
      <c r="A1365" t="str">
        <f t="shared" si="743"/>
        <v>06/05/2020 14:52:21.480</v>
      </c>
      <c r="C1365" t="str">
        <f t="shared" si="722"/>
        <v>FFDFD3C0</v>
      </c>
      <c r="D1365" t="s">
        <v>151</v>
      </c>
      <c r="E1365">
        <v>9</v>
      </c>
      <c r="H1365">
        <v>226</v>
      </c>
      <c r="I1365" t="s">
        <v>152</v>
      </c>
      <c r="J1365" t="s">
        <v>150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744"/>
        <v>14:52:27.086</v>
      </c>
      <c r="T1365" t="str">
        <f t="shared" si="745"/>
        <v>14:52:26.886</v>
      </c>
      <c r="U1365" t="str">
        <f t="shared" si="737"/>
        <v>ACC530</v>
      </c>
      <c r="V1365">
        <v>0</v>
      </c>
      <c r="W1365">
        <v>0</v>
      </c>
      <c r="X1365">
        <v>1</v>
      </c>
      <c r="Z1365">
        <v>0</v>
      </c>
      <c r="AA1365">
        <v>9</v>
      </c>
      <c r="AB1365">
        <v>3</v>
      </c>
      <c r="AC1365">
        <v>0</v>
      </c>
      <c r="AD1365">
        <v>9</v>
      </c>
      <c r="AE1365">
        <v>0</v>
      </c>
      <c r="AF1365">
        <v>3</v>
      </c>
      <c r="AG1365">
        <v>1</v>
      </c>
      <c r="AH1365">
        <v>0</v>
      </c>
      <c r="AI1365" t="s">
        <v>555</v>
      </c>
      <c r="AJ1365">
        <v>34.202821</v>
      </c>
      <c r="AK1365" t="s">
        <v>556</v>
      </c>
      <c r="AL1365">
        <v>-116.96954700000001</v>
      </c>
      <c r="AM1365">
        <v>100</v>
      </c>
      <c r="AN1365">
        <v>9000</v>
      </c>
      <c r="AO1365" t="s">
        <v>118</v>
      </c>
      <c r="AP1365">
        <v>-107</v>
      </c>
      <c r="AQ1365">
        <v>-55</v>
      </c>
      <c r="AR1365">
        <v>-448</v>
      </c>
      <c r="AZ1365">
        <v>1200</v>
      </c>
      <c r="BA1365">
        <v>1</v>
      </c>
      <c r="BB1365" t="str">
        <f t="shared" si="739"/>
        <v xml:space="preserve">N9217B  </v>
      </c>
      <c r="BC1365">
        <v>1</v>
      </c>
      <c r="BE1365">
        <v>0</v>
      </c>
      <c r="BF1365">
        <v>0</v>
      </c>
      <c r="BG1365">
        <v>0</v>
      </c>
      <c r="BH1365">
        <v>9050</v>
      </c>
      <c r="BI1365">
        <v>1</v>
      </c>
      <c r="BJ1365">
        <v>0</v>
      </c>
      <c r="BK1365">
        <v>0</v>
      </c>
      <c r="BL1365">
        <v>0</v>
      </c>
      <c r="BO1365">
        <v>0</v>
      </c>
      <c r="BP1365">
        <v>0</v>
      </c>
      <c r="BW1365" t="str">
        <f t="shared" si="746"/>
        <v>14:52:27.093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6</v>
      </c>
      <c r="CP1365" t="s">
        <v>119</v>
      </c>
      <c r="CQ1365">
        <v>293</v>
      </c>
      <c r="CR1365">
        <v>2</v>
      </c>
      <c r="CW1365">
        <v>15285901</v>
      </c>
      <c r="CY1365">
        <v>0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25">
      <c r="A1366" t="str">
        <f t="shared" si="743"/>
        <v>06/05/2020 14:52:21.480</v>
      </c>
      <c r="C1366" t="str">
        <f t="shared" si="722"/>
        <v>FFDFD3C0</v>
      </c>
      <c r="D1366" t="s">
        <v>113</v>
      </c>
      <c r="E1366">
        <v>3</v>
      </c>
      <c r="H1366">
        <v>166</v>
      </c>
      <c r="I1366" t="s">
        <v>114</v>
      </c>
      <c r="J1366" t="s">
        <v>115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744"/>
        <v>14:52:27.086</v>
      </c>
      <c r="T1366" t="str">
        <f t="shared" si="745"/>
        <v>14:52:26.886</v>
      </c>
      <c r="U1366" t="str">
        <f t="shared" si="737"/>
        <v>ACC530</v>
      </c>
      <c r="V1366">
        <v>0</v>
      </c>
      <c r="W1366">
        <v>0</v>
      </c>
      <c r="X1366">
        <v>1</v>
      </c>
      <c r="Z1366">
        <v>0</v>
      </c>
      <c r="AA1366">
        <v>9</v>
      </c>
      <c r="AB1366">
        <v>3</v>
      </c>
      <c r="AC1366">
        <v>0</v>
      </c>
      <c r="AD1366">
        <v>9</v>
      </c>
      <c r="AE1366">
        <v>0</v>
      </c>
      <c r="AF1366">
        <v>3</v>
      </c>
      <c r="AG1366">
        <v>1</v>
      </c>
      <c r="AH1366">
        <v>0</v>
      </c>
      <c r="AI1366" t="s">
        <v>555</v>
      </c>
      <c r="AJ1366">
        <v>34.202821</v>
      </c>
      <c r="AK1366" t="s">
        <v>556</v>
      </c>
      <c r="AL1366">
        <v>-116.96954700000001</v>
      </c>
      <c r="AM1366">
        <v>100</v>
      </c>
      <c r="AN1366">
        <v>9000</v>
      </c>
      <c r="AO1366" t="s">
        <v>118</v>
      </c>
      <c r="AP1366">
        <v>-107</v>
      </c>
      <c r="AQ1366">
        <v>-55</v>
      </c>
      <c r="AR1366">
        <v>-448</v>
      </c>
      <c r="AZ1366">
        <v>1200</v>
      </c>
      <c r="BA1366">
        <v>1</v>
      </c>
      <c r="BB1366" t="str">
        <f t="shared" si="739"/>
        <v xml:space="preserve">N9217B  </v>
      </c>
      <c r="BC1366">
        <v>1</v>
      </c>
      <c r="BE1366">
        <v>0</v>
      </c>
      <c r="BF1366">
        <v>0</v>
      </c>
      <c r="BG1366">
        <v>0</v>
      </c>
      <c r="BH1366">
        <v>9050</v>
      </c>
      <c r="BI1366">
        <v>1</v>
      </c>
      <c r="BJ1366">
        <v>0</v>
      </c>
      <c r="BK1366">
        <v>0</v>
      </c>
      <c r="BL1366">
        <v>0</v>
      </c>
      <c r="BO1366">
        <v>0</v>
      </c>
      <c r="BP1366">
        <v>0</v>
      </c>
      <c r="BW1366" t="str">
        <f t="shared" si="746"/>
        <v>14:52:27.093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6</v>
      </c>
      <c r="CP1366" t="s">
        <v>119</v>
      </c>
      <c r="CQ1366">
        <v>293</v>
      </c>
      <c r="CR1366">
        <v>2</v>
      </c>
      <c r="CW1366">
        <v>15285901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25">
      <c r="A1367" t="str">
        <f t="shared" ref="A1367:A1373" si="747">"06/05/2020 14:52:22.287"</f>
        <v>06/05/2020 14:52:22.287</v>
      </c>
      <c r="C1367" t="str">
        <f t="shared" si="722"/>
        <v>FFDFD3C0</v>
      </c>
      <c r="D1367" t="s">
        <v>134</v>
      </c>
      <c r="E1367">
        <v>7</v>
      </c>
      <c r="F1367">
        <v>2007</v>
      </c>
      <c r="G1367" t="s">
        <v>135</v>
      </c>
      <c r="J1367" t="s">
        <v>136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T1373" si="748">"14:52:27.945"</f>
        <v>14:52:27.945</v>
      </c>
      <c r="T1367" t="str">
        <f t="shared" si="748"/>
        <v>14:52:27.945</v>
      </c>
      <c r="U1367" t="str">
        <f t="shared" si="737"/>
        <v>ACC530</v>
      </c>
      <c r="V1367">
        <v>0</v>
      </c>
      <c r="W1367">
        <v>0</v>
      </c>
      <c r="X1367">
        <v>1</v>
      </c>
      <c r="Z1367">
        <v>0</v>
      </c>
      <c r="AA1367">
        <v>9</v>
      </c>
      <c r="AB1367">
        <v>3</v>
      </c>
      <c r="AC1367">
        <v>0</v>
      </c>
      <c r="AD1367">
        <v>9</v>
      </c>
      <c r="AE1367">
        <v>0</v>
      </c>
      <c r="AF1367">
        <v>3</v>
      </c>
      <c r="AG1367">
        <v>1</v>
      </c>
      <c r="AH1367">
        <v>0</v>
      </c>
      <c r="AI1367" t="s">
        <v>557</v>
      </c>
      <c r="AJ1367">
        <v>34.202584999999999</v>
      </c>
      <c r="AK1367" t="s">
        <v>558</v>
      </c>
      <c r="AL1367">
        <v>-116.97004099999999</v>
      </c>
      <c r="AM1367">
        <v>100</v>
      </c>
      <c r="AN1367">
        <v>9000</v>
      </c>
      <c r="AO1367" t="s">
        <v>118</v>
      </c>
      <c r="AP1367">
        <v>-106</v>
      </c>
      <c r="AQ1367">
        <v>-55</v>
      </c>
      <c r="AR1367">
        <v>-448</v>
      </c>
      <c r="AZ1367">
        <v>1200</v>
      </c>
      <c r="BA1367">
        <v>1</v>
      </c>
      <c r="BB1367" t="str">
        <f t="shared" si="739"/>
        <v xml:space="preserve">N9217B  </v>
      </c>
      <c r="BC1367">
        <v>1</v>
      </c>
      <c r="BE1367">
        <v>0</v>
      </c>
      <c r="BF1367">
        <v>0</v>
      </c>
      <c r="BG1367">
        <v>0</v>
      </c>
      <c r="BH1367">
        <v>9050</v>
      </c>
      <c r="BI1367">
        <v>1</v>
      </c>
      <c r="BJ1367">
        <v>0</v>
      </c>
      <c r="BK1367">
        <v>0</v>
      </c>
      <c r="BL1367">
        <v>0</v>
      </c>
      <c r="BO1367">
        <v>0</v>
      </c>
      <c r="BP1367">
        <v>0</v>
      </c>
      <c r="BW1367" t="str">
        <f t="shared" ref="BW1367:BW1373" si="749">"14:52:27.948"</f>
        <v>14:52:27.948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293</v>
      </c>
      <c r="CR1367">
        <v>1</v>
      </c>
      <c r="CW1367">
        <v>15286004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25">
      <c r="A1368" t="str">
        <f t="shared" si="747"/>
        <v>06/05/2020 14:52:22.287</v>
      </c>
      <c r="C1368" t="str">
        <f t="shared" si="722"/>
        <v>FFDFD3C0</v>
      </c>
      <c r="D1368" t="s">
        <v>141</v>
      </c>
      <c r="E1368">
        <v>20</v>
      </c>
      <c r="F1368">
        <v>1020</v>
      </c>
      <c r="G1368" t="s">
        <v>114</v>
      </c>
      <c r="J1368" t="s">
        <v>142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748"/>
        <v>14:52:27.945</v>
      </c>
      <c r="T1368" t="str">
        <f t="shared" si="748"/>
        <v>14:52:27.945</v>
      </c>
      <c r="U1368" t="str">
        <f t="shared" si="737"/>
        <v>ACC530</v>
      </c>
      <c r="V1368">
        <v>0</v>
      </c>
      <c r="W1368">
        <v>0</v>
      </c>
      <c r="X1368">
        <v>1</v>
      </c>
      <c r="Z1368">
        <v>0</v>
      </c>
      <c r="AA1368">
        <v>9</v>
      </c>
      <c r="AB1368">
        <v>3</v>
      </c>
      <c r="AC1368">
        <v>0</v>
      </c>
      <c r="AD1368">
        <v>9</v>
      </c>
      <c r="AE1368">
        <v>0</v>
      </c>
      <c r="AF1368">
        <v>3</v>
      </c>
      <c r="AG1368">
        <v>1</v>
      </c>
      <c r="AH1368">
        <v>0</v>
      </c>
      <c r="AI1368" t="s">
        <v>557</v>
      </c>
      <c r="AJ1368">
        <v>34.202584999999999</v>
      </c>
      <c r="AK1368" t="s">
        <v>558</v>
      </c>
      <c r="AL1368">
        <v>-116.97004099999999</v>
      </c>
      <c r="AM1368">
        <v>100</v>
      </c>
      <c r="AN1368">
        <v>9000</v>
      </c>
      <c r="AO1368" t="s">
        <v>118</v>
      </c>
      <c r="AP1368">
        <v>-106</v>
      </c>
      <c r="AQ1368">
        <v>-55</v>
      </c>
      <c r="AR1368">
        <v>-448</v>
      </c>
      <c r="AZ1368">
        <v>1200</v>
      </c>
      <c r="BA1368">
        <v>1</v>
      </c>
      <c r="BB1368" t="str">
        <f t="shared" si="739"/>
        <v xml:space="preserve">N9217B  </v>
      </c>
      <c r="BC1368">
        <v>1</v>
      </c>
      <c r="BE1368">
        <v>0</v>
      </c>
      <c r="BF1368">
        <v>0</v>
      </c>
      <c r="BG1368">
        <v>0</v>
      </c>
      <c r="BH1368">
        <v>9050</v>
      </c>
      <c r="BI1368">
        <v>1</v>
      </c>
      <c r="BJ1368">
        <v>0</v>
      </c>
      <c r="BK1368">
        <v>0</v>
      </c>
      <c r="BL1368">
        <v>0</v>
      </c>
      <c r="BO1368">
        <v>0</v>
      </c>
      <c r="BP1368">
        <v>0</v>
      </c>
      <c r="BW1368" t="str">
        <f t="shared" si="749"/>
        <v>14:52:27.948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293</v>
      </c>
      <c r="CR1368">
        <v>1</v>
      </c>
      <c r="CW1368">
        <v>15286004</v>
      </c>
      <c r="CY1368">
        <v>0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25">
      <c r="A1369" t="str">
        <f t="shared" si="747"/>
        <v>06/05/2020 14:52:22.287</v>
      </c>
      <c r="C1369" t="str">
        <f t="shared" si="722"/>
        <v>FFDFD3C0</v>
      </c>
      <c r="D1369" t="s">
        <v>148</v>
      </c>
      <c r="E1369">
        <v>8</v>
      </c>
      <c r="H1369">
        <v>50</v>
      </c>
      <c r="I1369" t="s">
        <v>149</v>
      </c>
      <c r="J1369" t="s">
        <v>150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748"/>
        <v>14:52:27.945</v>
      </c>
      <c r="T1369" t="str">
        <f t="shared" si="748"/>
        <v>14:52:27.945</v>
      </c>
      <c r="U1369" t="str">
        <f t="shared" si="737"/>
        <v>ACC530</v>
      </c>
      <c r="V1369">
        <v>0</v>
      </c>
      <c r="W1369">
        <v>0</v>
      </c>
      <c r="X1369">
        <v>1</v>
      </c>
      <c r="Z1369">
        <v>0</v>
      </c>
      <c r="AA1369">
        <v>9</v>
      </c>
      <c r="AB1369">
        <v>3</v>
      </c>
      <c r="AC1369">
        <v>0</v>
      </c>
      <c r="AD1369">
        <v>9</v>
      </c>
      <c r="AE1369">
        <v>0</v>
      </c>
      <c r="AF1369">
        <v>3</v>
      </c>
      <c r="AG1369">
        <v>1</v>
      </c>
      <c r="AH1369">
        <v>0</v>
      </c>
      <c r="AI1369" t="s">
        <v>557</v>
      </c>
      <c r="AJ1369">
        <v>34.202584999999999</v>
      </c>
      <c r="AK1369" t="s">
        <v>558</v>
      </c>
      <c r="AL1369">
        <v>-116.97004099999999</v>
      </c>
      <c r="AM1369">
        <v>100</v>
      </c>
      <c r="AN1369">
        <v>9000</v>
      </c>
      <c r="AO1369" t="s">
        <v>118</v>
      </c>
      <c r="AP1369">
        <v>-106</v>
      </c>
      <c r="AQ1369">
        <v>-55</v>
      </c>
      <c r="AR1369">
        <v>-448</v>
      </c>
      <c r="AZ1369">
        <v>1200</v>
      </c>
      <c r="BA1369">
        <v>1</v>
      </c>
      <c r="BB1369" t="str">
        <f t="shared" si="739"/>
        <v xml:space="preserve">N9217B  </v>
      </c>
      <c r="BC1369">
        <v>1</v>
      </c>
      <c r="BE1369">
        <v>0</v>
      </c>
      <c r="BF1369">
        <v>0</v>
      </c>
      <c r="BG1369">
        <v>0</v>
      </c>
      <c r="BH1369">
        <v>9050</v>
      </c>
      <c r="BI1369">
        <v>1</v>
      </c>
      <c r="BJ1369">
        <v>0</v>
      </c>
      <c r="BK1369">
        <v>0</v>
      </c>
      <c r="BL1369">
        <v>0</v>
      </c>
      <c r="BO1369">
        <v>0</v>
      </c>
      <c r="BP1369">
        <v>0</v>
      </c>
      <c r="BW1369" t="str">
        <f t="shared" si="749"/>
        <v>14:52:27.948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293</v>
      </c>
      <c r="CR1369">
        <v>1</v>
      </c>
      <c r="CW1369">
        <v>15286004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25">
      <c r="A1370" t="str">
        <f t="shared" si="747"/>
        <v>06/05/2020 14:52:22.287</v>
      </c>
      <c r="C1370" t="str">
        <f t="shared" si="722"/>
        <v>FFDFD3C0</v>
      </c>
      <c r="D1370" t="s">
        <v>151</v>
      </c>
      <c r="E1370">
        <v>8</v>
      </c>
      <c r="H1370">
        <v>225</v>
      </c>
      <c r="I1370" t="s">
        <v>353</v>
      </c>
      <c r="J1370" t="s">
        <v>150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748"/>
        <v>14:52:27.945</v>
      </c>
      <c r="T1370" t="str">
        <f t="shared" si="748"/>
        <v>14:52:27.945</v>
      </c>
      <c r="U1370" t="str">
        <f t="shared" si="737"/>
        <v>ACC530</v>
      </c>
      <c r="V1370">
        <v>0</v>
      </c>
      <c r="W1370">
        <v>0</v>
      </c>
      <c r="X1370">
        <v>1</v>
      </c>
      <c r="Z1370">
        <v>0</v>
      </c>
      <c r="AA1370">
        <v>9</v>
      </c>
      <c r="AB1370">
        <v>3</v>
      </c>
      <c r="AC1370">
        <v>0</v>
      </c>
      <c r="AD1370">
        <v>9</v>
      </c>
      <c r="AE1370">
        <v>0</v>
      </c>
      <c r="AF1370">
        <v>3</v>
      </c>
      <c r="AG1370">
        <v>1</v>
      </c>
      <c r="AH1370">
        <v>0</v>
      </c>
      <c r="AI1370" t="s">
        <v>557</v>
      </c>
      <c r="AJ1370">
        <v>34.202584999999999</v>
      </c>
      <c r="AK1370" t="s">
        <v>558</v>
      </c>
      <c r="AL1370">
        <v>-116.97004099999999</v>
      </c>
      <c r="AM1370">
        <v>100</v>
      </c>
      <c r="AN1370">
        <v>9000</v>
      </c>
      <c r="AO1370" t="s">
        <v>118</v>
      </c>
      <c r="AP1370">
        <v>-106</v>
      </c>
      <c r="AQ1370">
        <v>-55</v>
      </c>
      <c r="AR1370">
        <v>-448</v>
      </c>
      <c r="AZ1370">
        <v>1200</v>
      </c>
      <c r="BA1370">
        <v>1</v>
      </c>
      <c r="BB1370" t="str">
        <f t="shared" si="739"/>
        <v xml:space="preserve">N9217B  </v>
      </c>
      <c r="BC1370">
        <v>1</v>
      </c>
      <c r="BE1370">
        <v>0</v>
      </c>
      <c r="BF1370">
        <v>0</v>
      </c>
      <c r="BG1370">
        <v>0</v>
      </c>
      <c r="BH1370">
        <v>9050</v>
      </c>
      <c r="BI1370">
        <v>1</v>
      </c>
      <c r="BJ1370">
        <v>0</v>
      </c>
      <c r="BK1370">
        <v>0</v>
      </c>
      <c r="BL1370">
        <v>0</v>
      </c>
      <c r="BO1370">
        <v>0</v>
      </c>
      <c r="BP1370">
        <v>0</v>
      </c>
      <c r="BW1370" t="str">
        <f t="shared" si="749"/>
        <v>14:52:27.948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285</v>
      </c>
      <c r="CR1370">
        <v>0</v>
      </c>
      <c r="CW1370">
        <v>8852255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25">
      <c r="A1371" t="str">
        <f t="shared" si="747"/>
        <v>06/05/2020 14:52:22.287</v>
      </c>
      <c r="C1371" t="str">
        <f t="shared" si="722"/>
        <v>FFDFD3C0</v>
      </c>
      <c r="D1371" t="s">
        <v>148</v>
      </c>
      <c r="E1371">
        <v>11</v>
      </c>
      <c r="H1371">
        <v>53</v>
      </c>
      <c r="I1371" t="s">
        <v>364</v>
      </c>
      <c r="J1371" t="s">
        <v>150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748"/>
        <v>14:52:27.945</v>
      </c>
      <c r="T1371" t="str">
        <f t="shared" si="748"/>
        <v>14:52:27.945</v>
      </c>
      <c r="U1371" t="str">
        <f t="shared" si="737"/>
        <v>ACC530</v>
      </c>
      <c r="V1371">
        <v>0</v>
      </c>
      <c r="W1371">
        <v>0</v>
      </c>
      <c r="X1371">
        <v>1</v>
      </c>
      <c r="Z1371">
        <v>0</v>
      </c>
      <c r="AA1371">
        <v>9</v>
      </c>
      <c r="AB1371">
        <v>3</v>
      </c>
      <c r="AC1371">
        <v>0</v>
      </c>
      <c r="AD1371">
        <v>9</v>
      </c>
      <c r="AE1371">
        <v>0</v>
      </c>
      <c r="AF1371">
        <v>3</v>
      </c>
      <c r="AG1371">
        <v>1</v>
      </c>
      <c r="AH1371">
        <v>0</v>
      </c>
      <c r="AI1371" t="s">
        <v>557</v>
      </c>
      <c r="AJ1371">
        <v>34.202584999999999</v>
      </c>
      <c r="AK1371" t="s">
        <v>558</v>
      </c>
      <c r="AL1371">
        <v>-116.97004099999999</v>
      </c>
      <c r="AM1371">
        <v>100</v>
      </c>
      <c r="AN1371">
        <v>9000</v>
      </c>
      <c r="AO1371" t="s">
        <v>118</v>
      </c>
      <c r="AP1371">
        <v>-106</v>
      </c>
      <c r="AQ1371">
        <v>-55</v>
      </c>
      <c r="AR1371">
        <v>-448</v>
      </c>
      <c r="AZ1371">
        <v>1200</v>
      </c>
      <c r="BA1371">
        <v>1</v>
      </c>
      <c r="BB1371" t="str">
        <f t="shared" si="739"/>
        <v xml:space="preserve">N9217B  </v>
      </c>
      <c r="BC1371">
        <v>1</v>
      </c>
      <c r="BE1371">
        <v>0</v>
      </c>
      <c r="BF1371">
        <v>0</v>
      </c>
      <c r="BG1371">
        <v>0</v>
      </c>
      <c r="BH1371">
        <v>9050</v>
      </c>
      <c r="BI1371">
        <v>1</v>
      </c>
      <c r="BJ1371">
        <v>0</v>
      </c>
      <c r="BK1371">
        <v>0</v>
      </c>
      <c r="BL1371">
        <v>0</v>
      </c>
      <c r="BO1371">
        <v>0</v>
      </c>
      <c r="BP1371">
        <v>0</v>
      </c>
      <c r="BW1371" t="str">
        <f t="shared" si="749"/>
        <v>14:52:27.948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293</v>
      </c>
      <c r="CR1371">
        <v>1</v>
      </c>
      <c r="CW1371">
        <v>15286004</v>
      </c>
      <c r="CY1371">
        <v>0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25">
      <c r="A1372" t="str">
        <f t="shared" si="747"/>
        <v>06/05/2020 14:52:22.287</v>
      </c>
      <c r="C1372" t="str">
        <f t="shared" si="722"/>
        <v>FFDFD3C0</v>
      </c>
      <c r="D1372" t="s">
        <v>151</v>
      </c>
      <c r="E1372">
        <v>9</v>
      </c>
      <c r="H1372">
        <v>226</v>
      </c>
      <c r="I1372" t="s">
        <v>152</v>
      </c>
      <c r="J1372" t="s">
        <v>150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748"/>
        <v>14:52:27.945</v>
      </c>
      <c r="T1372" t="str">
        <f t="shared" si="748"/>
        <v>14:52:27.945</v>
      </c>
      <c r="U1372" t="str">
        <f t="shared" si="737"/>
        <v>ACC530</v>
      </c>
      <c r="V1372">
        <v>0</v>
      </c>
      <c r="W1372">
        <v>0</v>
      </c>
      <c r="X1372">
        <v>1</v>
      </c>
      <c r="Z1372">
        <v>0</v>
      </c>
      <c r="AA1372">
        <v>9</v>
      </c>
      <c r="AB1372">
        <v>3</v>
      </c>
      <c r="AC1372">
        <v>0</v>
      </c>
      <c r="AD1372">
        <v>9</v>
      </c>
      <c r="AE1372">
        <v>0</v>
      </c>
      <c r="AF1372">
        <v>3</v>
      </c>
      <c r="AG1372">
        <v>1</v>
      </c>
      <c r="AH1372">
        <v>0</v>
      </c>
      <c r="AI1372" t="s">
        <v>557</v>
      </c>
      <c r="AJ1372">
        <v>34.202584999999999</v>
      </c>
      <c r="AK1372" t="s">
        <v>558</v>
      </c>
      <c r="AL1372">
        <v>-116.97004099999999</v>
      </c>
      <c r="AM1372">
        <v>100</v>
      </c>
      <c r="AN1372">
        <v>9000</v>
      </c>
      <c r="AO1372" t="s">
        <v>118</v>
      </c>
      <c r="AP1372">
        <v>-106</v>
      </c>
      <c r="AQ1372">
        <v>-55</v>
      </c>
      <c r="AR1372">
        <v>-448</v>
      </c>
      <c r="AZ1372">
        <v>1200</v>
      </c>
      <c r="BA1372">
        <v>1</v>
      </c>
      <c r="BB1372" t="str">
        <f t="shared" si="739"/>
        <v xml:space="preserve">N9217B  </v>
      </c>
      <c r="BC1372">
        <v>1</v>
      </c>
      <c r="BE1372">
        <v>0</v>
      </c>
      <c r="BF1372">
        <v>0</v>
      </c>
      <c r="BG1372">
        <v>0</v>
      </c>
      <c r="BH1372">
        <v>9050</v>
      </c>
      <c r="BI1372">
        <v>1</v>
      </c>
      <c r="BJ1372">
        <v>0</v>
      </c>
      <c r="BK1372">
        <v>0</v>
      </c>
      <c r="BL1372">
        <v>0</v>
      </c>
      <c r="BO1372">
        <v>0</v>
      </c>
      <c r="BP1372">
        <v>0</v>
      </c>
      <c r="BW1372" t="str">
        <f t="shared" si="749"/>
        <v>14:52:27.948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293</v>
      </c>
      <c r="CR1372">
        <v>1</v>
      </c>
      <c r="CW1372">
        <v>15286004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25">
      <c r="A1373" t="str">
        <f t="shared" si="747"/>
        <v>06/05/2020 14:52:22.287</v>
      </c>
      <c r="C1373" t="str">
        <f t="shared" si="722"/>
        <v>FFDFD3C0</v>
      </c>
      <c r="D1373" t="s">
        <v>113</v>
      </c>
      <c r="E1373">
        <v>3</v>
      </c>
      <c r="H1373">
        <v>166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748"/>
        <v>14:52:27.945</v>
      </c>
      <c r="T1373" t="str">
        <f t="shared" si="748"/>
        <v>14:52:27.945</v>
      </c>
      <c r="U1373" t="str">
        <f t="shared" si="737"/>
        <v>ACC530</v>
      </c>
      <c r="V1373">
        <v>0</v>
      </c>
      <c r="W1373">
        <v>0</v>
      </c>
      <c r="X1373">
        <v>1</v>
      </c>
      <c r="Z1373">
        <v>0</v>
      </c>
      <c r="AA1373">
        <v>9</v>
      </c>
      <c r="AB1373">
        <v>3</v>
      </c>
      <c r="AC1373">
        <v>0</v>
      </c>
      <c r="AD1373">
        <v>9</v>
      </c>
      <c r="AE1373">
        <v>0</v>
      </c>
      <c r="AF1373">
        <v>3</v>
      </c>
      <c r="AG1373">
        <v>1</v>
      </c>
      <c r="AH1373">
        <v>0</v>
      </c>
      <c r="AI1373" t="s">
        <v>557</v>
      </c>
      <c r="AJ1373">
        <v>34.202584999999999</v>
      </c>
      <c r="AK1373" t="s">
        <v>558</v>
      </c>
      <c r="AL1373">
        <v>-116.97004099999999</v>
      </c>
      <c r="AM1373">
        <v>100</v>
      </c>
      <c r="AN1373">
        <v>9000</v>
      </c>
      <c r="AO1373" t="s">
        <v>118</v>
      </c>
      <c r="AP1373">
        <v>-106</v>
      </c>
      <c r="AQ1373">
        <v>-55</v>
      </c>
      <c r="AR1373">
        <v>-448</v>
      </c>
      <c r="AZ1373">
        <v>1200</v>
      </c>
      <c r="BA1373">
        <v>1</v>
      </c>
      <c r="BB1373" t="str">
        <f t="shared" si="739"/>
        <v xml:space="preserve">N9217B  </v>
      </c>
      <c r="BC1373">
        <v>1</v>
      </c>
      <c r="BE1373">
        <v>0</v>
      </c>
      <c r="BF1373">
        <v>0</v>
      </c>
      <c r="BG1373">
        <v>0</v>
      </c>
      <c r="BH1373">
        <v>9050</v>
      </c>
      <c r="BI1373">
        <v>1</v>
      </c>
      <c r="BJ1373">
        <v>0</v>
      </c>
      <c r="BK1373">
        <v>0</v>
      </c>
      <c r="BL1373">
        <v>0</v>
      </c>
      <c r="BO1373">
        <v>0</v>
      </c>
      <c r="BP1373">
        <v>0</v>
      </c>
      <c r="BW1373" t="str">
        <f t="shared" si="749"/>
        <v>14:52:27.948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293</v>
      </c>
      <c r="CR1373">
        <v>1</v>
      </c>
      <c r="CW1373">
        <v>15286004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25">
      <c r="A1374" t="str">
        <f t="shared" ref="A1374:A1380" si="750">"06/05/2020 14:52:23.324"</f>
        <v>06/05/2020 14:52:23.324</v>
      </c>
      <c r="C1374" t="str">
        <f t="shared" si="722"/>
        <v>FFDFD3C0</v>
      </c>
      <c r="D1374" t="s">
        <v>113</v>
      </c>
      <c r="E1374">
        <v>3</v>
      </c>
      <c r="H1374">
        <v>166</v>
      </c>
      <c r="I1374" t="s">
        <v>114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ref="S1374:T1380" si="751">"14:52:28.977"</f>
        <v>14:52:28.977</v>
      </c>
      <c r="T1374" t="str">
        <f t="shared" si="751"/>
        <v>14:52:28.977</v>
      </c>
      <c r="U1374" t="str">
        <f t="shared" si="737"/>
        <v>ACC530</v>
      </c>
      <c r="V1374">
        <v>0</v>
      </c>
      <c r="W1374">
        <v>0</v>
      </c>
      <c r="X1374">
        <v>1</v>
      </c>
      <c r="Z1374">
        <v>0</v>
      </c>
      <c r="AA1374">
        <v>9</v>
      </c>
      <c r="AB1374">
        <v>3</v>
      </c>
      <c r="AC1374">
        <v>0</v>
      </c>
      <c r="AD1374">
        <v>9</v>
      </c>
      <c r="AE1374">
        <v>0</v>
      </c>
      <c r="AF1374">
        <v>3</v>
      </c>
      <c r="AG1374">
        <v>1</v>
      </c>
      <c r="AH1374">
        <v>0</v>
      </c>
      <c r="AI1374" t="s">
        <v>559</v>
      </c>
      <c r="AJ1374">
        <v>34.202306</v>
      </c>
      <c r="AK1374" t="s">
        <v>560</v>
      </c>
      <c r="AL1374">
        <v>-116.970642</v>
      </c>
      <c r="AM1374">
        <v>100</v>
      </c>
      <c r="AN1374">
        <v>9000</v>
      </c>
      <c r="AO1374" t="s">
        <v>118</v>
      </c>
      <c r="AP1374">
        <v>-106</v>
      </c>
      <c r="AQ1374">
        <v>-54</v>
      </c>
      <c r="AR1374">
        <v>-448</v>
      </c>
      <c r="AZ1374">
        <v>1200</v>
      </c>
      <c r="BA1374">
        <v>1</v>
      </c>
      <c r="BB1374" t="str">
        <f t="shared" si="739"/>
        <v xml:space="preserve">N9217B  </v>
      </c>
      <c r="BC1374">
        <v>1</v>
      </c>
      <c r="BE1374">
        <v>0</v>
      </c>
      <c r="BF1374">
        <v>0</v>
      </c>
      <c r="BG1374">
        <v>0</v>
      </c>
      <c r="BH1374">
        <v>9025</v>
      </c>
      <c r="BI1374">
        <v>1</v>
      </c>
      <c r="BJ1374">
        <v>0</v>
      </c>
      <c r="BK1374">
        <v>0</v>
      </c>
      <c r="BL1374">
        <v>0</v>
      </c>
      <c r="BO1374">
        <v>0</v>
      </c>
      <c r="BP1374">
        <v>0</v>
      </c>
      <c r="BW1374" t="str">
        <f t="shared" ref="BW1374:BW1380" si="752">"14:52:28.983"</f>
        <v>14:52:28.983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293</v>
      </c>
      <c r="CR1374">
        <v>1</v>
      </c>
      <c r="CW1374">
        <v>15286131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25">
      <c r="A1375" t="str">
        <f t="shared" si="750"/>
        <v>06/05/2020 14:52:23.324</v>
      </c>
      <c r="C1375" t="str">
        <f t="shared" si="722"/>
        <v>FFDFD3C0</v>
      </c>
      <c r="D1375" t="s">
        <v>134</v>
      </c>
      <c r="E1375">
        <v>7</v>
      </c>
      <c r="F1375">
        <v>2007</v>
      </c>
      <c r="G1375" t="s">
        <v>135</v>
      </c>
      <c r="J1375" t="s">
        <v>136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751"/>
        <v>14:52:28.977</v>
      </c>
      <c r="T1375" t="str">
        <f t="shared" si="751"/>
        <v>14:52:28.977</v>
      </c>
      <c r="U1375" t="str">
        <f t="shared" si="737"/>
        <v>ACC530</v>
      </c>
      <c r="V1375">
        <v>0</v>
      </c>
      <c r="W1375">
        <v>0</v>
      </c>
      <c r="X1375">
        <v>1</v>
      </c>
      <c r="Z1375">
        <v>0</v>
      </c>
      <c r="AA1375">
        <v>9</v>
      </c>
      <c r="AB1375">
        <v>3</v>
      </c>
      <c r="AC1375">
        <v>0</v>
      </c>
      <c r="AD1375">
        <v>9</v>
      </c>
      <c r="AE1375">
        <v>0</v>
      </c>
      <c r="AF1375">
        <v>3</v>
      </c>
      <c r="AG1375">
        <v>1</v>
      </c>
      <c r="AH1375">
        <v>0</v>
      </c>
      <c r="AI1375" t="s">
        <v>559</v>
      </c>
      <c r="AJ1375">
        <v>34.202306</v>
      </c>
      <c r="AK1375" t="s">
        <v>560</v>
      </c>
      <c r="AL1375">
        <v>-116.970642</v>
      </c>
      <c r="AM1375">
        <v>100</v>
      </c>
      <c r="AN1375">
        <v>9000</v>
      </c>
      <c r="AO1375" t="s">
        <v>118</v>
      </c>
      <c r="AP1375">
        <v>-106</v>
      </c>
      <c r="AQ1375">
        <v>-54</v>
      </c>
      <c r="AR1375">
        <v>-448</v>
      </c>
      <c r="AZ1375">
        <v>1200</v>
      </c>
      <c r="BA1375">
        <v>1</v>
      </c>
      <c r="BB1375" t="str">
        <f t="shared" si="739"/>
        <v xml:space="preserve">N9217B  </v>
      </c>
      <c r="BC1375">
        <v>1</v>
      </c>
      <c r="BE1375">
        <v>0</v>
      </c>
      <c r="BF1375">
        <v>0</v>
      </c>
      <c r="BG1375">
        <v>0</v>
      </c>
      <c r="BH1375">
        <v>9025</v>
      </c>
      <c r="BI1375">
        <v>1</v>
      </c>
      <c r="BJ1375">
        <v>0</v>
      </c>
      <c r="BK1375">
        <v>0</v>
      </c>
      <c r="BL1375">
        <v>0</v>
      </c>
      <c r="BO1375">
        <v>0</v>
      </c>
      <c r="BP1375">
        <v>0</v>
      </c>
      <c r="BW1375" t="str">
        <f t="shared" si="752"/>
        <v>14:52:28.983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293</v>
      </c>
      <c r="CR1375">
        <v>1</v>
      </c>
      <c r="CW1375">
        <v>15286131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25">
      <c r="A1376" t="str">
        <f t="shared" si="750"/>
        <v>06/05/2020 14:52:23.324</v>
      </c>
      <c r="C1376" t="str">
        <f t="shared" si="722"/>
        <v>FFDFD3C0</v>
      </c>
      <c r="D1376" t="s">
        <v>141</v>
      </c>
      <c r="E1376">
        <v>20</v>
      </c>
      <c r="F1376">
        <v>1020</v>
      </c>
      <c r="G1376" t="s">
        <v>114</v>
      </c>
      <c r="J1376" t="s">
        <v>142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751"/>
        <v>14:52:28.977</v>
      </c>
      <c r="T1376" t="str">
        <f t="shared" si="751"/>
        <v>14:52:28.977</v>
      </c>
      <c r="U1376" t="str">
        <f t="shared" si="737"/>
        <v>ACC530</v>
      </c>
      <c r="V1376">
        <v>0</v>
      </c>
      <c r="W1376">
        <v>0</v>
      </c>
      <c r="X1376">
        <v>1</v>
      </c>
      <c r="Z1376">
        <v>0</v>
      </c>
      <c r="AA1376">
        <v>9</v>
      </c>
      <c r="AB1376">
        <v>3</v>
      </c>
      <c r="AC1376">
        <v>0</v>
      </c>
      <c r="AD1376">
        <v>9</v>
      </c>
      <c r="AE1376">
        <v>0</v>
      </c>
      <c r="AF1376">
        <v>3</v>
      </c>
      <c r="AG1376">
        <v>1</v>
      </c>
      <c r="AH1376">
        <v>0</v>
      </c>
      <c r="AI1376" t="s">
        <v>559</v>
      </c>
      <c r="AJ1376">
        <v>34.202306</v>
      </c>
      <c r="AK1376" t="s">
        <v>560</v>
      </c>
      <c r="AL1376">
        <v>-116.970642</v>
      </c>
      <c r="AM1376">
        <v>100</v>
      </c>
      <c r="AN1376">
        <v>9000</v>
      </c>
      <c r="AO1376" t="s">
        <v>118</v>
      </c>
      <c r="AP1376">
        <v>-106</v>
      </c>
      <c r="AQ1376">
        <v>-54</v>
      </c>
      <c r="AR1376">
        <v>-448</v>
      </c>
      <c r="AZ1376">
        <v>1200</v>
      </c>
      <c r="BA1376">
        <v>1</v>
      </c>
      <c r="BB1376" t="str">
        <f t="shared" si="739"/>
        <v xml:space="preserve">N9217B  </v>
      </c>
      <c r="BC1376">
        <v>1</v>
      </c>
      <c r="BE1376">
        <v>0</v>
      </c>
      <c r="BF1376">
        <v>0</v>
      </c>
      <c r="BG1376">
        <v>0</v>
      </c>
      <c r="BH1376">
        <v>9025</v>
      </c>
      <c r="BI1376">
        <v>1</v>
      </c>
      <c r="BJ1376">
        <v>0</v>
      </c>
      <c r="BK1376">
        <v>0</v>
      </c>
      <c r="BL1376">
        <v>0</v>
      </c>
      <c r="BO1376">
        <v>0</v>
      </c>
      <c r="BP1376">
        <v>0</v>
      </c>
      <c r="BW1376" t="str">
        <f t="shared" si="752"/>
        <v>14:52:28.983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293</v>
      </c>
      <c r="CR1376">
        <v>1</v>
      </c>
      <c r="CW1376">
        <v>15286131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25">
      <c r="A1377" t="str">
        <f t="shared" si="750"/>
        <v>06/05/2020 14:52:23.324</v>
      </c>
      <c r="C1377" t="str">
        <f t="shared" si="722"/>
        <v>FFDFD3C0</v>
      </c>
      <c r="D1377" t="s">
        <v>148</v>
      </c>
      <c r="E1377">
        <v>8</v>
      </c>
      <c r="H1377">
        <v>50</v>
      </c>
      <c r="I1377" t="s">
        <v>149</v>
      </c>
      <c r="J1377" t="s">
        <v>150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751"/>
        <v>14:52:28.977</v>
      </c>
      <c r="T1377" t="str">
        <f t="shared" si="751"/>
        <v>14:52:28.977</v>
      </c>
      <c r="U1377" t="str">
        <f t="shared" si="737"/>
        <v>ACC530</v>
      </c>
      <c r="V1377">
        <v>0</v>
      </c>
      <c r="W1377">
        <v>0</v>
      </c>
      <c r="X1377">
        <v>1</v>
      </c>
      <c r="Z1377">
        <v>0</v>
      </c>
      <c r="AA1377">
        <v>9</v>
      </c>
      <c r="AB1377">
        <v>3</v>
      </c>
      <c r="AC1377">
        <v>0</v>
      </c>
      <c r="AD1377">
        <v>9</v>
      </c>
      <c r="AE1377">
        <v>0</v>
      </c>
      <c r="AF1377">
        <v>3</v>
      </c>
      <c r="AG1377">
        <v>1</v>
      </c>
      <c r="AH1377">
        <v>0</v>
      </c>
      <c r="AI1377" t="s">
        <v>559</v>
      </c>
      <c r="AJ1377">
        <v>34.202306</v>
      </c>
      <c r="AK1377" t="s">
        <v>560</v>
      </c>
      <c r="AL1377">
        <v>-116.970642</v>
      </c>
      <c r="AM1377">
        <v>100</v>
      </c>
      <c r="AN1377">
        <v>9000</v>
      </c>
      <c r="AO1377" t="s">
        <v>118</v>
      </c>
      <c r="AP1377">
        <v>-106</v>
      </c>
      <c r="AQ1377">
        <v>-54</v>
      </c>
      <c r="AR1377">
        <v>-448</v>
      </c>
      <c r="AZ1377">
        <v>1200</v>
      </c>
      <c r="BA1377">
        <v>1</v>
      </c>
      <c r="BB1377" t="str">
        <f t="shared" si="739"/>
        <v xml:space="preserve">N9217B  </v>
      </c>
      <c r="BC1377">
        <v>1</v>
      </c>
      <c r="BE1377">
        <v>0</v>
      </c>
      <c r="BF1377">
        <v>0</v>
      </c>
      <c r="BG1377">
        <v>0</v>
      </c>
      <c r="BH1377">
        <v>9025</v>
      </c>
      <c r="BI1377">
        <v>1</v>
      </c>
      <c r="BJ1377">
        <v>0</v>
      </c>
      <c r="BK1377">
        <v>0</v>
      </c>
      <c r="BL1377">
        <v>0</v>
      </c>
      <c r="BO1377">
        <v>0</v>
      </c>
      <c r="BP1377">
        <v>0</v>
      </c>
      <c r="BW1377" t="str">
        <f t="shared" si="752"/>
        <v>14:52:28.983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293</v>
      </c>
      <c r="CR1377">
        <v>1</v>
      </c>
      <c r="CW1377">
        <v>15286131</v>
      </c>
      <c r="CY1377">
        <v>0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25">
      <c r="A1378" t="str">
        <f t="shared" si="750"/>
        <v>06/05/2020 14:52:23.324</v>
      </c>
      <c r="C1378" t="str">
        <f t="shared" si="722"/>
        <v>FFDFD3C0</v>
      </c>
      <c r="D1378" t="s">
        <v>151</v>
      </c>
      <c r="E1378">
        <v>8</v>
      </c>
      <c r="H1378">
        <v>225</v>
      </c>
      <c r="I1378" t="s">
        <v>353</v>
      </c>
      <c r="J1378" t="s">
        <v>150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751"/>
        <v>14:52:28.977</v>
      </c>
      <c r="T1378" t="str">
        <f t="shared" si="751"/>
        <v>14:52:28.977</v>
      </c>
      <c r="U1378" t="str">
        <f t="shared" si="737"/>
        <v>ACC530</v>
      </c>
      <c r="V1378">
        <v>0</v>
      </c>
      <c r="W1378">
        <v>0</v>
      </c>
      <c r="X1378">
        <v>1</v>
      </c>
      <c r="Z1378">
        <v>0</v>
      </c>
      <c r="AA1378">
        <v>9</v>
      </c>
      <c r="AB1378">
        <v>3</v>
      </c>
      <c r="AC1378">
        <v>0</v>
      </c>
      <c r="AD1378">
        <v>9</v>
      </c>
      <c r="AE1378">
        <v>0</v>
      </c>
      <c r="AF1378">
        <v>3</v>
      </c>
      <c r="AG1378">
        <v>1</v>
      </c>
      <c r="AH1378">
        <v>0</v>
      </c>
      <c r="AI1378" t="s">
        <v>559</v>
      </c>
      <c r="AJ1378">
        <v>34.202306</v>
      </c>
      <c r="AK1378" t="s">
        <v>560</v>
      </c>
      <c r="AL1378">
        <v>-116.970642</v>
      </c>
      <c r="AM1378">
        <v>100</v>
      </c>
      <c r="AN1378">
        <v>9000</v>
      </c>
      <c r="AO1378" t="s">
        <v>118</v>
      </c>
      <c r="AP1378">
        <v>-106</v>
      </c>
      <c r="AQ1378">
        <v>-54</v>
      </c>
      <c r="AR1378">
        <v>-448</v>
      </c>
      <c r="AZ1378">
        <v>1200</v>
      </c>
      <c r="BA1378">
        <v>1</v>
      </c>
      <c r="BB1378" t="str">
        <f t="shared" si="739"/>
        <v xml:space="preserve">N9217B  </v>
      </c>
      <c r="BC1378">
        <v>1</v>
      </c>
      <c r="BE1378">
        <v>0</v>
      </c>
      <c r="BF1378">
        <v>0</v>
      </c>
      <c r="BG1378">
        <v>0</v>
      </c>
      <c r="BH1378">
        <v>9025</v>
      </c>
      <c r="BI1378">
        <v>1</v>
      </c>
      <c r="BJ1378">
        <v>0</v>
      </c>
      <c r="BK1378">
        <v>0</v>
      </c>
      <c r="BL1378">
        <v>0</v>
      </c>
      <c r="BO1378">
        <v>0</v>
      </c>
      <c r="BP1378">
        <v>0</v>
      </c>
      <c r="BW1378" t="str">
        <f t="shared" si="752"/>
        <v>14:52:28.983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6</v>
      </c>
      <c r="CP1378" t="s">
        <v>119</v>
      </c>
      <c r="CQ1378">
        <v>285</v>
      </c>
      <c r="CR1378">
        <v>0</v>
      </c>
      <c r="CW1378">
        <v>8852344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25">
      <c r="A1379" t="str">
        <f t="shared" si="750"/>
        <v>06/05/2020 14:52:23.324</v>
      </c>
      <c r="C1379" t="str">
        <f t="shared" ref="C1379:C1442" si="753">"FFDFD3C0"</f>
        <v>FFDFD3C0</v>
      </c>
      <c r="D1379" t="s">
        <v>148</v>
      </c>
      <c r="E1379">
        <v>11</v>
      </c>
      <c r="H1379">
        <v>53</v>
      </c>
      <c r="I1379" t="s">
        <v>364</v>
      </c>
      <c r="J1379" t="s">
        <v>150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751"/>
        <v>14:52:28.977</v>
      </c>
      <c r="T1379" t="str">
        <f t="shared" si="751"/>
        <v>14:52:28.977</v>
      </c>
      <c r="U1379" t="str">
        <f t="shared" si="737"/>
        <v>ACC530</v>
      </c>
      <c r="V1379">
        <v>0</v>
      </c>
      <c r="W1379">
        <v>0</v>
      </c>
      <c r="X1379">
        <v>1</v>
      </c>
      <c r="Z1379">
        <v>0</v>
      </c>
      <c r="AA1379">
        <v>9</v>
      </c>
      <c r="AB1379">
        <v>3</v>
      </c>
      <c r="AC1379">
        <v>0</v>
      </c>
      <c r="AD1379">
        <v>9</v>
      </c>
      <c r="AE1379">
        <v>0</v>
      </c>
      <c r="AF1379">
        <v>3</v>
      </c>
      <c r="AG1379">
        <v>1</v>
      </c>
      <c r="AH1379">
        <v>0</v>
      </c>
      <c r="AI1379" t="s">
        <v>559</v>
      </c>
      <c r="AJ1379">
        <v>34.202306</v>
      </c>
      <c r="AK1379" t="s">
        <v>560</v>
      </c>
      <c r="AL1379">
        <v>-116.970642</v>
      </c>
      <c r="AM1379">
        <v>100</v>
      </c>
      <c r="AN1379">
        <v>9000</v>
      </c>
      <c r="AO1379" t="s">
        <v>118</v>
      </c>
      <c r="AP1379">
        <v>-106</v>
      </c>
      <c r="AQ1379">
        <v>-54</v>
      </c>
      <c r="AR1379">
        <v>-448</v>
      </c>
      <c r="AZ1379">
        <v>1200</v>
      </c>
      <c r="BA1379">
        <v>1</v>
      </c>
      <c r="BB1379" t="str">
        <f t="shared" si="739"/>
        <v xml:space="preserve">N9217B  </v>
      </c>
      <c r="BC1379">
        <v>1</v>
      </c>
      <c r="BE1379">
        <v>0</v>
      </c>
      <c r="BF1379">
        <v>0</v>
      </c>
      <c r="BG1379">
        <v>0</v>
      </c>
      <c r="BH1379">
        <v>9025</v>
      </c>
      <c r="BI1379">
        <v>1</v>
      </c>
      <c r="BJ1379">
        <v>0</v>
      </c>
      <c r="BK1379">
        <v>0</v>
      </c>
      <c r="BL1379">
        <v>0</v>
      </c>
      <c r="BO1379">
        <v>0</v>
      </c>
      <c r="BP1379">
        <v>0</v>
      </c>
      <c r="BW1379" t="str">
        <f t="shared" si="752"/>
        <v>14:52:28.983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293</v>
      </c>
      <c r="CR1379">
        <v>1</v>
      </c>
      <c r="CW1379">
        <v>15286131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25">
      <c r="A1380" t="str">
        <f t="shared" si="750"/>
        <v>06/05/2020 14:52:23.324</v>
      </c>
      <c r="C1380" t="str">
        <f t="shared" si="753"/>
        <v>FFDFD3C0</v>
      </c>
      <c r="D1380" t="s">
        <v>151</v>
      </c>
      <c r="E1380">
        <v>9</v>
      </c>
      <c r="H1380">
        <v>226</v>
      </c>
      <c r="I1380" t="s">
        <v>152</v>
      </c>
      <c r="J1380" t="s">
        <v>150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751"/>
        <v>14:52:28.977</v>
      </c>
      <c r="T1380" t="str">
        <f t="shared" si="751"/>
        <v>14:52:28.977</v>
      </c>
      <c r="U1380" t="str">
        <f t="shared" si="737"/>
        <v>ACC530</v>
      </c>
      <c r="V1380">
        <v>0</v>
      </c>
      <c r="W1380">
        <v>0</v>
      </c>
      <c r="X1380">
        <v>1</v>
      </c>
      <c r="Z1380">
        <v>0</v>
      </c>
      <c r="AA1380">
        <v>9</v>
      </c>
      <c r="AB1380">
        <v>3</v>
      </c>
      <c r="AC1380">
        <v>0</v>
      </c>
      <c r="AD1380">
        <v>9</v>
      </c>
      <c r="AE1380">
        <v>0</v>
      </c>
      <c r="AF1380">
        <v>3</v>
      </c>
      <c r="AG1380">
        <v>1</v>
      </c>
      <c r="AH1380">
        <v>0</v>
      </c>
      <c r="AI1380" t="s">
        <v>559</v>
      </c>
      <c r="AJ1380">
        <v>34.202306</v>
      </c>
      <c r="AK1380" t="s">
        <v>560</v>
      </c>
      <c r="AL1380">
        <v>-116.970642</v>
      </c>
      <c r="AM1380">
        <v>100</v>
      </c>
      <c r="AN1380">
        <v>9000</v>
      </c>
      <c r="AO1380" t="s">
        <v>118</v>
      </c>
      <c r="AP1380">
        <v>-106</v>
      </c>
      <c r="AQ1380">
        <v>-54</v>
      </c>
      <c r="AR1380">
        <v>-448</v>
      </c>
      <c r="AZ1380">
        <v>1200</v>
      </c>
      <c r="BA1380">
        <v>1</v>
      </c>
      <c r="BB1380" t="str">
        <f t="shared" si="739"/>
        <v xml:space="preserve">N9217B  </v>
      </c>
      <c r="BC1380">
        <v>1</v>
      </c>
      <c r="BE1380">
        <v>0</v>
      </c>
      <c r="BF1380">
        <v>0</v>
      </c>
      <c r="BG1380">
        <v>0</v>
      </c>
      <c r="BH1380">
        <v>9025</v>
      </c>
      <c r="BI1380">
        <v>1</v>
      </c>
      <c r="BJ1380">
        <v>0</v>
      </c>
      <c r="BK1380">
        <v>0</v>
      </c>
      <c r="BL1380">
        <v>0</v>
      </c>
      <c r="BO1380">
        <v>0</v>
      </c>
      <c r="BP1380">
        <v>0</v>
      </c>
      <c r="BW1380" t="str">
        <f t="shared" si="752"/>
        <v>14:52:28.983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293</v>
      </c>
      <c r="CR1380">
        <v>1</v>
      </c>
      <c r="CW1380">
        <v>15286131</v>
      </c>
      <c r="CY1380">
        <v>0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25">
      <c r="A1381" t="str">
        <f t="shared" ref="A1381:A1387" si="754">"06/05/2020 14:52:24.334"</f>
        <v>06/05/2020 14:52:24.334</v>
      </c>
      <c r="C1381" t="str">
        <f t="shared" si="753"/>
        <v>FFDFD3C0</v>
      </c>
      <c r="D1381" t="s">
        <v>113</v>
      </c>
      <c r="E1381">
        <v>3</v>
      </c>
      <c r="H1381">
        <v>166</v>
      </c>
      <c r="I1381" t="s">
        <v>114</v>
      </c>
      <c r="J1381" t="s">
        <v>115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T1387" si="755">"14:52:29.984"</f>
        <v>14:52:29.984</v>
      </c>
      <c r="T1381" t="str">
        <f t="shared" si="755"/>
        <v>14:52:29.984</v>
      </c>
      <c r="U1381" t="str">
        <f t="shared" si="737"/>
        <v>ACC530</v>
      </c>
      <c r="V1381">
        <v>0</v>
      </c>
      <c r="W1381">
        <v>0</v>
      </c>
      <c r="X1381">
        <v>1</v>
      </c>
      <c r="Z1381">
        <v>0</v>
      </c>
      <c r="AA1381">
        <v>9</v>
      </c>
      <c r="AB1381">
        <v>3</v>
      </c>
      <c r="AC1381">
        <v>0</v>
      </c>
      <c r="AD1381">
        <v>9</v>
      </c>
      <c r="AE1381">
        <v>0</v>
      </c>
      <c r="AF1381">
        <v>3</v>
      </c>
      <c r="AG1381">
        <v>1</v>
      </c>
      <c r="AH1381">
        <v>0</v>
      </c>
      <c r="AI1381" t="s">
        <v>561</v>
      </c>
      <c r="AJ1381">
        <v>34.202092</v>
      </c>
      <c r="AK1381" t="s">
        <v>562</v>
      </c>
      <c r="AL1381">
        <v>-116.97126400000001</v>
      </c>
      <c r="AM1381">
        <v>100</v>
      </c>
      <c r="AN1381">
        <v>9000</v>
      </c>
      <c r="AO1381" t="s">
        <v>118</v>
      </c>
      <c r="AP1381">
        <v>-106</v>
      </c>
      <c r="AQ1381">
        <v>-55</v>
      </c>
      <c r="AR1381">
        <v>-320</v>
      </c>
      <c r="AZ1381">
        <v>1200</v>
      </c>
      <c r="BA1381">
        <v>1</v>
      </c>
      <c r="BB1381" t="str">
        <f t="shared" si="739"/>
        <v xml:space="preserve">N9217B  </v>
      </c>
      <c r="BC1381">
        <v>1</v>
      </c>
      <c r="BE1381">
        <v>0</v>
      </c>
      <c r="BF1381">
        <v>0</v>
      </c>
      <c r="BG1381">
        <v>0</v>
      </c>
      <c r="BH1381">
        <v>9025</v>
      </c>
      <c r="BI1381">
        <v>1</v>
      </c>
      <c r="BJ1381">
        <v>0</v>
      </c>
      <c r="BK1381">
        <v>0</v>
      </c>
      <c r="BL1381">
        <v>0</v>
      </c>
      <c r="BO1381">
        <v>0</v>
      </c>
      <c r="BP1381">
        <v>0</v>
      </c>
      <c r="BW1381" t="str">
        <f t="shared" ref="BW1381:BW1387" si="756">"14:52:29.987"</f>
        <v>14:52:29.987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293</v>
      </c>
      <c r="CR1381">
        <v>1</v>
      </c>
      <c r="CW1381">
        <v>15286254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25">
      <c r="A1382" t="str">
        <f t="shared" si="754"/>
        <v>06/05/2020 14:52:24.334</v>
      </c>
      <c r="C1382" t="str">
        <f t="shared" si="753"/>
        <v>FFDFD3C0</v>
      </c>
      <c r="D1382" t="s">
        <v>134</v>
      </c>
      <c r="E1382">
        <v>7</v>
      </c>
      <c r="F1382">
        <v>2007</v>
      </c>
      <c r="G1382" t="s">
        <v>135</v>
      </c>
      <c r="J1382" t="s">
        <v>136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755"/>
        <v>14:52:29.984</v>
      </c>
      <c r="T1382" t="str">
        <f t="shared" si="755"/>
        <v>14:52:29.984</v>
      </c>
      <c r="U1382" t="str">
        <f t="shared" si="737"/>
        <v>ACC530</v>
      </c>
      <c r="V1382">
        <v>0</v>
      </c>
      <c r="W1382">
        <v>0</v>
      </c>
      <c r="X1382">
        <v>1</v>
      </c>
      <c r="Z1382">
        <v>0</v>
      </c>
      <c r="AA1382">
        <v>9</v>
      </c>
      <c r="AB1382">
        <v>3</v>
      </c>
      <c r="AC1382">
        <v>0</v>
      </c>
      <c r="AD1382">
        <v>9</v>
      </c>
      <c r="AE1382">
        <v>0</v>
      </c>
      <c r="AF1382">
        <v>3</v>
      </c>
      <c r="AG1382">
        <v>1</v>
      </c>
      <c r="AH1382">
        <v>0</v>
      </c>
      <c r="AI1382" t="s">
        <v>561</v>
      </c>
      <c r="AJ1382">
        <v>34.202092</v>
      </c>
      <c r="AK1382" t="s">
        <v>562</v>
      </c>
      <c r="AL1382">
        <v>-116.97126400000001</v>
      </c>
      <c r="AM1382">
        <v>100</v>
      </c>
      <c r="AN1382">
        <v>9000</v>
      </c>
      <c r="AO1382" t="s">
        <v>118</v>
      </c>
      <c r="AP1382">
        <v>-106</v>
      </c>
      <c r="AQ1382">
        <v>-55</v>
      </c>
      <c r="AR1382">
        <v>-320</v>
      </c>
      <c r="AZ1382">
        <v>1200</v>
      </c>
      <c r="BA1382">
        <v>1</v>
      </c>
      <c r="BB1382" t="str">
        <f t="shared" si="739"/>
        <v xml:space="preserve">N9217B  </v>
      </c>
      <c r="BC1382">
        <v>1</v>
      </c>
      <c r="BE1382">
        <v>0</v>
      </c>
      <c r="BF1382">
        <v>0</v>
      </c>
      <c r="BG1382">
        <v>0</v>
      </c>
      <c r="BH1382">
        <v>9025</v>
      </c>
      <c r="BI1382">
        <v>1</v>
      </c>
      <c r="BJ1382">
        <v>0</v>
      </c>
      <c r="BK1382">
        <v>0</v>
      </c>
      <c r="BL1382">
        <v>0</v>
      </c>
      <c r="BO1382">
        <v>0</v>
      </c>
      <c r="BP1382">
        <v>0</v>
      </c>
      <c r="BW1382" t="str">
        <f t="shared" si="756"/>
        <v>14:52:29.987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293</v>
      </c>
      <c r="CR1382">
        <v>1</v>
      </c>
      <c r="CW1382">
        <v>15286254</v>
      </c>
      <c r="CY1382">
        <v>0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25">
      <c r="A1383" t="str">
        <f t="shared" si="754"/>
        <v>06/05/2020 14:52:24.334</v>
      </c>
      <c r="C1383" t="str">
        <f t="shared" si="753"/>
        <v>FFDFD3C0</v>
      </c>
      <c r="D1383" t="s">
        <v>141</v>
      </c>
      <c r="E1383">
        <v>20</v>
      </c>
      <c r="F1383">
        <v>1020</v>
      </c>
      <c r="G1383" t="s">
        <v>114</v>
      </c>
      <c r="J1383" t="s">
        <v>142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755"/>
        <v>14:52:29.984</v>
      </c>
      <c r="T1383" t="str">
        <f t="shared" si="755"/>
        <v>14:52:29.984</v>
      </c>
      <c r="U1383" t="str">
        <f t="shared" si="737"/>
        <v>ACC530</v>
      </c>
      <c r="V1383">
        <v>0</v>
      </c>
      <c r="W1383">
        <v>0</v>
      </c>
      <c r="X1383">
        <v>1</v>
      </c>
      <c r="Z1383">
        <v>0</v>
      </c>
      <c r="AA1383">
        <v>9</v>
      </c>
      <c r="AB1383">
        <v>3</v>
      </c>
      <c r="AC1383">
        <v>0</v>
      </c>
      <c r="AD1383">
        <v>9</v>
      </c>
      <c r="AE1383">
        <v>0</v>
      </c>
      <c r="AF1383">
        <v>3</v>
      </c>
      <c r="AG1383">
        <v>1</v>
      </c>
      <c r="AH1383">
        <v>0</v>
      </c>
      <c r="AI1383" t="s">
        <v>561</v>
      </c>
      <c r="AJ1383">
        <v>34.202092</v>
      </c>
      <c r="AK1383" t="s">
        <v>562</v>
      </c>
      <c r="AL1383">
        <v>-116.97126400000001</v>
      </c>
      <c r="AM1383">
        <v>100</v>
      </c>
      <c r="AN1383">
        <v>9000</v>
      </c>
      <c r="AO1383" t="s">
        <v>118</v>
      </c>
      <c r="AP1383">
        <v>-106</v>
      </c>
      <c r="AQ1383">
        <v>-55</v>
      </c>
      <c r="AR1383">
        <v>-320</v>
      </c>
      <c r="AZ1383">
        <v>1200</v>
      </c>
      <c r="BA1383">
        <v>1</v>
      </c>
      <c r="BB1383" t="str">
        <f t="shared" si="739"/>
        <v xml:space="preserve">N9217B  </v>
      </c>
      <c r="BC1383">
        <v>1</v>
      </c>
      <c r="BE1383">
        <v>0</v>
      </c>
      <c r="BF1383">
        <v>0</v>
      </c>
      <c r="BG1383">
        <v>0</v>
      </c>
      <c r="BH1383">
        <v>9025</v>
      </c>
      <c r="BI1383">
        <v>1</v>
      </c>
      <c r="BJ1383">
        <v>0</v>
      </c>
      <c r="BK1383">
        <v>0</v>
      </c>
      <c r="BL1383">
        <v>0</v>
      </c>
      <c r="BO1383">
        <v>0</v>
      </c>
      <c r="BP1383">
        <v>0</v>
      </c>
      <c r="BW1383" t="str">
        <f t="shared" si="756"/>
        <v>14:52:29.987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293</v>
      </c>
      <c r="CR1383">
        <v>1</v>
      </c>
      <c r="CW1383">
        <v>15286254</v>
      </c>
      <c r="CY1383">
        <v>0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25">
      <c r="A1384" t="str">
        <f t="shared" si="754"/>
        <v>06/05/2020 14:52:24.334</v>
      </c>
      <c r="C1384" t="str">
        <f t="shared" si="753"/>
        <v>FFDFD3C0</v>
      </c>
      <c r="D1384" t="s">
        <v>148</v>
      </c>
      <c r="E1384">
        <v>8</v>
      </c>
      <c r="H1384">
        <v>50</v>
      </c>
      <c r="I1384" t="s">
        <v>149</v>
      </c>
      <c r="J1384" t="s">
        <v>150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755"/>
        <v>14:52:29.984</v>
      </c>
      <c r="T1384" t="str">
        <f t="shared" si="755"/>
        <v>14:52:29.984</v>
      </c>
      <c r="U1384" t="str">
        <f t="shared" si="737"/>
        <v>ACC530</v>
      </c>
      <c r="V1384">
        <v>0</v>
      </c>
      <c r="W1384">
        <v>0</v>
      </c>
      <c r="X1384">
        <v>1</v>
      </c>
      <c r="Z1384">
        <v>0</v>
      </c>
      <c r="AA1384">
        <v>9</v>
      </c>
      <c r="AB1384">
        <v>3</v>
      </c>
      <c r="AC1384">
        <v>0</v>
      </c>
      <c r="AD1384">
        <v>9</v>
      </c>
      <c r="AE1384">
        <v>0</v>
      </c>
      <c r="AF1384">
        <v>3</v>
      </c>
      <c r="AG1384">
        <v>1</v>
      </c>
      <c r="AH1384">
        <v>0</v>
      </c>
      <c r="AI1384" t="s">
        <v>561</v>
      </c>
      <c r="AJ1384">
        <v>34.202092</v>
      </c>
      <c r="AK1384" t="s">
        <v>562</v>
      </c>
      <c r="AL1384">
        <v>-116.97126400000001</v>
      </c>
      <c r="AM1384">
        <v>100</v>
      </c>
      <c r="AN1384">
        <v>9000</v>
      </c>
      <c r="AO1384" t="s">
        <v>118</v>
      </c>
      <c r="AP1384">
        <v>-106</v>
      </c>
      <c r="AQ1384">
        <v>-55</v>
      </c>
      <c r="AR1384">
        <v>-320</v>
      </c>
      <c r="AZ1384">
        <v>1200</v>
      </c>
      <c r="BA1384">
        <v>1</v>
      </c>
      <c r="BB1384" t="str">
        <f t="shared" si="739"/>
        <v xml:space="preserve">N9217B  </v>
      </c>
      <c r="BC1384">
        <v>1</v>
      </c>
      <c r="BE1384">
        <v>0</v>
      </c>
      <c r="BF1384">
        <v>0</v>
      </c>
      <c r="BG1384">
        <v>0</v>
      </c>
      <c r="BH1384">
        <v>9025</v>
      </c>
      <c r="BI1384">
        <v>1</v>
      </c>
      <c r="BJ1384">
        <v>0</v>
      </c>
      <c r="BK1384">
        <v>0</v>
      </c>
      <c r="BL1384">
        <v>0</v>
      </c>
      <c r="BO1384">
        <v>0</v>
      </c>
      <c r="BP1384">
        <v>0</v>
      </c>
      <c r="BW1384" t="str">
        <f t="shared" si="756"/>
        <v>14:52:29.987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293</v>
      </c>
      <c r="CR1384">
        <v>1</v>
      </c>
      <c r="CW1384">
        <v>15286254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25">
      <c r="A1385" t="str">
        <f t="shared" si="754"/>
        <v>06/05/2020 14:52:24.334</v>
      </c>
      <c r="C1385" t="str">
        <f t="shared" si="753"/>
        <v>FFDFD3C0</v>
      </c>
      <c r="D1385" t="s">
        <v>151</v>
      </c>
      <c r="E1385">
        <v>8</v>
      </c>
      <c r="H1385">
        <v>225</v>
      </c>
      <c r="I1385" t="s">
        <v>353</v>
      </c>
      <c r="J1385" t="s">
        <v>150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755"/>
        <v>14:52:29.984</v>
      </c>
      <c r="T1385" t="str">
        <f t="shared" si="755"/>
        <v>14:52:29.984</v>
      </c>
      <c r="U1385" t="str">
        <f t="shared" si="737"/>
        <v>ACC530</v>
      </c>
      <c r="V1385">
        <v>0</v>
      </c>
      <c r="W1385">
        <v>0</v>
      </c>
      <c r="X1385">
        <v>1</v>
      </c>
      <c r="Z1385">
        <v>0</v>
      </c>
      <c r="AA1385">
        <v>9</v>
      </c>
      <c r="AB1385">
        <v>3</v>
      </c>
      <c r="AC1385">
        <v>0</v>
      </c>
      <c r="AD1385">
        <v>9</v>
      </c>
      <c r="AE1385">
        <v>0</v>
      </c>
      <c r="AF1385">
        <v>3</v>
      </c>
      <c r="AG1385">
        <v>1</v>
      </c>
      <c r="AH1385">
        <v>0</v>
      </c>
      <c r="AI1385" t="s">
        <v>561</v>
      </c>
      <c r="AJ1385">
        <v>34.202092</v>
      </c>
      <c r="AK1385" t="s">
        <v>562</v>
      </c>
      <c r="AL1385">
        <v>-116.97126400000001</v>
      </c>
      <c r="AM1385">
        <v>100</v>
      </c>
      <c r="AN1385">
        <v>9000</v>
      </c>
      <c r="AO1385" t="s">
        <v>118</v>
      </c>
      <c r="AP1385">
        <v>-106</v>
      </c>
      <c r="AQ1385">
        <v>-55</v>
      </c>
      <c r="AR1385">
        <v>-320</v>
      </c>
      <c r="AZ1385">
        <v>1200</v>
      </c>
      <c r="BA1385">
        <v>1</v>
      </c>
      <c r="BB1385" t="str">
        <f t="shared" si="739"/>
        <v xml:space="preserve">N9217B  </v>
      </c>
      <c r="BC1385">
        <v>1</v>
      </c>
      <c r="BE1385">
        <v>0</v>
      </c>
      <c r="BF1385">
        <v>0</v>
      </c>
      <c r="BG1385">
        <v>0</v>
      </c>
      <c r="BH1385">
        <v>9025</v>
      </c>
      <c r="BI1385">
        <v>1</v>
      </c>
      <c r="BJ1385">
        <v>0</v>
      </c>
      <c r="BK1385">
        <v>0</v>
      </c>
      <c r="BL1385">
        <v>0</v>
      </c>
      <c r="BO1385">
        <v>0</v>
      </c>
      <c r="BP1385">
        <v>0</v>
      </c>
      <c r="BW1385" t="str">
        <f t="shared" si="756"/>
        <v>14:52:29.987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6</v>
      </c>
      <c r="CP1385" t="s">
        <v>119</v>
      </c>
      <c r="CQ1385">
        <v>285</v>
      </c>
      <c r="CR1385">
        <v>0</v>
      </c>
      <c r="CW1385">
        <v>8852442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25">
      <c r="A1386" t="str">
        <f t="shared" si="754"/>
        <v>06/05/2020 14:52:24.334</v>
      </c>
      <c r="C1386" t="str">
        <f t="shared" si="753"/>
        <v>FFDFD3C0</v>
      </c>
      <c r="D1386" t="s">
        <v>148</v>
      </c>
      <c r="E1386">
        <v>11</v>
      </c>
      <c r="H1386">
        <v>53</v>
      </c>
      <c r="I1386" t="s">
        <v>364</v>
      </c>
      <c r="J1386" t="s">
        <v>150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755"/>
        <v>14:52:29.984</v>
      </c>
      <c r="T1386" t="str">
        <f t="shared" si="755"/>
        <v>14:52:29.984</v>
      </c>
      <c r="U1386" t="str">
        <f t="shared" si="737"/>
        <v>ACC530</v>
      </c>
      <c r="V1386">
        <v>0</v>
      </c>
      <c r="W1386">
        <v>0</v>
      </c>
      <c r="X1386">
        <v>1</v>
      </c>
      <c r="Z1386">
        <v>0</v>
      </c>
      <c r="AA1386">
        <v>9</v>
      </c>
      <c r="AB1386">
        <v>3</v>
      </c>
      <c r="AC1386">
        <v>0</v>
      </c>
      <c r="AD1386">
        <v>9</v>
      </c>
      <c r="AE1386">
        <v>0</v>
      </c>
      <c r="AF1386">
        <v>3</v>
      </c>
      <c r="AG1386">
        <v>1</v>
      </c>
      <c r="AH1386">
        <v>0</v>
      </c>
      <c r="AI1386" t="s">
        <v>561</v>
      </c>
      <c r="AJ1386">
        <v>34.202092</v>
      </c>
      <c r="AK1386" t="s">
        <v>562</v>
      </c>
      <c r="AL1386">
        <v>-116.97126400000001</v>
      </c>
      <c r="AM1386">
        <v>100</v>
      </c>
      <c r="AN1386">
        <v>9000</v>
      </c>
      <c r="AO1386" t="s">
        <v>118</v>
      </c>
      <c r="AP1386">
        <v>-106</v>
      </c>
      <c r="AQ1386">
        <v>-55</v>
      </c>
      <c r="AR1386">
        <v>-320</v>
      </c>
      <c r="AZ1386">
        <v>1200</v>
      </c>
      <c r="BA1386">
        <v>1</v>
      </c>
      <c r="BB1386" t="str">
        <f t="shared" si="739"/>
        <v xml:space="preserve">N9217B  </v>
      </c>
      <c r="BC1386">
        <v>1</v>
      </c>
      <c r="BE1386">
        <v>0</v>
      </c>
      <c r="BF1386">
        <v>0</v>
      </c>
      <c r="BG1386">
        <v>0</v>
      </c>
      <c r="BH1386">
        <v>9025</v>
      </c>
      <c r="BI1386">
        <v>1</v>
      </c>
      <c r="BJ1386">
        <v>0</v>
      </c>
      <c r="BK1386">
        <v>0</v>
      </c>
      <c r="BL1386">
        <v>0</v>
      </c>
      <c r="BO1386">
        <v>0</v>
      </c>
      <c r="BP1386">
        <v>0</v>
      </c>
      <c r="BW1386" t="str">
        <f t="shared" si="756"/>
        <v>14:52:29.987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293</v>
      </c>
      <c r="CR1386">
        <v>1</v>
      </c>
      <c r="CW1386">
        <v>15286254</v>
      </c>
      <c r="CY1386">
        <v>0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25">
      <c r="A1387" t="str">
        <f t="shared" si="754"/>
        <v>06/05/2020 14:52:24.334</v>
      </c>
      <c r="C1387" t="str">
        <f t="shared" si="753"/>
        <v>FFDFD3C0</v>
      </c>
      <c r="D1387" t="s">
        <v>151</v>
      </c>
      <c r="E1387">
        <v>9</v>
      </c>
      <c r="H1387">
        <v>226</v>
      </c>
      <c r="I1387" t="s">
        <v>152</v>
      </c>
      <c r="J1387" t="s">
        <v>150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755"/>
        <v>14:52:29.984</v>
      </c>
      <c r="T1387" t="str">
        <f t="shared" si="755"/>
        <v>14:52:29.984</v>
      </c>
      <c r="U1387" t="str">
        <f t="shared" si="737"/>
        <v>ACC530</v>
      </c>
      <c r="V1387">
        <v>0</v>
      </c>
      <c r="W1387">
        <v>0</v>
      </c>
      <c r="X1387">
        <v>1</v>
      </c>
      <c r="Z1387">
        <v>0</v>
      </c>
      <c r="AA1387">
        <v>9</v>
      </c>
      <c r="AB1387">
        <v>3</v>
      </c>
      <c r="AC1387">
        <v>0</v>
      </c>
      <c r="AD1387">
        <v>9</v>
      </c>
      <c r="AE1387">
        <v>0</v>
      </c>
      <c r="AF1387">
        <v>3</v>
      </c>
      <c r="AG1387">
        <v>1</v>
      </c>
      <c r="AH1387">
        <v>0</v>
      </c>
      <c r="AI1387" t="s">
        <v>561</v>
      </c>
      <c r="AJ1387">
        <v>34.202092</v>
      </c>
      <c r="AK1387" t="s">
        <v>562</v>
      </c>
      <c r="AL1387">
        <v>-116.97126400000001</v>
      </c>
      <c r="AM1387">
        <v>100</v>
      </c>
      <c r="AN1387">
        <v>9000</v>
      </c>
      <c r="AO1387" t="s">
        <v>118</v>
      </c>
      <c r="AP1387">
        <v>-106</v>
      </c>
      <c r="AQ1387">
        <v>-55</v>
      </c>
      <c r="AR1387">
        <v>-320</v>
      </c>
      <c r="AZ1387">
        <v>1200</v>
      </c>
      <c r="BA1387">
        <v>1</v>
      </c>
      <c r="BB1387" t="str">
        <f t="shared" si="739"/>
        <v xml:space="preserve">N9217B  </v>
      </c>
      <c r="BC1387">
        <v>1</v>
      </c>
      <c r="BE1387">
        <v>0</v>
      </c>
      <c r="BF1387">
        <v>0</v>
      </c>
      <c r="BG1387">
        <v>0</v>
      </c>
      <c r="BH1387">
        <v>9025</v>
      </c>
      <c r="BI1387">
        <v>1</v>
      </c>
      <c r="BJ1387">
        <v>0</v>
      </c>
      <c r="BK1387">
        <v>0</v>
      </c>
      <c r="BL1387">
        <v>0</v>
      </c>
      <c r="BO1387">
        <v>0</v>
      </c>
      <c r="BP1387">
        <v>0</v>
      </c>
      <c r="BW1387" t="str">
        <f t="shared" si="756"/>
        <v>14:52:29.987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293</v>
      </c>
      <c r="CR1387">
        <v>1</v>
      </c>
      <c r="CW1387">
        <v>15286254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25">
      <c r="A1388" t="str">
        <f t="shared" ref="A1388:A1394" si="757">"06/05/2020 14:52:25.210"</f>
        <v>06/05/2020 14:52:25.210</v>
      </c>
      <c r="C1388" t="str">
        <f t="shared" si="753"/>
        <v>FFDFD3C0</v>
      </c>
      <c r="D1388" t="s">
        <v>134</v>
      </c>
      <c r="E1388">
        <v>7</v>
      </c>
      <c r="F1388">
        <v>2007</v>
      </c>
      <c r="G1388" t="s">
        <v>135</v>
      </c>
      <c r="J1388" t="s">
        <v>136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ref="S1388:S1394" si="758">"14:52:30.836"</f>
        <v>14:52:30.836</v>
      </c>
      <c r="T1388" t="str">
        <f t="shared" ref="T1388:T1394" si="759">"14:52:30.436"</f>
        <v>14:52:30.436</v>
      </c>
      <c r="U1388" t="str">
        <f t="shared" si="737"/>
        <v>ACC530</v>
      </c>
      <c r="V1388">
        <v>0</v>
      </c>
      <c r="W1388">
        <v>0</v>
      </c>
      <c r="X1388">
        <v>1</v>
      </c>
      <c r="Z1388">
        <v>0</v>
      </c>
      <c r="AA1388">
        <v>9</v>
      </c>
      <c r="AB1388">
        <v>3</v>
      </c>
      <c r="AC1388">
        <v>0</v>
      </c>
      <c r="AD1388">
        <v>9</v>
      </c>
      <c r="AE1388">
        <v>0</v>
      </c>
      <c r="AF1388">
        <v>3</v>
      </c>
      <c r="AG1388">
        <v>1</v>
      </c>
      <c r="AH1388">
        <v>0</v>
      </c>
      <c r="AI1388" t="s">
        <v>563</v>
      </c>
      <c r="AJ1388">
        <v>34.201855999999999</v>
      </c>
      <c r="AK1388" t="s">
        <v>564</v>
      </c>
      <c r="AL1388">
        <v>-116.97171400000001</v>
      </c>
      <c r="AM1388">
        <v>100</v>
      </c>
      <c r="AN1388">
        <v>9000</v>
      </c>
      <c r="AO1388" t="s">
        <v>118</v>
      </c>
      <c r="AP1388">
        <v>-105</v>
      </c>
      <c r="AQ1388">
        <v>-56</v>
      </c>
      <c r="AR1388">
        <v>-320</v>
      </c>
      <c r="AZ1388">
        <v>1200</v>
      </c>
      <c r="BA1388">
        <v>1</v>
      </c>
      <c r="BB1388" t="str">
        <f t="shared" si="739"/>
        <v xml:space="preserve">N9217B  </v>
      </c>
      <c r="BC1388">
        <v>1</v>
      </c>
      <c r="BE1388">
        <v>0</v>
      </c>
      <c r="BF1388">
        <v>0</v>
      </c>
      <c r="BG1388">
        <v>0</v>
      </c>
      <c r="BH1388">
        <v>9025</v>
      </c>
      <c r="BI1388">
        <v>1</v>
      </c>
      <c r="BJ1388">
        <v>0</v>
      </c>
      <c r="BK1388">
        <v>0</v>
      </c>
      <c r="BL1388">
        <v>0</v>
      </c>
      <c r="BO1388">
        <v>0</v>
      </c>
      <c r="BP1388">
        <v>0</v>
      </c>
      <c r="BW1388" t="str">
        <f t="shared" ref="BW1388:BW1394" si="760">"14:52:30.842"</f>
        <v>14:52:30.842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293</v>
      </c>
      <c r="CR1388">
        <v>1</v>
      </c>
      <c r="CW1388">
        <v>15286360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25">
      <c r="A1389" t="str">
        <f t="shared" si="757"/>
        <v>06/05/2020 14:52:25.210</v>
      </c>
      <c r="C1389" t="str">
        <f t="shared" si="753"/>
        <v>FFDFD3C0</v>
      </c>
      <c r="D1389" t="s">
        <v>141</v>
      </c>
      <c r="E1389">
        <v>20</v>
      </c>
      <c r="F1389">
        <v>1020</v>
      </c>
      <c r="G1389" t="s">
        <v>114</v>
      </c>
      <c r="J1389" t="s">
        <v>142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758"/>
        <v>14:52:30.836</v>
      </c>
      <c r="T1389" t="str">
        <f t="shared" si="759"/>
        <v>14:52:30.436</v>
      </c>
      <c r="U1389" t="str">
        <f t="shared" si="737"/>
        <v>ACC530</v>
      </c>
      <c r="V1389">
        <v>0</v>
      </c>
      <c r="W1389">
        <v>0</v>
      </c>
      <c r="X1389">
        <v>1</v>
      </c>
      <c r="Z1389">
        <v>0</v>
      </c>
      <c r="AA1389">
        <v>9</v>
      </c>
      <c r="AB1389">
        <v>3</v>
      </c>
      <c r="AC1389">
        <v>0</v>
      </c>
      <c r="AD1389">
        <v>9</v>
      </c>
      <c r="AE1389">
        <v>0</v>
      </c>
      <c r="AF1389">
        <v>3</v>
      </c>
      <c r="AG1389">
        <v>1</v>
      </c>
      <c r="AH1389">
        <v>0</v>
      </c>
      <c r="AI1389" t="s">
        <v>563</v>
      </c>
      <c r="AJ1389">
        <v>34.201855999999999</v>
      </c>
      <c r="AK1389" t="s">
        <v>564</v>
      </c>
      <c r="AL1389">
        <v>-116.97171400000001</v>
      </c>
      <c r="AM1389">
        <v>100</v>
      </c>
      <c r="AN1389">
        <v>9000</v>
      </c>
      <c r="AO1389" t="s">
        <v>118</v>
      </c>
      <c r="AP1389">
        <v>-105</v>
      </c>
      <c r="AQ1389">
        <v>-56</v>
      </c>
      <c r="AR1389">
        <v>-320</v>
      </c>
      <c r="AZ1389">
        <v>1200</v>
      </c>
      <c r="BA1389">
        <v>1</v>
      </c>
      <c r="BB1389" t="str">
        <f t="shared" si="739"/>
        <v xml:space="preserve">N9217B  </v>
      </c>
      <c r="BC1389">
        <v>1</v>
      </c>
      <c r="BE1389">
        <v>0</v>
      </c>
      <c r="BF1389">
        <v>0</v>
      </c>
      <c r="BG1389">
        <v>0</v>
      </c>
      <c r="BH1389">
        <v>9025</v>
      </c>
      <c r="BI1389">
        <v>1</v>
      </c>
      <c r="BJ1389">
        <v>0</v>
      </c>
      <c r="BK1389">
        <v>0</v>
      </c>
      <c r="BL1389">
        <v>0</v>
      </c>
      <c r="BO1389">
        <v>0</v>
      </c>
      <c r="BP1389">
        <v>0</v>
      </c>
      <c r="BW1389" t="str">
        <f t="shared" si="760"/>
        <v>14:52:30.842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293</v>
      </c>
      <c r="CR1389">
        <v>1</v>
      </c>
      <c r="CW1389">
        <v>15286360</v>
      </c>
      <c r="CY1389">
        <v>0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25">
      <c r="A1390" t="str">
        <f t="shared" si="757"/>
        <v>06/05/2020 14:52:25.210</v>
      </c>
      <c r="C1390" t="str">
        <f t="shared" si="753"/>
        <v>FFDFD3C0</v>
      </c>
      <c r="D1390" t="s">
        <v>148</v>
      </c>
      <c r="E1390">
        <v>8</v>
      </c>
      <c r="H1390">
        <v>50</v>
      </c>
      <c r="I1390" t="s">
        <v>149</v>
      </c>
      <c r="J1390" t="s">
        <v>150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58"/>
        <v>14:52:30.836</v>
      </c>
      <c r="T1390" t="str">
        <f t="shared" si="759"/>
        <v>14:52:30.436</v>
      </c>
      <c r="U1390" t="str">
        <f t="shared" si="737"/>
        <v>ACC530</v>
      </c>
      <c r="V1390">
        <v>0</v>
      </c>
      <c r="W1390">
        <v>0</v>
      </c>
      <c r="X1390">
        <v>1</v>
      </c>
      <c r="Z1390">
        <v>0</v>
      </c>
      <c r="AA1390">
        <v>9</v>
      </c>
      <c r="AB1390">
        <v>3</v>
      </c>
      <c r="AC1390">
        <v>0</v>
      </c>
      <c r="AD1390">
        <v>9</v>
      </c>
      <c r="AE1390">
        <v>0</v>
      </c>
      <c r="AF1390">
        <v>3</v>
      </c>
      <c r="AG1390">
        <v>1</v>
      </c>
      <c r="AH1390">
        <v>0</v>
      </c>
      <c r="AI1390" t="s">
        <v>563</v>
      </c>
      <c r="AJ1390">
        <v>34.201855999999999</v>
      </c>
      <c r="AK1390" t="s">
        <v>564</v>
      </c>
      <c r="AL1390">
        <v>-116.97171400000001</v>
      </c>
      <c r="AM1390">
        <v>100</v>
      </c>
      <c r="AN1390">
        <v>9000</v>
      </c>
      <c r="AO1390" t="s">
        <v>118</v>
      </c>
      <c r="AP1390">
        <v>-105</v>
      </c>
      <c r="AQ1390">
        <v>-56</v>
      </c>
      <c r="AR1390">
        <v>-320</v>
      </c>
      <c r="AZ1390">
        <v>1200</v>
      </c>
      <c r="BA1390">
        <v>1</v>
      </c>
      <c r="BB1390" t="str">
        <f t="shared" si="739"/>
        <v xml:space="preserve">N9217B  </v>
      </c>
      <c r="BC1390">
        <v>1</v>
      </c>
      <c r="BE1390">
        <v>0</v>
      </c>
      <c r="BF1390">
        <v>0</v>
      </c>
      <c r="BG1390">
        <v>0</v>
      </c>
      <c r="BH1390">
        <v>9025</v>
      </c>
      <c r="BI1390">
        <v>1</v>
      </c>
      <c r="BJ1390">
        <v>0</v>
      </c>
      <c r="BK1390">
        <v>0</v>
      </c>
      <c r="BL1390">
        <v>0</v>
      </c>
      <c r="BO1390">
        <v>0</v>
      </c>
      <c r="BP1390">
        <v>0</v>
      </c>
      <c r="BW1390" t="str">
        <f t="shared" si="760"/>
        <v>14:52:30.842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293</v>
      </c>
      <c r="CR1390">
        <v>1</v>
      </c>
      <c r="CW1390">
        <v>15286360</v>
      </c>
      <c r="CY1390">
        <v>0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25">
      <c r="A1391" t="str">
        <f t="shared" si="757"/>
        <v>06/05/2020 14:52:25.210</v>
      </c>
      <c r="C1391" t="str">
        <f t="shared" si="753"/>
        <v>FFDFD3C0</v>
      </c>
      <c r="D1391" t="s">
        <v>151</v>
      </c>
      <c r="E1391">
        <v>8</v>
      </c>
      <c r="H1391">
        <v>225</v>
      </c>
      <c r="I1391" t="s">
        <v>353</v>
      </c>
      <c r="J1391" t="s">
        <v>150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58"/>
        <v>14:52:30.836</v>
      </c>
      <c r="T1391" t="str">
        <f t="shared" si="759"/>
        <v>14:52:30.436</v>
      </c>
      <c r="U1391" t="str">
        <f t="shared" si="737"/>
        <v>ACC530</v>
      </c>
      <c r="V1391">
        <v>0</v>
      </c>
      <c r="W1391">
        <v>0</v>
      </c>
      <c r="X1391">
        <v>1</v>
      </c>
      <c r="Z1391">
        <v>0</v>
      </c>
      <c r="AA1391">
        <v>9</v>
      </c>
      <c r="AB1391">
        <v>3</v>
      </c>
      <c r="AC1391">
        <v>0</v>
      </c>
      <c r="AD1391">
        <v>9</v>
      </c>
      <c r="AE1391">
        <v>0</v>
      </c>
      <c r="AF1391">
        <v>3</v>
      </c>
      <c r="AG1391">
        <v>1</v>
      </c>
      <c r="AH1391">
        <v>0</v>
      </c>
      <c r="AI1391" t="s">
        <v>563</v>
      </c>
      <c r="AJ1391">
        <v>34.201855999999999</v>
      </c>
      <c r="AK1391" t="s">
        <v>564</v>
      </c>
      <c r="AL1391">
        <v>-116.97171400000001</v>
      </c>
      <c r="AM1391">
        <v>100</v>
      </c>
      <c r="AN1391">
        <v>9000</v>
      </c>
      <c r="AO1391" t="s">
        <v>118</v>
      </c>
      <c r="AP1391">
        <v>-105</v>
      </c>
      <c r="AQ1391">
        <v>-56</v>
      </c>
      <c r="AR1391">
        <v>-320</v>
      </c>
      <c r="AZ1391">
        <v>1200</v>
      </c>
      <c r="BA1391">
        <v>1</v>
      </c>
      <c r="BB1391" t="str">
        <f t="shared" si="739"/>
        <v xml:space="preserve">N9217B  </v>
      </c>
      <c r="BC1391">
        <v>1</v>
      </c>
      <c r="BE1391">
        <v>0</v>
      </c>
      <c r="BF1391">
        <v>0</v>
      </c>
      <c r="BG1391">
        <v>0</v>
      </c>
      <c r="BH1391">
        <v>9025</v>
      </c>
      <c r="BI1391">
        <v>1</v>
      </c>
      <c r="BJ1391">
        <v>0</v>
      </c>
      <c r="BK1391">
        <v>0</v>
      </c>
      <c r="BL1391">
        <v>0</v>
      </c>
      <c r="BO1391">
        <v>0</v>
      </c>
      <c r="BP1391">
        <v>0</v>
      </c>
      <c r="BW1391" t="str">
        <f t="shared" si="760"/>
        <v>14:52:30.842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119</v>
      </c>
      <c r="CQ1391">
        <v>285</v>
      </c>
      <c r="CR1391">
        <v>0</v>
      </c>
      <c r="CW1391">
        <v>8852521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25">
      <c r="A1392" t="str">
        <f t="shared" si="757"/>
        <v>06/05/2020 14:52:25.210</v>
      </c>
      <c r="C1392" t="str">
        <f t="shared" si="753"/>
        <v>FFDFD3C0</v>
      </c>
      <c r="D1392" t="s">
        <v>151</v>
      </c>
      <c r="E1392">
        <v>9</v>
      </c>
      <c r="H1392">
        <v>226</v>
      </c>
      <c r="I1392" t="s">
        <v>152</v>
      </c>
      <c r="J1392" t="s">
        <v>150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58"/>
        <v>14:52:30.836</v>
      </c>
      <c r="T1392" t="str">
        <f t="shared" si="759"/>
        <v>14:52:30.436</v>
      </c>
      <c r="U1392" t="str">
        <f t="shared" si="737"/>
        <v>ACC530</v>
      </c>
      <c r="V1392">
        <v>0</v>
      </c>
      <c r="W1392">
        <v>0</v>
      </c>
      <c r="X1392">
        <v>1</v>
      </c>
      <c r="Z1392">
        <v>0</v>
      </c>
      <c r="AA1392">
        <v>9</v>
      </c>
      <c r="AB1392">
        <v>3</v>
      </c>
      <c r="AC1392">
        <v>0</v>
      </c>
      <c r="AD1392">
        <v>9</v>
      </c>
      <c r="AE1392">
        <v>0</v>
      </c>
      <c r="AF1392">
        <v>3</v>
      </c>
      <c r="AG1392">
        <v>1</v>
      </c>
      <c r="AH1392">
        <v>0</v>
      </c>
      <c r="AI1392" t="s">
        <v>563</v>
      </c>
      <c r="AJ1392">
        <v>34.201855999999999</v>
      </c>
      <c r="AK1392" t="s">
        <v>564</v>
      </c>
      <c r="AL1392">
        <v>-116.97171400000001</v>
      </c>
      <c r="AM1392">
        <v>100</v>
      </c>
      <c r="AN1392">
        <v>9000</v>
      </c>
      <c r="AO1392" t="s">
        <v>118</v>
      </c>
      <c r="AP1392">
        <v>-105</v>
      </c>
      <c r="AQ1392">
        <v>-56</v>
      </c>
      <c r="AR1392">
        <v>-320</v>
      </c>
      <c r="AZ1392">
        <v>1200</v>
      </c>
      <c r="BA1392">
        <v>1</v>
      </c>
      <c r="BB1392" t="str">
        <f t="shared" si="739"/>
        <v xml:space="preserve">N9217B  </v>
      </c>
      <c r="BC1392">
        <v>1</v>
      </c>
      <c r="BE1392">
        <v>0</v>
      </c>
      <c r="BF1392">
        <v>0</v>
      </c>
      <c r="BG1392">
        <v>0</v>
      </c>
      <c r="BH1392">
        <v>9025</v>
      </c>
      <c r="BI1392">
        <v>1</v>
      </c>
      <c r="BJ1392">
        <v>0</v>
      </c>
      <c r="BK1392">
        <v>0</v>
      </c>
      <c r="BL1392">
        <v>0</v>
      </c>
      <c r="BO1392">
        <v>0</v>
      </c>
      <c r="BP1392">
        <v>0</v>
      </c>
      <c r="BW1392" t="str">
        <f t="shared" si="760"/>
        <v>14:52:30.842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293</v>
      </c>
      <c r="CR1392">
        <v>1</v>
      </c>
      <c r="CW1392">
        <v>15286360</v>
      </c>
      <c r="CY1392">
        <v>0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25">
      <c r="A1393" t="str">
        <f t="shared" si="757"/>
        <v>06/05/2020 14:52:25.210</v>
      </c>
      <c r="C1393" t="str">
        <f t="shared" si="753"/>
        <v>FFDFD3C0</v>
      </c>
      <c r="D1393" t="s">
        <v>148</v>
      </c>
      <c r="E1393">
        <v>11</v>
      </c>
      <c r="H1393">
        <v>53</v>
      </c>
      <c r="I1393" t="s">
        <v>364</v>
      </c>
      <c r="J1393" t="s">
        <v>150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58"/>
        <v>14:52:30.836</v>
      </c>
      <c r="T1393" t="str">
        <f t="shared" si="759"/>
        <v>14:52:30.436</v>
      </c>
      <c r="U1393" t="str">
        <f t="shared" si="737"/>
        <v>ACC530</v>
      </c>
      <c r="V1393">
        <v>0</v>
      </c>
      <c r="W1393">
        <v>0</v>
      </c>
      <c r="X1393">
        <v>1</v>
      </c>
      <c r="Z1393">
        <v>0</v>
      </c>
      <c r="AA1393">
        <v>9</v>
      </c>
      <c r="AB1393">
        <v>3</v>
      </c>
      <c r="AC1393">
        <v>0</v>
      </c>
      <c r="AD1393">
        <v>9</v>
      </c>
      <c r="AE1393">
        <v>0</v>
      </c>
      <c r="AF1393">
        <v>3</v>
      </c>
      <c r="AG1393">
        <v>1</v>
      </c>
      <c r="AH1393">
        <v>0</v>
      </c>
      <c r="AI1393" t="s">
        <v>563</v>
      </c>
      <c r="AJ1393">
        <v>34.201855999999999</v>
      </c>
      <c r="AK1393" t="s">
        <v>564</v>
      </c>
      <c r="AL1393">
        <v>-116.97171400000001</v>
      </c>
      <c r="AM1393">
        <v>100</v>
      </c>
      <c r="AN1393">
        <v>9000</v>
      </c>
      <c r="AO1393" t="s">
        <v>118</v>
      </c>
      <c r="AP1393">
        <v>-105</v>
      </c>
      <c r="AQ1393">
        <v>-56</v>
      </c>
      <c r="AR1393">
        <v>-320</v>
      </c>
      <c r="AZ1393">
        <v>1200</v>
      </c>
      <c r="BA1393">
        <v>1</v>
      </c>
      <c r="BB1393" t="str">
        <f t="shared" si="739"/>
        <v xml:space="preserve">N9217B  </v>
      </c>
      <c r="BC1393">
        <v>1</v>
      </c>
      <c r="BE1393">
        <v>0</v>
      </c>
      <c r="BF1393">
        <v>0</v>
      </c>
      <c r="BG1393">
        <v>0</v>
      </c>
      <c r="BH1393">
        <v>9025</v>
      </c>
      <c r="BI1393">
        <v>1</v>
      </c>
      <c r="BJ1393">
        <v>0</v>
      </c>
      <c r="BK1393">
        <v>0</v>
      </c>
      <c r="BL1393">
        <v>0</v>
      </c>
      <c r="BO1393">
        <v>0</v>
      </c>
      <c r="BP1393">
        <v>0</v>
      </c>
      <c r="BW1393" t="str">
        <f t="shared" si="760"/>
        <v>14:52:30.842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293</v>
      </c>
      <c r="CR1393">
        <v>1</v>
      </c>
      <c r="CW1393">
        <v>15286360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25">
      <c r="A1394" t="str">
        <f t="shared" si="757"/>
        <v>06/05/2020 14:52:25.210</v>
      </c>
      <c r="C1394" t="str">
        <f t="shared" si="753"/>
        <v>FFDFD3C0</v>
      </c>
      <c r="D1394" t="s">
        <v>113</v>
      </c>
      <c r="E1394">
        <v>3</v>
      </c>
      <c r="H1394">
        <v>166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758"/>
        <v>14:52:30.836</v>
      </c>
      <c r="T1394" t="str">
        <f t="shared" si="759"/>
        <v>14:52:30.436</v>
      </c>
      <c r="U1394" t="str">
        <f t="shared" si="737"/>
        <v>ACC530</v>
      </c>
      <c r="V1394">
        <v>0</v>
      </c>
      <c r="W1394">
        <v>0</v>
      </c>
      <c r="X1394">
        <v>1</v>
      </c>
      <c r="Z1394">
        <v>0</v>
      </c>
      <c r="AA1394">
        <v>9</v>
      </c>
      <c r="AB1394">
        <v>3</v>
      </c>
      <c r="AC1394">
        <v>0</v>
      </c>
      <c r="AD1394">
        <v>9</v>
      </c>
      <c r="AE1394">
        <v>0</v>
      </c>
      <c r="AF1394">
        <v>3</v>
      </c>
      <c r="AG1394">
        <v>1</v>
      </c>
      <c r="AH1394">
        <v>0</v>
      </c>
      <c r="AI1394" t="s">
        <v>563</v>
      </c>
      <c r="AJ1394">
        <v>34.201855999999999</v>
      </c>
      <c r="AK1394" t="s">
        <v>564</v>
      </c>
      <c r="AL1394">
        <v>-116.97171400000001</v>
      </c>
      <c r="AM1394">
        <v>100</v>
      </c>
      <c r="AN1394">
        <v>9000</v>
      </c>
      <c r="AO1394" t="s">
        <v>118</v>
      </c>
      <c r="AP1394">
        <v>-105</v>
      </c>
      <c r="AQ1394">
        <v>-56</v>
      </c>
      <c r="AR1394">
        <v>-320</v>
      </c>
      <c r="AZ1394">
        <v>1200</v>
      </c>
      <c r="BA1394">
        <v>1</v>
      </c>
      <c r="BB1394" t="str">
        <f t="shared" si="739"/>
        <v xml:space="preserve">N9217B  </v>
      </c>
      <c r="BC1394">
        <v>1</v>
      </c>
      <c r="BE1394">
        <v>0</v>
      </c>
      <c r="BF1394">
        <v>0</v>
      </c>
      <c r="BG1394">
        <v>0</v>
      </c>
      <c r="BH1394">
        <v>9025</v>
      </c>
      <c r="BI1394">
        <v>1</v>
      </c>
      <c r="BJ1394">
        <v>0</v>
      </c>
      <c r="BK1394">
        <v>0</v>
      </c>
      <c r="BL1394">
        <v>0</v>
      </c>
      <c r="BO1394">
        <v>0</v>
      </c>
      <c r="BP1394">
        <v>0</v>
      </c>
      <c r="BW1394" t="str">
        <f t="shared" si="760"/>
        <v>14:52:30.842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293</v>
      </c>
      <c r="CR1394">
        <v>1</v>
      </c>
      <c r="CW1394">
        <v>15286360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25">
      <c r="A1395" t="str">
        <f t="shared" ref="A1395:A1401" si="761">"06/05/2020 14:52:26.251"</f>
        <v>06/05/2020 14:52:26.251</v>
      </c>
      <c r="C1395" t="str">
        <f t="shared" si="753"/>
        <v>FFDFD3C0</v>
      </c>
      <c r="D1395" t="s">
        <v>148</v>
      </c>
      <c r="E1395">
        <v>11</v>
      </c>
      <c r="H1395">
        <v>53</v>
      </c>
      <c r="I1395" t="s">
        <v>364</v>
      </c>
      <c r="J1395" t="s">
        <v>150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ref="S1395:T1401" si="762">"14:52:31.891"</f>
        <v>14:52:31.891</v>
      </c>
      <c r="T1395" t="str">
        <f t="shared" si="762"/>
        <v>14:52:31.891</v>
      </c>
      <c r="U1395" t="str">
        <f t="shared" si="737"/>
        <v>ACC530</v>
      </c>
      <c r="V1395">
        <v>0</v>
      </c>
      <c r="W1395">
        <v>0</v>
      </c>
      <c r="X1395">
        <v>1</v>
      </c>
      <c r="Z1395">
        <v>0</v>
      </c>
      <c r="AA1395">
        <v>9</v>
      </c>
      <c r="AB1395">
        <v>3</v>
      </c>
      <c r="AC1395">
        <v>0</v>
      </c>
      <c r="AD1395">
        <v>9</v>
      </c>
      <c r="AE1395">
        <v>0</v>
      </c>
      <c r="AF1395">
        <v>3</v>
      </c>
      <c r="AG1395">
        <v>1</v>
      </c>
      <c r="AH1395">
        <v>0</v>
      </c>
      <c r="AI1395" t="s">
        <v>565</v>
      </c>
      <c r="AJ1395">
        <v>34.201554999999999</v>
      </c>
      <c r="AK1395" t="s">
        <v>566</v>
      </c>
      <c r="AL1395">
        <v>-116.972358</v>
      </c>
      <c r="AM1395">
        <v>100</v>
      </c>
      <c r="AN1395">
        <v>9000</v>
      </c>
      <c r="AO1395" t="s">
        <v>118</v>
      </c>
      <c r="AP1395">
        <v>-105</v>
      </c>
      <c r="AQ1395">
        <v>-56</v>
      </c>
      <c r="AR1395">
        <v>-512</v>
      </c>
      <c r="AZ1395">
        <v>1200</v>
      </c>
      <c r="BA1395">
        <v>1</v>
      </c>
      <c r="BB1395" t="str">
        <f t="shared" si="739"/>
        <v xml:space="preserve">N9217B  </v>
      </c>
      <c r="BC1395">
        <v>1</v>
      </c>
      <c r="BE1395">
        <v>0</v>
      </c>
      <c r="BF1395">
        <v>0</v>
      </c>
      <c r="BG1395">
        <v>0</v>
      </c>
      <c r="BH1395">
        <v>9000</v>
      </c>
      <c r="BI1395">
        <v>1</v>
      </c>
      <c r="BJ1395">
        <v>0</v>
      </c>
      <c r="BK1395">
        <v>0</v>
      </c>
      <c r="BL1395">
        <v>0</v>
      </c>
      <c r="BO1395">
        <v>0</v>
      </c>
      <c r="BP1395">
        <v>0</v>
      </c>
      <c r="BW1395" t="str">
        <f t="shared" ref="BW1395:BW1401" si="763">"14:52:31.892"</f>
        <v>14:52:31.892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6</v>
      </c>
      <c r="CP1395" t="s">
        <v>119</v>
      </c>
      <c r="CQ1395">
        <v>293</v>
      </c>
      <c r="CR1395">
        <v>1</v>
      </c>
      <c r="CW1395">
        <v>15286488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25">
      <c r="A1396" t="str">
        <f t="shared" si="761"/>
        <v>06/05/2020 14:52:26.251</v>
      </c>
      <c r="C1396" t="str">
        <f t="shared" si="753"/>
        <v>FFDFD3C0</v>
      </c>
      <c r="D1396" t="s">
        <v>151</v>
      </c>
      <c r="E1396">
        <v>9</v>
      </c>
      <c r="H1396">
        <v>226</v>
      </c>
      <c r="I1396" t="s">
        <v>152</v>
      </c>
      <c r="J1396" t="s">
        <v>150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762"/>
        <v>14:52:31.891</v>
      </c>
      <c r="T1396" t="str">
        <f t="shared" si="762"/>
        <v>14:52:31.891</v>
      </c>
      <c r="U1396" t="str">
        <f t="shared" si="737"/>
        <v>ACC530</v>
      </c>
      <c r="V1396">
        <v>0</v>
      </c>
      <c r="W1396">
        <v>0</v>
      </c>
      <c r="X1396">
        <v>1</v>
      </c>
      <c r="Z1396">
        <v>0</v>
      </c>
      <c r="AA1396">
        <v>9</v>
      </c>
      <c r="AB1396">
        <v>3</v>
      </c>
      <c r="AC1396">
        <v>0</v>
      </c>
      <c r="AD1396">
        <v>9</v>
      </c>
      <c r="AE1396">
        <v>0</v>
      </c>
      <c r="AF1396">
        <v>3</v>
      </c>
      <c r="AG1396">
        <v>1</v>
      </c>
      <c r="AH1396">
        <v>0</v>
      </c>
      <c r="AI1396" t="s">
        <v>565</v>
      </c>
      <c r="AJ1396">
        <v>34.201554999999999</v>
      </c>
      <c r="AK1396" t="s">
        <v>566</v>
      </c>
      <c r="AL1396">
        <v>-116.972358</v>
      </c>
      <c r="AM1396">
        <v>100</v>
      </c>
      <c r="AN1396">
        <v>9000</v>
      </c>
      <c r="AO1396" t="s">
        <v>118</v>
      </c>
      <c r="AP1396">
        <v>-105</v>
      </c>
      <c r="AQ1396">
        <v>-56</v>
      </c>
      <c r="AR1396">
        <v>-512</v>
      </c>
      <c r="AZ1396">
        <v>1200</v>
      </c>
      <c r="BA1396">
        <v>1</v>
      </c>
      <c r="BB1396" t="str">
        <f t="shared" si="739"/>
        <v xml:space="preserve">N9217B  </v>
      </c>
      <c r="BC1396">
        <v>1</v>
      </c>
      <c r="BE1396">
        <v>0</v>
      </c>
      <c r="BF1396">
        <v>0</v>
      </c>
      <c r="BG1396">
        <v>0</v>
      </c>
      <c r="BH1396">
        <v>9000</v>
      </c>
      <c r="BI1396">
        <v>1</v>
      </c>
      <c r="BJ1396">
        <v>0</v>
      </c>
      <c r="BK1396">
        <v>0</v>
      </c>
      <c r="BL1396">
        <v>0</v>
      </c>
      <c r="BO1396">
        <v>0</v>
      </c>
      <c r="BP1396">
        <v>0</v>
      </c>
      <c r="BW1396" t="str">
        <f t="shared" si="763"/>
        <v>14:52:31.892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6</v>
      </c>
      <c r="CP1396" t="s">
        <v>119</v>
      </c>
      <c r="CQ1396">
        <v>293</v>
      </c>
      <c r="CR1396">
        <v>1</v>
      </c>
      <c r="CW1396">
        <v>15286488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25">
      <c r="A1397" t="str">
        <f t="shared" si="761"/>
        <v>06/05/2020 14:52:26.251</v>
      </c>
      <c r="C1397" t="str">
        <f t="shared" si="753"/>
        <v>FFDFD3C0</v>
      </c>
      <c r="D1397" t="s">
        <v>113</v>
      </c>
      <c r="E1397">
        <v>3</v>
      </c>
      <c r="H1397">
        <v>166</v>
      </c>
      <c r="I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762"/>
        <v>14:52:31.891</v>
      </c>
      <c r="T1397" t="str">
        <f t="shared" si="762"/>
        <v>14:52:31.891</v>
      </c>
      <c r="U1397" t="str">
        <f t="shared" si="737"/>
        <v>ACC530</v>
      </c>
      <c r="V1397">
        <v>0</v>
      </c>
      <c r="W1397">
        <v>0</v>
      </c>
      <c r="X1397">
        <v>1</v>
      </c>
      <c r="Z1397">
        <v>0</v>
      </c>
      <c r="AA1397">
        <v>9</v>
      </c>
      <c r="AB1397">
        <v>3</v>
      </c>
      <c r="AC1397">
        <v>0</v>
      </c>
      <c r="AD1397">
        <v>9</v>
      </c>
      <c r="AE1397">
        <v>0</v>
      </c>
      <c r="AF1397">
        <v>3</v>
      </c>
      <c r="AG1397">
        <v>1</v>
      </c>
      <c r="AH1397">
        <v>0</v>
      </c>
      <c r="AI1397" t="s">
        <v>565</v>
      </c>
      <c r="AJ1397">
        <v>34.201554999999999</v>
      </c>
      <c r="AK1397" t="s">
        <v>566</v>
      </c>
      <c r="AL1397">
        <v>-116.972358</v>
      </c>
      <c r="AM1397">
        <v>100</v>
      </c>
      <c r="AN1397">
        <v>9000</v>
      </c>
      <c r="AO1397" t="s">
        <v>118</v>
      </c>
      <c r="AP1397">
        <v>-105</v>
      </c>
      <c r="AQ1397">
        <v>-56</v>
      </c>
      <c r="AR1397">
        <v>-512</v>
      </c>
      <c r="AZ1397">
        <v>1200</v>
      </c>
      <c r="BA1397">
        <v>1</v>
      </c>
      <c r="BB1397" t="str">
        <f t="shared" si="739"/>
        <v xml:space="preserve">N9217B  </v>
      </c>
      <c r="BC1397">
        <v>1</v>
      </c>
      <c r="BE1397">
        <v>0</v>
      </c>
      <c r="BF1397">
        <v>0</v>
      </c>
      <c r="BG1397">
        <v>0</v>
      </c>
      <c r="BH1397">
        <v>9000</v>
      </c>
      <c r="BI1397">
        <v>1</v>
      </c>
      <c r="BJ1397">
        <v>0</v>
      </c>
      <c r="BK1397">
        <v>0</v>
      </c>
      <c r="BL1397">
        <v>0</v>
      </c>
      <c r="BO1397">
        <v>0</v>
      </c>
      <c r="BP1397">
        <v>0</v>
      </c>
      <c r="BW1397" t="str">
        <f t="shared" si="763"/>
        <v>14:52:31.892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119</v>
      </c>
      <c r="CQ1397">
        <v>293</v>
      </c>
      <c r="CR1397">
        <v>1</v>
      </c>
      <c r="CW1397">
        <v>15286488</v>
      </c>
      <c r="CY1397">
        <v>0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25">
      <c r="A1398" t="str">
        <f t="shared" si="761"/>
        <v>06/05/2020 14:52:26.251</v>
      </c>
      <c r="C1398" t="str">
        <f t="shared" si="753"/>
        <v>FFDFD3C0</v>
      </c>
      <c r="D1398" t="s">
        <v>134</v>
      </c>
      <c r="E1398">
        <v>7</v>
      </c>
      <c r="F1398">
        <v>2007</v>
      </c>
      <c r="G1398" t="s">
        <v>135</v>
      </c>
      <c r="J1398" t="s">
        <v>136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762"/>
        <v>14:52:31.891</v>
      </c>
      <c r="T1398" t="str">
        <f t="shared" si="762"/>
        <v>14:52:31.891</v>
      </c>
      <c r="U1398" t="str">
        <f t="shared" si="737"/>
        <v>ACC530</v>
      </c>
      <c r="V1398">
        <v>0</v>
      </c>
      <c r="W1398">
        <v>0</v>
      </c>
      <c r="X1398">
        <v>1</v>
      </c>
      <c r="Z1398">
        <v>0</v>
      </c>
      <c r="AA1398">
        <v>9</v>
      </c>
      <c r="AB1398">
        <v>3</v>
      </c>
      <c r="AC1398">
        <v>0</v>
      </c>
      <c r="AD1398">
        <v>9</v>
      </c>
      <c r="AE1398">
        <v>0</v>
      </c>
      <c r="AF1398">
        <v>3</v>
      </c>
      <c r="AG1398">
        <v>1</v>
      </c>
      <c r="AH1398">
        <v>0</v>
      </c>
      <c r="AI1398" t="s">
        <v>565</v>
      </c>
      <c r="AJ1398">
        <v>34.201554999999999</v>
      </c>
      <c r="AK1398" t="s">
        <v>566</v>
      </c>
      <c r="AL1398">
        <v>-116.972358</v>
      </c>
      <c r="AM1398">
        <v>100</v>
      </c>
      <c r="AN1398">
        <v>9000</v>
      </c>
      <c r="AO1398" t="s">
        <v>118</v>
      </c>
      <c r="AP1398">
        <v>-105</v>
      </c>
      <c r="AQ1398">
        <v>-56</v>
      </c>
      <c r="AR1398">
        <v>-512</v>
      </c>
      <c r="AZ1398">
        <v>1200</v>
      </c>
      <c r="BA1398">
        <v>1</v>
      </c>
      <c r="BB1398" t="str">
        <f t="shared" si="739"/>
        <v xml:space="preserve">N9217B  </v>
      </c>
      <c r="BC1398">
        <v>1</v>
      </c>
      <c r="BE1398">
        <v>0</v>
      </c>
      <c r="BF1398">
        <v>0</v>
      </c>
      <c r="BG1398">
        <v>0</v>
      </c>
      <c r="BH1398">
        <v>9000</v>
      </c>
      <c r="BI1398">
        <v>1</v>
      </c>
      <c r="BJ1398">
        <v>0</v>
      </c>
      <c r="BK1398">
        <v>0</v>
      </c>
      <c r="BL1398">
        <v>0</v>
      </c>
      <c r="BO1398">
        <v>0</v>
      </c>
      <c r="BP1398">
        <v>0</v>
      </c>
      <c r="BW1398" t="str">
        <f t="shared" si="763"/>
        <v>14:52:31.892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293</v>
      </c>
      <c r="CR1398">
        <v>1</v>
      </c>
      <c r="CW1398">
        <v>15286488</v>
      </c>
      <c r="CY1398">
        <v>0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25">
      <c r="A1399" t="str">
        <f t="shared" si="761"/>
        <v>06/05/2020 14:52:26.251</v>
      </c>
      <c r="C1399" t="str">
        <f t="shared" si="753"/>
        <v>FFDFD3C0</v>
      </c>
      <c r="D1399" t="s">
        <v>141</v>
      </c>
      <c r="E1399">
        <v>20</v>
      </c>
      <c r="F1399">
        <v>1020</v>
      </c>
      <c r="G1399" t="s">
        <v>114</v>
      </c>
      <c r="J1399" t="s">
        <v>142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62"/>
        <v>14:52:31.891</v>
      </c>
      <c r="T1399" t="str">
        <f t="shared" si="762"/>
        <v>14:52:31.891</v>
      </c>
      <c r="U1399" t="str">
        <f t="shared" si="737"/>
        <v>ACC530</v>
      </c>
      <c r="V1399">
        <v>0</v>
      </c>
      <c r="W1399">
        <v>0</v>
      </c>
      <c r="X1399">
        <v>1</v>
      </c>
      <c r="Z1399">
        <v>0</v>
      </c>
      <c r="AA1399">
        <v>9</v>
      </c>
      <c r="AB1399">
        <v>3</v>
      </c>
      <c r="AC1399">
        <v>0</v>
      </c>
      <c r="AD1399">
        <v>9</v>
      </c>
      <c r="AE1399">
        <v>0</v>
      </c>
      <c r="AF1399">
        <v>3</v>
      </c>
      <c r="AG1399">
        <v>1</v>
      </c>
      <c r="AH1399">
        <v>0</v>
      </c>
      <c r="AI1399" t="s">
        <v>565</v>
      </c>
      <c r="AJ1399">
        <v>34.201554999999999</v>
      </c>
      <c r="AK1399" t="s">
        <v>566</v>
      </c>
      <c r="AL1399">
        <v>-116.972358</v>
      </c>
      <c r="AM1399">
        <v>100</v>
      </c>
      <c r="AN1399">
        <v>9000</v>
      </c>
      <c r="AO1399" t="s">
        <v>118</v>
      </c>
      <c r="AP1399">
        <v>-105</v>
      </c>
      <c r="AQ1399">
        <v>-56</v>
      </c>
      <c r="AR1399">
        <v>-512</v>
      </c>
      <c r="AZ1399">
        <v>1200</v>
      </c>
      <c r="BA1399">
        <v>1</v>
      </c>
      <c r="BB1399" t="str">
        <f t="shared" si="739"/>
        <v xml:space="preserve">N9217B  </v>
      </c>
      <c r="BC1399">
        <v>1</v>
      </c>
      <c r="BE1399">
        <v>0</v>
      </c>
      <c r="BF1399">
        <v>0</v>
      </c>
      <c r="BG1399">
        <v>0</v>
      </c>
      <c r="BH1399">
        <v>9000</v>
      </c>
      <c r="BI1399">
        <v>1</v>
      </c>
      <c r="BJ1399">
        <v>0</v>
      </c>
      <c r="BK1399">
        <v>0</v>
      </c>
      <c r="BL1399">
        <v>0</v>
      </c>
      <c r="BO1399">
        <v>0</v>
      </c>
      <c r="BP1399">
        <v>0</v>
      </c>
      <c r="BW1399" t="str">
        <f t="shared" si="763"/>
        <v>14:52:31.892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293</v>
      </c>
      <c r="CR1399">
        <v>1</v>
      </c>
      <c r="CW1399">
        <v>15286488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25">
      <c r="A1400" t="str">
        <f t="shared" si="761"/>
        <v>06/05/2020 14:52:26.251</v>
      </c>
      <c r="C1400" t="str">
        <f t="shared" si="753"/>
        <v>FFDFD3C0</v>
      </c>
      <c r="D1400" t="s">
        <v>148</v>
      </c>
      <c r="E1400">
        <v>8</v>
      </c>
      <c r="H1400">
        <v>50</v>
      </c>
      <c r="I1400" t="s">
        <v>149</v>
      </c>
      <c r="J1400" t="s">
        <v>150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62"/>
        <v>14:52:31.891</v>
      </c>
      <c r="T1400" t="str">
        <f t="shared" si="762"/>
        <v>14:52:31.891</v>
      </c>
      <c r="U1400" t="str">
        <f t="shared" si="737"/>
        <v>ACC530</v>
      </c>
      <c r="V1400">
        <v>0</v>
      </c>
      <c r="W1400">
        <v>0</v>
      </c>
      <c r="X1400">
        <v>1</v>
      </c>
      <c r="Z1400">
        <v>0</v>
      </c>
      <c r="AA1400">
        <v>9</v>
      </c>
      <c r="AB1400">
        <v>3</v>
      </c>
      <c r="AC1400">
        <v>0</v>
      </c>
      <c r="AD1400">
        <v>9</v>
      </c>
      <c r="AE1400">
        <v>0</v>
      </c>
      <c r="AF1400">
        <v>3</v>
      </c>
      <c r="AG1400">
        <v>1</v>
      </c>
      <c r="AH1400">
        <v>0</v>
      </c>
      <c r="AI1400" t="s">
        <v>565</v>
      </c>
      <c r="AJ1400">
        <v>34.201554999999999</v>
      </c>
      <c r="AK1400" t="s">
        <v>566</v>
      </c>
      <c r="AL1400">
        <v>-116.972358</v>
      </c>
      <c r="AM1400">
        <v>100</v>
      </c>
      <c r="AN1400">
        <v>9000</v>
      </c>
      <c r="AO1400" t="s">
        <v>118</v>
      </c>
      <c r="AP1400">
        <v>-105</v>
      </c>
      <c r="AQ1400">
        <v>-56</v>
      </c>
      <c r="AR1400">
        <v>-512</v>
      </c>
      <c r="AZ1400">
        <v>1200</v>
      </c>
      <c r="BA1400">
        <v>1</v>
      </c>
      <c r="BB1400" t="str">
        <f t="shared" si="739"/>
        <v xml:space="preserve">N9217B  </v>
      </c>
      <c r="BC1400">
        <v>1</v>
      </c>
      <c r="BE1400">
        <v>0</v>
      </c>
      <c r="BF1400">
        <v>0</v>
      </c>
      <c r="BG1400">
        <v>0</v>
      </c>
      <c r="BH1400">
        <v>9000</v>
      </c>
      <c r="BI1400">
        <v>1</v>
      </c>
      <c r="BJ1400">
        <v>0</v>
      </c>
      <c r="BK1400">
        <v>0</v>
      </c>
      <c r="BL1400">
        <v>0</v>
      </c>
      <c r="BO1400">
        <v>0</v>
      </c>
      <c r="BP1400">
        <v>0</v>
      </c>
      <c r="BW1400" t="str">
        <f t="shared" si="763"/>
        <v>14:52:31.892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293</v>
      </c>
      <c r="CR1400">
        <v>1</v>
      </c>
      <c r="CW1400">
        <v>15286488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25">
      <c r="A1401" t="str">
        <f t="shared" si="761"/>
        <v>06/05/2020 14:52:26.251</v>
      </c>
      <c r="C1401" t="str">
        <f t="shared" si="753"/>
        <v>FFDFD3C0</v>
      </c>
      <c r="D1401" t="s">
        <v>151</v>
      </c>
      <c r="E1401">
        <v>8</v>
      </c>
      <c r="H1401">
        <v>225</v>
      </c>
      <c r="I1401" t="s">
        <v>353</v>
      </c>
      <c r="J1401" t="s">
        <v>150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762"/>
        <v>14:52:31.891</v>
      </c>
      <c r="T1401" t="str">
        <f t="shared" si="762"/>
        <v>14:52:31.891</v>
      </c>
      <c r="U1401" t="str">
        <f t="shared" si="737"/>
        <v>ACC530</v>
      </c>
      <c r="V1401">
        <v>0</v>
      </c>
      <c r="W1401">
        <v>0</v>
      </c>
      <c r="X1401">
        <v>1</v>
      </c>
      <c r="Z1401">
        <v>0</v>
      </c>
      <c r="AA1401">
        <v>9</v>
      </c>
      <c r="AB1401">
        <v>3</v>
      </c>
      <c r="AC1401">
        <v>0</v>
      </c>
      <c r="AD1401">
        <v>9</v>
      </c>
      <c r="AE1401">
        <v>0</v>
      </c>
      <c r="AF1401">
        <v>3</v>
      </c>
      <c r="AG1401">
        <v>1</v>
      </c>
      <c r="AH1401">
        <v>0</v>
      </c>
      <c r="AI1401" t="s">
        <v>565</v>
      </c>
      <c r="AJ1401">
        <v>34.201554999999999</v>
      </c>
      <c r="AK1401" t="s">
        <v>566</v>
      </c>
      <c r="AL1401">
        <v>-116.972358</v>
      </c>
      <c r="AM1401">
        <v>100</v>
      </c>
      <c r="AN1401">
        <v>9000</v>
      </c>
      <c r="AO1401" t="s">
        <v>118</v>
      </c>
      <c r="AP1401">
        <v>-105</v>
      </c>
      <c r="AQ1401">
        <v>-56</v>
      </c>
      <c r="AR1401">
        <v>-512</v>
      </c>
      <c r="AZ1401">
        <v>1200</v>
      </c>
      <c r="BA1401">
        <v>1</v>
      </c>
      <c r="BB1401" t="str">
        <f t="shared" si="739"/>
        <v xml:space="preserve">N9217B  </v>
      </c>
      <c r="BC1401">
        <v>1</v>
      </c>
      <c r="BE1401">
        <v>0</v>
      </c>
      <c r="BF1401">
        <v>0</v>
      </c>
      <c r="BG1401">
        <v>0</v>
      </c>
      <c r="BH1401">
        <v>9000</v>
      </c>
      <c r="BI1401">
        <v>1</v>
      </c>
      <c r="BJ1401">
        <v>0</v>
      </c>
      <c r="BK1401">
        <v>0</v>
      </c>
      <c r="BL1401">
        <v>0</v>
      </c>
      <c r="BO1401">
        <v>0</v>
      </c>
      <c r="BP1401">
        <v>0</v>
      </c>
      <c r="BW1401" t="str">
        <f t="shared" si="763"/>
        <v>14:52:31.892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285</v>
      </c>
      <c r="CR1401">
        <v>0</v>
      </c>
      <c r="CW1401">
        <v>8852621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25">
      <c r="A1402" t="str">
        <f t="shared" ref="A1402:A1408" si="764">"06/05/2020 14:52:27.255"</f>
        <v>06/05/2020 14:52:27.255</v>
      </c>
      <c r="C1402" t="str">
        <f t="shared" si="753"/>
        <v>FFDFD3C0</v>
      </c>
      <c r="D1402" t="s">
        <v>148</v>
      </c>
      <c r="E1402">
        <v>8</v>
      </c>
      <c r="H1402">
        <v>50</v>
      </c>
      <c r="I1402" t="s">
        <v>149</v>
      </c>
      <c r="J1402" t="s">
        <v>150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ref="S1402:S1408" si="765">"14:52:32.922"</f>
        <v>14:52:32.922</v>
      </c>
      <c r="T1402" t="str">
        <f t="shared" ref="T1402:T1408" si="766">"14:52:32.522"</f>
        <v>14:52:32.522</v>
      </c>
      <c r="U1402" t="str">
        <f t="shared" si="737"/>
        <v>ACC530</v>
      </c>
      <c r="V1402">
        <v>0</v>
      </c>
      <c r="W1402">
        <v>0</v>
      </c>
      <c r="X1402">
        <v>1</v>
      </c>
      <c r="Z1402">
        <v>0</v>
      </c>
      <c r="AA1402">
        <v>9</v>
      </c>
      <c r="AB1402">
        <v>3</v>
      </c>
      <c r="AC1402">
        <v>0</v>
      </c>
      <c r="AD1402">
        <v>9</v>
      </c>
      <c r="AE1402">
        <v>0</v>
      </c>
      <c r="AF1402">
        <v>3</v>
      </c>
      <c r="AG1402">
        <v>1</v>
      </c>
      <c r="AH1402">
        <v>0</v>
      </c>
      <c r="AI1402" t="s">
        <v>567</v>
      </c>
      <c r="AJ1402">
        <v>34.201318999999998</v>
      </c>
      <c r="AK1402" t="s">
        <v>568</v>
      </c>
      <c r="AL1402">
        <v>-116.972959</v>
      </c>
      <c r="AM1402">
        <v>100</v>
      </c>
      <c r="AN1402">
        <v>9000</v>
      </c>
      <c r="AO1402" t="s">
        <v>118</v>
      </c>
      <c r="AP1402">
        <v>-104</v>
      </c>
      <c r="AQ1402">
        <v>-57</v>
      </c>
      <c r="AR1402">
        <v>-512</v>
      </c>
      <c r="AZ1402">
        <v>1200</v>
      </c>
      <c r="BA1402">
        <v>1</v>
      </c>
      <c r="BB1402" t="str">
        <f t="shared" si="739"/>
        <v xml:space="preserve">N9217B  </v>
      </c>
      <c r="BC1402">
        <v>1</v>
      </c>
      <c r="BE1402">
        <v>0</v>
      </c>
      <c r="BF1402">
        <v>0</v>
      </c>
      <c r="BG1402">
        <v>0</v>
      </c>
      <c r="BH1402">
        <v>9000</v>
      </c>
      <c r="BI1402">
        <v>1</v>
      </c>
      <c r="BJ1402">
        <v>0</v>
      </c>
      <c r="BK1402">
        <v>0</v>
      </c>
      <c r="BL1402">
        <v>0</v>
      </c>
      <c r="BO1402">
        <v>0</v>
      </c>
      <c r="BP1402">
        <v>0</v>
      </c>
      <c r="BW1402" t="str">
        <f t="shared" ref="BW1402:BW1408" si="767">"14:52:32.927"</f>
        <v>14:52:32.927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293</v>
      </c>
      <c r="CR1402">
        <v>1</v>
      </c>
      <c r="CW1402">
        <v>15286604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25">
      <c r="A1403" t="str">
        <f t="shared" si="764"/>
        <v>06/05/2020 14:52:27.255</v>
      </c>
      <c r="C1403" t="str">
        <f t="shared" si="753"/>
        <v>FFDFD3C0</v>
      </c>
      <c r="D1403" t="s">
        <v>151</v>
      </c>
      <c r="E1403">
        <v>8</v>
      </c>
      <c r="H1403">
        <v>225</v>
      </c>
      <c r="I1403" t="s">
        <v>353</v>
      </c>
      <c r="J1403" t="s">
        <v>150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765"/>
        <v>14:52:32.922</v>
      </c>
      <c r="T1403" t="str">
        <f t="shared" si="766"/>
        <v>14:52:32.522</v>
      </c>
      <c r="U1403" t="str">
        <f t="shared" si="737"/>
        <v>ACC530</v>
      </c>
      <c r="V1403">
        <v>0</v>
      </c>
      <c r="W1403">
        <v>0</v>
      </c>
      <c r="X1403">
        <v>1</v>
      </c>
      <c r="Z1403">
        <v>0</v>
      </c>
      <c r="AA1403">
        <v>9</v>
      </c>
      <c r="AB1403">
        <v>3</v>
      </c>
      <c r="AC1403">
        <v>0</v>
      </c>
      <c r="AD1403">
        <v>9</v>
      </c>
      <c r="AE1403">
        <v>0</v>
      </c>
      <c r="AF1403">
        <v>3</v>
      </c>
      <c r="AG1403">
        <v>1</v>
      </c>
      <c r="AH1403">
        <v>0</v>
      </c>
      <c r="AI1403" t="s">
        <v>567</v>
      </c>
      <c r="AJ1403">
        <v>34.201318999999998</v>
      </c>
      <c r="AK1403" t="s">
        <v>568</v>
      </c>
      <c r="AL1403">
        <v>-116.972959</v>
      </c>
      <c r="AM1403">
        <v>100</v>
      </c>
      <c r="AN1403">
        <v>9000</v>
      </c>
      <c r="AO1403" t="s">
        <v>118</v>
      </c>
      <c r="AP1403">
        <v>-104</v>
      </c>
      <c r="AQ1403">
        <v>-57</v>
      </c>
      <c r="AR1403">
        <v>-512</v>
      </c>
      <c r="AZ1403">
        <v>1200</v>
      </c>
      <c r="BA1403">
        <v>1</v>
      </c>
      <c r="BB1403" t="str">
        <f t="shared" si="739"/>
        <v xml:space="preserve">N9217B  </v>
      </c>
      <c r="BC1403">
        <v>1</v>
      </c>
      <c r="BE1403">
        <v>0</v>
      </c>
      <c r="BF1403">
        <v>0</v>
      </c>
      <c r="BG1403">
        <v>0</v>
      </c>
      <c r="BH1403">
        <v>9000</v>
      </c>
      <c r="BI1403">
        <v>1</v>
      </c>
      <c r="BJ1403">
        <v>0</v>
      </c>
      <c r="BK1403">
        <v>0</v>
      </c>
      <c r="BL1403">
        <v>0</v>
      </c>
      <c r="BO1403">
        <v>0</v>
      </c>
      <c r="BP1403">
        <v>0</v>
      </c>
      <c r="BW1403" t="str">
        <f t="shared" si="767"/>
        <v>14:52:32.927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285</v>
      </c>
      <c r="CR1403">
        <v>0</v>
      </c>
      <c r="CW1403">
        <v>8852709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25">
      <c r="A1404" t="str">
        <f t="shared" si="764"/>
        <v>06/05/2020 14:52:27.255</v>
      </c>
      <c r="C1404" t="str">
        <f t="shared" si="753"/>
        <v>FFDFD3C0</v>
      </c>
      <c r="D1404" t="s">
        <v>148</v>
      </c>
      <c r="E1404">
        <v>11</v>
      </c>
      <c r="H1404">
        <v>53</v>
      </c>
      <c r="I1404" t="s">
        <v>364</v>
      </c>
      <c r="J1404" t="s">
        <v>150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65"/>
        <v>14:52:32.922</v>
      </c>
      <c r="T1404" t="str">
        <f t="shared" si="766"/>
        <v>14:52:32.522</v>
      </c>
      <c r="U1404" t="str">
        <f t="shared" si="737"/>
        <v>ACC530</v>
      </c>
      <c r="V1404">
        <v>0</v>
      </c>
      <c r="W1404">
        <v>0</v>
      </c>
      <c r="X1404">
        <v>1</v>
      </c>
      <c r="Z1404">
        <v>0</v>
      </c>
      <c r="AA1404">
        <v>9</v>
      </c>
      <c r="AB1404">
        <v>3</v>
      </c>
      <c r="AC1404">
        <v>0</v>
      </c>
      <c r="AD1404">
        <v>9</v>
      </c>
      <c r="AE1404">
        <v>0</v>
      </c>
      <c r="AF1404">
        <v>3</v>
      </c>
      <c r="AG1404">
        <v>1</v>
      </c>
      <c r="AH1404">
        <v>0</v>
      </c>
      <c r="AI1404" t="s">
        <v>567</v>
      </c>
      <c r="AJ1404">
        <v>34.201318999999998</v>
      </c>
      <c r="AK1404" t="s">
        <v>568</v>
      </c>
      <c r="AL1404">
        <v>-116.972959</v>
      </c>
      <c r="AM1404">
        <v>100</v>
      </c>
      <c r="AN1404">
        <v>9000</v>
      </c>
      <c r="AO1404" t="s">
        <v>118</v>
      </c>
      <c r="AP1404">
        <v>-104</v>
      </c>
      <c r="AQ1404">
        <v>-57</v>
      </c>
      <c r="AR1404">
        <v>-512</v>
      </c>
      <c r="AZ1404">
        <v>1200</v>
      </c>
      <c r="BA1404">
        <v>1</v>
      </c>
      <c r="BB1404" t="str">
        <f t="shared" si="739"/>
        <v xml:space="preserve">N9217B  </v>
      </c>
      <c r="BC1404">
        <v>1</v>
      </c>
      <c r="BE1404">
        <v>0</v>
      </c>
      <c r="BF1404">
        <v>0</v>
      </c>
      <c r="BG1404">
        <v>0</v>
      </c>
      <c r="BH1404">
        <v>9000</v>
      </c>
      <c r="BI1404">
        <v>1</v>
      </c>
      <c r="BJ1404">
        <v>0</v>
      </c>
      <c r="BK1404">
        <v>0</v>
      </c>
      <c r="BL1404">
        <v>0</v>
      </c>
      <c r="BO1404">
        <v>0</v>
      </c>
      <c r="BP1404">
        <v>0</v>
      </c>
      <c r="BW1404" t="str">
        <f t="shared" si="767"/>
        <v>14:52:32.927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293</v>
      </c>
      <c r="CR1404">
        <v>1</v>
      </c>
      <c r="CW1404">
        <v>15286604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25">
      <c r="A1405" t="str">
        <f t="shared" si="764"/>
        <v>06/05/2020 14:52:27.255</v>
      </c>
      <c r="C1405" t="str">
        <f t="shared" si="753"/>
        <v>FFDFD3C0</v>
      </c>
      <c r="D1405" t="s">
        <v>151</v>
      </c>
      <c r="E1405">
        <v>9</v>
      </c>
      <c r="H1405">
        <v>226</v>
      </c>
      <c r="I1405" t="s">
        <v>152</v>
      </c>
      <c r="J1405" t="s">
        <v>150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765"/>
        <v>14:52:32.922</v>
      </c>
      <c r="T1405" t="str">
        <f t="shared" si="766"/>
        <v>14:52:32.522</v>
      </c>
      <c r="U1405" t="str">
        <f t="shared" si="737"/>
        <v>ACC530</v>
      </c>
      <c r="V1405">
        <v>0</v>
      </c>
      <c r="W1405">
        <v>0</v>
      </c>
      <c r="X1405">
        <v>1</v>
      </c>
      <c r="Z1405">
        <v>0</v>
      </c>
      <c r="AA1405">
        <v>9</v>
      </c>
      <c r="AB1405">
        <v>3</v>
      </c>
      <c r="AC1405">
        <v>0</v>
      </c>
      <c r="AD1405">
        <v>9</v>
      </c>
      <c r="AE1405">
        <v>0</v>
      </c>
      <c r="AF1405">
        <v>3</v>
      </c>
      <c r="AG1405">
        <v>1</v>
      </c>
      <c r="AH1405">
        <v>0</v>
      </c>
      <c r="AI1405" t="s">
        <v>567</v>
      </c>
      <c r="AJ1405">
        <v>34.201318999999998</v>
      </c>
      <c r="AK1405" t="s">
        <v>568</v>
      </c>
      <c r="AL1405">
        <v>-116.972959</v>
      </c>
      <c r="AM1405">
        <v>100</v>
      </c>
      <c r="AN1405">
        <v>9000</v>
      </c>
      <c r="AO1405" t="s">
        <v>118</v>
      </c>
      <c r="AP1405">
        <v>-104</v>
      </c>
      <c r="AQ1405">
        <v>-57</v>
      </c>
      <c r="AR1405">
        <v>-512</v>
      </c>
      <c r="AZ1405">
        <v>1200</v>
      </c>
      <c r="BA1405">
        <v>1</v>
      </c>
      <c r="BB1405" t="str">
        <f t="shared" si="739"/>
        <v xml:space="preserve">N9217B  </v>
      </c>
      <c r="BC1405">
        <v>1</v>
      </c>
      <c r="BE1405">
        <v>0</v>
      </c>
      <c r="BF1405">
        <v>0</v>
      </c>
      <c r="BG1405">
        <v>0</v>
      </c>
      <c r="BH1405">
        <v>9000</v>
      </c>
      <c r="BI1405">
        <v>1</v>
      </c>
      <c r="BJ1405">
        <v>0</v>
      </c>
      <c r="BK1405">
        <v>0</v>
      </c>
      <c r="BL1405">
        <v>0</v>
      </c>
      <c r="BO1405">
        <v>0</v>
      </c>
      <c r="BP1405">
        <v>0</v>
      </c>
      <c r="BW1405" t="str">
        <f t="shared" si="767"/>
        <v>14:52:32.927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293</v>
      </c>
      <c r="CR1405">
        <v>1</v>
      </c>
      <c r="CW1405">
        <v>15286604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25">
      <c r="A1406" t="str">
        <f t="shared" si="764"/>
        <v>06/05/2020 14:52:27.255</v>
      </c>
      <c r="C1406" t="str">
        <f t="shared" si="753"/>
        <v>FFDFD3C0</v>
      </c>
      <c r="D1406" t="s">
        <v>113</v>
      </c>
      <c r="E1406">
        <v>3</v>
      </c>
      <c r="H1406">
        <v>166</v>
      </c>
      <c r="I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765"/>
        <v>14:52:32.922</v>
      </c>
      <c r="T1406" t="str">
        <f t="shared" si="766"/>
        <v>14:52:32.522</v>
      </c>
      <c r="U1406" t="str">
        <f t="shared" si="737"/>
        <v>ACC530</v>
      </c>
      <c r="V1406">
        <v>0</v>
      </c>
      <c r="W1406">
        <v>0</v>
      </c>
      <c r="X1406">
        <v>1</v>
      </c>
      <c r="Z1406">
        <v>0</v>
      </c>
      <c r="AA1406">
        <v>9</v>
      </c>
      <c r="AB1406">
        <v>3</v>
      </c>
      <c r="AC1406">
        <v>0</v>
      </c>
      <c r="AD1406">
        <v>9</v>
      </c>
      <c r="AE1406">
        <v>0</v>
      </c>
      <c r="AF1406">
        <v>3</v>
      </c>
      <c r="AG1406">
        <v>1</v>
      </c>
      <c r="AH1406">
        <v>0</v>
      </c>
      <c r="AI1406" t="s">
        <v>567</v>
      </c>
      <c r="AJ1406">
        <v>34.201318999999998</v>
      </c>
      <c r="AK1406" t="s">
        <v>568</v>
      </c>
      <c r="AL1406">
        <v>-116.972959</v>
      </c>
      <c r="AM1406">
        <v>100</v>
      </c>
      <c r="AN1406">
        <v>9000</v>
      </c>
      <c r="AO1406" t="s">
        <v>118</v>
      </c>
      <c r="AP1406">
        <v>-104</v>
      </c>
      <c r="AQ1406">
        <v>-57</v>
      </c>
      <c r="AR1406">
        <v>-512</v>
      </c>
      <c r="AZ1406">
        <v>1200</v>
      </c>
      <c r="BA1406">
        <v>1</v>
      </c>
      <c r="BB1406" t="str">
        <f t="shared" si="739"/>
        <v xml:space="preserve">N9217B  </v>
      </c>
      <c r="BC1406">
        <v>1</v>
      </c>
      <c r="BE1406">
        <v>0</v>
      </c>
      <c r="BF1406">
        <v>0</v>
      </c>
      <c r="BG1406">
        <v>0</v>
      </c>
      <c r="BH1406">
        <v>9000</v>
      </c>
      <c r="BI1406">
        <v>1</v>
      </c>
      <c r="BJ1406">
        <v>0</v>
      </c>
      <c r="BK1406">
        <v>0</v>
      </c>
      <c r="BL1406">
        <v>0</v>
      </c>
      <c r="BO1406">
        <v>0</v>
      </c>
      <c r="BP1406">
        <v>0</v>
      </c>
      <c r="BW1406" t="str">
        <f t="shared" si="767"/>
        <v>14:52:32.927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293</v>
      </c>
      <c r="CR1406">
        <v>1</v>
      </c>
      <c r="CW1406">
        <v>15286604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25">
      <c r="A1407" t="str">
        <f t="shared" si="764"/>
        <v>06/05/2020 14:52:27.255</v>
      </c>
      <c r="C1407" t="str">
        <f t="shared" si="753"/>
        <v>FFDFD3C0</v>
      </c>
      <c r="D1407" t="s">
        <v>134</v>
      </c>
      <c r="E1407">
        <v>7</v>
      </c>
      <c r="F1407">
        <v>2007</v>
      </c>
      <c r="G1407" t="s">
        <v>135</v>
      </c>
      <c r="J1407" t="s">
        <v>136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765"/>
        <v>14:52:32.922</v>
      </c>
      <c r="T1407" t="str">
        <f t="shared" si="766"/>
        <v>14:52:32.522</v>
      </c>
      <c r="U1407" t="str">
        <f t="shared" si="737"/>
        <v>ACC530</v>
      </c>
      <c r="V1407">
        <v>0</v>
      </c>
      <c r="W1407">
        <v>0</v>
      </c>
      <c r="X1407">
        <v>1</v>
      </c>
      <c r="Z1407">
        <v>0</v>
      </c>
      <c r="AA1407">
        <v>9</v>
      </c>
      <c r="AB1407">
        <v>3</v>
      </c>
      <c r="AC1407">
        <v>0</v>
      </c>
      <c r="AD1407">
        <v>9</v>
      </c>
      <c r="AE1407">
        <v>0</v>
      </c>
      <c r="AF1407">
        <v>3</v>
      </c>
      <c r="AG1407">
        <v>1</v>
      </c>
      <c r="AH1407">
        <v>0</v>
      </c>
      <c r="AI1407" t="s">
        <v>567</v>
      </c>
      <c r="AJ1407">
        <v>34.201318999999998</v>
      </c>
      <c r="AK1407" t="s">
        <v>568</v>
      </c>
      <c r="AL1407">
        <v>-116.972959</v>
      </c>
      <c r="AM1407">
        <v>100</v>
      </c>
      <c r="AN1407">
        <v>9000</v>
      </c>
      <c r="AO1407" t="s">
        <v>118</v>
      </c>
      <c r="AP1407">
        <v>-104</v>
      </c>
      <c r="AQ1407">
        <v>-57</v>
      </c>
      <c r="AR1407">
        <v>-512</v>
      </c>
      <c r="AZ1407">
        <v>1200</v>
      </c>
      <c r="BA1407">
        <v>1</v>
      </c>
      <c r="BB1407" t="str">
        <f t="shared" si="739"/>
        <v xml:space="preserve">N9217B  </v>
      </c>
      <c r="BC1407">
        <v>1</v>
      </c>
      <c r="BE1407">
        <v>0</v>
      </c>
      <c r="BF1407">
        <v>0</v>
      </c>
      <c r="BG1407">
        <v>0</v>
      </c>
      <c r="BH1407">
        <v>9000</v>
      </c>
      <c r="BI1407">
        <v>1</v>
      </c>
      <c r="BJ1407">
        <v>0</v>
      </c>
      <c r="BK1407">
        <v>0</v>
      </c>
      <c r="BL1407">
        <v>0</v>
      </c>
      <c r="BO1407">
        <v>0</v>
      </c>
      <c r="BP1407">
        <v>0</v>
      </c>
      <c r="BW1407" t="str">
        <f t="shared" si="767"/>
        <v>14:52:32.927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293</v>
      </c>
      <c r="CR1407">
        <v>1</v>
      </c>
      <c r="CW1407">
        <v>15286604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25">
      <c r="A1408" t="str">
        <f t="shared" si="764"/>
        <v>06/05/2020 14:52:27.255</v>
      </c>
      <c r="C1408" t="str">
        <f t="shared" si="753"/>
        <v>FFDFD3C0</v>
      </c>
      <c r="D1408" t="s">
        <v>141</v>
      </c>
      <c r="E1408">
        <v>20</v>
      </c>
      <c r="F1408">
        <v>1020</v>
      </c>
      <c r="G1408" t="s">
        <v>114</v>
      </c>
      <c r="J1408" t="s">
        <v>142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765"/>
        <v>14:52:32.922</v>
      </c>
      <c r="T1408" t="str">
        <f t="shared" si="766"/>
        <v>14:52:32.522</v>
      </c>
      <c r="U1408" t="str">
        <f t="shared" si="737"/>
        <v>ACC530</v>
      </c>
      <c r="V1408">
        <v>0</v>
      </c>
      <c r="W1408">
        <v>0</v>
      </c>
      <c r="X1408">
        <v>1</v>
      </c>
      <c r="Z1408">
        <v>0</v>
      </c>
      <c r="AA1408">
        <v>9</v>
      </c>
      <c r="AB1408">
        <v>3</v>
      </c>
      <c r="AC1408">
        <v>0</v>
      </c>
      <c r="AD1408">
        <v>9</v>
      </c>
      <c r="AE1408">
        <v>0</v>
      </c>
      <c r="AF1408">
        <v>3</v>
      </c>
      <c r="AG1408">
        <v>1</v>
      </c>
      <c r="AH1408">
        <v>0</v>
      </c>
      <c r="AI1408" t="s">
        <v>567</v>
      </c>
      <c r="AJ1408">
        <v>34.201318999999998</v>
      </c>
      <c r="AK1408" t="s">
        <v>568</v>
      </c>
      <c r="AL1408">
        <v>-116.972959</v>
      </c>
      <c r="AM1408">
        <v>100</v>
      </c>
      <c r="AN1408">
        <v>9000</v>
      </c>
      <c r="AO1408" t="s">
        <v>118</v>
      </c>
      <c r="AP1408">
        <v>-104</v>
      </c>
      <c r="AQ1408">
        <v>-57</v>
      </c>
      <c r="AR1408">
        <v>-512</v>
      </c>
      <c r="AZ1408">
        <v>1200</v>
      </c>
      <c r="BA1408">
        <v>1</v>
      </c>
      <c r="BB1408" t="str">
        <f t="shared" si="739"/>
        <v xml:space="preserve">N9217B  </v>
      </c>
      <c r="BC1408">
        <v>1</v>
      </c>
      <c r="BE1408">
        <v>0</v>
      </c>
      <c r="BF1408">
        <v>0</v>
      </c>
      <c r="BG1408">
        <v>0</v>
      </c>
      <c r="BH1408">
        <v>9000</v>
      </c>
      <c r="BI1408">
        <v>1</v>
      </c>
      <c r="BJ1408">
        <v>0</v>
      </c>
      <c r="BK1408">
        <v>0</v>
      </c>
      <c r="BL1408">
        <v>0</v>
      </c>
      <c r="BO1408">
        <v>0</v>
      </c>
      <c r="BP1408">
        <v>0</v>
      </c>
      <c r="BW1408" t="str">
        <f t="shared" si="767"/>
        <v>14:52:32.927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293</v>
      </c>
      <c r="CR1408">
        <v>1</v>
      </c>
      <c r="CW1408">
        <v>15286604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25">
      <c r="A1409" t="str">
        <f t="shared" ref="A1409:A1415" si="768">"06/05/2020 14:52:28.303"</f>
        <v>06/05/2020 14:52:28.303</v>
      </c>
      <c r="C1409" t="str">
        <f t="shared" si="753"/>
        <v>FFDFD3C0</v>
      </c>
      <c r="D1409" t="s">
        <v>141</v>
      </c>
      <c r="E1409">
        <v>20</v>
      </c>
      <c r="F1409">
        <v>1020</v>
      </c>
      <c r="G1409" t="s">
        <v>114</v>
      </c>
      <c r="J1409" t="s">
        <v>142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S1415" si="769">"14:52:33.961"</f>
        <v>14:52:33.961</v>
      </c>
      <c r="T1409" t="str">
        <f t="shared" ref="T1409:T1415" si="770">"14:52:33.661"</f>
        <v>14:52:33.661</v>
      </c>
      <c r="U1409" t="str">
        <f t="shared" si="737"/>
        <v>ACC530</v>
      </c>
      <c r="V1409">
        <v>0</v>
      </c>
      <c r="W1409">
        <v>0</v>
      </c>
      <c r="X1409">
        <v>1</v>
      </c>
      <c r="Z1409">
        <v>0</v>
      </c>
      <c r="AA1409">
        <v>9</v>
      </c>
      <c r="AB1409">
        <v>3</v>
      </c>
      <c r="AC1409">
        <v>0</v>
      </c>
      <c r="AD1409">
        <v>9</v>
      </c>
      <c r="AE1409">
        <v>0</v>
      </c>
      <c r="AF1409">
        <v>3</v>
      </c>
      <c r="AG1409">
        <v>1</v>
      </c>
      <c r="AH1409">
        <v>0</v>
      </c>
      <c r="AI1409" t="s">
        <v>569</v>
      </c>
      <c r="AJ1409">
        <v>34.201039999999999</v>
      </c>
      <c r="AK1409" t="s">
        <v>570</v>
      </c>
      <c r="AL1409">
        <v>-116.97356000000001</v>
      </c>
      <c r="AM1409">
        <v>100</v>
      </c>
      <c r="AN1409">
        <v>9000</v>
      </c>
      <c r="AO1409" t="s">
        <v>118</v>
      </c>
      <c r="AP1409">
        <v>-104</v>
      </c>
      <c r="AQ1409">
        <v>-57</v>
      </c>
      <c r="AR1409">
        <v>-576</v>
      </c>
      <c r="AZ1409">
        <v>1200</v>
      </c>
      <c r="BA1409">
        <v>1</v>
      </c>
      <c r="BB1409" t="str">
        <f t="shared" si="739"/>
        <v xml:space="preserve">N9217B  </v>
      </c>
      <c r="BC1409">
        <v>1</v>
      </c>
      <c r="BE1409">
        <v>0</v>
      </c>
      <c r="BF1409">
        <v>0</v>
      </c>
      <c r="BG1409">
        <v>0</v>
      </c>
      <c r="BH1409">
        <v>9000</v>
      </c>
      <c r="BI1409">
        <v>1</v>
      </c>
      <c r="BJ1409">
        <v>0</v>
      </c>
      <c r="BK1409">
        <v>0</v>
      </c>
      <c r="BL1409">
        <v>0</v>
      </c>
      <c r="BO1409">
        <v>0</v>
      </c>
      <c r="BP1409">
        <v>0</v>
      </c>
      <c r="BW1409" t="str">
        <f t="shared" ref="BW1409:BW1415" si="771">"14:52:33.962"</f>
        <v>14:52:33.962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293</v>
      </c>
      <c r="CR1409">
        <v>1</v>
      </c>
      <c r="CW1409">
        <v>15286728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25">
      <c r="A1410" t="str">
        <f t="shared" si="768"/>
        <v>06/05/2020 14:52:28.303</v>
      </c>
      <c r="C1410" t="str">
        <f t="shared" si="753"/>
        <v>FFDFD3C0</v>
      </c>
      <c r="D1410" t="s">
        <v>151</v>
      </c>
      <c r="E1410">
        <v>8</v>
      </c>
      <c r="H1410">
        <v>225</v>
      </c>
      <c r="I1410" t="s">
        <v>353</v>
      </c>
      <c r="J1410" t="s">
        <v>150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769"/>
        <v>14:52:33.961</v>
      </c>
      <c r="T1410" t="str">
        <f t="shared" si="770"/>
        <v>14:52:33.661</v>
      </c>
      <c r="U1410" t="str">
        <f t="shared" ref="U1410:U1473" si="772">"ACC530"</f>
        <v>ACC530</v>
      </c>
      <c r="V1410">
        <v>0</v>
      </c>
      <c r="W1410">
        <v>0</v>
      </c>
      <c r="X1410">
        <v>1</v>
      </c>
      <c r="Z1410">
        <v>0</v>
      </c>
      <c r="AA1410">
        <v>9</v>
      </c>
      <c r="AB1410">
        <v>3</v>
      </c>
      <c r="AC1410">
        <v>0</v>
      </c>
      <c r="AD1410">
        <v>9</v>
      </c>
      <c r="AE1410">
        <v>0</v>
      </c>
      <c r="AF1410">
        <v>3</v>
      </c>
      <c r="AG1410">
        <v>1</v>
      </c>
      <c r="AH1410">
        <v>0</v>
      </c>
      <c r="AI1410" t="s">
        <v>569</v>
      </c>
      <c r="AJ1410">
        <v>34.201039999999999</v>
      </c>
      <c r="AK1410" t="s">
        <v>570</v>
      </c>
      <c r="AL1410">
        <v>-116.97356000000001</v>
      </c>
      <c r="AM1410">
        <v>100</v>
      </c>
      <c r="AN1410">
        <v>9000</v>
      </c>
      <c r="AO1410" t="s">
        <v>118</v>
      </c>
      <c r="AP1410">
        <v>-104</v>
      </c>
      <c r="AQ1410">
        <v>-57</v>
      </c>
      <c r="AR1410">
        <v>-576</v>
      </c>
      <c r="AZ1410">
        <v>1200</v>
      </c>
      <c r="BA1410">
        <v>1</v>
      </c>
      <c r="BB1410" t="str">
        <f t="shared" si="739"/>
        <v xml:space="preserve">N9217B  </v>
      </c>
      <c r="BC1410">
        <v>1</v>
      </c>
      <c r="BE1410">
        <v>0</v>
      </c>
      <c r="BF1410">
        <v>0</v>
      </c>
      <c r="BG1410">
        <v>0</v>
      </c>
      <c r="BH1410">
        <v>9000</v>
      </c>
      <c r="BI1410">
        <v>1</v>
      </c>
      <c r="BJ1410">
        <v>0</v>
      </c>
      <c r="BK1410">
        <v>0</v>
      </c>
      <c r="BL1410">
        <v>0</v>
      </c>
      <c r="BO1410">
        <v>0</v>
      </c>
      <c r="BP1410">
        <v>0</v>
      </c>
      <c r="BW1410" t="str">
        <f t="shared" si="771"/>
        <v>14:52:33.962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285</v>
      </c>
      <c r="CR1410">
        <v>0</v>
      </c>
      <c r="CW1410">
        <v>8852814</v>
      </c>
      <c r="CY1410">
        <v>0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25">
      <c r="A1411" t="str">
        <f t="shared" si="768"/>
        <v>06/05/2020 14:52:28.303</v>
      </c>
      <c r="C1411" t="str">
        <f t="shared" si="753"/>
        <v>FFDFD3C0</v>
      </c>
      <c r="D1411" t="s">
        <v>148</v>
      </c>
      <c r="E1411">
        <v>8</v>
      </c>
      <c r="H1411">
        <v>50</v>
      </c>
      <c r="I1411" t="s">
        <v>149</v>
      </c>
      <c r="J1411" t="s">
        <v>150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769"/>
        <v>14:52:33.961</v>
      </c>
      <c r="T1411" t="str">
        <f t="shared" si="770"/>
        <v>14:52:33.661</v>
      </c>
      <c r="U1411" t="str">
        <f t="shared" si="772"/>
        <v>ACC530</v>
      </c>
      <c r="V1411">
        <v>0</v>
      </c>
      <c r="W1411">
        <v>0</v>
      </c>
      <c r="X1411">
        <v>1</v>
      </c>
      <c r="Z1411">
        <v>0</v>
      </c>
      <c r="AA1411">
        <v>9</v>
      </c>
      <c r="AB1411">
        <v>3</v>
      </c>
      <c r="AC1411">
        <v>0</v>
      </c>
      <c r="AD1411">
        <v>9</v>
      </c>
      <c r="AE1411">
        <v>0</v>
      </c>
      <c r="AF1411">
        <v>3</v>
      </c>
      <c r="AG1411">
        <v>1</v>
      </c>
      <c r="AH1411">
        <v>0</v>
      </c>
      <c r="AI1411" t="s">
        <v>569</v>
      </c>
      <c r="AJ1411">
        <v>34.201039999999999</v>
      </c>
      <c r="AK1411" t="s">
        <v>570</v>
      </c>
      <c r="AL1411">
        <v>-116.97356000000001</v>
      </c>
      <c r="AM1411">
        <v>100</v>
      </c>
      <c r="AN1411">
        <v>9000</v>
      </c>
      <c r="AO1411" t="s">
        <v>118</v>
      </c>
      <c r="AP1411">
        <v>-104</v>
      </c>
      <c r="AQ1411">
        <v>-57</v>
      </c>
      <c r="AR1411">
        <v>-576</v>
      </c>
      <c r="AZ1411">
        <v>1200</v>
      </c>
      <c r="BA1411">
        <v>1</v>
      </c>
      <c r="BB1411" t="str">
        <f t="shared" si="739"/>
        <v xml:space="preserve">N9217B  </v>
      </c>
      <c r="BC1411">
        <v>1</v>
      </c>
      <c r="BE1411">
        <v>0</v>
      </c>
      <c r="BF1411">
        <v>0</v>
      </c>
      <c r="BG1411">
        <v>0</v>
      </c>
      <c r="BH1411">
        <v>9000</v>
      </c>
      <c r="BI1411">
        <v>1</v>
      </c>
      <c r="BJ1411">
        <v>0</v>
      </c>
      <c r="BK1411">
        <v>0</v>
      </c>
      <c r="BL1411">
        <v>0</v>
      </c>
      <c r="BO1411">
        <v>0</v>
      </c>
      <c r="BP1411">
        <v>0</v>
      </c>
      <c r="BW1411" t="str">
        <f t="shared" si="771"/>
        <v>14:52:33.962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293</v>
      </c>
      <c r="CR1411">
        <v>1</v>
      </c>
      <c r="CW1411">
        <v>15286728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25">
      <c r="A1412" t="str">
        <f t="shared" si="768"/>
        <v>06/05/2020 14:52:28.303</v>
      </c>
      <c r="C1412" t="str">
        <f t="shared" si="753"/>
        <v>FFDFD3C0</v>
      </c>
      <c r="D1412" t="s">
        <v>151</v>
      </c>
      <c r="E1412">
        <v>9</v>
      </c>
      <c r="H1412">
        <v>226</v>
      </c>
      <c r="I1412" t="s">
        <v>152</v>
      </c>
      <c r="J1412" t="s">
        <v>150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769"/>
        <v>14:52:33.961</v>
      </c>
      <c r="T1412" t="str">
        <f t="shared" si="770"/>
        <v>14:52:33.661</v>
      </c>
      <c r="U1412" t="str">
        <f t="shared" si="772"/>
        <v>ACC530</v>
      </c>
      <c r="V1412">
        <v>0</v>
      </c>
      <c r="W1412">
        <v>0</v>
      </c>
      <c r="X1412">
        <v>1</v>
      </c>
      <c r="Z1412">
        <v>0</v>
      </c>
      <c r="AA1412">
        <v>9</v>
      </c>
      <c r="AB1412">
        <v>3</v>
      </c>
      <c r="AC1412">
        <v>0</v>
      </c>
      <c r="AD1412">
        <v>9</v>
      </c>
      <c r="AE1412">
        <v>0</v>
      </c>
      <c r="AF1412">
        <v>3</v>
      </c>
      <c r="AG1412">
        <v>1</v>
      </c>
      <c r="AH1412">
        <v>0</v>
      </c>
      <c r="AI1412" t="s">
        <v>569</v>
      </c>
      <c r="AJ1412">
        <v>34.201039999999999</v>
      </c>
      <c r="AK1412" t="s">
        <v>570</v>
      </c>
      <c r="AL1412">
        <v>-116.97356000000001</v>
      </c>
      <c r="AM1412">
        <v>100</v>
      </c>
      <c r="AN1412">
        <v>9000</v>
      </c>
      <c r="AO1412" t="s">
        <v>118</v>
      </c>
      <c r="AP1412">
        <v>-104</v>
      </c>
      <c r="AQ1412">
        <v>-57</v>
      </c>
      <c r="AR1412">
        <v>-576</v>
      </c>
      <c r="AZ1412">
        <v>1200</v>
      </c>
      <c r="BA1412">
        <v>1</v>
      </c>
      <c r="BB1412" t="str">
        <f t="shared" si="739"/>
        <v xml:space="preserve">N9217B  </v>
      </c>
      <c r="BC1412">
        <v>1</v>
      </c>
      <c r="BE1412">
        <v>0</v>
      </c>
      <c r="BF1412">
        <v>0</v>
      </c>
      <c r="BG1412">
        <v>0</v>
      </c>
      <c r="BH1412">
        <v>9000</v>
      </c>
      <c r="BI1412">
        <v>1</v>
      </c>
      <c r="BJ1412">
        <v>0</v>
      </c>
      <c r="BK1412">
        <v>0</v>
      </c>
      <c r="BL1412">
        <v>0</v>
      </c>
      <c r="BO1412">
        <v>0</v>
      </c>
      <c r="BP1412">
        <v>0</v>
      </c>
      <c r="BW1412" t="str">
        <f t="shared" si="771"/>
        <v>14:52:33.962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293</v>
      </c>
      <c r="CR1412">
        <v>1</v>
      </c>
      <c r="CW1412">
        <v>15286728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25">
      <c r="A1413" t="str">
        <f t="shared" si="768"/>
        <v>06/05/2020 14:52:28.303</v>
      </c>
      <c r="C1413" t="str">
        <f t="shared" si="753"/>
        <v>FFDFD3C0</v>
      </c>
      <c r="D1413" t="s">
        <v>148</v>
      </c>
      <c r="E1413">
        <v>11</v>
      </c>
      <c r="H1413">
        <v>53</v>
      </c>
      <c r="I1413" t="s">
        <v>364</v>
      </c>
      <c r="J1413" t="s">
        <v>150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769"/>
        <v>14:52:33.961</v>
      </c>
      <c r="T1413" t="str">
        <f t="shared" si="770"/>
        <v>14:52:33.661</v>
      </c>
      <c r="U1413" t="str">
        <f t="shared" si="772"/>
        <v>ACC530</v>
      </c>
      <c r="V1413">
        <v>0</v>
      </c>
      <c r="W1413">
        <v>0</v>
      </c>
      <c r="X1413">
        <v>1</v>
      </c>
      <c r="Z1413">
        <v>0</v>
      </c>
      <c r="AA1413">
        <v>9</v>
      </c>
      <c r="AB1413">
        <v>3</v>
      </c>
      <c r="AC1413">
        <v>0</v>
      </c>
      <c r="AD1413">
        <v>9</v>
      </c>
      <c r="AE1413">
        <v>0</v>
      </c>
      <c r="AF1413">
        <v>3</v>
      </c>
      <c r="AG1413">
        <v>1</v>
      </c>
      <c r="AH1413">
        <v>0</v>
      </c>
      <c r="AI1413" t="s">
        <v>569</v>
      </c>
      <c r="AJ1413">
        <v>34.201039999999999</v>
      </c>
      <c r="AK1413" t="s">
        <v>570</v>
      </c>
      <c r="AL1413">
        <v>-116.97356000000001</v>
      </c>
      <c r="AM1413">
        <v>100</v>
      </c>
      <c r="AN1413">
        <v>9000</v>
      </c>
      <c r="AO1413" t="s">
        <v>118</v>
      </c>
      <c r="AP1413">
        <v>-104</v>
      </c>
      <c r="AQ1413">
        <v>-57</v>
      </c>
      <c r="AR1413">
        <v>-576</v>
      </c>
      <c r="AZ1413">
        <v>1200</v>
      </c>
      <c r="BA1413">
        <v>1</v>
      </c>
      <c r="BB1413" t="str">
        <f t="shared" ref="BB1413:BB1476" si="773">"N9217B  "</f>
        <v xml:space="preserve">N9217B  </v>
      </c>
      <c r="BC1413">
        <v>1</v>
      </c>
      <c r="BE1413">
        <v>0</v>
      </c>
      <c r="BF1413">
        <v>0</v>
      </c>
      <c r="BG1413">
        <v>0</v>
      </c>
      <c r="BH1413">
        <v>9000</v>
      </c>
      <c r="BI1413">
        <v>1</v>
      </c>
      <c r="BJ1413">
        <v>0</v>
      </c>
      <c r="BK1413">
        <v>0</v>
      </c>
      <c r="BL1413">
        <v>0</v>
      </c>
      <c r="BO1413">
        <v>0</v>
      </c>
      <c r="BP1413">
        <v>0</v>
      </c>
      <c r="BW1413" t="str">
        <f t="shared" si="771"/>
        <v>14:52:33.962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293</v>
      </c>
      <c r="CR1413">
        <v>1</v>
      </c>
      <c r="CW1413">
        <v>15286728</v>
      </c>
      <c r="CY1413">
        <v>0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25">
      <c r="A1414" t="str">
        <f t="shared" si="768"/>
        <v>06/05/2020 14:52:28.303</v>
      </c>
      <c r="C1414" t="str">
        <f t="shared" si="753"/>
        <v>FFDFD3C0</v>
      </c>
      <c r="D1414" t="s">
        <v>113</v>
      </c>
      <c r="E1414">
        <v>3</v>
      </c>
      <c r="H1414">
        <v>166</v>
      </c>
      <c r="I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769"/>
        <v>14:52:33.961</v>
      </c>
      <c r="T1414" t="str">
        <f t="shared" si="770"/>
        <v>14:52:33.661</v>
      </c>
      <c r="U1414" t="str">
        <f t="shared" si="772"/>
        <v>ACC530</v>
      </c>
      <c r="V1414">
        <v>0</v>
      </c>
      <c r="W1414">
        <v>0</v>
      </c>
      <c r="X1414">
        <v>1</v>
      </c>
      <c r="Z1414">
        <v>0</v>
      </c>
      <c r="AA1414">
        <v>9</v>
      </c>
      <c r="AB1414">
        <v>3</v>
      </c>
      <c r="AC1414">
        <v>0</v>
      </c>
      <c r="AD1414">
        <v>9</v>
      </c>
      <c r="AE1414">
        <v>0</v>
      </c>
      <c r="AF1414">
        <v>3</v>
      </c>
      <c r="AG1414">
        <v>1</v>
      </c>
      <c r="AH1414">
        <v>0</v>
      </c>
      <c r="AI1414" t="s">
        <v>569</v>
      </c>
      <c r="AJ1414">
        <v>34.201039999999999</v>
      </c>
      <c r="AK1414" t="s">
        <v>570</v>
      </c>
      <c r="AL1414">
        <v>-116.97356000000001</v>
      </c>
      <c r="AM1414">
        <v>100</v>
      </c>
      <c r="AN1414">
        <v>9000</v>
      </c>
      <c r="AO1414" t="s">
        <v>118</v>
      </c>
      <c r="AP1414">
        <v>-104</v>
      </c>
      <c r="AQ1414">
        <v>-57</v>
      </c>
      <c r="AR1414">
        <v>-576</v>
      </c>
      <c r="AZ1414">
        <v>1200</v>
      </c>
      <c r="BA1414">
        <v>1</v>
      </c>
      <c r="BB1414" t="str">
        <f t="shared" si="773"/>
        <v xml:space="preserve">N9217B  </v>
      </c>
      <c r="BC1414">
        <v>1</v>
      </c>
      <c r="BE1414">
        <v>0</v>
      </c>
      <c r="BF1414">
        <v>0</v>
      </c>
      <c r="BG1414">
        <v>0</v>
      </c>
      <c r="BH1414">
        <v>9000</v>
      </c>
      <c r="BI1414">
        <v>1</v>
      </c>
      <c r="BJ1414">
        <v>0</v>
      </c>
      <c r="BK1414">
        <v>0</v>
      </c>
      <c r="BL1414">
        <v>0</v>
      </c>
      <c r="BO1414">
        <v>0</v>
      </c>
      <c r="BP1414">
        <v>0</v>
      </c>
      <c r="BW1414" t="str">
        <f t="shared" si="771"/>
        <v>14:52:33.962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293</v>
      </c>
      <c r="CR1414">
        <v>1</v>
      </c>
      <c r="CW1414">
        <v>15286728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25">
      <c r="A1415" t="str">
        <f t="shared" si="768"/>
        <v>06/05/2020 14:52:28.303</v>
      </c>
      <c r="C1415" t="str">
        <f t="shared" si="753"/>
        <v>FFDFD3C0</v>
      </c>
      <c r="D1415" t="s">
        <v>134</v>
      </c>
      <c r="E1415">
        <v>7</v>
      </c>
      <c r="F1415">
        <v>2007</v>
      </c>
      <c r="G1415" t="s">
        <v>135</v>
      </c>
      <c r="J1415" t="s">
        <v>136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769"/>
        <v>14:52:33.961</v>
      </c>
      <c r="T1415" t="str">
        <f t="shared" si="770"/>
        <v>14:52:33.661</v>
      </c>
      <c r="U1415" t="str">
        <f t="shared" si="772"/>
        <v>ACC530</v>
      </c>
      <c r="V1415">
        <v>0</v>
      </c>
      <c r="W1415">
        <v>0</v>
      </c>
      <c r="X1415">
        <v>1</v>
      </c>
      <c r="Z1415">
        <v>0</v>
      </c>
      <c r="AA1415">
        <v>9</v>
      </c>
      <c r="AB1415">
        <v>3</v>
      </c>
      <c r="AC1415">
        <v>0</v>
      </c>
      <c r="AD1415">
        <v>9</v>
      </c>
      <c r="AE1415">
        <v>0</v>
      </c>
      <c r="AF1415">
        <v>3</v>
      </c>
      <c r="AG1415">
        <v>1</v>
      </c>
      <c r="AH1415">
        <v>0</v>
      </c>
      <c r="AI1415" t="s">
        <v>569</v>
      </c>
      <c r="AJ1415">
        <v>34.201039999999999</v>
      </c>
      <c r="AK1415" t="s">
        <v>570</v>
      </c>
      <c r="AL1415">
        <v>-116.97356000000001</v>
      </c>
      <c r="AM1415">
        <v>100</v>
      </c>
      <c r="AN1415">
        <v>9000</v>
      </c>
      <c r="AO1415" t="s">
        <v>118</v>
      </c>
      <c r="AP1415">
        <v>-104</v>
      </c>
      <c r="AQ1415">
        <v>-57</v>
      </c>
      <c r="AR1415">
        <v>-576</v>
      </c>
      <c r="AZ1415">
        <v>1200</v>
      </c>
      <c r="BA1415">
        <v>1</v>
      </c>
      <c r="BB1415" t="str">
        <f t="shared" si="773"/>
        <v xml:space="preserve">N9217B  </v>
      </c>
      <c r="BC1415">
        <v>1</v>
      </c>
      <c r="BE1415">
        <v>0</v>
      </c>
      <c r="BF1415">
        <v>0</v>
      </c>
      <c r="BG1415">
        <v>0</v>
      </c>
      <c r="BH1415">
        <v>9000</v>
      </c>
      <c r="BI1415">
        <v>1</v>
      </c>
      <c r="BJ1415">
        <v>0</v>
      </c>
      <c r="BK1415">
        <v>0</v>
      </c>
      <c r="BL1415">
        <v>0</v>
      </c>
      <c r="BO1415">
        <v>0</v>
      </c>
      <c r="BP1415">
        <v>0</v>
      </c>
      <c r="BW1415" t="str">
        <f t="shared" si="771"/>
        <v>14:52:33.962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293</v>
      </c>
      <c r="CR1415">
        <v>1</v>
      </c>
      <c r="CW1415">
        <v>15286728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25">
      <c r="A1416" t="str">
        <f t="shared" ref="A1416:A1422" si="774">"06/05/2020 14:52:29.279"</f>
        <v>06/05/2020 14:52:29.279</v>
      </c>
      <c r="C1416" t="str">
        <f t="shared" si="753"/>
        <v>FFDFD3C0</v>
      </c>
      <c r="D1416" t="s">
        <v>148</v>
      </c>
      <c r="E1416">
        <v>8</v>
      </c>
      <c r="H1416">
        <v>50</v>
      </c>
      <c r="I1416" t="s">
        <v>149</v>
      </c>
      <c r="J1416" t="s">
        <v>150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ref="S1416:S1422" si="775">"14:52:34.922"</f>
        <v>14:52:34.922</v>
      </c>
      <c r="T1416" t="str">
        <f t="shared" ref="T1416:T1422" si="776">"14:52:34.622"</f>
        <v>14:52:34.622</v>
      </c>
      <c r="U1416" t="str">
        <f t="shared" si="772"/>
        <v>ACC530</v>
      </c>
      <c r="V1416">
        <v>0</v>
      </c>
      <c r="W1416">
        <v>0</v>
      </c>
      <c r="X1416">
        <v>1</v>
      </c>
      <c r="Z1416">
        <v>0</v>
      </c>
      <c r="AA1416">
        <v>9</v>
      </c>
      <c r="AB1416">
        <v>3</v>
      </c>
      <c r="AC1416">
        <v>0</v>
      </c>
      <c r="AD1416">
        <v>9</v>
      </c>
      <c r="AE1416">
        <v>0</v>
      </c>
      <c r="AF1416">
        <v>3</v>
      </c>
      <c r="AG1416">
        <v>1</v>
      </c>
      <c r="AH1416">
        <v>0</v>
      </c>
      <c r="AI1416" t="s">
        <v>571</v>
      </c>
      <c r="AJ1416">
        <v>34.200803999999998</v>
      </c>
      <c r="AK1416" t="s">
        <v>572</v>
      </c>
      <c r="AL1416">
        <v>-116.974118</v>
      </c>
      <c r="AM1416">
        <v>100</v>
      </c>
      <c r="AN1416">
        <v>8900</v>
      </c>
      <c r="AO1416" t="s">
        <v>118</v>
      </c>
      <c r="AP1416">
        <v>-104</v>
      </c>
      <c r="AQ1416">
        <v>-57</v>
      </c>
      <c r="AR1416">
        <v>-448</v>
      </c>
      <c r="AZ1416">
        <v>1200</v>
      </c>
      <c r="BA1416">
        <v>1</v>
      </c>
      <c r="BB1416" t="str">
        <f t="shared" si="773"/>
        <v xml:space="preserve">N9217B  </v>
      </c>
      <c r="BC1416">
        <v>1</v>
      </c>
      <c r="BE1416">
        <v>0</v>
      </c>
      <c r="BF1416">
        <v>0</v>
      </c>
      <c r="BG1416">
        <v>0</v>
      </c>
      <c r="BH1416">
        <v>8875</v>
      </c>
      <c r="BI1416">
        <v>1</v>
      </c>
      <c r="BJ1416">
        <v>0</v>
      </c>
      <c r="BK1416">
        <v>0</v>
      </c>
      <c r="BL1416">
        <v>0</v>
      </c>
      <c r="BO1416">
        <v>0</v>
      </c>
      <c r="BP1416">
        <v>0</v>
      </c>
      <c r="BW1416" t="str">
        <f t="shared" ref="BW1416:BW1422" si="777">"14:52:34.922"</f>
        <v>14:52:34.922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293</v>
      </c>
      <c r="CR1416">
        <v>1</v>
      </c>
      <c r="CW1416">
        <v>15286837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25">
      <c r="A1417" t="str">
        <f t="shared" si="774"/>
        <v>06/05/2020 14:52:29.279</v>
      </c>
      <c r="C1417" t="str">
        <f t="shared" si="753"/>
        <v>FFDFD3C0</v>
      </c>
      <c r="D1417" t="s">
        <v>151</v>
      </c>
      <c r="E1417">
        <v>8</v>
      </c>
      <c r="H1417">
        <v>225</v>
      </c>
      <c r="I1417" t="s">
        <v>353</v>
      </c>
      <c r="J1417" t="s">
        <v>150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775"/>
        <v>14:52:34.922</v>
      </c>
      <c r="T1417" t="str">
        <f t="shared" si="776"/>
        <v>14:52:34.622</v>
      </c>
      <c r="U1417" t="str">
        <f t="shared" si="772"/>
        <v>ACC530</v>
      </c>
      <c r="V1417">
        <v>0</v>
      </c>
      <c r="W1417">
        <v>0</v>
      </c>
      <c r="X1417">
        <v>1</v>
      </c>
      <c r="Z1417">
        <v>0</v>
      </c>
      <c r="AA1417">
        <v>9</v>
      </c>
      <c r="AB1417">
        <v>3</v>
      </c>
      <c r="AC1417">
        <v>0</v>
      </c>
      <c r="AD1417">
        <v>9</v>
      </c>
      <c r="AE1417">
        <v>0</v>
      </c>
      <c r="AF1417">
        <v>3</v>
      </c>
      <c r="AG1417">
        <v>1</v>
      </c>
      <c r="AH1417">
        <v>0</v>
      </c>
      <c r="AI1417" t="s">
        <v>571</v>
      </c>
      <c r="AJ1417">
        <v>34.200803999999998</v>
      </c>
      <c r="AK1417" t="s">
        <v>572</v>
      </c>
      <c r="AL1417">
        <v>-116.974118</v>
      </c>
      <c r="AM1417">
        <v>100</v>
      </c>
      <c r="AN1417">
        <v>8900</v>
      </c>
      <c r="AO1417" t="s">
        <v>118</v>
      </c>
      <c r="AP1417">
        <v>-104</v>
      </c>
      <c r="AQ1417">
        <v>-57</v>
      </c>
      <c r="AR1417">
        <v>-448</v>
      </c>
      <c r="AZ1417">
        <v>1200</v>
      </c>
      <c r="BA1417">
        <v>1</v>
      </c>
      <c r="BB1417" t="str">
        <f t="shared" si="773"/>
        <v xml:space="preserve">N9217B  </v>
      </c>
      <c r="BC1417">
        <v>1</v>
      </c>
      <c r="BE1417">
        <v>0</v>
      </c>
      <c r="BF1417">
        <v>0</v>
      </c>
      <c r="BG1417">
        <v>0</v>
      </c>
      <c r="BH1417">
        <v>8875</v>
      </c>
      <c r="BI1417">
        <v>1</v>
      </c>
      <c r="BJ1417">
        <v>0</v>
      </c>
      <c r="BK1417">
        <v>0</v>
      </c>
      <c r="BL1417">
        <v>0</v>
      </c>
      <c r="BO1417">
        <v>0</v>
      </c>
      <c r="BP1417">
        <v>0</v>
      </c>
      <c r="BW1417" t="str">
        <f t="shared" si="777"/>
        <v>14:52:34.922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285</v>
      </c>
      <c r="CR1417">
        <v>0</v>
      </c>
      <c r="CW1417">
        <v>8852903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25">
      <c r="A1418" t="str">
        <f t="shared" si="774"/>
        <v>06/05/2020 14:52:29.279</v>
      </c>
      <c r="C1418" t="str">
        <f t="shared" si="753"/>
        <v>FFDFD3C0</v>
      </c>
      <c r="D1418" t="s">
        <v>151</v>
      </c>
      <c r="E1418">
        <v>9</v>
      </c>
      <c r="H1418">
        <v>226</v>
      </c>
      <c r="I1418" t="s">
        <v>152</v>
      </c>
      <c r="J1418" t="s">
        <v>150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775"/>
        <v>14:52:34.922</v>
      </c>
      <c r="T1418" t="str">
        <f t="shared" si="776"/>
        <v>14:52:34.622</v>
      </c>
      <c r="U1418" t="str">
        <f t="shared" si="772"/>
        <v>ACC530</v>
      </c>
      <c r="V1418">
        <v>0</v>
      </c>
      <c r="W1418">
        <v>0</v>
      </c>
      <c r="X1418">
        <v>1</v>
      </c>
      <c r="Z1418">
        <v>0</v>
      </c>
      <c r="AA1418">
        <v>9</v>
      </c>
      <c r="AB1418">
        <v>3</v>
      </c>
      <c r="AC1418">
        <v>0</v>
      </c>
      <c r="AD1418">
        <v>9</v>
      </c>
      <c r="AE1418">
        <v>0</v>
      </c>
      <c r="AF1418">
        <v>3</v>
      </c>
      <c r="AG1418">
        <v>1</v>
      </c>
      <c r="AH1418">
        <v>0</v>
      </c>
      <c r="AI1418" t="s">
        <v>571</v>
      </c>
      <c r="AJ1418">
        <v>34.200803999999998</v>
      </c>
      <c r="AK1418" t="s">
        <v>572</v>
      </c>
      <c r="AL1418">
        <v>-116.974118</v>
      </c>
      <c r="AM1418">
        <v>100</v>
      </c>
      <c r="AN1418">
        <v>8900</v>
      </c>
      <c r="AO1418" t="s">
        <v>118</v>
      </c>
      <c r="AP1418">
        <v>-104</v>
      </c>
      <c r="AQ1418">
        <v>-57</v>
      </c>
      <c r="AR1418">
        <v>-448</v>
      </c>
      <c r="AZ1418">
        <v>1200</v>
      </c>
      <c r="BA1418">
        <v>1</v>
      </c>
      <c r="BB1418" t="str">
        <f t="shared" si="773"/>
        <v xml:space="preserve">N9217B  </v>
      </c>
      <c r="BC1418">
        <v>1</v>
      </c>
      <c r="BE1418">
        <v>0</v>
      </c>
      <c r="BF1418">
        <v>0</v>
      </c>
      <c r="BG1418">
        <v>0</v>
      </c>
      <c r="BH1418">
        <v>8875</v>
      </c>
      <c r="BI1418">
        <v>1</v>
      </c>
      <c r="BJ1418">
        <v>0</v>
      </c>
      <c r="BK1418">
        <v>0</v>
      </c>
      <c r="BL1418">
        <v>0</v>
      </c>
      <c r="BO1418">
        <v>0</v>
      </c>
      <c r="BP1418">
        <v>0</v>
      </c>
      <c r="BW1418" t="str">
        <f t="shared" si="777"/>
        <v>14:52:34.922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293</v>
      </c>
      <c r="CR1418">
        <v>1</v>
      </c>
      <c r="CW1418">
        <v>15286837</v>
      </c>
      <c r="CY1418">
        <v>0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25">
      <c r="A1419" t="str">
        <f t="shared" si="774"/>
        <v>06/05/2020 14:52:29.279</v>
      </c>
      <c r="C1419" t="str">
        <f t="shared" si="753"/>
        <v>FFDFD3C0</v>
      </c>
      <c r="D1419" t="s">
        <v>113</v>
      </c>
      <c r="E1419">
        <v>3</v>
      </c>
      <c r="H1419">
        <v>166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775"/>
        <v>14:52:34.922</v>
      </c>
      <c r="T1419" t="str">
        <f t="shared" si="776"/>
        <v>14:52:34.622</v>
      </c>
      <c r="U1419" t="str">
        <f t="shared" si="772"/>
        <v>ACC530</v>
      </c>
      <c r="V1419">
        <v>0</v>
      </c>
      <c r="W1419">
        <v>0</v>
      </c>
      <c r="X1419">
        <v>1</v>
      </c>
      <c r="Z1419">
        <v>0</v>
      </c>
      <c r="AA1419">
        <v>9</v>
      </c>
      <c r="AB1419">
        <v>3</v>
      </c>
      <c r="AC1419">
        <v>0</v>
      </c>
      <c r="AD1419">
        <v>9</v>
      </c>
      <c r="AE1419">
        <v>0</v>
      </c>
      <c r="AF1419">
        <v>3</v>
      </c>
      <c r="AG1419">
        <v>1</v>
      </c>
      <c r="AH1419">
        <v>0</v>
      </c>
      <c r="AI1419" t="s">
        <v>571</v>
      </c>
      <c r="AJ1419">
        <v>34.200803999999998</v>
      </c>
      <c r="AK1419" t="s">
        <v>572</v>
      </c>
      <c r="AL1419">
        <v>-116.974118</v>
      </c>
      <c r="AM1419">
        <v>100</v>
      </c>
      <c r="AN1419">
        <v>8900</v>
      </c>
      <c r="AO1419" t="s">
        <v>118</v>
      </c>
      <c r="AP1419">
        <v>-104</v>
      </c>
      <c r="AQ1419">
        <v>-57</v>
      </c>
      <c r="AR1419">
        <v>-448</v>
      </c>
      <c r="AZ1419">
        <v>1200</v>
      </c>
      <c r="BA1419">
        <v>1</v>
      </c>
      <c r="BB1419" t="str">
        <f t="shared" si="773"/>
        <v xml:space="preserve">N9217B  </v>
      </c>
      <c r="BC1419">
        <v>1</v>
      </c>
      <c r="BE1419">
        <v>0</v>
      </c>
      <c r="BF1419">
        <v>0</v>
      </c>
      <c r="BG1419">
        <v>0</v>
      </c>
      <c r="BH1419">
        <v>8875</v>
      </c>
      <c r="BI1419">
        <v>1</v>
      </c>
      <c r="BJ1419">
        <v>0</v>
      </c>
      <c r="BK1419">
        <v>0</v>
      </c>
      <c r="BL1419">
        <v>0</v>
      </c>
      <c r="BO1419">
        <v>0</v>
      </c>
      <c r="BP1419">
        <v>0</v>
      </c>
      <c r="BW1419" t="str">
        <f t="shared" si="777"/>
        <v>14:52:34.922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293</v>
      </c>
      <c r="CR1419">
        <v>1</v>
      </c>
      <c r="CW1419">
        <v>15286837</v>
      </c>
      <c r="CY1419">
        <v>0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25">
      <c r="A1420" t="str">
        <f t="shared" si="774"/>
        <v>06/05/2020 14:52:29.279</v>
      </c>
      <c r="C1420" t="str">
        <f t="shared" si="753"/>
        <v>FFDFD3C0</v>
      </c>
      <c r="D1420" t="s">
        <v>148</v>
      </c>
      <c r="E1420">
        <v>11</v>
      </c>
      <c r="H1420">
        <v>53</v>
      </c>
      <c r="I1420" t="s">
        <v>364</v>
      </c>
      <c r="J1420" t="s">
        <v>150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775"/>
        <v>14:52:34.922</v>
      </c>
      <c r="T1420" t="str">
        <f t="shared" si="776"/>
        <v>14:52:34.622</v>
      </c>
      <c r="U1420" t="str">
        <f t="shared" si="772"/>
        <v>ACC530</v>
      </c>
      <c r="V1420">
        <v>0</v>
      </c>
      <c r="W1420">
        <v>0</v>
      </c>
      <c r="X1420">
        <v>1</v>
      </c>
      <c r="Z1420">
        <v>0</v>
      </c>
      <c r="AA1420">
        <v>9</v>
      </c>
      <c r="AB1420">
        <v>3</v>
      </c>
      <c r="AC1420">
        <v>0</v>
      </c>
      <c r="AD1420">
        <v>9</v>
      </c>
      <c r="AE1420">
        <v>0</v>
      </c>
      <c r="AF1420">
        <v>3</v>
      </c>
      <c r="AG1420">
        <v>1</v>
      </c>
      <c r="AH1420">
        <v>0</v>
      </c>
      <c r="AI1420" t="s">
        <v>571</v>
      </c>
      <c r="AJ1420">
        <v>34.200803999999998</v>
      </c>
      <c r="AK1420" t="s">
        <v>572</v>
      </c>
      <c r="AL1420">
        <v>-116.974118</v>
      </c>
      <c r="AM1420">
        <v>100</v>
      </c>
      <c r="AN1420">
        <v>8900</v>
      </c>
      <c r="AO1420" t="s">
        <v>118</v>
      </c>
      <c r="AP1420">
        <v>-104</v>
      </c>
      <c r="AQ1420">
        <v>-57</v>
      </c>
      <c r="AR1420">
        <v>-448</v>
      </c>
      <c r="AZ1420">
        <v>1200</v>
      </c>
      <c r="BA1420">
        <v>1</v>
      </c>
      <c r="BB1420" t="str">
        <f t="shared" si="773"/>
        <v xml:space="preserve">N9217B  </v>
      </c>
      <c r="BC1420">
        <v>1</v>
      </c>
      <c r="BE1420">
        <v>0</v>
      </c>
      <c r="BF1420">
        <v>0</v>
      </c>
      <c r="BG1420">
        <v>0</v>
      </c>
      <c r="BH1420">
        <v>8875</v>
      </c>
      <c r="BI1420">
        <v>1</v>
      </c>
      <c r="BJ1420">
        <v>0</v>
      </c>
      <c r="BK1420">
        <v>0</v>
      </c>
      <c r="BL1420">
        <v>0</v>
      </c>
      <c r="BO1420">
        <v>0</v>
      </c>
      <c r="BP1420">
        <v>0</v>
      </c>
      <c r="BW1420" t="str">
        <f t="shared" si="777"/>
        <v>14:52:34.922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293</v>
      </c>
      <c r="CR1420">
        <v>1</v>
      </c>
      <c r="CW1420">
        <v>15286837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25">
      <c r="A1421" t="str">
        <f t="shared" si="774"/>
        <v>06/05/2020 14:52:29.279</v>
      </c>
      <c r="C1421" t="str">
        <f t="shared" si="753"/>
        <v>FFDFD3C0</v>
      </c>
      <c r="D1421" t="s">
        <v>134</v>
      </c>
      <c r="E1421">
        <v>7</v>
      </c>
      <c r="F1421">
        <v>2007</v>
      </c>
      <c r="G1421" t="s">
        <v>135</v>
      </c>
      <c r="J1421" t="s">
        <v>136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775"/>
        <v>14:52:34.922</v>
      </c>
      <c r="T1421" t="str">
        <f t="shared" si="776"/>
        <v>14:52:34.622</v>
      </c>
      <c r="U1421" t="str">
        <f t="shared" si="772"/>
        <v>ACC530</v>
      </c>
      <c r="V1421">
        <v>0</v>
      </c>
      <c r="W1421">
        <v>0</v>
      </c>
      <c r="X1421">
        <v>1</v>
      </c>
      <c r="Z1421">
        <v>0</v>
      </c>
      <c r="AA1421">
        <v>9</v>
      </c>
      <c r="AB1421">
        <v>3</v>
      </c>
      <c r="AC1421">
        <v>0</v>
      </c>
      <c r="AD1421">
        <v>9</v>
      </c>
      <c r="AE1421">
        <v>0</v>
      </c>
      <c r="AF1421">
        <v>3</v>
      </c>
      <c r="AG1421">
        <v>1</v>
      </c>
      <c r="AH1421">
        <v>0</v>
      </c>
      <c r="AI1421" t="s">
        <v>571</v>
      </c>
      <c r="AJ1421">
        <v>34.200803999999998</v>
      </c>
      <c r="AK1421" t="s">
        <v>572</v>
      </c>
      <c r="AL1421">
        <v>-116.974118</v>
      </c>
      <c r="AM1421">
        <v>100</v>
      </c>
      <c r="AN1421">
        <v>8900</v>
      </c>
      <c r="AO1421" t="s">
        <v>118</v>
      </c>
      <c r="AP1421">
        <v>-104</v>
      </c>
      <c r="AQ1421">
        <v>-57</v>
      </c>
      <c r="AR1421">
        <v>-448</v>
      </c>
      <c r="AZ1421">
        <v>1200</v>
      </c>
      <c r="BA1421">
        <v>1</v>
      </c>
      <c r="BB1421" t="str">
        <f t="shared" si="773"/>
        <v xml:space="preserve">N9217B  </v>
      </c>
      <c r="BC1421">
        <v>1</v>
      </c>
      <c r="BE1421">
        <v>0</v>
      </c>
      <c r="BF1421">
        <v>0</v>
      </c>
      <c r="BG1421">
        <v>0</v>
      </c>
      <c r="BH1421">
        <v>8875</v>
      </c>
      <c r="BI1421">
        <v>1</v>
      </c>
      <c r="BJ1421">
        <v>0</v>
      </c>
      <c r="BK1421">
        <v>0</v>
      </c>
      <c r="BL1421">
        <v>0</v>
      </c>
      <c r="BO1421">
        <v>0</v>
      </c>
      <c r="BP1421">
        <v>0</v>
      </c>
      <c r="BW1421" t="str">
        <f t="shared" si="777"/>
        <v>14:52:34.922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293</v>
      </c>
      <c r="CR1421">
        <v>1</v>
      </c>
      <c r="CW1421">
        <v>15286837</v>
      </c>
      <c r="CY1421">
        <v>0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25">
      <c r="A1422" t="str">
        <f t="shared" si="774"/>
        <v>06/05/2020 14:52:29.279</v>
      </c>
      <c r="C1422" t="str">
        <f t="shared" si="753"/>
        <v>FFDFD3C0</v>
      </c>
      <c r="D1422" t="s">
        <v>141</v>
      </c>
      <c r="E1422">
        <v>20</v>
      </c>
      <c r="F1422">
        <v>1020</v>
      </c>
      <c r="G1422" t="s">
        <v>114</v>
      </c>
      <c r="J1422" t="s">
        <v>142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775"/>
        <v>14:52:34.922</v>
      </c>
      <c r="T1422" t="str">
        <f t="shared" si="776"/>
        <v>14:52:34.622</v>
      </c>
      <c r="U1422" t="str">
        <f t="shared" si="772"/>
        <v>ACC530</v>
      </c>
      <c r="V1422">
        <v>0</v>
      </c>
      <c r="W1422">
        <v>0</v>
      </c>
      <c r="X1422">
        <v>1</v>
      </c>
      <c r="Z1422">
        <v>0</v>
      </c>
      <c r="AA1422">
        <v>9</v>
      </c>
      <c r="AB1422">
        <v>3</v>
      </c>
      <c r="AC1422">
        <v>0</v>
      </c>
      <c r="AD1422">
        <v>9</v>
      </c>
      <c r="AE1422">
        <v>0</v>
      </c>
      <c r="AF1422">
        <v>3</v>
      </c>
      <c r="AG1422">
        <v>1</v>
      </c>
      <c r="AH1422">
        <v>0</v>
      </c>
      <c r="AI1422" t="s">
        <v>571</v>
      </c>
      <c r="AJ1422">
        <v>34.200803999999998</v>
      </c>
      <c r="AK1422" t="s">
        <v>572</v>
      </c>
      <c r="AL1422">
        <v>-116.974118</v>
      </c>
      <c r="AM1422">
        <v>100</v>
      </c>
      <c r="AN1422">
        <v>8900</v>
      </c>
      <c r="AO1422" t="s">
        <v>118</v>
      </c>
      <c r="AP1422">
        <v>-104</v>
      </c>
      <c r="AQ1422">
        <v>-57</v>
      </c>
      <c r="AR1422">
        <v>-448</v>
      </c>
      <c r="AZ1422">
        <v>1200</v>
      </c>
      <c r="BA1422">
        <v>1</v>
      </c>
      <c r="BB1422" t="str">
        <f t="shared" si="773"/>
        <v xml:space="preserve">N9217B  </v>
      </c>
      <c r="BC1422">
        <v>1</v>
      </c>
      <c r="BE1422">
        <v>0</v>
      </c>
      <c r="BF1422">
        <v>0</v>
      </c>
      <c r="BG1422">
        <v>0</v>
      </c>
      <c r="BH1422">
        <v>8875</v>
      </c>
      <c r="BI1422">
        <v>1</v>
      </c>
      <c r="BJ1422">
        <v>0</v>
      </c>
      <c r="BK1422">
        <v>0</v>
      </c>
      <c r="BL1422">
        <v>0</v>
      </c>
      <c r="BO1422">
        <v>0</v>
      </c>
      <c r="BP1422">
        <v>0</v>
      </c>
      <c r="BW1422" t="str">
        <f t="shared" si="777"/>
        <v>14:52:34.922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293</v>
      </c>
      <c r="CR1422">
        <v>1</v>
      </c>
      <c r="CW1422">
        <v>15286837</v>
      </c>
      <c r="CY1422">
        <v>0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25">
      <c r="A1423" t="str">
        <f t="shared" ref="A1423:A1429" si="778">"06/05/2020 14:52:30.342"</f>
        <v>06/05/2020 14:52:30.342</v>
      </c>
      <c r="C1423" t="str">
        <f t="shared" si="753"/>
        <v>FFDFD3C0</v>
      </c>
      <c r="D1423" t="s">
        <v>148</v>
      </c>
      <c r="E1423">
        <v>8</v>
      </c>
      <c r="H1423">
        <v>50</v>
      </c>
      <c r="I1423" t="s">
        <v>149</v>
      </c>
      <c r="J1423" t="s">
        <v>150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ref="S1423:T1429" si="779">"14:52:36.016"</f>
        <v>14:52:36.016</v>
      </c>
      <c r="T1423" t="str">
        <f t="shared" si="779"/>
        <v>14:52:36.016</v>
      </c>
      <c r="U1423" t="str">
        <f t="shared" si="772"/>
        <v>ACC530</v>
      </c>
      <c r="V1423">
        <v>0</v>
      </c>
      <c r="W1423">
        <v>0</v>
      </c>
      <c r="X1423">
        <v>1</v>
      </c>
      <c r="Z1423">
        <v>0</v>
      </c>
      <c r="AA1423">
        <v>9</v>
      </c>
      <c r="AB1423">
        <v>3</v>
      </c>
      <c r="AC1423">
        <v>0</v>
      </c>
      <c r="AD1423">
        <v>9</v>
      </c>
      <c r="AE1423">
        <v>0</v>
      </c>
      <c r="AF1423">
        <v>3</v>
      </c>
      <c r="AG1423">
        <v>1</v>
      </c>
      <c r="AH1423">
        <v>0</v>
      </c>
      <c r="AI1423" t="s">
        <v>573</v>
      </c>
      <c r="AJ1423">
        <v>34.200482000000001</v>
      </c>
      <c r="AK1423" t="s">
        <v>574</v>
      </c>
      <c r="AL1423">
        <v>-116.97474</v>
      </c>
      <c r="AM1423">
        <v>100</v>
      </c>
      <c r="AN1423">
        <v>8900</v>
      </c>
      <c r="AO1423" t="s">
        <v>118</v>
      </c>
      <c r="AP1423">
        <v>-104</v>
      </c>
      <c r="AQ1423">
        <v>-57</v>
      </c>
      <c r="AR1423">
        <v>-576</v>
      </c>
      <c r="AZ1423">
        <v>1200</v>
      </c>
      <c r="BA1423">
        <v>1</v>
      </c>
      <c r="BB1423" t="str">
        <f t="shared" si="773"/>
        <v xml:space="preserve">N9217B  </v>
      </c>
      <c r="BC1423">
        <v>1</v>
      </c>
      <c r="BE1423">
        <v>0</v>
      </c>
      <c r="BF1423">
        <v>0</v>
      </c>
      <c r="BG1423">
        <v>0</v>
      </c>
      <c r="BH1423">
        <v>8975</v>
      </c>
      <c r="BI1423">
        <v>1</v>
      </c>
      <c r="BJ1423">
        <v>0</v>
      </c>
      <c r="BK1423">
        <v>0</v>
      </c>
      <c r="BL1423">
        <v>0</v>
      </c>
      <c r="BO1423">
        <v>0</v>
      </c>
      <c r="BP1423">
        <v>0</v>
      </c>
      <c r="BW1423" t="str">
        <f t="shared" ref="BW1423:BW1429" si="780">"14:52:36.017"</f>
        <v>14:52:36.017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293</v>
      </c>
      <c r="CR1423">
        <v>2</v>
      </c>
      <c r="CW1423">
        <v>15286951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25">
      <c r="A1424" t="str">
        <f t="shared" si="778"/>
        <v>06/05/2020 14:52:30.342</v>
      </c>
      <c r="C1424" t="str">
        <f t="shared" si="753"/>
        <v>FFDFD3C0</v>
      </c>
      <c r="D1424" t="s">
        <v>151</v>
      </c>
      <c r="E1424">
        <v>8</v>
      </c>
      <c r="H1424">
        <v>225</v>
      </c>
      <c r="I1424" t="s">
        <v>353</v>
      </c>
      <c r="J1424" t="s">
        <v>150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779"/>
        <v>14:52:36.016</v>
      </c>
      <c r="T1424" t="str">
        <f t="shared" si="779"/>
        <v>14:52:36.016</v>
      </c>
      <c r="U1424" t="str">
        <f t="shared" si="772"/>
        <v>ACC530</v>
      </c>
      <c r="V1424">
        <v>0</v>
      </c>
      <c r="W1424">
        <v>0</v>
      </c>
      <c r="X1424">
        <v>1</v>
      </c>
      <c r="Z1424">
        <v>0</v>
      </c>
      <c r="AA1424">
        <v>9</v>
      </c>
      <c r="AB1424">
        <v>3</v>
      </c>
      <c r="AC1424">
        <v>0</v>
      </c>
      <c r="AD1424">
        <v>9</v>
      </c>
      <c r="AE1424">
        <v>0</v>
      </c>
      <c r="AF1424">
        <v>3</v>
      </c>
      <c r="AG1424">
        <v>1</v>
      </c>
      <c r="AH1424">
        <v>0</v>
      </c>
      <c r="AI1424" t="s">
        <v>573</v>
      </c>
      <c r="AJ1424">
        <v>34.200482000000001</v>
      </c>
      <c r="AK1424" t="s">
        <v>574</v>
      </c>
      <c r="AL1424">
        <v>-116.97474</v>
      </c>
      <c r="AM1424">
        <v>100</v>
      </c>
      <c r="AN1424">
        <v>8900</v>
      </c>
      <c r="AO1424" t="s">
        <v>118</v>
      </c>
      <c r="AP1424">
        <v>-104</v>
      </c>
      <c r="AQ1424">
        <v>-57</v>
      </c>
      <c r="AR1424">
        <v>-576</v>
      </c>
      <c r="AZ1424">
        <v>1200</v>
      </c>
      <c r="BA1424">
        <v>1</v>
      </c>
      <c r="BB1424" t="str">
        <f t="shared" si="773"/>
        <v xml:space="preserve">N9217B  </v>
      </c>
      <c r="BC1424">
        <v>1</v>
      </c>
      <c r="BE1424">
        <v>0</v>
      </c>
      <c r="BF1424">
        <v>0</v>
      </c>
      <c r="BG1424">
        <v>0</v>
      </c>
      <c r="BH1424">
        <v>8975</v>
      </c>
      <c r="BI1424">
        <v>1</v>
      </c>
      <c r="BJ1424">
        <v>0</v>
      </c>
      <c r="BK1424">
        <v>0</v>
      </c>
      <c r="BL1424">
        <v>0</v>
      </c>
      <c r="BO1424">
        <v>0</v>
      </c>
      <c r="BP1424">
        <v>0</v>
      </c>
      <c r="BW1424" t="str">
        <f t="shared" si="780"/>
        <v>14:52:36.017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5</v>
      </c>
      <c r="CP1424" t="s">
        <v>119</v>
      </c>
      <c r="CQ1424">
        <v>285</v>
      </c>
      <c r="CR1424">
        <v>0</v>
      </c>
      <c r="CW1424">
        <v>8853003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25">
      <c r="A1425" t="str">
        <f t="shared" si="778"/>
        <v>06/05/2020 14:52:30.342</v>
      </c>
      <c r="C1425" t="str">
        <f t="shared" si="753"/>
        <v>FFDFD3C0</v>
      </c>
      <c r="D1425" t="s">
        <v>113</v>
      </c>
      <c r="E1425">
        <v>3</v>
      </c>
      <c r="H1425">
        <v>166</v>
      </c>
      <c r="I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779"/>
        <v>14:52:36.016</v>
      </c>
      <c r="T1425" t="str">
        <f t="shared" si="779"/>
        <v>14:52:36.016</v>
      </c>
      <c r="U1425" t="str">
        <f t="shared" si="772"/>
        <v>ACC530</v>
      </c>
      <c r="V1425">
        <v>0</v>
      </c>
      <c r="W1425">
        <v>0</v>
      </c>
      <c r="X1425">
        <v>1</v>
      </c>
      <c r="Z1425">
        <v>0</v>
      </c>
      <c r="AA1425">
        <v>9</v>
      </c>
      <c r="AB1425">
        <v>3</v>
      </c>
      <c r="AC1425">
        <v>0</v>
      </c>
      <c r="AD1425">
        <v>9</v>
      </c>
      <c r="AE1425">
        <v>0</v>
      </c>
      <c r="AF1425">
        <v>3</v>
      </c>
      <c r="AG1425">
        <v>1</v>
      </c>
      <c r="AH1425">
        <v>0</v>
      </c>
      <c r="AI1425" t="s">
        <v>573</v>
      </c>
      <c r="AJ1425">
        <v>34.200482000000001</v>
      </c>
      <c r="AK1425" t="s">
        <v>574</v>
      </c>
      <c r="AL1425">
        <v>-116.97474</v>
      </c>
      <c r="AM1425">
        <v>100</v>
      </c>
      <c r="AN1425">
        <v>8900</v>
      </c>
      <c r="AO1425" t="s">
        <v>118</v>
      </c>
      <c r="AP1425">
        <v>-104</v>
      </c>
      <c r="AQ1425">
        <v>-57</v>
      </c>
      <c r="AR1425">
        <v>-576</v>
      </c>
      <c r="AZ1425">
        <v>1200</v>
      </c>
      <c r="BA1425">
        <v>1</v>
      </c>
      <c r="BB1425" t="str">
        <f t="shared" si="773"/>
        <v xml:space="preserve">N9217B  </v>
      </c>
      <c r="BC1425">
        <v>1</v>
      </c>
      <c r="BE1425">
        <v>0</v>
      </c>
      <c r="BF1425">
        <v>0</v>
      </c>
      <c r="BG1425">
        <v>0</v>
      </c>
      <c r="BH1425">
        <v>8975</v>
      </c>
      <c r="BI1425">
        <v>1</v>
      </c>
      <c r="BJ1425">
        <v>0</v>
      </c>
      <c r="BK1425">
        <v>0</v>
      </c>
      <c r="BL1425">
        <v>0</v>
      </c>
      <c r="BO1425">
        <v>0</v>
      </c>
      <c r="BP1425">
        <v>0</v>
      </c>
      <c r="BW1425" t="str">
        <f t="shared" si="780"/>
        <v>14:52:36.017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6</v>
      </c>
      <c r="CP1425" t="s">
        <v>119</v>
      </c>
      <c r="CQ1425">
        <v>293</v>
      </c>
      <c r="CR1425">
        <v>2</v>
      </c>
      <c r="CW1425">
        <v>15286951</v>
      </c>
      <c r="CY1425">
        <v>0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25">
      <c r="A1426" t="str">
        <f t="shared" si="778"/>
        <v>06/05/2020 14:52:30.342</v>
      </c>
      <c r="C1426" t="str">
        <f t="shared" si="753"/>
        <v>FFDFD3C0</v>
      </c>
      <c r="D1426" t="s">
        <v>148</v>
      </c>
      <c r="E1426">
        <v>11</v>
      </c>
      <c r="H1426">
        <v>53</v>
      </c>
      <c r="I1426" t="s">
        <v>364</v>
      </c>
      <c r="J1426" t="s">
        <v>150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779"/>
        <v>14:52:36.016</v>
      </c>
      <c r="T1426" t="str">
        <f t="shared" si="779"/>
        <v>14:52:36.016</v>
      </c>
      <c r="U1426" t="str">
        <f t="shared" si="772"/>
        <v>ACC530</v>
      </c>
      <c r="V1426">
        <v>0</v>
      </c>
      <c r="W1426">
        <v>0</v>
      </c>
      <c r="X1426">
        <v>1</v>
      </c>
      <c r="Z1426">
        <v>0</v>
      </c>
      <c r="AA1426">
        <v>9</v>
      </c>
      <c r="AB1426">
        <v>3</v>
      </c>
      <c r="AC1426">
        <v>0</v>
      </c>
      <c r="AD1426">
        <v>9</v>
      </c>
      <c r="AE1426">
        <v>0</v>
      </c>
      <c r="AF1426">
        <v>3</v>
      </c>
      <c r="AG1426">
        <v>1</v>
      </c>
      <c r="AH1426">
        <v>0</v>
      </c>
      <c r="AI1426" t="s">
        <v>573</v>
      </c>
      <c r="AJ1426">
        <v>34.200482000000001</v>
      </c>
      <c r="AK1426" t="s">
        <v>574</v>
      </c>
      <c r="AL1426">
        <v>-116.97474</v>
      </c>
      <c r="AM1426">
        <v>100</v>
      </c>
      <c r="AN1426">
        <v>8900</v>
      </c>
      <c r="AO1426" t="s">
        <v>118</v>
      </c>
      <c r="AP1426">
        <v>-104</v>
      </c>
      <c r="AQ1426">
        <v>-57</v>
      </c>
      <c r="AR1426">
        <v>-576</v>
      </c>
      <c r="AZ1426">
        <v>1200</v>
      </c>
      <c r="BA1426">
        <v>1</v>
      </c>
      <c r="BB1426" t="str">
        <f t="shared" si="773"/>
        <v xml:space="preserve">N9217B  </v>
      </c>
      <c r="BC1426">
        <v>1</v>
      </c>
      <c r="BE1426">
        <v>0</v>
      </c>
      <c r="BF1426">
        <v>0</v>
      </c>
      <c r="BG1426">
        <v>0</v>
      </c>
      <c r="BH1426">
        <v>8975</v>
      </c>
      <c r="BI1426">
        <v>1</v>
      </c>
      <c r="BJ1426">
        <v>0</v>
      </c>
      <c r="BK1426">
        <v>0</v>
      </c>
      <c r="BL1426">
        <v>0</v>
      </c>
      <c r="BO1426">
        <v>0</v>
      </c>
      <c r="BP1426">
        <v>0</v>
      </c>
      <c r="BW1426" t="str">
        <f t="shared" si="780"/>
        <v>14:52:36.017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293</v>
      </c>
      <c r="CR1426">
        <v>2</v>
      </c>
      <c r="CW1426">
        <v>15286951</v>
      </c>
      <c r="CY1426">
        <v>0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25">
      <c r="A1427" t="str">
        <f t="shared" si="778"/>
        <v>06/05/2020 14:52:30.342</v>
      </c>
      <c r="C1427" t="str">
        <f t="shared" si="753"/>
        <v>FFDFD3C0</v>
      </c>
      <c r="D1427" t="s">
        <v>151</v>
      </c>
      <c r="E1427">
        <v>9</v>
      </c>
      <c r="H1427">
        <v>226</v>
      </c>
      <c r="I1427" t="s">
        <v>152</v>
      </c>
      <c r="J1427" t="s">
        <v>150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779"/>
        <v>14:52:36.016</v>
      </c>
      <c r="T1427" t="str">
        <f t="shared" si="779"/>
        <v>14:52:36.016</v>
      </c>
      <c r="U1427" t="str">
        <f t="shared" si="772"/>
        <v>ACC530</v>
      </c>
      <c r="V1427">
        <v>0</v>
      </c>
      <c r="W1427">
        <v>0</v>
      </c>
      <c r="X1427">
        <v>1</v>
      </c>
      <c r="Z1427">
        <v>0</v>
      </c>
      <c r="AA1427">
        <v>9</v>
      </c>
      <c r="AB1427">
        <v>3</v>
      </c>
      <c r="AC1427">
        <v>0</v>
      </c>
      <c r="AD1427">
        <v>9</v>
      </c>
      <c r="AE1427">
        <v>0</v>
      </c>
      <c r="AF1427">
        <v>3</v>
      </c>
      <c r="AG1427">
        <v>1</v>
      </c>
      <c r="AH1427">
        <v>0</v>
      </c>
      <c r="AI1427" t="s">
        <v>573</v>
      </c>
      <c r="AJ1427">
        <v>34.200482000000001</v>
      </c>
      <c r="AK1427" t="s">
        <v>574</v>
      </c>
      <c r="AL1427">
        <v>-116.97474</v>
      </c>
      <c r="AM1427">
        <v>100</v>
      </c>
      <c r="AN1427">
        <v>8900</v>
      </c>
      <c r="AO1427" t="s">
        <v>118</v>
      </c>
      <c r="AP1427">
        <v>-104</v>
      </c>
      <c r="AQ1427">
        <v>-57</v>
      </c>
      <c r="AR1427">
        <v>-576</v>
      </c>
      <c r="AZ1427">
        <v>1200</v>
      </c>
      <c r="BA1427">
        <v>1</v>
      </c>
      <c r="BB1427" t="str">
        <f t="shared" si="773"/>
        <v xml:space="preserve">N9217B  </v>
      </c>
      <c r="BC1427">
        <v>1</v>
      </c>
      <c r="BE1427">
        <v>0</v>
      </c>
      <c r="BF1427">
        <v>0</v>
      </c>
      <c r="BG1427">
        <v>0</v>
      </c>
      <c r="BH1427">
        <v>8975</v>
      </c>
      <c r="BI1427">
        <v>1</v>
      </c>
      <c r="BJ1427">
        <v>0</v>
      </c>
      <c r="BK1427">
        <v>0</v>
      </c>
      <c r="BL1427">
        <v>0</v>
      </c>
      <c r="BO1427">
        <v>0</v>
      </c>
      <c r="BP1427">
        <v>0</v>
      </c>
      <c r="BW1427" t="str">
        <f t="shared" si="780"/>
        <v>14:52:36.017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293</v>
      </c>
      <c r="CR1427">
        <v>2</v>
      </c>
      <c r="CW1427">
        <v>15286951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25">
      <c r="A1428" t="str">
        <f t="shared" si="778"/>
        <v>06/05/2020 14:52:30.342</v>
      </c>
      <c r="C1428" t="str">
        <f t="shared" si="753"/>
        <v>FFDFD3C0</v>
      </c>
      <c r="D1428" t="s">
        <v>134</v>
      </c>
      <c r="E1428">
        <v>7</v>
      </c>
      <c r="F1428">
        <v>2007</v>
      </c>
      <c r="G1428" t="s">
        <v>135</v>
      </c>
      <c r="J1428" t="s">
        <v>136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779"/>
        <v>14:52:36.016</v>
      </c>
      <c r="T1428" t="str">
        <f t="shared" si="779"/>
        <v>14:52:36.016</v>
      </c>
      <c r="U1428" t="str">
        <f t="shared" si="772"/>
        <v>ACC530</v>
      </c>
      <c r="V1428">
        <v>0</v>
      </c>
      <c r="W1428">
        <v>0</v>
      </c>
      <c r="X1428">
        <v>1</v>
      </c>
      <c r="Z1428">
        <v>0</v>
      </c>
      <c r="AA1428">
        <v>9</v>
      </c>
      <c r="AB1428">
        <v>3</v>
      </c>
      <c r="AC1428">
        <v>0</v>
      </c>
      <c r="AD1428">
        <v>9</v>
      </c>
      <c r="AE1428">
        <v>0</v>
      </c>
      <c r="AF1428">
        <v>3</v>
      </c>
      <c r="AG1428">
        <v>1</v>
      </c>
      <c r="AH1428">
        <v>0</v>
      </c>
      <c r="AI1428" t="s">
        <v>573</v>
      </c>
      <c r="AJ1428">
        <v>34.200482000000001</v>
      </c>
      <c r="AK1428" t="s">
        <v>574</v>
      </c>
      <c r="AL1428">
        <v>-116.97474</v>
      </c>
      <c r="AM1428">
        <v>100</v>
      </c>
      <c r="AN1428">
        <v>8900</v>
      </c>
      <c r="AO1428" t="s">
        <v>118</v>
      </c>
      <c r="AP1428">
        <v>-104</v>
      </c>
      <c r="AQ1428">
        <v>-57</v>
      </c>
      <c r="AR1428">
        <v>-576</v>
      </c>
      <c r="AZ1428">
        <v>1200</v>
      </c>
      <c r="BA1428">
        <v>1</v>
      </c>
      <c r="BB1428" t="str">
        <f t="shared" si="773"/>
        <v xml:space="preserve">N9217B  </v>
      </c>
      <c r="BC1428">
        <v>1</v>
      </c>
      <c r="BE1428">
        <v>0</v>
      </c>
      <c r="BF1428">
        <v>0</v>
      </c>
      <c r="BG1428">
        <v>0</v>
      </c>
      <c r="BH1428">
        <v>8975</v>
      </c>
      <c r="BI1428">
        <v>1</v>
      </c>
      <c r="BJ1428">
        <v>0</v>
      </c>
      <c r="BK1428">
        <v>0</v>
      </c>
      <c r="BL1428">
        <v>0</v>
      </c>
      <c r="BO1428">
        <v>0</v>
      </c>
      <c r="BP1428">
        <v>0</v>
      </c>
      <c r="BW1428" t="str">
        <f t="shared" si="780"/>
        <v>14:52:36.017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293</v>
      </c>
      <c r="CR1428">
        <v>2</v>
      </c>
      <c r="CW1428">
        <v>15286951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25">
      <c r="A1429" t="str">
        <f t="shared" si="778"/>
        <v>06/05/2020 14:52:30.342</v>
      </c>
      <c r="C1429" t="str">
        <f t="shared" si="753"/>
        <v>FFDFD3C0</v>
      </c>
      <c r="D1429" t="s">
        <v>141</v>
      </c>
      <c r="E1429">
        <v>20</v>
      </c>
      <c r="F1429">
        <v>1020</v>
      </c>
      <c r="G1429" t="s">
        <v>114</v>
      </c>
      <c r="J1429" t="s">
        <v>142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779"/>
        <v>14:52:36.016</v>
      </c>
      <c r="T1429" t="str">
        <f t="shared" si="779"/>
        <v>14:52:36.016</v>
      </c>
      <c r="U1429" t="str">
        <f t="shared" si="772"/>
        <v>ACC530</v>
      </c>
      <c r="V1429">
        <v>0</v>
      </c>
      <c r="W1429">
        <v>0</v>
      </c>
      <c r="X1429">
        <v>1</v>
      </c>
      <c r="Z1429">
        <v>0</v>
      </c>
      <c r="AA1429">
        <v>9</v>
      </c>
      <c r="AB1429">
        <v>3</v>
      </c>
      <c r="AC1429">
        <v>0</v>
      </c>
      <c r="AD1429">
        <v>9</v>
      </c>
      <c r="AE1429">
        <v>0</v>
      </c>
      <c r="AF1429">
        <v>3</v>
      </c>
      <c r="AG1429">
        <v>1</v>
      </c>
      <c r="AH1429">
        <v>0</v>
      </c>
      <c r="AI1429" t="s">
        <v>573</v>
      </c>
      <c r="AJ1429">
        <v>34.200482000000001</v>
      </c>
      <c r="AK1429" t="s">
        <v>574</v>
      </c>
      <c r="AL1429">
        <v>-116.97474</v>
      </c>
      <c r="AM1429">
        <v>100</v>
      </c>
      <c r="AN1429">
        <v>8900</v>
      </c>
      <c r="AO1429" t="s">
        <v>118</v>
      </c>
      <c r="AP1429">
        <v>-104</v>
      </c>
      <c r="AQ1429">
        <v>-57</v>
      </c>
      <c r="AR1429">
        <v>-576</v>
      </c>
      <c r="AZ1429">
        <v>1200</v>
      </c>
      <c r="BA1429">
        <v>1</v>
      </c>
      <c r="BB1429" t="str">
        <f t="shared" si="773"/>
        <v xml:space="preserve">N9217B  </v>
      </c>
      <c r="BC1429">
        <v>1</v>
      </c>
      <c r="BE1429">
        <v>0</v>
      </c>
      <c r="BF1429">
        <v>0</v>
      </c>
      <c r="BG1429">
        <v>0</v>
      </c>
      <c r="BH1429">
        <v>8975</v>
      </c>
      <c r="BI1429">
        <v>1</v>
      </c>
      <c r="BJ1429">
        <v>0</v>
      </c>
      <c r="BK1429">
        <v>0</v>
      </c>
      <c r="BL1429">
        <v>0</v>
      </c>
      <c r="BO1429">
        <v>0</v>
      </c>
      <c r="BP1429">
        <v>0</v>
      </c>
      <c r="BW1429" t="str">
        <f t="shared" si="780"/>
        <v>14:52:36.017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293</v>
      </c>
      <c r="CR1429">
        <v>2</v>
      </c>
      <c r="CW1429">
        <v>15286951</v>
      </c>
      <c r="CY1429">
        <v>0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25">
      <c r="A1430" t="str">
        <f>"06/05/2020 14:52:31.305"</f>
        <v>06/05/2020 14:52:31.305</v>
      </c>
      <c r="C1430" t="str">
        <f t="shared" si="753"/>
        <v>FFDFD3C0</v>
      </c>
      <c r="D1430" t="s">
        <v>148</v>
      </c>
      <c r="E1430">
        <v>8</v>
      </c>
      <c r="H1430">
        <v>50</v>
      </c>
      <c r="I1430" t="s">
        <v>149</v>
      </c>
      <c r="J1430" t="s">
        <v>150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"14:52:36.945"</f>
        <v>14:52:36.945</v>
      </c>
      <c r="T1430" t="str">
        <f>"14:52:36.845"</f>
        <v>14:52:36.845</v>
      </c>
      <c r="U1430" t="str">
        <f t="shared" si="772"/>
        <v>ACC530</v>
      </c>
      <c r="V1430">
        <v>0</v>
      </c>
      <c r="W1430">
        <v>0</v>
      </c>
      <c r="X1430">
        <v>1</v>
      </c>
      <c r="Z1430">
        <v>0</v>
      </c>
      <c r="AA1430">
        <v>9</v>
      </c>
      <c r="AB1430">
        <v>3</v>
      </c>
      <c r="AC1430">
        <v>0</v>
      </c>
      <c r="AD1430">
        <v>9</v>
      </c>
      <c r="AE1430">
        <v>0</v>
      </c>
      <c r="AF1430">
        <v>3</v>
      </c>
      <c r="AG1430">
        <v>1</v>
      </c>
      <c r="AH1430">
        <v>0</v>
      </c>
      <c r="AI1430" t="s">
        <v>575</v>
      </c>
      <c r="AJ1430">
        <v>34.200246</v>
      </c>
      <c r="AK1430" t="s">
        <v>576</v>
      </c>
      <c r="AL1430">
        <v>-116.975298</v>
      </c>
      <c r="AM1430">
        <v>100</v>
      </c>
      <c r="AN1430">
        <v>8900</v>
      </c>
      <c r="AO1430" t="s">
        <v>118</v>
      </c>
      <c r="AP1430">
        <v>-104</v>
      </c>
      <c r="AQ1430">
        <v>-57</v>
      </c>
      <c r="AR1430">
        <v>-576</v>
      </c>
      <c r="AZ1430">
        <v>1200</v>
      </c>
      <c r="BA1430">
        <v>1</v>
      </c>
      <c r="BB1430" t="str">
        <f t="shared" si="773"/>
        <v xml:space="preserve">N9217B  </v>
      </c>
      <c r="BC1430">
        <v>1</v>
      </c>
      <c r="BE1430">
        <v>0</v>
      </c>
      <c r="BF1430">
        <v>0</v>
      </c>
      <c r="BG1430">
        <v>0</v>
      </c>
      <c r="BH1430">
        <v>8975</v>
      </c>
      <c r="BI1430">
        <v>1</v>
      </c>
      <c r="BJ1430">
        <v>0</v>
      </c>
      <c r="BK1430">
        <v>0</v>
      </c>
      <c r="BL1430">
        <v>0</v>
      </c>
      <c r="BO1430">
        <v>0</v>
      </c>
      <c r="BP1430">
        <v>0</v>
      </c>
      <c r="BW1430" t="str">
        <f>"14:52:36.947"</f>
        <v>14:52:36.947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293</v>
      </c>
      <c r="CR1430">
        <v>1</v>
      </c>
      <c r="CW1430">
        <v>15287066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25">
      <c r="A1431" t="str">
        <f>"06/05/2020 14:52:31.305"</f>
        <v>06/05/2020 14:52:31.305</v>
      </c>
      <c r="C1431" t="str">
        <f t="shared" si="753"/>
        <v>FFDFD3C0</v>
      </c>
      <c r="D1431" t="s">
        <v>151</v>
      </c>
      <c r="E1431">
        <v>8</v>
      </c>
      <c r="H1431">
        <v>225</v>
      </c>
      <c r="I1431" t="s">
        <v>353</v>
      </c>
      <c r="J1431" t="s">
        <v>150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"14:52:36.945"</f>
        <v>14:52:36.945</v>
      </c>
      <c r="T1431" t="str">
        <f>"14:52:36.845"</f>
        <v>14:52:36.845</v>
      </c>
      <c r="U1431" t="str">
        <f t="shared" si="772"/>
        <v>ACC530</v>
      </c>
      <c r="V1431">
        <v>0</v>
      </c>
      <c r="W1431">
        <v>0</v>
      </c>
      <c r="X1431">
        <v>1</v>
      </c>
      <c r="Z1431">
        <v>0</v>
      </c>
      <c r="AA1431">
        <v>9</v>
      </c>
      <c r="AB1431">
        <v>3</v>
      </c>
      <c r="AC1431">
        <v>0</v>
      </c>
      <c r="AD1431">
        <v>9</v>
      </c>
      <c r="AE1431">
        <v>0</v>
      </c>
      <c r="AF1431">
        <v>3</v>
      </c>
      <c r="AG1431">
        <v>1</v>
      </c>
      <c r="AH1431">
        <v>0</v>
      </c>
      <c r="AI1431" t="s">
        <v>575</v>
      </c>
      <c r="AJ1431">
        <v>34.200246</v>
      </c>
      <c r="AK1431" t="s">
        <v>576</v>
      </c>
      <c r="AL1431">
        <v>-116.975298</v>
      </c>
      <c r="AM1431">
        <v>100</v>
      </c>
      <c r="AN1431">
        <v>8900</v>
      </c>
      <c r="AO1431" t="s">
        <v>118</v>
      </c>
      <c r="AP1431">
        <v>-104</v>
      </c>
      <c r="AQ1431">
        <v>-57</v>
      </c>
      <c r="AR1431">
        <v>-576</v>
      </c>
      <c r="AZ1431">
        <v>1200</v>
      </c>
      <c r="BA1431">
        <v>1</v>
      </c>
      <c r="BB1431" t="str">
        <f t="shared" si="773"/>
        <v xml:space="preserve">N9217B  </v>
      </c>
      <c r="BC1431">
        <v>1</v>
      </c>
      <c r="BE1431">
        <v>0</v>
      </c>
      <c r="BF1431">
        <v>0</v>
      </c>
      <c r="BG1431">
        <v>0</v>
      </c>
      <c r="BH1431">
        <v>8975</v>
      </c>
      <c r="BI1431">
        <v>1</v>
      </c>
      <c r="BJ1431">
        <v>0</v>
      </c>
      <c r="BK1431">
        <v>0</v>
      </c>
      <c r="BL1431">
        <v>0</v>
      </c>
      <c r="BO1431">
        <v>0</v>
      </c>
      <c r="BP1431">
        <v>0</v>
      </c>
      <c r="BW1431" t="str">
        <f>"14:52:36.947"</f>
        <v>14:52:36.947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285</v>
      </c>
      <c r="CR1431">
        <v>0</v>
      </c>
      <c r="CW1431">
        <v>8853094</v>
      </c>
      <c r="CY1431">
        <v>0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25">
      <c r="A1432" t="str">
        <f>"06/05/2020 14:52:31.305"</f>
        <v>06/05/2020 14:52:31.305</v>
      </c>
      <c r="C1432" t="str">
        <f t="shared" si="753"/>
        <v>FFDFD3C0</v>
      </c>
      <c r="D1432" t="s">
        <v>134</v>
      </c>
      <c r="E1432">
        <v>7</v>
      </c>
      <c r="F1432">
        <v>2007</v>
      </c>
      <c r="G1432" t="s">
        <v>135</v>
      </c>
      <c r="J1432" t="s">
        <v>136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"14:52:36.945"</f>
        <v>14:52:36.945</v>
      </c>
      <c r="T1432" t="str">
        <f>"14:52:36.845"</f>
        <v>14:52:36.845</v>
      </c>
      <c r="U1432" t="str">
        <f t="shared" si="772"/>
        <v>ACC530</v>
      </c>
      <c r="V1432">
        <v>0</v>
      </c>
      <c r="W1432">
        <v>0</v>
      </c>
      <c r="X1432">
        <v>1</v>
      </c>
      <c r="Z1432">
        <v>0</v>
      </c>
      <c r="AA1432">
        <v>9</v>
      </c>
      <c r="AB1432">
        <v>3</v>
      </c>
      <c r="AC1432">
        <v>0</v>
      </c>
      <c r="AD1432">
        <v>9</v>
      </c>
      <c r="AE1432">
        <v>0</v>
      </c>
      <c r="AF1432">
        <v>3</v>
      </c>
      <c r="AG1432">
        <v>1</v>
      </c>
      <c r="AH1432">
        <v>0</v>
      </c>
      <c r="AI1432" t="s">
        <v>575</v>
      </c>
      <c r="AJ1432">
        <v>34.200246</v>
      </c>
      <c r="AK1432" t="s">
        <v>576</v>
      </c>
      <c r="AL1432">
        <v>-116.975298</v>
      </c>
      <c r="AM1432">
        <v>100</v>
      </c>
      <c r="AN1432">
        <v>8900</v>
      </c>
      <c r="AO1432" t="s">
        <v>118</v>
      </c>
      <c r="AP1432">
        <v>-104</v>
      </c>
      <c r="AQ1432">
        <v>-57</v>
      </c>
      <c r="AR1432">
        <v>-576</v>
      </c>
      <c r="AZ1432">
        <v>1200</v>
      </c>
      <c r="BA1432">
        <v>1</v>
      </c>
      <c r="BB1432" t="str">
        <f t="shared" si="773"/>
        <v xml:space="preserve">N9217B  </v>
      </c>
      <c r="BC1432">
        <v>1</v>
      </c>
      <c r="BE1432">
        <v>0</v>
      </c>
      <c r="BF1432">
        <v>0</v>
      </c>
      <c r="BG1432">
        <v>0</v>
      </c>
      <c r="BH1432">
        <v>8975</v>
      </c>
      <c r="BI1432">
        <v>1</v>
      </c>
      <c r="BJ1432">
        <v>0</v>
      </c>
      <c r="BK1432">
        <v>0</v>
      </c>
      <c r="BL1432">
        <v>0</v>
      </c>
      <c r="BO1432">
        <v>0</v>
      </c>
      <c r="BP1432">
        <v>0</v>
      </c>
      <c r="BW1432" t="str">
        <f>"14:52:36.947"</f>
        <v>14:52:36.947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293</v>
      </c>
      <c r="CR1432">
        <v>1</v>
      </c>
      <c r="CW1432">
        <v>15287066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25">
      <c r="A1433" t="str">
        <f>"06/05/2020 14:52:31.305"</f>
        <v>06/05/2020 14:52:31.305</v>
      </c>
      <c r="C1433" t="str">
        <f t="shared" si="753"/>
        <v>FFDFD3C0</v>
      </c>
      <c r="D1433" t="s">
        <v>148</v>
      </c>
      <c r="E1433">
        <v>11</v>
      </c>
      <c r="H1433">
        <v>53</v>
      </c>
      <c r="I1433" t="s">
        <v>364</v>
      </c>
      <c r="J1433" t="s">
        <v>150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"14:52:36.945"</f>
        <v>14:52:36.945</v>
      </c>
      <c r="T1433" t="str">
        <f>"14:52:36.845"</f>
        <v>14:52:36.845</v>
      </c>
      <c r="U1433" t="str">
        <f t="shared" si="772"/>
        <v>ACC530</v>
      </c>
      <c r="V1433">
        <v>0</v>
      </c>
      <c r="W1433">
        <v>0</v>
      </c>
      <c r="X1433">
        <v>1</v>
      </c>
      <c r="Z1433">
        <v>0</v>
      </c>
      <c r="AA1433">
        <v>9</v>
      </c>
      <c r="AB1433">
        <v>3</v>
      </c>
      <c r="AC1433">
        <v>0</v>
      </c>
      <c r="AD1433">
        <v>9</v>
      </c>
      <c r="AE1433">
        <v>0</v>
      </c>
      <c r="AF1433">
        <v>3</v>
      </c>
      <c r="AG1433">
        <v>1</v>
      </c>
      <c r="AH1433">
        <v>0</v>
      </c>
      <c r="AI1433" t="s">
        <v>575</v>
      </c>
      <c r="AJ1433">
        <v>34.200246</v>
      </c>
      <c r="AK1433" t="s">
        <v>576</v>
      </c>
      <c r="AL1433">
        <v>-116.975298</v>
      </c>
      <c r="AM1433">
        <v>100</v>
      </c>
      <c r="AN1433">
        <v>8900</v>
      </c>
      <c r="AO1433" t="s">
        <v>118</v>
      </c>
      <c r="AP1433">
        <v>-104</v>
      </c>
      <c r="AQ1433">
        <v>-57</v>
      </c>
      <c r="AR1433">
        <v>-576</v>
      </c>
      <c r="AZ1433">
        <v>1200</v>
      </c>
      <c r="BA1433">
        <v>1</v>
      </c>
      <c r="BB1433" t="str">
        <f t="shared" si="773"/>
        <v xml:space="preserve">N9217B  </v>
      </c>
      <c r="BC1433">
        <v>1</v>
      </c>
      <c r="BE1433">
        <v>0</v>
      </c>
      <c r="BF1433">
        <v>0</v>
      </c>
      <c r="BG1433">
        <v>0</v>
      </c>
      <c r="BH1433">
        <v>8975</v>
      </c>
      <c r="BI1433">
        <v>1</v>
      </c>
      <c r="BJ1433">
        <v>0</v>
      </c>
      <c r="BK1433">
        <v>0</v>
      </c>
      <c r="BL1433">
        <v>0</v>
      </c>
      <c r="BO1433">
        <v>0</v>
      </c>
      <c r="BP1433">
        <v>0</v>
      </c>
      <c r="BW1433" t="str">
        <f>"14:52:36.947"</f>
        <v>14:52:36.947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293</v>
      </c>
      <c r="CR1433">
        <v>1</v>
      </c>
      <c r="CW1433">
        <v>15287066</v>
      </c>
      <c r="CY1433">
        <v>0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25">
      <c r="A1434" t="str">
        <f>"06/05/2020 14:52:31.305"</f>
        <v>06/05/2020 14:52:31.305</v>
      </c>
      <c r="C1434" t="str">
        <f t="shared" si="753"/>
        <v>FFDFD3C0</v>
      </c>
      <c r="D1434" t="s">
        <v>141</v>
      </c>
      <c r="E1434">
        <v>20</v>
      </c>
      <c r="F1434">
        <v>1020</v>
      </c>
      <c r="G1434" t="s">
        <v>114</v>
      </c>
      <c r="J1434" t="s">
        <v>142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"14:52:36.945"</f>
        <v>14:52:36.945</v>
      </c>
      <c r="T1434" t="str">
        <f>"14:52:36.845"</f>
        <v>14:52:36.845</v>
      </c>
      <c r="U1434" t="str">
        <f t="shared" si="772"/>
        <v>ACC530</v>
      </c>
      <c r="V1434">
        <v>0</v>
      </c>
      <c r="W1434">
        <v>0</v>
      </c>
      <c r="X1434">
        <v>1</v>
      </c>
      <c r="Z1434">
        <v>0</v>
      </c>
      <c r="AA1434">
        <v>9</v>
      </c>
      <c r="AB1434">
        <v>3</v>
      </c>
      <c r="AC1434">
        <v>0</v>
      </c>
      <c r="AD1434">
        <v>9</v>
      </c>
      <c r="AE1434">
        <v>0</v>
      </c>
      <c r="AF1434">
        <v>3</v>
      </c>
      <c r="AG1434">
        <v>1</v>
      </c>
      <c r="AH1434">
        <v>0</v>
      </c>
      <c r="AI1434" t="s">
        <v>575</v>
      </c>
      <c r="AJ1434">
        <v>34.200246</v>
      </c>
      <c r="AK1434" t="s">
        <v>576</v>
      </c>
      <c r="AL1434">
        <v>-116.975298</v>
      </c>
      <c r="AM1434">
        <v>100</v>
      </c>
      <c r="AN1434">
        <v>8900</v>
      </c>
      <c r="AO1434" t="s">
        <v>118</v>
      </c>
      <c r="AP1434">
        <v>-104</v>
      </c>
      <c r="AQ1434">
        <v>-57</v>
      </c>
      <c r="AR1434">
        <v>-576</v>
      </c>
      <c r="AZ1434">
        <v>1200</v>
      </c>
      <c r="BA1434">
        <v>1</v>
      </c>
      <c r="BB1434" t="str">
        <f t="shared" si="773"/>
        <v xml:space="preserve">N9217B  </v>
      </c>
      <c r="BC1434">
        <v>1</v>
      </c>
      <c r="BE1434">
        <v>0</v>
      </c>
      <c r="BF1434">
        <v>0</v>
      </c>
      <c r="BG1434">
        <v>0</v>
      </c>
      <c r="BH1434">
        <v>8975</v>
      </c>
      <c r="BI1434">
        <v>1</v>
      </c>
      <c r="BJ1434">
        <v>0</v>
      </c>
      <c r="BK1434">
        <v>0</v>
      </c>
      <c r="BL1434">
        <v>0</v>
      </c>
      <c r="BO1434">
        <v>0</v>
      </c>
      <c r="BP1434">
        <v>0</v>
      </c>
      <c r="BW1434" t="str">
        <f>"14:52:36.947"</f>
        <v>14:52:36.947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293</v>
      </c>
      <c r="CR1434">
        <v>1</v>
      </c>
      <c r="CW1434">
        <v>15287066</v>
      </c>
      <c r="CY1434">
        <v>0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25">
      <c r="A1435" t="str">
        <f t="shared" ref="A1435:A1441" si="781">"06/05/2020 14:52:32.164"</f>
        <v>06/05/2020 14:52:32.164</v>
      </c>
      <c r="C1435" t="str">
        <f t="shared" si="753"/>
        <v>FFDFD3C0</v>
      </c>
      <c r="D1435" t="s">
        <v>113</v>
      </c>
      <c r="E1435">
        <v>3</v>
      </c>
      <c r="H1435">
        <v>166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ref="S1435:S1441" si="782">"14:52:37.828"</f>
        <v>14:52:37.828</v>
      </c>
      <c r="T1435" t="str">
        <f t="shared" ref="T1435:T1441" si="783">"14:52:37.428"</f>
        <v>14:52:37.428</v>
      </c>
      <c r="U1435" t="str">
        <f t="shared" si="772"/>
        <v>ACC530</v>
      </c>
      <c r="V1435">
        <v>0</v>
      </c>
      <c r="W1435">
        <v>0</v>
      </c>
      <c r="X1435">
        <v>1</v>
      </c>
      <c r="Z1435">
        <v>0</v>
      </c>
      <c r="AA1435">
        <v>9</v>
      </c>
      <c r="AB1435">
        <v>3</v>
      </c>
      <c r="AC1435">
        <v>0</v>
      </c>
      <c r="AD1435">
        <v>9</v>
      </c>
      <c r="AE1435">
        <v>0</v>
      </c>
      <c r="AF1435">
        <v>3</v>
      </c>
      <c r="AG1435">
        <v>1</v>
      </c>
      <c r="AH1435">
        <v>0</v>
      </c>
      <c r="AI1435" t="s">
        <v>577</v>
      </c>
      <c r="AJ1435">
        <v>34.200009999999999</v>
      </c>
      <c r="AK1435" t="s">
        <v>578</v>
      </c>
      <c r="AL1435">
        <v>-116.975791</v>
      </c>
      <c r="AM1435">
        <v>100</v>
      </c>
      <c r="AN1435">
        <v>8900</v>
      </c>
      <c r="AO1435" t="s">
        <v>118</v>
      </c>
      <c r="AP1435">
        <v>-104</v>
      </c>
      <c r="AQ1435">
        <v>-57</v>
      </c>
      <c r="AR1435">
        <v>-640</v>
      </c>
      <c r="AZ1435">
        <v>1200</v>
      </c>
      <c r="BA1435">
        <v>1</v>
      </c>
      <c r="BB1435" t="str">
        <f t="shared" si="773"/>
        <v xml:space="preserve">N9217B  </v>
      </c>
      <c r="BC1435">
        <v>1</v>
      </c>
      <c r="BE1435">
        <v>0</v>
      </c>
      <c r="BF1435">
        <v>0</v>
      </c>
      <c r="BG1435">
        <v>0</v>
      </c>
      <c r="BH1435">
        <v>8950</v>
      </c>
      <c r="BI1435">
        <v>1</v>
      </c>
      <c r="BJ1435">
        <v>0</v>
      </c>
      <c r="BK1435">
        <v>0</v>
      </c>
      <c r="BL1435">
        <v>0</v>
      </c>
      <c r="BO1435">
        <v>0</v>
      </c>
      <c r="BP1435">
        <v>0</v>
      </c>
      <c r="BW1435" t="str">
        <f t="shared" ref="BW1435:BW1441" si="784">"14:52:37.832"</f>
        <v>14:52:37.832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293</v>
      </c>
      <c r="CR1435">
        <v>1</v>
      </c>
      <c r="CW1435">
        <v>15287176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25">
      <c r="A1436" t="str">
        <f t="shared" si="781"/>
        <v>06/05/2020 14:52:32.164</v>
      </c>
      <c r="C1436" t="str">
        <f t="shared" si="753"/>
        <v>FFDFD3C0</v>
      </c>
      <c r="D1436" t="s">
        <v>151</v>
      </c>
      <c r="E1436">
        <v>8</v>
      </c>
      <c r="H1436">
        <v>225</v>
      </c>
      <c r="I1436" t="s">
        <v>353</v>
      </c>
      <c r="J1436" t="s">
        <v>150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782"/>
        <v>14:52:37.828</v>
      </c>
      <c r="T1436" t="str">
        <f t="shared" si="783"/>
        <v>14:52:37.428</v>
      </c>
      <c r="U1436" t="str">
        <f t="shared" si="772"/>
        <v>ACC530</v>
      </c>
      <c r="V1436">
        <v>0</v>
      </c>
      <c r="W1436">
        <v>0</v>
      </c>
      <c r="X1436">
        <v>1</v>
      </c>
      <c r="Z1436">
        <v>0</v>
      </c>
      <c r="AA1436">
        <v>9</v>
      </c>
      <c r="AB1436">
        <v>3</v>
      </c>
      <c r="AC1436">
        <v>0</v>
      </c>
      <c r="AD1436">
        <v>9</v>
      </c>
      <c r="AE1436">
        <v>0</v>
      </c>
      <c r="AF1436">
        <v>3</v>
      </c>
      <c r="AG1436">
        <v>1</v>
      </c>
      <c r="AH1436">
        <v>0</v>
      </c>
      <c r="AI1436" t="s">
        <v>577</v>
      </c>
      <c r="AJ1436">
        <v>34.200009999999999</v>
      </c>
      <c r="AK1436" t="s">
        <v>578</v>
      </c>
      <c r="AL1436">
        <v>-116.975791</v>
      </c>
      <c r="AM1436">
        <v>100</v>
      </c>
      <c r="AN1436">
        <v>8900</v>
      </c>
      <c r="AO1436" t="s">
        <v>118</v>
      </c>
      <c r="AP1436">
        <v>-104</v>
      </c>
      <c r="AQ1436">
        <v>-57</v>
      </c>
      <c r="AR1436">
        <v>-640</v>
      </c>
      <c r="AZ1436">
        <v>1200</v>
      </c>
      <c r="BA1436">
        <v>1</v>
      </c>
      <c r="BB1436" t="str">
        <f t="shared" si="773"/>
        <v xml:space="preserve">N9217B  </v>
      </c>
      <c r="BC1436">
        <v>1</v>
      </c>
      <c r="BE1436">
        <v>0</v>
      </c>
      <c r="BF1436">
        <v>0</v>
      </c>
      <c r="BG1436">
        <v>0</v>
      </c>
      <c r="BH1436">
        <v>8950</v>
      </c>
      <c r="BI1436">
        <v>1</v>
      </c>
      <c r="BJ1436">
        <v>0</v>
      </c>
      <c r="BK1436">
        <v>0</v>
      </c>
      <c r="BL1436">
        <v>0</v>
      </c>
      <c r="BO1436">
        <v>0</v>
      </c>
      <c r="BP1436">
        <v>0</v>
      </c>
      <c r="BW1436" t="str">
        <f t="shared" si="784"/>
        <v>14:52:37.832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5</v>
      </c>
      <c r="CP1436" t="s">
        <v>119</v>
      </c>
      <c r="CQ1436">
        <v>285</v>
      </c>
      <c r="CR1436">
        <v>0</v>
      </c>
      <c r="CW1436">
        <v>8853172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25">
      <c r="A1437" t="str">
        <f t="shared" si="781"/>
        <v>06/05/2020 14:52:32.164</v>
      </c>
      <c r="C1437" t="str">
        <f t="shared" si="753"/>
        <v>FFDFD3C0</v>
      </c>
      <c r="D1437" t="s">
        <v>134</v>
      </c>
      <c r="E1437">
        <v>7</v>
      </c>
      <c r="F1437">
        <v>2007</v>
      </c>
      <c r="G1437" t="s">
        <v>135</v>
      </c>
      <c r="J1437" t="s">
        <v>136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782"/>
        <v>14:52:37.828</v>
      </c>
      <c r="T1437" t="str">
        <f t="shared" si="783"/>
        <v>14:52:37.428</v>
      </c>
      <c r="U1437" t="str">
        <f t="shared" si="772"/>
        <v>ACC530</v>
      </c>
      <c r="V1437">
        <v>0</v>
      </c>
      <c r="W1437">
        <v>0</v>
      </c>
      <c r="X1437">
        <v>1</v>
      </c>
      <c r="Z1437">
        <v>0</v>
      </c>
      <c r="AA1437">
        <v>9</v>
      </c>
      <c r="AB1437">
        <v>3</v>
      </c>
      <c r="AC1437">
        <v>0</v>
      </c>
      <c r="AD1437">
        <v>9</v>
      </c>
      <c r="AE1437">
        <v>0</v>
      </c>
      <c r="AF1437">
        <v>3</v>
      </c>
      <c r="AG1437">
        <v>1</v>
      </c>
      <c r="AH1437">
        <v>0</v>
      </c>
      <c r="AI1437" t="s">
        <v>577</v>
      </c>
      <c r="AJ1437">
        <v>34.200009999999999</v>
      </c>
      <c r="AK1437" t="s">
        <v>578</v>
      </c>
      <c r="AL1437">
        <v>-116.975791</v>
      </c>
      <c r="AM1437">
        <v>100</v>
      </c>
      <c r="AN1437">
        <v>8900</v>
      </c>
      <c r="AO1437" t="s">
        <v>118</v>
      </c>
      <c r="AP1437">
        <v>-104</v>
      </c>
      <c r="AQ1437">
        <v>-57</v>
      </c>
      <c r="AR1437">
        <v>-640</v>
      </c>
      <c r="AZ1437">
        <v>1200</v>
      </c>
      <c r="BA1437">
        <v>1</v>
      </c>
      <c r="BB1437" t="str">
        <f t="shared" si="773"/>
        <v xml:space="preserve">N9217B  </v>
      </c>
      <c r="BC1437">
        <v>1</v>
      </c>
      <c r="BE1437">
        <v>0</v>
      </c>
      <c r="BF1437">
        <v>0</v>
      </c>
      <c r="BG1437">
        <v>0</v>
      </c>
      <c r="BH1437">
        <v>8950</v>
      </c>
      <c r="BI1437">
        <v>1</v>
      </c>
      <c r="BJ1437">
        <v>0</v>
      </c>
      <c r="BK1437">
        <v>0</v>
      </c>
      <c r="BL1437">
        <v>0</v>
      </c>
      <c r="BO1437">
        <v>0</v>
      </c>
      <c r="BP1437">
        <v>0</v>
      </c>
      <c r="BW1437" t="str">
        <f t="shared" si="784"/>
        <v>14:52:37.832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293</v>
      </c>
      <c r="CR1437">
        <v>1</v>
      </c>
      <c r="CW1437">
        <v>15287176</v>
      </c>
      <c r="CY1437">
        <v>0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25">
      <c r="A1438" t="str">
        <f t="shared" si="781"/>
        <v>06/05/2020 14:52:32.164</v>
      </c>
      <c r="C1438" t="str">
        <f t="shared" si="753"/>
        <v>FFDFD3C0</v>
      </c>
      <c r="D1438" t="s">
        <v>148</v>
      </c>
      <c r="E1438">
        <v>8</v>
      </c>
      <c r="H1438">
        <v>50</v>
      </c>
      <c r="I1438" t="s">
        <v>149</v>
      </c>
      <c r="J1438" t="s">
        <v>150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782"/>
        <v>14:52:37.828</v>
      </c>
      <c r="T1438" t="str">
        <f t="shared" si="783"/>
        <v>14:52:37.428</v>
      </c>
      <c r="U1438" t="str">
        <f t="shared" si="772"/>
        <v>ACC530</v>
      </c>
      <c r="V1438">
        <v>0</v>
      </c>
      <c r="W1438">
        <v>0</v>
      </c>
      <c r="X1438">
        <v>1</v>
      </c>
      <c r="Z1438">
        <v>0</v>
      </c>
      <c r="AA1438">
        <v>9</v>
      </c>
      <c r="AB1438">
        <v>3</v>
      </c>
      <c r="AC1438">
        <v>0</v>
      </c>
      <c r="AD1438">
        <v>9</v>
      </c>
      <c r="AE1438">
        <v>0</v>
      </c>
      <c r="AF1438">
        <v>3</v>
      </c>
      <c r="AG1438">
        <v>1</v>
      </c>
      <c r="AH1438">
        <v>0</v>
      </c>
      <c r="AI1438" t="s">
        <v>577</v>
      </c>
      <c r="AJ1438">
        <v>34.200009999999999</v>
      </c>
      <c r="AK1438" t="s">
        <v>578</v>
      </c>
      <c r="AL1438">
        <v>-116.975791</v>
      </c>
      <c r="AM1438">
        <v>100</v>
      </c>
      <c r="AN1438">
        <v>8900</v>
      </c>
      <c r="AO1438" t="s">
        <v>118</v>
      </c>
      <c r="AP1438">
        <v>-104</v>
      </c>
      <c r="AQ1438">
        <v>-57</v>
      </c>
      <c r="AR1438">
        <v>-640</v>
      </c>
      <c r="AZ1438">
        <v>1200</v>
      </c>
      <c r="BA1438">
        <v>1</v>
      </c>
      <c r="BB1438" t="str">
        <f t="shared" si="773"/>
        <v xml:space="preserve">N9217B  </v>
      </c>
      <c r="BC1438">
        <v>1</v>
      </c>
      <c r="BE1438">
        <v>0</v>
      </c>
      <c r="BF1438">
        <v>0</v>
      </c>
      <c r="BG1438">
        <v>0</v>
      </c>
      <c r="BH1438">
        <v>8950</v>
      </c>
      <c r="BI1438">
        <v>1</v>
      </c>
      <c r="BJ1438">
        <v>0</v>
      </c>
      <c r="BK1438">
        <v>0</v>
      </c>
      <c r="BL1438">
        <v>0</v>
      </c>
      <c r="BO1438">
        <v>0</v>
      </c>
      <c r="BP1438">
        <v>0</v>
      </c>
      <c r="BW1438" t="str">
        <f t="shared" si="784"/>
        <v>14:52:37.832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293</v>
      </c>
      <c r="CR1438">
        <v>1</v>
      </c>
      <c r="CW1438">
        <v>15287176</v>
      </c>
      <c r="CY1438">
        <v>0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25">
      <c r="A1439" t="str">
        <f t="shared" si="781"/>
        <v>06/05/2020 14:52:32.164</v>
      </c>
      <c r="C1439" t="str">
        <f t="shared" si="753"/>
        <v>FFDFD3C0</v>
      </c>
      <c r="D1439" t="s">
        <v>148</v>
      </c>
      <c r="E1439">
        <v>11</v>
      </c>
      <c r="H1439">
        <v>53</v>
      </c>
      <c r="I1439" t="s">
        <v>364</v>
      </c>
      <c r="J1439" t="s">
        <v>150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782"/>
        <v>14:52:37.828</v>
      </c>
      <c r="T1439" t="str">
        <f t="shared" si="783"/>
        <v>14:52:37.428</v>
      </c>
      <c r="U1439" t="str">
        <f t="shared" si="772"/>
        <v>ACC530</v>
      </c>
      <c r="V1439">
        <v>0</v>
      </c>
      <c r="W1439">
        <v>0</v>
      </c>
      <c r="X1439">
        <v>1</v>
      </c>
      <c r="Z1439">
        <v>0</v>
      </c>
      <c r="AA1439">
        <v>9</v>
      </c>
      <c r="AB1439">
        <v>3</v>
      </c>
      <c r="AC1439">
        <v>0</v>
      </c>
      <c r="AD1439">
        <v>9</v>
      </c>
      <c r="AE1439">
        <v>0</v>
      </c>
      <c r="AF1439">
        <v>3</v>
      </c>
      <c r="AG1439">
        <v>1</v>
      </c>
      <c r="AH1439">
        <v>0</v>
      </c>
      <c r="AI1439" t="s">
        <v>577</v>
      </c>
      <c r="AJ1439">
        <v>34.200009999999999</v>
      </c>
      <c r="AK1439" t="s">
        <v>578</v>
      </c>
      <c r="AL1439">
        <v>-116.975791</v>
      </c>
      <c r="AM1439">
        <v>100</v>
      </c>
      <c r="AN1439">
        <v>8900</v>
      </c>
      <c r="AO1439" t="s">
        <v>118</v>
      </c>
      <c r="AP1439">
        <v>-104</v>
      </c>
      <c r="AQ1439">
        <v>-57</v>
      </c>
      <c r="AR1439">
        <v>-640</v>
      </c>
      <c r="AZ1439">
        <v>1200</v>
      </c>
      <c r="BA1439">
        <v>1</v>
      </c>
      <c r="BB1439" t="str">
        <f t="shared" si="773"/>
        <v xml:space="preserve">N9217B  </v>
      </c>
      <c r="BC1439">
        <v>1</v>
      </c>
      <c r="BE1439">
        <v>0</v>
      </c>
      <c r="BF1439">
        <v>0</v>
      </c>
      <c r="BG1439">
        <v>0</v>
      </c>
      <c r="BH1439">
        <v>8950</v>
      </c>
      <c r="BI1439">
        <v>1</v>
      </c>
      <c r="BJ1439">
        <v>0</v>
      </c>
      <c r="BK1439">
        <v>0</v>
      </c>
      <c r="BL1439">
        <v>0</v>
      </c>
      <c r="BO1439">
        <v>0</v>
      </c>
      <c r="BP1439">
        <v>0</v>
      </c>
      <c r="BW1439" t="str">
        <f t="shared" si="784"/>
        <v>14:52:37.832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293</v>
      </c>
      <c r="CR1439">
        <v>1</v>
      </c>
      <c r="CW1439">
        <v>15287176</v>
      </c>
      <c r="CY1439">
        <v>0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25">
      <c r="A1440" t="str">
        <f t="shared" si="781"/>
        <v>06/05/2020 14:52:32.164</v>
      </c>
      <c r="C1440" t="str">
        <f t="shared" si="753"/>
        <v>FFDFD3C0</v>
      </c>
      <c r="D1440" t="s">
        <v>151</v>
      </c>
      <c r="E1440">
        <v>9</v>
      </c>
      <c r="H1440">
        <v>226</v>
      </c>
      <c r="I1440" t="s">
        <v>152</v>
      </c>
      <c r="J1440" t="s">
        <v>150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782"/>
        <v>14:52:37.828</v>
      </c>
      <c r="T1440" t="str">
        <f t="shared" si="783"/>
        <v>14:52:37.428</v>
      </c>
      <c r="U1440" t="str">
        <f t="shared" si="772"/>
        <v>ACC530</v>
      </c>
      <c r="V1440">
        <v>0</v>
      </c>
      <c r="W1440">
        <v>0</v>
      </c>
      <c r="X1440">
        <v>1</v>
      </c>
      <c r="Z1440">
        <v>0</v>
      </c>
      <c r="AA1440">
        <v>9</v>
      </c>
      <c r="AB1440">
        <v>3</v>
      </c>
      <c r="AC1440">
        <v>0</v>
      </c>
      <c r="AD1440">
        <v>9</v>
      </c>
      <c r="AE1440">
        <v>0</v>
      </c>
      <c r="AF1440">
        <v>3</v>
      </c>
      <c r="AG1440">
        <v>1</v>
      </c>
      <c r="AH1440">
        <v>0</v>
      </c>
      <c r="AI1440" t="s">
        <v>577</v>
      </c>
      <c r="AJ1440">
        <v>34.200009999999999</v>
      </c>
      <c r="AK1440" t="s">
        <v>578</v>
      </c>
      <c r="AL1440">
        <v>-116.975791</v>
      </c>
      <c r="AM1440">
        <v>100</v>
      </c>
      <c r="AN1440">
        <v>8900</v>
      </c>
      <c r="AO1440" t="s">
        <v>118</v>
      </c>
      <c r="AP1440">
        <v>-104</v>
      </c>
      <c r="AQ1440">
        <v>-57</v>
      </c>
      <c r="AR1440">
        <v>-640</v>
      </c>
      <c r="AZ1440">
        <v>1200</v>
      </c>
      <c r="BA1440">
        <v>1</v>
      </c>
      <c r="BB1440" t="str">
        <f t="shared" si="773"/>
        <v xml:space="preserve">N9217B  </v>
      </c>
      <c r="BC1440">
        <v>1</v>
      </c>
      <c r="BE1440">
        <v>0</v>
      </c>
      <c r="BF1440">
        <v>0</v>
      </c>
      <c r="BG1440">
        <v>0</v>
      </c>
      <c r="BH1440">
        <v>8950</v>
      </c>
      <c r="BI1440">
        <v>1</v>
      </c>
      <c r="BJ1440">
        <v>0</v>
      </c>
      <c r="BK1440">
        <v>0</v>
      </c>
      <c r="BL1440">
        <v>0</v>
      </c>
      <c r="BO1440">
        <v>0</v>
      </c>
      <c r="BP1440">
        <v>0</v>
      </c>
      <c r="BW1440" t="str">
        <f t="shared" si="784"/>
        <v>14:52:37.832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293</v>
      </c>
      <c r="CR1440">
        <v>1</v>
      </c>
      <c r="CW1440">
        <v>15287176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25">
      <c r="A1441" t="str">
        <f t="shared" si="781"/>
        <v>06/05/2020 14:52:32.164</v>
      </c>
      <c r="C1441" t="str">
        <f t="shared" si="753"/>
        <v>FFDFD3C0</v>
      </c>
      <c r="D1441" t="s">
        <v>141</v>
      </c>
      <c r="E1441">
        <v>20</v>
      </c>
      <c r="F1441">
        <v>1020</v>
      </c>
      <c r="G1441" t="s">
        <v>114</v>
      </c>
      <c r="J1441" t="s">
        <v>142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782"/>
        <v>14:52:37.828</v>
      </c>
      <c r="T1441" t="str">
        <f t="shared" si="783"/>
        <v>14:52:37.428</v>
      </c>
      <c r="U1441" t="str">
        <f t="shared" si="772"/>
        <v>ACC530</v>
      </c>
      <c r="V1441">
        <v>0</v>
      </c>
      <c r="W1441">
        <v>0</v>
      </c>
      <c r="X1441">
        <v>1</v>
      </c>
      <c r="Z1441">
        <v>0</v>
      </c>
      <c r="AA1441">
        <v>9</v>
      </c>
      <c r="AB1441">
        <v>3</v>
      </c>
      <c r="AC1441">
        <v>0</v>
      </c>
      <c r="AD1441">
        <v>9</v>
      </c>
      <c r="AE1441">
        <v>0</v>
      </c>
      <c r="AF1441">
        <v>3</v>
      </c>
      <c r="AG1441">
        <v>1</v>
      </c>
      <c r="AH1441">
        <v>0</v>
      </c>
      <c r="AI1441" t="s">
        <v>577</v>
      </c>
      <c r="AJ1441">
        <v>34.200009999999999</v>
      </c>
      <c r="AK1441" t="s">
        <v>578</v>
      </c>
      <c r="AL1441">
        <v>-116.975791</v>
      </c>
      <c r="AM1441">
        <v>100</v>
      </c>
      <c r="AN1441">
        <v>8900</v>
      </c>
      <c r="AO1441" t="s">
        <v>118</v>
      </c>
      <c r="AP1441">
        <v>-104</v>
      </c>
      <c r="AQ1441">
        <v>-57</v>
      </c>
      <c r="AR1441">
        <v>-640</v>
      </c>
      <c r="AZ1441">
        <v>1200</v>
      </c>
      <c r="BA1441">
        <v>1</v>
      </c>
      <c r="BB1441" t="str">
        <f t="shared" si="773"/>
        <v xml:space="preserve">N9217B  </v>
      </c>
      <c r="BC1441">
        <v>1</v>
      </c>
      <c r="BE1441">
        <v>0</v>
      </c>
      <c r="BF1441">
        <v>0</v>
      </c>
      <c r="BG1441">
        <v>0</v>
      </c>
      <c r="BH1441">
        <v>8950</v>
      </c>
      <c r="BI1441">
        <v>1</v>
      </c>
      <c r="BJ1441">
        <v>0</v>
      </c>
      <c r="BK1441">
        <v>0</v>
      </c>
      <c r="BL1441">
        <v>0</v>
      </c>
      <c r="BO1441">
        <v>0</v>
      </c>
      <c r="BP1441">
        <v>0</v>
      </c>
      <c r="BW1441" t="str">
        <f t="shared" si="784"/>
        <v>14:52:37.832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293</v>
      </c>
      <c r="CR1441">
        <v>1</v>
      </c>
      <c r="CW1441">
        <v>15287176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25">
      <c r="A1442" t="str">
        <f t="shared" ref="A1442:A1448" si="785">"06/05/2020 14:52:33.223"</f>
        <v>06/05/2020 14:52:33.223</v>
      </c>
      <c r="C1442" t="str">
        <f t="shared" si="753"/>
        <v>FFDFD3C0</v>
      </c>
      <c r="D1442" t="s">
        <v>134</v>
      </c>
      <c r="E1442">
        <v>7</v>
      </c>
      <c r="F1442">
        <v>2007</v>
      </c>
      <c r="G1442" t="s">
        <v>135</v>
      </c>
      <c r="J1442" t="s">
        <v>136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ref="S1442:S1448" si="786">"14:52:38.859"</f>
        <v>14:52:38.859</v>
      </c>
      <c r="T1442" t="str">
        <f t="shared" ref="T1442:T1448" si="787">"14:52:38.359"</f>
        <v>14:52:38.359</v>
      </c>
      <c r="U1442" t="str">
        <f t="shared" si="772"/>
        <v>ACC530</v>
      </c>
      <c r="V1442">
        <v>0</v>
      </c>
      <c r="W1442">
        <v>0</v>
      </c>
      <c r="X1442">
        <v>1</v>
      </c>
      <c r="Z1442">
        <v>0</v>
      </c>
      <c r="AA1442">
        <v>9</v>
      </c>
      <c r="AB1442">
        <v>3</v>
      </c>
      <c r="AC1442">
        <v>0</v>
      </c>
      <c r="AD1442">
        <v>9</v>
      </c>
      <c r="AE1442">
        <v>0</v>
      </c>
      <c r="AF1442">
        <v>3</v>
      </c>
      <c r="AG1442">
        <v>1</v>
      </c>
      <c r="AH1442">
        <v>0</v>
      </c>
      <c r="AI1442" t="s">
        <v>579</v>
      </c>
      <c r="AJ1442">
        <v>34.199710000000003</v>
      </c>
      <c r="AK1442" t="s">
        <v>580</v>
      </c>
      <c r="AL1442">
        <v>-116.976371</v>
      </c>
      <c r="AM1442">
        <v>100</v>
      </c>
      <c r="AN1442">
        <v>8900</v>
      </c>
      <c r="AO1442" t="s">
        <v>118</v>
      </c>
      <c r="AP1442">
        <v>-104</v>
      </c>
      <c r="AQ1442">
        <v>-58</v>
      </c>
      <c r="AR1442">
        <v>-704</v>
      </c>
      <c r="AZ1442">
        <v>1200</v>
      </c>
      <c r="BA1442">
        <v>1</v>
      </c>
      <c r="BB1442" t="str">
        <f t="shared" si="773"/>
        <v xml:space="preserve">N9217B  </v>
      </c>
      <c r="BC1442">
        <v>1</v>
      </c>
      <c r="BE1442">
        <v>0</v>
      </c>
      <c r="BF1442">
        <v>0</v>
      </c>
      <c r="BG1442">
        <v>0</v>
      </c>
      <c r="BH1442">
        <v>8950</v>
      </c>
      <c r="BI1442">
        <v>1</v>
      </c>
      <c r="BJ1442">
        <v>0</v>
      </c>
      <c r="BK1442">
        <v>0</v>
      </c>
      <c r="BL1442">
        <v>0</v>
      </c>
      <c r="BO1442">
        <v>0</v>
      </c>
      <c r="BP1442">
        <v>0</v>
      </c>
      <c r="BW1442" t="str">
        <f t="shared" ref="BW1442:BW1448" si="788">"14:52:38.867"</f>
        <v>14:52:38.867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293</v>
      </c>
      <c r="CR1442">
        <v>1</v>
      </c>
      <c r="CW1442">
        <v>15287295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25">
      <c r="A1443" t="str">
        <f t="shared" si="785"/>
        <v>06/05/2020 14:52:33.223</v>
      </c>
      <c r="C1443" t="str">
        <f t="shared" ref="C1443:C1506" si="789">"FFDFD3C0"</f>
        <v>FFDFD3C0</v>
      </c>
      <c r="D1443" t="s">
        <v>151</v>
      </c>
      <c r="E1443">
        <v>8</v>
      </c>
      <c r="H1443">
        <v>225</v>
      </c>
      <c r="I1443" t="s">
        <v>353</v>
      </c>
      <c r="J1443" t="s">
        <v>150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786"/>
        <v>14:52:38.859</v>
      </c>
      <c r="T1443" t="str">
        <f t="shared" si="787"/>
        <v>14:52:38.359</v>
      </c>
      <c r="U1443" t="str">
        <f t="shared" si="772"/>
        <v>ACC530</v>
      </c>
      <c r="V1443">
        <v>0</v>
      </c>
      <c r="W1443">
        <v>0</v>
      </c>
      <c r="X1443">
        <v>1</v>
      </c>
      <c r="Z1443">
        <v>0</v>
      </c>
      <c r="AA1443">
        <v>9</v>
      </c>
      <c r="AB1443">
        <v>3</v>
      </c>
      <c r="AC1443">
        <v>0</v>
      </c>
      <c r="AD1443">
        <v>9</v>
      </c>
      <c r="AE1443">
        <v>0</v>
      </c>
      <c r="AF1443">
        <v>3</v>
      </c>
      <c r="AG1443">
        <v>1</v>
      </c>
      <c r="AH1443">
        <v>0</v>
      </c>
      <c r="AI1443" t="s">
        <v>579</v>
      </c>
      <c r="AJ1443">
        <v>34.199710000000003</v>
      </c>
      <c r="AK1443" t="s">
        <v>580</v>
      </c>
      <c r="AL1443">
        <v>-116.976371</v>
      </c>
      <c r="AM1443">
        <v>100</v>
      </c>
      <c r="AN1443">
        <v>8900</v>
      </c>
      <c r="AO1443" t="s">
        <v>118</v>
      </c>
      <c r="AP1443">
        <v>-104</v>
      </c>
      <c r="AQ1443">
        <v>-58</v>
      </c>
      <c r="AR1443">
        <v>-704</v>
      </c>
      <c r="AZ1443">
        <v>1200</v>
      </c>
      <c r="BA1443">
        <v>1</v>
      </c>
      <c r="BB1443" t="str">
        <f t="shared" si="773"/>
        <v xml:space="preserve">N9217B  </v>
      </c>
      <c r="BC1443">
        <v>1</v>
      </c>
      <c r="BE1443">
        <v>0</v>
      </c>
      <c r="BF1443">
        <v>0</v>
      </c>
      <c r="BG1443">
        <v>0</v>
      </c>
      <c r="BH1443">
        <v>8950</v>
      </c>
      <c r="BI1443">
        <v>1</v>
      </c>
      <c r="BJ1443">
        <v>0</v>
      </c>
      <c r="BK1443">
        <v>0</v>
      </c>
      <c r="BL1443">
        <v>0</v>
      </c>
      <c r="BO1443">
        <v>0</v>
      </c>
      <c r="BP1443">
        <v>0</v>
      </c>
      <c r="BW1443" t="str">
        <f t="shared" si="788"/>
        <v>14:52:38.867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5</v>
      </c>
      <c r="CP1443" t="s">
        <v>119</v>
      </c>
      <c r="CQ1443">
        <v>285</v>
      </c>
      <c r="CR1443">
        <v>0</v>
      </c>
      <c r="CW1443">
        <v>8853265</v>
      </c>
      <c r="CY1443">
        <v>0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25">
      <c r="A1444" t="str">
        <f t="shared" si="785"/>
        <v>06/05/2020 14:52:33.223</v>
      </c>
      <c r="C1444" t="str">
        <f t="shared" si="789"/>
        <v>FFDFD3C0</v>
      </c>
      <c r="D1444" t="s">
        <v>113</v>
      </c>
      <c r="E1444">
        <v>3</v>
      </c>
      <c r="H1444">
        <v>166</v>
      </c>
      <c r="I1444" t="s">
        <v>114</v>
      </c>
      <c r="J1444" t="s">
        <v>115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786"/>
        <v>14:52:38.859</v>
      </c>
      <c r="T1444" t="str">
        <f t="shared" si="787"/>
        <v>14:52:38.359</v>
      </c>
      <c r="U1444" t="str">
        <f t="shared" si="772"/>
        <v>ACC530</v>
      </c>
      <c r="V1444">
        <v>0</v>
      </c>
      <c r="W1444">
        <v>0</v>
      </c>
      <c r="X1444">
        <v>1</v>
      </c>
      <c r="Z1444">
        <v>0</v>
      </c>
      <c r="AA1444">
        <v>9</v>
      </c>
      <c r="AB1444">
        <v>3</v>
      </c>
      <c r="AC1444">
        <v>0</v>
      </c>
      <c r="AD1444">
        <v>9</v>
      </c>
      <c r="AE1444">
        <v>0</v>
      </c>
      <c r="AF1444">
        <v>3</v>
      </c>
      <c r="AG1444">
        <v>1</v>
      </c>
      <c r="AH1444">
        <v>0</v>
      </c>
      <c r="AI1444" t="s">
        <v>579</v>
      </c>
      <c r="AJ1444">
        <v>34.199710000000003</v>
      </c>
      <c r="AK1444" t="s">
        <v>580</v>
      </c>
      <c r="AL1444">
        <v>-116.976371</v>
      </c>
      <c r="AM1444">
        <v>100</v>
      </c>
      <c r="AN1444">
        <v>8900</v>
      </c>
      <c r="AO1444" t="s">
        <v>118</v>
      </c>
      <c r="AP1444">
        <v>-104</v>
      </c>
      <c r="AQ1444">
        <v>-58</v>
      </c>
      <c r="AR1444">
        <v>-704</v>
      </c>
      <c r="AZ1444">
        <v>1200</v>
      </c>
      <c r="BA1444">
        <v>1</v>
      </c>
      <c r="BB1444" t="str">
        <f t="shared" si="773"/>
        <v xml:space="preserve">N9217B  </v>
      </c>
      <c r="BC1444">
        <v>1</v>
      </c>
      <c r="BE1444">
        <v>0</v>
      </c>
      <c r="BF1444">
        <v>0</v>
      </c>
      <c r="BG1444">
        <v>0</v>
      </c>
      <c r="BH1444">
        <v>8950</v>
      </c>
      <c r="BI1444">
        <v>1</v>
      </c>
      <c r="BJ1444">
        <v>0</v>
      </c>
      <c r="BK1444">
        <v>0</v>
      </c>
      <c r="BL1444">
        <v>0</v>
      </c>
      <c r="BO1444">
        <v>0</v>
      </c>
      <c r="BP1444">
        <v>0</v>
      </c>
      <c r="BW1444" t="str">
        <f t="shared" si="788"/>
        <v>14:52:38.867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293</v>
      </c>
      <c r="CR1444">
        <v>1</v>
      </c>
      <c r="CW1444">
        <v>15287295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25">
      <c r="A1445" t="str">
        <f t="shared" si="785"/>
        <v>06/05/2020 14:52:33.223</v>
      </c>
      <c r="C1445" t="str">
        <f t="shared" si="789"/>
        <v>FFDFD3C0</v>
      </c>
      <c r="D1445" t="s">
        <v>148</v>
      </c>
      <c r="E1445">
        <v>8</v>
      </c>
      <c r="H1445">
        <v>50</v>
      </c>
      <c r="I1445" t="s">
        <v>149</v>
      </c>
      <c r="J1445" t="s">
        <v>150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786"/>
        <v>14:52:38.859</v>
      </c>
      <c r="T1445" t="str">
        <f t="shared" si="787"/>
        <v>14:52:38.359</v>
      </c>
      <c r="U1445" t="str">
        <f t="shared" si="772"/>
        <v>ACC530</v>
      </c>
      <c r="V1445">
        <v>0</v>
      </c>
      <c r="W1445">
        <v>0</v>
      </c>
      <c r="X1445">
        <v>1</v>
      </c>
      <c r="Z1445">
        <v>0</v>
      </c>
      <c r="AA1445">
        <v>9</v>
      </c>
      <c r="AB1445">
        <v>3</v>
      </c>
      <c r="AC1445">
        <v>0</v>
      </c>
      <c r="AD1445">
        <v>9</v>
      </c>
      <c r="AE1445">
        <v>0</v>
      </c>
      <c r="AF1445">
        <v>3</v>
      </c>
      <c r="AG1445">
        <v>1</v>
      </c>
      <c r="AH1445">
        <v>0</v>
      </c>
      <c r="AI1445" t="s">
        <v>579</v>
      </c>
      <c r="AJ1445">
        <v>34.199710000000003</v>
      </c>
      <c r="AK1445" t="s">
        <v>580</v>
      </c>
      <c r="AL1445">
        <v>-116.976371</v>
      </c>
      <c r="AM1445">
        <v>100</v>
      </c>
      <c r="AN1445">
        <v>8900</v>
      </c>
      <c r="AO1445" t="s">
        <v>118</v>
      </c>
      <c r="AP1445">
        <v>-104</v>
      </c>
      <c r="AQ1445">
        <v>-58</v>
      </c>
      <c r="AR1445">
        <v>-704</v>
      </c>
      <c r="AZ1445">
        <v>1200</v>
      </c>
      <c r="BA1445">
        <v>1</v>
      </c>
      <c r="BB1445" t="str">
        <f t="shared" si="773"/>
        <v xml:space="preserve">N9217B  </v>
      </c>
      <c r="BC1445">
        <v>1</v>
      </c>
      <c r="BE1445">
        <v>0</v>
      </c>
      <c r="BF1445">
        <v>0</v>
      </c>
      <c r="BG1445">
        <v>0</v>
      </c>
      <c r="BH1445">
        <v>8950</v>
      </c>
      <c r="BI1445">
        <v>1</v>
      </c>
      <c r="BJ1445">
        <v>0</v>
      </c>
      <c r="BK1445">
        <v>0</v>
      </c>
      <c r="BL1445">
        <v>0</v>
      </c>
      <c r="BO1445">
        <v>0</v>
      </c>
      <c r="BP1445">
        <v>0</v>
      </c>
      <c r="BW1445" t="str">
        <f t="shared" si="788"/>
        <v>14:52:38.867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293</v>
      </c>
      <c r="CR1445">
        <v>1</v>
      </c>
      <c r="CW1445">
        <v>15287295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25">
      <c r="A1446" t="str">
        <f t="shared" si="785"/>
        <v>06/05/2020 14:52:33.223</v>
      </c>
      <c r="C1446" t="str">
        <f t="shared" si="789"/>
        <v>FFDFD3C0</v>
      </c>
      <c r="D1446" t="s">
        <v>148</v>
      </c>
      <c r="E1446">
        <v>11</v>
      </c>
      <c r="H1446">
        <v>53</v>
      </c>
      <c r="I1446" t="s">
        <v>364</v>
      </c>
      <c r="J1446" t="s">
        <v>150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786"/>
        <v>14:52:38.859</v>
      </c>
      <c r="T1446" t="str">
        <f t="shared" si="787"/>
        <v>14:52:38.359</v>
      </c>
      <c r="U1446" t="str">
        <f t="shared" si="772"/>
        <v>ACC530</v>
      </c>
      <c r="V1446">
        <v>0</v>
      </c>
      <c r="W1446">
        <v>0</v>
      </c>
      <c r="X1446">
        <v>1</v>
      </c>
      <c r="Z1446">
        <v>0</v>
      </c>
      <c r="AA1446">
        <v>9</v>
      </c>
      <c r="AB1446">
        <v>3</v>
      </c>
      <c r="AC1446">
        <v>0</v>
      </c>
      <c r="AD1446">
        <v>9</v>
      </c>
      <c r="AE1446">
        <v>0</v>
      </c>
      <c r="AF1446">
        <v>3</v>
      </c>
      <c r="AG1446">
        <v>1</v>
      </c>
      <c r="AH1446">
        <v>0</v>
      </c>
      <c r="AI1446" t="s">
        <v>579</v>
      </c>
      <c r="AJ1446">
        <v>34.199710000000003</v>
      </c>
      <c r="AK1446" t="s">
        <v>580</v>
      </c>
      <c r="AL1446">
        <v>-116.976371</v>
      </c>
      <c r="AM1446">
        <v>100</v>
      </c>
      <c r="AN1446">
        <v>8900</v>
      </c>
      <c r="AO1446" t="s">
        <v>118</v>
      </c>
      <c r="AP1446">
        <v>-104</v>
      </c>
      <c r="AQ1446">
        <v>-58</v>
      </c>
      <c r="AR1446">
        <v>-704</v>
      </c>
      <c r="AZ1446">
        <v>1200</v>
      </c>
      <c r="BA1446">
        <v>1</v>
      </c>
      <c r="BB1446" t="str">
        <f t="shared" si="773"/>
        <v xml:space="preserve">N9217B  </v>
      </c>
      <c r="BC1446">
        <v>1</v>
      </c>
      <c r="BE1446">
        <v>0</v>
      </c>
      <c r="BF1446">
        <v>0</v>
      </c>
      <c r="BG1446">
        <v>0</v>
      </c>
      <c r="BH1446">
        <v>8950</v>
      </c>
      <c r="BI1446">
        <v>1</v>
      </c>
      <c r="BJ1446">
        <v>0</v>
      </c>
      <c r="BK1446">
        <v>0</v>
      </c>
      <c r="BL1446">
        <v>0</v>
      </c>
      <c r="BO1446">
        <v>0</v>
      </c>
      <c r="BP1446">
        <v>0</v>
      </c>
      <c r="BW1446" t="str">
        <f t="shared" si="788"/>
        <v>14:52:38.867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293</v>
      </c>
      <c r="CR1446">
        <v>1</v>
      </c>
      <c r="CW1446">
        <v>15287295</v>
      </c>
      <c r="CY1446">
        <v>0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25">
      <c r="A1447" t="str">
        <f t="shared" si="785"/>
        <v>06/05/2020 14:52:33.223</v>
      </c>
      <c r="C1447" t="str">
        <f t="shared" si="789"/>
        <v>FFDFD3C0</v>
      </c>
      <c r="D1447" t="s">
        <v>151</v>
      </c>
      <c r="E1447">
        <v>9</v>
      </c>
      <c r="H1447">
        <v>226</v>
      </c>
      <c r="I1447" t="s">
        <v>152</v>
      </c>
      <c r="J1447" t="s">
        <v>150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786"/>
        <v>14:52:38.859</v>
      </c>
      <c r="T1447" t="str">
        <f t="shared" si="787"/>
        <v>14:52:38.359</v>
      </c>
      <c r="U1447" t="str">
        <f t="shared" si="772"/>
        <v>ACC530</v>
      </c>
      <c r="V1447">
        <v>0</v>
      </c>
      <c r="W1447">
        <v>0</v>
      </c>
      <c r="X1447">
        <v>1</v>
      </c>
      <c r="Z1447">
        <v>0</v>
      </c>
      <c r="AA1447">
        <v>9</v>
      </c>
      <c r="AB1447">
        <v>3</v>
      </c>
      <c r="AC1447">
        <v>0</v>
      </c>
      <c r="AD1447">
        <v>9</v>
      </c>
      <c r="AE1447">
        <v>0</v>
      </c>
      <c r="AF1447">
        <v>3</v>
      </c>
      <c r="AG1447">
        <v>1</v>
      </c>
      <c r="AH1447">
        <v>0</v>
      </c>
      <c r="AI1447" t="s">
        <v>579</v>
      </c>
      <c r="AJ1447">
        <v>34.199710000000003</v>
      </c>
      <c r="AK1447" t="s">
        <v>580</v>
      </c>
      <c r="AL1447">
        <v>-116.976371</v>
      </c>
      <c r="AM1447">
        <v>100</v>
      </c>
      <c r="AN1447">
        <v>8900</v>
      </c>
      <c r="AO1447" t="s">
        <v>118</v>
      </c>
      <c r="AP1447">
        <v>-104</v>
      </c>
      <c r="AQ1447">
        <v>-58</v>
      </c>
      <c r="AR1447">
        <v>-704</v>
      </c>
      <c r="AZ1447">
        <v>1200</v>
      </c>
      <c r="BA1447">
        <v>1</v>
      </c>
      <c r="BB1447" t="str">
        <f t="shared" si="773"/>
        <v xml:space="preserve">N9217B  </v>
      </c>
      <c r="BC1447">
        <v>1</v>
      </c>
      <c r="BE1447">
        <v>0</v>
      </c>
      <c r="BF1447">
        <v>0</v>
      </c>
      <c r="BG1447">
        <v>0</v>
      </c>
      <c r="BH1447">
        <v>8950</v>
      </c>
      <c r="BI1447">
        <v>1</v>
      </c>
      <c r="BJ1447">
        <v>0</v>
      </c>
      <c r="BK1447">
        <v>0</v>
      </c>
      <c r="BL1447">
        <v>0</v>
      </c>
      <c r="BO1447">
        <v>0</v>
      </c>
      <c r="BP1447">
        <v>0</v>
      </c>
      <c r="BW1447" t="str">
        <f t="shared" si="788"/>
        <v>14:52:38.867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293</v>
      </c>
      <c r="CR1447">
        <v>1</v>
      </c>
      <c r="CW1447">
        <v>15287295</v>
      </c>
      <c r="CY1447">
        <v>0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25">
      <c r="A1448" t="str">
        <f t="shared" si="785"/>
        <v>06/05/2020 14:52:33.223</v>
      </c>
      <c r="C1448" t="str">
        <f t="shared" si="789"/>
        <v>FFDFD3C0</v>
      </c>
      <c r="D1448" t="s">
        <v>141</v>
      </c>
      <c r="E1448">
        <v>20</v>
      </c>
      <c r="F1448">
        <v>1020</v>
      </c>
      <c r="G1448" t="s">
        <v>114</v>
      </c>
      <c r="J1448" t="s">
        <v>142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786"/>
        <v>14:52:38.859</v>
      </c>
      <c r="T1448" t="str">
        <f t="shared" si="787"/>
        <v>14:52:38.359</v>
      </c>
      <c r="U1448" t="str">
        <f t="shared" si="772"/>
        <v>ACC530</v>
      </c>
      <c r="V1448">
        <v>0</v>
      </c>
      <c r="W1448">
        <v>0</v>
      </c>
      <c r="X1448">
        <v>1</v>
      </c>
      <c r="Z1448">
        <v>0</v>
      </c>
      <c r="AA1448">
        <v>9</v>
      </c>
      <c r="AB1448">
        <v>3</v>
      </c>
      <c r="AC1448">
        <v>0</v>
      </c>
      <c r="AD1448">
        <v>9</v>
      </c>
      <c r="AE1448">
        <v>0</v>
      </c>
      <c r="AF1448">
        <v>3</v>
      </c>
      <c r="AG1448">
        <v>1</v>
      </c>
      <c r="AH1448">
        <v>0</v>
      </c>
      <c r="AI1448" t="s">
        <v>579</v>
      </c>
      <c r="AJ1448">
        <v>34.199710000000003</v>
      </c>
      <c r="AK1448" t="s">
        <v>580</v>
      </c>
      <c r="AL1448">
        <v>-116.976371</v>
      </c>
      <c r="AM1448">
        <v>100</v>
      </c>
      <c r="AN1448">
        <v>8900</v>
      </c>
      <c r="AO1448" t="s">
        <v>118</v>
      </c>
      <c r="AP1448">
        <v>-104</v>
      </c>
      <c r="AQ1448">
        <v>-58</v>
      </c>
      <c r="AR1448">
        <v>-704</v>
      </c>
      <c r="AZ1448">
        <v>1200</v>
      </c>
      <c r="BA1448">
        <v>1</v>
      </c>
      <c r="BB1448" t="str">
        <f t="shared" si="773"/>
        <v xml:space="preserve">N9217B  </v>
      </c>
      <c r="BC1448">
        <v>1</v>
      </c>
      <c r="BE1448">
        <v>0</v>
      </c>
      <c r="BF1448">
        <v>0</v>
      </c>
      <c r="BG1448">
        <v>0</v>
      </c>
      <c r="BH1448">
        <v>8950</v>
      </c>
      <c r="BI1448">
        <v>1</v>
      </c>
      <c r="BJ1448">
        <v>0</v>
      </c>
      <c r="BK1448">
        <v>0</v>
      </c>
      <c r="BL1448">
        <v>0</v>
      </c>
      <c r="BO1448">
        <v>0</v>
      </c>
      <c r="BP1448">
        <v>0</v>
      </c>
      <c r="BW1448" t="str">
        <f t="shared" si="788"/>
        <v>14:52:38.867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293</v>
      </c>
      <c r="CR1448">
        <v>1</v>
      </c>
      <c r="CW1448">
        <v>15287295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25">
      <c r="A1449" t="str">
        <f t="shared" ref="A1449:A1454" si="790">"06/05/2020 14:52:34.079"</f>
        <v>06/05/2020 14:52:34.079</v>
      </c>
      <c r="C1449" t="str">
        <f t="shared" si="789"/>
        <v>FFDFD3C0</v>
      </c>
      <c r="D1449" t="s">
        <v>134</v>
      </c>
      <c r="E1449">
        <v>7</v>
      </c>
      <c r="F1449">
        <v>2007</v>
      </c>
      <c r="G1449" t="s">
        <v>135</v>
      </c>
      <c r="J1449" t="s">
        <v>136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ref="S1449:S1454" si="791">"14:52:39.734"</f>
        <v>14:52:39.734</v>
      </c>
      <c r="T1449" t="str">
        <f t="shared" ref="T1449:T1454" si="792">"14:52:39.434"</f>
        <v>14:52:39.434</v>
      </c>
      <c r="U1449" t="str">
        <f t="shared" si="772"/>
        <v>ACC530</v>
      </c>
      <c r="V1449">
        <v>0</v>
      </c>
      <c r="W1449">
        <v>0</v>
      </c>
      <c r="X1449">
        <v>1</v>
      </c>
      <c r="Z1449">
        <v>0</v>
      </c>
      <c r="AA1449">
        <v>9</v>
      </c>
      <c r="AB1449">
        <v>3</v>
      </c>
      <c r="AC1449">
        <v>0</v>
      </c>
      <c r="AD1449">
        <v>9</v>
      </c>
      <c r="AE1449">
        <v>0</v>
      </c>
      <c r="AF1449">
        <v>3</v>
      </c>
      <c r="AG1449">
        <v>1</v>
      </c>
      <c r="AH1449">
        <v>0</v>
      </c>
      <c r="AI1449" t="s">
        <v>581</v>
      </c>
      <c r="AJ1449">
        <v>34.199474000000002</v>
      </c>
      <c r="AK1449" t="s">
        <v>582</v>
      </c>
      <c r="AL1449">
        <v>-116.97686400000001</v>
      </c>
      <c r="AM1449">
        <v>100</v>
      </c>
      <c r="AN1449">
        <v>8900</v>
      </c>
      <c r="AO1449" t="s">
        <v>118</v>
      </c>
      <c r="AP1449">
        <v>-104</v>
      </c>
      <c r="AQ1449">
        <v>-59</v>
      </c>
      <c r="AR1449">
        <v>-768</v>
      </c>
      <c r="AZ1449">
        <v>1200</v>
      </c>
      <c r="BA1449">
        <v>1</v>
      </c>
      <c r="BB1449" t="str">
        <f t="shared" si="773"/>
        <v xml:space="preserve">N9217B  </v>
      </c>
      <c r="BC1449">
        <v>1</v>
      </c>
      <c r="BE1449">
        <v>0</v>
      </c>
      <c r="BF1449">
        <v>0</v>
      </c>
      <c r="BG1449">
        <v>0</v>
      </c>
      <c r="BH1449">
        <v>8925</v>
      </c>
      <c r="BI1449">
        <v>1</v>
      </c>
      <c r="BJ1449">
        <v>0</v>
      </c>
      <c r="BK1449">
        <v>0</v>
      </c>
      <c r="BL1449">
        <v>0</v>
      </c>
      <c r="BO1449">
        <v>0</v>
      </c>
      <c r="BP1449">
        <v>0</v>
      </c>
      <c r="BW1449" t="str">
        <f t="shared" ref="BW1449:BW1454" si="793">"14:52:39.737"</f>
        <v>14:52:39.737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293</v>
      </c>
      <c r="CR1449">
        <v>1</v>
      </c>
      <c r="CW1449">
        <v>15287392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25">
      <c r="A1450" t="str">
        <f t="shared" si="790"/>
        <v>06/05/2020 14:52:34.079</v>
      </c>
      <c r="C1450" t="str">
        <f t="shared" si="789"/>
        <v>FFDFD3C0</v>
      </c>
      <c r="D1450" t="s">
        <v>113</v>
      </c>
      <c r="E1450">
        <v>3</v>
      </c>
      <c r="H1450">
        <v>166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791"/>
        <v>14:52:39.734</v>
      </c>
      <c r="T1450" t="str">
        <f t="shared" si="792"/>
        <v>14:52:39.434</v>
      </c>
      <c r="U1450" t="str">
        <f t="shared" si="772"/>
        <v>ACC530</v>
      </c>
      <c r="V1450">
        <v>0</v>
      </c>
      <c r="W1450">
        <v>0</v>
      </c>
      <c r="X1450">
        <v>1</v>
      </c>
      <c r="Z1450">
        <v>0</v>
      </c>
      <c r="AA1450">
        <v>9</v>
      </c>
      <c r="AB1450">
        <v>3</v>
      </c>
      <c r="AC1450">
        <v>0</v>
      </c>
      <c r="AD1450">
        <v>9</v>
      </c>
      <c r="AE1450">
        <v>0</v>
      </c>
      <c r="AF1450">
        <v>3</v>
      </c>
      <c r="AG1450">
        <v>1</v>
      </c>
      <c r="AH1450">
        <v>0</v>
      </c>
      <c r="AI1450" t="s">
        <v>581</v>
      </c>
      <c r="AJ1450">
        <v>34.199474000000002</v>
      </c>
      <c r="AK1450" t="s">
        <v>582</v>
      </c>
      <c r="AL1450">
        <v>-116.97686400000001</v>
      </c>
      <c r="AM1450">
        <v>100</v>
      </c>
      <c r="AN1450">
        <v>8900</v>
      </c>
      <c r="AO1450" t="s">
        <v>118</v>
      </c>
      <c r="AP1450">
        <v>-104</v>
      </c>
      <c r="AQ1450">
        <v>-59</v>
      </c>
      <c r="AR1450">
        <v>-768</v>
      </c>
      <c r="AZ1450">
        <v>1200</v>
      </c>
      <c r="BA1450">
        <v>1</v>
      </c>
      <c r="BB1450" t="str">
        <f t="shared" si="773"/>
        <v xml:space="preserve">N9217B  </v>
      </c>
      <c r="BC1450">
        <v>1</v>
      </c>
      <c r="BE1450">
        <v>0</v>
      </c>
      <c r="BF1450">
        <v>0</v>
      </c>
      <c r="BG1450">
        <v>0</v>
      </c>
      <c r="BH1450">
        <v>8925</v>
      </c>
      <c r="BI1450">
        <v>1</v>
      </c>
      <c r="BJ1450">
        <v>0</v>
      </c>
      <c r="BK1450">
        <v>0</v>
      </c>
      <c r="BL1450">
        <v>0</v>
      </c>
      <c r="BO1450">
        <v>0</v>
      </c>
      <c r="BP1450">
        <v>0</v>
      </c>
      <c r="BW1450" t="str">
        <f t="shared" si="793"/>
        <v>14:52:39.737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293</v>
      </c>
      <c r="CR1450">
        <v>1</v>
      </c>
      <c r="CW1450">
        <v>15287392</v>
      </c>
      <c r="CY1450">
        <v>0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25">
      <c r="A1451" t="str">
        <f t="shared" si="790"/>
        <v>06/05/2020 14:52:34.079</v>
      </c>
      <c r="C1451" t="str">
        <f t="shared" si="789"/>
        <v>FFDFD3C0</v>
      </c>
      <c r="D1451" t="s">
        <v>148</v>
      </c>
      <c r="E1451">
        <v>8</v>
      </c>
      <c r="H1451">
        <v>50</v>
      </c>
      <c r="I1451" t="s">
        <v>149</v>
      </c>
      <c r="J1451" t="s">
        <v>150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791"/>
        <v>14:52:39.734</v>
      </c>
      <c r="T1451" t="str">
        <f t="shared" si="792"/>
        <v>14:52:39.434</v>
      </c>
      <c r="U1451" t="str">
        <f t="shared" si="772"/>
        <v>ACC530</v>
      </c>
      <c r="V1451">
        <v>0</v>
      </c>
      <c r="W1451">
        <v>0</v>
      </c>
      <c r="X1451">
        <v>1</v>
      </c>
      <c r="Z1451">
        <v>0</v>
      </c>
      <c r="AA1451">
        <v>9</v>
      </c>
      <c r="AB1451">
        <v>3</v>
      </c>
      <c r="AC1451">
        <v>0</v>
      </c>
      <c r="AD1451">
        <v>9</v>
      </c>
      <c r="AE1451">
        <v>0</v>
      </c>
      <c r="AF1451">
        <v>3</v>
      </c>
      <c r="AG1451">
        <v>1</v>
      </c>
      <c r="AH1451">
        <v>0</v>
      </c>
      <c r="AI1451" t="s">
        <v>581</v>
      </c>
      <c r="AJ1451">
        <v>34.199474000000002</v>
      </c>
      <c r="AK1451" t="s">
        <v>582</v>
      </c>
      <c r="AL1451">
        <v>-116.97686400000001</v>
      </c>
      <c r="AM1451">
        <v>100</v>
      </c>
      <c r="AN1451">
        <v>8900</v>
      </c>
      <c r="AO1451" t="s">
        <v>118</v>
      </c>
      <c r="AP1451">
        <v>-104</v>
      </c>
      <c r="AQ1451">
        <v>-59</v>
      </c>
      <c r="AR1451">
        <v>-768</v>
      </c>
      <c r="AZ1451">
        <v>1200</v>
      </c>
      <c r="BA1451">
        <v>1</v>
      </c>
      <c r="BB1451" t="str">
        <f t="shared" si="773"/>
        <v xml:space="preserve">N9217B  </v>
      </c>
      <c r="BC1451">
        <v>1</v>
      </c>
      <c r="BE1451">
        <v>0</v>
      </c>
      <c r="BF1451">
        <v>0</v>
      </c>
      <c r="BG1451">
        <v>0</v>
      </c>
      <c r="BH1451">
        <v>8925</v>
      </c>
      <c r="BI1451">
        <v>1</v>
      </c>
      <c r="BJ1451">
        <v>0</v>
      </c>
      <c r="BK1451">
        <v>0</v>
      </c>
      <c r="BL1451">
        <v>0</v>
      </c>
      <c r="BO1451">
        <v>0</v>
      </c>
      <c r="BP1451">
        <v>0</v>
      </c>
      <c r="BW1451" t="str">
        <f t="shared" si="793"/>
        <v>14:52:39.737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293</v>
      </c>
      <c r="CR1451">
        <v>1</v>
      </c>
      <c r="CW1451">
        <v>15287392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25">
      <c r="A1452" t="str">
        <f t="shared" si="790"/>
        <v>06/05/2020 14:52:34.079</v>
      </c>
      <c r="C1452" t="str">
        <f t="shared" si="789"/>
        <v>FFDFD3C0</v>
      </c>
      <c r="D1452" t="s">
        <v>148</v>
      </c>
      <c r="E1452">
        <v>11</v>
      </c>
      <c r="H1452">
        <v>53</v>
      </c>
      <c r="I1452" t="s">
        <v>364</v>
      </c>
      <c r="J1452" t="s">
        <v>150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791"/>
        <v>14:52:39.734</v>
      </c>
      <c r="T1452" t="str">
        <f t="shared" si="792"/>
        <v>14:52:39.434</v>
      </c>
      <c r="U1452" t="str">
        <f t="shared" si="772"/>
        <v>ACC530</v>
      </c>
      <c r="V1452">
        <v>0</v>
      </c>
      <c r="W1452">
        <v>0</v>
      </c>
      <c r="X1452">
        <v>1</v>
      </c>
      <c r="Z1452">
        <v>0</v>
      </c>
      <c r="AA1452">
        <v>9</v>
      </c>
      <c r="AB1452">
        <v>3</v>
      </c>
      <c r="AC1452">
        <v>0</v>
      </c>
      <c r="AD1452">
        <v>9</v>
      </c>
      <c r="AE1452">
        <v>0</v>
      </c>
      <c r="AF1452">
        <v>3</v>
      </c>
      <c r="AG1452">
        <v>1</v>
      </c>
      <c r="AH1452">
        <v>0</v>
      </c>
      <c r="AI1452" t="s">
        <v>581</v>
      </c>
      <c r="AJ1452">
        <v>34.199474000000002</v>
      </c>
      <c r="AK1452" t="s">
        <v>582</v>
      </c>
      <c r="AL1452">
        <v>-116.97686400000001</v>
      </c>
      <c r="AM1452">
        <v>100</v>
      </c>
      <c r="AN1452">
        <v>8900</v>
      </c>
      <c r="AO1452" t="s">
        <v>118</v>
      </c>
      <c r="AP1452">
        <v>-104</v>
      </c>
      <c r="AQ1452">
        <v>-59</v>
      </c>
      <c r="AR1452">
        <v>-768</v>
      </c>
      <c r="AZ1452">
        <v>1200</v>
      </c>
      <c r="BA1452">
        <v>1</v>
      </c>
      <c r="BB1452" t="str">
        <f t="shared" si="773"/>
        <v xml:space="preserve">N9217B  </v>
      </c>
      <c r="BC1452">
        <v>1</v>
      </c>
      <c r="BE1452">
        <v>0</v>
      </c>
      <c r="BF1452">
        <v>0</v>
      </c>
      <c r="BG1452">
        <v>0</v>
      </c>
      <c r="BH1452">
        <v>8925</v>
      </c>
      <c r="BI1452">
        <v>1</v>
      </c>
      <c r="BJ1452">
        <v>0</v>
      </c>
      <c r="BK1452">
        <v>0</v>
      </c>
      <c r="BL1452">
        <v>0</v>
      </c>
      <c r="BO1452">
        <v>0</v>
      </c>
      <c r="BP1452">
        <v>0</v>
      </c>
      <c r="BW1452" t="str">
        <f t="shared" si="793"/>
        <v>14:52:39.737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293</v>
      </c>
      <c r="CR1452">
        <v>1</v>
      </c>
      <c r="CW1452">
        <v>15287392</v>
      </c>
      <c r="CY1452">
        <v>0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25">
      <c r="A1453" t="str">
        <f t="shared" si="790"/>
        <v>06/05/2020 14:52:34.079</v>
      </c>
      <c r="C1453" t="str">
        <f t="shared" si="789"/>
        <v>FFDFD3C0</v>
      </c>
      <c r="D1453" t="s">
        <v>151</v>
      </c>
      <c r="E1453">
        <v>9</v>
      </c>
      <c r="H1453">
        <v>226</v>
      </c>
      <c r="I1453" t="s">
        <v>152</v>
      </c>
      <c r="J1453" t="s">
        <v>150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791"/>
        <v>14:52:39.734</v>
      </c>
      <c r="T1453" t="str">
        <f t="shared" si="792"/>
        <v>14:52:39.434</v>
      </c>
      <c r="U1453" t="str">
        <f t="shared" si="772"/>
        <v>ACC530</v>
      </c>
      <c r="V1453">
        <v>0</v>
      </c>
      <c r="W1453">
        <v>0</v>
      </c>
      <c r="X1453">
        <v>1</v>
      </c>
      <c r="Z1453">
        <v>0</v>
      </c>
      <c r="AA1453">
        <v>9</v>
      </c>
      <c r="AB1453">
        <v>3</v>
      </c>
      <c r="AC1453">
        <v>0</v>
      </c>
      <c r="AD1453">
        <v>9</v>
      </c>
      <c r="AE1453">
        <v>0</v>
      </c>
      <c r="AF1453">
        <v>3</v>
      </c>
      <c r="AG1453">
        <v>1</v>
      </c>
      <c r="AH1453">
        <v>0</v>
      </c>
      <c r="AI1453" t="s">
        <v>581</v>
      </c>
      <c r="AJ1453">
        <v>34.199474000000002</v>
      </c>
      <c r="AK1453" t="s">
        <v>582</v>
      </c>
      <c r="AL1453">
        <v>-116.97686400000001</v>
      </c>
      <c r="AM1453">
        <v>100</v>
      </c>
      <c r="AN1453">
        <v>8900</v>
      </c>
      <c r="AO1453" t="s">
        <v>118</v>
      </c>
      <c r="AP1453">
        <v>-104</v>
      </c>
      <c r="AQ1453">
        <v>-59</v>
      </c>
      <c r="AR1453">
        <v>-768</v>
      </c>
      <c r="AZ1453">
        <v>1200</v>
      </c>
      <c r="BA1453">
        <v>1</v>
      </c>
      <c r="BB1453" t="str">
        <f t="shared" si="773"/>
        <v xml:space="preserve">N9217B  </v>
      </c>
      <c r="BC1453">
        <v>1</v>
      </c>
      <c r="BE1453">
        <v>0</v>
      </c>
      <c r="BF1453">
        <v>0</v>
      </c>
      <c r="BG1453">
        <v>0</v>
      </c>
      <c r="BH1453">
        <v>8925</v>
      </c>
      <c r="BI1453">
        <v>1</v>
      </c>
      <c r="BJ1453">
        <v>0</v>
      </c>
      <c r="BK1453">
        <v>0</v>
      </c>
      <c r="BL1453">
        <v>0</v>
      </c>
      <c r="BO1453">
        <v>0</v>
      </c>
      <c r="BP1453">
        <v>0</v>
      </c>
      <c r="BW1453" t="str">
        <f t="shared" si="793"/>
        <v>14:52:39.737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293</v>
      </c>
      <c r="CR1453">
        <v>1</v>
      </c>
      <c r="CW1453">
        <v>15287392</v>
      </c>
      <c r="CY1453">
        <v>0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25">
      <c r="A1454" t="str">
        <f t="shared" si="790"/>
        <v>06/05/2020 14:52:34.079</v>
      </c>
      <c r="C1454" t="str">
        <f t="shared" si="789"/>
        <v>FFDFD3C0</v>
      </c>
      <c r="D1454" t="s">
        <v>141</v>
      </c>
      <c r="E1454">
        <v>20</v>
      </c>
      <c r="F1454">
        <v>1020</v>
      </c>
      <c r="G1454" t="s">
        <v>114</v>
      </c>
      <c r="J1454" t="s">
        <v>142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791"/>
        <v>14:52:39.734</v>
      </c>
      <c r="T1454" t="str">
        <f t="shared" si="792"/>
        <v>14:52:39.434</v>
      </c>
      <c r="U1454" t="str">
        <f t="shared" si="772"/>
        <v>ACC530</v>
      </c>
      <c r="V1454">
        <v>0</v>
      </c>
      <c r="W1454">
        <v>0</v>
      </c>
      <c r="X1454">
        <v>1</v>
      </c>
      <c r="Z1454">
        <v>0</v>
      </c>
      <c r="AA1454">
        <v>9</v>
      </c>
      <c r="AB1454">
        <v>3</v>
      </c>
      <c r="AC1454">
        <v>0</v>
      </c>
      <c r="AD1454">
        <v>9</v>
      </c>
      <c r="AE1454">
        <v>0</v>
      </c>
      <c r="AF1454">
        <v>3</v>
      </c>
      <c r="AG1454">
        <v>1</v>
      </c>
      <c r="AH1454">
        <v>0</v>
      </c>
      <c r="AI1454" t="s">
        <v>581</v>
      </c>
      <c r="AJ1454">
        <v>34.199474000000002</v>
      </c>
      <c r="AK1454" t="s">
        <v>582</v>
      </c>
      <c r="AL1454">
        <v>-116.97686400000001</v>
      </c>
      <c r="AM1454">
        <v>100</v>
      </c>
      <c r="AN1454">
        <v>8900</v>
      </c>
      <c r="AO1454" t="s">
        <v>118</v>
      </c>
      <c r="AP1454">
        <v>-104</v>
      </c>
      <c r="AQ1454">
        <v>-59</v>
      </c>
      <c r="AR1454">
        <v>-768</v>
      </c>
      <c r="AZ1454">
        <v>1200</v>
      </c>
      <c r="BA1454">
        <v>1</v>
      </c>
      <c r="BB1454" t="str">
        <f t="shared" si="773"/>
        <v xml:space="preserve">N9217B  </v>
      </c>
      <c r="BC1454">
        <v>1</v>
      </c>
      <c r="BE1454">
        <v>0</v>
      </c>
      <c r="BF1454">
        <v>0</v>
      </c>
      <c r="BG1454">
        <v>0</v>
      </c>
      <c r="BH1454">
        <v>8925</v>
      </c>
      <c r="BI1454">
        <v>1</v>
      </c>
      <c r="BJ1454">
        <v>0</v>
      </c>
      <c r="BK1454">
        <v>0</v>
      </c>
      <c r="BL1454">
        <v>0</v>
      </c>
      <c r="BO1454">
        <v>0</v>
      </c>
      <c r="BP1454">
        <v>0</v>
      </c>
      <c r="BW1454" t="str">
        <f t="shared" si="793"/>
        <v>14:52:39.737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293</v>
      </c>
      <c r="CR1454">
        <v>1</v>
      </c>
      <c r="CW1454">
        <v>15287392</v>
      </c>
      <c r="CY1454">
        <v>0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25">
      <c r="A1455" t="str">
        <f t="shared" ref="A1455:A1461" si="794">"06/05/2020 14:52:35.085"</f>
        <v>06/05/2020 14:52:35.085</v>
      </c>
      <c r="C1455" t="str">
        <f t="shared" si="789"/>
        <v>FFDFD3C0</v>
      </c>
      <c r="D1455" t="s">
        <v>134</v>
      </c>
      <c r="E1455">
        <v>7</v>
      </c>
      <c r="F1455">
        <v>2007</v>
      </c>
      <c r="G1455" t="s">
        <v>135</v>
      </c>
      <c r="J1455" t="s">
        <v>136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ref="S1455:S1461" si="795">"14:52:40.734"</f>
        <v>14:52:40.734</v>
      </c>
      <c r="T1455" t="str">
        <f t="shared" ref="T1455:T1461" si="796">"14:52:40.434"</f>
        <v>14:52:40.434</v>
      </c>
      <c r="U1455" t="str">
        <f t="shared" si="772"/>
        <v>ACC530</v>
      </c>
      <c r="V1455">
        <v>0</v>
      </c>
      <c r="W1455">
        <v>0</v>
      </c>
      <c r="X1455">
        <v>1</v>
      </c>
      <c r="Z1455">
        <v>0</v>
      </c>
      <c r="AA1455">
        <v>9</v>
      </c>
      <c r="AB1455">
        <v>3</v>
      </c>
      <c r="AC1455">
        <v>0</v>
      </c>
      <c r="AD1455">
        <v>9</v>
      </c>
      <c r="AE1455">
        <v>0</v>
      </c>
      <c r="AF1455">
        <v>3</v>
      </c>
      <c r="AG1455">
        <v>1</v>
      </c>
      <c r="AH1455">
        <v>0</v>
      </c>
      <c r="AI1455" t="s">
        <v>583</v>
      </c>
      <c r="AJ1455">
        <v>34.199238000000001</v>
      </c>
      <c r="AK1455" t="s">
        <v>584</v>
      </c>
      <c r="AL1455">
        <v>-116.977508</v>
      </c>
      <c r="AM1455">
        <v>100</v>
      </c>
      <c r="AN1455">
        <v>8900</v>
      </c>
      <c r="AO1455" t="s">
        <v>118</v>
      </c>
      <c r="AP1455">
        <v>-104</v>
      </c>
      <c r="AQ1455">
        <v>-59</v>
      </c>
      <c r="AR1455">
        <v>-704</v>
      </c>
      <c r="AZ1455">
        <v>1200</v>
      </c>
      <c r="BA1455">
        <v>1</v>
      </c>
      <c r="BB1455" t="str">
        <f t="shared" si="773"/>
        <v xml:space="preserve">N9217B  </v>
      </c>
      <c r="BC1455">
        <v>1</v>
      </c>
      <c r="BE1455">
        <v>0</v>
      </c>
      <c r="BF1455">
        <v>0</v>
      </c>
      <c r="BG1455">
        <v>0</v>
      </c>
      <c r="BH1455">
        <v>8925</v>
      </c>
      <c r="BI1455">
        <v>1</v>
      </c>
      <c r="BJ1455">
        <v>0</v>
      </c>
      <c r="BK1455">
        <v>0</v>
      </c>
      <c r="BL1455">
        <v>0</v>
      </c>
      <c r="BO1455">
        <v>0</v>
      </c>
      <c r="BP1455">
        <v>0</v>
      </c>
      <c r="BW1455" t="str">
        <f t="shared" ref="BW1455:BW1461" si="797">"14:52:40.741"</f>
        <v>14:52:40.741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119</v>
      </c>
      <c r="CQ1455">
        <v>293</v>
      </c>
      <c r="CR1455">
        <v>2</v>
      </c>
      <c r="CW1455">
        <v>15287499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25">
      <c r="A1456" t="str">
        <f t="shared" si="794"/>
        <v>06/05/2020 14:52:35.085</v>
      </c>
      <c r="C1456" t="str">
        <f t="shared" si="789"/>
        <v>FFDFD3C0</v>
      </c>
      <c r="D1456" t="s">
        <v>113</v>
      </c>
      <c r="E1456">
        <v>3</v>
      </c>
      <c r="H1456">
        <v>166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795"/>
        <v>14:52:40.734</v>
      </c>
      <c r="T1456" t="str">
        <f t="shared" si="796"/>
        <v>14:52:40.434</v>
      </c>
      <c r="U1456" t="str">
        <f t="shared" si="772"/>
        <v>ACC530</v>
      </c>
      <c r="V1456">
        <v>0</v>
      </c>
      <c r="W1456">
        <v>0</v>
      </c>
      <c r="X1456">
        <v>1</v>
      </c>
      <c r="Z1456">
        <v>0</v>
      </c>
      <c r="AA1456">
        <v>9</v>
      </c>
      <c r="AB1456">
        <v>3</v>
      </c>
      <c r="AC1456">
        <v>0</v>
      </c>
      <c r="AD1456">
        <v>9</v>
      </c>
      <c r="AE1456">
        <v>0</v>
      </c>
      <c r="AF1456">
        <v>3</v>
      </c>
      <c r="AG1456">
        <v>1</v>
      </c>
      <c r="AH1456">
        <v>0</v>
      </c>
      <c r="AI1456" t="s">
        <v>583</v>
      </c>
      <c r="AJ1456">
        <v>34.199238000000001</v>
      </c>
      <c r="AK1456" t="s">
        <v>584</v>
      </c>
      <c r="AL1456">
        <v>-116.977508</v>
      </c>
      <c r="AM1456">
        <v>100</v>
      </c>
      <c r="AN1456">
        <v>8900</v>
      </c>
      <c r="AO1456" t="s">
        <v>118</v>
      </c>
      <c r="AP1456">
        <v>-104</v>
      </c>
      <c r="AQ1456">
        <v>-59</v>
      </c>
      <c r="AR1456">
        <v>-704</v>
      </c>
      <c r="AZ1456">
        <v>1200</v>
      </c>
      <c r="BA1456">
        <v>1</v>
      </c>
      <c r="BB1456" t="str">
        <f t="shared" si="773"/>
        <v xml:space="preserve">N9217B  </v>
      </c>
      <c r="BC1456">
        <v>1</v>
      </c>
      <c r="BE1456">
        <v>0</v>
      </c>
      <c r="BF1456">
        <v>0</v>
      </c>
      <c r="BG1456">
        <v>0</v>
      </c>
      <c r="BH1456">
        <v>8925</v>
      </c>
      <c r="BI1456">
        <v>1</v>
      </c>
      <c r="BJ1456">
        <v>0</v>
      </c>
      <c r="BK1456">
        <v>0</v>
      </c>
      <c r="BL1456">
        <v>0</v>
      </c>
      <c r="BO1456">
        <v>0</v>
      </c>
      <c r="BP1456">
        <v>0</v>
      </c>
      <c r="BW1456" t="str">
        <f t="shared" si="797"/>
        <v>14:52:40.741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6</v>
      </c>
      <c r="CP1456" t="s">
        <v>119</v>
      </c>
      <c r="CQ1456">
        <v>293</v>
      </c>
      <c r="CR1456">
        <v>2</v>
      </c>
      <c r="CW1456">
        <v>15287499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25">
      <c r="A1457" t="str">
        <f t="shared" si="794"/>
        <v>06/05/2020 14:52:35.085</v>
      </c>
      <c r="C1457" t="str">
        <f t="shared" si="789"/>
        <v>FFDFD3C0</v>
      </c>
      <c r="D1457" t="s">
        <v>151</v>
      </c>
      <c r="E1457">
        <v>8</v>
      </c>
      <c r="H1457">
        <v>225</v>
      </c>
      <c r="I1457" t="s">
        <v>353</v>
      </c>
      <c r="J1457" t="s">
        <v>150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795"/>
        <v>14:52:40.734</v>
      </c>
      <c r="T1457" t="str">
        <f t="shared" si="796"/>
        <v>14:52:40.434</v>
      </c>
      <c r="U1457" t="str">
        <f t="shared" si="772"/>
        <v>ACC530</v>
      </c>
      <c r="V1457">
        <v>0</v>
      </c>
      <c r="W1457">
        <v>0</v>
      </c>
      <c r="X1457">
        <v>1</v>
      </c>
      <c r="Z1457">
        <v>0</v>
      </c>
      <c r="AA1457">
        <v>9</v>
      </c>
      <c r="AB1457">
        <v>3</v>
      </c>
      <c r="AC1457">
        <v>0</v>
      </c>
      <c r="AD1457">
        <v>9</v>
      </c>
      <c r="AE1457">
        <v>0</v>
      </c>
      <c r="AF1457">
        <v>3</v>
      </c>
      <c r="AG1457">
        <v>1</v>
      </c>
      <c r="AH1457">
        <v>0</v>
      </c>
      <c r="AI1457" t="s">
        <v>583</v>
      </c>
      <c r="AJ1457">
        <v>34.199238000000001</v>
      </c>
      <c r="AK1457" t="s">
        <v>584</v>
      </c>
      <c r="AL1457">
        <v>-116.977508</v>
      </c>
      <c r="AM1457">
        <v>100</v>
      </c>
      <c r="AN1457">
        <v>8900</v>
      </c>
      <c r="AO1457" t="s">
        <v>118</v>
      </c>
      <c r="AP1457">
        <v>-104</v>
      </c>
      <c r="AQ1457">
        <v>-59</v>
      </c>
      <c r="AR1457">
        <v>-704</v>
      </c>
      <c r="AZ1457">
        <v>1200</v>
      </c>
      <c r="BA1457">
        <v>1</v>
      </c>
      <c r="BB1457" t="str">
        <f t="shared" si="773"/>
        <v xml:space="preserve">N9217B  </v>
      </c>
      <c r="BC1457">
        <v>1</v>
      </c>
      <c r="BE1457">
        <v>0</v>
      </c>
      <c r="BF1457">
        <v>0</v>
      </c>
      <c r="BG1457">
        <v>0</v>
      </c>
      <c r="BH1457">
        <v>8925</v>
      </c>
      <c r="BI1457">
        <v>1</v>
      </c>
      <c r="BJ1457">
        <v>0</v>
      </c>
      <c r="BK1457">
        <v>0</v>
      </c>
      <c r="BL1457">
        <v>0</v>
      </c>
      <c r="BO1457">
        <v>0</v>
      </c>
      <c r="BP1457">
        <v>0</v>
      </c>
      <c r="BW1457" t="str">
        <f t="shared" si="797"/>
        <v>14:52:40.741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5</v>
      </c>
      <c r="CP1457" t="s">
        <v>119</v>
      </c>
      <c r="CQ1457">
        <v>285</v>
      </c>
      <c r="CR1457">
        <v>0</v>
      </c>
      <c r="CW1457">
        <v>8853443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25">
      <c r="A1458" t="str">
        <f t="shared" si="794"/>
        <v>06/05/2020 14:52:35.085</v>
      </c>
      <c r="C1458" t="str">
        <f t="shared" si="789"/>
        <v>FFDFD3C0</v>
      </c>
      <c r="D1458" t="s">
        <v>148</v>
      </c>
      <c r="E1458">
        <v>11</v>
      </c>
      <c r="H1458">
        <v>53</v>
      </c>
      <c r="I1458" t="s">
        <v>364</v>
      </c>
      <c r="J1458" t="s">
        <v>150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795"/>
        <v>14:52:40.734</v>
      </c>
      <c r="T1458" t="str">
        <f t="shared" si="796"/>
        <v>14:52:40.434</v>
      </c>
      <c r="U1458" t="str">
        <f t="shared" si="772"/>
        <v>ACC530</v>
      </c>
      <c r="V1458">
        <v>0</v>
      </c>
      <c r="W1458">
        <v>0</v>
      </c>
      <c r="X1458">
        <v>1</v>
      </c>
      <c r="Z1458">
        <v>0</v>
      </c>
      <c r="AA1458">
        <v>9</v>
      </c>
      <c r="AB1458">
        <v>3</v>
      </c>
      <c r="AC1458">
        <v>0</v>
      </c>
      <c r="AD1458">
        <v>9</v>
      </c>
      <c r="AE1458">
        <v>0</v>
      </c>
      <c r="AF1458">
        <v>3</v>
      </c>
      <c r="AG1458">
        <v>1</v>
      </c>
      <c r="AH1458">
        <v>0</v>
      </c>
      <c r="AI1458" t="s">
        <v>583</v>
      </c>
      <c r="AJ1458">
        <v>34.199238000000001</v>
      </c>
      <c r="AK1458" t="s">
        <v>584</v>
      </c>
      <c r="AL1458">
        <v>-116.977508</v>
      </c>
      <c r="AM1458">
        <v>100</v>
      </c>
      <c r="AN1458">
        <v>8900</v>
      </c>
      <c r="AO1458" t="s">
        <v>118</v>
      </c>
      <c r="AP1458">
        <v>-104</v>
      </c>
      <c r="AQ1458">
        <v>-59</v>
      </c>
      <c r="AR1458">
        <v>-704</v>
      </c>
      <c r="AZ1458">
        <v>1200</v>
      </c>
      <c r="BA1458">
        <v>1</v>
      </c>
      <c r="BB1458" t="str">
        <f t="shared" si="773"/>
        <v xml:space="preserve">N9217B  </v>
      </c>
      <c r="BC1458">
        <v>1</v>
      </c>
      <c r="BE1458">
        <v>0</v>
      </c>
      <c r="BF1458">
        <v>0</v>
      </c>
      <c r="BG1458">
        <v>0</v>
      </c>
      <c r="BH1458">
        <v>8925</v>
      </c>
      <c r="BI1458">
        <v>1</v>
      </c>
      <c r="BJ1458">
        <v>0</v>
      </c>
      <c r="BK1458">
        <v>0</v>
      </c>
      <c r="BL1458">
        <v>0</v>
      </c>
      <c r="BO1458">
        <v>0</v>
      </c>
      <c r="BP1458">
        <v>0</v>
      </c>
      <c r="BW1458" t="str">
        <f t="shared" si="797"/>
        <v>14:52:40.741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6</v>
      </c>
      <c r="CP1458" t="s">
        <v>119</v>
      </c>
      <c r="CQ1458">
        <v>293</v>
      </c>
      <c r="CR1458">
        <v>2</v>
      </c>
      <c r="CW1458">
        <v>15287499</v>
      </c>
      <c r="CY1458">
        <v>0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25">
      <c r="A1459" t="str">
        <f t="shared" si="794"/>
        <v>06/05/2020 14:52:35.085</v>
      </c>
      <c r="C1459" t="str">
        <f t="shared" si="789"/>
        <v>FFDFD3C0</v>
      </c>
      <c r="D1459" t="s">
        <v>148</v>
      </c>
      <c r="E1459">
        <v>8</v>
      </c>
      <c r="H1459">
        <v>50</v>
      </c>
      <c r="I1459" t="s">
        <v>149</v>
      </c>
      <c r="J1459" t="s">
        <v>150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795"/>
        <v>14:52:40.734</v>
      </c>
      <c r="T1459" t="str">
        <f t="shared" si="796"/>
        <v>14:52:40.434</v>
      </c>
      <c r="U1459" t="str">
        <f t="shared" si="772"/>
        <v>ACC530</v>
      </c>
      <c r="V1459">
        <v>0</v>
      </c>
      <c r="W1459">
        <v>0</v>
      </c>
      <c r="X1459">
        <v>1</v>
      </c>
      <c r="Z1459">
        <v>0</v>
      </c>
      <c r="AA1459">
        <v>9</v>
      </c>
      <c r="AB1459">
        <v>3</v>
      </c>
      <c r="AC1459">
        <v>0</v>
      </c>
      <c r="AD1459">
        <v>9</v>
      </c>
      <c r="AE1459">
        <v>0</v>
      </c>
      <c r="AF1459">
        <v>3</v>
      </c>
      <c r="AG1459">
        <v>1</v>
      </c>
      <c r="AH1459">
        <v>0</v>
      </c>
      <c r="AI1459" t="s">
        <v>583</v>
      </c>
      <c r="AJ1459">
        <v>34.199238000000001</v>
      </c>
      <c r="AK1459" t="s">
        <v>584</v>
      </c>
      <c r="AL1459">
        <v>-116.977508</v>
      </c>
      <c r="AM1459">
        <v>100</v>
      </c>
      <c r="AN1459">
        <v>8900</v>
      </c>
      <c r="AO1459" t="s">
        <v>118</v>
      </c>
      <c r="AP1459">
        <v>-104</v>
      </c>
      <c r="AQ1459">
        <v>-59</v>
      </c>
      <c r="AR1459">
        <v>-704</v>
      </c>
      <c r="AZ1459">
        <v>1200</v>
      </c>
      <c r="BA1459">
        <v>1</v>
      </c>
      <c r="BB1459" t="str">
        <f t="shared" si="773"/>
        <v xml:space="preserve">N9217B  </v>
      </c>
      <c r="BC1459">
        <v>1</v>
      </c>
      <c r="BE1459">
        <v>0</v>
      </c>
      <c r="BF1459">
        <v>0</v>
      </c>
      <c r="BG1459">
        <v>0</v>
      </c>
      <c r="BH1459">
        <v>8925</v>
      </c>
      <c r="BI1459">
        <v>1</v>
      </c>
      <c r="BJ1459">
        <v>0</v>
      </c>
      <c r="BK1459">
        <v>0</v>
      </c>
      <c r="BL1459">
        <v>0</v>
      </c>
      <c r="BO1459">
        <v>0</v>
      </c>
      <c r="BP1459">
        <v>0</v>
      </c>
      <c r="BW1459" t="str">
        <f t="shared" si="797"/>
        <v>14:52:40.741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6</v>
      </c>
      <c r="CP1459" t="s">
        <v>119</v>
      </c>
      <c r="CQ1459">
        <v>293</v>
      </c>
      <c r="CR1459">
        <v>2</v>
      </c>
      <c r="CW1459">
        <v>15287499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25">
      <c r="A1460" t="str">
        <f t="shared" si="794"/>
        <v>06/05/2020 14:52:35.085</v>
      </c>
      <c r="C1460" t="str">
        <f t="shared" si="789"/>
        <v>FFDFD3C0</v>
      </c>
      <c r="D1460" t="s">
        <v>151</v>
      </c>
      <c r="E1460">
        <v>9</v>
      </c>
      <c r="H1460">
        <v>226</v>
      </c>
      <c r="I1460" t="s">
        <v>152</v>
      </c>
      <c r="J1460" t="s">
        <v>150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795"/>
        <v>14:52:40.734</v>
      </c>
      <c r="T1460" t="str">
        <f t="shared" si="796"/>
        <v>14:52:40.434</v>
      </c>
      <c r="U1460" t="str">
        <f t="shared" si="772"/>
        <v>ACC530</v>
      </c>
      <c r="V1460">
        <v>0</v>
      </c>
      <c r="W1460">
        <v>0</v>
      </c>
      <c r="X1460">
        <v>1</v>
      </c>
      <c r="Z1460">
        <v>0</v>
      </c>
      <c r="AA1460">
        <v>9</v>
      </c>
      <c r="AB1460">
        <v>3</v>
      </c>
      <c r="AC1460">
        <v>0</v>
      </c>
      <c r="AD1460">
        <v>9</v>
      </c>
      <c r="AE1460">
        <v>0</v>
      </c>
      <c r="AF1460">
        <v>3</v>
      </c>
      <c r="AG1460">
        <v>1</v>
      </c>
      <c r="AH1460">
        <v>0</v>
      </c>
      <c r="AI1460" t="s">
        <v>583</v>
      </c>
      <c r="AJ1460">
        <v>34.199238000000001</v>
      </c>
      <c r="AK1460" t="s">
        <v>584</v>
      </c>
      <c r="AL1460">
        <v>-116.977508</v>
      </c>
      <c r="AM1460">
        <v>100</v>
      </c>
      <c r="AN1460">
        <v>8900</v>
      </c>
      <c r="AO1460" t="s">
        <v>118</v>
      </c>
      <c r="AP1460">
        <v>-104</v>
      </c>
      <c r="AQ1460">
        <v>-59</v>
      </c>
      <c r="AR1460">
        <v>-704</v>
      </c>
      <c r="AZ1460">
        <v>1200</v>
      </c>
      <c r="BA1460">
        <v>1</v>
      </c>
      <c r="BB1460" t="str">
        <f t="shared" si="773"/>
        <v xml:space="preserve">N9217B  </v>
      </c>
      <c r="BC1460">
        <v>1</v>
      </c>
      <c r="BE1460">
        <v>0</v>
      </c>
      <c r="BF1460">
        <v>0</v>
      </c>
      <c r="BG1460">
        <v>0</v>
      </c>
      <c r="BH1460">
        <v>8925</v>
      </c>
      <c r="BI1460">
        <v>1</v>
      </c>
      <c r="BJ1460">
        <v>0</v>
      </c>
      <c r="BK1460">
        <v>0</v>
      </c>
      <c r="BL1460">
        <v>0</v>
      </c>
      <c r="BO1460">
        <v>0</v>
      </c>
      <c r="BP1460">
        <v>0</v>
      </c>
      <c r="BW1460" t="str">
        <f t="shared" si="797"/>
        <v>14:52:40.741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6</v>
      </c>
      <c r="CP1460" t="s">
        <v>119</v>
      </c>
      <c r="CQ1460">
        <v>293</v>
      </c>
      <c r="CR1460">
        <v>2</v>
      </c>
      <c r="CW1460">
        <v>15287499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25">
      <c r="A1461" t="str">
        <f t="shared" si="794"/>
        <v>06/05/2020 14:52:35.085</v>
      </c>
      <c r="C1461" t="str">
        <f t="shared" si="789"/>
        <v>FFDFD3C0</v>
      </c>
      <c r="D1461" t="s">
        <v>141</v>
      </c>
      <c r="E1461">
        <v>20</v>
      </c>
      <c r="F1461">
        <v>1020</v>
      </c>
      <c r="G1461" t="s">
        <v>114</v>
      </c>
      <c r="J1461" t="s">
        <v>142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795"/>
        <v>14:52:40.734</v>
      </c>
      <c r="T1461" t="str">
        <f t="shared" si="796"/>
        <v>14:52:40.434</v>
      </c>
      <c r="U1461" t="str">
        <f t="shared" si="772"/>
        <v>ACC530</v>
      </c>
      <c r="V1461">
        <v>0</v>
      </c>
      <c r="W1461">
        <v>0</v>
      </c>
      <c r="X1461">
        <v>1</v>
      </c>
      <c r="Z1461">
        <v>0</v>
      </c>
      <c r="AA1461">
        <v>9</v>
      </c>
      <c r="AB1461">
        <v>3</v>
      </c>
      <c r="AC1461">
        <v>0</v>
      </c>
      <c r="AD1461">
        <v>9</v>
      </c>
      <c r="AE1461">
        <v>0</v>
      </c>
      <c r="AF1461">
        <v>3</v>
      </c>
      <c r="AG1461">
        <v>1</v>
      </c>
      <c r="AH1461">
        <v>0</v>
      </c>
      <c r="AI1461" t="s">
        <v>583</v>
      </c>
      <c r="AJ1461">
        <v>34.199238000000001</v>
      </c>
      <c r="AK1461" t="s">
        <v>584</v>
      </c>
      <c r="AL1461">
        <v>-116.977508</v>
      </c>
      <c r="AM1461">
        <v>100</v>
      </c>
      <c r="AN1461">
        <v>8900</v>
      </c>
      <c r="AO1461" t="s">
        <v>118</v>
      </c>
      <c r="AP1461">
        <v>-104</v>
      </c>
      <c r="AQ1461">
        <v>-59</v>
      </c>
      <c r="AR1461">
        <v>-704</v>
      </c>
      <c r="AZ1461">
        <v>1200</v>
      </c>
      <c r="BA1461">
        <v>1</v>
      </c>
      <c r="BB1461" t="str">
        <f t="shared" si="773"/>
        <v xml:space="preserve">N9217B  </v>
      </c>
      <c r="BC1461">
        <v>1</v>
      </c>
      <c r="BE1461">
        <v>0</v>
      </c>
      <c r="BF1461">
        <v>0</v>
      </c>
      <c r="BG1461">
        <v>0</v>
      </c>
      <c r="BH1461">
        <v>8925</v>
      </c>
      <c r="BI1461">
        <v>1</v>
      </c>
      <c r="BJ1461">
        <v>0</v>
      </c>
      <c r="BK1461">
        <v>0</v>
      </c>
      <c r="BL1461">
        <v>0</v>
      </c>
      <c r="BO1461">
        <v>0</v>
      </c>
      <c r="BP1461">
        <v>0</v>
      </c>
      <c r="BW1461" t="str">
        <f t="shared" si="797"/>
        <v>14:52:40.741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6</v>
      </c>
      <c r="CP1461" t="s">
        <v>119</v>
      </c>
      <c r="CQ1461">
        <v>293</v>
      </c>
      <c r="CR1461">
        <v>2</v>
      </c>
      <c r="CW1461">
        <v>15287499</v>
      </c>
      <c r="CY1461">
        <v>0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25">
      <c r="A1462" t="str">
        <f t="shared" ref="A1462:A1468" si="798">"06/05/2020 14:52:36.216"</f>
        <v>06/05/2020 14:52:36.216</v>
      </c>
      <c r="C1462" t="str">
        <f t="shared" si="789"/>
        <v>FFDFD3C0</v>
      </c>
      <c r="D1462" t="s">
        <v>151</v>
      </c>
      <c r="E1462">
        <v>9</v>
      </c>
      <c r="H1462">
        <v>226</v>
      </c>
      <c r="I1462" t="s">
        <v>152</v>
      </c>
      <c r="J1462" t="s">
        <v>150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ref="S1462:S1468" si="799">"14:52:41.875"</f>
        <v>14:52:41.875</v>
      </c>
      <c r="T1462" t="str">
        <f t="shared" ref="T1462:T1468" si="800">"14:52:41.375"</f>
        <v>14:52:41.375</v>
      </c>
      <c r="U1462" t="str">
        <f t="shared" si="772"/>
        <v>ACC530</v>
      </c>
      <c r="V1462">
        <v>0</v>
      </c>
      <c r="W1462">
        <v>0</v>
      </c>
      <c r="X1462">
        <v>1</v>
      </c>
      <c r="Z1462">
        <v>0</v>
      </c>
      <c r="AA1462">
        <v>9</v>
      </c>
      <c r="AB1462">
        <v>3</v>
      </c>
      <c r="AC1462">
        <v>0</v>
      </c>
      <c r="AD1462">
        <v>9</v>
      </c>
      <c r="AE1462">
        <v>0</v>
      </c>
      <c r="AF1462">
        <v>3</v>
      </c>
      <c r="AG1462">
        <v>1</v>
      </c>
      <c r="AH1462">
        <v>0</v>
      </c>
      <c r="AI1462" t="s">
        <v>585</v>
      </c>
      <c r="AJ1462">
        <v>34.198895</v>
      </c>
      <c r="AK1462" t="s">
        <v>586</v>
      </c>
      <c r="AL1462">
        <v>-116.97812999999999</v>
      </c>
      <c r="AM1462">
        <v>100</v>
      </c>
      <c r="AN1462">
        <v>8900</v>
      </c>
      <c r="AO1462" t="s">
        <v>118</v>
      </c>
      <c r="AP1462">
        <v>-104</v>
      </c>
      <c r="AQ1462">
        <v>-60</v>
      </c>
      <c r="AR1462">
        <v>-832</v>
      </c>
      <c r="AZ1462">
        <v>1200</v>
      </c>
      <c r="BA1462">
        <v>1</v>
      </c>
      <c r="BB1462" t="str">
        <f t="shared" si="773"/>
        <v xml:space="preserve">N9217B  </v>
      </c>
      <c r="BC1462">
        <v>1</v>
      </c>
      <c r="BE1462">
        <v>0</v>
      </c>
      <c r="BF1462">
        <v>0</v>
      </c>
      <c r="BG1462">
        <v>0</v>
      </c>
      <c r="BH1462">
        <v>8925</v>
      </c>
      <c r="BI1462">
        <v>1</v>
      </c>
      <c r="BJ1462">
        <v>0</v>
      </c>
      <c r="BK1462">
        <v>0</v>
      </c>
      <c r="BL1462">
        <v>0</v>
      </c>
      <c r="BO1462">
        <v>0</v>
      </c>
      <c r="BP1462">
        <v>0</v>
      </c>
      <c r="BW1462" t="str">
        <f t="shared" ref="BW1462:BW1468" si="801">"14:52:41.881"</f>
        <v>14:52:41.881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293</v>
      </c>
      <c r="CR1462">
        <v>1</v>
      </c>
      <c r="CW1462">
        <v>15287624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25">
      <c r="A1463" t="str">
        <f t="shared" si="798"/>
        <v>06/05/2020 14:52:36.216</v>
      </c>
      <c r="C1463" t="str">
        <f t="shared" si="789"/>
        <v>FFDFD3C0</v>
      </c>
      <c r="D1463" t="s">
        <v>141</v>
      </c>
      <c r="E1463">
        <v>20</v>
      </c>
      <c r="F1463">
        <v>1020</v>
      </c>
      <c r="G1463" t="s">
        <v>114</v>
      </c>
      <c r="J1463" t="s">
        <v>142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799"/>
        <v>14:52:41.875</v>
      </c>
      <c r="T1463" t="str">
        <f t="shared" si="800"/>
        <v>14:52:41.375</v>
      </c>
      <c r="U1463" t="str">
        <f t="shared" si="772"/>
        <v>ACC530</v>
      </c>
      <c r="V1463">
        <v>0</v>
      </c>
      <c r="W1463">
        <v>0</v>
      </c>
      <c r="X1463">
        <v>1</v>
      </c>
      <c r="Z1463">
        <v>0</v>
      </c>
      <c r="AA1463">
        <v>9</v>
      </c>
      <c r="AB1463">
        <v>3</v>
      </c>
      <c r="AC1463">
        <v>0</v>
      </c>
      <c r="AD1463">
        <v>9</v>
      </c>
      <c r="AE1463">
        <v>0</v>
      </c>
      <c r="AF1463">
        <v>3</v>
      </c>
      <c r="AG1463">
        <v>1</v>
      </c>
      <c r="AH1463">
        <v>0</v>
      </c>
      <c r="AI1463" t="s">
        <v>585</v>
      </c>
      <c r="AJ1463">
        <v>34.198895</v>
      </c>
      <c r="AK1463" t="s">
        <v>586</v>
      </c>
      <c r="AL1463">
        <v>-116.97812999999999</v>
      </c>
      <c r="AM1463">
        <v>100</v>
      </c>
      <c r="AN1463">
        <v>8900</v>
      </c>
      <c r="AO1463" t="s">
        <v>118</v>
      </c>
      <c r="AP1463">
        <v>-104</v>
      </c>
      <c r="AQ1463">
        <v>-60</v>
      </c>
      <c r="AR1463">
        <v>-832</v>
      </c>
      <c r="AZ1463">
        <v>1200</v>
      </c>
      <c r="BA1463">
        <v>1</v>
      </c>
      <c r="BB1463" t="str">
        <f t="shared" si="773"/>
        <v xml:space="preserve">N9217B  </v>
      </c>
      <c r="BC1463">
        <v>1</v>
      </c>
      <c r="BE1463">
        <v>0</v>
      </c>
      <c r="BF1463">
        <v>0</v>
      </c>
      <c r="BG1463">
        <v>0</v>
      </c>
      <c r="BH1463">
        <v>8925</v>
      </c>
      <c r="BI1463">
        <v>1</v>
      </c>
      <c r="BJ1463">
        <v>0</v>
      </c>
      <c r="BK1463">
        <v>0</v>
      </c>
      <c r="BL1463">
        <v>0</v>
      </c>
      <c r="BO1463">
        <v>0</v>
      </c>
      <c r="BP1463">
        <v>0</v>
      </c>
      <c r="BW1463" t="str">
        <f t="shared" si="801"/>
        <v>14:52:41.881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293</v>
      </c>
      <c r="CR1463">
        <v>1</v>
      </c>
      <c r="CW1463">
        <v>15287624</v>
      </c>
      <c r="CY1463">
        <v>0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25">
      <c r="A1464" t="str">
        <f t="shared" si="798"/>
        <v>06/05/2020 14:52:36.216</v>
      </c>
      <c r="C1464" t="str">
        <f t="shared" si="789"/>
        <v>FFDFD3C0</v>
      </c>
      <c r="D1464" t="s">
        <v>134</v>
      </c>
      <c r="E1464">
        <v>7</v>
      </c>
      <c r="F1464">
        <v>2007</v>
      </c>
      <c r="G1464" t="s">
        <v>135</v>
      </c>
      <c r="J1464" t="s">
        <v>136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799"/>
        <v>14:52:41.875</v>
      </c>
      <c r="T1464" t="str">
        <f t="shared" si="800"/>
        <v>14:52:41.375</v>
      </c>
      <c r="U1464" t="str">
        <f t="shared" si="772"/>
        <v>ACC530</v>
      </c>
      <c r="V1464">
        <v>0</v>
      </c>
      <c r="W1464">
        <v>0</v>
      </c>
      <c r="X1464">
        <v>1</v>
      </c>
      <c r="Z1464">
        <v>0</v>
      </c>
      <c r="AA1464">
        <v>9</v>
      </c>
      <c r="AB1464">
        <v>3</v>
      </c>
      <c r="AC1464">
        <v>0</v>
      </c>
      <c r="AD1464">
        <v>9</v>
      </c>
      <c r="AE1464">
        <v>0</v>
      </c>
      <c r="AF1464">
        <v>3</v>
      </c>
      <c r="AG1464">
        <v>1</v>
      </c>
      <c r="AH1464">
        <v>0</v>
      </c>
      <c r="AI1464" t="s">
        <v>585</v>
      </c>
      <c r="AJ1464">
        <v>34.198895</v>
      </c>
      <c r="AK1464" t="s">
        <v>586</v>
      </c>
      <c r="AL1464">
        <v>-116.97812999999999</v>
      </c>
      <c r="AM1464">
        <v>100</v>
      </c>
      <c r="AN1464">
        <v>8900</v>
      </c>
      <c r="AO1464" t="s">
        <v>118</v>
      </c>
      <c r="AP1464">
        <v>-104</v>
      </c>
      <c r="AQ1464">
        <v>-60</v>
      </c>
      <c r="AR1464">
        <v>-832</v>
      </c>
      <c r="AZ1464">
        <v>1200</v>
      </c>
      <c r="BA1464">
        <v>1</v>
      </c>
      <c r="BB1464" t="str">
        <f t="shared" si="773"/>
        <v xml:space="preserve">N9217B  </v>
      </c>
      <c r="BC1464">
        <v>1</v>
      </c>
      <c r="BE1464">
        <v>0</v>
      </c>
      <c r="BF1464">
        <v>0</v>
      </c>
      <c r="BG1464">
        <v>0</v>
      </c>
      <c r="BH1464">
        <v>8925</v>
      </c>
      <c r="BI1464">
        <v>1</v>
      </c>
      <c r="BJ1464">
        <v>0</v>
      </c>
      <c r="BK1464">
        <v>0</v>
      </c>
      <c r="BL1464">
        <v>0</v>
      </c>
      <c r="BO1464">
        <v>0</v>
      </c>
      <c r="BP1464">
        <v>0</v>
      </c>
      <c r="BW1464" t="str">
        <f t="shared" si="801"/>
        <v>14:52:41.881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293</v>
      </c>
      <c r="CR1464">
        <v>1</v>
      </c>
      <c r="CW1464">
        <v>15287624</v>
      </c>
      <c r="CY1464">
        <v>0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25">
      <c r="A1465" t="str">
        <f t="shared" si="798"/>
        <v>06/05/2020 14:52:36.216</v>
      </c>
      <c r="C1465" t="str">
        <f t="shared" si="789"/>
        <v>FFDFD3C0</v>
      </c>
      <c r="D1465" t="s">
        <v>113</v>
      </c>
      <c r="E1465">
        <v>3</v>
      </c>
      <c r="H1465">
        <v>166</v>
      </c>
      <c r="I1465" t="s">
        <v>114</v>
      </c>
      <c r="J1465" t="s">
        <v>115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799"/>
        <v>14:52:41.875</v>
      </c>
      <c r="T1465" t="str">
        <f t="shared" si="800"/>
        <v>14:52:41.375</v>
      </c>
      <c r="U1465" t="str">
        <f t="shared" si="772"/>
        <v>ACC530</v>
      </c>
      <c r="V1465">
        <v>0</v>
      </c>
      <c r="W1465">
        <v>0</v>
      </c>
      <c r="X1465">
        <v>1</v>
      </c>
      <c r="Z1465">
        <v>0</v>
      </c>
      <c r="AA1465">
        <v>9</v>
      </c>
      <c r="AB1465">
        <v>3</v>
      </c>
      <c r="AC1465">
        <v>0</v>
      </c>
      <c r="AD1465">
        <v>9</v>
      </c>
      <c r="AE1465">
        <v>0</v>
      </c>
      <c r="AF1465">
        <v>3</v>
      </c>
      <c r="AG1465">
        <v>1</v>
      </c>
      <c r="AH1465">
        <v>0</v>
      </c>
      <c r="AI1465" t="s">
        <v>585</v>
      </c>
      <c r="AJ1465">
        <v>34.198895</v>
      </c>
      <c r="AK1465" t="s">
        <v>586</v>
      </c>
      <c r="AL1465">
        <v>-116.97812999999999</v>
      </c>
      <c r="AM1465">
        <v>100</v>
      </c>
      <c r="AN1465">
        <v>8900</v>
      </c>
      <c r="AO1465" t="s">
        <v>118</v>
      </c>
      <c r="AP1465">
        <v>-104</v>
      </c>
      <c r="AQ1465">
        <v>-60</v>
      </c>
      <c r="AR1465">
        <v>-832</v>
      </c>
      <c r="AZ1465">
        <v>1200</v>
      </c>
      <c r="BA1465">
        <v>1</v>
      </c>
      <c r="BB1465" t="str">
        <f t="shared" si="773"/>
        <v xml:space="preserve">N9217B  </v>
      </c>
      <c r="BC1465">
        <v>1</v>
      </c>
      <c r="BE1465">
        <v>0</v>
      </c>
      <c r="BF1465">
        <v>0</v>
      </c>
      <c r="BG1465">
        <v>0</v>
      </c>
      <c r="BH1465">
        <v>8925</v>
      </c>
      <c r="BI1465">
        <v>1</v>
      </c>
      <c r="BJ1465">
        <v>0</v>
      </c>
      <c r="BK1465">
        <v>0</v>
      </c>
      <c r="BL1465">
        <v>0</v>
      </c>
      <c r="BO1465">
        <v>0</v>
      </c>
      <c r="BP1465">
        <v>0</v>
      </c>
      <c r="BW1465" t="str">
        <f t="shared" si="801"/>
        <v>14:52:41.881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293</v>
      </c>
      <c r="CR1465">
        <v>1</v>
      </c>
      <c r="CW1465">
        <v>15287624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25">
      <c r="A1466" t="str">
        <f t="shared" si="798"/>
        <v>06/05/2020 14:52:36.216</v>
      </c>
      <c r="C1466" t="str">
        <f t="shared" si="789"/>
        <v>FFDFD3C0</v>
      </c>
      <c r="D1466" t="s">
        <v>151</v>
      </c>
      <c r="E1466">
        <v>8</v>
      </c>
      <c r="H1466">
        <v>225</v>
      </c>
      <c r="I1466" t="s">
        <v>353</v>
      </c>
      <c r="J1466" t="s">
        <v>150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799"/>
        <v>14:52:41.875</v>
      </c>
      <c r="T1466" t="str">
        <f t="shared" si="800"/>
        <v>14:52:41.375</v>
      </c>
      <c r="U1466" t="str">
        <f t="shared" si="772"/>
        <v>ACC530</v>
      </c>
      <c r="V1466">
        <v>0</v>
      </c>
      <c r="W1466">
        <v>0</v>
      </c>
      <c r="X1466">
        <v>1</v>
      </c>
      <c r="Z1466">
        <v>0</v>
      </c>
      <c r="AA1466">
        <v>9</v>
      </c>
      <c r="AB1466">
        <v>3</v>
      </c>
      <c r="AC1466">
        <v>0</v>
      </c>
      <c r="AD1466">
        <v>9</v>
      </c>
      <c r="AE1466">
        <v>0</v>
      </c>
      <c r="AF1466">
        <v>3</v>
      </c>
      <c r="AG1466">
        <v>1</v>
      </c>
      <c r="AH1466">
        <v>0</v>
      </c>
      <c r="AI1466" t="s">
        <v>585</v>
      </c>
      <c r="AJ1466">
        <v>34.198895</v>
      </c>
      <c r="AK1466" t="s">
        <v>586</v>
      </c>
      <c r="AL1466">
        <v>-116.97812999999999</v>
      </c>
      <c r="AM1466">
        <v>100</v>
      </c>
      <c r="AN1466">
        <v>8900</v>
      </c>
      <c r="AO1466" t="s">
        <v>118</v>
      </c>
      <c r="AP1466">
        <v>-104</v>
      </c>
      <c r="AQ1466">
        <v>-60</v>
      </c>
      <c r="AR1466">
        <v>-832</v>
      </c>
      <c r="AZ1466">
        <v>1200</v>
      </c>
      <c r="BA1466">
        <v>1</v>
      </c>
      <c r="BB1466" t="str">
        <f t="shared" si="773"/>
        <v xml:space="preserve">N9217B  </v>
      </c>
      <c r="BC1466">
        <v>1</v>
      </c>
      <c r="BE1466">
        <v>0</v>
      </c>
      <c r="BF1466">
        <v>0</v>
      </c>
      <c r="BG1466">
        <v>0</v>
      </c>
      <c r="BH1466">
        <v>8925</v>
      </c>
      <c r="BI1466">
        <v>1</v>
      </c>
      <c r="BJ1466">
        <v>0</v>
      </c>
      <c r="BK1466">
        <v>0</v>
      </c>
      <c r="BL1466">
        <v>0</v>
      </c>
      <c r="BO1466">
        <v>0</v>
      </c>
      <c r="BP1466">
        <v>0</v>
      </c>
      <c r="BW1466" t="str">
        <f t="shared" si="801"/>
        <v>14:52:41.881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285</v>
      </c>
      <c r="CR1466">
        <v>0</v>
      </c>
      <c r="CW1466">
        <v>8853544</v>
      </c>
      <c r="CY1466">
        <v>0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25">
      <c r="A1467" t="str">
        <f t="shared" si="798"/>
        <v>06/05/2020 14:52:36.216</v>
      </c>
      <c r="C1467" t="str">
        <f t="shared" si="789"/>
        <v>FFDFD3C0</v>
      </c>
      <c r="D1467" t="s">
        <v>148</v>
      </c>
      <c r="E1467">
        <v>11</v>
      </c>
      <c r="H1467">
        <v>53</v>
      </c>
      <c r="I1467" t="s">
        <v>364</v>
      </c>
      <c r="J1467" t="s">
        <v>150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799"/>
        <v>14:52:41.875</v>
      </c>
      <c r="T1467" t="str">
        <f t="shared" si="800"/>
        <v>14:52:41.375</v>
      </c>
      <c r="U1467" t="str">
        <f t="shared" si="772"/>
        <v>ACC530</v>
      </c>
      <c r="V1467">
        <v>0</v>
      </c>
      <c r="W1467">
        <v>0</v>
      </c>
      <c r="X1467">
        <v>1</v>
      </c>
      <c r="Z1467">
        <v>0</v>
      </c>
      <c r="AA1467">
        <v>9</v>
      </c>
      <c r="AB1467">
        <v>3</v>
      </c>
      <c r="AC1467">
        <v>0</v>
      </c>
      <c r="AD1467">
        <v>9</v>
      </c>
      <c r="AE1467">
        <v>0</v>
      </c>
      <c r="AF1467">
        <v>3</v>
      </c>
      <c r="AG1467">
        <v>1</v>
      </c>
      <c r="AH1467">
        <v>0</v>
      </c>
      <c r="AI1467" t="s">
        <v>585</v>
      </c>
      <c r="AJ1467">
        <v>34.198895</v>
      </c>
      <c r="AK1467" t="s">
        <v>586</v>
      </c>
      <c r="AL1467">
        <v>-116.97812999999999</v>
      </c>
      <c r="AM1467">
        <v>100</v>
      </c>
      <c r="AN1467">
        <v>8900</v>
      </c>
      <c r="AO1467" t="s">
        <v>118</v>
      </c>
      <c r="AP1467">
        <v>-104</v>
      </c>
      <c r="AQ1467">
        <v>-60</v>
      </c>
      <c r="AR1467">
        <v>-832</v>
      </c>
      <c r="AZ1467">
        <v>1200</v>
      </c>
      <c r="BA1467">
        <v>1</v>
      </c>
      <c r="BB1467" t="str">
        <f t="shared" si="773"/>
        <v xml:space="preserve">N9217B  </v>
      </c>
      <c r="BC1467">
        <v>1</v>
      </c>
      <c r="BE1467">
        <v>0</v>
      </c>
      <c r="BF1467">
        <v>0</v>
      </c>
      <c r="BG1467">
        <v>0</v>
      </c>
      <c r="BH1467">
        <v>8925</v>
      </c>
      <c r="BI1467">
        <v>1</v>
      </c>
      <c r="BJ1467">
        <v>0</v>
      </c>
      <c r="BK1467">
        <v>0</v>
      </c>
      <c r="BL1467">
        <v>0</v>
      </c>
      <c r="BO1467">
        <v>0</v>
      </c>
      <c r="BP1467">
        <v>0</v>
      </c>
      <c r="BW1467" t="str">
        <f t="shared" si="801"/>
        <v>14:52:41.881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293</v>
      </c>
      <c r="CR1467">
        <v>1</v>
      </c>
      <c r="CW1467">
        <v>15287624</v>
      </c>
      <c r="CY1467">
        <v>0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25">
      <c r="A1468" t="str">
        <f t="shared" si="798"/>
        <v>06/05/2020 14:52:36.216</v>
      </c>
      <c r="C1468" t="str">
        <f t="shared" si="789"/>
        <v>FFDFD3C0</v>
      </c>
      <c r="D1468" t="s">
        <v>148</v>
      </c>
      <c r="E1468">
        <v>8</v>
      </c>
      <c r="H1468">
        <v>50</v>
      </c>
      <c r="I1468" t="s">
        <v>149</v>
      </c>
      <c r="J1468" t="s">
        <v>150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799"/>
        <v>14:52:41.875</v>
      </c>
      <c r="T1468" t="str">
        <f t="shared" si="800"/>
        <v>14:52:41.375</v>
      </c>
      <c r="U1468" t="str">
        <f t="shared" si="772"/>
        <v>ACC530</v>
      </c>
      <c r="V1468">
        <v>0</v>
      </c>
      <c r="W1468">
        <v>0</v>
      </c>
      <c r="X1468">
        <v>1</v>
      </c>
      <c r="Z1468">
        <v>0</v>
      </c>
      <c r="AA1468">
        <v>9</v>
      </c>
      <c r="AB1468">
        <v>3</v>
      </c>
      <c r="AC1468">
        <v>0</v>
      </c>
      <c r="AD1468">
        <v>9</v>
      </c>
      <c r="AE1468">
        <v>0</v>
      </c>
      <c r="AF1468">
        <v>3</v>
      </c>
      <c r="AG1468">
        <v>1</v>
      </c>
      <c r="AH1468">
        <v>0</v>
      </c>
      <c r="AI1468" t="s">
        <v>585</v>
      </c>
      <c r="AJ1468">
        <v>34.198895</v>
      </c>
      <c r="AK1468" t="s">
        <v>586</v>
      </c>
      <c r="AL1468">
        <v>-116.97812999999999</v>
      </c>
      <c r="AM1468">
        <v>100</v>
      </c>
      <c r="AN1468">
        <v>8900</v>
      </c>
      <c r="AO1468" t="s">
        <v>118</v>
      </c>
      <c r="AP1468">
        <v>-104</v>
      </c>
      <c r="AQ1468">
        <v>-60</v>
      </c>
      <c r="AR1468">
        <v>-832</v>
      </c>
      <c r="AZ1468">
        <v>1200</v>
      </c>
      <c r="BA1468">
        <v>1</v>
      </c>
      <c r="BB1468" t="str">
        <f t="shared" si="773"/>
        <v xml:space="preserve">N9217B  </v>
      </c>
      <c r="BC1468">
        <v>1</v>
      </c>
      <c r="BE1468">
        <v>0</v>
      </c>
      <c r="BF1468">
        <v>0</v>
      </c>
      <c r="BG1468">
        <v>0</v>
      </c>
      <c r="BH1468">
        <v>8925</v>
      </c>
      <c r="BI1468">
        <v>1</v>
      </c>
      <c r="BJ1468">
        <v>0</v>
      </c>
      <c r="BK1468">
        <v>0</v>
      </c>
      <c r="BL1468">
        <v>0</v>
      </c>
      <c r="BO1468">
        <v>0</v>
      </c>
      <c r="BP1468">
        <v>0</v>
      </c>
      <c r="BW1468" t="str">
        <f t="shared" si="801"/>
        <v>14:52:41.881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293</v>
      </c>
      <c r="CR1468">
        <v>1</v>
      </c>
      <c r="CW1468">
        <v>15287624</v>
      </c>
      <c r="CY1468">
        <v>0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25">
      <c r="A1469" t="str">
        <f t="shared" ref="A1469:A1475" si="802">"06/05/2020 14:52:37.410"</f>
        <v>06/05/2020 14:52:37.410</v>
      </c>
      <c r="C1469" t="str">
        <f t="shared" si="789"/>
        <v>FFDFD3C0</v>
      </c>
      <c r="D1469" t="s">
        <v>134</v>
      </c>
      <c r="E1469">
        <v>7</v>
      </c>
      <c r="F1469">
        <v>2007</v>
      </c>
      <c r="G1469" t="s">
        <v>135</v>
      </c>
      <c r="J1469" t="s">
        <v>136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T1475" si="803">"14:52:43.047"</f>
        <v>14:52:43.047</v>
      </c>
      <c r="T1469" t="str">
        <f t="shared" si="803"/>
        <v>14:52:43.047</v>
      </c>
      <c r="U1469" t="str">
        <f t="shared" si="772"/>
        <v>ACC530</v>
      </c>
      <c r="V1469">
        <v>0</v>
      </c>
      <c r="W1469">
        <v>0</v>
      </c>
      <c r="X1469">
        <v>1</v>
      </c>
      <c r="Z1469">
        <v>0</v>
      </c>
      <c r="AA1469">
        <v>9</v>
      </c>
      <c r="AB1469">
        <v>3</v>
      </c>
      <c r="AC1469">
        <v>0</v>
      </c>
      <c r="AD1469">
        <v>9</v>
      </c>
      <c r="AE1469">
        <v>0</v>
      </c>
      <c r="AF1469">
        <v>3</v>
      </c>
      <c r="AG1469">
        <v>1</v>
      </c>
      <c r="AH1469">
        <v>0</v>
      </c>
      <c r="AI1469" t="s">
        <v>587</v>
      </c>
      <c r="AJ1469">
        <v>34.198573000000003</v>
      </c>
      <c r="AK1469" t="s">
        <v>588</v>
      </c>
      <c r="AL1469">
        <v>-116.97881700000001</v>
      </c>
      <c r="AM1469">
        <v>100</v>
      </c>
      <c r="AN1469">
        <v>8900</v>
      </c>
      <c r="AO1469" t="s">
        <v>118</v>
      </c>
      <c r="AP1469">
        <v>-104</v>
      </c>
      <c r="AQ1469">
        <v>-61</v>
      </c>
      <c r="AR1469">
        <v>-832</v>
      </c>
      <c r="AZ1469">
        <v>1200</v>
      </c>
      <c r="BA1469">
        <v>1</v>
      </c>
      <c r="BB1469" t="str">
        <f t="shared" si="773"/>
        <v xml:space="preserve">N9217B  </v>
      </c>
      <c r="BC1469">
        <v>1</v>
      </c>
      <c r="BE1469">
        <v>0</v>
      </c>
      <c r="BF1469">
        <v>0</v>
      </c>
      <c r="BG1469">
        <v>0</v>
      </c>
      <c r="BH1469">
        <v>8900</v>
      </c>
      <c r="BI1469">
        <v>1</v>
      </c>
      <c r="BJ1469">
        <v>0</v>
      </c>
      <c r="BK1469">
        <v>0</v>
      </c>
      <c r="BL1469">
        <v>0</v>
      </c>
      <c r="BO1469">
        <v>0</v>
      </c>
      <c r="BP1469">
        <v>0</v>
      </c>
      <c r="BW1469" t="str">
        <f t="shared" ref="BW1469:BW1475" si="804">"14:52:43.051"</f>
        <v>14:52:43.051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293</v>
      </c>
      <c r="CR1469">
        <v>1</v>
      </c>
      <c r="CW1469">
        <v>15287751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25">
      <c r="A1470" t="str">
        <f t="shared" si="802"/>
        <v>06/05/2020 14:52:37.410</v>
      </c>
      <c r="C1470" t="str">
        <f t="shared" si="789"/>
        <v>FFDFD3C0</v>
      </c>
      <c r="D1470" t="s">
        <v>113</v>
      </c>
      <c r="E1470">
        <v>3</v>
      </c>
      <c r="H1470">
        <v>166</v>
      </c>
      <c r="I1470" t="s">
        <v>114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803"/>
        <v>14:52:43.047</v>
      </c>
      <c r="T1470" t="str">
        <f t="shared" si="803"/>
        <v>14:52:43.047</v>
      </c>
      <c r="U1470" t="str">
        <f t="shared" si="772"/>
        <v>ACC530</v>
      </c>
      <c r="V1470">
        <v>0</v>
      </c>
      <c r="W1470">
        <v>0</v>
      </c>
      <c r="X1470">
        <v>1</v>
      </c>
      <c r="Z1470">
        <v>0</v>
      </c>
      <c r="AA1470">
        <v>9</v>
      </c>
      <c r="AB1470">
        <v>3</v>
      </c>
      <c r="AC1470">
        <v>0</v>
      </c>
      <c r="AD1470">
        <v>9</v>
      </c>
      <c r="AE1470">
        <v>0</v>
      </c>
      <c r="AF1470">
        <v>3</v>
      </c>
      <c r="AG1470">
        <v>1</v>
      </c>
      <c r="AH1470">
        <v>0</v>
      </c>
      <c r="AI1470" t="s">
        <v>587</v>
      </c>
      <c r="AJ1470">
        <v>34.198573000000003</v>
      </c>
      <c r="AK1470" t="s">
        <v>588</v>
      </c>
      <c r="AL1470">
        <v>-116.97881700000001</v>
      </c>
      <c r="AM1470">
        <v>100</v>
      </c>
      <c r="AN1470">
        <v>8900</v>
      </c>
      <c r="AO1470" t="s">
        <v>118</v>
      </c>
      <c r="AP1470">
        <v>-104</v>
      </c>
      <c r="AQ1470">
        <v>-61</v>
      </c>
      <c r="AR1470">
        <v>-832</v>
      </c>
      <c r="AZ1470">
        <v>1200</v>
      </c>
      <c r="BA1470">
        <v>1</v>
      </c>
      <c r="BB1470" t="str">
        <f t="shared" si="773"/>
        <v xml:space="preserve">N9217B  </v>
      </c>
      <c r="BC1470">
        <v>1</v>
      </c>
      <c r="BE1470">
        <v>0</v>
      </c>
      <c r="BF1470">
        <v>0</v>
      </c>
      <c r="BG1470">
        <v>0</v>
      </c>
      <c r="BH1470">
        <v>8900</v>
      </c>
      <c r="BI1470">
        <v>1</v>
      </c>
      <c r="BJ1470">
        <v>0</v>
      </c>
      <c r="BK1470">
        <v>0</v>
      </c>
      <c r="BL1470">
        <v>0</v>
      </c>
      <c r="BO1470">
        <v>0</v>
      </c>
      <c r="BP1470">
        <v>0</v>
      </c>
      <c r="BW1470" t="str">
        <f t="shared" si="804"/>
        <v>14:52:43.051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293</v>
      </c>
      <c r="CR1470">
        <v>1</v>
      </c>
      <c r="CW1470">
        <v>15287751</v>
      </c>
      <c r="CY1470">
        <v>0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25">
      <c r="A1471" t="str">
        <f t="shared" si="802"/>
        <v>06/05/2020 14:52:37.410</v>
      </c>
      <c r="C1471" t="str">
        <f t="shared" si="789"/>
        <v>FFDFD3C0</v>
      </c>
      <c r="D1471" t="s">
        <v>151</v>
      </c>
      <c r="E1471">
        <v>8</v>
      </c>
      <c r="H1471">
        <v>225</v>
      </c>
      <c r="I1471" t="s">
        <v>353</v>
      </c>
      <c r="J1471" t="s">
        <v>150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803"/>
        <v>14:52:43.047</v>
      </c>
      <c r="T1471" t="str">
        <f t="shared" si="803"/>
        <v>14:52:43.047</v>
      </c>
      <c r="U1471" t="str">
        <f t="shared" si="772"/>
        <v>ACC530</v>
      </c>
      <c r="V1471">
        <v>0</v>
      </c>
      <c r="W1471">
        <v>0</v>
      </c>
      <c r="X1471">
        <v>1</v>
      </c>
      <c r="Z1471">
        <v>0</v>
      </c>
      <c r="AA1471">
        <v>9</v>
      </c>
      <c r="AB1471">
        <v>3</v>
      </c>
      <c r="AC1471">
        <v>0</v>
      </c>
      <c r="AD1471">
        <v>9</v>
      </c>
      <c r="AE1471">
        <v>0</v>
      </c>
      <c r="AF1471">
        <v>3</v>
      </c>
      <c r="AG1471">
        <v>1</v>
      </c>
      <c r="AH1471">
        <v>0</v>
      </c>
      <c r="AI1471" t="s">
        <v>587</v>
      </c>
      <c r="AJ1471">
        <v>34.198573000000003</v>
      </c>
      <c r="AK1471" t="s">
        <v>588</v>
      </c>
      <c r="AL1471">
        <v>-116.97881700000001</v>
      </c>
      <c r="AM1471">
        <v>100</v>
      </c>
      <c r="AN1471">
        <v>8900</v>
      </c>
      <c r="AO1471" t="s">
        <v>118</v>
      </c>
      <c r="AP1471">
        <v>-104</v>
      </c>
      <c r="AQ1471">
        <v>-61</v>
      </c>
      <c r="AR1471">
        <v>-832</v>
      </c>
      <c r="AZ1471">
        <v>1200</v>
      </c>
      <c r="BA1471">
        <v>1</v>
      </c>
      <c r="BB1471" t="str">
        <f t="shared" si="773"/>
        <v xml:space="preserve">N9217B  </v>
      </c>
      <c r="BC1471">
        <v>1</v>
      </c>
      <c r="BE1471">
        <v>0</v>
      </c>
      <c r="BF1471">
        <v>0</v>
      </c>
      <c r="BG1471">
        <v>0</v>
      </c>
      <c r="BH1471">
        <v>8900</v>
      </c>
      <c r="BI1471">
        <v>1</v>
      </c>
      <c r="BJ1471">
        <v>0</v>
      </c>
      <c r="BK1471">
        <v>0</v>
      </c>
      <c r="BL1471">
        <v>0</v>
      </c>
      <c r="BO1471">
        <v>0</v>
      </c>
      <c r="BP1471">
        <v>0</v>
      </c>
      <c r="BW1471" t="str">
        <f t="shared" si="804"/>
        <v>14:52:43.051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5</v>
      </c>
      <c r="CP1471" t="s">
        <v>119</v>
      </c>
      <c r="CQ1471">
        <v>285</v>
      </c>
      <c r="CR1471">
        <v>3</v>
      </c>
      <c r="CW1471">
        <v>8853648</v>
      </c>
      <c r="CY1471">
        <v>0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25">
      <c r="A1472" t="str">
        <f t="shared" si="802"/>
        <v>06/05/2020 14:52:37.410</v>
      </c>
      <c r="C1472" t="str">
        <f t="shared" si="789"/>
        <v>FFDFD3C0</v>
      </c>
      <c r="D1472" t="s">
        <v>148</v>
      </c>
      <c r="E1472">
        <v>11</v>
      </c>
      <c r="H1472">
        <v>53</v>
      </c>
      <c r="I1472" t="s">
        <v>364</v>
      </c>
      <c r="J1472" t="s">
        <v>150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803"/>
        <v>14:52:43.047</v>
      </c>
      <c r="T1472" t="str">
        <f t="shared" si="803"/>
        <v>14:52:43.047</v>
      </c>
      <c r="U1472" t="str">
        <f t="shared" si="772"/>
        <v>ACC530</v>
      </c>
      <c r="V1472">
        <v>0</v>
      </c>
      <c r="W1472">
        <v>0</v>
      </c>
      <c r="X1472">
        <v>1</v>
      </c>
      <c r="Z1472">
        <v>0</v>
      </c>
      <c r="AA1472">
        <v>9</v>
      </c>
      <c r="AB1472">
        <v>3</v>
      </c>
      <c r="AC1472">
        <v>0</v>
      </c>
      <c r="AD1472">
        <v>9</v>
      </c>
      <c r="AE1472">
        <v>0</v>
      </c>
      <c r="AF1472">
        <v>3</v>
      </c>
      <c r="AG1472">
        <v>1</v>
      </c>
      <c r="AH1472">
        <v>0</v>
      </c>
      <c r="AI1472" t="s">
        <v>587</v>
      </c>
      <c r="AJ1472">
        <v>34.198573000000003</v>
      </c>
      <c r="AK1472" t="s">
        <v>588</v>
      </c>
      <c r="AL1472">
        <v>-116.97881700000001</v>
      </c>
      <c r="AM1472">
        <v>100</v>
      </c>
      <c r="AN1472">
        <v>8900</v>
      </c>
      <c r="AO1472" t="s">
        <v>118</v>
      </c>
      <c r="AP1472">
        <v>-104</v>
      </c>
      <c r="AQ1472">
        <v>-61</v>
      </c>
      <c r="AR1472">
        <v>-832</v>
      </c>
      <c r="AZ1472">
        <v>1200</v>
      </c>
      <c r="BA1472">
        <v>1</v>
      </c>
      <c r="BB1472" t="str">
        <f t="shared" si="773"/>
        <v xml:space="preserve">N9217B  </v>
      </c>
      <c r="BC1472">
        <v>1</v>
      </c>
      <c r="BE1472">
        <v>0</v>
      </c>
      <c r="BF1472">
        <v>0</v>
      </c>
      <c r="BG1472">
        <v>0</v>
      </c>
      <c r="BH1472">
        <v>8900</v>
      </c>
      <c r="BI1472">
        <v>1</v>
      </c>
      <c r="BJ1472">
        <v>0</v>
      </c>
      <c r="BK1472">
        <v>0</v>
      </c>
      <c r="BL1472">
        <v>0</v>
      </c>
      <c r="BO1472">
        <v>0</v>
      </c>
      <c r="BP1472">
        <v>0</v>
      </c>
      <c r="BW1472" t="str">
        <f t="shared" si="804"/>
        <v>14:52:43.051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293</v>
      </c>
      <c r="CR1472">
        <v>1</v>
      </c>
      <c r="CW1472">
        <v>15287751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25">
      <c r="A1473" t="str">
        <f t="shared" si="802"/>
        <v>06/05/2020 14:52:37.410</v>
      </c>
      <c r="C1473" t="str">
        <f t="shared" si="789"/>
        <v>FFDFD3C0</v>
      </c>
      <c r="D1473" t="s">
        <v>148</v>
      </c>
      <c r="E1473">
        <v>8</v>
      </c>
      <c r="H1473">
        <v>50</v>
      </c>
      <c r="I1473" t="s">
        <v>149</v>
      </c>
      <c r="J1473" t="s">
        <v>150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803"/>
        <v>14:52:43.047</v>
      </c>
      <c r="T1473" t="str">
        <f t="shared" si="803"/>
        <v>14:52:43.047</v>
      </c>
      <c r="U1473" t="str">
        <f t="shared" si="772"/>
        <v>ACC530</v>
      </c>
      <c r="V1473">
        <v>0</v>
      </c>
      <c r="W1473">
        <v>0</v>
      </c>
      <c r="X1473">
        <v>1</v>
      </c>
      <c r="Z1473">
        <v>0</v>
      </c>
      <c r="AA1473">
        <v>9</v>
      </c>
      <c r="AB1473">
        <v>3</v>
      </c>
      <c r="AC1473">
        <v>0</v>
      </c>
      <c r="AD1473">
        <v>9</v>
      </c>
      <c r="AE1473">
        <v>0</v>
      </c>
      <c r="AF1473">
        <v>3</v>
      </c>
      <c r="AG1473">
        <v>1</v>
      </c>
      <c r="AH1473">
        <v>0</v>
      </c>
      <c r="AI1473" t="s">
        <v>587</v>
      </c>
      <c r="AJ1473">
        <v>34.198573000000003</v>
      </c>
      <c r="AK1473" t="s">
        <v>588</v>
      </c>
      <c r="AL1473">
        <v>-116.97881700000001</v>
      </c>
      <c r="AM1473">
        <v>100</v>
      </c>
      <c r="AN1473">
        <v>8900</v>
      </c>
      <c r="AO1473" t="s">
        <v>118</v>
      </c>
      <c r="AP1473">
        <v>-104</v>
      </c>
      <c r="AQ1473">
        <v>-61</v>
      </c>
      <c r="AR1473">
        <v>-832</v>
      </c>
      <c r="AZ1473">
        <v>1200</v>
      </c>
      <c r="BA1473">
        <v>1</v>
      </c>
      <c r="BB1473" t="str">
        <f t="shared" si="773"/>
        <v xml:space="preserve">N9217B  </v>
      </c>
      <c r="BC1473">
        <v>1</v>
      </c>
      <c r="BE1473">
        <v>0</v>
      </c>
      <c r="BF1473">
        <v>0</v>
      </c>
      <c r="BG1473">
        <v>0</v>
      </c>
      <c r="BH1473">
        <v>8900</v>
      </c>
      <c r="BI1473">
        <v>1</v>
      </c>
      <c r="BJ1473">
        <v>0</v>
      </c>
      <c r="BK1473">
        <v>0</v>
      </c>
      <c r="BL1473">
        <v>0</v>
      </c>
      <c r="BO1473">
        <v>0</v>
      </c>
      <c r="BP1473">
        <v>0</v>
      </c>
      <c r="BW1473" t="str">
        <f t="shared" si="804"/>
        <v>14:52:43.051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293</v>
      </c>
      <c r="CR1473">
        <v>1</v>
      </c>
      <c r="CW1473">
        <v>15287751</v>
      </c>
      <c r="CY1473">
        <v>0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25">
      <c r="A1474" t="str">
        <f t="shared" si="802"/>
        <v>06/05/2020 14:52:37.410</v>
      </c>
      <c r="C1474" t="str">
        <f t="shared" si="789"/>
        <v>FFDFD3C0</v>
      </c>
      <c r="D1474" t="s">
        <v>151</v>
      </c>
      <c r="E1474">
        <v>9</v>
      </c>
      <c r="H1474">
        <v>226</v>
      </c>
      <c r="I1474" t="s">
        <v>152</v>
      </c>
      <c r="J1474" t="s">
        <v>150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803"/>
        <v>14:52:43.047</v>
      </c>
      <c r="T1474" t="str">
        <f t="shared" si="803"/>
        <v>14:52:43.047</v>
      </c>
      <c r="U1474" t="str">
        <f t="shared" ref="U1474:U1537" si="805">"ACC530"</f>
        <v>ACC530</v>
      </c>
      <c r="V1474">
        <v>0</v>
      </c>
      <c r="W1474">
        <v>0</v>
      </c>
      <c r="X1474">
        <v>1</v>
      </c>
      <c r="Z1474">
        <v>0</v>
      </c>
      <c r="AA1474">
        <v>9</v>
      </c>
      <c r="AB1474">
        <v>3</v>
      </c>
      <c r="AC1474">
        <v>0</v>
      </c>
      <c r="AD1474">
        <v>9</v>
      </c>
      <c r="AE1474">
        <v>0</v>
      </c>
      <c r="AF1474">
        <v>3</v>
      </c>
      <c r="AG1474">
        <v>1</v>
      </c>
      <c r="AH1474">
        <v>0</v>
      </c>
      <c r="AI1474" t="s">
        <v>587</v>
      </c>
      <c r="AJ1474">
        <v>34.198573000000003</v>
      </c>
      <c r="AK1474" t="s">
        <v>588</v>
      </c>
      <c r="AL1474">
        <v>-116.97881700000001</v>
      </c>
      <c r="AM1474">
        <v>100</v>
      </c>
      <c r="AN1474">
        <v>8900</v>
      </c>
      <c r="AO1474" t="s">
        <v>118</v>
      </c>
      <c r="AP1474">
        <v>-104</v>
      </c>
      <c r="AQ1474">
        <v>-61</v>
      </c>
      <c r="AR1474">
        <v>-832</v>
      </c>
      <c r="AZ1474">
        <v>1200</v>
      </c>
      <c r="BA1474">
        <v>1</v>
      </c>
      <c r="BB1474" t="str">
        <f t="shared" si="773"/>
        <v xml:space="preserve">N9217B  </v>
      </c>
      <c r="BC1474">
        <v>1</v>
      </c>
      <c r="BE1474">
        <v>0</v>
      </c>
      <c r="BF1474">
        <v>0</v>
      </c>
      <c r="BG1474">
        <v>0</v>
      </c>
      <c r="BH1474">
        <v>8900</v>
      </c>
      <c r="BI1474">
        <v>1</v>
      </c>
      <c r="BJ1474">
        <v>0</v>
      </c>
      <c r="BK1474">
        <v>0</v>
      </c>
      <c r="BL1474">
        <v>0</v>
      </c>
      <c r="BO1474">
        <v>0</v>
      </c>
      <c r="BP1474">
        <v>0</v>
      </c>
      <c r="BW1474" t="str">
        <f t="shared" si="804"/>
        <v>14:52:43.051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293</v>
      </c>
      <c r="CR1474">
        <v>1</v>
      </c>
      <c r="CW1474">
        <v>15287751</v>
      </c>
      <c r="CY1474">
        <v>0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25">
      <c r="A1475" t="str">
        <f t="shared" si="802"/>
        <v>06/05/2020 14:52:37.410</v>
      </c>
      <c r="C1475" t="str">
        <f t="shared" si="789"/>
        <v>FFDFD3C0</v>
      </c>
      <c r="D1475" t="s">
        <v>141</v>
      </c>
      <c r="E1475">
        <v>20</v>
      </c>
      <c r="F1475">
        <v>1020</v>
      </c>
      <c r="G1475" t="s">
        <v>114</v>
      </c>
      <c r="J1475" t="s">
        <v>142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803"/>
        <v>14:52:43.047</v>
      </c>
      <c r="T1475" t="str">
        <f t="shared" si="803"/>
        <v>14:52:43.047</v>
      </c>
      <c r="U1475" t="str">
        <f t="shared" si="805"/>
        <v>ACC530</v>
      </c>
      <c r="V1475">
        <v>0</v>
      </c>
      <c r="W1475">
        <v>0</v>
      </c>
      <c r="X1475">
        <v>1</v>
      </c>
      <c r="Z1475">
        <v>0</v>
      </c>
      <c r="AA1475">
        <v>9</v>
      </c>
      <c r="AB1475">
        <v>3</v>
      </c>
      <c r="AC1475">
        <v>0</v>
      </c>
      <c r="AD1475">
        <v>9</v>
      </c>
      <c r="AE1475">
        <v>0</v>
      </c>
      <c r="AF1475">
        <v>3</v>
      </c>
      <c r="AG1475">
        <v>1</v>
      </c>
      <c r="AH1475">
        <v>0</v>
      </c>
      <c r="AI1475" t="s">
        <v>587</v>
      </c>
      <c r="AJ1475">
        <v>34.198573000000003</v>
      </c>
      <c r="AK1475" t="s">
        <v>588</v>
      </c>
      <c r="AL1475">
        <v>-116.97881700000001</v>
      </c>
      <c r="AM1475">
        <v>100</v>
      </c>
      <c r="AN1475">
        <v>8900</v>
      </c>
      <c r="AO1475" t="s">
        <v>118</v>
      </c>
      <c r="AP1475">
        <v>-104</v>
      </c>
      <c r="AQ1475">
        <v>-61</v>
      </c>
      <c r="AR1475">
        <v>-832</v>
      </c>
      <c r="AZ1475">
        <v>1200</v>
      </c>
      <c r="BA1475">
        <v>1</v>
      </c>
      <c r="BB1475" t="str">
        <f t="shared" si="773"/>
        <v xml:space="preserve">N9217B  </v>
      </c>
      <c r="BC1475">
        <v>1</v>
      </c>
      <c r="BE1475">
        <v>0</v>
      </c>
      <c r="BF1475">
        <v>0</v>
      </c>
      <c r="BG1475">
        <v>0</v>
      </c>
      <c r="BH1475">
        <v>8900</v>
      </c>
      <c r="BI1475">
        <v>1</v>
      </c>
      <c r="BJ1475">
        <v>0</v>
      </c>
      <c r="BK1475">
        <v>0</v>
      </c>
      <c r="BL1475">
        <v>0</v>
      </c>
      <c r="BO1475">
        <v>0</v>
      </c>
      <c r="BP1475">
        <v>0</v>
      </c>
      <c r="BW1475" t="str">
        <f t="shared" si="804"/>
        <v>14:52:43.051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293</v>
      </c>
      <c r="CR1475">
        <v>1</v>
      </c>
      <c r="CW1475">
        <v>15287751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25">
      <c r="A1476" t="str">
        <f t="shared" ref="A1476:A1482" si="806">"06/05/2020 14:52:38.266"</f>
        <v>06/05/2020 14:52:38.266</v>
      </c>
      <c r="C1476" t="str">
        <f t="shared" si="789"/>
        <v>FFDFD3C0</v>
      </c>
      <c r="D1476" t="s">
        <v>134</v>
      </c>
      <c r="E1476">
        <v>7</v>
      </c>
      <c r="F1476">
        <v>2007</v>
      </c>
      <c r="G1476" t="s">
        <v>135</v>
      </c>
      <c r="J1476" t="s">
        <v>136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ref="S1476:T1482" si="807">"14:52:43.914"</f>
        <v>14:52:43.914</v>
      </c>
      <c r="T1476" t="str">
        <f t="shared" si="807"/>
        <v>14:52:43.914</v>
      </c>
      <c r="U1476" t="str">
        <f t="shared" si="805"/>
        <v>ACC530</v>
      </c>
      <c r="V1476">
        <v>0</v>
      </c>
      <c r="W1476">
        <v>0</v>
      </c>
      <c r="X1476">
        <v>1</v>
      </c>
      <c r="Z1476">
        <v>0</v>
      </c>
      <c r="AA1476">
        <v>9</v>
      </c>
      <c r="AB1476">
        <v>3</v>
      </c>
      <c r="AC1476">
        <v>0</v>
      </c>
      <c r="AD1476">
        <v>9</v>
      </c>
      <c r="AE1476">
        <v>0</v>
      </c>
      <c r="AF1476">
        <v>3</v>
      </c>
      <c r="AG1476">
        <v>1</v>
      </c>
      <c r="AH1476">
        <v>0</v>
      </c>
      <c r="AI1476" t="s">
        <v>589</v>
      </c>
      <c r="AJ1476">
        <v>34.198293999999997</v>
      </c>
      <c r="AK1476" t="s">
        <v>590</v>
      </c>
      <c r="AL1476">
        <v>-116.979332</v>
      </c>
      <c r="AM1476">
        <v>100</v>
      </c>
      <c r="AN1476">
        <v>8800</v>
      </c>
      <c r="AO1476" t="s">
        <v>118</v>
      </c>
      <c r="AP1476">
        <v>-104</v>
      </c>
      <c r="AQ1476">
        <v>-62</v>
      </c>
      <c r="AR1476">
        <v>-768</v>
      </c>
      <c r="AZ1476">
        <v>1200</v>
      </c>
      <c r="BA1476">
        <v>1</v>
      </c>
      <c r="BB1476" t="str">
        <f t="shared" si="773"/>
        <v xml:space="preserve">N9217B  </v>
      </c>
      <c r="BC1476">
        <v>1</v>
      </c>
      <c r="BE1476">
        <v>0</v>
      </c>
      <c r="BF1476">
        <v>0</v>
      </c>
      <c r="BG1476">
        <v>0</v>
      </c>
      <c r="BH1476">
        <v>8875</v>
      </c>
      <c r="BI1476">
        <v>1</v>
      </c>
      <c r="BJ1476">
        <v>0</v>
      </c>
      <c r="BK1476">
        <v>0</v>
      </c>
      <c r="BL1476">
        <v>0</v>
      </c>
      <c r="BO1476">
        <v>0</v>
      </c>
      <c r="BP1476">
        <v>0</v>
      </c>
      <c r="BW1476" t="str">
        <f t="shared" ref="BW1476:BW1482" si="808">"14:52:43.921"</f>
        <v>14:52:43.921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293</v>
      </c>
      <c r="CR1476">
        <v>1</v>
      </c>
      <c r="CW1476">
        <v>15287859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25">
      <c r="A1477" t="str">
        <f t="shared" si="806"/>
        <v>06/05/2020 14:52:38.266</v>
      </c>
      <c r="C1477" t="str">
        <f t="shared" si="789"/>
        <v>FFDFD3C0</v>
      </c>
      <c r="D1477" t="s">
        <v>113</v>
      </c>
      <c r="E1477">
        <v>3</v>
      </c>
      <c r="H1477">
        <v>166</v>
      </c>
      <c r="I1477" t="s">
        <v>114</v>
      </c>
      <c r="J1477" t="s">
        <v>115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807"/>
        <v>14:52:43.914</v>
      </c>
      <c r="T1477" t="str">
        <f t="shared" si="807"/>
        <v>14:52:43.914</v>
      </c>
      <c r="U1477" t="str">
        <f t="shared" si="805"/>
        <v>ACC530</v>
      </c>
      <c r="V1477">
        <v>0</v>
      </c>
      <c r="W1477">
        <v>0</v>
      </c>
      <c r="X1477">
        <v>1</v>
      </c>
      <c r="Z1477">
        <v>0</v>
      </c>
      <c r="AA1477">
        <v>9</v>
      </c>
      <c r="AB1477">
        <v>3</v>
      </c>
      <c r="AC1477">
        <v>0</v>
      </c>
      <c r="AD1477">
        <v>9</v>
      </c>
      <c r="AE1477">
        <v>0</v>
      </c>
      <c r="AF1477">
        <v>3</v>
      </c>
      <c r="AG1477">
        <v>1</v>
      </c>
      <c r="AH1477">
        <v>0</v>
      </c>
      <c r="AI1477" t="s">
        <v>589</v>
      </c>
      <c r="AJ1477">
        <v>34.198293999999997</v>
      </c>
      <c r="AK1477" t="s">
        <v>590</v>
      </c>
      <c r="AL1477">
        <v>-116.979332</v>
      </c>
      <c r="AM1477">
        <v>100</v>
      </c>
      <c r="AN1477">
        <v>8800</v>
      </c>
      <c r="AO1477" t="s">
        <v>118</v>
      </c>
      <c r="AP1477">
        <v>-104</v>
      </c>
      <c r="AQ1477">
        <v>-62</v>
      </c>
      <c r="AR1477">
        <v>-768</v>
      </c>
      <c r="AZ1477">
        <v>1200</v>
      </c>
      <c r="BA1477">
        <v>1</v>
      </c>
      <c r="BB1477" t="str">
        <f t="shared" ref="BB1477:BB1540" si="809">"N9217B  "</f>
        <v xml:space="preserve">N9217B  </v>
      </c>
      <c r="BC1477">
        <v>1</v>
      </c>
      <c r="BE1477">
        <v>0</v>
      </c>
      <c r="BF1477">
        <v>0</v>
      </c>
      <c r="BG1477">
        <v>0</v>
      </c>
      <c r="BH1477">
        <v>8875</v>
      </c>
      <c r="BI1477">
        <v>1</v>
      </c>
      <c r="BJ1477">
        <v>0</v>
      </c>
      <c r="BK1477">
        <v>0</v>
      </c>
      <c r="BL1477">
        <v>0</v>
      </c>
      <c r="BO1477">
        <v>0</v>
      </c>
      <c r="BP1477">
        <v>0</v>
      </c>
      <c r="BW1477" t="str">
        <f t="shared" si="808"/>
        <v>14:52:43.921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293</v>
      </c>
      <c r="CR1477">
        <v>1</v>
      </c>
      <c r="CW1477">
        <v>15287859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25">
      <c r="A1478" t="str">
        <f t="shared" si="806"/>
        <v>06/05/2020 14:52:38.266</v>
      </c>
      <c r="C1478" t="str">
        <f t="shared" si="789"/>
        <v>FFDFD3C0</v>
      </c>
      <c r="D1478" t="s">
        <v>151</v>
      </c>
      <c r="E1478">
        <v>8</v>
      </c>
      <c r="H1478">
        <v>225</v>
      </c>
      <c r="I1478" t="s">
        <v>353</v>
      </c>
      <c r="J1478" t="s">
        <v>150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807"/>
        <v>14:52:43.914</v>
      </c>
      <c r="T1478" t="str">
        <f t="shared" si="807"/>
        <v>14:52:43.914</v>
      </c>
      <c r="U1478" t="str">
        <f t="shared" si="805"/>
        <v>ACC530</v>
      </c>
      <c r="V1478">
        <v>0</v>
      </c>
      <c r="W1478">
        <v>0</v>
      </c>
      <c r="X1478">
        <v>1</v>
      </c>
      <c r="Z1478">
        <v>0</v>
      </c>
      <c r="AA1478">
        <v>9</v>
      </c>
      <c r="AB1478">
        <v>3</v>
      </c>
      <c r="AC1478">
        <v>0</v>
      </c>
      <c r="AD1478">
        <v>9</v>
      </c>
      <c r="AE1478">
        <v>0</v>
      </c>
      <c r="AF1478">
        <v>3</v>
      </c>
      <c r="AG1478">
        <v>1</v>
      </c>
      <c r="AH1478">
        <v>0</v>
      </c>
      <c r="AI1478" t="s">
        <v>589</v>
      </c>
      <c r="AJ1478">
        <v>34.198293999999997</v>
      </c>
      <c r="AK1478" t="s">
        <v>590</v>
      </c>
      <c r="AL1478">
        <v>-116.979332</v>
      </c>
      <c r="AM1478">
        <v>100</v>
      </c>
      <c r="AN1478">
        <v>8800</v>
      </c>
      <c r="AO1478" t="s">
        <v>118</v>
      </c>
      <c r="AP1478">
        <v>-104</v>
      </c>
      <c r="AQ1478">
        <v>-62</v>
      </c>
      <c r="AR1478">
        <v>-768</v>
      </c>
      <c r="AZ1478">
        <v>1200</v>
      </c>
      <c r="BA1478">
        <v>1</v>
      </c>
      <c r="BB1478" t="str">
        <f t="shared" si="809"/>
        <v xml:space="preserve">N9217B  </v>
      </c>
      <c r="BC1478">
        <v>1</v>
      </c>
      <c r="BE1478">
        <v>0</v>
      </c>
      <c r="BF1478">
        <v>0</v>
      </c>
      <c r="BG1478">
        <v>0</v>
      </c>
      <c r="BH1478">
        <v>8875</v>
      </c>
      <c r="BI1478">
        <v>1</v>
      </c>
      <c r="BJ1478">
        <v>0</v>
      </c>
      <c r="BK1478">
        <v>0</v>
      </c>
      <c r="BL1478">
        <v>0</v>
      </c>
      <c r="BO1478">
        <v>0</v>
      </c>
      <c r="BP1478">
        <v>0</v>
      </c>
      <c r="BW1478" t="str">
        <f t="shared" si="808"/>
        <v>14:52:43.921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5</v>
      </c>
      <c r="CP1478" t="s">
        <v>119</v>
      </c>
      <c r="CQ1478">
        <v>285</v>
      </c>
      <c r="CR1478">
        <v>0</v>
      </c>
      <c r="CW1478">
        <v>8853732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25">
      <c r="A1479" t="str">
        <f t="shared" si="806"/>
        <v>06/05/2020 14:52:38.266</v>
      </c>
      <c r="C1479" t="str">
        <f t="shared" si="789"/>
        <v>FFDFD3C0</v>
      </c>
      <c r="D1479" t="s">
        <v>141</v>
      </c>
      <c r="E1479">
        <v>20</v>
      </c>
      <c r="F1479">
        <v>1020</v>
      </c>
      <c r="G1479" t="s">
        <v>114</v>
      </c>
      <c r="J1479" t="s">
        <v>142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807"/>
        <v>14:52:43.914</v>
      </c>
      <c r="T1479" t="str">
        <f t="shared" si="807"/>
        <v>14:52:43.914</v>
      </c>
      <c r="U1479" t="str">
        <f t="shared" si="805"/>
        <v>ACC530</v>
      </c>
      <c r="V1479">
        <v>0</v>
      </c>
      <c r="W1479">
        <v>0</v>
      </c>
      <c r="X1479">
        <v>1</v>
      </c>
      <c r="Z1479">
        <v>0</v>
      </c>
      <c r="AA1479">
        <v>9</v>
      </c>
      <c r="AB1479">
        <v>3</v>
      </c>
      <c r="AC1479">
        <v>0</v>
      </c>
      <c r="AD1479">
        <v>9</v>
      </c>
      <c r="AE1479">
        <v>0</v>
      </c>
      <c r="AF1479">
        <v>3</v>
      </c>
      <c r="AG1479">
        <v>1</v>
      </c>
      <c r="AH1479">
        <v>0</v>
      </c>
      <c r="AI1479" t="s">
        <v>589</v>
      </c>
      <c r="AJ1479">
        <v>34.198293999999997</v>
      </c>
      <c r="AK1479" t="s">
        <v>590</v>
      </c>
      <c r="AL1479">
        <v>-116.979332</v>
      </c>
      <c r="AM1479">
        <v>100</v>
      </c>
      <c r="AN1479">
        <v>8800</v>
      </c>
      <c r="AO1479" t="s">
        <v>118</v>
      </c>
      <c r="AP1479">
        <v>-104</v>
      </c>
      <c r="AQ1479">
        <v>-62</v>
      </c>
      <c r="AR1479">
        <v>-768</v>
      </c>
      <c r="AZ1479">
        <v>1200</v>
      </c>
      <c r="BA1479">
        <v>1</v>
      </c>
      <c r="BB1479" t="str">
        <f t="shared" si="809"/>
        <v xml:space="preserve">N9217B  </v>
      </c>
      <c r="BC1479">
        <v>1</v>
      </c>
      <c r="BE1479">
        <v>0</v>
      </c>
      <c r="BF1479">
        <v>0</v>
      </c>
      <c r="BG1479">
        <v>0</v>
      </c>
      <c r="BH1479">
        <v>8875</v>
      </c>
      <c r="BI1479">
        <v>1</v>
      </c>
      <c r="BJ1479">
        <v>0</v>
      </c>
      <c r="BK1479">
        <v>0</v>
      </c>
      <c r="BL1479">
        <v>0</v>
      </c>
      <c r="BO1479">
        <v>0</v>
      </c>
      <c r="BP1479">
        <v>0</v>
      </c>
      <c r="BW1479" t="str">
        <f t="shared" si="808"/>
        <v>14:52:43.921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293</v>
      </c>
      <c r="CR1479">
        <v>1</v>
      </c>
      <c r="CW1479">
        <v>15287859</v>
      </c>
      <c r="CY1479">
        <v>0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25">
      <c r="A1480" t="str">
        <f t="shared" si="806"/>
        <v>06/05/2020 14:52:38.266</v>
      </c>
      <c r="C1480" t="str">
        <f t="shared" si="789"/>
        <v>FFDFD3C0</v>
      </c>
      <c r="D1480" t="s">
        <v>148</v>
      </c>
      <c r="E1480">
        <v>8</v>
      </c>
      <c r="H1480">
        <v>50</v>
      </c>
      <c r="I1480" t="s">
        <v>149</v>
      </c>
      <c r="J1480" t="s">
        <v>150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807"/>
        <v>14:52:43.914</v>
      </c>
      <c r="T1480" t="str">
        <f t="shared" si="807"/>
        <v>14:52:43.914</v>
      </c>
      <c r="U1480" t="str">
        <f t="shared" si="805"/>
        <v>ACC530</v>
      </c>
      <c r="V1480">
        <v>0</v>
      </c>
      <c r="W1480">
        <v>0</v>
      </c>
      <c r="X1480">
        <v>1</v>
      </c>
      <c r="Z1480">
        <v>0</v>
      </c>
      <c r="AA1480">
        <v>9</v>
      </c>
      <c r="AB1480">
        <v>3</v>
      </c>
      <c r="AC1480">
        <v>0</v>
      </c>
      <c r="AD1480">
        <v>9</v>
      </c>
      <c r="AE1480">
        <v>0</v>
      </c>
      <c r="AF1480">
        <v>3</v>
      </c>
      <c r="AG1480">
        <v>1</v>
      </c>
      <c r="AH1480">
        <v>0</v>
      </c>
      <c r="AI1480" t="s">
        <v>589</v>
      </c>
      <c r="AJ1480">
        <v>34.198293999999997</v>
      </c>
      <c r="AK1480" t="s">
        <v>590</v>
      </c>
      <c r="AL1480">
        <v>-116.979332</v>
      </c>
      <c r="AM1480">
        <v>100</v>
      </c>
      <c r="AN1480">
        <v>8800</v>
      </c>
      <c r="AO1480" t="s">
        <v>118</v>
      </c>
      <c r="AP1480">
        <v>-104</v>
      </c>
      <c r="AQ1480">
        <v>-62</v>
      </c>
      <c r="AR1480">
        <v>-768</v>
      </c>
      <c r="AZ1480">
        <v>1200</v>
      </c>
      <c r="BA1480">
        <v>1</v>
      </c>
      <c r="BB1480" t="str">
        <f t="shared" si="809"/>
        <v xml:space="preserve">N9217B  </v>
      </c>
      <c r="BC1480">
        <v>1</v>
      </c>
      <c r="BE1480">
        <v>0</v>
      </c>
      <c r="BF1480">
        <v>0</v>
      </c>
      <c r="BG1480">
        <v>0</v>
      </c>
      <c r="BH1480">
        <v>8875</v>
      </c>
      <c r="BI1480">
        <v>1</v>
      </c>
      <c r="BJ1480">
        <v>0</v>
      </c>
      <c r="BK1480">
        <v>0</v>
      </c>
      <c r="BL1480">
        <v>0</v>
      </c>
      <c r="BO1480">
        <v>0</v>
      </c>
      <c r="BP1480">
        <v>0</v>
      </c>
      <c r="BW1480" t="str">
        <f t="shared" si="808"/>
        <v>14:52:43.921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293</v>
      </c>
      <c r="CR1480">
        <v>1</v>
      </c>
      <c r="CW1480">
        <v>15287859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25">
      <c r="A1481" t="str">
        <f t="shared" si="806"/>
        <v>06/05/2020 14:52:38.266</v>
      </c>
      <c r="C1481" t="str">
        <f t="shared" si="789"/>
        <v>FFDFD3C0</v>
      </c>
      <c r="D1481" t="s">
        <v>148</v>
      </c>
      <c r="E1481">
        <v>11</v>
      </c>
      <c r="H1481">
        <v>53</v>
      </c>
      <c r="I1481" t="s">
        <v>364</v>
      </c>
      <c r="J1481" t="s">
        <v>150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807"/>
        <v>14:52:43.914</v>
      </c>
      <c r="T1481" t="str">
        <f t="shared" si="807"/>
        <v>14:52:43.914</v>
      </c>
      <c r="U1481" t="str">
        <f t="shared" si="805"/>
        <v>ACC530</v>
      </c>
      <c r="V1481">
        <v>0</v>
      </c>
      <c r="W1481">
        <v>0</v>
      </c>
      <c r="X1481">
        <v>1</v>
      </c>
      <c r="Z1481">
        <v>0</v>
      </c>
      <c r="AA1481">
        <v>9</v>
      </c>
      <c r="AB1481">
        <v>3</v>
      </c>
      <c r="AC1481">
        <v>0</v>
      </c>
      <c r="AD1481">
        <v>9</v>
      </c>
      <c r="AE1481">
        <v>0</v>
      </c>
      <c r="AF1481">
        <v>3</v>
      </c>
      <c r="AG1481">
        <v>1</v>
      </c>
      <c r="AH1481">
        <v>0</v>
      </c>
      <c r="AI1481" t="s">
        <v>589</v>
      </c>
      <c r="AJ1481">
        <v>34.198293999999997</v>
      </c>
      <c r="AK1481" t="s">
        <v>590</v>
      </c>
      <c r="AL1481">
        <v>-116.979332</v>
      </c>
      <c r="AM1481">
        <v>100</v>
      </c>
      <c r="AN1481">
        <v>8800</v>
      </c>
      <c r="AO1481" t="s">
        <v>118</v>
      </c>
      <c r="AP1481">
        <v>-104</v>
      </c>
      <c r="AQ1481">
        <v>-62</v>
      </c>
      <c r="AR1481">
        <v>-768</v>
      </c>
      <c r="AZ1481">
        <v>1200</v>
      </c>
      <c r="BA1481">
        <v>1</v>
      </c>
      <c r="BB1481" t="str">
        <f t="shared" si="809"/>
        <v xml:space="preserve">N9217B  </v>
      </c>
      <c r="BC1481">
        <v>1</v>
      </c>
      <c r="BE1481">
        <v>0</v>
      </c>
      <c r="BF1481">
        <v>0</v>
      </c>
      <c r="BG1481">
        <v>0</v>
      </c>
      <c r="BH1481">
        <v>8875</v>
      </c>
      <c r="BI1481">
        <v>1</v>
      </c>
      <c r="BJ1481">
        <v>0</v>
      </c>
      <c r="BK1481">
        <v>0</v>
      </c>
      <c r="BL1481">
        <v>0</v>
      </c>
      <c r="BO1481">
        <v>0</v>
      </c>
      <c r="BP1481">
        <v>0</v>
      </c>
      <c r="BW1481" t="str">
        <f t="shared" si="808"/>
        <v>14:52:43.921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293</v>
      </c>
      <c r="CR1481">
        <v>1</v>
      </c>
      <c r="CW1481">
        <v>15287859</v>
      </c>
      <c r="CY1481">
        <v>0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25">
      <c r="A1482" t="str">
        <f t="shared" si="806"/>
        <v>06/05/2020 14:52:38.266</v>
      </c>
      <c r="C1482" t="str">
        <f t="shared" si="789"/>
        <v>FFDFD3C0</v>
      </c>
      <c r="D1482" t="s">
        <v>151</v>
      </c>
      <c r="E1482">
        <v>9</v>
      </c>
      <c r="H1482">
        <v>226</v>
      </c>
      <c r="I1482" t="s">
        <v>152</v>
      </c>
      <c r="J1482" t="s">
        <v>150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807"/>
        <v>14:52:43.914</v>
      </c>
      <c r="T1482" t="str">
        <f t="shared" si="807"/>
        <v>14:52:43.914</v>
      </c>
      <c r="U1482" t="str">
        <f t="shared" si="805"/>
        <v>ACC530</v>
      </c>
      <c r="V1482">
        <v>0</v>
      </c>
      <c r="W1482">
        <v>0</v>
      </c>
      <c r="X1482">
        <v>1</v>
      </c>
      <c r="Z1482">
        <v>0</v>
      </c>
      <c r="AA1482">
        <v>9</v>
      </c>
      <c r="AB1482">
        <v>3</v>
      </c>
      <c r="AC1482">
        <v>0</v>
      </c>
      <c r="AD1482">
        <v>9</v>
      </c>
      <c r="AE1482">
        <v>0</v>
      </c>
      <c r="AF1482">
        <v>3</v>
      </c>
      <c r="AG1482">
        <v>1</v>
      </c>
      <c r="AH1482">
        <v>0</v>
      </c>
      <c r="AI1482" t="s">
        <v>589</v>
      </c>
      <c r="AJ1482">
        <v>34.198293999999997</v>
      </c>
      <c r="AK1482" t="s">
        <v>590</v>
      </c>
      <c r="AL1482">
        <v>-116.979332</v>
      </c>
      <c r="AM1482">
        <v>100</v>
      </c>
      <c r="AN1482">
        <v>8800</v>
      </c>
      <c r="AO1482" t="s">
        <v>118</v>
      </c>
      <c r="AP1482">
        <v>-104</v>
      </c>
      <c r="AQ1482">
        <v>-62</v>
      </c>
      <c r="AR1482">
        <v>-768</v>
      </c>
      <c r="AZ1482">
        <v>1200</v>
      </c>
      <c r="BA1482">
        <v>1</v>
      </c>
      <c r="BB1482" t="str">
        <f t="shared" si="809"/>
        <v xml:space="preserve">N9217B  </v>
      </c>
      <c r="BC1482">
        <v>1</v>
      </c>
      <c r="BE1482">
        <v>0</v>
      </c>
      <c r="BF1482">
        <v>0</v>
      </c>
      <c r="BG1482">
        <v>0</v>
      </c>
      <c r="BH1482">
        <v>8875</v>
      </c>
      <c r="BI1482">
        <v>1</v>
      </c>
      <c r="BJ1482">
        <v>0</v>
      </c>
      <c r="BK1482">
        <v>0</v>
      </c>
      <c r="BL1482">
        <v>0</v>
      </c>
      <c r="BO1482">
        <v>0</v>
      </c>
      <c r="BP1482">
        <v>0</v>
      </c>
      <c r="BW1482" t="str">
        <f t="shared" si="808"/>
        <v>14:52:43.921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293</v>
      </c>
      <c r="CR1482">
        <v>1</v>
      </c>
      <c r="CW1482">
        <v>15287859</v>
      </c>
      <c r="CY1482">
        <v>0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25">
      <c r="A1483" t="str">
        <f t="shared" ref="A1483:A1489" si="810">"06/05/2020 14:52:39.247"</f>
        <v>06/05/2020 14:52:39.247</v>
      </c>
      <c r="C1483" t="str">
        <f t="shared" si="789"/>
        <v>FFDFD3C0</v>
      </c>
      <c r="D1483" t="s">
        <v>148</v>
      </c>
      <c r="E1483">
        <v>8</v>
      </c>
      <c r="H1483">
        <v>50</v>
      </c>
      <c r="I1483" t="s">
        <v>149</v>
      </c>
      <c r="J1483" t="s">
        <v>150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ref="S1483:T1489" si="811">"14:52:44.922"</f>
        <v>14:52:44.922</v>
      </c>
      <c r="T1483" t="str">
        <f t="shared" si="811"/>
        <v>14:52:44.922</v>
      </c>
      <c r="U1483" t="str">
        <f t="shared" si="805"/>
        <v>ACC530</v>
      </c>
      <c r="V1483">
        <v>0</v>
      </c>
      <c r="W1483">
        <v>0</v>
      </c>
      <c r="X1483">
        <v>1</v>
      </c>
      <c r="Z1483">
        <v>0</v>
      </c>
      <c r="AA1483">
        <v>9</v>
      </c>
      <c r="AB1483">
        <v>3</v>
      </c>
      <c r="AC1483">
        <v>0</v>
      </c>
      <c r="AD1483">
        <v>9</v>
      </c>
      <c r="AE1483">
        <v>0</v>
      </c>
      <c r="AF1483">
        <v>3</v>
      </c>
      <c r="AG1483">
        <v>1</v>
      </c>
      <c r="AH1483">
        <v>0</v>
      </c>
      <c r="AI1483" t="s">
        <v>591</v>
      </c>
      <c r="AJ1483">
        <v>34.198014999999998</v>
      </c>
      <c r="AK1483" t="s">
        <v>592</v>
      </c>
      <c r="AL1483">
        <v>-116.97989</v>
      </c>
      <c r="AM1483">
        <v>100</v>
      </c>
      <c r="AN1483">
        <v>8800</v>
      </c>
      <c r="AO1483" t="s">
        <v>118</v>
      </c>
      <c r="AP1483">
        <v>-104</v>
      </c>
      <c r="AQ1483">
        <v>-63</v>
      </c>
      <c r="AR1483">
        <v>-832</v>
      </c>
      <c r="AZ1483">
        <v>1200</v>
      </c>
      <c r="BA1483">
        <v>1</v>
      </c>
      <c r="BB1483" t="str">
        <f t="shared" si="809"/>
        <v xml:space="preserve">N9217B  </v>
      </c>
      <c r="BC1483">
        <v>1</v>
      </c>
      <c r="BE1483">
        <v>0</v>
      </c>
      <c r="BF1483">
        <v>0</v>
      </c>
      <c r="BG1483">
        <v>0</v>
      </c>
      <c r="BH1483">
        <v>8875</v>
      </c>
      <c r="BI1483">
        <v>1</v>
      </c>
      <c r="BJ1483">
        <v>0</v>
      </c>
      <c r="BK1483">
        <v>0</v>
      </c>
      <c r="BL1483">
        <v>0</v>
      </c>
      <c r="BO1483">
        <v>0</v>
      </c>
      <c r="BP1483">
        <v>0</v>
      </c>
      <c r="BW1483" t="str">
        <f t="shared" ref="BW1483:BW1489" si="812">"14:52:44.926"</f>
        <v>14:52:44.926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293</v>
      </c>
      <c r="CR1483">
        <v>1</v>
      </c>
      <c r="CW1483">
        <v>15287970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25">
      <c r="A1484" t="str">
        <f t="shared" si="810"/>
        <v>06/05/2020 14:52:39.247</v>
      </c>
      <c r="C1484" t="str">
        <f t="shared" si="789"/>
        <v>FFDFD3C0</v>
      </c>
      <c r="D1484" t="s">
        <v>148</v>
      </c>
      <c r="E1484">
        <v>11</v>
      </c>
      <c r="H1484">
        <v>53</v>
      </c>
      <c r="I1484" t="s">
        <v>364</v>
      </c>
      <c r="J1484" t="s">
        <v>150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811"/>
        <v>14:52:44.922</v>
      </c>
      <c r="T1484" t="str">
        <f t="shared" si="811"/>
        <v>14:52:44.922</v>
      </c>
      <c r="U1484" t="str">
        <f t="shared" si="805"/>
        <v>ACC530</v>
      </c>
      <c r="V1484">
        <v>0</v>
      </c>
      <c r="W1484">
        <v>0</v>
      </c>
      <c r="X1484">
        <v>1</v>
      </c>
      <c r="Z1484">
        <v>0</v>
      </c>
      <c r="AA1484">
        <v>9</v>
      </c>
      <c r="AB1484">
        <v>3</v>
      </c>
      <c r="AC1484">
        <v>0</v>
      </c>
      <c r="AD1484">
        <v>9</v>
      </c>
      <c r="AE1484">
        <v>0</v>
      </c>
      <c r="AF1484">
        <v>3</v>
      </c>
      <c r="AG1484">
        <v>1</v>
      </c>
      <c r="AH1484">
        <v>0</v>
      </c>
      <c r="AI1484" t="s">
        <v>591</v>
      </c>
      <c r="AJ1484">
        <v>34.198014999999998</v>
      </c>
      <c r="AK1484" t="s">
        <v>592</v>
      </c>
      <c r="AL1484">
        <v>-116.97989</v>
      </c>
      <c r="AM1484">
        <v>100</v>
      </c>
      <c r="AN1484">
        <v>8800</v>
      </c>
      <c r="AO1484" t="s">
        <v>118</v>
      </c>
      <c r="AP1484">
        <v>-104</v>
      </c>
      <c r="AQ1484">
        <v>-63</v>
      </c>
      <c r="AR1484">
        <v>-832</v>
      </c>
      <c r="AZ1484">
        <v>1200</v>
      </c>
      <c r="BA1484">
        <v>1</v>
      </c>
      <c r="BB1484" t="str">
        <f t="shared" si="809"/>
        <v xml:space="preserve">N9217B  </v>
      </c>
      <c r="BC1484">
        <v>1</v>
      </c>
      <c r="BE1484">
        <v>0</v>
      </c>
      <c r="BF1484">
        <v>0</v>
      </c>
      <c r="BG1484">
        <v>0</v>
      </c>
      <c r="BH1484">
        <v>8875</v>
      </c>
      <c r="BI1484">
        <v>1</v>
      </c>
      <c r="BJ1484">
        <v>0</v>
      </c>
      <c r="BK1484">
        <v>0</v>
      </c>
      <c r="BL1484">
        <v>0</v>
      </c>
      <c r="BO1484">
        <v>0</v>
      </c>
      <c r="BP1484">
        <v>0</v>
      </c>
      <c r="BW1484" t="str">
        <f t="shared" si="812"/>
        <v>14:52:44.926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293</v>
      </c>
      <c r="CR1484">
        <v>1</v>
      </c>
      <c r="CW1484">
        <v>15287970</v>
      </c>
      <c r="CY1484">
        <v>0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25">
      <c r="A1485" t="str">
        <f t="shared" si="810"/>
        <v>06/05/2020 14:52:39.247</v>
      </c>
      <c r="C1485" t="str">
        <f t="shared" si="789"/>
        <v>FFDFD3C0</v>
      </c>
      <c r="D1485" t="s">
        <v>151</v>
      </c>
      <c r="E1485">
        <v>9</v>
      </c>
      <c r="H1485">
        <v>226</v>
      </c>
      <c r="I1485" t="s">
        <v>152</v>
      </c>
      <c r="J1485" t="s">
        <v>150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811"/>
        <v>14:52:44.922</v>
      </c>
      <c r="T1485" t="str">
        <f t="shared" si="811"/>
        <v>14:52:44.922</v>
      </c>
      <c r="U1485" t="str">
        <f t="shared" si="805"/>
        <v>ACC530</v>
      </c>
      <c r="V1485">
        <v>0</v>
      </c>
      <c r="W1485">
        <v>0</v>
      </c>
      <c r="X1485">
        <v>1</v>
      </c>
      <c r="Z1485">
        <v>0</v>
      </c>
      <c r="AA1485">
        <v>9</v>
      </c>
      <c r="AB1485">
        <v>3</v>
      </c>
      <c r="AC1485">
        <v>0</v>
      </c>
      <c r="AD1485">
        <v>9</v>
      </c>
      <c r="AE1485">
        <v>0</v>
      </c>
      <c r="AF1485">
        <v>3</v>
      </c>
      <c r="AG1485">
        <v>1</v>
      </c>
      <c r="AH1485">
        <v>0</v>
      </c>
      <c r="AI1485" t="s">
        <v>591</v>
      </c>
      <c r="AJ1485">
        <v>34.198014999999998</v>
      </c>
      <c r="AK1485" t="s">
        <v>592</v>
      </c>
      <c r="AL1485">
        <v>-116.97989</v>
      </c>
      <c r="AM1485">
        <v>100</v>
      </c>
      <c r="AN1485">
        <v>8800</v>
      </c>
      <c r="AO1485" t="s">
        <v>118</v>
      </c>
      <c r="AP1485">
        <v>-104</v>
      </c>
      <c r="AQ1485">
        <v>-63</v>
      </c>
      <c r="AR1485">
        <v>-832</v>
      </c>
      <c r="AZ1485">
        <v>1200</v>
      </c>
      <c r="BA1485">
        <v>1</v>
      </c>
      <c r="BB1485" t="str">
        <f t="shared" si="809"/>
        <v xml:space="preserve">N9217B  </v>
      </c>
      <c r="BC1485">
        <v>1</v>
      </c>
      <c r="BE1485">
        <v>0</v>
      </c>
      <c r="BF1485">
        <v>0</v>
      </c>
      <c r="BG1485">
        <v>0</v>
      </c>
      <c r="BH1485">
        <v>8875</v>
      </c>
      <c r="BI1485">
        <v>1</v>
      </c>
      <c r="BJ1485">
        <v>0</v>
      </c>
      <c r="BK1485">
        <v>0</v>
      </c>
      <c r="BL1485">
        <v>0</v>
      </c>
      <c r="BO1485">
        <v>0</v>
      </c>
      <c r="BP1485">
        <v>0</v>
      </c>
      <c r="BW1485" t="str">
        <f t="shared" si="812"/>
        <v>14:52:44.926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293</v>
      </c>
      <c r="CR1485">
        <v>1</v>
      </c>
      <c r="CW1485">
        <v>15287970</v>
      </c>
      <c r="CY1485">
        <v>0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25">
      <c r="A1486" t="str">
        <f t="shared" si="810"/>
        <v>06/05/2020 14:52:39.247</v>
      </c>
      <c r="C1486" t="str">
        <f t="shared" si="789"/>
        <v>FFDFD3C0</v>
      </c>
      <c r="D1486" t="s">
        <v>134</v>
      </c>
      <c r="E1486">
        <v>7</v>
      </c>
      <c r="F1486">
        <v>2007</v>
      </c>
      <c r="G1486" t="s">
        <v>135</v>
      </c>
      <c r="J1486" t="s">
        <v>136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811"/>
        <v>14:52:44.922</v>
      </c>
      <c r="T1486" t="str">
        <f t="shared" si="811"/>
        <v>14:52:44.922</v>
      </c>
      <c r="U1486" t="str">
        <f t="shared" si="805"/>
        <v>ACC530</v>
      </c>
      <c r="V1486">
        <v>0</v>
      </c>
      <c r="W1486">
        <v>0</v>
      </c>
      <c r="X1486">
        <v>1</v>
      </c>
      <c r="Z1486">
        <v>0</v>
      </c>
      <c r="AA1486">
        <v>9</v>
      </c>
      <c r="AB1486">
        <v>3</v>
      </c>
      <c r="AC1486">
        <v>0</v>
      </c>
      <c r="AD1486">
        <v>9</v>
      </c>
      <c r="AE1486">
        <v>0</v>
      </c>
      <c r="AF1486">
        <v>3</v>
      </c>
      <c r="AG1486">
        <v>1</v>
      </c>
      <c r="AH1486">
        <v>0</v>
      </c>
      <c r="AI1486" t="s">
        <v>591</v>
      </c>
      <c r="AJ1486">
        <v>34.198014999999998</v>
      </c>
      <c r="AK1486" t="s">
        <v>592</v>
      </c>
      <c r="AL1486">
        <v>-116.97989</v>
      </c>
      <c r="AM1486">
        <v>100</v>
      </c>
      <c r="AN1486">
        <v>8800</v>
      </c>
      <c r="AO1486" t="s">
        <v>118</v>
      </c>
      <c r="AP1486">
        <v>-104</v>
      </c>
      <c r="AQ1486">
        <v>-63</v>
      </c>
      <c r="AR1486">
        <v>-832</v>
      </c>
      <c r="AZ1486">
        <v>1200</v>
      </c>
      <c r="BA1486">
        <v>1</v>
      </c>
      <c r="BB1486" t="str">
        <f t="shared" si="809"/>
        <v xml:space="preserve">N9217B  </v>
      </c>
      <c r="BC1486">
        <v>1</v>
      </c>
      <c r="BE1486">
        <v>0</v>
      </c>
      <c r="BF1486">
        <v>0</v>
      </c>
      <c r="BG1486">
        <v>0</v>
      </c>
      <c r="BH1486">
        <v>8875</v>
      </c>
      <c r="BI1486">
        <v>1</v>
      </c>
      <c r="BJ1486">
        <v>0</v>
      </c>
      <c r="BK1486">
        <v>0</v>
      </c>
      <c r="BL1486">
        <v>0</v>
      </c>
      <c r="BO1486">
        <v>0</v>
      </c>
      <c r="BP1486">
        <v>0</v>
      </c>
      <c r="BW1486" t="str">
        <f t="shared" si="812"/>
        <v>14:52:44.926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293</v>
      </c>
      <c r="CR1486">
        <v>1</v>
      </c>
      <c r="CW1486">
        <v>15287970</v>
      </c>
      <c r="CY1486">
        <v>0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25">
      <c r="A1487" t="str">
        <f t="shared" si="810"/>
        <v>06/05/2020 14:52:39.247</v>
      </c>
      <c r="C1487" t="str">
        <f t="shared" si="789"/>
        <v>FFDFD3C0</v>
      </c>
      <c r="D1487" t="s">
        <v>113</v>
      </c>
      <c r="E1487">
        <v>3</v>
      </c>
      <c r="H1487">
        <v>166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811"/>
        <v>14:52:44.922</v>
      </c>
      <c r="T1487" t="str">
        <f t="shared" si="811"/>
        <v>14:52:44.922</v>
      </c>
      <c r="U1487" t="str">
        <f t="shared" si="805"/>
        <v>ACC530</v>
      </c>
      <c r="V1487">
        <v>0</v>
      </c>
      <c r="W1487">
        <v>0</v>
      </c>
      <c r="X1487">
        <v>1</v>
      </c>
      <c r="Z1487">
        <v>0</v>
      </c>
      <c r="AA1487">
        <v>9</v>
      </c>
      <c r="AB1487">
        <v>3</v>
      </c>
      <c r="AC1487">
        <v>0</v>
      </c>
      <c r="AD1487">
        <v>9</v>
      </c>
      <c r="AE1487">
        <v>0</v>
      </c>
      <c r="AF1487">
        <v>3</v>
      </c>
      <c r="AG1487">
        <v>1</v>
      </c>
      <c r="AH1487">
        <v>0</v>
      </c>
      <c r="AI1487" t="s">
        <v>591</v>
      </c>
      <c r="AJ1487">
        <v>34.198014999999998</v>
      </c>
      <c r="AK1487" t="s">
        <v>592</v>
      </c>
      <c r="AL1487">
        <v>-116.97989</v>
      </c>
      <c r="AM1487">
        <v>100</v>
      </c>
      <c r="AN1487">
        <v>8800</v>
      </c>
      <c r="AO1487" t="s">
        <v>118</v>
      </c>
      <c r="AP1487">
        <v>-104</v>
      </c>
      <c r="AQ1487">
        <v>-63</v>
      </c>
      <c r="AR1487">
        <v>-832</v>
      </c>
      <c r="AZ1487">
        <v>1200</v>
      </c>
      <c r="BA1487">
        <v>1</v>
      </c>
      <c r="BB1487" t="str">
        <f t="shared" si="809"/>
        <v xml:space="preserve">N9217B  </v>
      </c>
      <c r="BC1487">
        <v>1</v>
      </c>
      <c r="BE1487">
        <v>0</v>
      </c>
      <c r="BF1487">
        <v>0</v>
      </c>
      <c r="BG1487">
        <v>0</v>
      </c>
      <c r="BH1487">
        <v>8875</v>
      </c>
      <c r="BI1487">
        <v>1</v>
      </c>
      <c r="BJ1487">
        <v>0</v>
      </c>
      <c r="BK1487">
        <v>0</v>
      </c>
      <c r="BL1487">
        <v>0</v>
      </c>
      <c r="BO1487">
        <v>0</v>
      </c>
      <c r="BP1487">
        <v>0</v>
      </c>
      <c r="BW1487" t="str">
        <f t="shared" si="812"/>
        <v>14:52:44.926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293</v>
      </c>
      <c r="CR1487">
        <v>1</v>
      </c>
      <c r="CW1487">
        <v>15287970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25">
      <c r="A1488" t="str">
        <f t="shared" si="810"/>
        <v>06/05/2020 14:52:39.247</v>
      </c>
      <c r="C1488" t="str">
        <f t="shared" si="789"/>
        <v>FFDFD3C0</v>
      </c>
      <c r="D1488" t="s">
        <v>151</v>
      </c>
      <c r="E1488">
        <v>8</v>
      </c>
      <c r="H1488">
        <v>225</v>
      </c>
      <c r="I1488" t="s">
        <v>353</v>
      </c>
      <c r="J1488" t="s">
        <v>150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811"/>
        <v>14:52:44.922</v>
      </c>
      <c r="T1488" t="str">
        <f t="shared" si="811"/>
        <v>14:52:44.922</v>
      </c>
      <c r="U1488" t="str">
        <f t="shared" si="805"/>
        <v>ACC530</v>
      </c>
      <c r="V1488">
        <v>0</v>
      </c>
      <c r="W1488">
        <v>0</v>
      </c>
      <c r="X1488">
        <v>1</v>
      </c>
      <c r="Z1488">
        <v>0</v>
      </c>
      <c r="AA1488">
        <v>9</v>
      </c>
      <c r="AB1488">
        <v>3</v>
      </c>
      <c r="AC1488">
        <v>0</v>
      </c>
      <c r="AD1488">
        <v>9</v>
      </c>
      <c r="AE1488">
        <v>0</v>
      </c>
      <c r="AF1488">
        <v>3</v>
      </c>
      <c r="AG1488">
        <v>1</v>
      </c>
      <c r="AH1488">
        <v>0</v>
      </c>
      <c r="AI1488" t="s">
        <v>591</v>
      </c>
      <c r="AJ1488">
        <v>34.198014999999998</v>
      </c>
      <c r="AK1488" t="s">
        <v>592</v>
      </c>
      <c r="AL1488">
        <v>-116.97989</v>
      </c>
      <c r="AM1488">
        <v>100</v>
      </c>
      <c r="AN1488">
        <v>8800</v>
      </c>
      <c r="AO1488" t="s">
        <v>118</v>
      </c>
      <c r="AP1488">
        <v>-104</v>
      </c>
      <c r="AQ1488">
        <v>-63</v>
      </c>
      <c r="AR1488">
        <v>-832</v>
      </c>
      <c r="AZ1488">
        <v>1200</v>
      </c>
      <c r="BA1488">
        <v>1</v>
      </c>
      <c r="BB1488" t="str">
        <f t="shared" si="809"/>
        <v xml:space="preserve">N9217B  </v>
      </c>
      <c r="BC1488">
        <v>1</v>
      </c>
      <c r="BE1488">
        <v>0</v>
      </c>
      <c r="BF1488">
        <v>0</v>
      </c>
      <c r="BG1488">
        <v>0</v>
      </c>
      <c r="BH1488">
        <v>8875</v>
      </c>
      <c r="BI1488">
        <v>1</v>
      </c>
      <c r="BJ1488">
        <v>0</v>
      </c>
      <c r="BK1488">
        <v>0</v>
      </c>
      <c r="BL1488">
        <v>0</v>
      </c>
      <c r="BO1488">
        <v>0</v>
      </c>
      <c r="BP1488">
        <v>0</v>
      </c>
      <c r="BW1488" t="str">
        <f t="shared" si="812"/>
        <v>14:52:44.926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285</v>
      </c>
      <c r="CR1488">
        <v>0</v>
      </c>
      <c r="CW1488">
        <v>8853824</v>
      </c>
      <c r="CY1488">
        <v>0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25">
      <c r="A1489" t="str">
        <f t="shared" si="810"/>
        <v>06/05/2020 14:52:39.247</v>
      </c>
      <c r="C1489" t="str">
        <f t="shared" si="789"/>
        <v>FFDFD3C0</v>
      </c>
      <c r="D1489" t="s">
        <v>141</v>
      </c>
      <c r="E1489">
        <v>20</v>
      </c>
      <c r="F1489">
        <v>1020</v>
      </c>
      <c r="G1489" t="s">
        <v>114</v>
      </c>
      <c r="J1489" t="s">
        <v>142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811"/>
        <v>14:52:44.922</v>
      </c>
      <c r="T1489" t="str">
        <f t="shared" si="811"/>
        <v>14:52:44.922</v>
      </c>
      <c r="U1489" t="str">
        <f t="shared" si="805"/>
        <v>ACC530</v>
      </c>
      <c r="V1489">
        <v>0</v>
      </c>
      <c r="W1489">
        <v>0</v>
      </c>
      <c r="X1489">
        <v>1</v>
      </c>
      <c r="Z1489">
        <v>0</v>
      </c>
      <c r="AA1489">
        <v>9</v>
      </c>
      <c r="AB1489">
        <v>3</v>
      </c>
      <c r="AC1489">
        <v>0</v>
      </c>
      <c r="AD1489">
        <v>9</v>
      </c>
      <c r="AE1489">
        <v>0</v>
      </c>
      <c r="AF1489">
        <v>3</v>
      </c>
      <c r="AG1489">
        <v>1</v>
      </c>
      <c r="AH1489">
        <v>0</v>
      </c>
      <c r="AI1489" t="s">
        <v>591</v>
      </c>
      <c r="AJ1489">
        <v>34.198014999999998</v>
      </c>
      <c r="AK1489" t="s">
        <v>592</v>
      </c>
      <c r="AL1489">
        <v>-116.97989</v>
      </c>
      <c r="AM1489">
        <v>100</v>
      </c>
      <c r="AN1489">
        <v>8800</v>
      </c>
      <c r="AO1489" t="s">
        <v>118</v>
      </c>
      <c r="AP1489">
        <v>-104</v>
      </c>
      <c r="AQ1489">
        <v>-63</v>
      </c>
      <c r="AR1489">
        <v>-832</v>
      </c>
      <c r="AZ1489">
        <v>1200</v>
      </c>
      <c r="BA1489">
        <v>1</v>
      </c>
      <c r="BB1489" t="str">
        <f t="shared" si="809"/>
        <v xml:space="preserve">N9217B  </v>
      </c>
      <c r="BC1489">
        <v>1</v>
      </c>
      <c r="BE1489">
        <v>0</v>
      </c>
      <c r="BF1489">
        <v>0</v>
      </c>
      <c r="BG1489">
        <v>0</v>
      </c>
      <c r="BH1489">
        <v>8875</v>
      </c>
      <c r="BI1489">
        <v>1</v>
      </c>
      <c r="BJ1489">
        <v>0</v>
      </c>
      <c r="BK1489">
        <v>0</v>
      </c>
      <c r="BL1489">
        <v>0</v>
      </c>
      <c r="BO1489">
        <v>0</v>
      </c>
      <c r="BP1489">
        <v>0</v>
      </c>
      <c r="BW1489" t="str">
        <f t="shared" si="812"/>
        <v>14:52:44.926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293</v>
      </c>
      <c r="CR1489">
        <v>1</v>
      </c>
      <c r="CW1489">
        <v>15287970</v>
      </c>
      <c r="CY1489">
        <v>0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25">
      <c r="A1490" t="str">
        <f t="shared" ref="A1490:A1496" si="813">"06/05/2020 14:52:40.280"</f>
        <v>06/05/2020 14:52:40.280</v>
      </c>
      <c r="C1490" t="str">
        <f t="shared" si="789"/>
        <v>FFDFD3C0</v>
      </c>
      <c r="D1490" t="s">
        <v>134</v>
      </c>
      <c r="E1490">
        <v>7</v>
      </c>
      <c r="F1490">
        <v>2007</v>
      </c>
      <c r="G1490" t="s">
        <v>135</v>
      </c>
      <c r="J1490" t="s">
        <v>136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ref="S1490:T1496" si="814">"14:52:45.930"</f>
        <v>14:52:45.930</v>
      </c>
      <c r="T1490" t="str">
        <f t="shared" si="814"/>
        <v>14:52:45.930</v>
      </c>
      <c r="U1490" t="str">
        <f t="shared" si="805"/>
        <v>ACC530</v>
      </c>
      <c r="V1490">
        <v>0</v>
      </c>
      <c r="W1490">
        <v>0</v>
      </c>
      <c r="X1490">
        <v>1</v>
      </c>
      <c r="Z1490">
        <v>0</v>
      </c>
      <c r="AA1490">
        <v>9</v>
      </c>
      <c r="AB1490">
        <v>3</v>
      </c>
      <c r="AC1490">
        <v>0</v>
      </c>
      <c r="AD1490">
        <v>9</v>
      </c>
      <c r="AE1490">
        <v>0</v>
      </c>
      <c r="AF1490">
        <v>3</v>
      </c>
      <c r="AG1490">
        <v>1</v>
      </c>
      <c r="AH1490">
        <v>0</v>
      </c>
      <c r="AI1490" t="s">
        <v>593</v>
      </c>
      <c r="AJ1490">
        <v>34.197735999999999</v>
      </c>
      <c r="AK1490" t="s">
        <v>594</v>
      </c>
      <c r="AL1490">
        <v>-116.980469</v>
      </c>
      <c r="AM1490">
        <v>100</v>
      </c>
      <c r="AN1490">
        <v>8800</v>
      </c>
      <c r="AO1490" t="s">
        <v>118</v>
      </c>
      <c r="AP1490">
        <v>-104</v>
      </c>
      <c r="AQ1490">
        <v>-64</v>
      </c>
      <c r="AR1490">
        <v>-768</v>
      </c>
      <c r="AZ1490">
        <v>1200</v>
      </c>
      <c r="BA1490">
        <v>1</v>
      </c>
      <c r="BB1490" t="str">
        <f t="shared" si="809"/>
        <v xml:space="preserve">N9217B  </v>
      </c>
      <c r="BC1490">
        <v>1</v>
      </c>
      <c r="BE1490">
        <v>0</v>
      </c>
      <c r="BF1490">
        <v>0</v>
      </c>
      <c r="BG1490">
        <v>0</v>
      </c>
      <c r="BH1490">
        <v>8850</v>
      </c>
      <c r="BI1490">
        <v>1</v>
      </c>
      <c r="BJ1490">
        <v>0</v>
      </c>
      <c r="BK1490">
        <v>0</v>
      </c>
      <c r="BL1490">
        <v>0</v>
      </c>
      <c r="BO1490">
        <v>0</v>
      </c>
      <c r="BP1490">
        <v>0</v>
      </c>
      <c r="BW1490" t="str">
        <f t="shared" ref="BW1490:BW1496" si="815">"14:52:45.931"</f>
        <v>14:52:45.931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293</v>
      </c>
      <c r="CR1490">
        <v>1</v>
      </c>
      <c r="CW1490">
        <v>15288087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25">
      <c r="A1491" t="str">
        <f t="shared" si="813"/>
        <v>06/05/2020 14:52:40.280</v>
      </c>
      <c r="C1491" t="str">
        <f t="shared" si="789"/>
        <v>FFDFD3C0</v>
      </c>
      <c r="D1491" t="s">
        <v>113</v>
      </c>
      <c r="E1491">
        <v>3</v>
      </c>
      <c r="H1491">
        <v>166</v>
      </c>
      <c r="I1491" t="s">
        <v>114</v>
      </c>
      <c r="J1491" t="s">
        <v>115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814"/>
        <v>14:52:45.930</v>
      </c>
      <c r="T1491" t="str">
        <f t="shared" si="814"/>
        <v>14:52:45.930</v>
      </c>
      <c r="U1491" t="str">
        <f t="shared" si="805"/>
        <v>ACC530</v>
      </c>
      <c r="V1491">
        <v>0</v>
      </c>
      <c r="W1491">
        <v>0</v>
      </c>
      <c r="X1491">
        <v>1</v>
      </c>
      <c r="Z1491">
        <v>0</v>
      </c>
      <c r="AA1491">
        <v>9</v>
      </c>
      <c r="AB1491">
        <v>3</v>
      </c>
      <c r="AC1491">
        <v>0</v>
      </c>
      <c r="AD1491">
        <v>9</v>
      </c>
      <c r="AE1491">
        <v>0</v>
      </c>
      <c r="AF1491">
        <v>3</v>
      </c>
      <c r="AG1491">
        <v>1</v>
      </c>
      <c r="AH1491">
        <v>0</v>
      </c>
      <c r="AI1491" t="s">
        <v>593</v>
      </c>
      <c r="AJ1491">
        <v>34.197735999999999</v>
      </c>
      <c r="AK1491" t="s">
        <v>594</v>
      </c>
      <c r="AL1491">
        <v>-116.980469</v>
      </c>
      <c r="AM1491">
        <v>100</v>
      </c>
      <c r="AN1491">
        <v>8800</v>
      </c>
      <c r="AO1491" t="s">
        <v>118</v>
      </c>
      <c r="AP1491">
        <v>-104</v>
      </c>
      <c r="AQ1491">
        <v>-64</v>
      </c>
      <c r="AR1491">
        <v>-768</v>
      </c>
      <c r="AZ1491">
        <v>1200</v>
      </c>
      <c r="BA1491">
        <v>1</v>
      </c>
      <c r="BB1491" t="str">
        <f t="shared" si="809"/>
        <v xml:space="preserve">N9217B  </v>
      </c>
      <c r="BC1491">
        <v>1</v>
      </c>
      <c r="BE1491">
        <v>0</v>
      </c>
      <c r="BF1491">
        <v>0</v>
      </c>
      <c r="BG1491">
        <v>0</v>
      </c>
      <c r="BH1491">
        <v>8850</v>
      </c>
      <c r="BI1491">
        <v>1</v>
      </c>
      <c r="BJ1491">
        <v>0</v>
      </c>
      <c r="BK1491">
        <v>0</v>
      </c>
      <c r="BL1491">
        <v>0</v>
      </c>
      <c r="BO1491">
        <v>0</v>
      </c>
      <c r="BP1491">
        <v>0</v>
      </c>
      <c r="BW1491" t="str">
        <f t="shared" si="815"/>
        <v>14:52:45.931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293</v>
      </c>
      <c r="CR1491">
        <v>1</v>
      </c>
      <c r="CW1491">
        <v>15288087</v>
      </c>
      <c r="CY1491">
        <v>0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25">
      <c r="A1492" t="str">
        <f t="shared" si="813"/>
        <v>06/05/2020 14:52:40.280</v>
      </c>
      <c r="C1492" t="str">
        <f t="shared" si="789"/>
        <v>FFDFD3C0</v>
      </c>
      <c r="D1492" t="s">
        <v>151</v>
      </c>
      <c r="E1492">
        <v>8</v>
      </c>
      <c r="H1492">
        <v>225</v>
      </c>
      <c r="I1492" t="s">
        <v>353</v>
      </c>
      <c r="J1492" t="s">
        <v>150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814"/>
        <v>14:52:45.930</v>
      </c>
      <c r="T1492" t="str">
        <f t="shared" si="814"/>
        <v>14:52:45.930</v>
      </c>
      <c r="U1492" t="str">
        <f t="shared" si="805"/>
        <v>ACC530</v>
      </c>
      <c r="V1492">
        <v>0</v>
      </c>
      <c r="W1492">
        <v>0</v>
      </c>
      <c r="X1492">
        <v>1</v>
      </c>
      <c r="Z1492">
        <v>0</v>
      </c>
      <c r="AA1492">
        <v>9</v>
      </c>
      <c r="AB1492">
        <v>3</v>
      </c>
      <c r="AC1492">
        <v>0</v>
      </c>
      <c r="AD1492">
        <v>9</v>
      </c>
      <c r="AE1492">
        <v>0</v>
      </c>
      <c r="AF1492">
        <v>3</v>
      </c>
      <c r="AG1492">
        <v>1</v>
      </c>
      <c r="AH1492">
        <v>0</v>
      </c>
      <c r="AI1492" t="s">
        <v>593</v>
      </c>
      <c r="AJ1492">
        <v>34.197735999999999</v>
      </c>
      <c r="AK1492" t="s">
        <v>594</v>
      </c>
      <c r="AL1492">
        <v>-116.980469</v>
      </c>
      <c r="AM1492">
        <v>100</v>
      </c>
      <c r="AN1492">
        <v>8800</v>
      </c>
      <c r="AO1492" t="s">
        <v>118</v>
      </c>
      <c r="AP1492">
        <v>-104</v>
      </c>
      <c r="AQ1492">
        <v>-64</v>
      </c>
      <c r="AR1492">
        <v>-768</v>
      </c>
      <c r="AZ1492">
        <v>1200</v>
      </c>
      <c r="BA1492">
        <v>1</v>
      </c>
      <c r="BB1492" t="str">
        <f t="shared" si="809"/>
        <v xml:space="preserve">N9217B  </v>
      </c>
      <c r="BC1492">
        <v>1</v>
      </c>
      <c r="BE1492">
        <v>0</v>
      </c>
      <c r="BF1492">
        <v>0</v>
      </c>
      <c r="BG1492">
        <v>0</v>
      </c>
      <c r="BH1492">
        <v>8850</v>
      </c>
      <c r="BI1492">
        <v>1</v>
      </c>
      <c r="BJ1492">
        <v>0</v>
      </c>
      <c r="BK1492">
        <v>0</v>
      </c>
      <c r="BL1492">
        <v>0</v>
      </c>
      <c r="BO1492">
        <v>0</v>
      </c>
      <c r="BP1492">
        <v>0</v>
      </c>
      <c r="BW1492" t="str">
        <f t="shared" si="815"/>
        <v>14:52:45.931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5</v>
      </c>
      <c r="CP1492" t="s">
        <v>119</v>
      </c>
      <c r="CQ1492">
        <v>285</v>
      </c>
      <c r="CR1492">
        <v>0</v>
      </c>
      <c r="CW1492">
        <v>8853913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25">
      <c r="A1493" t="str">
        <f t="shared" si="813"/>
        <v>06/05/2020 14:52:40.280</v>
      </c>
      <c r="C1493" t="str">
        <f t="shared" si="789"/>
        <v>FFDFD3C0</v>
      </c>
      <c r="D1493" t="s">
        <v>141</v>
      </c>
      <c r="E1493">
        <v>20</v>
      </c>
      <c r="F1493">
        <v>1020</v>
      </c>
      <c r="G1493" t="s">
        <v>114</v>
      </c>
      <c r="J1493" t="s">
        <v>142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814"/>
        <v>14:52:45.930</v>
      </c>
      <c r="T1493" t="str">
        <f t="shared" si="814"/>
        <v>14:52:45.930</v>
      </c>
      <c r="U1493" t="str">
        <f t="shared" si="805"/>
        <v>ACC530</v>
      </c>
      <c r="V1493">
        <v>0</v>
      </c>
      <c r="W1493">
        <v>0</v>
      </c>
      <c r="X1493">
        <v>1</v>
      </c>
      <c r="Z1493">
        <v>0</v>
      </c>
      <c r="AA1493">
        <v>9</v>
      </c>
      <c r="AB1493">
        <v>3</v>
      </c>
      <c r="AC1493">
        <v>0</v>
      </c>
      <c r="AD1493">
        <v>9</v>
      </c>
      <c r="AE1493">
        <v>0</v>
      </c>
      <c r="AF1493">
        <v>3</v>
      </c>
      <c r="AG1493">
        <v>1</v>
      </c>
      <c r="AH1493">
        <v>0</v>
      </c>
      <c r="AI1493" t="s">
        <v>593</v>
      </c>
      <c r="AJ1493">
        <v>34.197735999999999</v>
      </c>
      <c r="AK1493" t="s">
        <v>594</v>
      </c>
      <c r="AL1493">
        <v>-116.980469</v>
      </c>
      <c r="AM1493">
        <v>100</v>
      </c>
      <c r="AN1493">
        <v>8800</v>
      </c>
      <c r="AO1493" t="s">
        <v>118</v>
      </c>
      <c r="AP1493">
        <v>-104</v>
      </c>
      <c r="AQ1493">
        <v>-64</v>
      </c>
      <c r="AR1493">
        <v>-768</v>
      </c>
      <c r="AZ1493">
        <v>1200</v>
      </c>
      <c r="BA1493">
        <v>1</v>
      </c>
      <c r="BB1493" t="str">
        <f t="shared" si="809"/>
        <v xml:space="preserve">N9217B  </v>
      </c>
      <c r="BC1493">
        <v>1</v>
      </c>
      <c r="BE1493">
        <v>0</v>
      </c>
      <c r="BF1493">
        <v>0</v>
      </c>
      <c r="BG1493">
        <v>0</v>
      </c>
      <c r="BH1493">
        <v>8850</v>
      </c>
      <c r="BI1493">
        <v>1</v>
      </c>
      <c r="BJ1493">
        <v>0</v>
      </c>
      <c r="BK1493">
        <v>0</v>
      </c>
      <c r="BL1493">
        <v>0</v>
      </c>
      <c r="BO1493">
        <v>0</v>
      </c>
      <c r="BP1493">
        <v>0</v>
      </c>
      <c r="BW1493" t="str">
        <f t="shared" si="815"/>
        <v>14:52:45.931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293</v>
      </c>
      <c r="CR1493">
        <v>1</v>
      </c>
      <c r="CW1493">
        <v>15288087</v>
      </c>
      <c r="CY1493">
        <v>0</v>
      </c>
      <c r="CZ1493">
        <v>0</v>
      </c>
      <c r="DA1493">
        <v>1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25">
      <c r="A1494" t="str">
        <f t="shared" si="813"/>
        <v>06/05/2020 14:52:40.280</v>
      </c>
      <c r="C1494" t="str">
        <f t="shared" si="789"/>
        <v>FFDFD3C0</v>
      </c>
      <c r="D1494" t="s">
        <v>148</v>
      </c>
      <c r="E1494">
        <v>11</v>
      </c>
      <c r="H1494">
        <v>53</v>
      </c>
      <c r="I1494" t="s">
        <v>364</v>
      </c>
      <c r="J1494" t="s">
        <v>150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814"/>
        <v>14:52:45.930</v>
      </c>
      <c r="T1494" t="str">
        <f t="shared" si="814"/>
        <v>14:52:45.930</v>
      </c>
      <c r="U1494" t="str">
        <f t="shared" si="805"/>
        <v>ACC530</v>
      </c>
      <c r="V1494">
        <v>0</v>
      </c>
      <c r="W1494">
        <v>0</v>
      </c>
      <c r="X1494">
        <v>1</v>
      </c>
      <c r="Z1494">
        <v>0</v>
      </c>
      <c r="AA1494">
        <v>9</v>
      </c>
      <c r="AB1494">
        <v>3</v>
      </c>
      <c r="AC1494">
        <v>0</v>
      </c>
      <c r="AD1494">
        <v>9</v>
      </c>
      <c r="AE1494">
        <v>0</v>
      </c>
      <c r="AF1494">
        <v>3</v>
      </c>
      <c r="AG1494">
        <v>1</v>
      </c>
      <c r="AH1494">
        <v>0</v>
      </c>
      <c r="AI1494" t="s">
        <v>593</v>
      </c>
      <c r="AJ1494">
        <v>34.197735999999999</v>
      </c>
      <c r="AK1494" t="s">
        <v>594</v>
      </c>
      <c r="AL1494">
        <v>-116.980469</v>
      </c>
      <c r="AM1494">
        <v>100</v>
      </c>
      <c r="AN1494">
        <v>8800</v>
      </c>
      <c r="AO1494" t="s">
        <v>118</v>
      </c>
      <c r="AP1494">
        <v>-104</v>
      </c>
      <c r="AQ1494">
        <v>-64</v>
      </c>
      <c r="AR1494">
        <v>-768</v>
      </c>
      <c r="AZ1494">
        <v>1200</v>
      </c>
      <c r="BA1494">
        <v>1</v>
      </c>
      <c r="BB1494" t="str">
        <f t="shared" si="809"/>
        <v xml:space="preserve">N9217B  </v>
      </c>
      <c r="BC1494">
        <v>1</v>
      </c>
      <c r="BE1494">
        <v>0</v>
      </c>
      <c r="BF1494">
        <v>0</v>
      </c>
      <c r="BG1494">
        <v>0</v>
      </c>
      <c r="BH1494">
        <v>8850</v>
      </c>
      <c r="BI1494">
        <v>1</v>
      </c>
      <c r="BJ1494">
        <v>0</v>
      </c>
      <c r="BK1494">
        <v>0</v>
      </c>
      <c r="BL1494">
        <v>0</v>
      </c>
      <c r="BO1494">
        <v>0</v>
      </c>
      <c r="BP1494">
        <v>0</v>
      </c>
      <c r="BW1494" t="str">
        <f t="shared" si="815"/>
        <v>14:52:45.931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293</v>
      </c>
      <c r="CR1494">
        <v>1</v>
      </c>
      <c r="CW1494">
        <v>15288087</v>
      </c>
      <c r="CY1494">
        <v>0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25">
      <c r="A1495" t="str">
        <f t="shared" si="813"/>
        <v>06/05/2020 14:52:40.280</v>
      </c>
      <c r="C1495" t="str">
        <f t="shared" si="789"/>
        <v>FFDFD3C0</v>
      </c>
      <c r="D1495" t="s">
        <v>151</v>
      </c>
      <c r="E1495">
        <v>9</v>
      </c>
      <c r="H1495">
        <v>226</v>
      </c>
      <c r="I1495" t="s">
        <v>152</v>
      </c>
      <c r="J1495" t="s">
        <v>150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814"/>
        <v>14:52:45.930</v>
      </c>
      <c r="T1495" t="str">
        <f t="shared" si="814"/>
        <v>14:52:45.930</v>
      </c>
      <c r="U1495" t="str">
        <f t="shared" si="805"/>
        <v>ACC530</v>
      </c>
      <c r="V1495">
        <v>0</v>
      </c>
      <c r="W1495">
        <v>0</v>
      </c>
      <c r="X1495">
        <v>1</v>
      </c>
      <c r="Z1495">
        <v>0</v>
      </c>
      <c r="AA1495">
        <v>9</v>
      </c>
      <c r="AB1495">
        <v>3</v>
      </c>
      <c r="AC1495">
        <v>0</v>
      </c>
      <c r="AD1495">
        <v>9</v>
      </c>
      <c r="AE1495">
        <v>0</v>
      </c>
      <c r="AF1495">
        <v>3</v>
      </c>
      <c r="AG1495">
        <v>1</v>
      </c>
      <c r="AH1495">
        <v>0</v>
      </c>
      <c r="AI1495" t="s">
        <v>593</v>
      </c>
      <c r="AJ1495">
        <v>34.197735999999999</v>
      </c>
      <c r="AK1495" t="s">
        <v>594</v>
      </c>
      <c r="AL1495">
        <v>-116.980469</v>
      </c>
      <c r="AM1495">
        <v>100</v>
      </c>
      <c r="AN1495">
        <v>8800</v>
      </c>
      <c r="AO1495" t="s">
        <v>118</v>
      </c>
      <c r="AP1495">
        <v>-104</v>
      </c>
      <c r="AQ1495">
        <v>-64</v>
      </c>
      <c r="AR1495">
        <v>-768</v>
      </c>
      <c r="AZ1495">
        <v>1200</v>
      </c>
      <c r="BA1495">
        <v>1</v>
      </c>
      <c r="BB1495" t="str">
        <f t="shared" si="809"/>
        <v xml:space="preserve">N9217B  </v>
      </c>
      <c r="BC1495">
        <v>1</v>
      </c>
      <c r="BE1495">
        <v>0</v>
      </c>
      <c r="BF1495">
        <v>0</v>
      </c>
      <c r="BG1495">
        <v>0</v>
      </c>
      <c r="BH1495">
        <v>8850</v>
      </c>
      <c r="BI1495">
        <v>1</v>
      </c>
      <c r="BJ1495">
        <v>0</v>
      </c>
      <c r="BK1495">
        <v>0</v>
      </c>
      <c r="BL1495">
        <v>0</v>
      </c>
      <c r="BO1495">
        <v>0</v>
      </c>
      <c r="BP1495">
        <v>0</v>
      </c>
      <c r="BW1495" t="str">
        <f t="shared" si="815"/>
        <v>14:52:45.931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293</v>
      </c>
      <c r="CR1495">
        <v>1</v>
      </c>
      <c r="CW1495">
        <v>15288087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25">
      <c r="A1496" t="str">
        <f t="shared" si="813"/>
        <v>06/05/2020 14:52:40.280</v>
      </c>
      <c r="C1496" t="str">
        <f t="shared" si="789"/>
        <v>FFDFD3C0</v>
      </c>
      <c r="D1496" t="s">
        <v>148</v>
      </c>
      <c r="E1496">
        <v>8</v>
      </c>
      <c r="H1496">
        <v>50</v>
      </c>
      <c r="I1496" t="s">
        <v>149</v>
      </c>
      <c r="J1496" t="s">
        <v>150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814"/>
        <v>14:52:45.930</v>
      </c>
      <c r="T1496" t="str">
        <f t="shared" si="814"/>
        <v>14:52:45.930</v>
      </c>
      <c r="U1496" t="str">
        <f t="shared" si="805"/>
        <v>ACC530</v>
      </c>
      <c r="V1496">
        <v>0</v>
      </c>
      <c r="W1496">
        <v>0</v>
      </c>
      <c r="X1496">
        <v>1</v>
      </c>
      <c r="Z1496">
        <v>0</v>
      </c>
      <c r="AA1496">
        <v>9</v>
      </c>
      <c r="AB1496">
        <v>3</v>
      </c>
      <c r="AC1496">
        <v>0</v>
      </c>
      <c r="AD1496">
        <v>9</v>
      </c>
      <c r="AE1496">
        <v>0</v>
      </c>
      <c r="AF1496">
        <v>3</v>
      </c>
      <c r="AG1496">
        <v>1</v>
      </c>
      <c r="AH1496">
        <v>0</v>
      </c>
      <c r="AI1496" t="s">
        <v>593</v>
      </c>
      <c r="AJ1496">
        <v>34.197735999999999</v>
      </c>
      <c r="AK1496" t="s">
        <v>594</v>
      </c>
      <c r="AL1496">
        <v>-116.980469</v>
      </c>
      <c r="AM1496">
        <v>100</v>
      </c>
      <c r="AN1496">
        <v>8800</v>
      </c>
      <c r="AO1496" t="s">
        <v>118</v>
      </c>
      <c r="AP1496">
        <v>-104</v>
      </c>
      <c r="AQ1496">
        <v>-64</v>
      </c>
      <c r="AR1496">
        <v>-768</v>
      </c>
      <c r="AZ1496">
        <v>1200</v>
      </c>
      <c r="BA1496">
        <v>1</v>
      </c>
      <c r="BB1496" t="str">
        <f t="shared" si="809"/>
        <v xml:space="preserve">N9217B  </v>
      </c>
      <c r="BC1496">
        <v>1</v>
      </c>
      <c r="BE1496">
        <v>0</v>
      </c>
      <c r="BF1496">
        <v>0</v>
      </c>
      <c r="BG1496">
        <v>0</v>
      </c>
      <c r="BH1496">
        <v>8850</v>
      </c>
      <c r="BI1496">
        <v>1</v>
      </c>
      <c r="BJ1496">
        <v>0</v>
      </c>
      <c r="BK1496">
        <v>0</v>
      </c>
      <c r="BL1496">
        <v>0</v>
      </c>
      <c r="BO1496">
        <v>0</v>
      </c>
      <c r="BP1496">
        <v>0</v>
      </c>
      <c r="BW1496" t="str">
        <f t="shared" si="815"/>
        <v>14:52:45.931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293</v>
      </c>
      <c r="CR1496">
        <v>1</v>
      </c>
      <c r="CW1496">
        <v>15288087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25">
      <c r="A1497" t="str">
        <f t="shared" ref="A1497:A1503" si="816">"06/05/2020 14:52:41.269"</f>
        <v>06/05/2020 14:52:41.269</v>
      </c>
      <c r="C1497" t="str">
        <f t="shared" si="789"/>
        <v>FFDFD3C0</v>
      </c>
      <c r="D1497" t="s">
        <v>148</v>
      </c>
      <c r="E1497">
        <v>11</v>
      </c>
      <c r="H1497">
        <v>53</v>
      </c>
      <c r="I1497" t="s">
        <v>364</v>
      </c>
      <c r="J1497" t="s">
        <v>150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ref="S1497:T1503" si="817">"14:52:46.914"</f>
        <v>14:52:46.914</v>
      </c>
      <c r="T1497" t="str">
        <f t="shared" si="817"/>
        <v>14:52:46.914</v>
      </c>
      <c r="U1497" t="str">
        <f t="shared" si="805"/>
        <v>ACC530</v>
      </c>
      <c r="V1497">
        <v>0</v>
      </c>
      <c r="W1497">
        <v>0</v>
      </c>
      <c r="X1497">
        <v>1</v>
      </c>
      <c r="Z1497">
        <v>0</v>
      </c>
      <c r="AA1497">
        <v>9</v>
      </c>
      <c r="AB1497">
        <v>3</v>
      </c>
      <c r="AC1497">
        <v>0</v>
      </c>
      <c r="AD1497">
        <v>9</v>
      </c>
      <c r="AE1497">
        <v>0</v>
      </c>
      <c r="AF1497">
        <v>3</v>
      </c>
      <c r="AG1497">
        <v>1</v>
      </c>
      <c r="AH1497">
        <v>0</v>
      </c>
      <c r="AI1497" t="s">
        <v>595</v>
      </c>
      <c r="AJ1497">
        <v>34.197414000000002</v>
      </c>
      <c r="AK1497" t="s">
        <v>596</v>
      </c>
      <c r="AL1497">
        <v>-116.98107</v>
      </c>
      <c r="AM1497">
        <v>100</v>
      </c>
      <c r="AN1497">
        <v>8800</v>
      </c>
      <c r="AO1497" t="s">
        <v>118</v>
      </c>
      <c r="AP1497">
        <v>-104</v>
      </c>
      <c r="AQ1497">
        <v>-64</v>
      </c>
      <c r="AR1497">
        <v>-832</v>
      </c>
      <c r="AZ1497">
        <v>1200</v>
      </c>
      <c r="BA1497">
        <v>1</v>
      </c>
      <c r="BB1497" t="str">
        <f t="shared" si="809"/>
        <v xml:space="preserve">N9217B  </v>
      </c>
      <c r="BC1497">
        <v>1</v>
      </c>
      <c r="BE1497">
        <v>0</v>
      </c>
      <c r="BF1497">
        <v>0</v>
      </c>
      <c r="BG1497">
        <v>0</v>
      </c>
      <c r="BH1497">
        <v>8825</v>
      </c>
      <c r="BI1497">
        <v>1</v>
      </c>
      <c r="BJ1497">
        <v>0</v>
      </c>
      <c r="BK1497">
        <v>0</v>
      </c>
      <c r="BL1497">
        <v>0</v>
      </c>
      <c r="BO1497">
        <v>0</v>
      </c>
      <c r="BP1497">
        <v>0</v>
      </c>
      <c r="BW1497" t="str">
        <f t="shared" ref="BW1497:BW1503" si="818">"14:52:46.921"</f>
        <v>14:52:46.921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293</v>
      </c>
      <c r="CR1497">
        <v>1</v>
      </c>
      <c r="CW1497">
        <v>15288206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25">
      <c r="A1498" t="str">
        <f t="shared" si="816"/>
        <v>06/05/2020 14:52:41.269</v>
      </c>
      <c r="C1498" t="str">
        <f t="shared" si="789"/>
        <v>FFDFD3C0</v>
      </c>
      <c r="D1498" t="s">
        <v>151</v>
      </c>
      <c r="E1498">
        <v>9</v>
      </c>
      <c r="H1498">
        <v>226</v>
      </c>
      <c r="I1498" t="s">
        <v>152</v>
      </c>
      <c r="J1498" t="s">
        <v>150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817"/>
        <v>14:52:46.914</v>
      </c>
      <c r="T1498" t="str">
        <f t="shared" si="817"/>
        <v>14:52:46.914</v>
      </c>
      <c r="U1498" t="str">
        <f t="shared" si="805"/>
        <v>ACC530</v>
      </c>
      <c r="V1498">
        <v>0</v>
      </c>
      <c r="W1498">
        <v>0</v>
      </c>
      <c r="X1498">
        <v>1</v>
      </c>
      <c r="Z1498">
        <v>0</v>
      </c>
      <c r="AA1498">
        <v>9</v>
      </c>
      <c r="AB1498">
        <v>3</v>
      </c>
      <c r="AC1498">
        <v>0</v>
      </c>
      <c r="AD1498">
        <v>9</v>
      </c>
      <c r="AE1498">
        <v>0</v>
      </c>
      <c r="AF1498">
        <v>3</v>
      </c>
      <c r="AG1498">
        <v>1</v>
      </c>
      <c r="AH1498">
        <v>0</v>
      </c>
      <c r="AI1498" t="s">
        <v>595</v>
      </c>
      <c r="AJ1498">
        <v>34.197414000000002</v>
      </c>
      <c r="AK1498" t="s">
        <v>596</v>
      </c>
      <c r="AL1498">
        <v>-116.98107</v>
      </c>
      <c r="AM1498">
        <v>100</v>
      </c>
      <c r="AN1498">
        <v>8800</v>
      </c>
      <c r="AO1498" t="s">
        <v>118</v>
      </c>
      <c r="AP1498">
        <v>-104</v>
      </c>
      <c r="AQ1498">
        <v>-64</v>
      </c>
      <c r="AR1498">
        <v>-832</v>
      </c>
      <c r="AZ1498">
        <v>1200</v>
      </c>
      <c r="BA1498">
        <v>1</v>
      </c>
      <c r="BB1498" t="str">
        <f t="shared" si="809"/>
        <v xml:space="preserve">N9217B  </v>
      </c>
      <c r="BC1498">
        <v>1</v>
      </c>
      <c r="BE1498">
        <v>0</v>
      </c>
      <c r="BF1498">
        <v>0</v>
      </c>
      <c r="BG1498">
        <v>0</v>
      </c>
      <c r="BH1498">
        <v>8825</v>
      </c>
      <c r="BI1498">
        <v>1</v>
      </c>
      <c r="BJ1498">
        <v>0</v>
      </c>
      <c r="BK1498">
        <v>0</v>
      </c>
      <c r="BL1498">
        <v>0</v>
      </c>
      <c r="BO1498">
        <v>0</v>
      </c>
      <c r="BP1498">
        <v>0</v>
      </c>
      <c r="BW1498" t="str">
        <f t="shared" si="818"/>
        <v>14:52:46.921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293</v>
      </c>
      <c r="CR1498">
        <v>1</v>
      </c>
      <c r="CW1498">
        <v>15288206</v>
      </c>
      <c r="CY1498">
        <v>0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25">
      <c r="A1499" t="str">
        <f t="shared" si="816"/>
        <v>06/05/2020 14:52:41.269</v>
      </c>
      <c r="C1499" t="str">
        <f t="shared" si="789"/>
        <v>FFDFD3C0</v>
      </c>
      <c r="D1499" t="s">
        <v>148</v>
      </c>
      <c r="E1499">
        <v>8</v>
      </c>
      <c r="H1499">
        <v>50</v>
      </c>
      <c r="I1499" t="s">
        <v>149</v>
      </c>
      <c r="J1499" t="s">
        <v>150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817"/>
        <v>14:52:46.914</v>
      </c>
      <c r="T1499" t="str">
        <f t="shared" si="817"/>
        <v>14:52:46.914</v>
      </c>
      <c r="U1499" t="str">
        <f t="shared" si="805"/>
        <v>ACC530</v>
      </c>
      <c r="V1499">
        <v>0</v>
      </c>
      <c r="W1499">
        <v>0</v>
      </c>
      <c r="X1499">
        <v>1</v>
      </c>
      <c r="Z1499">
        <v>0</v>
      </c>
      <c r="AA1499">
        <v>9</v>
      </c>
      <c r="AB1499">
        <v>3</v>
      </c>
      <c r="AC1499">
        <v>0</v>
      </c>
      <c r="AD1499">
        <v>9</v>
      </c>
      <c r="AE1499">
        <v>0</v>
      </c>
      <c r="AF1499">
        <v>3</v>
      </c>
      <c r="AG1499">
        <v>1</v>
      </c>
      <c r="AH1499">
        <v>0</v>
      </c>
      <c r="AI1499" t="s">
        <v>595</v>
      </c>
      <c r="AJ1499">
        <v>34.197414000000002</v>
      </c>
      <c r="AK1499" t="s">
        <v>596</v>
      </c>
      <c r="AL1499">
        <v>-116.98107</v>
      </c>
      <c r="AM1499">
        <v>100</v>
      </c>
      <c r="AN1499">
        <v>8800</v>
      </c>
      <c r="AO1499" t="s">
        <v>118</v>
      </c>
      <c r="AP1499">
        <v>-104</v>
      </c>
      <c r="AQ1499">
        <v>-64</v>
      </c>
      <c r="AR1499">
        <v>-832</v>
      </c>
      <c r="AZ1499">
        <v>1200</v>
      </c>
      <c r="BA1499">
        <v>1</v>
      </c>
      <c r="BB1499" t="str">
        <f t="shared" si="809"/>
        <v xml:space="preserve">N9217B  </v>
      </c>
      <c r="BC1499">
        <v>1</v>
      </c>
      <c r="BE1499">
        <v>0</v>
      </c>
      <c r="BF1499">
        <v>0</v>
      </c>
      <c r="BG1499">
        <v>0</v>
      </c>
      <c r="BH1499">
        <v>8825</v>
      </c>
      <c r="BI1499">
        <v>1</v>
      </c>
      <c r="BJ1499">
        <v>0</v>
      </c>
      <c r="BK1499">
        <v>0</v>
      </c>
      <c r="BL1499">
        <v>0</v>
      </c>
      <c r="BO1499">
        <v>0</v>
      </c>
      <c r="BP1499">
        <v>0</v>
      </c>
      <c r="BW1499" t="str">
        <f t="shared" si="818"/>
        <v>14:52:46.921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293</v>
      </c>
      <c r="CR1499">
        <v>1</v>
      </c>
      <c r="CW1499">
        <v>15288206</v>
      </c>
      <c r="CY1499">
        <v>0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25">
      <c r="A1500" t="str">
        <f t="shared" si="816"/>
        <v>06/05/2020 14:52:41.269</v>
      </c>
      <c r="C1500" t="str">
        <f t="shared" si="789"/>
        <v>FFDFD3C0</v>
      </c>
      <c r="D1500" t="s">
        <v>134</v>
      </c>
      <c r="E1500">
        <v>7</v>
      </c>
      <c r="F1500">
        <v>2007</v>
      </c>
      <c r="G1500" t="s">
        <v>135</v>
      </c>
      <c r="J1500" t="s">
        <v>136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817"/>
        <v>14:52:46.914</v>
      </c>
      <c r="T1500" t="str">
        <f t="shared" si="817"/>
        <v>14:52:46.914</v>
      </c>
      <c r="U1500" t="str">
        <f t="shared" si="805"/>
        <v>ACC530</v>
      </c>
      <c r="V1500">
        <v>0</v>
      </c>
      <c r="W1500">
        <v>0</v>
      </c>
      <c r="X1500">
        <v>1</v>
      </c>
      <c r="Z1500">
        <v>0</v>
      </c>
      <c r="AA1500">
        <v>9</v>
      </c>
      <c r="AB1500">
        <v>3</v>
      </c>
      <c r="AC1500">
        <v>0</v>
      </c>
      <c r="AD1500">
        <v>9</v>
      </c>
      <c r="AE1500">
        <v>0</v>
      </c>
      <c r="AF1500">
        <v>3</v>
      </c>
      <c r="AG1500">
        <v>1</v>
      </c>
      <c r="AH1500">
        <v>0</v>
      </c>
      <c r="AI1500" t="s">
        <v>595</v>
      </c>
      <c r="AJ1500">
        <v>34.197414000000002</v>
      </c>
      <c r="AK1500" t="s">
        <v>596</v>
      </c>
      <c r="AL1500">
        <v>-116.98107</v>
      </c>
      <c r="AM1500">
        <v>100</v>
      </c>
      <c r="AN1500">
        <v>8800</v>
      </c>
      <c r="AO1500" t="s">
        <v>118</v>
      </c>
      <c r="AP1500">
        <v>-104</v>
      </c>
      <c r="AQ1500">
        <v>-64</v>
      </c>
      <c r="AR1500">
        <v>-832</v>
      </c>
      <c r="AZ1500">
        <v>1200</v>
      </c>
      <c r="BA1500">
        <v>1</v>
      </c>
      <c r="BB1500" t="str">
        <f t="shared" si="809"/>
        <v xml:space="preserve">N9217B  </v>
      </c>
      <c r="BC1500">
        <v>1</v>
      </c>
      <c r="BE1500">
        <v>0</v>
      </c>
      <c r="BF1500">
        <v>0</v>
      </c>
      <c r="BG1500">
        <v>0</v>
      </c>
      <c r="BH1500">
        <v>8825</v>
      </c>
      <c r="BI1500">
        <v>1</v>
      </c>
      <c r="BJ1500">
        <v>0</v>
      </c>
      <c r="BK1500">
        <v>0</v>
      </c>
      <c r="BL1500">
        <v>0</v>
      </c>
      <c r="BO1500">
        <v>0</v>
      </c>
      <c r="BP1500">
        <v>0</v>
      </c>
      <c r="BW1500" t="str">
        <f t="shared" si="818"/>
        <v>14:52:46.921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293</v>
      </c>
      <c r="CR1500">
        <v>1</v>
      </c>
      <c r="CW1500">
        <v>15288206</v>
      </c>
      <c r="CY1500">
        <v>0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25">
      <c r="A1501" t="str">
        <f t="shared" si="816"/>
        <v>06/05/2020 14:52:41.269</v>
      </c>
      <c r="C1501" t="str">
        <f t="shared" si="789"/>
        <v>FFDFD3C0</v>
      </c>
      <c r="D1501" t="s">
        <v>113</v>
      </c>
      <c r="E1501">
        <v>3</v>
      </c>
      <c r="H1501">
        <v>166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817"/>
        <v>14:52:46.914</v>
      </c>
      <c r="T1501" t="str">
        <f t="shared" si="817"/>
        <v>14:52:46.914</v>
      </c>
      <c r="U1501" t="str">
        <f t="shared" si="805"/>
        <v>ACC530</v>
      </c>
      <c r="V1501">
        <v>0</v>
      </c>
      <c r="W1501">
        <v>0</v>
      </c>
      <c r="X1501">
        <v>1</v>
      </c>
      <c r="Z1501">
        <v>0</v>
      </c>
      <c r="AA1501">
        <v>9</v>
      </c>
      <c r="AB1501">
        <v>3</v>
      </c>
      <c r="AC1501">
        <v>0</v>
      </c>
      <c r="AD1501">
        <v>9</v>
      </c>
      <c r="AE1501">
        <v>0</v>
      </c>
      <c r="AF1501">
        <v>3</v>
      </c>
      <c r="AG1501">
        <v>1</v>
      </c>
      <c r="AH1501">
        <v>0</v>
      </c>
      <c r="AI1501" t="s">
        <v>595</v>
      </c>
      <c r="AJ1501">
        <v>34.197414000000002</v>
      </c>
      <c r="AK1501" t="s">
        <v>596</v>
      </c>
      <c r="AL1501">
        <v>-116.98107</v>
      </c>
      <c r="AM1501">
        <v>100</v>
      </c>
      <c r="AN1501">
        <v>8800</v>
      </c>
      <c r="AO1501" t="s">
        <v>118</v>
      </c>
      <c r="AP1501">
        <v>-104</v>
      </c>
      <c r="AQ1501">
        <v>-64</v>
      </c>
      <c r="AR1501">
        <v>-832</v>
      </c>
      <c r="AZ1501">
        <v>1200</v>
      </c>
      <c r="BA1501">
        <v>1</v>
      </c>
      <c r="BB1501" t="str">
        <f t="shared" si="809"/>
        <v xml:space="preserve">N9217B  </v>
      </c>
      <c r="BC1501">
        <v>1</v>
      </c>
      <c r="BE1501">
        <v>0</v>
      </c>
      <c r="BF1501">
        <v>0</v>
      </c>
      <c r="BG1501">
        <v>0</v>
      </c>
      <c r="BH1501">
        <v>8825</v>
      </c>
      <c r="BI1501">
        <v>1</v>
      </c>
      <c r="BJ1501">
        <v>0</v>
      </c>
      <c r="BK1501">
        <v>0</v>
      </c>
      <c r="BL1501">
        <v>0</v>
      </c>
      <c r="BO1501">
        <v>0</v>
      </c>
      <c r="BP1501">
        <v>0</v>
      </c>
      <c r="BW1501" t="str">
        <f t="shared" si="818"/>
        <v>14:52:46.921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293</v>
      </c>
      <c r="CR1501">
        <v>1</v>
      </c>
      <c r="CW1501">
        <v>15288206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25">
      <c r="A1502" t="str">
        <f t="shared" si="816"/>
        <v>06/05/2020 14:52:41.269</v>
      </c>
      <c r="C1502" t="str">
        <f t="shared" si="789"/>
        <v>FFDFD3C0</v>
      </c>
      <c r="D1502" t="s">
        <v>141</v>
      </c>
      <c r="E1502">
        <v>20</v>
      </c>
      <c r="F1502">
        <v>1020</v>
      </c>
      <c r="G1502" t="s">
        <v>114</v>
      </c>
      <c r="J1502" t="s">
        <v>142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817"/>
        <v>14:52:46.914</v>
      </c>
      <c r="T1502" t="str">
        <f t="shared" si="817"/>
        <v>14:52:46.914</v>
      </c>
      <c r="U1502" t="str">
        <f t="shared" si="805"/>
        <v>ACC530</v>
      </c>
      <c r="V1502">
        <v>0</v>
      </c>
      <c r="W1502">
        <v>0</v>
      </c>
      <c r="X1502">
        <v>1</v>
      </c>
      <c r="Z1502">
        <v>0</v>
      </c>
      <c r="AA1502">
        <v>9</v>
      </c>
      <c r="AB1502">
        <v>3</v>
      </c>
      <c r="AC1502">
        <v>0</v>
      </c>
      <c r="AD1502">
        <v>9</v>
      </c>
      <c r="AE1502">
        <v>0</v>
      </c>
      <c r="AF1502">
        <v>3</v>
      </c>
      <c r="AG1502">
        <v>1</v>
      </c>
      <c r="AH1502">
        <v>0</v>
      </c>
      <c r="AI1502" t="s">
        <v>595</v>
      </c>
      <c r="AJ1502">
        <v>34.197414000000002</v>
      </c>
      <c r="AK1502" t="s">
        <v>596</v>
      </c>
      <c r="AL1502">
        <v>-116.98107</v>
      </c>
      <c r="AM1502">
        <v>100</v>
      </c>
      <c r="AN1502">
        <v>8800</v>
      </c>
      <c r="AO1502" t="s">
        <v>118</v>
      </c>
      <c r="AP1502">
        <v>-104</v>
      </c>
      <c r="AQ1502">
        <v>-64</v>
      </c>
      <c r="AR1502">
        <v>-832</v>
      </c>
      <c r="AZ1502">
        <v>1200</v>
      </c>
      <c r="BA1502">
        <v>1</v>
      </c>
      <c r="BB1502" t="str">
        <f t="shared" si="809"/>
        <v xml:space="preserve">N9217B  </v>
      </c>
      <c r="BC1502">
        <v>1</v>
      </c>
      <c r="BE1502">
        <v>0</v>
      </c>
      <c r="BF1502">
        <v>0</v>
      </c>
      <c r="BG1502">
        <v>0</v>
      </c>
      <c r="BH1502">
        <v>8825</v>
      </c>
      <c r="BI1502">
        <v>1</v>
      </c>
      <c r="BJ1502">
        <v>0</v>
      </c>
      <c r="BK1502">
        <v>0</v>
      </c>
      <c r="BL1502">
        <v>0</v>
      </c>
      <c r="BO1502">
        <v>0</v>
      </c>
      <c r="BP1502">
        <v>0</v>
      </c>
      <c r="BW1502" t="str">
        <f t="shared" si="818"/>
        <v>14:52:46.921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293</v>
      </c>
      <c r="CR1502">
        <v>1</v>
      </c>
      <c r="CW1502">
        <v>15288206</v>
      </c>
      <c r="CY1502">
        <v>0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25">
      <c r="A1503" t="str">
        <f t="shared" si="816"/>
        <v>06/05/2020 14:52:41.269</v>
      </c>
      <c r="C1503" t="str">
        <f t="shared" si="789"/>
        <v>FFDFD3C0</v>
      </c>
      <c r="D1503" t="s">
        <v>151</v>
      </c>
      <c r="E1503">
        <v>8</v>
      </c>
      <c r="H1503">
        <v>225</v>
      </c>
      <c r="I1503" t="s">
        <v>353</v>
      </c>
      <c r="J1503" t="s">
        <v>150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817"/>
        <v>14:52:46.914</v>
      </c>
      <c r="T1503" t="str">
        <f t="shared" si="817"/>
        <v>14:52:46.914</v>
      </c>
      <c r="U1503" t="str">
        <f t="shared" si="805"/>
        <v>ACC530</v>
      </c>
      <c r="V1503">
        <v>0</v>
      </c>
      <c r="W1503">
        <v>0</v>
      </c>
      <c r="X1503">
        <v>1</v>
      </c>
      <c r="Z1503">
        <v>0</v>
      </c>
      <c r="AA1503">
        <v>9</v>
      </c>
      <c r="AB1503">
        <v>3</v>
      </c>
      <c r="AC1503">
        <v>0</v>
      </c>
      <c r="AD1503">
        <v>9</v>
      </c>
      <c r="AE1503">
        <v>0</v>
      </c>
      <c r="AF1503">
        <v>3</v>
      </c>
      <c r="AG1503">
        <v>1</v>
      </c>
      <c r="AH1503">
        <v>0</v>
      </c>
      <c r="AI1503" t="s">
        <v>595</v>
      </c>
      <c r="AJ1503">
        <v>34.197414000000002</v>
      </c>
      <c r="AK1503" t="s">
        <v>596</v>
      </c>
      <c r="AL1503">
        <v>-116.98107</v>
      </c>
      <c r="AM1503">
        <v>100</v>
      </c>
      <c r="AN1503">
        <v>8800</v>
      </c>
      <c r="AO1503" t="s">
        <v>118</v>
      </c>
      <c r="AP1503">
        <v>-104</v>
      </c>
      <c r="AQ1503">
        <v>-64</v>
      </c>
      <c r="AR1503">
        <v>-832</v>
      </c>
      <c r="AZ1503">
        <v>1200</v>
      </c>
      <c r="BA1503">
        <v>1</v>
      </c>
      <c r="BB1503" t="str">
        <f t="shared" si="809"/>
        <v xml:space="preserve">N9217B  </v>
      </c>
      <c r="BC1503">
        <v>1</v>
      </c>
      <c r="BE1503">
        <v>0</v>
      </c>
      <c r="BF1503">
        <v>0</v>
      </c>
      <c r="BG1503">
        <v>0</v>
      </c>
      <c r="BH1503">
        <v>8825</v>
      </c>
      <c r="BI1503">
        <v>1</v>
      </c>
      <c r="BJ1503">
        <v>0</v>
      </c>
      <c r="BK1503">
        <v>0</v>
      </c>
      <c r="BL1503">
        <v>0</v>
      </c>
      <c r="BO1503">
        <v>0</v>
      </c>
      <c r="BP1503">
        <v>0</v>
      </c>
      <c r="BW1503" t="str">
        <f t="shared" si="818"/>
        <v>14:52:46.921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6</v>
      </c>
      <c r="CP1503" t="s">
        <v>119</v>
      </c>
      <c r="CQ1503">
        <v>285</v>
      </c>
      <c r="CR1503">
        <v>0</v>
      </c>
      <c r="CW1503">
        <v>8854003</v>
      </c>
      <c r="CY1503">
        <v>0</v>
      </c>
      <c r="CZ1503">
        <v>0</v>
      </c>
      <c r="DA1503">
        <v>1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25">
      <c r="A1504" t="str">
        <f t="shared" ref="A1504:A1510" si="819">"06/05/2020 14:52:42.445"</f>
        <v>06/05/2020 14:52:42.445</v>
      </c>
      <c r="C1504" t="str">
        <f t="shared" si="789"/>
        <v>FFDFD3C0</v>
      </c>
      <c r="D1504" t="s">
        <v>134</v>
      </c>
      <c r="E1504">
        <v>7</v>
      </c>
      <c r="F1504">
        <v>2007</v>
      </c>
      <c r="G1504" t="s">
        <v>135</v>
      </c>
      <c r="J1504" t="s">
        <v>136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ref="S1504:S1510" si="820">"14:52:48.102"</f>
        <v>14:52:48.102</v>
      </c>
      <c r="T1504" t="str">
        <f t="shared" ref="T1504:T1510" si="821">"14:52:48.002"</f>
        <v>14:52:48.002</v>
      </c>
      <c r="U1504" t="str">
        <f t="shared" si="805"/>
        <v>ACC530</v>
      </c>
      <c r="V1504">
        <v>0</v>
      </c>
      <c r="W1504">
        <v>0</v>
      </c>
      <c r="X1504">
        <v>1</v>
      </c>
      <c r="Z1504">
        <v>0</v>
      </c>
      <c r="AA1504">
        <v>9</v>
      </c>
      <c r="AB1504">
        <v>3</v>
      </c>
      <c r="AC1504">
        <v>0</v>
      </c>
      <c r="AD1504">
        <v>9</v>
      </c>
      <c r="AE1504">
        <v>0</v>
      </c>
      <c r="AF1504">
        <v>3</v>
      </c>
      <c r="AG1504">
        <v>1</v>
      </c>
      <c r="AH1504">
        <v>0</v>
      </c>
      <c r="AI1504" t="s">
        <v>597</v>
      </c>
      <c r="AJ1504">
        <v>34.197091999999998</v>
      </c>
      <c r="AK1504" t="s">
        <v>598</v>
      </c>
      <c r="AL1504">
        <v>-116.981757</v>
      </c>
      <c r="AM1504">
        <v>100</v>
      </c>
      <c r="AN1504">
        <v>8800</v>
      </c>
      <c r="AO1504" t="s">
        <v>118</v>
      </c>
      <c r="AP1504">
        <v>-104</v>
      </c>
      <c r="AQ1504">
        <v>-65</v>
      </c>
      <c r="AR1504">
        <v>-896</v>
      </c>
      <c r="AZ1504">
        <v>1200</v>
      </c>
      <c r="BA1504">
        <v>1</v>
      </c>
      <c r="BB1504" t="str">
        <f t="shared" si="809"/>
        <v xml:space="preserve">N9217B  </v>
      </c>
      <c r="BC1504">
        <v>1</v>
      </c>
      <c r="BE1504">
        <v>0</v>
      </c>
      <c r="BF1504">
        <v>0</v>
      </c>
      <c r="BG1504">
        <v>0</v>
      </c>
      <c r="BH1504">
        <v>8825</v>
      </c>
      <c r="BI1504">
        <v>1</v>
      </c>
      <c r="BJ1504">
        <v>0</v>
      </c>
      <c r="BK1504">
        <v>0</v>
      </c>
      <c r="BL1504">
        <v>0</v>
      </c>
      <c r="BO1504">
        <v>0</v>
      </c>
      <c r="BP1504">
        <v>0</v>
      </c>
      <c r="BW1504" t="str">
        <f t="shared" ref="BW1504:BW1510" si="822">"14:52:48.106"</f>
        <v>14:52:48.106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6</v>
      </c>
      <c r="CP1504" t="s">
        <v>119</v>
      </c>
      <c r="CQ1504">
        <v>293</v>
      </c>
      <c r="CR1504">
        <v>1</v>
      </c>
      <c r="CW1504">
        <v>15288340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25">
      <c r="A1505" t="str">
        <f t="shared" si="819"/>
        <v>06/05/2020 14:52:42.445</v>
      </c>
      <c r="C1505" t="str">
        <f t="shared" si="789"/>
        <v>FFDFD3C0</v>
      </c>
      <c r="D1505" t="s">
        <v>113</v>
      </c>
      <c r="E1505">
        <v>3</v>
      </c>
      <c r="H1505">
        <v>166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820"/>
        <v>14:52:48.102</v>
      </c>
      <c r="T1505" t="str">
        <f t="shared" si="821"/>
        <v>14:52:48.002</v>
      </c>
      <c r="U1505" t="str">
        <f t="shared" si="805"/>
        <v>ACC530</v>
      </c>
      <c r="V1505">
        <v>0</v>
      </c>
      <c r="W1505">
        <v>0</v>
      </c>
      <c r="X1505">
        <v>1</v>
      </c>
      <c r="Z1505">
        <v>0</v>
      </c>
      <c r="AA1505">
        <v>9</v>
      </c>
      <c r="AB1505">
        <v>3</v>
      </c>
      <c r="AC1505">
        <v>0</v>
      </c>
      <c r="AD1505">
        <v>9</v>
      </c>
      <c r="AE1505">
        <v>0</v>
      </c>
      <c r="AF1505">
        <v>3</v>
      </c>
      <c r="AG1505">
        <v>1</v>
      </c>
      <c r="AH1505">
        <v>0</v>
      </c>
      <c r="AI1505" t="s">
        <v>597</v>
      </c>
      <c r="AJ1505">
        <v>34.197091999999998</v>
      </c>
      <c r="AK1505" t="s">
        <v>598</v>
      </c>
      <c r="AL1505">
        <v>-116.981757</v>
      </c>
      <c r="AM1505">
        <v>100</v>
      </c>
      <c r="AN1505">
        <v>8800</v>
      </c>
      <c r="AO1505" t="s">
        <v>118</v>
      </c>
      <c r="AP1505">
        <v>-104</v>
      </c>
      <c r="AQ1505">
        <v>-65</v>
      </c>
      <c r="AR1505">
        <v>-896</v>
      </c>
      <c r="AZ1505">
        <v>1200</v>
      </c>
      <c r="BA1505">
        <v>1</v>
      </c>
      <c r="BB1505" t="str">
        <f t="shared" si="809"/>
        <v xml:space="preserve">N9217B  </v>
      </c>
      <c r="BC1505">
        <v>1</v>
      </c>
      <c r="BE1505">
        <v>0</v>
      </c>
      <c r="BF1505">
        <v>0</v>
      </c>
      <c r="BG1505">
        <v>0</v>
      </c>
      <c r="BH1505">
        <v>8825</v>
      </c>
      <c r="BI1505">
        <v>1</v>
      </c>
      <c r="BJ1505">
        <v>0</v>
      </c>
      <c r="BK1505">
        <v>0</v>
      </c>
      <c r="BL1505">
        <v>0</v>
      </c>
      <c r="BO1505">
        <v>0</v>
      </c>
      <c r="BP1505">
        <v>0</v>
      </c>
      <c r="BW1505" t="str">
        <f t="shared" si="822"/>
        <v>14:52:48.106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293</v>
      </c>
      <c r="CR1505">
        <v>1</v>
      </c>
      <c r="CW1505">
        <v>15288340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25">
      <c r="A1506" t="str">
        <f t="shared" si="819"/>
        <v>06/05/2020 14:52:42.445</v>
      </c>
      <c r="C1506" t="str">
        <f t="shared" si="789"/>
        <v>FFDFD3C0</v>
      </c>
      <c r="D1506" t="s">
        <v>141</v>
      </c>
      <c r="E1506">
        <v>20</v>
      </c>
      <c r="F1506">
        <v>1020</v>
      </c>
      <c r="G1506" t="s">
        <v>114</v>
      </c>
      <c r="J1506" t="s">
        <v>142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820"/>
        <v>14:52:48.102</v>
      </c>
      <c r="T1506" t="str">
        <f t="shared" si="821"/>
        <v>14:52:48.002</v>
      </c>
      <c r="U1506" t="str">
        <f t="shared" si="805"/>
        <v>ACC530</v>
      </c>
      <c r="V1506">
        <v>0</v>
      </c>
      <c r="W1506">
        <v>0</v>
      </c>
      <c r="X1506">
        <v>1</v>
      </c>
      <c r="Z1506">
        <v>0</v>
      </c>
      <c r="AA1506">
        <v>9</v>
      </c>
      <c r="AB1506">
        <v>3</v>
      </c>
      <c r="AC1506">
        <v>0</v>
      </c>
      <c r="AD1506">
        <v>9</v>
      </c>
      <c r="AE1506">
        <v>0</v>
      </c>
      <c r="AF1506">
        <v>3</v>
      </c>
      <c r="AG1506">
        <v>1</v>
      </c>
      <c r="AH1506">
        <v>0</v>
      </c>
      <c r="AI1506" t="s">
        <v>597</v>
      </c>
      <c r="AJ1506">
        <v>34.197091999999998</v>
      </c>
      <c r="AK1506" t="s">
        <v>598</v>
      </c>
      <c r="AL1506">
        <v>-116.981757</v>
      </c>
      <c r="AM1506">
        <v>100</v>
      </c>
      <c r="AN1506">
        <v>8800</v>
      </c>
      <c r="AO1506" t="s">
        <v>118</v>
      </c>
      <c r="AP1506">
        <v>-104</v>
      </c>
      <c r="AQ1506">
        <v>-65</v>
      </c>
      <c r="AR1506">
        <v>-896</v>
      </c>
      <c r="AZ1506">
        <v>1200</v>
      </c>
      <c r="BA1506">
        <v>1</v>
      </c>
      <c r="BB1506" t="str">
        <f t="shared" si="809"/>
        <v xml:space="preserve">N9217B  </v>
      </c>
      <c r="BC1506">
        <v>1</v>
      </c>
      <c r="BE1506">
        <v>0</v>
      </c>
      <c r="BF1506">
        <v>0</v>
      </c>
      <c r="BG1506">
        <v>0</v>
      </c>
      <c r="BH1506">
        <v>8825</v>
      </c>
      <c r="BI1506">
        <v>1</v>
      </c>
      <c r="BJ1506">
        <v>0</v>
      </c>
      <c r="BK1506">
        <v>0</v>
      </c>
      <c r="BL1506">
        <v>0</v>
      </c>
      <c r="BO1506">
        <v>0</v>
      </c>
      <c r="BP1506">
        <v>0</v>
      </c>
      <c r="BW1506" t="str">
        <f t="shared" si="822"/>
        <v>14:52:48.106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6</v>
      </c>
      <c r="CP1506" t="s">
        <v>119</v>
      </c>
      <c r="CQ1506">
        <v>293</v>
      </c>
      <c r="CR1506">
        <v>1</v>
      </c>
      <c r="CW1506">
        <v>15288340</v>
      </c>
      <c r="CY1506">
        <v>0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25">
      <c r="A1507" t="str">
        <f t="shared" si="819"/>
        <v>06/05/2020 14:52:42.445</v>
      </c>
      <c r="C1507" t="str">
        <f t="shared" ref="C1507:C1570" si="823">"FFDFD3C0"</f>
        <v>FFDFD3C0</v>
      </c>
      <c r="D1507" t="s">
        <v>151</v>
      </c>
      <c r="E1507">
        <v>8</v>
      </c>
      <c r="H1507">
        <v>225</v>
      </c>
      <c r="I1507" t="s">
        <v>353</v>
      </c>
      <c r="J1507" t="s">
        <v>150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820"/>
        <v>14:52:48.102</v>
      </c>
      <c r="T1507" t="str">
        <f t="shared" si="821"/>
        <v>14:52:48.002</v>
      </c>
      <c r="U1507" t="str">
        <f t="shared" si="805"/>
        <v>ACC530</v>
      </c>
      <c r="V1507">
        <v>0</v>
      </c>
      <c r="W1507">
        <v>0</v>
      </c>
      <c r="X1507">
        <v>1</v>
      </c>
      <c r="Z1507">
        <v>0</v>
      </c>
      <c r="AA1507">
        <v>9</v>
      </c>
      <c r="AB1507">
        <v>3</v>
      </c>
      <c r="AC1507">
        <v>0</v>
      </c>
      <c r="AD1507">
        <v>9</v>
      </c>
      <c r="AE1507">
        <v>0</v>
      </c>
      <c r="AF1507">
        <v>3</v>
      </c>
      <c r="AG1507">
        <v>1</v>
      </c>
      <c r="AH1507">
        <v>0</v>
      </c>
      <c r="AI1507" t="s">
        <v>597</v>
      </c>
      <c r="AJ1507">
        <v>34.197091999999998</v>
      </c>
      <c r="AK1507" t="s">
        <v>598</v>
      </c>
      <c r="AL1507">
        <v>-116.981757</v>
      </c>
      <c r="AM1507">
        <v>100</v>
      </c>
      <c r="AN1507">
        <v>8800</v>
      </c>
      <c r="AO1507" t="s">
        <v>118</v>
      </c>
      <c r="AP1507">
        <v>-104</v>
      </c>
      <c r="AQ1507">
        <v>-65</v>
      </c>
      <c r="AR1507">
        <v>-896</v>
      </c>
      <c r="AZ1507">
        <v>1200</v>
      </c>
      <c r="BA1507">
        <v>1</v>
      </c>
      <c r="BB1507" t="str">
        <f t="shared" si="809"/>
        <v xml:space="preserve">N9217B  </v>
      </c>
      <c r="BC1507">
        <v>1</v>
      </c>
      <c r="BE1507">
        <v>0</v>
      </c>
      <c r="BF1507">
        <v>0</v>
      </c>
      <c r="BG1507">
        <v>0</v>
      </c>
      <c r="BH1507">
        <v>8825</v>
      </c>
      <c r="BI1507">
        <v>1</v>
      </c>
      <c r="BJ1507">
        <v>0</v>
      </c>
      <c r="BK1507">
        <v>0</v>
      </c>
      <c r="BL1507">
        <v>0</v>
      </c>
      <c r="BO1507">
        <v>0</v>
      </c>
      <c r="BP1507">
        <v>0</v>
      </c>
      <c r="BW1507" t="str">
        <f t="shared" si="822"/>
        <v>14:52:48.106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5</v>
      </c>
      <c r="CP1507" t="s">
        <v>119</v>
      </c>
      <c r="CQ1507">
        <v>285</v>
      </c>
      <c r="CR1507">
        <v>0</v>
      </c>
      <c r="CW1507">
        <v>8854112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25">
      <c r="A1508" t="str">
        <f t="shared" si="819"/>
        <v>06/05/2020 14:52:42.445</v>
      </c>
      <c r="C1508" t="str">
        <f t="shared" si="823"/>
        <v>FFDFD3C0</v>
      </c>
      <c r="D1508" t="s">
        <v>148</v>
      </c>
      <c r="E1508">
        <v>11</v>
      </c>
      <c r="H1508">
        <v>53</v>
      </c>
      <c r="I1508" t="s">
        <v>364</v>
      </c>
      <c r="J1508" t="s">
        <v>150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820"/>
        <v>14:52:48.102</v>
      </c>
      <c r="T1508" t="str">
        <f t="shared" si="821"/>
        <v>14:52:48.002</v>
      </c>
      <c r="U1508" t="str">
        <f t="shared" si="805"/>
        <v>ACC530</v>
      </c>
      <c r="V1508">
        <v>0</v>
      </c>
      <c r="W1508">
        <v>0</v>
      </c>
      <c r="X1508">
        <v>1</v>
      </c>
      <c r="Z1508">
        <v>0</v>
      </c>
      <c r="AA1508">
        <v>9</v>
      </c>
      <c r="AB1508">
        <v>3</v>
      </c>
      <c r="AC1508">
        <v>0</v>
      </c>
      <c r="AD1508">
        <v>9</v>
      </c>
      <c r="AE1508">
        <v>0</v>
      </c>
      <c r="AF1508">
        <v>3</v>
      </c>
      <c r="AG1508">
        <v>1</v>
      </c>
      <c r="AH1508">
        <v>0</v>
      </c>
      <c r="AI1508" t="s">
        <v>597</v>
      </c>
      <c r="AJ1508">
        <v>34.197091999999998</v>
      </c>
      <c r="AK1508" t="s">
        <v>598</v>
      </c>
      <c r="AL1508">
        <v>-116.981757</v>
      </c>
      <c r="AM1508">
        <v>100</v>
      </c>
      <c r="AN1508">
        <v>8800</v>
      </c>
      <c r="AO1508" t="s">
        <v>118</v>
      </c>
      <c r="AP1508">
        <v>-104</v>
      </c>
      <c r="AQ1508">
        <v>-65</v>
      </c>
      <c r="AR1508">
        <v>-896</v>
      </c>
      <c r="AZ1508">
        <v>1200</v>
      </c>
      <c r="BA1508">
        <v>1</v>
      </c>
      <c r="BB1508" t="str">
        <f t="shared" si="809"/>
        <v xml:space="preserve">N9217B  </v>
      </c>
      <c r="BC1508">
        <v>1</v>
      </c>
      <c r="BE1508">
        <v>0</v>
      </c>
      <c r="BF1508">
        <v>0</v>
      </c>
      <c r="BG1508">
        <v>0</v>
      </c>
      <c r="BH1508">
        <v>8825</v>
      </c>
      <c r="BI1508">
        <v>1</v>
      </c>
      <c r="BJ1508">
        <v>0</v>
      </c>
      <c r="BK1508">
        <v>0</v>
      </c>
      <c r="BL1508">
        <v>0</v>
      </c>
      <c r="BO1508">
        <v>0</v>
      </c>
      <c r="BP1508">
        <v>0</v>
      </c>
      <c r="BW1508" t="str">
        <f t="shared" si="822"/>
        <v>14:52:48.106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6</v>
      </c>
      <c r="CP1508" t="s">
        <v>119</v>
      </c>
      <c r="CQ1508">
        <v>293</v>
      </c>
      <c r="CR1508">
        <v>1</v>
      </c>
      <c r="CW1508">
        <v>15288340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25">
      <c r="A1509" t="str">
        <f t="shared" si="819"/>
        <v>06/05/2020 14:52:42.445</v>
      </c>
      <c r="C1509" t="str">
        <f t="shared" si="823"/>
        <v>FFDFD3C0</v>
      </c>
      <c r="D1509" t="s">
        <v>151</v>
      </c>
      <c r="E1509">
        <v>9</v>
      </c>
      <c r="H1509">
        <v>226</v>
      </c>
      <c r="I1509" t="s">
        <v>152</v>
      </c>
      <c r="J1509" t="s">
        <v>150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820"/>
        <v>14:52:48.102</v>
      </c>
      <c r="T1509" t="str">
        <f t="shared" si="821"/>
        <v>14:52:48.002</v>
      </c>
      <c r="U1509" t="str">
        <f t="shared" si="805"/>
        <v>ACC530</v>
      </c>
      <c r="V1509">
        <v>0</v>
      </c>
      <c r="W1509">
        <v>0</v>
      </c>
      <c r="X1509">
        <v>1</v>
      </c>
      <c r="Z1509">
        <v>0</v>
      </c>
      <c r="AA1509">
        <v>9</v>
      </c>
      <c r="AB1509">
        <v>3</v>
      </c>
      <c r="AC1509">
        <v>0</v>
      </c>
      <c r="AD1509">
        <v>9</v>
      </c>
      <c r="AE1509">
        <v>0</v>
      </c>
      <c r="AF1509">
        <v>3</v>
      </c>
      <c r="AG1509">
        <v>1</v>
      </c>
      <c r="AH1509">
        <v>0</v>
      </c>
      <c r="AI1509" t="s">
        <v>597</v>
      </c>
      <c r="AJ1509">
        <v>34.197091999999998</v>
      </c>
      <c r="AK1509" t="s">
        <v>598</v>
      </c>
      <c r="AL1509">
        <v>-116.981757</v>
      </c>
      <c r="AM1509">
        <v>100</v>
      </c>
      <c r="AN1509">
        <v>8800</v>
      </c>
      <c r="AO1509" t="s">
        <v>118</v>
      </c>
      <c r="AP1509">
        <v>-104</v>
      </c>
      <c r="AQ1509">
        <v>-65</v>
      </c>
      <c r="AR1509">
        <v>-896</v>
      </c>
      <c r="AZ1509">
        <v>1200</v>
      </c>
      <c r="BA1509">
        <v>1</v>
      </c>
      <c r="BB1509" t="str">
        <f t="shared" si="809"/>
        <v xml:space="preserve">N9217B  </v>
      </c>
      <c r="BC1509">
        <v>1</v>
      </c>
      <c r="BE1509">
        <v>0</v>
      </c>
      <c r="BF1509">
        <v>0</v>
      </c>
      <c r="BG1509">
        <v>0</v>
      </c>
      <c r="BH1509">
        <v>8825</v>
      </c>
      <c r="BI1509">
        <v>1</v>
      </c>
      <c r="BJ1509">
        <v>0</v>
      </c>
      <c r="BK1509">
        <v>0</v>
      </c>
      <c r="BL1509">
        <v>0</v>
      </c>
      <c r="BO1509">
        <v>0</v>
      </c>
      <c r="BP1509">
        <v>0</v>
      </c>
      <c r="BW1509" t="str">
        <f t="shared" si="822"/>
        <v>14:52:48.106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6</v>
      </c>
      <c r="CP1509" t="s">
        <v>119</v>
      </c>
      <c r="CQ1509">
        <v>293</v>
      </c>
      <c r="CR1509">
        <v>1</v>
      </c>
      <c r="CW1509">
        <v>15288340</v>
      </c>
      <c r="CY1509">
        <v>0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25">
      <c r="A1510" t="str">
        <f t="shared" si="819"/>
        <v>06/05/2020 14:52:42.445</v>
      </c>
      <c r="C1510" t="str">
        <f t="shared" si="823"/>
        <v>FFDFD3C0</v>
      </c>
      <c r="D1510" t="s">
        <v>148</v>
      </c>
      <c r="E1510">
        <v>8</v>
      </c>
      <c r="H1510">
        <v>50</v>
      </c>
      <c r="I1510" t="s">
        <v>149</v>
      </c>
      <c r="J1510" t="s">
        <v>150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820"/>
        <v>14:52:48.102</v>
      </c>
      <c r="T1510" t="str">
        <f t="shared" si="821"/>
        <v>14:52:48.002</v>
      </c>
      <c r="U1510" t="str">
        <f t="shared" si="805"/>
        <v>ACC530</v>
      </c>
      <c r="V1510">
        <v>0</v>
      </c>
      <c r="W1510">
        <v>0</v>
      </c>
      <c r="X1510">
        <v>1</v>
      </c>
      <c r="Z1510">
        <v>0</v>
      </c>
      <c r="AA1510">
        <v>9</v>
      </c>
      <c r="AB1510">
        <v>3</v>
      </c>
      <c r="AC1510">
        <v>0</v>
      </c>
      <c r="AD1510">
        <v>9</v>
      </c>
      <c r="AE1510">
        <v>0</v>
      </c>
      <c r="AF1510">
        <v>3</v>
      </c>
      <c r="AG1510">
        <v>1</v>
      </c>
      <c r="AH1510">
        <v>0</v>
      </c>
      <c r="AI1510" t="s">
        <v>597</v>
      </c>
      <c r="AJ1510">
        <v>34.197091999999998</v>
      </c>
      <c r="AK1510" t="s">
        <v>598</v>
      </c>
      <c r="AL1510">
        <v>-116.981757</v>
      </c>
      <c r="AM1510">
        <v>100</v>
      </c>
      <c r="AN1510">
        <v>8800</v>
      </c>
      <c r="AO1510" t="s">
        <v>118</v>
      </c>
      <c r="AP1510">
        <v>-104</v>
      </c>
      <c r="AQ1510">
        <v>-65</v>
      </c>
      <c r="AR1510">
        <v>-896</v>
      </c>
      <c r="AZ1510">
        <v>1200</v>
      </c>
      <c r="BA1510">
        <v>1</v>
      </c>
      <c r="BB1510" t="str">
        <f t="shared" si="809"/>
        <v xml:space="preserve">N9217B  </v>
      </c>
      <c r="BC1510">
        <v>1</v>
      </c>
      <c r="BE1510">
        <v>0</v>
      </c>
      <c r="BF1510">
        <v>0</v>
      </c>
      <c r="BG1510">
        <v>0</v>
      </c>
      <c r="BH1510">
        <v>8825</v>
      </c>
      <c r="BI1510">
        <v>1</v>
      </c>
      <c r="BJ1510">
        <v>0</v>
      </c>
      <c r="BK1510">
        <v>0</v>
      </c>
      <c r="BL1510">
        <v>0</v>
      </c>
      <c r="BO1510">
        <v>0</v>
      </c>
      <c r="BP1510">
        <v>0</v>
      </c>
      <c r="BW1510" t="str">
        <f t="shared" si="822"/>
        <v>14:52:48.106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293</v>
      </c>
      <c r="CR1510">
        <v>1</v>
      </c>
      <c r="CW1510">
        <v>15288340</v>
      </c>
      <c r="CY1510">
        <v>0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25">
      <c r="A1511" t="str">
        <f t="shared" ref="A1511:A1517" si="824">"06/05/2020 14:52:43.472"</f>
        <v>06/05/2020 14:52:43.472</v>
      </c>
      <c r="C1511" t="str">
        <f t="shared" si="823"/>
        <v>FFDFD3C0</v>
      </c>
      <c r="D1511" t="s">
        <v>113</v>
      </c>
      <c r="E1511">
        <v>3</v>
      </c>
      <c r="H1511">
        <v>166</v>
      </c>
      <c r="I1511" t="s">
        <v>114</v>
      </c>
      <c r="J1511" t="s">
        <v>115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T1517" si="825">"14:52:49.125"</f>
        <v>14:52:49.125</v>
      </c>
      <c r="T1511" t="str">
        <f t="shared" si="825"/>
        <v>14:52:49.125</v>
      </c>
      <c r="U1511" t="str">
        <f t="shared" si="805"/>
        <v>ACC530</v>
      </c>
      <c r="V1511">
        <v>0</v>
      </c>
      <c r="W1511">
        <v>0</v>
      </c>
      <c r="X1511">
        <v>1</v>
      </c>
      <c r="Z1511">
        <v>0</v>
      </c>
      <c r="AA1511">
        <v>9</v>
      </c>
      <c r="AB1511">
        <v>3</v>
      </c>
      <c r="AC1511">
        <v>0</v>
      </c>
      <c r="AD1511">
        <v>9</v>
      </c>
      <c r="AE1511">
        <v>0</v>
      </c>
      <c r="AF1511">
        <v>3</v>
      </c>
      <c r="AG1511">
        <v>1</v>
      </c>
      <c r="AH1511">
        <v>0</v>
      </c>
      <c r="AI1511" t="s">
        <v>599</v>
      </c>
      <c r="AJ1511">
        <v>34.196770000000001</v>
      </c>
      <c r="AK1511" t="s">
        <v>600</v>
      </c>
      <c r="AL1511">
        <v>-116.982358</v>
      </c>
      <c r="AM1511">
        <v>100</v>
      </c>
      <c r="AN1511">
        <v>8800</v>
      </c>
      <c r="AO1511" t="s">
        <v>118</v>
      </c>
      <c r="AP1511">
        <v>-105</v>
      </c>
      <c r="AQ1511">
        <v>-64</v>
      </c>
      <c r="AR1511">
        <v>-1024</v>
      </c>
      <c r="AZ1511">
        <v>1200</v>
      </c>
      <c r="BA1511">
        <v>1</v>
      </c>
      <c r="BB1511" t="str">
        <f t="shared" si="809"/>
        <v xml:space="preserve">N9217B  </v>
      </c>
      <c r="BC1511">
        <v>1</v>
      </c>
      <c r="BE1511">
        <v>0</v>
      </c>
      <c r="BF1511">
        <v>0</v>
      </c>
      <c r="BG1511">
        <v>0</v>
      </c>
      <c r="BH1511">
        <v>8800</v>
      </c>
      <c r="BI1511">
        <v>1</v>
      </c>
      <c r="BJ1511">
        <v>0</v>
      </c>
      <c r="BK1511">
        <v>0</v>
      </c>
      <c r="BL1511">
        <v>0</v>
      </c>
      <c r="BO1511">
        <v>0</v>
      </c>
      <c r="BP1511">
        <v>0</v>
      </c>
      <c r="BW1511" t="str">
        <f t="shared" ref="BW1511:BW1517" si="826">"14:52:49.126"</f>
        <v>14:52:49.126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293</v>
      </c>
      <c r="CR1511">
        <v>1</v>
      </c>
      <c r="CW1511">
        <v>15288457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25">
      <c r="A1512" t="str">
        <f t="shared" si="824"/>
        <v>06/05/2020 14:52:43.472</v>
      </c>
      <c r="C1512" t="str">
        <f t="shared" si="823"/>
        <v>FFDFD3C0</v>
      </c>
      <c r="D1512" t="s">
        <v>141</v>
      </c>
      <c r="E1512">
        <v>20</v>
      </c>
      <c r="F1512">
        <v>1020</v>
      </c>
      <c r="G1512" t="s">
        <v>114</v>
      </c>
      <c r="J1512" t="s">
        <v>142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825"/>
        <v>14:52:49.125</v>
      </c>
      <c r="T1512" t="str">
        <f t="shared" si="825"/>
        <v>14:52:49.125</v>
      </c>
      <c r="U1512" t="str">
        <f t="shared" si="805"/>
        <v>ACC530</v>
      </c>
      <c r="V1512">
        <v>0</v>
      </c>
      <c r="W1512">
        <v>0</v>
      </c>
      <c r="X1512">
        <v>1</v>
      </c>
      <c r="Z1512">
        <v>0</v>
      </c>
      <c r="AA1512">
        <v>9</v>
      </c>
      <c r="AB1512">
        <v>3</v>
      </c>
      <c r="AC1512">
        <v>0</v>
      </c>
      <c r="AD1512">
        <v>9</v>
      </c>
      <c r="AE1512">
        <v>0</v>
      </c>
      <c r="AF1512">
        <v>3</v>
      </c>
      <c r="AG1512">
        <v>1</v>
      </c>
      <c r="AH1512">
        <v>0</v>
      </c>
      <c r="AI1512" t="s">
        <v>599</v>
      </c>
      <c r="AJ1512">
        <v>34.196770000000001</v>
      </c>
      <c r="AK1512" t="s">
        <v>600</v>
      </c>
      <c r="AL1512">
        <v>-116.982358</v>
      </c>
      <c r="AM1512">
        <v>100</v>
      </c>
      <c r="AN1512">
        <v>8800</v>
      </c>
      <c r="AO1512" t="s">
        <v>118</v>
      </c>
      <c r="AP1512">
        <v>-105</v>
      </c>
      <c r="AQ1512">
        <v>-64</v>
      </c>
      <c r="AR1512">
        <v>-1024</v>
      </c>
      <c r="AZ1512">
        <v>1200</v>
      </c>
      <c r="BA1512">
        <v>1</v>
      </c>
      <c r="BB1512" t="str">
        <f t="shared" si="809"/>
        <v xml:space="preserve">N9217B  </v>
      </c>
      <c r="BC1512">
        <v>1</v>
      </c>
      <c r="BE1512">
        <v>0</v>
      </c>
      <c r="BF1512">
        <v>0</v>
      </c>
      <c r="BG1512">
        <v>0</v>
      </c>
      <c r="BH1512">
        <v>8800</v>
      </c>
      <c r="BI1512">
        <v>1</v>
      </c>
      <c r="BJ1512">
        <v>0</v>
      </c>
      <c r="BK1512">
        <v>0</v>
      </c>
      <c r="BL1512">
        <v>0</v>
      </c>
      <c r="BO1512">
        <v>0</v>
      </c>
      <c r="BP1512">
        <v>0</v>
      </c>
      <c r="BW1512" t="str">
        <f t="shared" si="826"/>
        <v>14:52:49.126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293</v>
      </c>
      <c r="CR1512">
        <v>1</v>
      </c>
      <c r="CW1512">
        <v>15288457</v>
      </c>
      <c r="CY1512">
        <v>0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25">
      <c r="A1513" t="str">
        <f t="shared" si="824"/>
        <v>06/05/2020 14:52:43.472</v>
      </c>
      <c r="C1513" t="str">
        <f t="shared" si="823"/>
        <v>FFDFD3C0</v>
      </c>
      <c r="D1513" t="s">
        <v>151</v>
      </c>
      <c r="E1513">
        <v>8</v>
      </c>
      <c r="H1513">
        <v>225</v>
      </c>
      <c r="I1513" t="s">
        <v>353</v>
      </c>
      <c r="J1513" t="s">
        <v>150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825"/>
        <v>14:52:49.125</v>
      </c>
      <c r="T1513" t="str">
        <f t="shared" si="825"/>
        <v>14:52:49.125</v>
      </c>
      <c r="U1513" t="str">
        <f t="shared" si="805"/>
        <v>ACC530</v>
      </c>
      <c r="V1513">
        <v>0</v>
      </c>
      <c r="W1513">
        <v>0</v>
      </c>
      <c r="X1513">
        <v>1</v>
      </c>
      <c r="Z1513">
        <v>0</v>
      </c>
      <c r="AA1513">
        <v>9</v>
      </c>
      <c r="AB1513">
        <v>3</v>
      </c>
      <c r="AC1513">
        <v>0</v>
      </c>
      <c r="AD1513">
        <v>9</v>
      </c>
      <c r="AE1513">
        <v>0</v>
      </c>
      <c r="AF1513">
        <v>3</v>
      </c>
      <c r="AG1513">
        <v>1</v>
      </c>
      <c r="AH1513">
        <v>0</v>
      </c>
      <c r="AI1513" t="s">
        <v>599</v>
      </c>
      <c r="AJ1513">
        <v>34.196770000000001</v>
      </c>
      <c r="AK1513" t="s">
        <v>600</v>
      </c>
      <c r="AL1513">
        <v>-116.982358</v>
      </c>
      <c r="AM1513">
        <v>100</v>
      </c>
      <c r="AN1513">
        <v>8800</v>
      </c>
      <c r="AO1513" t="s">
        <v>118</v>
      </c>
      <c r="AP1513">
        <v>-105</v>
      </c>
      <c r="AQ1513">
        <v>-64</v>
      </c>
      <c r="AR1513">
        <v>-1024</v>
      </c>
      <c r="AZ1513">
        <v>1200</v>
      </c>
      <c r="BA1513">
        <v>1</v>
      </c>
      <c r="BB1513" t="str">
        <f t="shared" si="809"/>
        <v xml:space="preserve">N9217B  </v>
      </c>
      <c r="BC1513">
        <v>1</v>
      </c>
      <c r="BE1513">
        <v>0</v>
      </c>
      <c r="BF1513">
        <v>0</v>
      </c>
      <c r="BG1513">
        <v>0</v>
      </c>
      <c r="BH1513">
        <v>8800</v>
      </c>
      <c r="BI1513">
        <v>1</v>
      </c>
      <c r="BJ1513">
        <v>0</v>
      </c>
      <c r="BK1513">
        <v>0</v>
      </c>
      <c r="BL1513">
        <v>0</v>
      </c>
      <c r="BO1513">
        <v>0</v>
      </c>
      <c r="BP1513">
        <v>0</v>
      </c>
      <c r="BW1513" t="str">
        <f t="shared" si="826"/>
        <v>14:52:49.126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5</v>
      </c>
      <c r="CP1513" t="s">
        <v>119</v>
      </c>
      <c r="CQ1513">
        <v>285</v>
      </c>
      <c r="CR1513">
        <v>0</v>
      </c>
      <c r="CW1513">
        <v>8854202</v>
      </c>
      <c r="CY1513">
        <v>0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25">
      <c r="A1514" t="str">
        <f t="shared" si="824"/>
        <v>06/05/2020 14:52:43.472</v>
      </c>
      <c r="C1514" t="str">
        <f t="shared" si="823"/>
        <v>FFDFD3C0</v>
      </c>
      <c r="D1514" t="s">
        <v>148</v>
      </c>
      <c r="E1514">
        <v>11</v>
      </c>
      <c r="H1514">
        <v>53</v>
      </c>
      <c r="I1514" t="s">
        <v>364</v>
      </c>
      <c r="J1514" t="s">
        <v>150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825"/>
        <v>14:52:49.125</v>
      </c>
      <c r="T1514" t="str">
        <f t="shared" si="825"/>
        <v>14:52:49.125</v>
      </c>
      <c r="U1514" t="str">
        <f t="shared" si="805"/>
        <v>ACC530</v>
      </c>
      <c r="V1514">
        <v>0</v>
      </c>
      <c r="W1514">
        <v>0</v>
      </c>
      <c r="X1514">
        <v>1</v>
      </c>
      <c r="Z1514">
        <v>0</v>
      </c>
      <c r="AA1514">
        <v>9</v>
      </c>
      <c r="AB1514">
        <v>3</v>
      </c>
      <c r="AC1514">
        <v>0</v>
      </c>
      <c r="AD1514">
        <v>9</v>
      </c>
      <c r="AE1514">
        <v>0</v>
      </c>
      <c r="AF1514">
        <v>3</v>
      </c>
      <c r="AG1514">
        <v>1</v>
      </c>
      <c r="AH1514">
        <v>0</v>
      </c>
      <c r="AI1514" t="s">
        <v>599</v>
      </c>
      <c r="AJ1514">
        <v>34.196770000000001</v>
      </c>
      <c r="AK1514" t="s">
        <v>600</v>
      </c>
      <c r="AL1514">
        <v>-116.982358</v>
      </c>
      <c r="AM1514">
        <v>100</v>
      </c>
      <c r="AN1514">
        <v>8800</v>
      </c>
      <c r="AO1514" t="s">
        <v>118</v>
      </c>
      <c r="AP1514">
        <v>-105</v>
      </c>
      <c r="AQ1514">
        <v>-64</v>
      </c>
      <c r="AR1514">
        <v>-1024</v>
      </c>
      <c r="AZ1514">
        <v>1200</v>
      </c>
      <c r="BA1514">
        <v>1</v>
      </c>
      <c r="BB1514" t="str">
        <f t="shared" si="809"/>
        <v xml:space="preserve">N9217B  </v>
      </c>
      <c r="BC1514">
        <v>1</v>
      </c>
      <c r="BE1514">
        <v>0</v>
      </c>
      <c r="BF1514">
        <v>0</v>
      </c>
      <c r="BG1514">
        <v>0</v>
      </c>
      <c r="BH1514">
        <v>8800</v>
      </c>
      <c r="BI1514">
        <v>1</v>
      </c>
      <c r="BJ1514">
        <v>0</v>
      </c>
      <c r="BK1514">
        <v>0</v>
      </c>
      <c r="BL1514">
        <v>0</v>
      </c>
      <c r="BO1514">
        <v>0</v>
      </c>
      <c r="BP1514">
        <v>0</v>
      </c>
      <c r="BW1514" t="str">
        <f t="shared" si="826"/>
        <v>14:52:49.126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293</v>
      </c>
      <c r="CR1514">
        <v>1</v>
      </c>
      <c r="CW1514">
        <v>15288457</v>
      </c>
      <c r="CY1514">
        <v>0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25">
      <c r="A1515" t="str">
        <f t="shared" si="824"/>
        <v>06/05/2020 14:52:43.472</v>
      </c>
      <c r="C1515" t="str">
        <f t="shared" si="823"/>
        <v>FFDFD3C0</v>
      </c>
      <c r="D1515" t="s">
        <v>151</v>
      </c>
      <c r="E1515">
        <v>9</v>
      </c>
      <c r="H1515">
        <v>226</v>
      </c>
      <c r="I1515" t="s">
        <v>152</v>
      </c>
      <c r="J1515" t="s">
        <v>150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825"/>
        <v>14:52:49.125</v>
      </c>
      <c r="T1515" t="str">
        <f t="shared" si="825"/>
        <v>14:52:49.125</v>
      </c>
      <c r="U1515" t="str">
        <f t="shared" si="805"/>
        <v>ACC530</v>
      </c>
      <c r="V1515">
        <v>0</v>
      </c>
      <c r="W1515">
        <v>0</v>
      </c>
      <c r="X1515">
        <v>1</v>
      </c>
      <c r="Z1515">
        <v>0</v>
      </c>
      <c r="AA1515">
        <v>9</v>
      </c>
      <c r="AB1515">
        <v>3</v>
      </c>
      <c r="AC1515">
        <v>0</v>
      </c>
      <c r="AD1515">
        <v>9</v>
      </c>
      <c r="AE1515">
        <v>0</v>
      </c>
      <c r="AF1515">
        <v>3</v>
      </c>
      <c r="AG1515">
        <v>1</v>
      </c>
      <c r="AH1515">
        <v>0</v>
      </c>
      <c r="AI1515" t="s">
        <v>599</v>
      </c>
      <c r="AJ1515">
        <v>34.196770000000001</v>
      </c>
      <c r="AK1515" t="s">
        <v>600</v>
      </c>
      <c r="AL1515">
        <v>-116.982358</v>
      </c>
      <c r="AM1515">
        <v>100</v>
      </c>
      <c r="AN1515">
        <v>8800</v>
      </c>
      <c r="AO1515" t="s">
        <v>118</v>
      </c>
      <c r="AP1515">
        <v>-105</v>
      </c>
      <c r="AQ1515">
        <v>-64</v>
      </c>
      <c r="AR1515">
        <v>-1024</v>
      </c>
      <c r="AZ1515">
        <v>1200</v>
      </c>
      <c r="BA1515">
        <v>1</v>
      </c>
      <c r="BB1515" t="str">
        <f t="shared" si="809"/>
        <v xml:space="preserve">N9217B  </v>
      </c>
      <c r="BC1515">
        <v>1</v>
      </c>
      <c r="BE1515">
        <v>0</v>
      </c>
      <c r="BF1515">
        <v>0</v>
      </c>
      <c r="BG1515">
        <v>0</v>
      </c>
      <c r="BH1515">
        <v>8800</v>
      </c>
      <c r="BI1515">
        <v>1</v>
      </c>
      <c r="BJ1515">
        <v>0</v>
      </c>
      <c r="BK1515">
        <v>0</v>
      </c>
      <c r="BL1515">
        <v>0</v>
      </c>
      <c r="BO1515">
        <v>0</v>
      </c>
      <c r="BP1515">
        <v>0</v>
      </c>
      <c r="BW1515" t="str">
        <f t="shared" si="826"/>
        <v>14:52:49.126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293</v>
      </c>
      <c r="CR1515">
        <v>1</v>
      </c>
      <c r="CW1515">
        <v>15288457</v>
      </c>
      <c r="CY1515">
        <v>0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25">
      <c r="A1516" t="str">
        <f t="shared" si="824"/>
        <v>06/05/2020 14:52:43.472</v>
      </c>
      <c r="C1516" t="str">
        <f t="shared" si="823"/>
        <v>FFDFD3C0</v>
      </c>
      <c r="D1516" t="s">
        <v>148</v>
      </c>
      <c r="E1516">
        <v>8</v>
      </c>
      <c r="H1516">
        <v>50</v>
      </c>
      <c r="I1516" t="s">
        <v>149</v>
      </c>
      <c r="J1516" t="s">
        <v>150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825"/>
        <v>14:52:49.125</v>
      </c>
      <c r="T1516" t="str">
        <f t="shared" si="825"/>
        <v>14:52:49.125</v>
      </c>
      <c r="U1516" t="str">
        <f t="shared" si="805"/>
        <v>ACC530</v>
      </c>
      <c r="V1516">
        <v>0</v>
      </c>
      <c r="W1516">
        <v>0</v>
      </c>
      <c r="X1516">
        <v>1</v>
      </c>
      <c r="Z1516">
        <v>0</v>
      </c>
      <c r="AA1516">
        <v>9</v>
      </c>
      <c r="AB1516">
        <v>3</v>
      </c>
      <c r="AC1516">
        <v>0</v>
      </c>
      <c r="AD1516">
        <v>9</v>
      </c>
      <c r="AE1516">
        <v>0</v>
      </c>
      <c r="AF1516">
        <v>3</v>
      </c>
      <c r="AG1516">
        <v>1</v>
      </c>
      <c r="AH1516">
        <v>0</v>
      </c>
      <c r="AI1516" t="s">
        <v>599</v>
      </c>
      <c r="AJ1516">
        <v>34.196770000000001</v>
      </c>
      <c r="AK1516" t="s">
        <v>600</v>
      </c>
      <c r="AL1516">
        <v>-116.982358</v>
      </c>
      <c r="AM1516">
        <v>100</v>
      </c>
      <c r="AN1516">
        <v>8800</v>
      </c>
      <c r="AO1516" t="s">
        <v>118</v>
      </c>
      <c r="AP1516">
        <v>-105</v>
      </c>
      <c r="AQ1516">
        <v>-64</v>
      </c>
      <c r="AR1516">
        <v>-1024</v>
      </c>
      <c r="AZ1516">
        <v>1200</v>
      </c>
      <c r="BA1516">
        <v>1</v>
      </c>
      <c r="BB1516" t="str">
        <f t="shared" si="809"/>
        <v xml:space="preserve">N9217B  </v>
      </c>
      <c r="BC1516">
        <v>1</v>
      </c>
      <c r="BE1516">
        <v>0</v>
      </c>
      <c r="BF1516">
        <v>0</v>
      </c>
      <c r="BG1516">
        <v>0</v>
      </c>
      <c r="BH1516">
        <v>8800</v>
      </c>
      <c r="BI1516">
        <v>1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 t="shared" si="826"/>
        <v>14:52:49.126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6</v>
      </c>
      <c r="CP1516" t="s">
        <v>119</v>
      </c>
      <c r="CQ1516">
        <v>293</v>
      </c>
      <c r="CR1516">
        <v>1</v>
      </c>
      <c r="CW1516">
        <v>15288457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25">
      <c r="A1517" t="str">
        <f t="shared" si="824"/>
        <v>06/05/2020 14:52:43.472</v>
      </c>
      <c r="C1517" t="str">
        <f t="shared" si="823"/>
        <v>FFDFD3C0</v>
      </c>
      <c r="D1517" t="s">
        <v>134</v>
      </c>
      <c r="E1517">
        <v>7</v>
      </c>
      <c r="F1517">
        <v>2007</v>
      </c>
      <c r="G1517" t="s">
        <v>135</v>
      </c>
      <c r="J1517" t="s">
        <v>136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825"/>
        <v>14:52:49.125</v>
      </c>
      <c r="T1517" t="str">
        <f t="shared" si="825"/>
        <v>14:52:49.125</v>
      </c>
      <c r="U1517" t="str">
        <f t="shared" si="805"/>
        <v>ACC530</v>
      </c>
      <c r="V1517">
        <v>0</v>
      </c>
      <c r="W1517">
        <v>0</v>
      </c>
      <c r="X1517">
        <v>1</v>
      </c>
      <c r="Z1517">
        <v>0</v>
      </c>
      <c r="AA1517">
        <v>9</v>
      </c>
      <c r="AB1517">
        <v>3</v>
      </c>
      <c r="AC1517">
        <v>0</v>
      </c>
      <c r="AD1517">
        <v>9</v>
      </c>
      <c r="AE1517">
        <v>0</v>
      </c>
      <c r="AF1517">
        <v>3</v>
      </c>
      <c r="AG1517">
        <v>1</v>
      </c>
      <c r="AH1517">
        <v>0</v>
      </c>
      <c r="AI1517" t="s">
        <v>599</v>
      </c>
      <c r="AJ1517">
        <v>34.196770000000001</v>
      </c>
      <c r="AK1517" t="s">
        <v>600</v>
      </c>
      <c r="AL1517">
        <v>-116.982358</v>
      </c>
      <c r="AM1517">
        <v>100</v>
      </c>
      <c r="AN1517">
        <v>8800</v>
      </c>
      <c r="AO1517" t="s">
        <v>118</v>
      </c>
      <c r="AP1517">
        <v>-105</v>
      </c>
      <c r="AQ1517">
        <v>-64</v>
      </c>
      <c r="AR1517">
        <v>-1024</v>
      </c>
      <c r="AZ1517">
        <v>1200</v>
      </c>
      <c r="BA1517">
        <v>1</v>
      </c>
      <c r="BB1517" t="str">
        <f t="shared" si="809"/>
        <v xml:space="preserve">N9217B  </v>
      </c>
      <c r="BC1517">
        <v>1</v>
      </c>
      <c r="BE1517">
        <v>0</v>
      </c>
      <c r="BF1517">
        <v>0</v>
      </c>
      <c r="BG1517">
        <v>0</v>
      </c>
      <c r="BH1517">
        <v>8800</v>
      </c>
      <c r="BI1517">
        <v>1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 t="shared" si="826"/>
        <v>14:52:49.126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6</v>
      </c>
      <c r="CP1517" t="s">
        <v>119</v>
      </c>
      <c r="CQ1517">
        <v>293</v>
      </c>
      <c r="CR1517">
        <v>1</v>
      </c>
      <c r="CW1517">
        <v>15288457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25">
      <c r="A1518" t="str">
        <f t="shared" ref="A1518:A1524" si="827">"06/05/2020 14:52:44.430"</f>
        <v>06/05/2020 14:52:44.430</v>
      </c>
      <c r="C1518" t="str">
        <f t="shared" si="823"/>
        <v>FFDFD3C0</v>
      </c>
      <c r="D1518" t="s">
        <v>113</v>
      </c>
      <c r="E1518">
        <v>3</v>
      </c>
      <c r="H1518">
        <v>166</v>
      </c>
      <c r="I1518" t="s">
        <v>114</v>
      </c>
      <c r="J1518" t="s">
        <v>115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ref="S1518:T1524" si="828">"14:52:50.078"</f>
        <v>14:52:50.078</v>
      </c>
      <c r="T1518" t="str">
        <f t="shared" si="828"/>
        <v>14:52:50.078</v>
      </c>
      <c r="U1518" t="str">
        <f t="shared" si="805"/>
        <v>ACC530</v>
      </c>
      <c r="V1518">
        <v>0</v>
      </c>
      <c r="W1518">
        <v>0</v>
      </c>
      <c r="X1518">
        <v>1</v>
      </c>
      <c r="Z1518">
        <v>0</v>
      </c>
      <c r="AA1518">
        <v>9</v>
      </c>
      <c r="AB1518">
        <v>3</v>
      </c>
      <c r="AC1518">
        <v>0</v>
      </c>
      <c r="AD1518">
        <v>9</v>
      </c>
      <c r="AE1518">
        <v>0</v>
      </c>
      <c r="AF1518">
        <v>3</v>
      </c>
      <c r="AG1518">
        <v>1</v>
      </c>
      <c r="AH1518">
        <v>0</v>
      </c>
      <c r="AI1518" t="s">
        <v>601</v>
      </c>
      <c r="AJ1518">
        <v>34.196513000000003</v>
      </c>
      <c r="AK1518" t="s">
        <v>602</v>
      </c>
      <c r="AL1518">
        <v>-116.98293700000001</v>
      </c>
      <c r="AM1518">
        <v>100</v>
      </c>
      <c r="AN1518">
        <v>8800</v>
      </c>
      <c r="AO1518" t="s">
        <v>118</v>
      </c>
      <c r="AP1518">
        <v>-105</v>
      </c>
      <c r="AQ1518">
        <v>-64</v>
      </c>
      <c r="AR1518">
        <v>-1024</v>
      </c>
      <c r="AZ1518">
        <v>1200</v>
      </c>
      <c r="BA1518">
        <v>1</v>
      </c>
      <c r="BB1518" t="str">
        <f t="shared" si="809"/>
        <v xml:space="preserve">N9217B  </v>
      </c>
      <c r="BC1518">
        <v>1</v>
      </c>
      <c r="BE1518">
        <v>0</v>
      </c>
      <c r="BF1518">
        <v>0</v>
      </c>
      <c r="BG1518">
        <v>0</v>
      </c>
      <c r="BH1518">
        <v>8800</v>
      </c>
      <c r="BI1518">
        <v>1</v>
      </c>
      <c r="BJ1518">
        <v>0</v>
      </c>
      <c r="BK1518">
        <v>0</v>
      </c>
      <c r="BL1518">
        <v>0</v>
      </c>
      <c r="BO1518">
        <v>0</v>
      </c>
      <c r="BP1518">
        <v>0</v>
      </c>
      <c r="BW1518" t="str">
        <f t="shared" ref="BW1518:BW1524" si="829">"14:52:50.085"</f>
        <v>14:52:50.085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293</v>
      </c>
      <c r="CR1518">
        <v>1</v>
      </c>
      <c r="CW1518">
        <v>15288574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25">
      <c r="A1519" t="str">
        <f t="shared" si="827"/>
        <v>06/05/2020 14:52:44.430</v>
      </c>
      <c r="C1519" t="str">
        <f t="shared" si="823"/>
        <v>FFDFD3C0</v>
      </c>
      <c r="D1519" t="s">
        <v>141</v>
      </c>
      <c r="E1519">
        <v>20</v>
      </c>
      <c r="F1519">
        <v>1020</v>
      </c>
      <c r="G1519" t="s">
        <v>114</v>
      </c>
      <c r="J1519" t="s">
        <v>142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828"/>
        <v>14:52:50.078</v>
      </c>
      <c r="T1519" t="str">
        <f t="shared" si="828"/>
        <v>14:52:50.078</v>
      </c>
      <c r="U1519" t="str">
        <f t="shared" si="805"/>
        <v>ACC530</v>
      </c>
      <c r="V1519">
        <v>0</v>
      </c>
      <c r="W1519">
        <v>0</v>
      </c>
      <c r="X1519">
        <v>1</v>
      </c>
      <c r="Z1519">
        <v>0</v>
      </c>
      <c r="AA1519">
        <v>9</v>
      </c>
      <c r="AB1519">
        <v>3</v>
      </c>
      <c r="AC1519">
        <v>0</v>
      </c>
      <c r="AD1519">
        <v>9</v>
      </c>
      <c r="AE1519">
        <v>0</v>
      </c>
      <c r="AF1519">
        <v>3</v>
      </c>
      <c r="AG1519">
        <v>1</v>
      </c>
      <c r="AH1519">
        <v>0</v>
      </c>
      <c r="AI1519" t="s">
        <v>601</v>
      </c>
      <c r="AJ1519">
        <v>34.196513000000003</v>
      </c>
      <c r="AK1519" t="s">
        <v>602</v>
      </c>
      <c r="AL1519">
        <v>-116.98293700000001</v>
      </c>
      <c r="AM1519">
        <v>100</v>
      </c>
      <c r="AN1519">
        <v>8800</v>
      </c>
      <c r="AO1519" t="s">
        <v>118</v>
      </c>
      <c r="AP1519">
        <v>-105</v>
      </c>
      <c r="AQ1519">
        <v>-64</v>
      </c>
      <c r="AR1519">
        <v>-1024</v>
      </c>
      <c r="AZ1519">
        <v>1200</v>
      </c>
      <c r="BA1519">
        <v>1</v>
      </c>
      <c r="BB1519" t="str">
        <f t="shared" si="809"/>
        <v xml:space="preserve">N9217B  </v>
      </c>
      <c r="BC1519">
        <v>1</v>
      </c>
      <c r="BE1519">
        <v>0</v>
      </c>
      <c r="BF1519">
        <v>0</v>
      </c>
      <c r="BG1519">
        <v>0</v>
      </c>
      <c r="BH1519">
        <v>8800</v>
      </c>
      <c r="BI1519">
        <v>1</v>
      </c>
      <c r="BJ1519">
        <v>0</v>
      </c>
      <c r="BK1519">
        <v>0</v>
      </c>
      <c r="BL1519">
        <v>0</v>
      </c>
      <c r="BO1519">
        <v>0</v>
      </c>
      <c r="BP1519">
        <v>0</v>
      </c>
      <c r="BW1519" t="str">
        <f t="shared" si="829"/>
        <v>14:52:50.085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293</v>
      </c>
      <c r="CR1519">
        <v>1</v>
      </c>
      <c r="CW1519">
        <v>15288574</v>
      </c>
      <c r="CY1519">
        <v>0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25">
      <c r="A1520" t="str">
        <f t="shared" si="827"/>
        <v>06/05/2020 14:52:44.430</v>
      </c>
      <c r="C1520" t="str">
        <f t="shared" si="823"/>
        <v>FFDFD3C0</v>
      </c>
      <c r="D1520" t="s">
        <v>151</v>
      </c>
      <c r="E1520">
        <v>8</v>
      </c>
      <c r="H1520">
        <v>225</v>
      </c>
      <c r="I1520" t="s">
        <v>353</v>
      </c>
      <c r="J1520" t="s">
        <v>150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828"/>
        <v>14:52:50.078</v>
      </c>
      <c r="T1520" t="str">
        <f t="shared" si="828"/>
        <v>14:52:50.078</v>
      </c>
      <c r="U1520" t="str">
        <f t="shared" si="805"/>
        <v>ACC530</v>
      </c>
      <c r="V1520">
        <v>0</v>
      </c>
      <c r="W1520">
        <v>0</v>
      </c>
      <c r="X1520">
        <v>1</v>
      </c>
      <c r="Z1520">
        <v>0</v>
      </c>
      <c r="AA1520">
        <v>9</v>
      </c>
      <c r="AB1520">
        <v>3</v>
      </c>
      <c r="AC1520">
        <v>0</v>
      </c>
      <c r="AD1520">
        <v>9</v>
      </c>
      <c r="AE1520">
        <v>0</v>
      </c>
      <c r="AF1520">
        <v>3</v>
      </c>
      <c r="AG1520">
        <v>1</v>
      </c>
      <c r="AH1520">
        <v>0</v>
      </c>
      <c r="AI1520" t="s">
        <v>601</v>
      </c>
      <c r="AJ1520">
        <v>34.196513000000003</v>
      </c>
      <c r="AK1520" t="s">
        <v>602</v>
      </c>
      <c r="AL1520">
        <v>-116.98293700000001</v>
      </c>
      <c r="AM1520">
        <v>100</v>
      </c>
      <c r="AN1520">
        <v>8800</v>
      </c>
      <c r="AO1520" t="s">
        <v>118</v>
      </c>
      <c r="AP1520">
        <v>-105</v>
      </c>
      <c r="AQ1520">
        <v>-64</v>
      </c>
      <c r="AR1520">
        <v>-1024</v>
      </c>
      <c r="AZ1520">
        <v>1200</v>
      </c>
      <c r="BA1520">
        <v>1</v>
      </c>
      <c r="BB1520" t="str">
        <f t="shared" si="809"/>
        <v xml:space="preserve">N9217B  </v>
      </c>
      <c r="BC1520">
        <v>1</v>
      </c>
      <c r="BE1520">
        <v>0</v>
      </c>
      <c r="BF1520">
        <v>0</v>
      </c>
      <c r="BG1520">
        <v>0</v>
      </c>
      <c r="BH1520">
        <v>8800</v>
      </c>
      <c r="BI1520">
        <v>1</v>
      </c>
      <c r="BJ1520">
        <v>0</v>
      </c>
      <c r="BK1520">
        <v>0</v>
      </c>
      <c r="BL1520">
        <v>0</v>
      </c>
      <c r="BO1520">
        <v>0</v>
      </c>
      <c r="BP1520">
        <v>0</v>
      </c>
      <c r="BW1520" t="str">
        <f t="shared" si="829"/>
        <v>14:52:50.085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5</v>
      </c>
      <c r="CP1520" t="s">
        <v>119</v>
      </c>
      <c r="CQ1520">
        <v>285</v>
      </c>
      <c r="CR1520">
        <v>0</v>
      </c>
      <c r="CW1520">
        <v>8854293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25">
      <c r="A1521" t="str">
        <f t="shared" si="827"/>
        <v>06/05/2020 14:52:44.430</v>
      </c>
      <c r="C1521" t="str">
        <f t="shared" si="823"/>
        <v>FFDFD3C0</v>
      </c>
      <c r="D1521" t="s">
        <v>148</v>
      </c>
      <c r="E1521">
        <v>11</v>
      </c>
      <c r="H1521">
        <v>53</v>
      </c>
      <c r="I1521" t="s">
        <v>364</v>
      </c>
      <c r="J1521" t="s">
        <v>150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828"/>
        <v>14:52:50.078</v>
      </c>
      <c r="T1521" t="str">
        <f t="shared" si="828"/>
        <v>14:52:50.078</v>
      </c>
      <c r="U1521" t="str">
        <f t="shared" si="805"/>
        <v>ACC530</v>
      </c>
      <c r="V1521">
        <v>0</v>
      </c>
      <c r="W1521">
        <v>0</v>
      </c>
      <c r="X1521">
        <v>1</v>
      </c>
      <c r="Z1521">
        <v>0</v>
      </c>
      <c r="AA1521">
        <v>9</v>
      </c>
      <c r="AB1521">
        <v>3</v>
      </c>
      <c r="AC1521">
        <v>0</v>
      </c>
      <c r="AD1521">
        <v>9</v>
      </c>
      <c r="AE1521">
        <v>0</v>
      </c>
      <c r="AF1521">
        <v>3</v>
      </c>
      <c r="AG1521">
        <v>1</v>
      </c>
      <c r="AH1521">
        <v>0</v>
      </c>
      <c r="AI1521" t="s">
        <v>601</v>
      </c>
      <c r="AJ1521">
        <v>34.196513000000003</v>
      </c>
      <c r="AK1521" t="s">
        <v>602</v>
      </c>
      <c r="AL1521">
        <v>-116.98293700000001</v>
      </c>
      <c r="AM1521">
        <v>100</v>
      </c>
      <c r="AN1521">
        <v>8800</v>
      </c>
      <c r="AO1521" t="s">
        <v>118</v>
      </c>
      <c r="AP1521">
        <v>-105</v>
      </c>
      <c r="AQ1521">
        <v>-64</v>
      </c>
      <c r="AR1521">
        <v>-1024</v>
      </c>
      <c r="AZ1521">
        <v>1200</v>
      </c>
      <c r="BA1521">
        <v>1</v>
      </c>
      <c r="BB1521" t="str">
        <f t="shared" si="809"/>
        <v xml:space="preserve">N9217B  </v>
      </c>
      <c r="BC1521">
        <v>1</v>
      </c>
      <c r="BE1521">
        <v>0</v>
      </c>
      <c r="BF1521">
        <v>0</v>
      </c>
      <c r="BG1521">
        <v>0</v>
      </c>
      <c r="BH1521">
        <v>8800</v>
      </c>
      <c r="BI1521">
        <v>1</v>
      </c>
      <c r="BJ1521">
        <v>0</v>
      </c>
      <c r="BK1521">
        <v>0</v>
      </c>
      <c r="BL1521">
        <v>0</v>
      </c>
      <c r="BO1521">
        <v>0</v>
      </c>
      <c r="BP1521">
        <v>0</v>
      </c>
      <c r="BW1521" t="str">
        <f t="shared" si="829"/>
        <v>14:52:50.085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293</v>
      </c>
      <c r="CR1521">
        <v>1</v>
      </c>
      <c r="CW1521">
        <v>15288574</v>
      </c>
      <c r="CY1521">
        <v>0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25">
      <c r="A1522" t="str">
        <f t="shared" si="827"/>
        <v>06/05/2020 14:52:44.430</v>
      </c>
      <c r="C1522" t="str">
        <f t="shared" si="823"/>
        <v>FFDFD3C0</v>
      </c>
      <c r="D1522" t="s">
        <v>151</v>
      </c>
      <c r="E1522">
        <v>9</v>
      </c>
      <c r="H1522">
        <v>226</v>
      </c>
      <c r="I1522" t="s">
        <v>152</v>
      </c>
      <c r="J1522" t="s">
        <v>150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828"/>
        <v>14:52:50.078</v>
      </c>
      <c r="T1522" t="str">
        <f t="shared" si="828"/>
        <v>14:52:50.078</v>
      </c>
      <c r="U1522" t="str">
        <f t="shared" si="805"/>
        <v>ACC530</v>
      </c>
      <c r="V1522">
        <v>0</v>
      </c>
      <c r="W1522">
        <v>0</v>
      </c>
      <c r="X1522">
        <v>1</v>
      </c>
      <c r="Z1522">
        <v>0</v>
      </c>
      <c r="AA1522">
        <v>9</v>
      </c>
      <c r="AB1522">
        <v>3</v>
      </c>
      <c r="AC1522">
        <v>0</v>
      </c>
      <c r="AD1522">
        <v>9</v>
      </c>
      <c r="AE1522">
        <v>0</v>
      </c>
      <c r="AF1522">
        <v>3</v>
      </c>
      <c r="AG1522">
        <v>1</v>
      </c>
      <c r="AH1522">
        <v>0</v>
      </c>
      <c r="AI1522" t="s">
        <v>601</v>
      </c>
      <c r="AJ1522">
        <v>34.196513000000003</v>
      </c>
      <c r="AK1522" t="s">
        <v>602</v>
      </c>
      <c r="AL1522">
        <v>-116.98293700000001</v>
      </c>
      <c r="AM1522">
        <v>100</v>
      </c>
      <c r="AN1522">
        <v>8800</v>
      </c>
      <c r="AO1522" t="s">
        <v>118</v>
      </c>
      <c r="AP1522">
        <v>-105</v>
      </c>
      <c r="AQ1522">
        <v>-64</v>
      </c>
      <c r="AR1522">
        <v>-1024</v>
      </c>
      <c r="AZ1522">
        <v>1200</v>
      </c>
      <c r="BA1522">
        <v>1</v>
      </c>
      <c r="BB1522" t="str">
        <f t="shared" si="809"/>
        <v xml:space="preserve">N9217B  </v>
      </c>
      <c r="BC1522">
        <v>1</v>
      </c>
      <c r="BE1522">
        <v>0</v>
      </c>
      <c r="BF1522">
        <v>0</v>
      </c>
      <c r="BG1522">
        <v>0</v>
      </c>
      <c r="BH1522">
        <v>8800</v>
      </c>
      <c r="BI1522">
        <v>1</v>
      </c>
      <c r="BJ1522">
        <v>0</v>
      </c>
      <c r="BK1522">
        <v>0</v>
      </c>
      <c r="BL1522">
        <v>0</v>
      </c>
      <c r="BO1522">
        <v>0</v>
      </c>
      <c r="BP1522">
        <v>0</v>
      </c>
      <c r="BW1522" t="str">
        <f t="shared" si="829"/>
        <v>14:52:50.085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6</v>
      </c>
      <c r="CP1522" t="s">
        <v>119</v>
      </c>
      <c r="CQ1522">
        <v>293</v>
      </c>
      <c r="CR1522">
        <v>1</v>
      </c>
      <c r="CW1522">
        <v>15288574</v>
      </c>
      <c r="CY1522">
        <v>0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25">
      <c r="A1523" t="str">
        <f t="shared" si="827"/>
        <v>06/05/2020 14:52:44.430</v>
      </c>
      <c r="C1523" t="str">
        <f t="shared" si="823"/>
        <v>FFDFD3C0</v>
      </c>
      <c r="D1523" t="s">
        <v>148</v>
      </c>
      <c r="E1523">
        <v>8</v>
      </c>
      <c r="H1523">
        <v>50</v>
      </c>
      <c r="I1523" t="s">
        <v>149</v>
      </c>
      <c r="J1523" t="s">
        <v>150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828"/>
        <v>14:52:50.078</v>
      </c>
      <c r="T1523" t="str">
        <f t="shared" si="828"/>
        <v>14:52:50.078</v>
      </c>
      <c r="U1523" t="str">
        <f t="shared" si="805"/>
        <v>ACC530</v>
      </c>
      <c r="V1523">
        <v>0</v>
      </c>
      <c r="W1523">
        <v>0</v>
      </c>
      <c r="X1523">
        <v>1</v>
      </c>
      <c r="Z1523">
        <v>0</v>
      </c>
      <c r="AA1523">
        <v>9</v>
      </c>
      <c r="AB1523">
        <v>3</v>
      </c>
      <c r="AC1523">
        <v>0</v>
      </c>
      <c r="AD1523">
        <v>9</v>
      </c>
      <c r="AE1523">
        <v>0</v>
      </c>
      <c r="AF1523">
        <v>3</v>
      </c>
      <c r="AG1523">
        <v>1</v>
      </c>
      <c r="AH1523">
        <v>0</v>
      </c>
      <c r="AI1523" t="s">
        <v>601</v>
      </c>
      <c r="AJ1523">
        <v>34.196513000000003</v>
      </c>
      <c r="AK1523" t="s">
        <v>602</v>
      </c>
      <c r="AL1523">
        <v>-116.98293700000001</v>
      </c>
      <c r="AM1523">
        <v>100</v>
      </c>
      <c r="AN1523">
        <v>8800</v>
      </c>
      <c r="AO1523" t="s">
        <v>118</v>
      </c>
      <c r="AP1523">
        <v>-105</v>
      </c>
      <c r="AQ1523">
        <v>-64</v>
      </c>
      <c r="AR1523">
        <v>-1024</v>
      </c>
      <c r="AZ1523">
        <v>1200</v>
      </c>
      <c r="BA1523">
        <v>1</v>
      </c>
      <c r="BB1523" t="str">
        <f t="shared" si="809"/>
        <v xml:space="preserve">N9217B  </v>
      </c>
      <c r="BC1523">
        <v>1</v>
      </c>
      <c r="BE1523">
        <v>0</v>
      </c>
      <c r="BF1523">
        <v>0</v>
      </c>
      <c r="BG1523">
        <v>0</v>
      </c>
      <c r="BH1523">
        <v>8800</v>
      </c>
      <c r="BI1523">
        <v>1</v>
      </c>
      <c r="BJ1523">
        <v>0</v>
      </c>
      <c r="BK1523">
        <v>0</v>
      </c>
      <c r="BL1523">
        <v>0</v>
      </c>
      <c r="BO1523">
        <v>0</v>
      </c>
      <c r="BP1523">
        <v>0</v>
      </c>
      <c r="BW1523" t="str">
        <f t="shared" si="829"/>
        <v>14:52:50.085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293</v>
      </c>
      <c r="CR1523">
        <v>1</v>
      </c>
      <c r="CW1523">
        <v>15288574</v>
      </c>
      <c r="CY1523">
        <v>0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25">
      <c r="A1524" t="str">
        <f t="shared" si="827"/>
        <v>06/05/2020 14:52:44.430</v>
      </c>
      <c r="C1524" t="str">
        <f t="shared" si="823"/>
        <v>FFDFD3C0</v>
      </c>
      <c r="D1524" t="s">
        <v>134</v>
      </c>
      <c r="E1524">
        <v>7</v>
      </c>
      <c r="F1524">
        <v>2007</v>
      </c>
      <c r="G1524" t="s">
        <v>135</v>
      </c>
      <c r="J1524" t="s">
        <v>136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828"/>
        <v>14:52:50.078</v>
      </c>
      <c r="T1524" t="str">
        <f t="shared" si="828"/>
        <v>14:52:50.078</v>
      </c>
      <c r="U1524" t="str">
        <f t="shared" si="805"/>
        <v>ACC530</v>
      </c>
      <c r="V1524">
        <v>0</v>
      </c>
      <c r="W1524">
        <v>0</v>
      </c>
      <c r="X1524">
        <v>1</v>
      </c>
      <c r="Z1524">
        <v>0</v>
      </c>
      <c r="AA1524">
        <v>9</v>
      </c>
      <c r="AB1524">
        <v>3</v>
      </c>
      <c r="AC1524">
        <v>0</v>
      </c>
      <c r="AD1524">
        <v>9</v>
      </c>
      <c r="AE1524">
        <v>0</v>
      </c>
      <c r="AF1524">
        <v>3</v>
      </c>
      <c r="AG1524">
        <v>1</v>
      </c>
      <c r="AH1524">
        <v>0</v>
      </c>
      <c r="AI1524" t="s">
        <v>601</v>
      </c>
      <c r="AJ1524">
        <v>34.196513000000003</v>
      </c>
      <c r="AK1524" t="s">
        <v>602</v>
      </c>
      <c r="AL1524">
        <v>-116.98293700000001</v>
      </c>
      <c r="AM1524">
        <v>100</v>
      </c>
      <c r="AN1524">
        <v>8800</v>
      </c>
      <c r="AO1524" t="s">
        <v>118</v>
      </c>
      <c r="AP1524">
        <v>-105</v>
      </c>
      <c r="AQ1524">
        <v>-64</v>
      </c>
      <c r="AR1524">
        <v>-1024</v>
      </c>
      <c r="AZ1524">
        <v>1200</v>
      </c>
      <c r="BA1524">
        <v>1</v>
      </c>
      <c r="BB1524" t="str">
        <f t="shared" si="809"/>
        <v xml:space="preserve">N9217B  </v>
      </c>
      <c r="BC1524">
        <v>1</v>
      </c>
      <c r="BE1524">
        <v>0</v>
      </c>
      <c r="BF1524">
        <v>0</v>
      </c>
      <c r="BG1524">
        <v>0</v>
      </c>
      <c r="BH1524">
        <v>8800</v>
      </c>
      <c r="BI1524">
        <v>1</v>
      </c>
      <c r="BJ1524">
        <v>0</v>
      </c>
      <c r="BK1524">
        <v>0</v>
      </c>
      <c r="BL1524">
        <v>0</v>
      </c>
      <c r="BO1524">
        <v>0</v>
      </c>
      <c r="BP1524">
        <v>0</v>
      </c>
      <c r="BW1524" t="str">
        <f t="shared" si="829"/>
        <v>14:52:50.085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293</v>
      </c>
      <c r="CR1524">
        <v>1</v>
      </c>
      <c r="CW1524">
        <v>15288574</v>
      </c>
      <c r="CY1524">
        <v>0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25">
      <c r="A1525" t="str">
        <f t="shared" ref="A1525:A1531" si="830">"06/05/2020 14:52:45.489"</f>
        <v>06/05/2020 14:52:45.489</v>
      </c>
      <c r="C1525" t="str">
        <f t="shared" si="823"/>
        <v>FFDFD3C0</v>
      </c>
      <c r="D1525" t="s">
        <v>113</v>
      </c>
      <c r="E1525">
        <v>3</v>
      </c>
      <c r="H1525">
        <v>166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ref="S1525:S1531" si="831">"14:52:51.117"</f>
        <v>14:52:51.117</v>
      </c>
      <c r="T1525" t="str">
        <f t="shared" ref="T1525:T1531" si="832">"14:52:51.017"</f>
        <v>14:52:51.017</v>
      </c>
      <c r="U1525" t="str">
        <f t="shared" si="805"/>
        <v>ACC530</v>
      </c>
      <c r="V1525">
        <v>0</v>
      </c>
      <c r="W1525">
        <v>0</v>
      </c>
      <c r="X1525">
        <v>1</v>
      </c>
      <c r="Z1525">
        <v>0</v>
      </c>
      <c r="AA1525">
        <v>9</v>
      </c>
      <c r="AB1525">
        <v>3</v>
      </c>
      <c r="AC1525">
        <v>0</v>
      </c>
      <c r="AD1525">
        <v>9</v>
      </c>
      <c r="AE1525">
        <v>0</v>
      </c>
      <c r="AF1525">
        <v>3</v>
      </c>
      <c r="AG1525">
        <v>1</v>
      </c>
      <c r="AH1525">
        <v>0</v>
      </c>
      <c r="AI1525" t="s">
        <v>603</v>
      </c>
      <c r="AJ1525">
        <v>34.196148000000001</v>
      </c>
      <c r="AK1525" t="s">
        <v>604</v>
      </c>
      <c r="AL1525">
        <v>-116.98351599999999</v>
      </c>
      <c r="AM1525">
        <v>100</v>
      </c>
      <c r="AN1525">
        <v>8800</v>
      </c>
      <c r="AO1525" t="s">
        <v>118</v>
      </c>
      <c r="AP1525">
        <v>-106</v>
      </c>
      <c r="AQ1525">
        <v>-65</v>
      </c>
      <c r="AR1525">
        <v>-832</v>
      </c>
      <c r="AZ1525">
        <v>1200</v>
      </c>
      <c r="BA1525">
        <v>1</v>
      </c>
      <c r="BB1525" t="str">
        <f t="shared" si="809"/>
        <v xml:space="preserve">N9217B  </v>
      </c>
      <c r="BC1525">
        <v>1</v>
      </c>
      <c r="BE1525">
        <v>0</v>
      </c>
      <c r="BF1525">
        <v>0</v>
      </c>
      <c r="BG1525">
        <v>0</v>
      </c>
      <c r="BH1525">
        <v>8775</v>
      </c>
      <c r="BI1525">
        <v>1</v>
      </c>
      <c r="BJ1525">
        <v>0</v>
      </c>
      <c r="BK1525">
        <v>0</v>
      </c>
      <c r="BL1525">
        <v>0</v>
      </c>
      <c r="BO1525">
        <v>0</v>
      </c>
      <c r="BP1525">
        <v>0</v>
      </c>
      <c r="BW1525" t="str">
        <f t="shared" ref="BW1525:BW1531" si="833">"14:52:51.120"</f>
        <v>14:52:51.120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5</v>
      </c>
      <c r="CP1525" t="s">
        <v>119</v>
      </c>
      <c r="CQ1525">
        <v>293</v>
      </c>
      <c r="CR1525">
        <v>1</v>
      </c>
      <c r="CW1525">
        <v>15288697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25">
      <c r="A1526" t="str">
        <f t="shared" si="830"/>
        <v>06/05/2020 14:52:45.489</v>
      </c>
      <c r="C1526" t="str">
        <f t="shared" si="823"/>
        <v>FFDFD3C0</v>
      </c>
      <c r="D1526" t="s">
        <v>141</v>
      </c>
      <c r="E1526">
        <v>20</v>
      </c>
      <c r="F1526">
        <v>1020</v>
      </c>
      <c r="G1526" t="s">
        <v>114</v>
      </c>
      <c r="J1526" t="s">
        <v>142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831"/>
        <v>14:52:51.117</v>
      </c>
      <c r="T1526" t="str">
        <f t="shared" si="832"/>
        <v>14:52:51.017</v>
      </c>
      <c r="U1526" t="str">
        <f t="shared" si="805"/>
        <v>ACC530</v>
      </c>
      <c r="V1526">
        <v>0</v>
      </c>
      <c r="W1526">
        <v>0</v>
      </c>
      <c r="X1526">
        <v>1</v>
      </c>
      <c r="Z1526">
        <v>0</v>
      </c>
      <c r="AA1526">
        <v>9</v>
      </c>
      <c r="AB1526">
        <v>3</v>
      </c>
      <c r="AC1526">
        <v>0</v>
      </c>
      <c r="AD1526">
        <v>9</v>
      </c>
      <c r="AE1526">
        <v>0</v>
      </c>
      <c r="AF1526">
        <v>3</v>
      </c>
      <c r="AG1526">
        <v>1</v>
      </c>
      <c r="AH1526">
        <v>0</v>
      </c>
      <c r="AI1526" t="s">
        <v>603</v>
      </c>
      <c r="AJ1526">
        <v>34.196148000000001</v>
      </c>
      <c r="AK1526" t="s">
        <v>604</v>
      </c>
      <c r="AL1526">
        <v>-116.98351599999999</v>
      </c>
      <c r="AM1526">
        <v>100</v>
      </c>
      <c r="AN1526">
        <v>8800</v>
      </c>
      <c r="AO1526" t="s">
        <v>118</v>
      </c>
      <c r="AP1526">
        <v>-106</v>
      </c>
      <c r="AQ1526">
        <v>-65</v>
      </c>
      <c r="AR1526">
        <v>-832</v>
      </c>
      <c r="AZ1526">
        <v>1200</v>
      </c>
      <c r="BA1526">
        <v>1</v>
      </c>
      <c r="BB1526" t="str">
        <f t="shared" si="809"/>
        <v xml:space="preserve">N9217B  </v>
      </c>
      <c r="BC1526">
        <v>1</v>
      </c>
      <c r="BE1526">
        <v>0</v>
      </c>
      <c r="BF1526">
        <v>0</v>
      </c>
      <c r="BG1526">
        <v>0</v>
      </c>
      <c r="BH1526">
        <v>8775</v>
      </c>
      <c r="BI1526">
        <v>1</v>
      </c>
      <c r="BJ1526">
        <v>0</v>
      </c>
      <c r="BK1526">
        <v>0</v>
      </c>
      <c r="BL1526">
        <v>0</v>
      </c>
      <c r="BO1526">
        <v>0</v>
      </c>
      <c r="BP1526">
        <v>0</v>
      </c>
      <c r="BW1526" t="str">
        <f t="shared" si="833"/>
        <v>14:52:51.120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5</v>
      </c>
      <c r="CP1526" t="s">
        <v>119</v>
      </c>
      <c r="CQ1526">
        <v>293</v>
      </c>
      <c r="CR1526">
        <v>1</v>
      </c>
      <c r="CW1526">
        <v>15288697</v>
      </c>
      <c r="CY1526">
        <v>0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25">
      <c r="A1527" t="str">
        <f t="shared" si="830"/>
        <v>06/05/2020 14:52:45.489</v>
      </c>
      <c r="C1527" t="str">
        <f t="shared" si="823"/>
        <v>FFDFD3C0</v>
      </c>
      <c r="D1527" t="s">
        <v>151</v>
      </c>
      <c r="E1527">
        <v>8</v>
      </c>
      <c r="H1527">
        <v>225</v>
      </c>
      <c r="I1527" t="s">
        <v>353</v>
      </c>
      <c r="J1527" t="s">
        <v>150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831"/>
        <v>14:52:51.117</v>
      </c>
      <c r="T1527" t="str">
        <f t="shared" si="832"/>
        <v>14:52:51.017</v>
      </c>
      <c r="U1527" t="str">
        <f t="shared" si="805"/>
        <v>ACC530</v>
      </c>
      <c r="V1527">
        <v>0</v>
      </c>
      <c r="W1527">
        <v>0</v>
      </c>
      <c r="X1527">
        <v>1</v>
      </c>
      <c r="Z1527">
        <v>0</v>
      </c>
      <c r="AA1527">
        <v>9</v>
      </c>
      <c r="AB1527">
        <v>3</v>
      </c>
      <c r="AC1527">
        <v>0</v>
      </c>
      <c r="AD1527">
        <v>9</v>
      </c>
      <c r="AE1527">
        <v>0</v>
      </c>
      <c r="AF1527">
        <v>3</v>
      </c>
      <c r="AG1527">
        <v>1</v>
      </c>
      <c r="AH1527">
        <v>0</v>
      </c>
      <c r="AI1527" t="s">
        <v>603</v>
      </c>
      <c r="AJ1527">
        <v>34.196148000000001</v>
      </c>
      <c r="AK1527" t="s">
        <v>604</v>
      </c>
      <c r="AL1527">
        <v>-116.98351599999999</v>
      </c>
      <c r="AM1527">
        <v>100</v>
      </c>
      <c r="AN1527">
        <v>8800</v>
      </c>
      <c r="AO1527" t="s">
        <v>118</v>
      </c>
      <c r="AP1527">
        <v>-106</v>
      </c>
      <c r="AQ1527">
        <v>-65</v>
      </c>
      <c r="AR1527">
        <v>-832</v>
      </c>
      <c r="AZ1527">
        <v>1200</v>
      </c>
      <c r="BA1527">
        <v>1</v>
      </c>
      <c r="BB1527" t="str">
        <f t="shared" si="809"/>
        <v xml:space="preserve">N9217B  </v>
      </c>
      <c r="BC1527">
        <v>1</v>
      </c>
      <c r="BE1527">
        <v>0</v>
      </c>
      <c r="BF1527">
        <v>0</v>
      </c>
      <c r="BG1527">
        <v>0</v>
      </c>
      <c r="BH1527">
        <v>8775</v>
      </c>
      <c r="BI1527">
        <v>1</v>
      </c>
      <c r="BJ1527">
        <v>0</v>
      </c>
      <c r="BK1527">
        <v>0</v>
      </c>
      <c r="BL1527">
        <v>0</v>
      </c>
      <c r="BO1527">
        <v>0</v>
      </c>
      <c r="BP1527">
        <v>0</v>
      </c>
      <c r="BW1527" t="str">
        <f t="shared" si="833"/>
        <v>14:52:51.120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5</v>
      </c>
      <c r="CP1527" t="s">
        <v>119</v>
      </c>
      <c r="CQ1527">
        <v>285</v>
      </c>
      <c r="CR1527">
        <v>0</v>
      </c>
      <c r="CW1527">
        <v>8854389</v>
      </c>
      <c r="CY1527">
        <v>0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25">
      <c r="A1528" t="str">
        <f t="shared" si="830"/>
        <v>06/05/2020 14:52:45.489</v>
      </c>
      <c r="C1528" t="str">
        <f t="shared" si="823"/>
        <v>FFDFD3C0</v>
      </c>
      <c r="D1528" t="s">
        <v>148</v>
      </c>
      <c r="E1528">
        <v>11</v>
      </c>
      <c r="H1528">
        <v>53</v>
      </c>
      <c r="I1528" t="s">
        <v>364</v>
      </c>
      <c r="J1528" t="s">
        <v>150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831"/>
        <v>14:52:51.117</v>
      </c>
      <c r="T1528" t="str">
        <f t="shared" si="832"/>
        <v>14:52:51.017</v>
      </c>
      <c r="U1528" t="str">
        <f t="shared" si="805"/>
        <v>ACC530</v>
      </c>
      <c r="V1528">
        <v>0</v>
      </c>
      <c r="W1528">
        <v>0</v>
      </c>
      <c r="X1528">
        <v>1</v>
      </c>
      <c r="Z1528">
        <v>0</v>
      </c>
      <c r="AA1528">
        <v>9</v>
      </c>
      <c r="AB1528">
        <v>3</v>
      </c>
      <c r="AC1528">
        <v>0</v>
      </c>
      <c r="AD1528">
        <v>9</v>
      </c>
      <c r="AE1528">
        <v>0</v>
      </c>
      <c r="AF1528">
        <v>3</v>
      </c>
      <c r="AG1528">
        <v>1</v>
      </c>
      <c r="AH1528">
        <v>0</v>
      </c>
      <c r="AI1528" t="s">
        <v>603</v>
      </c>
      <c r="AJ1528">
        <v>34.196148000000001</v>
      </c>
      <c r="AK1528" t="s">
        <v>604</v>
      </c>
      <c r="AL1528">
        <v>-116.98351599999999</v>
      </c>
      <c r="AM1528">
        <v>100</v>
      </c>
      <c r="AN1528">
        <v>8800</v>
      </c>
      <c r="AO1528" t="s">
        <v>118</v>
      </c>
      <c r="AP1528">
        <v>-106</v>
      </c>
      <c r="AQ1528">
        <v>-65</v>
      </c>
      <c r="AR1528">
        <v>-832</v>
      </c>
      <c r="AZ1528">
        <v>1200</v>
      </c>
      <c r="BA1528">
        <v>1</v>
      </c>
      <c r="BB1528" t="str">
        <f t="shared" si="809"/>
        <v xml:space="preserve">N9217B  </v>
      </c>
      <c r="BC1528">
        <v>1</v>
      </c>
      <c r="BE1528">
        <v>0</v>
      </c>
      <c r="BF1528">
        <v>0</v>
      </c>
      <c r="BG1528">
        <v>0</v>
      </c>
      <c r="BH1528">
        <v>8775</v>
      </c>
      <c r="BI1528">
        <v>1</v>
      </c>
      <c r="BJ1528">
        <v>0</v>
      </c>
      <c r="BK1528">
        <v>0</v>
      </c>
      <c r="BL1528">
        <v>0</v>
      </c>
      <c r="BO1528">
        <v>0</v>
      </c>
      <c r="BP1528">
        <v>0</v>
      </c>
      <c r="BW1528" t="str">
        <f t="shared" si="833"/>
        <v>14:52:51.120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5</v>
      </c>
      <c r="CP1528" t="s">
        <v>119</v>
      </c>
      <c r="CQ1528">
        <v>293</v>
      </c>
      <c r="CR1528">
        <v>1</v>
      </c>
      <c r="CW1528">
        <v>15288697</v>
      </c>
      <c r="CY1528">
        <v>0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25">
      <c r="A1529" t="str">
        <f t="shared" si="830"/>
        <v>06/05/2020 14:52:45.489</v>
      </c>
      <c r="C1529" t="str">
        <f t="shared" si="823"/>
        <v>FFDFD3C0</v>
      </c>
      <c r="D1529" t="s">
        <v>151</v>
      </c>
      <c r="E1529">
        <v>9</v>
      </c>
      <c r="H1529">
        <v>226</v>
      </c>
      <c r="I1529" t="s">
        <v>152</v>
      </c>
      <c r="J1529" t="s">
        <v>150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831"/>
        <v>14:52:51.117</v>
      </c>
      <c r="T1529" t="str">
        <f t="shared" si="832"/>
        <v>14:52:51.017</v>
      </c>
      <c r="U1529" t="str">
        <f t="shared" si="805"/>
        <v>ACC530</v>
      </c>
      <c r="V1529">
        <v>0</v>
      </c>
      <c r="W1529">
        <v>0</v>
      </c>
      <c r="X1529">
        <v>1</v>
      </c>
      <c r="Z1529">
        <v>0</v>
      </c>
      <c r="AA1529">
        <v>9</v>
      </c>
      <c r="AB1529">
        <v>3</v>
      </c>
      <c r="AC1529">
        <v>0</v>
      </c>
      <c r="AD1529">
        <v>9</v>
      </c>
      <c r="AE1529">
        <v>0</v>
      </c>
      <c r="AF1529">
        <v>3</v>
      </c>
      <c r="AG1529">
        <v>1</v>
      </c>
      <c r="AH1529">
        <v>0</v>
      </c>
      <c r="AI1529" t="s">
        <v>603</v>
      </c>
      <c r="AJ1529">
        <v>34.196148000000001</v>
      </c>
      <c r="AK1529" t="s">
        <v>604</v>
      </c>
      <c r="AL1529">
        <v>-116.98351599999999</v>
      </c>
      <c r="AM1529">
        <v>100</v>
      </c>
      <c r="AN1529">
        <v>8800</v>
      </c>
      <c r="AO1529" t="s">
        <v>118</v>
      </c>
      <c r="AP1529">
        <v>-106</v>
      </c>
      <c r="AQ1529">
        <v>-65</v>
      </c>
      <c r="AR1529">
        <v>-832</v>
      </c>
      <c r="AZ1529">
        <v>1200</v>
      </c>
      <c r="BA1529">
        <v>1</v>
      </c>
      <c r="BB1529" t="str">
        <f t="shared" si="809"/>
        <v xml:space="preserve">N9217B  </v>
      </c>
      <c r="BC1529">
        <v>1</v>
      </c>
      <c r="BE1529">
        <v>0</v>
      </c>
      <c r="BF1529">
        <v>0</v>
      </c>
      <c r="BG1529">
        <v>0</v>
      </c>
      <c r="BH1529">
        <v>8775</v>
      </c>
      <c r="BI1529">
        <v>1</v>
      </c>
      <c r="BJ1529">
        <v>0</v>
      </c>
      <c r="BK1529">
        <v>0</v>
      </c>
      <c r="BL1529">
        <v>0</v>
      </c>
      <c r="BO1529">
        <v>0</v>
      </c>
      <c r="BP1529">
        <v>0</v>
      </c>
      <c r="BW1529" t="str">
        <f t="shared" si="833"/>
        <v>14:52:51.120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5</v>
      </c>
      <c r="CP1529" t="s">
        <v>119</v>
      </c>
      <c r="CQ1529">
        <v>293</v>
      </c>
      <c r="CR1529">
        <v>1</v>
      </c>
      <c r="CW1529">
        <v>15288697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25">
      <c r="A1530" t="str">
        <f t="shared" si="830"/>
        <v>06/05/2020 14:52:45.489</v>
      </c>
      <c r="C1530" t="str">
        <f t="shared" si="823"/>
        <v>FFDFD3C0</v>
      </c>
      <c r="D1530" t="s">
        <v>148</v>
      </c>
      <c r="E1530">
        <v>8</v>
      </c>
      <c r="H1530">
        <v>50</v>
      </c>
      <c r="I1530" t="s">
        <v>149</v>
      </c>
      <c r="J1530" t="s">
        <v>150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831"/>
        <v>14:52:51.117</v>
      </c>
      <c r="T1530" t="str">
        <f t="shared" si="832"/>
        <v>14:52:51.017</v>
      </c>
      <c r="U1530" t="str">
        <f t="shared" si="805"/>
        <v>ACC530</v>
      </c>
      <c r="V1530">
        <v>0</v>
      </c>
      <c r="W1530">
        <v>0</v>
      </c>
      <c r="X1530">
        <v>1</v>
      </c>
      <c r="Z1530">
        <v>0</v>
      </c>
      <c r="AA1530">
        <v>9</v>
      </c>
      <c r="AB1530">
        <v>3</v>
      </c>
      <c r="AC1530">
        <v>0</v>
      </c>
      <c r="AD1530">
        <v>9</v>
      </c>
      <c r="AE1530">
        <v>0</v>
      </c>
      <c r="AF1530">
        <v>3</v>
      </c>
      <c r="AG1530">
        <v>1</v>
      </c>
      <c r="AH1530">
        <v>0</v>
      </c>
      <c r="AI1530" t="s">
        <v>603</v>
      </c>
      <c r="AJ1530">
        <v>34.196148000000001</v>
      </c>
      <c r="AK1530" t="s">
        <v>604</v>
      </c>
      <c r="AL1530">
        <v>-116.98351599999999</v>
      </c>
      <c r="AM1530">
        <v>100</v>
      </c>
      <c r="AN1530">
        <v>8800</v>
      </c>
      <c r="AO1530" t="s">
        <v>118</v>
      </c>
      <c r="AP1530">
        <v>-106</v>
      </c>
      <c r="AQ1530">
        <v>-65</v>
      </c>
      <c r="AR1530">
        <v>-832</v>
      </c>
      <c r="AZ1530">
        <v>1200</v>
      </c>
      <c r="BA1530">
        <v>1</v>
      </c>
      <c r="BB1530" t="str">
        <f t="shared" si="809"/>
        <v xml:space="preserve">N9217B  </v>
      </c>
      <c r="BC1530">
        <v>1</v>
      </c>
      <c r="BE1530">
        <v>0</v>
      </c>
      <c r="BF1530">
        <v>0</v>
      </c>
      <c r="BG1530">
        <v>0</v>
      </c>
      <c r="BH1530">
        <v>8775</v>
      </c>
      <c r="BI1530">
        <v>1</v>
      </c>
      <c r="BJ1530">
        <v>0</v>
      </c>
      <c r="BK1530">
        <v>0</v>
      </c>
      <c r="BL1530">
        <v>0</v>
      </c>
      <c r="BO1530">
        <v>0</v>
      </c>
      <c r="BP1530">
        <v>0</v>
      </c>
      <c r="BW1530" t="str">
        <f t="shared" si="833"/>
        <v>14:52:51.120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5</v>
      </c>
      <c r="CP1530" t="s">
        <v>119</v>
      </c>
      <c r="CQ1530">
        <v>293</v>
      </c>
      <c r="CR1530">
        <v>1</v>
      </c>
      <c r="CW1530">
        <v>15288697</v>
      </c>
      <c r="CY1530">
        <v>0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25">
      <c r="A1531" t="str">
        <f t="shared" si="830"/>
        <v>06/05/2020 14:52:45.489</v>
      </c>
      <c r="C1531" t="str">
        <f t="shared" si="823"/>
        <v>FFDFD3C0</v>
      </c>
      <c r="D1531" t="s">
        <v>134</v>
      </c>
      <c r="E1531">
        <v>7</v>
      </c>
      <c r="F1531">
        <v>2007</v>
      </c>
      <c r="G1531" t="s">
        <v>135</v>
      </c>
      <c r="J1531" t="s">
        <v>136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831"/>
        <v>14:52:51.117</v>
      </c>
      <c r="T1531" t="str">
        <f t="shared" si="832"/>
        <v>14:52:51.017</v>
      </c>
      <c r="U1531" t="str">
        <f t="shared" si="805"/>
        <v>ACC530</v>
      </c>
      <c r="V1531">
        <v>0</v>
      </c>
      <c r="W1531">
        <v>0</v>
      </c>
      <c r="X1531">
        <v>1</v>
      </c>
      <c r="Z1531">
        <v>0</v>
      </c>
      <c r="AA1531">
        <v>9</v>
      </c>
      <c r="AB1531">
        <v>3</v>
      </c>
      <c r="AC1531">
        <v>0</v>
      </c>
      <c r="AD1531">
        <v>9</v>
      </c>
      <c r="AE1531">
        <v>0</v>
      </c>
      <c r="AF1531">
        <v>3</v>
      </c>
      <c r="AG1531">
        <v>1</v>
      </c>
      <c r="AH1531">
        <v>0</v>
      </c>
      <c r="AI1531" t="s">
        <v>603</v>
      </c>
      <c r="AJ1531">
        <v>34.196148000000001</v>
      </c>
      <c r="AK1531" t="s">
        <v>604</v>
      </c>
      <c r="AL1531">
        <v>-116.98351599999999</v>
      </c>
      <c r="AM1531">
        <v>100</v>
      </c>
      <c r="AN1531">
        <v>8800</v>
      </c>
      <c r="AO1531" t="s">
        <v>118</v>
      </c>
      <c r="AP1531">
        <v>-106</v>
      </c>
      <c r="AQ1531">
        <v>-65</v>
      </c>
      <c r="AR1531">
        <v>-832</v>
      </c>
      <c r="AZ1531">
        <v>1200</v>
      </c>
      <c r="BA1531">
        <v>1</v>
      </c>
      <c r="BB1531" t="str">
        <f t="shared" si="809"/>
        <v xml:space="preserve">N9217B  </v>
      </c>
      <c r="BC1531">
        <v>1</v>
      </c>
      <c r="BE1531">
        <v>0</v>
      </c>
      <c r="BF1531">
        <v>0</v>
      </c>
      <c r="BG1531">
        <v>0</v>
      </c>
      <c r="BH1531">
        <v>8775</v>
      </c>
      <c r="BI1531">
        <v>1</v>
      </c>
      <c r="BJ1531">
        <v>0</v>
      </c>
      <c r="BK1531">
        <v>0</v>
      </c>
      <c r="BL1531">
        <v>0</v>
      </c>
      <c r="BO1531">
        <v>0</v>
      </c>
      <c r="BP1531">
        <v>0</v>
      </c>
      <c r="BW1531" t="str">
        <f t="shared" si="833"/>
        <v>14:52:51.120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5</v>
      </c>
      <c r="CP1531" t="s">
        <v>119</v>
      </c>
      <c r="CQ1531">
        <v>293</v>
      </c>
      <c r="CR1531">
        <v>1</v>
      </c>
      <c r="CW1531">
        <v>15288697</v>
      </c>
      <c r="CY1531">
        <v>0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25">
      <c r="A1532" t="str">
        <f t="shared" ref="A1532:A1538" si="834">"06/05/2020 14:52:46.523"</f>
        <v>06/05/2020 14:52:46.523</v>
      </c>
      <c r="C1532" t="str">
        <f t="shared" si="823"/>
        <v>FFDFD3C0</v>
      </c>
      <c r="D1532" t="s">
        <v>151</v>
      </c>
      <c r="E1532">
        <v>8</v>
      </c>
      <c r="H1532">
        <v>225</v>
      </c>
      <c r="I1532" t="s">
        <v>353</v>
      </c>
      <c r="J1532" t="s">
        <v>150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ref="S1532:S1538" si="835">"14:52:52.164"</f>
        <v>14:52:52.164</v>
      </c>
      <c r="T1532" t="str">
        <f t="shared" ref="T1532:T1538" si="836">"14:52:51.964"</f>
        <v>14:52:51.964</v>
      </c>
      <c r="U1532" t="str">
        <f t="shared" si="805"/>
        <v>ACC530</v>
      </c>
      <c r="V1532">
        <v>0</v>
      </c>
      <c r="W1532">
        <v>0</v>
      </c>
      <c r="X1532">
        <v>1</v>
      </c>
      <c r="Z1532">
        <v>0</v>
      </c>
      <c r="AA1532">
        <v>9</v>
      </c>
      <c r="AB1532">
        <v>3</v>
      </c>
      <c r="AC1532">
        <v>0</v>
      </c>
      <c r="AD1532">
        <v>9</v>
      </c>
      <c r="AE1532">
        <v>0</v>
      </c>
      <c r="AF1532">
        <v>3</v>
      </c>
      <c r="AG1532">
        <v>1</v>
      </c>
      <c r="AH1532">
        <v>0</v>
      </c>
      <c r="AI1532" t="s">
        <v>605</v>
      </c>
      <c r="AJ1532">
        <v>34.195825999999997</v>
      </c>
      <c r="AK1532" t="s">
        <v>606</v>
      </c>
      <c r="AL1532">
        <v>-116.984138</v>
      </c>
      <c r="AM1532">
        <v>100</v>
      </c>
      <c r="AN1532">
        <v>8800</v>
      </c>
      <c r="AO1532" t="s">
        <v>118</v>
      </c>
      <c r="AP1532">
        <v>-106</v>
      </c>
      <c r="AQ1532">
        <v>-65</v>
      </c>
      <c r="AR1532">
        <v>-768</v>
      </c>
      <c r="AZ1532">
        <v>1200</v>
      </c>
      <c r="BA1532">
        <v>1</v>
      </c>
      <c r="BB1532" t="str">
        <f t="shared" si="809"/>
        <v xml:space="preserve">N9217B  </v>
      </c>
      <c r="BC1532">
        <v>1</v>
      </c>
      <c r="BE1532">
        <v>0</v>
      </c>
      <c r="BF1532">
        <v>0</v>
      </c>
      <c r="BG1532">
        <v>0</v>
      </c>
      <c r="BH1532">
        <v>8850</v>
      </c>
      <c r="BI1532">
        <v>1</v>
      </c>
      <c r="BJ1532">
        <v>0</v>
      </c>
      <c r="BK1532">
        <v>0</v>
      </c>
      <c r="BL1532">
        <v>0</v>
      </c>
      <c r="BO1532">
        <v>0</v>
      </c>
      <c r="BP1532">
        <v>0</v>
      </c>
      <c r="BW1532" t="str">
        <f t="shared" ref="BW1532:BW1538" si="837">"14:52:52.170"</f>
        <v>14:52:52.170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285</v>
      </c>
      <c r="CR1532">
        <v>0</v>
      </c>
      <c r="CW1532">
        <v>8854486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25">
      <c r="A1533" t="str">
        <f t="shared" si="834"/>
        <v>06/05/2020 14:52:46.523</v>
      </c>
      <c r="C1533" t="str">
        <f t="shared" si="823"/>
        <v>FFDFD3C0</v>
      </c>
      <c r="D1533" t="s">
        <v>134</v>
      </c>
      <c r="E1533">
        <v>7</v>
      </c>
      <c r="F1533">
        <v>2007</v>
      </c>
      <c r="G1533" t="s">
        <v>135</v>
      </c>
      <c r="J1533" t="s">
        <v>136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835"/>
        <v>14:52:52.164</v>
      </c>
      <c r="T1533" t="str">
        <f t="shared" si="836"/>
        <v>14:52:51.964</v>
      </c>
      <c r="U1533" t="str">
        <f t="shared" si="805"/>
        <v>ACC530</v>
      </c>
      <c r="V1533">
        <v>0</v>
      </c>
      <c r="W1533">
        <v>0</v>
      </c>
      <c r="X1533">
        <v>1</v>
      </c>
      <c r="Z1533">
        <v>0</v>
      </c>
      <c r="AA1533">
        <v>9</v>
      </c>
      <c r="AB1533">
        <v>3</v>
      </c>
      <c r="AC1533">
        <v>0</v>
      </c>
      <c r="AD1533">
        <v>9</v>
      </c>
      <c r="AE1533">
        <v>0</v>
      </c>
      <c r="AF1533">
        <v>3</v>
      </c>
      <c r="AG1533">
        <v>1</v>
      </c>
      <c r="AH1533">
        <v>0</v>
      </c>
      <c r="AI1533" t="s">
        <v>605</v>
      </c>
      <c r="AJ1533">
        <v>34.195825999999997</v>
      </c>
      <c r="AK1533" t="s">
        <v>606</v>
      </c>
      <c r="AL1533">
        <v>-116.984138</v>
      </c>
      <c r="AM1533">
        <v>100</v>
      </c>
      <c r="AN1533">
        <v>8800</v>
      </c>
      <c r="AO1533" t="s">
        <v>118</v>
      </c>
      <c r="AP1533">
        <v>-106</v>
      </c>
      <c r="AQ1533">
        <v>-65</v>
      </c>
      <c r="AR1533">
        <v>-768</v>
      </c>
      <c r="AZ1533">
        <v>1200</v>
      </c>
      <c r="BA1533">
        <v>1</v>
      </c>
      <c r="BB1533" t="str">
        <f t="shared" si="809"/>
        <v xml:space="preserve">N9217B  </v>
      </c>
      <c r="BC1533">
        <v>1</v>
      </c>
      <c r="BE1533">
        <v>0</v>
      </c>
      <c r="BF1533">
        <v>0</v>
      </c>
      <c r="BG1533">
        <v>0</v>
      </c>
      <c r="BH1533">
        <v>8850</v>
      </c>
      <c r="BI1533">
        <v>1</v>
      </c>
      <c r="BJ1533">
        <v>0</v>
      </c>
      <c r="BK1533">
        <v>0</v>
      </c>
      <c r="BL1533">
        <v>0</v>
      </c>
      <c r="BO1533">
        <v>0</v>
      </c>
      <c r="BP1533">
        <v>0</v>
      </c>
      <c r="BW1533" t="str">
        <f t="shared" si="837"/>
        <v>14:52:52.170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285</v>
      </c>
      <c r="CR1533">
        <v>0</v>
      </c>
      <c r="CW1533">
        <v>8854486</v>
      </c>
      <c r="CY1533">
        <v>0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25">
      <c r="A1534" t="str">
        <f t="shared" si="834"/>
        <v>06/05/2020 14:52:46.523</v>
      </c>
      <c r="C1534" t="str">
        <f t="shared" si="823"/>
        <v>FFDFD3C0</v>
      </c>
      <c r="D1534" t="s">
        <v>151</v>
      </c>
      <c r="E1534">
        <v>9</v>
      </c>
      <c r="H1534">
        <v>226</v>
      </c>
      <c r="I1534" t="s">
        <v>152</v>
      </c>
      <c r="J1534" t="s">
        <v>150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835"/>
        <v>14:52:52.164</v>
      </c>
      <c r="T1534" t="str">
        <f t="shared" si="836"/>
        <v>14:52:51.964</v>
      </c>
      <c r="U1534" t="str">
        <f t="shared" si="805"/>
        <v>ACC530</v>
      </c>
      <c r="V1534">
        <v>0</v>
      </c>
      <c r="W1534">
        <v>0</v>
      </c>
      <c r="X1534">
        <v>1</v>
      </c>
      <c r="Z1534">
        <v>0</v>
      </c>
      <c r="AA1534">
        <v>9</v>
      </c>
      <c r="AB1534">
        <v>3</v>
      </c>
      <c r="AC1534">
        <v>0</v>
      </c>
      <c r="AD1534">
        <v>9</v>
      </c>
      <c r="AE1534">
        <v>0</v>
      </c>
      <c r="AF1534">
        <v>3</v>
      </c>
      <c r="AG1534">
        <v>1</v>
      </c>
      <c r="AH1534">
        <v>0</v>
      </c>
      <c r="AI1534" t="s">
        <v>605</v>
      </c>
      <c r="AJ1534">
        <v>34.195825999999997</v>
      </c>
      <c r="AK1534" t="s">
        <v>606</v>
      </c>
      <c r="AL1534">
        <v>-116.984138</v>
      </c>
      <c r="AM1534">
        <v>100</v>
      </c>
      <c r="AN1534">
        <v>8800</v>
      </c>
      <c r="AO1534" t="s">
        <v>118</v>
      </c>
      <c r="AP1534">
        <v>-106</v>
      </c>
      <c r="AQ1534">
        <v>-65</v>
      </c>
      <c r="AR1534">
        <v>-768</v>
      </c>
      <c r="AZ1534">
        <v>1200</v>
      </c>
      <c r="BA1534">
        <v>1</v>
      </c>
      <c r="BB1534" t="str">
        <f t="shared" si="809"/>
        <v xml:space="preserve">N9217B  </v>
      </c>
      <c r="BC1534">
        <v>1</v>
      </c>
      <c r="BE1534">
        <v>0</v>
      </c>
      <c r="BF1534">
        <v>0</v>
      </c>
      <c r="BG1534">
        <v>0</v>
      </c>
      <c r="BH1534">
        <v>8850</v>
      </c>
      <c r="BI1534">
        <v>1</v>
      </c>
      <c r="BJ1534">
        <v>0</v>
      </c>
      <c r="BK1534">
        <v>0</v>
      </c>
      <c r="BL1534">
        <v>0</v>
      </c>
      <c r="BO1534">
        <v>0</v>
      </c>
      <c r="BP1534">
        <v>0</v>
      </c>
      <c r="BW1534" t="str">
        <f t="shared" si="837"/>
        <v>14:52:52.170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285</v>
      </c>
      <c r="CR1534">
        <v>0</v>
      </c>
      <c r="CW1534">
        <v>8854486</v>
      </c>
      <c r="CY1534">
        <v>0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25">
      <c r="A1535" t="str">
        <f t="shared" si="834"/>
        <v>06/05/2020 14:52:46.523</v>
      </c>
      <c r="C1535" t="str">
        <f t="shared" si="823"/>
        <v>FFDFD3C0</v>
      </c>
      <c r="D1535" t="s">
        <v>148</v>
      </c>
      <c r="E1535">
        <v>11</v>
      </c>
      <c r="H1535">
        <v>53</v>
      </c>
      <c r="I1535" t="s">
        <v>364</v>
      </c>
      <c r="J1535" t="s">
        <v>150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835"/>
        <v>14:52:52.164</v>
      </c>
      <c r="T1535" t="str">
        <f t="shared" si="836"/>
        <v>14:52:51.964</v>
      </c>
      <c r="U1535" t="str">
        <f t="shared" si="805"/>
        <v>ACC530</v>
      </c>
      <c r="V1535">
        <v>0</v>
      </c>
      <c r="W1535">
        <v>0</v>
      </c>
      <c r="X1535">
        <v>1</v>
      </c>
      <c r="Z1535">
        <v>0</v>
      </c>
      <c r="AA1535">
        <v>9</v>
      </c>
      <c r="AB1535">
        <v>3</v>
      </c>
      <c r="AC1535">
        <v>0</v>
      </c>
      <c r="AD1535">
        <v>9</v>
      </c>
      <c r="AE1535">
        <v>0</v>
      </c>
      <c r="AF1535">
        <v>3</v>
      </c>
      <c r="AG1535">
        <v>1</v>
      </c>
      <c r="AH1535">
        <v>0</v>
      </c>
      <c r="AI1535" t="s">
        <v>605</v>
      </c>
      <c r="AJ1535">
        <v>34.195825999999997</v>
      </c>
      <c r="AK1535" t="s">
        <v>606</v>
      </c>
      <c r="AL1535">
        <v>-116.984138</v>
      </c>
      <c r="AM1535">
        <v>100</v>
      </c>
      <c r="AN1535">
        <v>8800</v>
      </c>
      <c r="AO1535" t="s">
        <v>118</v>
      </c>
      <c r="AP1535">
        <v>-106</v>
      </c>
      <c r="AQ1535">
        <v>-65</v>
      </c>
      <c r="AR1535">
        <v>-768</v>
      </c>
      <c r="AZ1535">
        <v>1200</v>
      </c>
      <c r="BA1535">
        <v>1</v>
      </c>
      <c r="BB1535" t="str">
        <f t="shared" si="809"/>
        <v xml:space="preserve">N9217B  </v>
      </c>
      <c r="BC1535">
        <v>1</v>
      </c>
      <c r="BE1535">
        <v>0</v>
      </c>
      <c r="BF1535">
        <v>0</v>
      </c>
      <c r="BG1535">
        <v>0</v>
      </c>
      <c r="BH1535">
        <v>8850</v>
      </c>
      <c r="BI1535">
        <v>1</v>
      </c>
      <c r="BJ1535">
        <v>0</v>
      </c>
      <c r="BK1535">
        <v>0</v>
      </c>
      <c r="BL1535">
        <v>0</v>
      </c>
      <c r="BO1535">
        <v>0</v>
      </c>
      <c r="BP1535">
        <v>0</v>
      </c>
      <c r="BW1535" t="str">
        <f t="shared" si="837"/>
        <v>14:52:52.170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285</v>
      </c>
      <c r="CR1535">
        <v>0</v>
      </c>
      <c r="CW1535">
        <v>8854486</v>
      </c>
      <c r="CY1535">
        <v>0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25">
      <c r="A1536" t="str">
        <f t="shared" si="834"/>
        <v>06/05/2020 14:52:46.523</v>
      </c>
      <c r="C1536" t="str">
        <f t="shared" si="823"/>
        <v>FFDFD3C0</v>
      </c>
      <c r="D1536" t="s">
        <v>148</v>
      </c>
      <c r="E1536">
        <v>8</v>
      </c>
      <c r="H1536">
        <v>50</v>
      </c>
      <c r="I1536" t="s">
        <v>149</v>
      </c>
      <c r="J1536" t="s">
        <v>150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835"/>
        <v>14:52:52.164</v>
      </c>
      <c r="T1536" t="str">
        <f t="shared" si="836"/>
        <v>14:52:51.964</v>
      </c>
      <c r="U1536" t="str">
        <f t="shared" si="805"/>
        <v>ACC530</v>
      </c>
      <c r="V1536">
        <v>0</v>
      </c>
      <c r="W1536">
        <v>0</v>
      </c>
      <c r="X1536">
        <v>1</v>
      </c>
      <c r="Z1536">
        <v>0</v>
      </c>
      <c r="AA1536">
        <v>9</v>
      </c>
      <c r="AB1536">
        <v>3</v>
      </c>
      <c r="AC1536">
        <v>0</v>
      </c>
      <c r="AD1536">
        <v>9</v>
      </c>
      <c r="AE1536">
        <v>0</v>
      </c>
      <c r="AF1536">
        <v>3</v>
      </c>
      <c r="AG1536">
        <v>1</v>
      </c>
      <c r="AH1536">
        <v>0</v>
      </c>
      <c r="AI1536" t="s">
        <v>605</v>
      </c>
      <c r="AJ1536">
        <v>34.195825999999997</v>
      </c>
      <c r="AK1536" t="s">
        <v>606</v>
      </c>
      <c r="AL1536">
        <v>-116.984138</v>
      </c>
      <c r="AM1536">
        <v>100</v>
      </c>
      <c r="AN1536">
        <v>8800</v>
      </c>
      <c r="AO1536" t="s">
        <v>118</v>
      </c>
      <c r="AP1536">
        <v>-106</v>
      </c>
      <c r="AQ1536">
        <v>-65</v>
      </c>
      <c r="AR1536">
        <v>-768</v>
      </c>
      <c r="AZ1536">
        <v>1200</v>
      </c>
      <c r="BA1536">
        <v>1</v>
      </c>
      <c r="BB1536" t="str">
        <f t="shared" si="809"/>
        <v xml:space="preserve">N9217B  </v>
      </c>
      <c r="BC1536">
        <v>1</v>
      </c>
      <c r="BE1536">
        <v>0</v>
      </c>
      <c r="BF1536">
        <v>0</v>
      </c>
      <c r="BG1536">
        <v>0</v>
      </c>
      <c r="BH1536">
        <v>8850</v>
      </c>
      <c r="BI1536">
        <v>1</v>
      </c>
      <c r="BJ1536">
        <v>0</v>
      </c>
      <c r="BK1536">
        <v>0</v>
      </c>
      <c r="BL1536">
        <v>0</v>
      </c>
      <c r="BO1536">
        <v>0</v>
      </c>
      <c r="BP1536">
        <v>0</v>
      </c>
      <c r="BW1536" t="str">
        <f t="shared" si="837"/>
        <v>14:52:52.170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285</v>
      </c>
      <c r="CR1536">
        <v>0</v>
      </c>
      <c r="CW1536">
        <v>8854486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25">
      <c r="A1537" t="str">
        <f t="shared" si="834"/>
        <v>06/05/2020 14:52:46.523</v>
      </c>
      <c r="C1537" t="str">
        <f t="shared" si="823"/>
        <v>FFDFD3C0</v>
      </c>
      <c r="D1537" t="s">
        <v>141</v>
      </c>
      <c r="E1537">
        <v>20</v>
      </c>
      <c r="F1537">
        <v>1020</v>
      </c>
      <c r="G1537" t="s">
        <v>114</v>
      </c>
      <c r="J1537" t="s">
        <v>142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835"/>
        <v>14:52:52.164</v>
      </c>
      <c r="T1537" t="str">
        <f t="shared" si="836"/>
        <v>14:52:51.964</v>
      </c>
      <c r="U1537" t="str">
        <f t="shared" si="805"/>
        <v>ACC530</v>
      </c>
      <c r="V1537">
        <v>0</v>
      </c>
      <c r="W1537">
        <v>0</v>
      </c>
      <c r="X1537">
        <v>1</v>
      </c>
      <c r="Z1537">
        <v>0</v>
      </c>
      <c r="AA1537">
        <v>9</v>
      </c>
      <c r="AB1537">
        <v>3</v>
      </c>
      <c r="AC1537">
        <v>0</v>
      </c>
      <c r="AD1537">
        <v>9</v>
      </c>
      <c r="AE1537">
        <v>0</v>
      </c>
      <c r="AF1537">
        <v>3</v>
      </c>
      <c r="AG1537">
        <v>1</v>
      </c>
      <c r="AH1537">
        <v>0</v>
      </c>
      <c r="AI1537" t="s">
        <v>605</v>
      </c>
      <c r="AJ1537">
        <v>34.195825999999997</v>
      </c>
      <c r="AK1537" t="s">
        <v>606</v>
      </c>
      <c r="AL1537">
        <v>-116.984138</v>
      </c>
      <c r="AM1537">
        <v>100</v>
      </c>
      <c r="AN1537">
        <v>8800</v>
      </c>
      <c r="AO1537" t="s">
        <v>118</v>
      </c>
      <c r="AP1537">
        <v>-106</v>
      </c>
      <c r="AQ1537">
        <v>-65</v>
      </c>
      <c r="AR1537">
        <v>-768</v>
      </c>
      <c r="AZ1537">
        <v>1200</v>
      </c>
      <c r="BA1537">
        <v>1</v>
      </c>
      <c r="BB1537" t="str">
        <f t="shared" si="809"/>
        <v xml:space="preserve">N9217B  </v>
      </c>
      <c r="BC1537">
        <v>1</v>
      </c>
      <c r="BE1537">
        <v>0</v>
      </c>
      <c r="BF1537">
        <v>0</v>
      </c>
      <c r="BG1537">
        <v>0</v>
      </c>
      <c r="BH1537">
        <v>8850</v>
      </c>
      <c r="BI1537">
        <v>1</v>
      </c>
      <c r="BJ1537">
        <v>0</v>
      </c>
      <c r="BK1537">
        <v>0</v>
      </c>
      <c r="BL1537">
        <v>0</v>
      </c>
      <c r="BO1537">
        <v>0</v>
      </c>
      <c r="BP1537">
        <v>0</v>
      </c>
      <c r="BW1537" t="str">
        <f t="shared" si="837"/>
        <v>14:52:52.170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285</v>
      </c>
      <c r="CR1537">
        <v>0</v>
      </c>
      <c r="CW1537">
        <v>8854486</v>
      </c>
      <c r="CY1537">
        <v>0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25">
      <c r="A1538" t="str">
        <f t="shared" si="834"/>
        <v>06/05/2020 14:52:46.523</v>
      </c>
      <c r="C1538" t="str">
        <f t="shared" si="823"/>
        <v>FFDFD3C0</v>
      </c>
      <c r="D1538" t="s">
        <v>113</v>
      </c>
      <c r="E1538">
        <v>3</v>
      </c>
      <c r="H1538">
        <v>166</v>
      </c>
      <c r="I1538" t="s">
        <v>114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835"/>
        <v>14:52:52.164</v>
      </c>
      <c r="T1538" t="str">
        <f t="shared" si="836"/>
        <v>14:52:51.964</v>
      </c>
      <c r="U1538" t="str">
        <f t="shared" ref="U1538:U1601" si="838">"ACC530"</f>
        <v>ACC530</v>
      </c>
      <c r="V1538">
        <v>0</v>
      </c>
      <c r="W1538">
        <v>0</v>
      </c>
      <c r="X1538">
        <v>1</v>
      </c>
      <c r="Z1538">
        <v>0</v>
      </c>
      <c r="AA1538">
        <v>9</v>
      </c>
      <c r="AB1538">
        <v>3</v>
      </c>
      <c r="AC1538">
        <v>0</v>
      </c>
      <c r="AD1538">
        <v>9</v>
      </c>
      <c r="AE1538">
        <v>0</v>
      </c>
      <c r="AF1538">
        <v>3</v>
      </c>
      <c r="AG1538">
        <v>1</v>
      </c>
      <c r="AH1538">
        <v>0</v>
      </c>
      <c r="AI1538" t="s">
        <v>605</v>
      </c>
      <c r="AJ1538">
        <v>34.195825999999997</v>
      </c>
      <c r="AK1538" t="s">
        <v>606</v>
      </c>
      <c r="AL1538">
        <v>-116.984138</v>
      </c>
      <c r="AM1538">
        <v>100</v>
      </c>
      <c r="AN1538">
        <v>8800</v>
      </c>
      <c r="AO1538" t="s">
        <v>118</v>
      </c>
      <c r="AP1538">
        <v>-106</v>
      </c>
      <c r="AQ1538">
        <v>-65</v>
      </c>
      <c r="AR1538">
        <v>-768</v>
      </c>
      <c r="AZ1538">
        <v>1200</v>
      </c>
      <c r="BA1538">
        <v>1</v>
      </c>
      <c r="BB1538" t="str">
        <f t="shared" si="809"/>
        <v xml:space="preserve">N9217B  </v>
      </c>
      <c r="BC1538">
        <v>1</v>
      </c>
      <c r="BE1538">
        <v>0</v>
      </c>
      <c r="BF1538">
        <v>0</v>
      </c>
      <c r="BG1538">
        <v>0</v>
      </c>
      <c r="BH1538">
        <v>8850</v>
      </c>
      <c r="BI1538">
        <v>1</v>
      </c>
      <c r="BJ1538">
        <v>0</v>
      </c>
      <c r="BK1538">
        <v>0</v>
      </c>
      <c r="BL1538">
        <v>0</v>
      </c>
      <c r="BO1538">
        <v>0</v>
      </c>
      <c r="BP1538">
        <v>0</v>
      </c>
      <c r="BW1538" t="str">
        <f t="shared" si="837"/>
        <v>14:52:52.170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285</v>
      </c>
      <c r="CR1538">
        <v>0</v>
      </c>
      <c r="CW1538">
        <v>8854486</v>
      </c>
      <c r="CY1538">
        <v>0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25">
      <c r="A1539" t="str">
        <f>"06/05/2020 14:52:47.431"</f>
        <v>06/05/2020 14:52:47.431</v>
      </c>
      <c r="C1539" t="str">
        <f t="shared" si="823"/>
        <v>FFDFD3C0</v>
      </c>
      <c r="D1539" t="s">
        <v>134</v>
      </c>
      <c r="E1539">
        <v>7</v>
      </c>
      <c r="F1539">
        <v>2007</v>
      </c>
      <c r="G1539" t="s">
        <v>135</v>
      </c>
      <c r="J1539" t="s">
        <v>136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"14:52:53.070"</f>
        <v>14:52:53.070</v>
      </c>
      <c r="T1539" t="str">
        <f>"14:52:52.870"</f>
        <v>14:52:52.870</v>
      </c>
      <c r="U1539" t="str">
        <f t="shared" si="838"/>
        <v>ACC530</v>
      </c>
      <c r="V1539">
        <v>0</v>
      </c>
      <c r="W1539">
        <v>0</v>
      </c>
      <c r="X1539">
        <v>1</v>
      </c>
      <c r="Z1539">
        <v>0</v>
      </c>
      <c r="AA1539">
        <v>9</v>
      </c>
      <c r="AB1539">
        <v>3</v>
      </c>
      <c r="AC1539">
        <v>0</v>
      </c>
      <c r="AD1539">
        <v>9</v>
      </c>
      <c r="AE1539">
        <v>0</v>
      </c>
      <c r="AF1539">
        <v>3</v>
      </c>
      <c r="AG1539">
        <v>1</v>
      </c>
      <c r="AH1539">
        <v>0</v>
      </c>
      <c r="AI1539" t="s">
        <v>607</v>
      </c>
      <c r="AJ1539">
        <v>34.195546999999998</v>
      </c>
      <c r="AK1539" t="s">
        <v>608</v>
      </c>
      <c r="AL1539">
        <v>-116.98465299999999</v>
      </c>
      <c r="AM1539">
        <v>100</v>
      </c>
      <c r="AN1539">
        <v>8700</v>
      </c>
      <c r="AO1539" t="s">
        <v>118</v>
      </c>
      <c r="AP1539">
        <v>-105</v>
      </c>
      <c r="AQ1539">
        <v>-66</v>
      </c>
      <c r="AR1539">
        <v>-704</v>
      </c>
      <c r="AZ1539">
        <v>1200</v>
      </c>
      <c r="BA1539">
        <v>1</v>
      </c>
      <c r="BB1539" t="str">
        <f t="shared" si="809"/>
        <v xml:space="preserve">N9217B  </v>
      </c>
      <c r="BC1539">
        <v>1</v>
      </c>
      <c r="BE1539">
        <v>0</v>
      </c>
      <c r="BF1539">
        <v>0</v>
      </c>
      <c r="BG1539">
        <v>0</v>
      </c>
      <c r="BH1539">
        <v>8750</v>
      </c>
      <c r="BI1539">
        <v>1</v>
      </c>
      <c r="BJ1539">
        <v>0</v>
      </c>
      <c r="BK1539">
        <v>0</v>
      </c>
      <c r="BL1539">
        <v>0</v>
      </c>
      <c r="BO1539">
        <v>0</v>
      </c>
      <c r="BP1539">
        <v>0</v>
      </c>
      <c r="BW1539" t="str">
        <f>"14:52:53.070"</f>
        <v>14:52:53.070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5</v>
      </c>
      <c r="CP1539" t="s">
        <v>609</v>
      </c>
      <c r="CQ1539">
        <v>420</v>
      </c>
      <c r="CR1539">
        <v>0</v>
      </c>
      <c r="CW1539">
        <v>3123636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25">
      <c r="A1540" t="str">
        <f>"06/05/2020 14:52:47.431"</f>
        <v>06/05/2020 14:52:47.431</v>
      </c>
      <c r="C1540" t="str">
        <f t="shared" si="823"/>
        <v>FFDFD3C0</v>
      </c>
      <c r="D1540" t="s">
        <v>151</v>
      </c>
      <c r="E1540">
        <v>8</v>
      </c>
      <c r="H1540">
        <v>225</v>
      </c>
      <c r="I1540" t="s">
        <v>353</v>
      </c>
      <c r="J1540" t="s">
        <v>150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"14:52:53.070"</f>
        <v>14:52:53.070</v>
      </c>
      <c r="T1540" t="str">
        <f>"14:52:52.870"</f>
        <v>14:52:52.870</v>
      </c>
      <c r="U1540" t="str">
        <f t="shared" si="838"/>
        <v>ACC530</v>
      </c>
      <c r="V1540">
        <v>0</v>
      </c>
      <c r="W1540">
        <v>0</v>
      </c>
      <c r="X1540">
        <v>1</v>
      </c>
      <c r="Z1540">
        <v>0</v>
      </c>
      <c r="AA1540">
        <v>9</v>
      </c>
      <c r="AB1540">
        <v>3</v>
      </c>
      <c r="AC1540">
        <v>0</v>
      </c>
      <c r="AD1540">
        <v>9</v>
      </c>
      <c r="AE1540">
        <v>0</v>
      </c>
      <c r="AF1540">
        <v>3</v>
      </c>
      <c r="AG1540">
        <v>1</v>
      </c>
      <c r="AH1540">
        <v>0</v>
      </c>
      <c r="AI1540" t="s">
        <v>607</v>
      </c>
      <c r="AJ1540">
        <v>34.195546999999998</v>
      </c>
      <c r="AK1540" t="s">
        <v>608</v>
      </c>
      <c r="AL1540">
        <v>-116.98465299999999</v>
      </c>
      <c r="AM1540">
        <v>100</v>
      </c>
      <c r="AN1540">
        <v>8700</v>
      </c>
      <c r="AO1540" t="s">
        <v>118</v>
      </c>
      <c r="AP1540">
        <v>-105</v>
      </c>
      <c r="AQ1540">
        <v>-66</v>
      </c>
      <c r="AR1540">
        <v>-704</v>
      </c>
      <c r="AZ1540">
        <v>1200</v>
      </c>
      <c r="BA1540">
        <v>1</v>
      </c>
      <c r="BB1540" t="str">
        <f t="shared" si="809"/>
        <v xml:space="preserve">N9217B  </v>
      </c>
      <c r="BC1540">
        <v>1</v>
      </c>
      <c r="BE1540">
        <v>0</v>
      </c>
      <c r="BF1540">
        <v>0</v>
      </c>
      <c r="BG1540">
        <v>0</v>
      </c>
      <c r="BH1540">
        <v>8850</v>
      </c>
      <c r="BI1540">
        <v>1</v>
      </c>
      <c r="BJ1540">
        <v>0</v>
      </c>
      <c r="BK1540">
        <v>0</v>
      </c>
      <c r="BL1540">
        <v>0</v>
      </c>
      <c r="BO1540">
        <v>0</v>
      </c>
      <c r="BP1540">
        <v>0</v>
      </c>
      <c r="BW1540" t="str">
        <f>"14:52:53.071"</f>
        <v>14:52:53.071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3</v>
      </c>
      <c r="CP1540" t="s">
        <v>119</v>
      </c>
      <c r="CQ1540">
        <v>286</v>
      </c>
      <c r="CR1540">
        <v>3</v>
      </c>
      <c r="CW1540">
        <v>841773</v>
      </c>
      <c r="CY1540">
        <v>0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25">
      <c r="A1541" t="str">
        <f>"06/05/2020 14:52:47.431"</f>
        <v>06/05/2020 14:52:47.431</v>
      </c>
      <c r="C1541" t="str">
        <f t="shared" si="823"/>
        <v>FFDFD3C0</v>
      </c>
      <c r="D1541" t="s">
        <v>141</v>
      </c>
      <c r="E1541">
        <v>20</v>
      </c>
      <c r="F1541">
        <v>1020</v>
      </c>
      <c r="G1541" t="s">
        <v>114</v>
      </c>
      <c r="J1541" t="s">
        <v>142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"14:52:53.070"</f>
        <v>14:52:53.070</v>
      </c>
      <c r="T1541" t="str">
        <f>"14:52:52.870"</f>
        <v>14:52:52.870</v>
      </c>
      <c r="U1541" t="str">
        <f t="shared" si="838"/>
        <v>ACC530</v>
      </c>
      <c r="V1541">
        <v>0</v>
      </c>
      <c r="W1541">
        <v>0</v>
      </c>
      <c r="X1541">
        <v>1</v>
      </c>
      <c r="Z1541">
        <v>0</v>
      </c>
      <c r="AA1541">
        <v>9</v>
      </c>
      <c r="AB1541">
        <v>3</v>
      </c>
      <c r="AC1541">
        <v>0</v>
      </c>
      <c r="AD1541">
        <v>9</v>
      </c>
      <c r="AE1541">
        <v>0</v>
      </c>
      <c r="AF1541">
        <v>3</v>
      </c>
      <c r="AG1541">
        <v>1</v>
      </c>
      <c r="AH1541">
        <v>0</v>
      </c>
      <c r="AI1541" t="s">
        <v>607</v>
      </c>
      <c r="AJ1541">
        <v>34.195546999999998</v>
      </c>
      <c r="AK1541" t="s">
        <v>608</v>
      </c>
      <c r="AL1541">
        <v>-116.98465299999999</v>
      </c>
      <c r="AM1541">
        <v>100</v>
      </c>
      <c r="AN1541">
        <v>8700</v>
      </c>
      <c r="AO1541" t="s">
        <v>118</v>
      </c>
      <c r="AP1541">
        <v>-105</v>
      </c>
      <c r="AQ1541">
        <v>-66</v>
      </c>
      <c r="AR1541">
        <v>-704</v>
      </c>
      <c r="AZ1541">
        <v>1200</v>
      </c>
      <c r="BA1541">
        <v>1</v>
      </c>
      <c r="BB1541" t="str">
        <f t="shared" ref="BB1541:BB1604" si="839">"N9217B  "</f>
        <v xml:space="preserve">N9217B  </v>
      </c>
      <c r="BC1541">
        <v>1</v>
      </c>
      <c r="BE1541">
        <v>0</v>
      </c>
      <c r="BF1541">
        <v>0</v>
      </c>
      <c r="BG1541">
        <v>0</v>
      </c>
      <c r="BH1541">
        <v>8850</v>
      </c>
      <c r="BI1541">
        <v>1</v>
      </c>
      <c r="BJ1541">
        <v>0</v>
      </c>
      <c r="BK1541">
        <v>0</v>
      </c>
      <c r="BL1541">
        <v>0</v>
      </c>
      <c r="BO1541">
        <v>0</v>
      </c>
      <c r="BP1541">
        <v>0</v>
      </c>
      <c r="BW1541" t="str">
        <f>"14:52:53.071"</f>
        <v>14:52:53.071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3</v>
      </c>
      <c r="CP1541" t="s">
        <v>119</v>
      </c>
      <c r="CQ1541">
        <v>286</v>
      </c>
      <c r="CR1541">
        <v>3</v>
      </c>
      <c r="CW1541">
        <v>841773</v>
      </c>
      <c r="CY1541">
        <v>0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25">
      <c r="A1542" t="str">
        <f>"06/05/2020 14:52:47.431"</f>
        <v>06/05/2020 14:52:47.431</v>
      </c>
      <c r="C1542" t="str">
        <f t="shared" si="823"/>
        <v>FFDFD3C0</v>
      </c>
      <c r="D1542" t="s">
        <v>113</v>
      </c>
      <c r="E1542">
        <v>3</v>
      </c>
      <c r="H1542">
        <v>166</v>
      </c>
      <c r="I1542" t="s">
        <v>114</v>
      </c>
      <c r="J1542" t="s">
        <v>115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"14:52:53.070"</f>
        <v>14:52:53.070</v>
      </c>
      <c r="T1542" t="str">
        <f>"14:52:52.870"</f>
        <v>14:52:52.870</v>
      </c>
      <c r="U1542" t="str">
        <f t="shared" si="838"/>
        <v>ACC530</v>
      </c>
      <c r="V1542">
        <v>0</v>
      </c>
      <c r="W1542">
        <v>0</v>
      </c>
      <c r="X1542">
        <v>1</v>
      </c>
      <c r="Z1542">
        <v>0</v>
      </c>
      <c r="AA1542">
        <v>9</v>
      </c>
      <c r="AB1542">
        <v>3</v>
      </c>
      <c r="AC1542">
        <v>0</v>
      </c>
      <c r="AD1542">
        <v>9</v>
      </c>
      <c r="AE1542">
        <v>0</v>
      </c>
      <c r="AF1542">
        <v>3</v>
      </c>
      <c r="AG1542">
        <v>1</v>
      </c>
      <c r="AH1542">
        <v>0</v>
      </c>
      <c r="AI1542" t="s">
        <v>607</v>
      </c>
      <c r="AJ1542">
        <v>34.195546999999998</v>
      </c>
      <c r="AK1542" t="s">
        <v>608</v>
      </c>
      <c r="AL1542">
        <v>-116.98465299999999</v>
      </c>
      <c r="AM1542">
        <v>100</v>
      </c>
      <c r="AN1542">
        <v>8700</v>
      </c>
      <c r="AO1542" t="s">
        <v>118</v>
      </c>
      <c r="AP1542">
        <v>-105</v>
      </c>
      <c r="AQ1542">
        <v>-66</v>
      </c>
      <c r="AR1542">
        <v>-704</v>
      </c>
      <c r="AZ1542">
        <v>1200</v>
      </c>
      <c r="BA1542">
        <v>1</v>
      </c>
      <c r="BB1542" t="str">
        <f t="shared" si="839"/>
        <v xml:space="preserve">N9217B  </v>
      </c>
      <c r="BC1542">
        <v>1</v>
      </c>
      <c r="BE1542">
        <v>0</v>
      </c>
      <c r="BF1542">
        <v>0</v>
      </c>
      <c r="BG1542">
        <v>0</v>
      </c>
      <c r="BH1542">
        <v>8850</v>
      </c>
      <c r="BI1542">
        <v>1</v>
      </c>
      <c r="BJ1542">
        <v>0</v>
      </c>
      <c r="BK1542">
        <v>0</v>
      </c>
      <c r="BL1542">
        <v>0</v>
      </c>
      <c r="BO1542">
        <v>0</v>
      </c>
      <c r="BP1542">
        <v>0</v>
      </c>
      <c r="BW1542" t="str">
        <f>"14:52:53.071"</f>
        <v>14:52:53.071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3</v>
      </c>
      <c r="CP1542" t="s">
        <v>119</v>
      </c>
      <c r="CQ1542">
        <v>286</v>
      </c>
      <c r="CR1542">
        <v>3</v>
      </c>
      <c r="CW1542">
        <v>841773</v>
      </c>
      <c r="CY1542">
        <v>0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25">
      <c r="A1543" t="str">
        <f t="shared" ref="A1543:A1549" si="840">"06/05/2020 14:52:48.469"</f>
        <v>06/05/2020 14:52:48.469</v>
      </c>
      <c r="C1543" t="str">
        <f t="shared" si="823"/>
        <v>FFDFD3C0</v>
      </c>
      <c r="D1543" t="s">
        <v>113</v>
      </c>
      <c r="E1543">
        <v>3</v>
      </c>
      <c r="H1543">
        <v>166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S1549" si="841">"14:52:54.102"</f>
        <v>14:52:54.102</v>
      </c>
      <c r="T1543" t="str">
        <f t="shared" ref="T1543:T1549" si="842">"14:52:53.902"</f>
        <v>14:52:53.902</v>
      </c>
      <c r="U1543" t="str">
        <f t="shared" si="838"/>
        <v>ACC530</v>
      </c>
      <c r="V1543">
        <v>0</v>
      </c>
      <c r="W1543">
        <v>0</v>
      </c>
      <c r="X1543">
        <v>1</v>
      </c>
      <c r="Z1543">
        <v>0</v>
      </c>
      <c r="AA1543">
        <v>9</v>
      </c>
      <c r="AB1543">
        <v>3</v>
      </c>
      <c r="AC1543">
        <v>0</v>
      </c>
      <c r="AD1543">
        <v>9</v>
      </c>
      <c r="AE1543">
        <v>0</v>
      </c>
      <c r="AF1543">
        <v>3</v>
      </c>
      <c r="AG1543">
        <v>1</v>
      </c>
      <c r="AH1543">
        <v>0</v>
      </c>
      <c r="AI1543" t="s">
        <v>610</v>
      </c>
      <c r="AJ1543">
        <v>34.195267999999999</v>
      </c>
      <c r="AK1543" t="s">
        <v>611</v>
      </c>
      <c r="AL1543">
        <v>-116.985276</v>
      </c>
      <c r="AM1543">
        <v>100</v>
      </c>
      <c r="AN1543">
        <v>8700</v>
      </c>
      <c r="AO1543" t="s">
        <v>118</v>
      </c>
      <c r="AP1543">
        <v>-105</v>
      </c>
      <c r="AQ1543">
        <v>-67</v>
      </c>
      <c r="AR1543">
        <v>-704</v>
      </c>
      <c r="AZ1543">
        <v>1200</v>
      </c>
      <c r="BA1543">
        <v>1</v>
      </c>
      <c r="BB1543" t="str">
        <f t="shared" si="839"/>
        <v xml:space="preserve">N9217B  </v>
      </c>
      <c r="BC1543">
        <v>1</v>
      </c>
      <c r="BE1543">
        <v>0</v>
      </c>
      <c r="BF1543">
        <v>0</v>
      </c>
      <c r="BG1543">
        <v>0</v>
      </c>
      <c r="BH1543">
        <v>8750</v>
      </c>
      <c r="BI1543">
        <v>1</v>
      </c>
      <c r="BJ1543">
        <v>0</v>
      </c>
      <c r="BK1543">
        <v>0</v>
      </c>
      <c r="BL1543">
        <v>0</v>
      </c>
      <c r="BO1543">
        <v>0</v>
      </c>
      <c r="BP1543">
        <v>0</v>
      </c>
      <c r="BW1543" t="str">
        <f t="shared" ref="BW1543:BW1549" si="843">"14:52:54.105"</f>
        <v>14:52:54.105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285</v>
      </c>
      <c r="CR1543">
        <v>0</v>
      </c>
      <c r="CW1543">
        <v>8854667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25">
      <c r="A1544" t="str">
        <f t="shared" si="840"/>
        <v>06/05/2020 14:52:48.469</v>
      </c>
      <c r="C1544" t="str">
        <f t="shared" si="823"/>
        <v>FFDFD3C0</v>
      </c>
      <c r="D1544" t="s">
        <v>134</v>
      </c>
      <c r="E1544">
        <v>7</v>
      </c>
      <c r="F1544">
        <v>2007</v>
      </c>
      <c r="G1544" t="s">
        <v>135</v>
      </c>
      <c r="J1544" t="s">
        <v>136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841"/>
        <v>14:52:54.102</v>
      </c>
      <c r="T1544" t="str">
        <f t="shared" si="842"/>
        <v>14:52:53.902</v>
      </c>
      <c r="U1544" t="str">
        <f t="shared" si="838"/>
        <v>ACC530</v>
      </c>
      <c r="V1544">
        <v>0</v>
      </c>
      <c r="W1544">
        <v>0</v>
      </c>
      <c r="X1544">
        <v>1</v>
      </c>
      <c r="Z1544">
        <v>0</v>
      </c>
      <c r="AA1544">
        <v>9</v>
      </c>
      <c r="AB1544">
        <v>3</v>
      </c>
      <c r="AC1544">
        <v>0</v>
      </c>
      <c r="AD1544">
        <v>9</v>
      </c>
      <c r="AE1544">
        <v>0</v>
      </c>
      <c r="AF1544">
        <v>3</v>
      </c>
      <c r="AG1544">
        <v>1</v>
      </c>
      <c r="AH1544">
        <v>0</v>
      </c>
      <c r="AI1544" t="s">
        <v>610</v>
      </c>
      <c r="AJ1544">
        <v>34.195267999999999</v>
      </c>
      <c r="AK1544" t="s">
        <v>611</v>
      </c>
      <c r="AL1544">
        <v>-116.985276</v>
      </c>
      <c r="AM1544">
        <v>100</v>
      </c>
      <c r="AN1544">
        <v>8700</v>
      </c>
      <c r="AO1544" t="s">
        <v>118</v>
      </c>
      <c r="AP1544">
        <v>-105</v>
      </c>
      <c r="AQ1544">
        <v>-67</v>
      </c>
      <c r="AR1544">
        <v>-704</v>
      </c>
      <c r="AZ1544">
        <v>1200</v>
      </c>
      <c r="BA1544">
        <v>1</v>
      </c>
      <c r="BB1544" t="str">
        <f t="shared" si="839"/>
        <v xml:space="preserve">N9217B  </v>
      </c>
      <c r="BC1544">
        <v>1</v>
      </c>
      <c r="BE1544">
        <v>0</v>
      </c>
      <c r="BF1544">
        <v>0</v>
      </c>
      <c r="BG1544">
        <v>0</v>
      </c>
      <c r="BH1544">
        <v>8750</v>
      </c>
      <c r="BI1544">
        <v>1</v>
      </c>
      <c r="BJ1544">
        <v>0</v>
      </c>
      <c r="BK1544">
        <v>0</v>
      </c>
      <c r="BL1544">
        <v>0</v>
      </c>
      <c r="BO1544">
        <v>0</v>
      </c>
      <c r="BP1544">
        <v>0</v>
      </c>
      <c r="BW1544" t="str">
        <f t="shared" si="843"/>
        <v>14:52:54.105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285</v>
      </c>
      <c r="CR1544">
        <v>0</v>
      </c>
      <c r="CW1544">
        <v>8854667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25">
      <c r="A1545" t="str">
        <f t="shared" si="840"/>
        <v>06/05/2020 14:52:48.469</v>
      </c>
      <c r="C1545" t="str">
        <f t="shared" si="823"/>
        <v>FFDFD3C0</v>
      </c>
      <c r="D1545" t="s">
        <v>151</v>
      </c>
      <c r="E1545">
        <v>8</v>
      </c>
      <c r="H1545">
        <v>225</v>
      </c>
      <c r="I1545" t="s">
        <v>353</v>
      </c>
      <c r="J1545" t="s">
        <v>150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841"/>
        <v>14:52:54.102</v>
      </c>
      <c r="T1545" t="str">
        <f t="shared" si="842"/>
        <v>14:52:53.902</v>
      </c>
      <c r="U1545" t="str">
        <f t="shared" si="838"/>
        <v>ACC530</v>
      </c>
      <c r="V1545">
        <v>0</v>
      </c>
      <c r="W1545">
        <v>0</v>
      </c>
      <c r="X1545">
        <v>1</v>
      </c>
      <c r="Z1545">
        <v>0</v>
      </c>
      <c r="AA1545">
        <v>9</v>
      </c>
      <c r="AB1545">
        <v>3</v>
      </c>
      <c r="AC1545">
        <v>0</v>
      </c>
      <c r="AD1545">
        <v>9</v>
      </c>
      <c r="AE1545">
        <v>0</v>
      </c>
      <c r="AF1545">
        <v>3</v>
      </c>
      <c r="AG1545">
        <v>1</v>
      </c>
      <c r="AH1545">
        <v>0</v>
      </c>
      <c r="AI1545" t="s">
        <v>610</v>
      </c>
      <c r="AJ1545">
        <v>34.195267999999999</v>
      </c>
      <c r="AK1545" t="s">
        <v>611</v>
      </c>
      <c r="AL1545">
        <v>-116.985276</v>
      </c>
      <c r="AM1545">
        <v>100</v>
      </c>
      <c r="AN1545">
        <v>8700</v>
      </c>
      <c r="AO1545" t="s">
        <v>118</v>
      </c>
      <c r="AP1545">
        <v>-105</v>
      </c>
      <c r="AQ1545">
        <v>-67</v>
      </c>
      <c r="AR1545">
        <v>-704</v>
      </c>
      <c r="AZ1545">
        <v>1200</v>
      </c>
      <c r="BA1545">
        <v>1</v>
      </c>
      <c r="BB1545" t="str">
        <f t="shared" si="839"/>
        <v xml:space="preserve">N9217B  </v>
      </c>
      <c r="BC1545">
        <v>1</v>
      </c>
      <c r="BE1545">
        <v>0</v>
      </c>
      <c r="BF1545">
        <v>0</v>
      </c>
      <c r="BG1545">
        <v>0</v>
      </c>
      <c r="BH1545">
        <v>8750</v>
      </c>
      <c r="BI1545">
        <v>1</v>
      </c>
      <c r="BJ1545">
        <v>0</v>
      </c>
      <c r="BK1545">
        <v>0</v>
      </c>
      <c r="BL1545">
        <v>0</v>
      </c>
      <c r="BO1545">
        <v>0</v>
      </c>
      <c r="BP1545">
        <v>0</v>
      </c>
      <c r="BW1545" t="str">
        <f t="shared" si="843"/>
        <v>14:52:54.105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285</v>
      </c>
      <c r="CR1545">
        <v>0</v>
      </c>
      <c r="CW1545">
        <v>8854667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25">
      <c r="A1546" t="str">
        <f t="shared" si="840"/>
        <v>06/05/2020 14:52:48.469</v>
      </c>
      <c r="C1546" t="str">
        <f t="shared" si="823"/>
        <v>FFDFD3C0</v>
      </c>
      <c r="D1546" t="s">
        <v>151</v>
      </c>
      <c r="E1546">
        <v>9</v>
      </c>
      <c r="H1546">
        <v>226</v>
      </c>
      <c r="I1546" t="s">
        <v>152</v>
      </c>
      <c r="J1546" t="s">
        <v>150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841"/>
        <v>14:52:54.102</v>
      </c>
      <c r="T1546" t="str">
        <f t="shared" si="842"/>
        <v>14:52:53.902</v>
      </c>
      <c r="U1546" t="str">
        <f t="shared" si="838"/>
        <v>ACC530</v>
      </c>
      <c r="V1546">
        <v>0</v>
      </c>
      <c r="W1546">
        <v>0</v>
      </c>
      <c r="X1546">
        <v>1</v>
      </c>
      <c r="Z1546">
        <v>0</v>
      </c>
      <c r="AA1546">
        <v>9</v>
      </c>
      <c r="AB1546">
        <v>3</v>
      </c>
      <c r="AC1546">
        <v>0</v>
      </c>
      <c r="AD1546">
        <v>9</v>
      </c>
      <c r="AE1546">
        <v>0</v>
      </c>
      <c r="AF1546">
        <v>3</v>
      </c>
      <c r="AG1546">
        <v>1</v>
      </c>
      <c r="AH1546">
        <v>0</v>
      </c>
      <c r="AI1546" t="s">
        <v>610</v>
      </c>
      <c r="AJ1546">
        <v>34.195267999999999</v>
      </c>
      <c r="AK1546" t="s">
        <v>611</v>
      </c>
      <c r="AL1546">
        <v>-116.985276</v>
      </c>
      <c r="AM1546">
        <v>100</v>
      </c>
      <c r="AN1546">
        <v>8700</v>
      </c>
      <c r="AO1546" t="s">
        <v>118</v>
      </c>
      <c r="AP1546">
        <v>-105</v>
      </c>
      <c r="AQ1546">
        <v>-67</v>
      </c>
      <c r="AR1546">
        <v>-704</v>
      </c>
      <c r="AZ1546">
        <v>1200</v>
      </c>
      <c r="BA1546">
        <v>1</v>
      </c>
      <c r="BB1546" t="str">
        <f t="shared" si="839"/>
        <v xml:space="preserve">N9217B  </v>
      </c>
      <c r="BC1546">
        <v>1</v>
      </c>
      <c r="BE1546">
        <v>0</v>
      </c>
      <c r="BF1546">
        <v>0</v>
      </c>
      <c r="BG1546">
        <v>0</v>
      </c>
      <c r="BH1546">
        <v>8750</v>
      </c>
      <c r="BI1546">
        <v>1</v>
      </c>
      <c r="BJ1546">
        <v>0</v>
      </c>
      <c r="BK1546">
        <v>0</v>
      </c>
      <c r="BL1546">
        <v>0</v>
      </c>
      <c r="BO1546">
        <v>0</v>
      </c>
      <c r="BP1546">
        <v>0</v>
      </c>
      <c r="BW1546" t="str">
        <f t="shared" si="843"/>
        <v>14:52:54.105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285</v>
      </c>
      <c r="CR1546">
        <v>0</v>
      </c>
      <c r="CW1546">
        <v>8854667</v>
      </c>
      <c r="CY1546">
        <v>0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25">
      <c r="A1547" t="str">
        <f t="shared" si="840"/>
        <v>06/05/2020 14:52:48.469</v>
      </c>
      <c r="C1547" t="str">
        <f t="shared" si="823"/>
        <v>FFDFD3C0</v>
      </c>
      <c r="D1547" t="s">
        <v>148</v>
      </c>
      <c r="E1547">
        <v>8</v>
      </c>
      <c r="H1547">
        <v>50</v>
      </c>
      <c r="I1547" t="s">
        <v>149</v>
      </c>
      <c r="J1547" t="s">
        <v>150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841"/>
        <v>14:52:54.102</v>
      </c>
      <c r="T1547" t="str">
        <f t="shared" si="842"/>
        <v>14:52:53.902</v>
      </c>
      <c r="U1547" t="str">
        <f t="shared" si="838"/>
        <v>ACC530</v>
      </c>
      <c r="V1547">
        <v>0</v>
      </c>
      <c r="W1547">
        <v>0</v>
      </c>
      <c r="X1547">
        <v>1</v>
      </c>
      <c r="Z1547">
        <v>0</v>
      </c>
      <c r="AA1547">
        <v>9</v>
      </c>
      <c r="AB1547">
        <v>3</v>
      </c>
      <c r="AC1547">
        <v>0</v>
      </c>
      <c r="AD1547">
        <v>9</v>
      </c>
      <c r="AE1547">
        <v>0</v>
      </c>
      <c r="AF1547">
        <v>3</v>
      </c>
      <c r="AG1547">
        <v>1</v>
      </c>
      <c r="AH1547">
        <v>0</v>
      </c>
      <c r="AI1547" t="s">
        <v>610</v>
      </c>
      <c r="AJ1547">
        <v>34.195267999999999</v>
      </c>
      <c r="AK1547" t="s">
        <v>611</v>
      </c>
      <c r="AL1547">
        <v>-116.985276</v>
      </c>
      <c r="AM1547">
        <v>100</v>
      </c>
      <c r="AN1547">
        <v>8700</v>
      </c>
      <c r="AO1547" t="s">
        <v>118</v>
      </c>
      <c r="AP1547">
        <v>-105</v>
      </c>
      <c r="AQ1547">
        <v>-67</v>
      </c>
      <c r="AR1547">
        <v>-704</v>
      </c>
      <c r="AZ1547">
        <v>1200</v>
      </c>
      <c r="BA1547">
        <v>1</v>
      </c>
      <c r="BB1547" t="str">
        <f t="shared" si="839"/>
        <v xml:space="preserve">N9217B  </v>
      </c>
      <c r="BC1547">
        <v>1</v>
      </c>
      <c r="BE1547">
        <v>0</v>
      </c>
      <c r="BF1547">
        <v>0</v>
      </c>
      <c r="BG1547">
        <v>0</v>
      </c>
      <c r="BH1547">
        <v>8750</v>
      </c>
      <c r="BI1547">
        <v>1</v>
      </c>
      <c r="BJ1547">
        <v>0</v>
      </c>
      <c r="BK1547">
        <v>0</v>
      </c>
      <c r="BL1547">
        <v>0</v>
      </c>
      <c r="BO1547">
        <v>0</v>
      </c>
      <c r="BP1547">
        <v>0</v>
      </c>
      <c r="BW1547" t="str">
        <f t="shared" si="843"/>
        <v>14:52:54.105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285</v>
      </c>
      <c r="CR1547">
        <v>0</v>
      </c>
      <c r="CW1547">
        <v>8854667</v>
      </c>
      <c r="CY1547">
        <v>0</v>
      </c>
      <c r="CZ1547">
        <v>0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25">
      <c r="A1548" t="str">
        <f t="shared" si="840"/>
        <v>06/05/2020 14:52:48.469</v>
      </c>
      <c r="C1548" t="str">
        <f t="shared" si="823"/>
        <v>FFDFD3C0</v>
      </c>
      <c r="D1548" t="s">
        <v>148</v>
      </c>
      <c r="E1548">
        <v>11</v>
      </c>
      <c r="H1548">
        <v>53</v>
      </c>
      <c r="I1548" t="s">
        <v>364</v>
      </c>
      <c r="J1548" t="s">
        <v>150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841"/>
        <v>14:52:54.102</v>
      </c>
      <c r="T1548" t="str">
        <f t="shared" si="842"/>
        <v>14:52:53.902</v>
      </c>
      <c r="U1548" t="str">
        <f t="shared" si="838"/>
        <v>ACC530</v>
      </c>
      <c r="V1548">
        <v>0</v>
      </c>
      <c r="W1548">
        <v>0</v>
      </c>
      <c r="X1548">
        <v>1</v>
      </c>
      <c r="Z1548">
        <v>0</v>
      </c>
      <c r="AA1548">
        <v>9</v>
      </c>
      <c r="AB1548">
        <v>3</v>
      </c>
      <c r="AC1548">
        <v>0</v>
      </c>
      <c r="AD1548">
        <v>9</v>
      </c>
      <c r="AE1548">
        <v>0</v>
      </c>
      <c r="AF1548">
        <v>3</v>
      </c>
      <c r="AG1548">
        <v>1</v>
      </c>
      <c r="AH1548">
        <v>0</v>
      </c>
      <c r="AI1548" t="s">
        <v>610</v>
      </c>
      <c r="AJ1548">
        <v>34.195267999999999</v>
      </c>
      <c r="AK1548" t="s">
        <v>611</v>
      </c>
      <c r="AL1548">
        <v>-116.985276</v>
      </c>
      <c r="AM1548">
        <v>100</v>
      </c>
      <c r="AN1548">
        <v>8700</v>
      </c>
      <c r="AO1548" t="s">
        <v>118</v>
      </c>
      <c r="AP1548">
        <v>-105</v>
      </c>
      <c r="AQ1548">
        <v>-67</v>
      </c>
      <c r="AR1548">
        <v>-704</v>
      </c>
      <c r="AZ1548">
        <v>1200</v>
      </c>
      <c r="BA1548">
        <v>1</v>
      </c>
      <c r="BB1548" t="str">
        <f t="shared" si="839"/>
        <v xml:space="preserve">N9217B  </v>
      </c>
      <c r="BC1548">
        <v>1</v>
      </c>
      <c r="BE1548">
        <v>0</v>
      </c>
      <c r="BF1548">
        <v>0</v>
      </c>
      <c r="BG1548">
        <v>0</v>
      </c>
      <c r="BH1548">
        <v>8750</v>
      </c>
      <c r="BI1548">
        <v>1</v>
      </c>
      <c r="BJ1548">
        <v>0</v>
      </c>
      <c r="BK1548">
        <v>0</v>
      </c>
      <c r="BL1548">
        <v>0</v>
      </c>
      <c r="BO1548">
        <v>0</v>
      </c>
      <c r="BP1548">
        <v>0</v>
      </c>
      <c r="BW1548" t="str">
        <f t="shared" si="843"/>
        <v>14:52:54.105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285</v>
      </c>
      <c r="CR1548">
        <v>0</v>
      </c>
      <c r="CW1548">
        <v>8854667</v>
      </c>
      <c r="CY1548">
        <v>0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25">
      <c r="A1549" t="str">
        <f t="shared" si="840"/>
        <v>06/05/2020 14:52:48.469</v>
      </c>
      <c r="C1549" t="str">
        <f t="shared" si="823"/>
        <v>FFDFD3C0</v>
      </c>
      <c r="D1549" t="s">
        <v>141</v>
      </c>
      <c r="E1549">
        <v>20</v>
      </c>
      <c r="F1549">
        <v>1020</v>
      </c>
      <c r="G1549" t="s">
        <v>114</v>
      </c>
      <c r="J1549" t="s">
        <v>142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841"/>
        <v>14:52:54.102</v>
      </c>
      <c r="T1549" t="str">
        <f t="shared" si="842"/>
        <v>14:52:53.902</v>
      </c>
      <c r="U1549" t="str">
        <f t="shared" si="838"/>
        <v>ACC530</v>
      </c>
      <c r="V1549">
        <v>0</v>
      </c>
      <c r="W1549">
        <v>0</v>
      </c>
      <c r="X1549">
        <v>1</v>
      </c>
      <c r="Z1549">
        <v>0</v>
      </c>
      <c r="AA1549">
        <v>9</v>
      </c>
      <c r="AB1549">
        <v>3</v>
      </c>
      <c r="AC1549">
        <v>0</v>
      </c>
      <c r="AD1549">
        <v>9</v>
      </c>
      <c r="AE1549">
        <v>0</v>
      </c>
      <c r="AF1549">
        <v>3</v>
      </c>
      <c r="AG1549">
        <v>1</v>
      </c>
      <c r="AH1549">
        <v>0</v>
      </c>
      <c r="AI1549" t="s">
        <v>610</v>
      </c>
      <c r="AJ1549">
        <v>34.195267999999999</v>
      </c>
      <c r="AK1549" t="s">
        <v>611</v>
      </c>
      <c r="AL1549">
        <v>-116.985276</v>
      </c>
      <c r="AM1549">
        <v>100</v>
      </c>
      <c r="AN1549">
        <v>8700</v>
      </c>
      <c r="AO1549" t="s">
        <v>118</v>
      </c>
      <c r="AP1549">
        <v>-105</v>
      </c>
      <c r="AQ1549">
        <v>-67</v>
      </c>
      <c r="AR1549">
        <v>-704</v>
      </c>
      <c r="AZ1549">
        <v>1200</v>
      </c>
      <c r="BA1549">
        <v>1</v>
      </c>
      <c r="BB1549" t="str">
        <f t="shared" si="839"/>
        <v xml:space="preserve">N9217B  </v>
      </c>
      <c r="BC1549">
        <v>1</v>
      </c>
      <c r="BE1549">
        <v>0</v>
      </c>
      <c r="BF1549">
        <v>0</v>
      </c>
      <c r="BG1549">
        <v>0</v>
      </c>
      <c r="BH1549">
        <v>8750</v>
      </c>
      <c r="BI1549">
        <v>1</v>
      </c>
      <c r="BJ1549">
        <v>0</v>
      </c>
      <c r="BK1549">
        <v>0</v>
      </c>
      <c r="BL1549">
        <v>0</v>
      </c>
      <c r="BO1549">
        <v>0</v>
      </c>
      <c r="BP1549">
        <v>0</v>
      </c>
      <c r="BW1549" t="str">
        <f t="shared" si="843"/>
        <v>14:52:54.105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285</v>
      </c>
      <c r="CR1549">
        <v>0</v>
      </c>
      <c r="CW1549">
        <v>8854667</v>
      </c>
      <c r="CY1549">
        <v>0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25">
      <c r="A1550" t="str">
        <f t="shared" ref="A1550:A1556" si="844">"06/05/2020 14:52:49.428"</f>
        <v>06/05/2020 14:52:49.428</v>
      </c>
      <c r="C1550" t="str">
        <f t="shared" si="823"/>
        <v>FFDFD3C0</v>
      </c>
      <c r="D1550" t="s">
        <v>113</v>
      </c>
      <c r="E1550">
        <v>3</v>
      </c>
      <c r="H1550">
        <v>166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ref="S1550:S1556" si="845">"14:52:55.094"</f>
        <v>14:52:55.094</v>
      </c>
      <c r="T1550" t="str">
        <f t="shared" ref="T1550:T1556" si="846">"14:52:54.894"</f>
        <v>14:52:54.894</v>
      </c>
      <c r="U1550" t="str">
        <f t="shared" si="838"/>
        <v>ACC530</v>
      </c>
      <c r="V1550">
        <v>0</v>
      </c>
      <c r="W1550">
        <v>0</v>
      </c>
      <c r="X1550">
        <v>1</v>
      </c>
      <c r="Z1550">
        <v>0</v>
      </c>
      <c r="AA1550">
        <v>9</v>
      </c>
      <c r="AB1550">
        <v>3</v>
      </c>
      <c r="AC1550">
        <v>0</v>
      </c>
      <c r="AD1550">
        <v>9</v>
      </c>
      <c r="AE1550">
        <v>0</v>
      </c>
      <c r="AF1550">
        <v>3</v>
      </c>
      <c r="AG1550">
        <v>1</v>
      </c>
      <c r="AH1550">
        <v>0</v>
      </c>
      <c r="AI1550" t="s">
        <v>612</v>
      </c>
      <c r="AJ1550">
        <v>34.194946000000002</v>
      </c>
      <c r="AK1550" t="s">
        <v>613</v>
      </c>
      <c r="AL1550">
        <v>-116.985855</v>
      </c>
      <c r="AM1550">
        <v>100</v>
      </c>
      <c r="AN1550">
        <v>8700</v>
      </c>
      <c r="AO1550" t="s">
        <v>118</v>
      </c>
      <c r="AP1550">
        <v>-105</v>
      </c>
      <c r="AQ1550">
        <v>-67</v>
      </c>
      <c r="AR1550">
        <v>-704</v>
      </c>
      <c r="AZ1550">
        <v>1200</v>
      </c>
      <c r="BA1550">
        <v>1</v>
      </c>
      <c r="BB1550" t="str">
        <f t="shared" si="839"/>
        <v xml:space="preserve">N9217B  </v>
      </c>
      <c r="BC1550">
        <v>1</v>
      </c>
      <c r="BE1550">
        <v>0</v>
      </c>
      <c r="BF1550">
        <v>0</v>
      </c>
      <c r="BG1550">
        <v>0</v>
      </c>
      <c r="BH1550">
        <v>8725</v>
      </c>
      <c r="BI1550">
        <v>1</v>
      </c>
      <c r="BJ1550">
        <v>0</v>
      </c>
      <c r="BK1550">
        <v>0</v>
      </c>
      <c r="BL1550">
        <v>0</v>
      </c>
      <c r="BO1550">
        <v>0</v>
      </c>
      <c r="BP1550">
        <v>0</v>
      </c>
      <c r="BW1550" t="str">
        <f t="shared" ref="BW1550:BW1556" si="847">"14:52:55.095"</f>
        <v>14:52:55.095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285</v>
      </c>
      <c r="CR1550">
        <v>0</v>
      </c>
      <c r="CW1550">
        <v>8854755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25">
      <c r="A1551" t="str">
        <f t="shared" si="844"/>
        <v>06/05/2020 14:52:49.428</v>
      </c>
      <c r="C1551" t="str">
        <f t="shared" si="823"/>
        <v>FFDFD3C0</v>
      </c>
      <c r="D1551" t="s">
        <v>134</v>
      </c>
      <c r="E1551">
        <v>7</v>
      </c>
      <c r="F1551">
        <v>2007</v>
      </c>
      <c r="G1551" t="s">
        <v>135</v>
      </c>
      <c r="J1551" t="s">
        <v>136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845"/>
        <v>14:52:55.094</v>
      </c>
      <c r="T1551" t="str">
        <f t="shared" si="846"/>
        <v>14:52:54.894</v>
      </c>
      <c r="U1551" t="str">
        <f t="shared" si="838"/>
        <v>ACC530</v>
      </c>
      <c r="V1551">
        <v>0</v>
      </c>
      <c r="W1551">
        <v>0</v>
      </c>
      <c r="X1551">
        <v>1</v>
      </c>
      <c r="Z1551">
        <v>0</v>
      </c>
      <c r="AA1551">
        <v>9</v>
      </c>
      <c r="AB1551">
        <v>3</v>
      </c>
      <c r="AC1551">
        <v>0</v>
      </c>
      <c r="AD1551">
        <v>9</v>
      </c>
      <c r="AE1551">
        <v>0</v>
      </c>
      <c r="AF1551">
        <v>3</v>
      </c>
      <c r="AG1551">
        <v>1</v>
      </c>
      <c r="AH1551">
        <v>0</v>
      </c>
      <c r="AI1551" t="s">
        <v>612</v>
      </c>
      <c r="AJ1551">
        <v>34.194946000000002</v>
      </c>
      <c r="AK1551" t="s">
        <v>613</v>
      </c>
      <c r="AL1551">
        <v>-116.985855</v>
      </c>
      <c r="AM1551">
        <v>100</v>
      </c>
      <c r="AN1551">
        <v>8700</v>
      </c>
      <c r="AO1551" t="s">
        <v>118</v>
      </c>
      <c r="AP1551">
        <v>-105</v>
      </c>
      <c r="AQ1551">
        <v>-67</v>
      </c>
      <c r="AR1551">
        <v>-704</v>
      </c>
      <c r="AZ1551">
        <v>1200</v>
      </c>
      <c r="BA1551">
        <v>1</v>
      </c>
      <c r="BB1551" t="str">
        <f t="shared" si="839"/>
        <v xml:space="preserve">N9217B  </v>
      </c>
      <c r="BC1551">
        <v>1</v>
      </c>
      <c r="BE1551">
        <v>0</v>
      </c>
      <c r="BF1551">
        <v>0</v>
      </c>
      <c r="BG1551">
        <v>0</v>
      </c>
      <c r="BH1551">
        <v>8725</v>
      </c>
      <c r="BI1551">
        <v>1</v>
      </c>
      <c r="BJ1551">
        <v>0</v>
      </c>
      <c r="BK1551">
        <v>0</v>
      </c>
      <c r="BL1551">
        <v>0</v>
      </c>
      <c r="BO1551">
        <v>0</v>
      </c>
      <c r="BP1551">
        <v>0</v>
      </c>
      <c r="BW1551" t="str">
        <f t="shared" si="847"/>
        <v>14:52:55.095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285</v>
      </c>
      <c r="CR1551">
        <v>0</v>
      </c>
      <c r="CW1551">
        <v>8854755</v>
      </c>
      <c r="CY1551">
        <v>0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25">
      <c r="A1552" t="str">
        <f t="shared" si="844"/>
        <v>06/05/2020 14:52:49.428</v>
      </c>
      <c r="C1552" t="str">
        <f t="shared" si="823"/>
        <v>FFDFD3C0</v>
      </c>
      <c r="D1552" t="s">
        <v>151</v>
      </c>
      <c r="E1552">
        <v>8</v>
      </c>
      <c r="H1552">
        <v>225</v>
      </c>
      <c r="I1552" t="s">
        <v>353</v>
      </c>
      <c r="J1552" t="s">
        <v>150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845"/>
        <v>14:52:55.094</v>
      </c>
      <c r="T1552" t="str">
        <f t="shared" si="846"/>
        <v>14:52:54.894</v>
      </c>
      <c r="U1552" t="str">
        <f t="shared" si="838"/>
        <v>ACC530</v>
      </c>
      <c r="V1552">
        <v>0</v>
      </c>
      <c r="W1552">
        <v>0</v>
      </c>
      <c r="X1552">
        <v>1</v>
      </c>
      <c r="Z1552">
        <v>0</v>
      </c>
      <c r="AA1552">
        <v>9</v>
      </c>
      <c r="AB1552">
        <v>3</v>
      </c>
      <c r="AC1552">
        <v>0</v>
      </c>
      <c r="AD1552">
        <v>9</v>
      </c>
      <c r="AE1552">
        <v>0</v>
      </c>
      <c r="AF1552">
        <v>3</v>
      </c>
      <c r="AG1552">
        <v>1</v>
      </c>
      <c r="AH1552">
        <v>0</v>
      </c>
      <c r="AI1552" t="s">
        <v>612</v>
      </c>
      <c r="AJ1552">
        <v>34.194946000000002</v>
      </c>
      <c r="AK1552" t="s">
        <v>613</v>
      </c>
      <c r="AL1552">
        <v>-116.985855</v>
      </c>
      <c r="AM1552">
        <v>100</v>
      </c>
      <c r="AN1552">
        <v>8700</v>
      </c>
      <c r="AO1552" t="s">
        <v>118</v>
      </c>
      <c r="AP1552">
        <v>-105</v>
      </c>
      <c r="AQ1552">
        <v>-67</v>
      </c>
      <c r="AR1552">
        <v>-704</v>
      </c>
      <c r="AZ1552">
        <v>1200</v>
      </c>
      <c r="BA1552">
        <v>1</v>
      </c>
      <c r="BB1552" t="str">
        <f t="shared" si="839"/>
        <v xml:space="preserve">N9217B  </v>
      </c>
      <c r="BC1552">
        <v>1</v>
      </c>
      <c r="BE1552">
        <v>0</v>
      </c>
      <c r="BF1552">
        <v>0</v>
      </c>
      <c r="BG1552">
        <v>0</v>
      </c>
      <c r="BH1552">
        <v>8725</v>
      </c>
      <c r="BI1552">
        <v>1</v>
      </c>
      <c r="BJ1552">
        <v>0</v>
      </c>
      <c r="BK1552">
        <v>0</v>
      </c>
      <c r="BL1552">
        <v>0</v>
      </c>
      <c r="BO1552">
        <v>0</v>
      </c>
      <c r="BP1552">
        <v>0</v>
      </c>
      <c r="BW1552" t="str">
        <f t="shared" si="847"/>
        <v>14:52:55.095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285</v>
      </c>
      <c r="CR1552">
        <v>0</v>
      </c>
      <c r="CW1552">
        <v>8854755</v>
      </c>
      <c r="CY1552">
        <v>0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25">
      <c r="A1553" t="str">
        <f t="shared" si="844"/>
        <v>06/05/2020 14:52:49.428</v>
      </c>
      <c r="C1553" t="str">
        <f t="shared" si="823"/>
        <v>FFDFD3C0</v>
      </c>
      <c r="D1553" t="s">
        <v>151</v>
      </c>
      <c r="E1553">
        <v>9</v>
      </c>
      <c r="H1553">
        <v>226</v>
      </c>
      <c r="I1553" t="s">
        <v>152</v>
      </c>
      <c r="J1553" t="s">
        <v>150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845"/>
        <v>14:52:55.094</v>
      </c>
      <c r="T1553" t="str">
        <f t="shared" si="846"/>
        <v>14:52:54.894</v>
      </c>
      <c r="U1553" t="str">
        <f t="shared" si="838"/>
        <v>ACC530</v>
      </c>
      <c r="V1553">
        <v>0</v>
      </c>
      <c r="W1553">
        <v>0</v>
      </c>
      <c r="X1553">
        <v>1</v>
      </c>
      <c r="Z1553">
        <v>0</v>
      </c>
      <c r="AA1553">
        <v>9</v>
      </c>
      <c r="AB1553">
        <v>3</v>
      </c>
      <c r="AC1553">
        <v>0</v>
      </c>
      <c r="AD1553">
        <v>9</v>
      </c>
      <c r="AE1553">
        <v>0</v>
      </c>
      <c r="AF1553">
        <v>3</v>
      </c>
      <c r="AG1553">
        <v>1</v>
      </c>
      <c r="AH1553">
        <v>0</v>
      </c>
      <c r="AI1553" t="s">
        <v>612</v>
      </c>
      <c r="AJ1553">
        <v>34.194946000000002</v>
      </c>
      <c r="AK1553" t="s">
        <v>613</v>
      </c>
      <c r="AL1553">
        <v>-116.985855</v>
      </c>
      <c r="AM1553">
        <v>100</v>
      </c>
      <c r="AN1553">
        <v>8700</v>
      </c>
      <c r="AO1553" t="s">
        <v>118</v>
      </c>
      <c r="AP1553">
        <v>-105</v>
      </c>
      <c r="AQ1553">
        <v>-67</v>
      </c>
      <c r="AR1553">
        <v>-704</v>
      </c>
      <c r="AZ1553">
        <v>1200</v>
      </c>
      <c r="BA1553">
        <v>1</v>
      </c>
      <c r="BB1553" t="str">
        <f t="shared" si="839"/>
        <v xml:space="preserve">N9217B  </v>
      </c>
      <c r="BC1553">
        <v>1</v>
      </c>
      <c r="BE1553">
        <v>0</v>
      </c>
      <c r="BF1553">
        <v>0</v>
      </c>
      <c r="BG1553">
        <v>0</v>
      </c>
      <c r="BH1553">
        <v>8725</v>
      </c>
      <c r="BI1553">
        <v>1</v>
      </c>
      <c r="BJ1553">
        <v>0</v>
      </c>
      <c r="BK1553">
        <v>0</v>
      </c>
      <c r="BL1553">
        <v>0</v>
      </c>
      <c r="BO1553">
        <v>0</v>
      </c>
      <c r="BP1553">
        <v>0</v>
      </c>
      <c r="BW1553" t="str">
        <f t="shared" si="847"/>
        <v>14:52:55.095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285</v>
      </c>
      <c r="CR1553">
        <v>0</v>
      </c>
      <c r="CW1553">
        <v>8854755</v>
      </c>
      <c r="CY1553">
        <v>0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25">
      <c r="A1554" t="str">
        <f t="shared" si="844"/>
        <v>06/05/2020 14:52:49.428</v>
      </c>
      <c r="C1554" t="str">
        <f t="shared" si="823"/>
        <v>FFDFD3C0</v>
      </c>
      <c r="D1554" t="s">
        <v>148</v>
      </c>
      <c r="E1554">
        <v>8</v>
      </c>
      <c r="H1554">
        <v>50</v>
      </c>
      <c r="I1554" t="s">
        <v>149</v>
      </c>
      <c r="J1554" t="s">
        <v>150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845"/>
        <v>14:52:55.094</v>
      </c>
      <c r="T1554" t="str">
        <f t="shared" si="846"/>
        <v>14:52:54.894</v>
      </c>
      <c r="U1554" t="str">
        <f t="shared" si="838"/>
        <v>ACC530</v>
      </c>
      <c r="V1554">
        <v>0</v>
      </c>
      <c r="W1554">
        <v>0</v>
      </c>
      <c r="X1554">
        <v>1</v>
      </c>
      <c r="Z1554">
        <v>0</v>
      </c>
      <c r="AA1554">
        <v>9</v>
      </c>
      <c r="AB1554">
        <v>3</v>
      </c>
      <c r="AC1554">
        <v>0</v>
      </c>
      <c r="AD1554">
        <v>9</v>
      </c>
      <c r="AE1554">
        <v>0</v>
      </c>
      <c r="AF1554">
        <v>3</v>
      </c>
      <c r="AG1554">
        <v>1</v>
      </c>
      <c r="AH1554">
        <v>0</v>
      </c>
      <c r="AI1554" t="s">
        <v>612</v>
      </c>
      <c r="AJ1554">
        <v>34.194946000000002</v>
      </c>
      <c r="AK1554" t="s">
        <v>613</v>
      </c>
      <c r="AL1554">
        <v>-116.985855</v>
      </c>
      <c r="AM1554">
        <v>100</v>
      </c>
      <c r="AN1554">
        <v>8700</v>
      </c>
      <c r="AO1554" t="s">
        <v>118</v>
      </c>
      <c r="AP1554">
        <v>-105</v>
      </c>
      <c r="AQ1554">
        <v>-67</v>
      </c>
      <c r="AR1554">
        <v>-704</v>
      </c>
      <c r="AZ1554">
        <v>1200</v>
      </c>
      <c r="BA1554">
        <v>1</v>
      </c>
      <c r="BB1554" t="str">
        <f t="shared" si="839"/>
        <v xml:space="preserve">N9217B  </v>
      </c>
      <c r="BC1554">
        <v>1</v>
      </c>
      <c r="BE1554">
        <v>0</v>
      </c>
      <c r="BF1554">
        <v>0</v>
      </c>
      <c r="BG1554">
        <v>0</v>
      </c>
      <c r="BH1554">
        <v>8725</v>
      </c>
      <c r="BI1554">
        <v>1</v>
      </c>
      <c r="BJ1554">
        <v>0</v>
      </c>
      <c r="BK1554">
        <v>0</v>
      </c>
      <c r="BL1554">
        <v>0</v>
      </c>
      <c r="BO1554">
        <v>0</v>
      </c>
      <c r="BP1554">
        <v>0</v>
      </c>
      <c r="BW1554" t="str">
        <f t="shared" si="847"/>
        <v>14:52:55.095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285</v>
      </c>
      <c r="CR1554">
        <v>0</v>
      </c>
      <c r="CW1554">
        <v>8854755</v>
      </c>
      <c r="CY1554">
        <v>0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25">
      <c r="A1555" t="str">
        <f t="shared" si="844"/>
        <v>06/05/2020 14:52:49.428</v>
      </c>
      <c r="C1555" t="str">
        <f t="shared" si="823"/>
        <v>FFDFD3C0</v>
      </c>
      <c r="D1555" t="s">
        <v>148</v>
      </c>
      <c r="E1555">
        <v>11</v>
      </c>
      <c r="H1555">
        <v>53</v>
      </c>
      <c r="I1555" t="s">
        <v>364</v>
      </c>
      <c r="J1555" t="s">
        <v>150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845"/>
        <v>14:52:55.094</v>
      </c>
      <c r="T1555" t="str">
        <f t="shared" si="846"/>
        <v>14:52:54.894</v>
      </c>
      <c r="U1555" t="str">
        <f t="shared" si="838"/>
        <v>ACC530</v>
      </c>
      <c r="V1555">
        <v>0</v>
      </c>
      <c r="W1555">
        <v>0</v>
      </c>
      <c r="X1555">
        <v>1</v>
      </c>
      <c r="Z1555">
        <v>0</v>
      </c>
      <c r="AA1555">
        <v>9</v>
      </c>
      <c r="AB1555">
        <v>3</v>
      </c>
      <c r="AC1555">
        <v>0</v>
      </c>
      <c r="AD1555">
        <v>9</v>
      </c>
      <c r="AE1555">
        <v>0</v>
      </c>
      <c r="AF1555">
        <v>3</v>
      </c>
      <c r="AG1555">
        <v>1</v>
      </c>
      <c r="AH1555">
        <v>0</v>
      </c>
      <c r="AI1555" t="s">
        <v>612</v>
      </c>
      <c r="AJ1555">
        <v>34.194946000000002</v>
      </c>
      <c r="AK1555" t="s">
        <v>613</v>
      </c>
      <c r="AL1555">
        <v>-116.985855</v>
      </c>
      <c r="AM1555">
        <v>100</v>
      </c>
      <c r="AN1555">
        <v>8700</v>
      </c>
      <c r="AO1555" t="s">
        <v>118</v>
      </c>
      <c r="AP1555">
        <v>-105</v>
      </c>
      <c r="AQ1555">
        <v>-67</v>
      </c>
      <c r="AR1555">
        <v>-704</v>
      </c>
      <c r="AZ1555">
        <v>1200</v>
      </c>
      <c r="BA1555">
        <v>1</v>
      </c>
      <c r="BB1555" t="str">
        <f t="shared" si="839"/>
        <v xml:space="preserve">N9217B  </v>
      </c>
      <c r="BC1555">
        <v>1</v>
      </c>
      <c r="BE1555">
        <v>0</v>
      </c>
      <c r="BF1555">
        <v>0</v>
      </c>
      <c r="BG1555">
        <v>0</v>
      </c>
      <c r="BH1555">
        <v>8725</v>
      </c>
      <c r="BI1555">
        <v>1</v>
      </c>
      <c r="BJ1555">
        <v>0</v>
      </c>
      <c r="BK1555">
        <v>0</v>
      </c>
      <c r="BL1555">
        <v>0</v>
      </c>
      <c r="BO1555">
        <v>0</v>
      </c>
      <c r="BP1555">
        <v>0</v>
      </c>
      <c r="BW1555" t="str">
        <f t="shared" si="847"/>
        <v>14:52:55.095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6</v>
      </c>
      <c r="CP1555" t="s">
        <v>119</v>
      </c>
      <c r="CQ1555">
        <v>285</v>
      </c>
      <c r="CR1555">
        <v>0</v>
      </c>
      <c r="CW1555">
        <v>8854755</v>
      </c>
      <c r="CY1555">
        <v>0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25">
      <c r="A1556" t="str">
        <f t="shared" si="844"/>
        <v>06/05/2020 14:52:49.428</v>
      </c>
      <c r="C1556" t="str">
        <f t="shared" si="823"/>
        <v>FFDFD3C0</v>
      </c>
      <c r="D1556" t="s">
        <v>141</v>
      </c>
      <c r="E1556">
        <v>20</v>
      </c>
      <c r="F1556">
        <v>1020</v>
      </c>
      <c r="G1556" t="s">
        <v>114</v>
      </c>
      <c r="J1556" t="s">
        <v>142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845"/>
        <v>14:52:55.094</v>
      </c>
      <c r="T1556" t="str">
        <f t="shared" si="846"/>
        <v>14:52:54.894</v>
      </c>
      <c r="U1556" t="str">
        <f t="shared" si="838"/>
        <v>ACC530</v>
      </c>
      <c r="V1556">
        <v>0</v>
      </c>
      <c r="W1556">
        <v>0</v>
      </c>
      <c r="X1556">
        <v>1</v>
      </c>
      <c r="Z1556">
        <v>0</v>
      </c>
      <c r="AA1556">
        <v>9</v>
      </c>
      <c r="AB1556">
        <v>3</v>
      </c>
      <c r="AC1556">
        <v>0</v>
      </c>
      <c r="AD1556">
        <v>9</v>
      </c>
      <c r="AE1556">
        <v>0</v>
      </c>
      <c r="AF1556">
        <v>3</v>
      </c>
      <c r="AG1556">
        <v>1</v>
      </c>
      <c r="AH1556">
        <v>0</v>
      </c>
      <c r="AI1556" t="s">
        <v>612</v>
      </c>
      <c r="AJ1556">
        <v>34.194946000000002</v>
      </c>
      <c r="AK1556" t="s">
        <v>613</v>
      </c>
      <c r="AL1556">
        <v>-116.985855</v>
      </c>
      <c r="AM1556">
        <v>100</v>
      </c>
      <c r="AN1556">
        <v>8700</v>
      </c>
      <c r="AO1556" t="s">
        <v>118</v>
      </c>
      <c r="AP1556">
        <v>-105</v>
      </c>
      <c r="AQ1556">
        <v>-67</v>
      </c>
      <c r="AR1556">
        <v>-704</v>
      </c>
      <c r="AZ1556">
        <v>1200</v>
      </c>
      <c r="BA1556">
        <v>1</v>
      </c>
      <c r="BB1556" t="str">
        <f t="shared" si="839"/>
        <v xml:space="preserve">N9217B  </v>
      </c>
      <c r="BC1556">
        <v>1</v>
      </c>
      <c r="BE1556">
        <v>0</v>
      </c>
      <c r="BF1556">
        <v>0</v>
      </c>
      <c r="BG1556">
        <v>0</v>
      </c>
      <c r="BH1556">
        <v>8725</v>
      </c>
      <c r="BI1556">
        <v>1</v>
      </c>
      <c r="BJ1556">
        <v>0</v>
      </c>
      <c r="BK1556">
        <v>0</v>
      </c>
      <c r="BL1556">
        <v>0</v>
      </c>
      <c r="BO1556">
        <v>0</v>
      </c>
      <c r="BP1556">
        <v>0</v>
      </c>
      <c r="BW1556" t="str">
        <f t="shared" si="847"/>
        <v>14:52:55.095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6</v>
      </c>
      <c r="CP1556" t="s">
        <v>119</v>
      </c>
      <c r="CQ1556">
        <v>285</v>
      </c>
      <c r="CR1556">
        <v>0</v>
      </c>
      <c r="CW1556">
        <v>8854755</v>
      </c>
      <c r="CY1556">
        <v>0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25">
      <c r="A1557" t="str">
        <f t="shared" ref="A1557:A1563" si="848">"06/05/2020 14:52:50.468"</f>
        <v>06/05/2020 14:52:50.468</v>
      </c>
      <c r="C1557" t="str">
        <f t="shared" si="823"/>
        <v>FFDFD3C0</v>
      </c>
      <c r="D1557" t="s">
        <v>151</v>
      </c>
      <c r="E1557">
        <v>8</v>
      </c>
      <c r="H1557">
        <v>225</v>
      </c>
      <c r="I1557" t="s">
        <v>353</v>
      </c>
      <c r="J1557" t="s">
        <v>150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ref="S1557:S1563" si="849">"14:52:56.125"</f>
        <v>14:52:56.125</v>
      </c>
      <c r="T1557" t="str">
        <f t="shared" ref="T1557:T1563" si="850">"14:52:55.425"</f>
        <v>14:52:55.425</v>
      </c>
      <c r="U1557" t="str">
        <f t="shared" si="838"/>
        <v>ACC530</v>
      </c>
      <c r="V1557">
        <v>0</v>
      </c>
      <c r="W1557">
        <v>0</v>
      </c>
      <c r="X1557">
        <v>1</v>
      </c>
      <c r="Z1557">
        <v>0</v>
      </c>
      <c r="AA1557">
        <v>9</v>
      </c>
      <c r="AB1557">
        <v>3</v>
      </c>
      <c r="AC1557">
        <v>0</v>
      </c>
      <c r="AD1557">
        <v>9</v>
      </c>
      <c r="AE1557">
        <v>0</v>
      </c>
      <c r="AF1557">
        <v>3</v>
      </c>
      <c r="AG1557">
        <v>1</v>
      </c>
      <c r="AH1557">
        <v>0</v>
      </c>
      <c r="AI1557" t="s">
        <v>614</v>
      </c>
      <c r="AJ1557">
        <v>34.194623999999997</v>
      </c>
      <c r="AK1557" t="s">
        <v>615</v>
      </c>
      <c r="AL1557">
        <v>-116.986456</v>
      </c>
      <c r="AM1557">
        <v>100</v>
      </c>
      <c r="AN1557">
        <v>8700</v>
      </c>
      <c r="AO1557" t="s">
        <v>118</v>
      </c>
      <c r="AP1557">
        <v>-105</v>
      </c>
      <c r="AQ1557">
        <v>-67</v>
      </c>
      <c r="AR1557">
        <v>-640</v>
      </c>
      <c r="AZ1557">
        <v>1200</v>
      </c>
      <c r="BA1557">
        <v>1</v>
      </c>
      <c r="BB1557" t="str">
        <f t="shared" si="839"/>
        <v xml:space="preserve">N9217B  </v>
      </c>
      <c r="BC1557">
        <v>1</v>
      </c>
      <c r="BE1557">
        <v>0</v>
      </c>
      <c r="BF1557">
        <v>0</v>
      </c>
      <c r="BG1557">
        <v>0</v>
      </c>
      <c r="BH1557">
        <v>8725</v>
      </c>
      <c r="BI1557">
        <v>1</v>
      </c>
      <c r="BJ1557">
        <v>0</v>
      </c>
      <c r="BK1557">
        <v>0</v>
      </c>
      <c r="BL1557">
        <v>0</v>
      </c>
      <c r="BO1557">
        <v>0</v>
      </c>
      <c r="BP1557">
        <v>0</v>
      </c>
      <c r="BW1557" t="str">
        <f t="shared" ref="BW1557:BW1563" si="851">"14:52:56.130"</f>
        <v>14:52:56.130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6</v>
      </c>
      <c r="CP1557" t="s">
        <v>119</v>
      </c>
      <c r="CQ1557">
        <v>285</v>
      </c>
      <c r="CR1557">
        <v>0</v>
      </c>
      <c r="CW1557">
        <v>8854848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25">
      <c r="A1558" t="str">
        <f t="shared" si="848"/>
        <v>06/05/2020 14:52:50.468</v>
      </c>
      <c r="C1558" t="str">
        <f t="shared" si="823"/>
        <v>FFDFD3C0</v>
      </c>
      <c r="D1558" t="s">
        <v>151</v>
      </c>
      <c r="E1558">
        <v>9</v>
      </c>
      <c r="H1558">
        <v>226</v>
      </c>
      <c r="I1558" t="s">
        <v>152</v>
      </c>
      <c r="J1558" t="s">
        <v>150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849"/>
        <v>14:52:56.125</v>
      </c>
      <c r="T1558" t="str">
        <f t="shared" si="850"/>
        <v>14:52:55.425</v>
      </c>
      <c r="U1558" t="str">
        <f t="shared" si="838"/>
        <v>ACC530</v>
      </c>
      <c r="V1558">
        <v>0</v>
      </c>
      <c r="W1558">
        <v>0</v>
      </c>
      <c r="X1558">
        <v>1</v>
      </c>
      <c r="Z1558">
        <v>0</v>
      </c>
      <c r="AA1558">
        <v>9</v>
      </c>
      <c r="AB1558">
        <v>3</v>
      </c>
      <c r="AC1558">
        <v>0</v>
      </c>
      <c r="AD1558">
        <v>9</v>
      </c>
      <c r="AE1558">
        <v>0</v>
      </c>
      <c r="AF1558">
        <v>3</v>
      </c>
      <c r="AG1558">
        <v>1</v>
      </c>
      <c r="AH1558">
        <v>0</v>
      </c>
      <c r="AI1558" t="s">
        <v>614</v>
      </c>
      <c r="AJ1558">
        <v>34.194623999999997</v>
      </c>
      <c r="AK1558" t="s">
        <v>615</v>
      </c>
      <c r="AL1558">
        <v>-116.986456</v>
      </c>
      <c r="AM1558">
        <v>100</v>
      </c>
      <c r="AN1558">
        <v>8700</v>
      </c>
      <c r="AO1558" t="s">
        <v>118</v>
      </c>
      <c r="AP1558">
        <v>-105</v>
      </c>
      <c r="AQ1558">
        <v>-67</v>
      </c>
      <c r="AR1558">
        <v>-640</v>
      </c>
      <c r="AZ1558">
        <v>1200</v>
      </c>
      <c r="BA1558">
        <v>1</v>
      </c>
      <c r="BB1558" t="str">
        <f t="shared" si="839"/>
        <v xml:space="preserve">N9217B  </v>
      </c>
      <c r="BC1558">
        <v>1</v>
      </c>
      <c r="BE1558">
        <v>0</v>
      </c>
      <c r="BF1558">
        <v>0</v>
      </c>
      <c r="BG1558">
        <v>0</v>
      </c>
      <c r="BH1558">
        <v>8725</v>
      </c>
      <c r="BI1558">
        <v>1</v>
      </c>
      <c r="BJ1558">
        <v>0</v>
      </c>
      <c r="BK1558">
        <v>0</v>
      </c>
      <c r="BL1558">
        <v>0</v>
      </c>
      <c r="BO1558">
        <v>0</v>
      </c>
      <c r="BP1558">
        <v>0</v>
      </c>
      <c r="BW1558" t="str">
        <f t="shared" si="851"/>
        <v>14:52:56.130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6</v>
      </c>
      <c r="CP1558" t="s">
        <v>119</v>
      </c>
      <c r="CQ1558">
        <v>285</v>
      </c>
      <c r="CR1558">
        <v>0</v>
      </c>
      <c r="CW1558">
        <v>8854848</v>
      </c>
      <c r="CY1558">
        <v>0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25">
      <c r="A1559" t="str">
        <f t="shared" si="848"/>
        <v>06/05/2020 14:52:50.468</v>
      </c>
      <c r="C1559" t="str">
        <f t="shared" si="823"/>
        <v>FFDFD3C0</v>
      </c>
      <c r="D1559" t="s">
        <v>141</v>
      </c>
      <c r="E1559">
        <v>20</v>
      </c>
      <c r="F1559">
        <v>1020</v>
      </c>
      <c r="G1559" t="s">
        <v>114</v>
      </c>
      <c r="J1559" t="s">
        <v>142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849"/>
        <v>14:52:56.125</v>
      </c>
      <c r="T1559" t="str">
        <f t="shared" si="850"/>
        <v>14:52:55.425</v>
      </c>
      <c r="U1559" t="str">
        <f t="shared" si="838"/>
        <v>ACC530</v>
      </c>
      <c r="V1559">
        <v>0</v>
      </c>
      <c r="W1559">
        <v>0</v>
      </c>
      <c r="X1559">
        <v>1</v>
      </c>
      <c r="Z1559">
        <v>0</v>
      </c>
      <c r="AA1559">
        <v>9</v>
      </c>
      <c r="AB1559">
        <v>3</v>
      </c>
      <c r="AC1559">
        <v>0</v>
      </c>
      <c r="AD1559">
        <v>9</v>
      </c>
      <c r="AE1559">
        <v>0</v>
      </c>
      <c r="AF1559">
        <v>3</v>
      </c>
      <c r="AG1559">
        <v>1</v>
      </c>
      <c r="AH1559">
        <v>0</v>
      </c>
      <c r="AI1559" t="s">
        <v>614</v>
      </c>
      <c r="AJ1559">
        <v>34.194623999999997</v>
      </c>
      <c r="AK1559" t="s">
        <v>615</v>
      </c>
      <c r="AL1559">
        <v>-116.986456</v>
      </c>
      <c r="AM1559">
        <v>100</v>
      </c>
      <c r="AN1559">
        <v>8700</v>
      </c>
      <c r="AO1559" t="s">
        <v>118</v>
      </c>
      <c r="AP1559">
        <v>-105</v>
      </c>
      <c r="AQ1559">
        <v>-67</v>
      </c>
      <c r="AR1559">
        <v>-640</v>
      </c>
      <c r="AZ1559">
        <v>1200</v>
      </c>
      <c r="BA1559">
        <v>1</v>
      </c>
      <c r="BB1559" t="str">
        <f t="shared" si="839"/>
        <v xml:space="preserve">N9217B  </v>
      </c>
      <c r="BC1559">
        <v>1</v>
      </c>
      <c r="BE1559">
        <v>0</v>
      </c>
      <c r="BF1559">
        <v>0</v>
      </c>
      <c r="BG1559">
        <v>0</v>
      </c>
      <c r="BH1559">
        <v>8725</v>
      </c>
      <c r="BI1559">
        <v>1</v>
      </c>
      <c r="BJ1559">
        <v>0</v>
      </c>
      <c r="BK1559">
        <v>0</v>
      </c>
      <c r="BL1559">
        <v>0</v>
      </c>
      <c r="BO1559">
        <v>0</v>
      </c>
      <c r="BP1559">
        <v>0</v>
      </c>
      <c r="BW1559" t="str">
        <f t="shared" si="851"/>
        <v>14:52:56.130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6</v>
      </c>
      <c r="CP1559" t="s">
        <v>119</v>
      </c>
      <c r="CQ1559">
        <v>285</v>
      </c>
      <c r="CR1559">
        <v>0</v>
      </c>
      <c r="CW1559">
        <v>8854848</v>
      </c>
      <c r="CY1559">
        <v>0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25">
      <c r="A1560" t="str">
        <f t="shared" si="848"/>
        <v>06/05/2020 14:52:50.468</v>
      </c>
      <c r="C1560" t="str">
        <f t="shared" si="823"/>
        <v>FFDFD3C0</v>
      </c>
      <c r="D1560" t="s">
        <v>148</v>
      </c>
      <c r="E1560">
        <v>11</v>
      </c>
      <c r="H1560">
        <v>53</v>
      </c>
      <c r="I1560" t="s">
        <v>364</v>
      </c>
      <c r="J1560" t="s">
        <v>150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849"/>
        <v>14:52:56.125</v>
      </c>
      <c r="T1560" t="str">
        <f t="shared" si="850"/>
        <v>14:52:55.425</v>
      </c>
      <c r="U1560" t="str">
        <f t="shared" si="838"/>
        <v>ACC530</v>
      </c>
      <c r="V1560">
        <v>0</v>
      </c>
      <c r="W1560">
        <v>0</v>
      </c>
      <c r="X1560">
        <v>1</v>
      </c>
      <c r="Z1560">
        <v>0</v>
      </c>
      <c r="AA1560">
        <v>9</v>
      </c>
      <c r="AB1560">
        <v>3</v>
      </c>
      <c r="AC1560">
        <v>0</v>
      </c>
      <c r="AD1560">
        <v>9</v>
      </c>
      <c r="AE1560">
        <v>0</v>
      </c>
      <c r="AF1560">
        <v>3</v>
      </c>
      <c r="AG1560">
        <v>1</v>
      </c>
      <c r="AH1560">
        <v>0</v>
      </c>
      <c r="AI1560" t="s">
        <v>614</v>
      </c>
      <c r="AJ1560">
        <v>34.194623999999997</v>
      </c>
      <c r="AK1560" t="s">
        <v>615</v>
      </c>
      <c r="AL1560">
        <v>-116.986456</v>
      </c>
      <c r="AM1560">
        <v>100</v>
      </c>
      <c r="AN1560">
        <v>8700</v>
      </c>
      <c r="AO1560" t="s">
        <v>118</v>
      </c>
      <c r="AP1560">
        <v>-105</v>
      </c>
      <c r="AQ1560">
        <v>-67</v>
      </c>
      <c r="AR1560">
        <v>-640</v>
      </c>
      <c r="AZ1560">
        <v>1200</v>
      </c>
      <c r="BA1560">
        <v>1</v>
      </c>
      <c r="BB1560" t="str">
        <f t="shared" si="839"/>
        <v xml:space="preserve">N9217B  </v>
      </c>
      <c r="BC1560">
        <v>1</v>
      </c>
      <c r="BE1560">
        <v>0</v>
      </c>
      <c r="BF1560">
        <v>0</v>
      </c>
      <c r="BG1560">
        <v>0</v>
      </c>
      <c r="BH1560">
        <v>8725</v>
      </c>
      <c r="BI1560">
        <v>1</v>
      </c>
      <c r="BJ1560">
        <v>0</v>
      </c>
      <c r="BK1560">
        <v>0</v>
      </c>
      <c r="BL1560">
        <v>0</v>
      </c>
      <c r="BO1560">
        <v>0</v>
      </c>
      <c r="BP1560">
        <v>0</v>
      </c>
      <c r="BW1560" t="str">
        <f t="shared" si="851"/>
        <v>14:52:56.130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6</v>
      </c>
      <c r="CP1560" t="s">
        <v>119</v>
      </c>
      <c r="CQ1560">
        <v>285</v>
      </c>
      <c r="CR1560">
        <v>0</v>
      </c>
      <c r="CW1560">
        <v>8854848</v>
      </c>
      <c r="CY1560">
        <v>0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25">
      <c r="A1561" t="str">
        <f t="shared" si="848"/>
        <v>06/05/2020 14:52:50.468</v>
      </c>
      <c r="C1561" t="str">
        <f t="shared" si="823"/>
        <v>FFDFD3C0</v>
      </c>
      <c r="D1561" t="s">
        <v>148</v>
      </c>
      <c r="E1561">
        <v>8</v>
      </c>
      <c r="H1561">
        <v>50</v>
      </c>
      <c r="I1561" t="s">
        <v>149</v>
      </c>
      <c r="J1561" t="s">
        <v>150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849"/>
        <v>14:52:56.125</v>
      </c>
      <c r="T1561" t="str">
        <f t="shared" si="850"/>
        <v>14:52:55.425</v>
      </c>
      <c r="U1561" t="str">
        <f t="shared" si="838"/>
        <v>ACC530</v>
      </c>
      <c r="V1561">
        <v>0</v>
      </c>
      <c r="W1561">
        <v>0</v>
      </c>
      <c r="X1561">
        <v>1</v>
      </c>
      <c r="Z1561">
        <v>0</v>
      </c>
      <c r="AA1561">
        <v>9</v>
      </c>
      <c r="AB1561">
        <v>3</v>
      </c>
      <c r="AC1561">
        <v>0</v>
      </c>
      <c r="AD1561">
        <v>9</v>
      </c>
      <c r="AE1561">
        <v>0</v>
      </c>
      <c r="AF1561">
        <v>3</v>
      </c>
      <c r="AG1561">
        <v>1</v>
      </c>
      <c r="AH1561">
        <v>0</v>
      </c>
      <c r="AI1561" t="s">
        <v>614</v>
      </c>
      <c r="AJ1561">
        <v>34.194623999999997</v>
      </c>
      <c r="AK1561" t="s">
        <v>615</v>
      </c>
      <c r="AL1561">
        <v>-116.986456</v>
      </c>
      <c r="AM1561">
        <v>100</v>
      </c>
      <c r="AN1561">
        <v>8700</v>
      </c>
      <c r="AO1561" t="s">
        <v>118</v>
      </c>
      <c r="AP1561">
        <v>-105</v>
      </c>
      <c r="AQ1561">
        <v>-67</v>
      </c>
      <c r="AR1561">
        <v>-640</v>
      </c>
      <c r="AZ1561">
        <v>1200</v>
      </c>
      <c r="BA1561">
        <v>1</v>
      </c>
      <c r="BB1561" t="str">
        <f t="shared" si="839"/>
        <v xml:space="preserve">N9217B  </v>
      </c>
      <c r="BC1561">
        <v>1</v>
      </c>
      <c r="BE1561">
        <v>0</v>
      </c>
      <c r="BF1561">
        <v>0</v>
      </c>
      <c r="BG1561">
        <v>0</v>
      </c>
      <c r="BH1561">
        <v>8725</v>
      </c>
      <c r="BI1561">
        <v>1</v>
      </c>
      <c r="BJ1561">
        <v>0</v>
      </c>
      <c r="BK1561">
        <v>0</v>
      </c>
      <c r="BL1561">
        <v>0</v>
      </c>
      <c r="BO1561">
        <v>0</v>
      </c>
      <c r="BP1561">
        <v>0</v>
      </c>
      <c r="BW1561" t="str">
        <f t="shared" si="851"/>
        <v>14:52:56.130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6</v>
      </c>
      <c r="CP1561" t="s">
        <v>119</v>
      </c>
      <c r="CQ1561">
        <v>285</v>
      </c>
      <c r="CR1561">
        <v>0</v>
      </c>
      <c r="CW1561">
        <v>8854848</v>
      </c>
      <c r="CY1561">
        <v>0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25">
      <c r="A1562" t="str">
        <f t="shared" si="848"/>
        <v>06/05/2020 14:52:50.468</v>
      </c>
      <c r="C1562" t="str">
        <f t="shared" si="823"/>
        <v>FFDFD3C0</v>
      </c>
      <c r="D1562" t="s">
        <v>113</v>
      </c>
      <c r="E1562">
        <v>3</v>
      </c>
      <c r="H1562">
        <v>166</v>
      </c>
      <c r="I1562" t="s">
        <v>114</v>
      </c>
      <c r="J1562" t="s">
        <v>115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849"/>
        <v>14:52:56.125</v>
      </c>
      <c r="T1562" t="str">
        <f t="shared" si="850"/>
        <v>14:52:55.425</v>
      </c>
      <c r="U1562" t="str">
        <f t="shared" si="838"/>
        <v>ACC530</v>
      </c>
      <c r="V1562">
        <v>0</v>
      </c>
      <c r="W1562">
        <v>0</v>
      </c>
      <c r="X1562">
        <v>1</v>
      </c>
      <c r="Z1562">
        <v>0</v>
      </c>
      <c r="AA1562">
        <v>9</v>
      </c>
      <c r="AB1562">
        <v>3</v>
      </c>
      <c r="AC1562">
        <v>0</v>
      </c>
      <c r="AD1562">
        <v>9</v>
      </c>
      <c r="AE1562">
        <v>0</v>
      </c>
      <c r="AF1562">
        <v>3</v>
      </c>
      <c r="AG1562">
        <v>1</v>
      </c>
      <c r="AH1562">
        <v>0</v>
      </c>
      <c r="AI1562" t="s">
        <v>614</v>
      </c>
      <c r="AJ1562">
        <v>34.194623999999997</v>
      </c>
      <c r="AK1562" t="s">
        <v>615</v>
      </c>
      <c r="AL1562">
        <v>-116.986456</v>
      </c>
      <c r="AM1562">
        <v>100</v>
      </c>
      <c r="AN1562">
        <v>8700</v>
      </c>
      <c r="AO1562" t="s">
        <v>118</v>
      </c>
      <c r="AP1562">
        <v>-105</v>
      </c>
      <c r="AQ1562">
        <v>-67</v>
      </c>
      <c r="AR1562">
        <v>-640</v>
      </c>
      <c r="AZ1562">
        <v>1200</v>
      </c>
      <c r="BA1562">
        <v>1</v>
      </c>
      <c r="BB1562" t="str">
        <f t="shared" si="839"/>
        <v xml:space="preserve">N9217B  </v>
      </c>
      <c r="BC1562">
        <v>1</v>
      </c>
      <c r="BE1562">
        <v>0</v>
      </c>
      <c r="BF1562">
        <v>0</v>
      </c>
      <c r="BG1562">
        <v>0</v>
      </c>
      <c r="BH1562">
        <v>8725</v>
      </c>
      <c r="BI1562">
        <v>1</v>
      </c>
      <c r="BJ1562">
        <v>0</v>
      </c>
      <c r="BK1562">
        <v>0</v>
      </c>
      <c r="BL1562">
        <v>0</v>
      </c>
      <c r="BO1562">
        <v>0</v>
      </c>
      <c r="BP1562">
        <v>0</v>
      </c>
      <c r="BW1562" t="str">
        <f t="shared" si="851"/>
        <v>14:52:56.130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6</v>
      </c>
      <c r="CP1562" t="s">
        <v>119</v>
      </c>
      <c r="CQ1562">
        <v>285</v>
      </c>
      <c r="CR1562">
        <v>0</v>
      </c>
      <c r="CW1562">
        <v>8854848</v>
      </c>
      <c r="CY1562">
        <v>0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25">
      <c r="A1563" t="str">
        <f t="shared" si="848"/>
        <v>06/05/2020 14:52:50.468</v>
      </c>
      <c r="C1563" t="str">
        <f t="shared" si="823"/>
        <v>FFDFD3C0</v>
      </c>
      <c r="D1563" t="s">
        <v>134</v>
      </c>
      <c r="E1563">
        <v>7</v>
      </c>
      <c r="F1563">
        <v>2007</v>
      </c>
      <c r="G1563" t="s">
        <v>135</v>
      </c>
      <c r="J1563" t="s">
        <v>136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849"/>
        <v>14:52:56.125</v>
      </c>
      <c r="T1563" t="str">
        <f t="shared" si="850"/>
        <v>14:52:55.425</v>
      </c>
      <c r="U1563" t="str">
        <f t="shared" si="838"/>
        <v>ACC530</v>
      </c>
      <c r="V1563">
        <v>0</v>
      </c>
      <c r="W1563">
        <v>0</v>
      </c>
      <c r="X1563">
        <v>1</v>
      </c>
      <c r="Z1563">
        <v>0</v>
      </c>
      <c r="AA1563">
        <v>9</v>
      </c>
      <c r="AB1563">
        <v>3</v>
      </c>
      <c r="AC1563">
        <v>0</v>
      </c>
      <c r="AD1563">
        <v>9</v>
      </c>
      <c r="AE1563">
        <v>0</v>
      </c>
      <c r="AF1563">
        <v>3</v>
      </c>
      <c r="AG1563">
        <v>1</v>
      </c>
      <c r="AH1563">
        <v>0</v>
      </c>
      <c r="AI1563" t="s">
        <v>614</v>
      </c>
      <c r="AJ1563">
        <v>34.194623999999997</v>
      </c>
      <c r="AK1563" t="s">
        <v>615</v>
      </c>
      <c r="AL1563">
        <v>-116.986456</v>
      </c>
      <c r="AM1563">
        <v>100</v>
      </c>
      <c r="AN1563">
        <v>8700</v>
      </c>
      <c r="AO1563" t="s">
        <v>118</v>
      </c>
      <c r="AP1563">
        <v>-105</v>
      </c>
      <c r="AQ1563">
        <v>-67</v>
      </c>
      <c r="AR1563">
        <v>-640</v>
      </c>
      <c r="AZ1563">
        <v>1200</v>
      </c>
      <c r="BA1563">
        <v>1</v>
      </c>
      <c r="BB1563" t="str">
        <f t="shared" si="839"/>
        <v xml:space="preserve">N9217B  </v>
      </c>
      <c r="BC1563">
        <v>1</v>
      </c>
      <c r="BE1563">
        <v>0</v>
      </c>
      <c r="BF1563">
        <v>0</v>
      </c>
      <c r="BG1563">
        <v>0</v>
      </c>
      <c r="BH1563">
        <v>8725</v>
      </c>
      <c r="BI1563">
        <v>1</v>
      </c>
      <c r="BJ1563">
        <v>0</v>
      </c>
      <c r="BK1563">
        <v>0</v>
      </c>
      <c r="BL1563">
        <v>0</v>
      </c>
      <c r="BO1563">
        <v>0</v>
      </c>
      <c r="BP1563">
        <v>0</v>
      </c>
      <c r="BW1563" t="str">
        <f t="shared" si="851"/>
        <v>14:52:56.130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6</v>
      </c>
      <c r="CP1563" t="s">
        <v>119</v>
      </c>
      <c r="CQ1563">
        <v>285</v>
      </c>
      <c r="CR1563">
        <v>0</v>
      </c>
      <c r="CW1563">
        <v>8854848</v>
      </c>
      <c r="CY1563">
        <v>0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25">
      <c r="A1564" t="str">
        <f t="shared" ref="A1564:A1570" si="852">"06/05/2020 14:52:51.481"</f>
        <v>06/05/2020 14:52:51.481</v>
      </c>
      <c r="C1564" t="str">
        <f t="shared" si="823"/>
        <v>FFDFD3C0</v>
      </c>
      <c r="D1564" t="s">
        <v>141</v>
      </c>
      <c r="E1564">
        <v>20</v>
      </c>
      <c r="F1564">
        <v>1020</v>
      </c>
      <c r="G1564" t="s">
        <v>114</v>
      </c>
      <c r="J1564" t="s">
        <v>142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ref="S1564:T1570" si="853">"14:52:57.117"</f>
        <v>14:52:57.117</v>
      </c>
      <c r="T1564" t="str">
        <f t="shared" si="853"/>
        <v>14:52:57.117</v>
      </c>
      <c r="U1564" t="str">
        <f t="shared" si="838"/>
        <v>ACC530</v>
      </c>
      <c r="V1564">
        <v>0</v>
      </c>
      <c r="W1564">
        <v>0</v>
      </c>
      <c r="X1564">
        <v>1</v>
      </c>
      <c r="Z1564">
        <v>0</v>
      </c>
      <c r="AA1564">
        <v>9</v>
      </c>
      <c r="AB1564">
        <v>3</v>
      </c>
      <c r="AC1564">
        <v>0</v>
      </c>
      <c r="AD1564">
        <v>9</v>
      </c>
      <c r="AE1564">
        <v>0</v>
      </c>
      <c r="AF1564">
        <v>3</v>
      </c>
      <c r="AG1564">
        <v>1</v>
      </c>
      <c r="AH1564">
        <v>0</v>
      </c>
      <c r="AI1564" t="s">
        <v>616</v>
      </c>
      <c r="AJ1564">
        <v>34.194344999999998</v>
      </c>
      <c r="AK1564" t="s">
        <v>617</v>
      </c>
      <c r="AL1564">
        <v>-116.98705699999999</v>
      </c>
      <c r="AM1564">
        <v>100</v>
      </c>
      <c r="AN1564">
        <v>8700</v>
      </c>
      <c r="AO1564" t="s">
        <v>118</v>
      </c>
      <c r="AP1564">
        <v>-106</v>
      </c>
      <c r="AQ1564">
        <v>-66</v>
      </c>
      <c r="AR1564">
        <v>-448</v>
      </c>
      <c r="AZ1564">
        <v>1200</v>
      </c>
      <c r="BA1564">
        <v>1</v>
      </c>
      <c r="BB1564" t="str">
        <f t="shared" si="839"/>
        <v xml:space="preserve">N9217B  </v>
      </c>
      <c r="BC1564">
        <v>1</v>
      </c>
      <c r="BE1564">
        <v>0</v>
      </c>
      <c r="BF1564">
        <v>0</v>
      </c>
      <c r="BG1564">
        <v>0</v>
      </c>
      <c r="BH1564">
        <v>8700</v>
      </c>
      <c r="BI1564">
        <v>1</v>
      </c>
      <c r="BJ1564">
        <v>0</v>
      </c>
      <c r="BK1564">
        <v>0</v>
      </c>
      <c r="BL1564">
        <v>0</v>
      </c>
      <c r="BO1564">
        <v>0</v>
      </c>
      <c r="BP1564">
        <v>0</v>
      </c>
      <c r="BW1564" t="str">
        <f t="shared" ref="BW1564:BW1570" si="854">"14:52:57.120"</f>
        <v>14:52:57.120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6</v>
      </c>
      <c r="CP1564" t="s">
        <v>119</v>
      </c>
      <c r="CQ1564">
        <v>285</v>
      </c>
      <c r="CR1564">
        <v>0</v>
      </c>
      <c r="CW1564">
        <v>8854932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25">
      <c r="A1565" t="str">
        <f t="shared" si="852"/>
        <v>06/05/2020 14:52:51.481</v>
      </c>
      <c r="C1565" t="str">
        <f t="shared" si="823"/>
        <v>FFDFD3C0</v>
      </c>
      <c r="D1565" t="s">
        <v>151</v>
      </c>
      <c r="E1565">
        <v>8</v>
      </c>
      <c r="H1565">
        <v>225</v>
      </c>
      <c r="I1565" t="s">
        <v>353</v>
      </c>
      <c r="J1565" t="s">
        <v>150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853"/>
        <v>14:52:57.117</v>
      </c>
      <c r="T1565" t="str">
        <f t="shared" si="853"/>
        <v>14:52:57.117</v>
      </c>
      <c r="U1565" t="str">
        <f t="shared" si="838"/>
        <v>ACC530</v>
      </c>
      <c r="V1565">
        <v>0</v>
      </c>
      <c r="W1565">
        <v>0</v>
      </c>
      <c r="X1565">
        <v>1</v>
      </c>
      <c r="Z1565">
        <v>0</v>
      </c>
      <c r="AA1565">
        <v>9</v>
      </c>
      <c r="AB1565">
        <v>3</v>
      </c>
      <c r="AC1565">
        <v>0</v>
      </c>
      <c r="AD1565">
        <v>9</v>
      </c>
      <c r="AE1565">
        <v>0</v>
      </c>
      <c r="AF1565">
        <v>3</v>
      </c>
      <c r="AG1565">
        <v>1</v>
      </c>
      <c r="AH1565">
        <v>0</v>
      </c>
      <c r="AI1565" t="s">
        <v>616</v>
      </c>
      <c r="AJ1565">
        <v>34.194344999999998</v>
      </c>
      <c r="AK1565" t="s">
        <v>617</v>
      </c>
      <c r="AL1565">
        <v>-116.98705699999999</v>
      </c>
      <c r="AM1565">
        <v>100</v>
      </c>
      <c r="AN1565">
        <v>8700</v>
      </c>
      <c r="AO1565" t="s">
        <v>118</v>
      </c>
      <c r="AP1565">
        <v>-106</v>
      </c>
      <c r="AQ1565">
        <v>-66</v>
      </c>
      <c r="AR1565">
        <v>-448</v>
      </c>
      <c r="AZ1565">
        <v>1200</v>
      </c>
      <c r="BA1565">
        <v>1</v>
      </c>
      <c r="BB1565" t="str">
        <f t="shared" si="839"/>
        <v xml:space="preserve">N9217B  </v>
      </c>
      <c r="BC1565">
        <v>1</v>
      </c>
      <c r="BE1565">
        <v>0</v>
      </c>
      <c r="BF1565">
        <v>0</v>
      </c>
      <c r="BG1565">
        <v>0</v>
      </c>
      <c r="BH1565">
        <v>8700</v>
      </c>
      <c r="BI1565">
        <v>1</v>
      </c>
      <c r="BJ1565">
        <v>0</v>
      </c>
      <c r="BK1565">
        <v>0</v>
      </c>
      <c r="BL1565">
        <v>0</v>
      </c>
      <c r="BO1565">
        <v>0</v>
      </c>
      <c r="BP1565">
        <v>0</v>
      </c>
      <c r="BW1565" t="str">
        <f t="shared" si="854"/>
        <v>14:52:57.120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6</v>
      </c>
      <c r="CP1565" t="s">
        <v>119</v>
      </c>
      <c r="CQ1565">
        <v>285</v>
      </c>
      <c r="CR1565">
        <v>0</v>
      </c>
      <c r="CW1565">
        <v>8854932</v>
      </c>
      <c r="CY1565">
        <v>0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25">
      <c r="A1566" t="str">
        <f t="shared" si="852"/>
        <v>06/05/2020 14:52:51.481</v>
      </c>
      <c r="C1566" t="str">
        <f t="shared" si="823"/>
        <v>FFDFD3C0</v>
      </c>
      <c r="D1566" t="s">
        <v>151</v>
      </c>
      <c r="E1566">
        <v>9</v>
      </c>
      <c r="H1566">
        <v>226</v>
      </c>
      <c r="I1566" t="s">
        <v>152</v>
      </c>
      <c r="J1566" t="s">
        <v>150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853"/>
        <v>14:52:57.117</v>
      </c>
      <c r="T1566" t="str">
        <f t="shared" si="853"/>
        <v>14:52:57.117</v>
      </c>
      <c r="U1566" t="str">
        <f t="shared" si="838"/>
        <v>ACC530</v>
      </c>
      <c r="V1566">
        <v>0</v>
      </c>
      <c r="W1566">
        <v>0</v>
      </c>
      <c r="X1566">
        <v>1</v>
      </c>
      <c r="Z1566">
        <v>0</v>
      </c>
      <c r="AA1566">
        <v>9</v>
      </c>
      <c r="AB1566">
        <v>3</v>
      </c>
      <c r="AC1566">
        <v>0</v>
      </c>
      <c r="AD1566">
        <v>9</v>
      </c>
      <c r="AE1566">
        <v>0</v>
      </c>
      <c r="AF1566">
        <v>3</v>
      </c>
      <c r="AG1566">
        <v>1</v>
      </c>
      <c r="AH1566">
        <v>0</v>
      </c>
      <c r="AI1566" t="s">
        <v>616</v>
      </c>
      <c r="AJ1566">
        <v>34.194344999999998</v>
      </c>
      <c r="AK1566" t="s">
        <v>617</v>
      </c>
      <c r="AL1566">
        <v>-116.98705699999999</v>
      </c>
      <c r="AM1566">
        <v>100</v>
      </c>
      <c r="AN1566">
        <v>8700</v>
      </c>
      <c r="AO1566" t="s">
        <v>118</v>
      </c>
      <c r="AP1566">
        <v>-106</v>
      </c>
      <c r="AQ1566">
        <v>-66</v>
      </c>
      <c r="AR1566">
        <v>-448</v>
      </c>
      <c r="AZ1566">
        <v>1200</v>
      </c>
      <c r="BA1566">
        <v>1</v>
      </c>
      <c r="BB1566" t="str">
        <f t="shared" si="839"/>
        <v xml:space="preserve">N9217B  </v>
      </c>
      <c r="BC1566">
        <v>1</v>
      </c>
      <c r="BE1566">
        <v>0</v>
      </c>
      <c r="BF1566">
        <v>0</v>
      </c>
      <c r="BG1566">
        <v>0</v>
      </c>
      <c r="BH1566">
        <v>8700</v>
      </c>
      <c r="BI1566">
        <v>1</v>
      </c>
      <c r="BJ1566">
        <v>0</v>
      </c>
      <c r="BK1566">
        <v>0</v>
      </c>
      <c r="BL1566">
        <v>0</v>
      </c>
      <c r="BO1566">
        <v>0</v>
      </c>
      <c r="BP1566">
        <v>0</v>
      </c>
      <c r="BW1566" t="str">
        <f t="shared" si="854"/>
        <v>14:52:57.120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6</v>
      </c>
      <c r="CP1566" t="s">
        <v>119</v>
      </c>
      <c r="CQ1566">
        <v>285</v>
      </c>
      <c r="CR1566">
        <v>0</v>
      </c>
      <c r="CW1566">
        <v>8854932</v>
      </c>
      <c r="CY1566">
        <v>0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25">
      <c r="A1567" t="str">
        <f t="shared" si="852"/>
        <v>06/05/2020 14:52:51.481</v>
      </c>
      <c r="C1567" t="str">
        <f t="shared" si="823"/>
        <v>FFDFD3C0</v>
      </c>
      <c r="D1567" t="s">
        <v>148</v>
      </c>
      <c r="E1567">
        <v>11</v>
      </c>
      <c r="H1567">
        <v>53</v>
      </c>
      <c r="I1567" t="s">
        <v>364</v>
      </c>
      <c r="J1567" t="s">
        <v>150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853"/>
        <v>14:52:57.117</v>
      </c>
      <c r="T1567" t="str">
        <f t="shared" si="853"/>
        <v>14:52:57.117</v>
      </c>
      <c r="U1567" t="str">
        <f t="shared" si="838"/>
        <v>ACC530</v>
      </c>
      <c r="V1567">
        <v>0</v>
      </c>
      <c r="W1567">
        <v>0</v>
      </c>
      <c r="X1567">
        <v>1</v>
      </c>
      <c r="Z1567">
        <v>0</v>
      </c>
      <c r="AA1567">
        <v>9</v>
      </c>
      <c r="AB1567">
        <v>3</v>
      </c>
      <c r="AC1567">
        <v>0</v>
      </c>
      <c r="AD1567">
        <v>9</v>
      </c>
      <c r="AE1567">
        <v>0</v>
      </c>
      <c r="AF1567">
        <v>3</v>
      </c>
      <c r="AG1567">
        <v>1</v>
      </c>
      <c r="AH1567">
        <v>0</v>
      </c>
      <c r="AI1567" t="s">
        <v>616</v>
      </c>
      <c r="AJ1567">
        <v>34.194344999999998</v>
      </c>
      <c r="AK1567" t="s">
        <v>617</v>
      </c>
      <c r="AL1567">
        <v>-116.98705699999999</v>
      </c>
      <c r="AM1567">
        <v>100</v>
      </c>
      <c r="AN1567">
        <v>8700</v>
      </c>
      <c r="AO1567" t="s">
        <v>118</v>
      </c>
      <c r="AP1567">
        <v>-106</v>
      </c>
      <c r="AQ1567">
        <v>-66</v>
      </c>
      <c r="AR1567">
        <v>-448</v>
      </c>
      <c r="AZ1567">
        <v>1200</v>
      </c>
      <c r="BA1567">
        <v>1</v>
      </c>
      <c r="BB1567" t="str">
        <f t="shared" si="839"/>
        <v xml:space="preserve">N9217B  </v>
      </c>
      <c r="BC1567">
        <v>1</v>
      </c>
      <c r="BE1567">
        <v>0</v>
      </c>
      <c r="BF1567">
        <v>0</v>
      </c>
      <c r="BG1567">
        <v>0</v>
      </c>
      <c r="BH1567">
        <v>8700</v>
      </c>
      <c r="BI1567">
        <v>1</v>
      </c>
      <c r="BJ1567">
        <v>0</v>
      </c>
      <c r="BK1567">
        <v>0</v>
      </c>
      <c r="BL1567">
        <v>0</v>
      </c>
      <c r="BO1567">
        <v>0</v>
      </c>
      <c r="BP1567">
        <v>0</v>
      </c>
      <c r="BW1567" t="str">
        <f t="shared" si="854"/>
        <v>14:52:57.120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119</v>
      </c>
      <c r="CQ1567">
        <v>285</v>
      </c>
      <c r="CR1567">
        <v>0</v>
      </c>
      <c r="CW1567">
        <v>8854932</v>
      </c>
      <c r="CY1567">
        <v>0</v>
      </c>
      <c r="CZ1567">
        <v>0</v>
      </c>
      <c r="DA1567">
        <v>1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25">
      <c r="A1568" t="str">
        <f t="shared" si="852"/>
        <v>06/05/2020 14:52:51.481</v>
      </c>
      <c r="C1568" t="str">
        <f t="shared" si="823"/>
        <v>FFDFD3C0</v>
      </c>
      <c r="D1568" t="s">
        <v>148</v>
      </c>
      <c r="E1568">
        <v>8</v>
      </c>
      <c r="H1568">
        <v>50</v>
      </c>
      <c r="I1568" t="s">
        <v>149</v>
      </c>
      <c r="J1568" t="s">
        <v>150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853"/>
        <v>14:52:57.117</v>
      </c>
      <c r="T1568" t="str">
        <f t="shared" si="853"/>
        <v>14:52:57.117</v>
      </c>
      <c r="U1568" t="str">
        <f t="shared" si="838"/>
        <v>ACC530</v>
      </c>
      <c r="V1568">
        <v>0</v>
      </c>
      <c r="W1568">
        <v>0</v>
      </c>
      <c r="X1568">
        <v>1</v>
      </c>
      <c r="Z1568">
        <v>0</v>
      </c>
      <c r="AA1568">
        <v>9</v>
      </c>
      <c r="AB1568">
        <v>3</v>
      </c>
      <c r="AC1568">
        <v>0</v>
      </c>
      <c r="AD1568">
        <v>9</v>
      </c>
      <c r="AE1568">
        <v>0</v>
      </c>
      <c r="AF1568">
        <v>3</v>
      </c>
      <c r="AG1568">
        <v>1</v>
      </c>
      <c r="AH1568">
        <v>0</v>
      </c>
      <c r="AI1568" t="s">
        <v>616</v>
      </c>
      <c r="AJ1568">
        <v>34.194344999999998</v>
      </c>
      <c r="AK1568" t="s">
        <v>617</v>
      </c>
      <c r="AL1568">
        <v>-116.98705699999999</v>
      </c>
      <c r="AM1568">
        <v>100</v>
      </c>
      <c r="AN1568">
        <v>8700</v>
      </c>
      <c r="AO1568" t="s">
        <v>118</v>
      </c>
      <c r="AP1568">
        <v>-106</v>
      </c>
      <c r="AQ1568">
        <v>-66</v>
      </c>
      <c r="AR1568">
        <v>-448</v>
      </c>
      <c r="AZ1568">
        <v>1200</v>
      </c>
      <c r="BA1568">
        <v>1</v>
      </c>
      <c r="BB1568" t="str">
        <f t="shared" si="839"/>
        <v xml:space="preserve">N9217B  </v>
      </c>
      <c r="BC1568">
        <v>1</v>
      </c>
      <c r="BE1568">
        <v>0</v>
      </c>
      <c r="BF1568">
        <v>0</v>
      </c>
      <c r="BG1568">
        <v>0</v>
      </c>
      <c r="BH1568">
        <v>8700</v>
      </c>
      <c r="BI1568">
        <v>1</v>
      </c>
      <c r="BJ1568">
        <v>0</v>
      </c>
      <c r="BK1568">
        <v>0</v>
      </c>
      <c r="BL1568">
        <v>0</v>
      </c>
      <c r="BO1568">
        <v>0</v>
      </c>
      <c r="BP1568">
        <v>0</v>
      </c>
      <c r="BW1568" t="str">
        <f t="shared" si="854"/>
        <v>14:52:57.120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285</v>
      </c>
      <c r="CR1568">
        <v>0</v>
      </c>
      <c r="CW1568">
        <v>8854932</v>
      </c>
      <c r="CY1568">
        <v>0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25">
      <c r="A1569" t="str">
        <f t="shared" si="852"/>
        <v>06/05/2020 14:52:51.481</v>
      </c>
      <c r="C1569" t="str">
        <f t="shared" si="823"/>
        <v>FFDFD3C0</v>
      </c>
      <c r="D1569" t="s">
        <v>113</v>
      </c>
      <c r="E1569">
        <v>3</v>
      </c>
      <c r="H1569">
        <v>166</v>
      </c>
      <c r="I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853"/>
        <v>14:52:57.117</v>
      </c>
      <c r="T1569" t="str">
        <f t="shared" si="853"/>
        <v>14:52:57.117</v>
      </c>
      <c r="U1569" t="str">
        <f t="shared" si="838"/>
        <v>ACC530</v>
      </c>
      <c r="V1569">
        <v>0</v>
      </c>
      <c r="W1569">
        <v>0</v>
      </c>
      <c r="X1569">
        <v>1</v>
      </c>
      <c r="Z1569">
        <v>0</v>
      </c>
      <c r="AA1569">
        <v>9</v>
      </c>
      <c r="AB1569">
        <v>3</v>
      </c>
      <c r="AC1569">
        <v>0</v>
      </c>
      <c r="AD1569">
        <v>9</v>
      </c>
      <c r="AE1569">
        <v>0</v>
      </c>
      <c r="AF1569">
        <v>3</v>
      </c>
      <c r="AG1569">
        <v>1</v>
      </c>
      <c r="AH1569">
        <v>0</v>
      </c>
      <c r="AI1569" t="s">
        <v>616</v>
      </c>
      <c r="AJ1569">
        <v>34.194344999999998</v>
      </c>
      <c r="AK1569" t="s">
        <v>617</v>
      </c>
      <c r="AL1569">
        <v>-116.98705699999999</v>
      </c>
      <c r="AM1569">
        <v>100</v>
      </c>
      <c r="AN1569">
        <v>8700</v>
      </c>
      <c r="AO1569" t="s">
        <v>118</v>
      </c>
      <c r="AP1569">
        <v>-106</v>
      </c>
      <c r="AQ1569">
        <v>-66</v>
      </c>
      <c r="AR1569">
        <v>-448</v>
      </c>
      <c r="AZ1569">
        <v>1200</v>
      </c>
      <c r="BA1569">
        <v>1</v>
      </c>
      <c r="BB1569" t="str">
        <f t="shared" si="839"/>
        <v xml:space="preserve">N9217B  </v>
      </c>
      <c r="BC1569">
        <v>1</v>
      </c>
      <c r="BE1569">
        <v>0</v>
      </c>
      <c r="BF1569">
        <v>0</v>
      </c>
      <c r="BG1569">
        <v>0</v>
      </c>
      <c r="BH1569">
        <v>8700</v>
      </c>
      <c r="BI1569">
        <v>1</v>
      </c>
      <c r="BJ1569">
        <v>0</v>
      </c>
      <c r="BK1569">
        <v>0</v>
      </c>
      <c r="BL1569">
        <v>0</v>
      </c>
      <c r="BO1569">
        <v>0</v>
      </c>
      <c r="BP1569">
        <v>0</v>
      </c>
      <c r="BW1569" t="str">
        <f t="shared" si="854"/>
        <v>14:52:57.120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285</v>
      </c>
      <c r="CR1569">
        <v>0</v>
      </c>
      <c r="CW1569">
        <v>8854932</v>
      </c>
      <c r="CY1569">
        <v>0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25">
      <c r="A1570" t="str">
        <f t="shared" si="852"/>
        <v>06/05/2020 14:52:51.481</v>
      </c>
      <c r="C1570" t="str">
        <f t="shared" si="823"/>
        <v>FFDFD3C0</v>
      </c>
      <c r="D1570" t="s">
        <v>134</v>
      </c>
      <c r="E1570">
        <v>7</v>
      </c>
      <c r="F1570">
        <v>2007</v>
      </c>
      <c r="G1570" t="s">
        <v>135</v>
      </c>
      <c r="J1570" t="s">
        <v>136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853"/>
        <v>14:52:57.117</v>
      </c>
      <c r="T1570" t="str">
        <f t="shared" si="853"/>
        <v>14:52:57.117</v>
      </c>
      <c r="U1570" t="str">
        <f t="shared" si="838"/>
        <v>ACC530</v>
      </c>
      <c r="V1570">
        <v>0</v>
      </c>
      <c r="W1570">
        <v>0</v>
      </c>
      <c r="X1570">
        <v>1</v>
      </c>
      <c r="Z1570">
        <v>0</v>
      </c>
      <c r="AA1570">
        <v>9</v>
      </c>
      <c r="AB1570">
        <v>3</v>
      </c>
      <c r="AC1570">
        <v>0</v>
      </c>
      <c r="AD1570">
        <v>9</v>
      </c>
      <c r="AE1570">
        <v>0</v>
      </c>
      <c r="AF1570">
        <v>3</v>
      </c>
      <c r="AG1570">
        <v>1</v>
      </c>
      <c r="AH1570">
        <v>0</v>
      </c>
      <c r="AI1570" t="s">
        <v>616</v>
      </c>
      <c r="AJ1570">
        <v>34.194344999999998</v>
      </c>
      <c r="AK1570" t="s">
        <v>617</v>
      </c>
      <c r="AL1570">
        <v>-116.98705699999999</v>
      </c>
      <c r="AM1570">
        <v>100</v>
      </c>
      <c r="AN1570">
        <v>8700</v>
      </c>
      <c r="AO1570" t="s">
        <v>118</v>
      </c>
      <c r="AP1570">
        <v>-106</v>
      </c>
      <c r="AQ1570">
        <v>-66</v>
      </c>
      <c r="AR1570">
        <v>-448</v>
      </c>
      <c r="AZ1570">
        <v>1200</v>
      </c>
      <c r="BA1570">
        <v>1</v>
      </c>
      <c r="BB1570" t="str">
        <f t="shared" si="839"/>
        <v xml:space="preserve">N9217B  </v>
      </c>
      <c r="BC1570">
        <v>1</v>
      </c>
      <c r="BE1570">
        <v>0</v>
      </c>
      <c r="BF1570">
        <v>0</v>
      </c>
      <c r="BG1570">
        <v>0</v>
      </c>
      <c r="BH1570">
        <v>8700</v>
      </c>
      <c r="BI1570">
        <v>1</v>
      </c>
      <c r="BJ1570">
        <v>0</v>
      </c>
      <c r="BK1570">
        <v>0</v>
      </c>
      <c r="BL1570">
        <v>0</v>
      </c>
      <c r="BO1570">
        <v>0</v>
      </c>
      <c r="BP1570">
        <v>0</v>
      </c>
      <c r="BW1570" t="str">
        <f t="shared" si="854"/>
        <v>14:52:57.120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6</v>
      </c>
      <c r="CP1570" t="s">
        <v>119</v>
      </c>
      <c r="CQ1570">
        <v>285</v>
      </c>
      <c r="CR1570">
        <v>0</v>
      </c>
      <c r="CW1570">
        <v>8854932</v>
      </c>
      <c r="CY1570">
        <v>0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25">
      <c r="A1571" t="str">
        <f t="shared" ref="A1571:A1577" si="855">"06/05/2020 14:52:52.471"</f>
        <v>06/05/2020 14:52:52.471</v>
      </c>
      <c r="C1571" t="str">
        <f t="shared" ref="C1571:C1634" si="856">"FFDFD3C0"</f>
        <v>FFDFD3C0</v>
      </c>
      <c r="D1571" t="s">
        <v>134</v>
      </c>
      <c r="E1571">
        <v>7</v>
      </c>
      <c r="F1571">
        <v>2007</v>
      </c>
      <c r="G1571" t="s">
        <v>135</v>
      </c>
      <c r="J1571" t="s">
        <v>136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ref="S1571:S1577" si="857">"14:52:58.109"</f>
        <v>14:52:58.109</v>
      </c>
      <c r="T1571" t="str">
        <f t="shared" ref="T1571:T1577" si="858">"14:52:57.709"</f>
        <v>14:52:57.709</v>
      </c>
      <c r="U1571" t="str">
        <f t="shared" si="838"/>
        <v>ACC530</v>
      </c>
      <c r="V1571">
        <v>0</v>
      </c>
      <c r="W1571">
        <v>0</v>
      </c>
      <c r="X1571">
        <v>1</v>
      </c>
      <c r="Z1571">
        <v>0</v>
      </c>
      <c r="AA1571">
        <v>9</v>
      </c>
      <c r="AB1571">
        <v>3</v>
      </c>
      <c r="AC1571">
        <v>0</v>
      </c>
      <c r="AD1571">
        <v>9</v>
      </c>
      <c r="AE1571">
        <v>0</v>
      </c>
      <c r="AF1571">
        <v>3</v>
      </c>
      <c r="AG1571">
        <v>1</v>
      </c>
      <c r="AH1571">
        <v>0</v>
      </c>
      <c r="AI1571" t="s">
        <v>618</v>
      </c>
      <c r="AJ1571">
        <v>34.194023999999999</v>
      </c>
      <c r="AK1571" t="s">
        <v>619</v>
      </c>
      <c r="AL1571">
        <v>-116.98763599999999</v>
      </c>
      <c r="AM1571">
        <v>100</v>
      </c>
      <c r="AN1571">
        <v>8700</v>
      </c>
      <c r="AO1571" t="s">
        <v>118</v>
      </c>
      <c r="AP1571">
        <v>-107</v>
      </c>
      <c r="AQ1571">
        <v>-65</v>
      </c>
      <c r="AR1571">
        <v>-448</v>
      </c>
      <c r="AZ1571">
        <v>1200</v>
      </c>
      <c r="BA1571">
        <v>1</v>
      </c>
      <c r="BB1571" t="str">
        <f t="shared" si="839"/>
        <v xml:space="preserve">N9217B  </v>
      </c>
      <c r="BC1571">
        <v>1</v>
      </c>
      <c r="BE1571">
        <v>0</v>
      </c>
      <c r="BF1571">
        <v>0</v>
      </c>
      <c r="BG1571">
        <v>0</v>
      </c>
      <c r="BH1571">
        <v>8700</v>
      </c>
      <c r="BI1571">
        <v>1</v>
      </c>
      <c r="BJ1571">
        <v>0</v>
      </c>
      <c r="BK1571">
        <v>0</v>
      </c>
      <c r="BL1571">
        <v>0</v>
      </c>
      <c r="BO1571">
        <v>0</v>
      </c>
      <c r="BP1571">
        <v>0</v>
      </c>
      <c r="BW1571" t="str">
        <f t="shared" ref="BW1571:BW1577" si="859">"14:52:58.110"</f>
        <v>14:52:58.110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6</v>
      </c>
      <c r="CP1571" t="s">
        <v>119</v>
      </c>
      <c r="CQ1571">
        <v>285</v>
      </c>
      <c r="CR1571">
        <v>0</v>
      </c>
      <c r="CW1571">
        <v>8855025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25">
      <c r="A1572" t="str">
        <f t="shared" si="855"/>
        <v>06/05/2020 14:52:52.471</v>
      </c>
      <c r="C1572" t="str">
        <f t="shared" si="856"/>
        <v>FFDFD3C0</v>
      </c>
      <c r="D1572" t="s">
        <v>141</v>
      </c>
      <c r="E1572">
        <v>20</v>
      </c>
      <c r="F1572">
        <v>1020</v>
      </c>
      <c r="G1572" t="s">
        <v>114</v>
      </c>
      <c r="J1572" t="s">
        <v>142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857"/>
        <v>14:52:58.109</v>
      </c>
      <c r="T1572" t="str">
        <f t="shared" si="858"/>
        <v>14:52:57.709</v>
      </c>
      <c r="U1572" t="str">
        <f t="shared" si="838"/>
        <v>ACC530</v>
      </c>
      <c r="V1572">
        <v>0</v>
      </c>
      <c r="W1572">
        <v>0</v>
      </c>
      <c r="X1572">
        <v>1</v>
      </c>
      <c r="Z1572">
        <v>0</v>
      </c>
      <c r="AA1572">
        <v>9</v>
      </c>
      <c r="AB1572">
        <v>3</v>
      </c>
      <c r="AC1572">
        <v>0</v>
      </c>
      <c r="AD1572">
        <v>9</v>
      </c>
      <c r="AE1572">
        <v>0</v>
      </c>
      <c r="AF1572">
        <v>3</v>
      </c>
      <c r="AG1572">
        <v>1</v>
      </c>
      <c r="AH1572">
        <v>0</v>
      </c>
      <c r="AI1572" t="s">
        <v>618</v>
      </c>
      <c r="AJ1572">
        <v>34.194023999999999</v>
      </c>
      <c r="AK1572" t="s">
        <v>619</v>
      </c>
      <c r="AL1572">
        <v>-116.98763599999999</v>
      </c>
      <c r="AM1572">
        <v>100</v>
      </c>
      <c r="AN1572">
        <v>8700</v>
      </c>
      <c r="AO1572" t="s">
        <v>118</v>
      </c>
      <c r="AP1572">
        <v>-107</v>
      </c>
      <c r="AQ1572">
        <v>-65</v>
      </c>
      <c r="AR1572">
        <v>-448</v>
      </c>
      <c r="AZ1572">
        <v>1200</v>
      </c>
      <c r="BA1572">
        <v>1</v>
      </c>
      <c r="BB1572" t="str">
        <f t="shared" si="839"/>
        <v xml:space="preserve">N9217B  </v>
      </c>
      <c r="BC1572">
        <v>1</v>
      </c>
      <c r="BE1572">
        <v>0</v>
      </c>
      <c r="BF1572">
        <v>0</v>
      </c>
      <c r="BG1572">
        <v>0</v>
      </c>
      <c r="BH1572">
        <v>8700</v>
      </c>
      <c r="BI1572">
        <v>1</v>
      </c>
      <c r="BJ1572">
        <v>0</v>
      </c>
      <c r="BK1572">
        <v>0</v>
      </c>
      <c r="BL1572">
        <v>0</v>
      </c>
      <c r="BO1572">
        <v>0</v>
      </c>
      <c r="BP1572">
        <v>0</v>
      </c>
      <c r="BW1572" t="str">
        <f t="shared" si="859"/>
        <v>14:52:58.110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6</v>
      </c>
      <c r="CP1572" t="s">
        <v>119</v>
      </c>
      <c r="CQ1572">
        <v>285</v>
      </c>
      <c r="CR1572">
        <v>0</v>
      </c>
      <c r="CW1572">
        <v>8855025</v>
      </c>
      <c r="CY1572">
        <v>0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25">
      <c r="A1573" t="str">
        <f t="shared" si="855"/>
        <v>06/05/2020 14:52:52.471</v>
      </c>
      <c r="C1573" t="str">
        <f t="shared" si="856"/>
        <v>FFDFD3C0</v>
      </c>
      <c r="D1573" t="s">
        <v>151</v>
      </c>
      <c r="E1573">
        <v>8</v>
      </c>
      <c r="H1573">
        <v>225</v>
      </c>
      <c r="I1573" t="s">
        <v>353</v>
      </c>
      <c r="J1573" t="s">
        <v>150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857"/>
        <v>14:52:58.109</v>
      </c>
      <c r="T1573" t="str">
        <f t="shared" si="858"/>
        <v>14:52:57.709</v>
      </c>
      <c r="U1573" t="str">
        <f t="shared" si="838"/>
        <v>ACC530</v>
      </c>
      <c r="V1573">
        <v>0</v>
      </c>
      <c r="W1573">
        <v>0</v>
      </c>
      <c r="X1573">
        <v>1</v>
      </c>
      <c r="Z1573">
        <v>0</v>
      </c>
      <c r="AA1573">
        <v>9</v>
      </c>
      <c r="AB1573">
        <v>3</v>
      </c>
      <c r="AC1573">
        <v>0</v>
      </c>
      <c r="AD1573">
        <v>9</v>
      </c>
      <c r="AE1573">
        <v>0</v>
      </c>
      <c r="AF1573">
        <v>3</v>
      </c>
      <c r="AG1573">
        <v>1</v>
      </c>
      <c r="AH1573">
        <v>0</v>
      </c>
      <c r="AI1573" t="s">
        <v>618</v>
      </c>
      <c r="AJ1573">
        <v>34.194023999999999</v>
      </c>
      <c r="AK1573" t="s">
        <v>619</v>
      </c>
      <c r="AL1573">
        <v>-116.98763599999999</v>
      </c>
      <c r="AM1573">
        <v>100</v>
      </c>
      <c r="AN1573">
        <v>8700</v>
      </c>
      <c r="AO1573" t="s">
        <v>118</v>
      </c>
      <c r="AP1573">
        <v>-107</v>
      </c>
      <c r="AQ1573">
        <v>-65</v>
      </c>
      <c r="AR1573">
        <v>-448</v>
      </c>
      <c r="AZ1573">
        <v>1200</v>
      </c>
      <c r="BA1573">
        <v>1</v>
      </c>
      <c r="BB1573" t="str">
        <f t="shared" si="839"/>
        <v xml:space="preserve">N9217B  </v>
      </c>
      <c r="BC1573">
        <v>1</v>
      </c>
      <c r="BE1573">
        <v>0</v>
      </c>
      <c r="BF1573">
        <v>0</v>
      </c>
      <c r="BG1573">
        <v>0</v>
      </c>
      <c r="BH1573">
        <v>8700</v>
      </c>
      <c r="BI1573">
        <v>1</v>
      </c>
      <c r="BJ1573">
        <v>0</v>
      </c>
      <c r="BK1573">
        <v>0</v>
      </c>
      <c r="BL1573">
        <v>0</v>
      </c>
      <c r="BO1573">
        <v>0</v>
      </c>
      <c r="BP1573">
        <v>0</v>
      </c>
      <c r="BW1573" t="str">
        <f t="shared" si="859"/>
        <v>14:52:58.110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285</v>
      </c>
      <c r="CR1573">
        <v>0</v>
      </c>
      <c r="CW1573">
        <v>8855025</v>
      </c>
      <c r="CY1573">
        <v>0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25">
      <c r="A1574" t="str">
        <f t="shared" si="855"/>
        <v>06/05/2020 14:52:52.471</v>
      </c>
      <c r="C1574" t="str">
        <f t="shared" si="856"/>
        <v>FFDFD3C0</v>
      </c>
      <c r="D1574" t="s">
        <v>151</v>
      </c>
      <c r="E1574">
        <v>9</v>
      </c>
      <c r="H1574">
        <v>226</v>
      </c>
      <c r="I1574" t="s">
        <v>152</v>
      </c>
      <c r="J1574" t="s">
        <v>150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857"/>
        <v>14:52:58.109</v>
      </c>
      <c r="T1574" t="str">
        <f t="shared" si="858"/>
        <v>14:52:57.709</v>
      </c>
      <c r="U1574" t="str">
        <f t="shared" si="838"/>
        <v>ACC530</v>
      </c>
      <c r="V1574">
        <v>0</v>
      </c>
      <c r="W1574">
        <v>0</v>
      </c>
      <c r="X1574">
        <v>1</v>
      </c>
      <c r="Z1574">
        <v>0</v>
      </c>
      <c r="AA1574">
        <v>9</v>
      </c>
      <c r="AB1574">
        <v>3</v>
      </c>
      <c r="AC1574">
        <v>0</v>
      </c>
      <c r="AD1574">
        <v>9</v>
      </c>
      <c r="AE1574">
        <v>0</v>
      </c>
      <c r="AF1574">
        <v>3</v>
      </c>
      <c r="AG1574">
        <v>1</v>
      </c>
      <c r="AH1574">
        <v>0</v>
      </c>
      <c r="AI1574" t="s">
        <v>618</v>
      </c>
      <c r="AJ1574">
        <v>34.194023999999999</v>
      </c>
      <c r="AK1574" t="s">
        <v>619</v>
      </c>
      <c r="AL1574">
        <v>-116.98763599999999</v>
      </c>
      <c r="AM1574">
        <v>100</v>
      </c>
      <c r="AN1574">
        <v>8700</v>
      </c>
      <c r="AO1574" t="s">
        <v>118</v>
      </c>
      <c r="AP1574">
        <v>-107</v>
      </c>
      <c r="AQ1574">
        <v>-65</v>
      </c>
      <c r="AR1574">
        <v>-448</v>
      </c>
      <c r="AZ1574">
        <v>1200</v>
      </c>
      <c r="BA1574">
        <v>1</v>
      </c>
      <c r="BB1574" t="str">
        <f t="shared" si="839"/>
        <v xml:space="preserve">N9217B  </v>
      </c>
      <c r="BC1574">
        <v>1</v>
      </c>
      <c r="BE1574">
        <v>0</v>
      </c>
      <c r="BF1574">
        <v>0</v>
      </c>
      <c r="BG1574">
        <v>0</v>
      </c>
      <c r="BH1574">
        <v>8700</v>
      </c>
      <c r="BI1574">
        <v>1</v>
      </c>
      <c r="BJ1574">
        <v>0</v>
      </c>
      <c r="BK1574">
        <v>0</v>
      </c>
      <c r="BL1574">
        <v>0</v>
      </c>
      <c r="BO1574">
        <v>0</v>
      </c>
      <c r="BP1574">
        <v>0</v>
      </c>
      <c r="BW1574" t="str">
        <f t="shared" si="859"/>
        <v>14:52:58.110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285</v>
      </c>
      <c r="CR1574">
        <v>0</v>
      </c>
      <c r="CW1574">
        <v>8855025</v>
      </c>
      <c r="CY1574">
        <v>0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25">
      <c r="A1575" t="str">
        <f t="shared" si="855"/>
        <v>06/05/2020 14:52:52.471</v>
      </c>
      <c r="C1575" t="str">
        <f t="shared" si="856"/>
        <v>FFDFD3C0</v>
      </c>
      <c r="D1575" t="s">
        <v>148</v>
      </c>
      <c r="E1575">
        <v>8</v>
      </c>
      <c r="H1575">
        <v>50</v>
      </c>
      <c r="I1575" t="s">
        <v>149</v>
      </c>
      <c r="J1575" t="s">
        <v>150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857"/>
        <v>14:52:58.109</v>
      </c>
      <c r="T1575" t="str">
        <f t="shared" si="858"/>
        <v>14:52:57.709</v>
      </c>
      <c r="U1575" t="str">
        <f t="shared" si="838"/>
        <v>ACC530</v>
      </c>
      <c r="V1575">
        <v>0</v>
      </c>
      <c r="W1575">
        <v>0</v>
      </c>
      <c r="X1575">
        <v>1</v>
      </c>
      <c r="Z1575">
        <v>0</v>
      </c>
      <c r="AA1575">
        <v>9</v>
      </c>
      <c r="AB1575">
        <v>3</v>
      </c>
      <c r="AC1575">
        <v>0</v>
      </c>
      <c r="AD1575">
        <v>9</v>
      </c>
      <c r="AE1575">
        <v>0</v>
      </c>
      <c r="AF1575">
        <v>3</v>
      </c>
      <c r="AG1575">
        <v>1</v>
      </c>
      <c r="AH1575">
        <v>0</v>
      </c>
      <c r="AI1575" t="s">
        <v>618</v>
      </c>
      <c r="AJ1575">
        <v>34.194023999999999</v>
      </c>
      <c r="AK1575" t="s">
        <v>619</v>
      </c>
      <c r="AL1575">
        <v>-116.98763599999999</v>
      </c>
      <c r="AM1575">
        <v>100</v>
      </c>
      <c r="AN1575">
        <v>8700</v>
      </c>
      <c r="AO1575" t="s">
        <v>118</v>
      </c>
      <c r="AP1575">
        <v>-107</v>
      </c>
      <c r="AQ1575">
        <v>-65</v>
      </c>
      <c r="AR1575">
        <v>-448</v>
      </c>
      <c r="AZ1575">
        <v>1200</v>
      </c>
      <c r="BA1575">
        <v>1</v>
      </c>
      <c r="BB1575" t="str">
        <f t="shared" si="839"/>
        <v xml:space="preserve">N9217B  </v>
      </c>
      <c r="BC1575">
        <v>1</v>
      </c>
      <c r="BE1575">
        <v>0</v>
      </c>
      <c r="BF1575">
        <v>0</v>
      </c>
      <c r="BG1575">
        <v>0</v>
      </c>
      <c r="BH1575">
        <v>8700</v>
      </c>
      <c r="BI1575">
        <v>1</v>
      </c>
      <c r="BJ1575">
        <v>0</v>
      </c>
      <c r="BK1575">
        <v>0</v>
      </c>
      <c r="BL1575">
        <v>0</v>
      </c>
      <c r="BO1575">
        <v>0</v>
      </c>
      <c r="BP1575">
        <v>0</v>
      </c>
      <c r="BW1575" t="str">
        <f t="shared" si="859"/>
        <v>14:52:58.110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285</v>
      </c>
      <c r="CR1575">
        <v>0</v>
      </c>
      <c r="CW1575">
        <v>8855025</v>
      </c>
      <c r="CY1575">
        <v>0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25">
      <c r="A1576" t="str">
        <f t="shared" si="855"/>
        <v>06/05/2020 14:52:52.471</v>
      </c>
      <c r="C1576" t="str">
        <f t="shared" si="856"/>
        <v>FFDFD3C0</v>
      </c>
      <c r="D1576" t="s">
        <v>148</v>
      </c>
      <c r="E1576">
        <v>11</v>
      </c>
      <c r="H1576">
        <v>53</v>
      </c>
      <c r="I1576" t="s">
        <v>364</v>
      </c>
      <c r="J1576" t="s">
        <v>150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857"/>
        <v>14:52:58.109</v>
      </c>
      <c r="T1576" t="str">
        <f t="shared" si="858"/>
        <v>14:52:57.709</v>
      </c>
      <c r="U1576" t="str">
        <f t="shared" si="838"/>
        <v>ACC530</v>
      </c>
      <c r="V1576">
        <v>0</v>
      </c>
      <c r="W1576">
        <v>0</v>
      </c>
      <c r="X1576">
        <v>1</v>
      </c>
      <c r="Z1576">
        <v>0</v>
      </c>
      <c r="AA1576">
        <v>9</v>
      </c>
      <c r="AB1576">
        <v>3</v>
      </c>
      <c r="AC1576">
        <v>0</v>
      </c>
      <c r="AD1576">
        <v>9</v>
      </c>
      <c r="AE1576">
        <v>0</v>
      </c>
      <c r="AF1576">
        <v>3</v>
      </c>
      <c r="AG1576">
        <v>1</v>
      </c>
      <c r="AH1576">
        <v>0</v>
      </c>
      <c r="AI1576" t="s">
        <v>618</v>
      </c>
      <c r="AJ1576">
        <v>34.194023999999999</v>
      </c>
      <c r="AK1576" t="s">
        <v>619</v>
      </c>
      <c r="AL1576">
        <v>-116.98763599999999</v>
      </c>
      <c r="AM1576">
        <v>100</v>
      </c>
      <c r="AN1576">
        <v>8700</v>
      </c>
      <c r="AO1576" t="s">
        <v>118</v>
      </c>
      <c r="AP1576">
        <v>-107</v>
      </c>
      <c r="AQ1576">
        <v>-65</v>
      </c>
      <c r="AR1576">
        <v>-448</v>
      </c>
      <c r="AZ1576">
        <v>1200</v>
      </c>
      <c r="BA1576">
        <v>1</v>
      </c>
      <c r="BB1576" t="str">
        <f t="shared" si="839"/>
        <v xml:space="preserve">N9217B  </v>
      </c>
      <c r="BC1576">
        <v>1</v>
      </c>
      <c r="BE1576">
        <v>0</v>
      </c>
      <c r="BF1576">
        <v>0</v>
      </c>
      <c r="BG1576">
        <v>0</v>
      </c>
      <c r="BH1576">
        <v>8700</v>
      </c>
      <c r="BI1576">
        <v>1</v>
      </c>
      <c r="BJ1576">
        <v>0</v>
      </c>
      <c r="BK1576">
        <v>0</v>
      </c>
      <c r="BL1576">
        <v>0</v>
      </c>
      <c r="BO1576">
        <v>0</v>
      </c>
      <c r="BP1576">
        <v>0</v>
      </c>
      <c r="BW1576" t="str">
        <f t="shared" si="859"/>
        <v>14:52:58.110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285</v>
      </c>
      <c r="CR1576">
        <v>0</v>
      </c>
      <c r="CW1576">
        <v>8855025</v>
      </c>
      <c r="CY1576">
        <v>0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25">
      <c r="A1577" t="str">
        <f t="shared" si="855"/>
        <v>06/05/2020 14:52:52.471</v>
      </c>
      <c r="C1577" t="str">
        <f t="shared" si="856"/>
        <v>FFDFD3C0</v>
      </c>
      <c r="D1577" t="s">
        <v>113</v>
      </c>
      <c r="E1577">
        <v>3</v>
      </c>
      <c r="H1577">
        <v>166</v>
      </c>
      <c r="I1577" t="s">
        <v>114</v>
      </c>
      <c r="J1577" t="s">
        <v>115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857"/>
        <v>14:52:58.109</v>
      </c>
      <c r="T1577" t="str">
        <f t="shared" si="858"/>
        <v>14:52:57.709</v>
      </c>
      <c r="U1577" t="str">
        <f t="shared" si="838"/>
        <v>ACC530</v>
      </c>
      <c r="V1577">
        <v>0</v>
      </c>
      <c r="W1577">
        <v>0</v>
      </c>
      <c r="X1577">
        <v>1</v>
      </c>
      <c r="Z1577">
        <v>0</v>
      </c>
      <c r="AA1577">
        <v>9</v>
      </c>
      <c r="AB1577">
        <v>3</v>
      </c>
      <c r="AC1577">
        <v>0</v>
      </c>
      <c r="AD1577">
        <v>9</v>
      </c>
      <c r="AE1577">
        <v>0</v>
      </c>
      <c r="AF1577">
        <v>3</v>
      </c>
      <c r="AG1577">
        <v>1</v>
      </c>
      <c r="AH1577">
        <v>0</v>
      </c>
      <c r="AI1577" t="s">
        <v>618</v>
      </c>
      <c r="AJ1577">
        <v>34.194023999999999</v>
      </c>
      <c r="AK1577" t="s">
        <v>619</v>
      </c>
      <c r="AL1577">
        <v>-116.98763599999999</v>
      </c>
      <c r="AM1577">
        <v>100</v>
      </c>
      <c r="AN1577">
        <v>8700</v>
      </c>
      <c r="AO1577" t="s">
        <v>118</v>
      </c>
      <c r="AP1577">
        <v>-107</v>
      </c>
      <c r="AQ1577">
        <v>-65</v>
      </c>
      <c r="AR1577">
        <v>-448</v>
      </c>
      <c r="AZ1577">
        <v>1200</v>
      </c>
      <c r="BA1577">
        <v>1</v>
      </c>
      <c r="BB1577" t="str">
        <f t="shared" si="839"/>
        <v xml:space="preserve">N9217B  </v>
      </c>
      <c r="BC1577">
        <v>1</v>
      </c>
      <c r="BE1577">
        <v>0</v>
      </c>
      <c r="BF1577">
        <v>0</v>
      </c>
      <c r="BG1577">
        <v>0</v>
      </c>
      <c r="BH1577">
        <v>8700</v>
      </c>
      <c r="BI1577">
        <v>1</v>
      </c>
      <c r="BJ1577">
        <v>0</v>
      </c>
      <c r="BK1577">
        <v>0</v>
      </c>
      <c r="BL1577">
        <v>0</v>
      </c>
      <c r="BO1577">
        <v>0</v>
      </c>
      <c r="BP1577">
        <v>0</v>
      </c>
      <c r="BW1577" t="str">
        <f t="shared" si="859"/>
        <v>14:52:58.110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285</v>
      </c>
      <c r="CR1577">
        <v>0</v>
      </c>
      <c r="CW1577">
        <v>8855025</v>
      </c>
      <c r="CY1577">
        <v>0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25">
      <c r="A1578" t="str">
        <f t="shared" ref="A1578:A1584" si="860">"06/05/2020 14:52:53.381"</f>
        <v>06/05/2020 14:52:53.381</v>
      </c>
      <c r="C1578" t="str">
        <f t="shared" si="856"/>
        <v>FFDFD3C0</v>
      </c>
      <c r="D1578" t="s">
        <v>134</v>
      </c>
      <c r="E1578">
        <v>7</v>
      </c>
      <c r="F1578">
        <v>2007</v>
      </c>
      <c r="G1578" t="s">
        <v>135</v>
      </c>
      <c r="J1578" t="s">
        <v>136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ref="S1578:S1584" si="861">"14:52:59.039"</f>
        <v>14:52:59.039</v>
      </c>
      <c r="T1578" t="str">
        <f t="shared" ref="T1578:T1584" si="862">"14:52:58.739"</f>
        <v>14:52:58.739</v>
      </c>
      <c r="U1578" t="str">
        <f t="shared" si="838"/>
        <v>ACC530</v>
      </c>
      <c r="V1578">
        <v>0</v>
      </c>
      <c r="W1578">
        <v>0</v>
      </c>
      <c r="X1578">
        <v>1</v>
      </c>
      <c r="Z1578">
        <v>0</v>
      </c>
      <c r="AA1578">
        <v>9</v>
      </c>
      <c r="AB1578">
        <v>3</v>
      </c>
      <c r="AC1578">
        <v>0</v>
      </c>
      <c r="AD1578">
        <v>9</v>
      </c>
      <c r="AE1578">
        <v>0</v>
      </c>
      <c r="AF1578">
        <v>3</v>
      </c>
      <c r="AG1578">
        <v>1</v>
      </c>
      <c r="AH1578">
        <v>0</v>
      </c>
      <c r="AI1578" t="s">
        <v>620</v>
      </c>
      <c r="AJ1578">
        <v>34.193745</v>
      </c>
      <c r="AK1578" t="s">
        <v>621</v>
      </c>
      <c r="AL1578">
        <v>-116.98819399999999</v>
      </c>
      <c r="AM1578">
        <v>100</v>
      </c>
      <c r="AN1578">
        <v>8700</v>
      </c>
      <c r="AO1578" t="s">
        <v>118</v>
      </c>
      <c r="AP1578">
        <v>-107</v>
      </c>
      <c r="AQ1578">
        <v>-65</v>
      </c>
      <c r="AR1578">
        <v>-448</v>
      </c>
      <c r="AZ1578">
        <v>1200</v>
      </c>
      <c r="BA1578">
        <v>1</v>
      </c>
      <c r="BB1578" t="str">
        <f t="shared" si="839"/>
        <v xml:space="preserve">N9217B  </v>
      </c>
      <c r="BC1578">
        <v>1</v>
      </c>
      <c r="BE1578">
        <v>0</v>
      </c>
      <c r="BF1578">
        <v>0</v>
      </c>
      <c r="BG1578">
        <v>0</v>
      </c>
      <c r="BH1578">
        <v>8700</v>
      </c>
      <c r="BI1578">
        <v>1</v>
      </c>
      <c r="BJ1578">
        <v>0</v>
      </c>
      <c r="BK1578">
        <v>0</v>
      </c>
      <c r="BL1578">
        <v>0</v>
      </c>
      <c r="BO1578">
        <v>0</v>
      </c>
      <c r="BP1578">
        <v>0</v>
      </c>
      <c r="BW1578" t="str">
        <f t="shared" ref="BW1578:BW1584" si="863">"14:52:59.040"</f>
        <v>14:52:59.040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5</v>
      </c>
      <c r="CP1578" t="s">
        <v>119</v>
      </c>
      <c r="CQ1578">
        <v>285</v>
      </c>
      <c r="CR1578">
        <v>0</v>
      </c>
      <c r="CW1578">
        <v>8855102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25">
      <c r="A1579" t="str">
        <f t="shared" si="860"/>
        <v>06/05/2020 14:52:53.381</v>
      </c>
      <c r="C1579" t="str">
        <f t="shared" si="856"/>
        <v>FFDFD3C0</v>
      </c>
      <c r="D1579" t="s">
        <v>141</v>
      </c>
      <c r="E1579">
        <v>20</v>
      </c>
      <c r="F1579">
        <v>1020</v>
      </c>
      <c r="G1579" t="s">
        <v>114</v>
      </c>
      <c r="J1579" t="s">
        <v>142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861"/>
        <v>14:52:59.039</v>
      </c>
      <c r="T1579" t="str">
        <f t="shared" si="862"/>
        <v>14:52:58.739</v>
      </c>
      <c r="U1579" t="str">
        <f t="shared" si="838"/>
        <v>ACC530</v>
      </c>
      <c r="V1579">
        <v>0</v>
      </c>
      <c r="W1579">
        <v>0</v>
      </c>
      <c r="X1579">
        <v>1</v>
      </c>
      <c r="Z1579">
        <v>0</v>
      </c>
      <c r="AA1579">
        <v>9</v>
      </c>
      <c r="AB1579">
        <v>3</v>
      </c>
      <c r="AC1579">
        <v>0</v>
      </c>
      <c r="AD1579">
        <v>9</v>
      </c>
      <c r="AE1579">
        <v>0</v>
      </c>
      <c r="AF1579">
        <v>3</v>
      </c>
      <c r="AG1579">
        <v>1</v>
      </c>
      <c r="AH1579">
        <v>0</v>
      </c>
      <c r="AI1579" t="s">
        <v>620</v>
      </c>
      <c r="AJ1579">
        <v>34.193745</v>
      </c>
      <c r="AK1579" t="s">
        <v>621</v>
      </c>
      <c r="AL1579">
        <v>-116.98819399999999</v>
      </c>
      <c r="AM1579">
        <v>100</v>
      </c>
      <c r="AN1579">
        <v>8700</v>
      </c>
      <c r="AO1579" t="s">
        <v>118</v>
      </c>
      <c r="AP1579">
        <v>-107</v>
      </c>
      <c r="AQ1579">
        <v>-65</v>
      </c>
      <c r="AR1579">
        <v>-448</v>
      </c>
      <c r="AZ1579">
        <v>1200</v>
      </c>
      <c r="BA1579">
        <v>1</v>
      </c>
      <c r="BB1579" t="str">
        <f t="shared" si="839"/>
        <v xml:space="preserve">N9217B  </v>
      </c>
      <c r="BC1579">
        <v>1</v>
      </c>
      <c r="BE1579">
        <v>0</v>
      </c>
      <c r="BF1579">
        <v>0</v>
      </c>
      <c r="BG1579">
        <v>0</v>
      </c>
      <c r="BH1579">
        <v>8700</v>
      </c>
      <c r="BI1579">
        <v>1</v>
      </c>
      <c r="BJ1579">
        <v>0</v>
      </c>
      <c r="BK1579">
        <v>0</v>
      </c>
      <c r="BL1579">
        <v>0</v>
      </c>
      <c r="BO1579">
        <v>0</v>
      </c>
      <c r="BP1579">
        <v>0</v>
      </c>
      <c r="BW1579" t="str">
        <f t="shared" si="863"/>
        <v>14:52:59.040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5</v>
      </c>
      <c r="CP1579" t="s">
        <v>119</v>
      </c>
      <c r="CQ1579">
        <v>285</v>
      </c>
      <c r="CR1579">
        <v>0</v>
      </c>
      <c r="CW1579">
        <v>8855102</v>
      </c>
      <c r="CY1579">
        <v>0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25">
      <c r="A1580" t="str">
        <f t="shared" si="860"/>
        <v>06/05/2020 14:52:53.381</v>
      </c>
      <c r="C1580" t="str">
        <f t="shared" si="856"/>
        <v>FFDFD3C0</v>
      </c>
      <c r="D1580" t="s">
        <v>151</v>
      </c>
      <c r="E1580">
        <v>8</v>
      </c>
      <c r="H1580">
        <v>225</v>
      </c>
      <c r="I1580" t="s">
        <v>353</v>
      </c>
      <c r="J1580" t="s">
        <v>150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861"/>
        <v>14:52:59.039</v>
      </c>
      <c r="T1580" t="str">
        <f t="shared" si="862"/>
        <v>14:52:58.739</v>
      </c>
      <c r="U1580" t="str">
        <f t="shared" si="838"/>
        <v>ACC530</v>
      </c>
      <c r="V1580">
        <v>0</v>
      </c>
      <c r="W1580">
        <v>0</v>
      </c>
      <c r="X1580">
        <v>1</v>
      </c>
      <c r="Z1580">
        <v>0</v>
      </c>
      <c r="AA1580">
        <v>9</v>
      </c>
      <c r="AB1580">
        <v>3</v>
      </c>
      <c r="AC1580">
        <v>0</v>
      </c>
      <c r="AD1580">
        <v>9</v>
      </c>
      <c r="AE1580">
        <v>0</v>
      </c>
      <c r="AF1580">
        <v>3</v>
      </c>
      <c r="AG1580">
        <v>1</v>
      </c>
      <c r="AH1580">
        <v>0</v>
      </c>
      <c r="AI1580" t="s">
        <v>620</v>
      </c>
      <c r="AJ1580">
        <v>34.193745</v>
      </c>
      <c r="AK1580" t="s">
        <v>621</v>
      </c>
      <c r="AL1580">
        <v>-116.98819399999999</v>
      </c>
      <c r="AM1580">
        <v>100</v>
      </c>
      <c r="AN1580">
        <v>8700</v>
      </c>
      <c r="AO1580" t="s">
        <v>118</v>
      </c>
      <c r="AP1580">
        <v>-107</v>
      </c>
      <c r="AQ1580">
        <v>-65</v>
      </c>
      <c r="AR1580">
        <v>-448</v>
      </c>
      <c r="AZ1580">
        <v>1200</v>
      </c>
      <c r="BA1580">
        <v>1</v>
      </c>
      <c r="BB1580" t="str">
        <f t="shared" si="839"/>
        <v xml:space="preserve">N9217B  </v>
      </c>
      <c r="BC1580">
        <v>1</v>
      </c>
      <c r="BE1580">
        <v>0</v>
      </c>
      <c r="BF1580">
        <v>0</v>
      </c>
      <c r="BG1580">
        <v>0</v>
      </c>
      <c r="BH1580">
        <v>8700</v>
      </c>
      <c r="BI1580">
        <v>1</v>
      </c>
      <c r="BJ1580">
        <v>0</v>
      </c>
      <c r="BK1580">
        <v>0</v>
      </c>
      <c r="BL1580">
        <v>0</v>
      </c>
      <c r="BO1580">
        <v>0</v>
      </c>
      <c r="BP1580">
        <v>0</v>
      </c>
      <c r="BW1580" t="str">
        <f t="shared" si="863"/>
        <v>14:52:59.040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5</v>
      </c>
      <c r="CP1580" t="s">
        <v>119</v>
      </c>
      <c r="CQ1580">
        <v>285</v>
      </c>
      <c r="CR1580">
        <v>0</v>
      </c>
      <c r="CW1580">
        <v>8855102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25">
      <c r="A1581" t="str">
        <f t="shared" si="860"/>
        <v>06/05/2020 14:52:53.381</v>
      </c>
      <c r="C1581" t="str">
        <f t="shared" si="856"/>
        <v>FFDFD3C0</v>
      </c>
      <c r="D1581" t="s">
        <v>151</v>
      </c>
      <c r="E1581">
        <v>9</v>
      </c>
      <c r="H1581">
        <v>226</v>
      </c>
      <c r="I1581" t="s">
        <v>152</v>
      </c>
      <c r="J1581" t="s">
        <v>150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861"/>
        <v>14:52:59.039</v>
      </c>
      <c r="T1581" t="str">
        <f t="shared" si="862"/>
        <v>14:52:58.739</v>
      </c>
      <c r="U1581" t="str">
        <f t="shared" si="838"/>
        <v>ACC530</v>
      </c>
      <c r="V1581">
        <v>0</v>
      </c>
      <c r="W1581">
        <v>0</v>
      </c>
      <c r="X1581">
        <v>1</v>
      </c>
      <c r="Z1581">
        <v>0</v>
      </c>
      <c r="AA1581">
        <v>9</v>
      </c>
      <c r="AB1581">
        <v>3</v>
      </c>
      <c r="AC1581">
        <v>0</v>
      </c>
      <c r="AD1581">
        <v>9</v>
      </c>
      <c r="AE1581">
        <v>0</v>
      </c>
      <c r="AF1581">
        <v>3</v>
      </c>
      <c r="AG1581">
        <v>1</v>
      </c>
      <c r="AH1581">
        <v>0</v>
      </c>
      <c r="AI1581" t="s">
        <v>620</v>
      </c>
      <c r="AJ1581">
        <v>34.193745</v>
      </c>
      <c r="AK1581" t="s">
        <v>621</v>
      </c>
      <c r="AL1581">
        <v>-116.98819399999999</v>
      </c>
      <c r="AM1581">
        <v>100</v>
      </c>
      <c r="AN1581">
        <v>8700</v>
      </c>
      <c r="AO1581" t="s">
        <v>118</v>
      </c>
      <c r="AP1581">
        <v>-107</v>
      </c>
      <c r="AQ1581">
        <v>-65</v>
      </c>
      <c r="AR1581">
        <v>-448</v>
      </c>
      <c r="AZ1581">
        <v>1200</v>
      </c>
      <c r="BA1581">
        <v>1</v>
      </c>
      <c r="BB1581" t="str">
        <f t="shared" si="839"/>
        <v xml:space="preserve">N9217B  </v>
      </c>
      <c r="BC1581">
        <v>1</v>
      </c>
      <c r="BE1581">
        <v>0</v>
      </c>
      <c r="BF1581">
        <v>0</v>
      </c>
      <c r="BG1581">
        <v>0</v>
      </c>
      <c r="BH1581">
        <v>8700</v>
      </c>
      <c r="BI1581">
        <v>1</v>
      </c>
      <c r="BJ1581">
        <v>0</v>
      </c>
      <c r="BK1581">
        <v>0</v>
      </c>
      <c r="BL1581">
        <v>0</v>
      </c>
      <c r="BO1581">
        <v>0</v>
      </c>
      <c r="BP1581">
        <v>0</v>
      </c>
      <c r="BW1581" t="str">
        <f t="shared" si="863"/>
        <v>14:52:59.040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5</v>
      </c>
      <c r="CP1581" t="s">
        <v>119</v>
      </c>
      <c r="CQ1581">
        <v>285</v>
      </c>
      <c r="CR1581">
        <v>0</v>
      </c>
      <c r="CW1581">
        <v>8855102</v>
      </c>
      <c r="CY1581">
        <v>0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25">
      <c r="A1582" t="str">
        <f t="shared" si="860"/>
        <v>06/05/2020 14:52:53.381</v>
      </c>
      <c r="C1582" t="str">
        <f t="shared" si="856"/>
        <v>FFDFD3C0</v>
      </c>
      <c r="D1582" t="s">
        <v>148</v>
      </c>
      <c r="E1582">
        <v>11</v>
      </c>
      <c r="H1582">
        <v>53</v>
      </c>
      <c r="I1582" t="s">
        <v>364</v>
      </c>
      <c r="J1582" t="s">
        <v>150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861"/>
        <v>14:52:59.039</v>
      </c>
      <c r="T1582" t="str">
        <f t="shared" si="862"/>
        <v>14:52:58.739</v>
      </c>
      <c r="U1582" t="str">
        <f t="shared" si="838"/>
        <v>ACC530</v>
      </c>
      <c r="V1582">
        <v>0</v>
      </c>
      <c r="W1582">
        <v>0</v>
      </c>
      <c r="X1582">
        <v>1</v>
      </c>
      <c r="Z1582">
        <v>0</v>
      </c>
      <c r="AA1582">
        <v>9</v>
      </c>
      <c r="AB1582">
        <v>3</v>
      </c>
      <c r="AC1582">
        <v>0</v>
      </c>
      <c r="AD1582">
        <v>9</v>
      </c>
      <c r="AE1582">
        <v>0</v>
      </c>
      <c r="AF1582">
        <v>3</v>
      </c>
      <c r="AG1582">
        <v>1</v>
      </c>
      <c r="AH1582">
        <v>0</v>
      </c>
      <c r="AI1582" t="s">
        <v>620</v>
      </c>
      <c r="AJ1582">
        <v>34.193745</v>
      </c>
      <c r="AK1582" t="s">
        <v>621</v>
      </c>
      <c r="AL1582">
        <v>-116.98819399999999</v>
      </c>
      <c r="AM1582">
        <v>100</v>
      </c>
      <c r="AN1582">
        <v>8700</v>
      </c>
      <c r="AO1582" t="s">
        <v>118</v>
      </c>
      <c r="AP1582">
        <v>-107</v>
      </c>
      <c r="AQ1582">
        <v>-65</v>
      </c>
      <c r="AR1582">
        <v>-448</v>
      </c>
      <c r="AZ1582">
        <v>1200</v>
      </c>
      <c r="BA1582">
        <v>1</v>
      </c>
      <c r="BB1582" t="str">
        <f t="shared" si="839"/>
        <v xml:space="preserve">N9217B  </v>
      </c>
      <c r="BC1582">
        <v>1</v>
      </c>
      <c r="BE1582">
        <v>0</v>
      </c>
      <c r="BF1582">
        <v>0</v>
      </c>
      <c r="BG1582">
        <v>0</v>
      </c>
      <c r="BH1582">
        <v>8700</v>
      </c>
      <c r="BI1582">
        <v>1</v>
      </c>
      <c r="BJ1582">
        <v>0</v>
      </c>
      <c r="BK1582">
        <v>0</v>
      </c>
      <c r="BL1582">
        <v>0</v>
      </c>
      <c r="BO1582">
        <v>0</v>
      </c>
      <c r="BP1582">
        <v>0</v>
      </c>
      <c r="BW1582" t="str">
        <f t="shared" si="863"/>
        <v>14:52:59.040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5</v>
      </c>
      <c r="CP1582" t="s">
        <v>119</v>
      </c>
      <c r="CQ1582">
        <v>285</v>
      </c>
      <c r="CR1582">
        <v>0</v>
      </c>
      <c r="CW1582">
        <v>8855102</v>
      </c>
      <c r="CY1582">
        <v>0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25">
      <c r="A1583" t="str">
        <f t="shared" si="860"/>
        <v>06/05/2020 14:52:53.381</v>
      </c>
      <c r="C1583" t="str">
        <f t="shared" si="856"/>
        <v>FFDFD3C0</v>
      </c>
      <c r="D1583" t="s">
        <v>148</v>
      </c>
      <c r="E1583">
        <v>8</v>
      </c>
      <c r="H1583">
        <v>50</v>
      </c>
      <c r="I1583" t="s">
        <v>149</v>
      </c>
      <c r="J1583" t="s">
        <v>150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861"/>
        <v>14:52:59.039</v>
      </c>
      <c r="T1583" t="str">
        <f t="shared" si="862"/>
        <v>14:52:58.739</v>
      </c>
      <c r="U1583" t="str">
        <f t="shared" si="838"/>
        <v>ACC530</v>
      </c>
      <c r="V1583">
        <v>0</v>
      </c>
      <c r="W1583">
        <v>0</v>
      </c>
      <c r="X1583">
        <v>1</v>
      </c>
      <c r="Z1583">
        <v>0</v>
      </c>
      <c r="AA1583">
        <v>9</v>
      </c>
      <c r="AB1583">
        <v>3</v>
      </c>
      <c r="AC1583">
        <v>0</v>
      </c>
      <c r="AD1583">
        <v>9</v>
      </c>
      <c r="AE1583">
        <v>0</v>
      </c>
      <c r="AF1583">
        <v>3</v>
      </c>
      <c r="AG1583">
        <v>1</v>
      </c>
      <c r="AH1583">
        <v>0</v>
      </c>
      <c r="AI1583" t="s">
        <v>620</v>
      </c>
      <c r="AJ1583">
        <v>34.193745</v>
      </c>
      <c r="AK1583" t="s">
        <v>621</v>
      </c>
      <c r="AL1583">
        <v>-116.98819399999999</v>
      </c>
      <c r="AM1583">
        <v>100</v>
      </c>
      <c r="AN1583">
        <v>8700</v>
      </c>
      <c r="AO1583" t="s">
        <v>118</v>
      </c>
      <c r="AP1583">
        <v>-107</v>
      </c>
      <c r="AQ1583">
        <v>-65</v>
      </c>
      <c r="AR1583">
        <v>-448</v>
      </c>
      <c r="AZ1583">
        <v>1200</v>
      </c>
      <c r="BA1583">
        <v>1</v>
      </c>
      <c r="BB1583" t="str">
        <f t="shared" si="839"/>
        <v xml:space="preserve">N9217B  </v>
      </c>
      <c r="BC1583">
        <v>1</v>
      </c>
      <c r="BE1583">
        <v>0</v>
      </c>
      <c r="BF1583">
        <v>0</v>
      </c>
      <c r="BG1583">
        <v>0</v>
      </c>
      <c r="BH1583">
        <v>8700</v>
      </c>
      <c r="BI1583">
        <v>1</v>
      </c>
      <c r="BJ1583">
        <v>0</v>
      </c>
      <c r="BK1583">
        <v>0</v>
      </c>
      <c r="BL1583">
        <v>0</v>
      </c>
      <c r="BO1583">
        <v>0</v>
      </c>
      <c r="BP1583">
        <v>0</v>
      </c>
      <c r="BW1583" t="str">
        <f t="shared" si="863"/>
        <v>14:52:59.040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5</v>
      </c>
      <c r="CP1583" t="s">
        <v>119</v>
      </c>
      <c r="CQ1583">
        <v>285</v>
      </c>
      <c r="CR1583">
        <v>0</v>
      </c>
      <c r="CW1583">
        <v>8855102</v>
      </c>
      <c r="CY1583">
        <v>0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25">
      <c r="A1584" t="str">
        <f t="shared" si="860"/>
        <v>06/05/2020 14:52:53.381</v>
      </c>
      <c r="C1584" t="str">
        <f t="shared" si="856"/>
        <v>FFDFD3C0</v>
      </c>
      <c r="D1584" t="s">
        <v>113</v>
      </c>
      <c r="E1584">
        <v>3</v>
      </c>
      <c r="H1584">
        <v>166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861"/>
        <v>14:52:59.039</v>
      </c>
      <c r="T1584" t="str">
        <f t="shared" si="862"/>
        <v>14:52:58.739</v>
      </c>
      <c r="U1584" t="str">
        <f t="shared" si="838"/>
        <v>ACC530</v>
      </c>
      <c r="V1584">
        <v>0</v>
      </c>
      <c r="W1584">
        <v>0</v>
      </c>
      <c r="X1584">
        <v>1</v>
      </c>
      <c r="Z1584">
        <v>0</v>
      </c>
      <c r="AA1584">
        <v>9</v>
      </c>
      <c r="AB1584">
        <v>3</v>
      </c>
      <c r="AC1584">
        <v>0</v>
      </c>
      <c r="AD1584">
        <v>9</v>
      </c>
      <c r="AE1584">
        <v>0</v>
      </c>
      <c r="AF1584">
        <v>3</v>
      </c>
      <c r="AG1584">
        <v>1</v>
      </c>
      <c r="AH1584">
        <v>0</v>
      </c>
      <c r="AI1584" t="s">
        <v>620</v>
      </c>
      <c r="AJ1584">
        <v>34.193745</v>
      </c>
      <c r="AK1584" t="s">
        <v>621</v>
      </c>
      <c r="AL1584">
        <v>-116.98819399999999</v>
      </c>
      <c r="AM1584">
        <v>100</v>
      </c>
      <c r="AN1584">
        <v>8700</v>
      </c>
      <c r="AO1584" t="s">
        <v>118</v>
      </c>
      <c r="AP1584">
        <v>-107</v>
      </c>
      <c r="AQ1584">
        <v>-65</v>
      </c>
      <c r="AR1584">
        <v>-448</v>
      </c>
      <c r="AZ1584">
        <v>1200</v>
      </c>
      <c r="BA1584">
        <v>1</v>
      </c>
      <c r="BB1584" t="str">
        <f t="shared" si="839"/>
        <v xml:space="preserve">N9217B  </v>
      </c>
      <c r="BC1584">
        <v>1</v>
      </c>
      <c r="BE1584">
        <v>0</v>
      </c>
      <c r="BF1584">
        <v>0</v>
      </c>
      <c r="BG1584">
        <v>0</v>
      </c>
      <c r="BH1584">
        <v>8700</v>
      </c>
      <c r="BI1584">
        <v>1</v>
      </c>
      <c r="BJ1584">
        <v>0</v>
      </c>
      <c r="BK1584">
        <v>0</v>
      </c>
      <c r="BL1584">
        <v>0</v>
      </c>
      <c r="BO1584">
        <v>0</v>
      </c>
      <c r="BP1584">
        <v>0</v>
      </c>
      <c r="BW1584" t="str">
        <f t="shared" si="863"/>
        <v>14:52:59.040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5</v>
      </c>
      <c r="CP1584" t="s">
        <v>119</v>
      </c>
      <c r="CQ1584">
        <v>285</v>
      </c>
      <c r="CR1584">
        <v>0</v>
      </c>
      <c r="CW1584">
        <v>8855102</v>
      </c>
      <c r="CY1584">
        <v>0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25">
      <c r="A1585" t="str">
        <f t="shared" ref="A1585:A1591" si="864">"06/05/2020 14:52:54.329"</f>
        <v>06/05/2020 14:52:54.329</v>
      </c>
      <c r="C1585" t="str">
        <f t="shared" si="856"/>
        <v>FFDFD3C0</v>
      </c>
      <c r="D1585" t="s">
        <v>113</v>
      </c>
      <c r="E1585">
        <v>3</v>
      </c>
      <c r="H1585">
        <v>166</v>
      </c>
      <c r="I1585" t="s">
        <v>114</v>
      </c>
      <c r="J1585" t="s">
        <v>115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ref="S1585:S1591" si="865">"14:52:59.992"</f>
        <v>14:52:59.992</v>
      </c>
      <c r="T1585" t="str">
        <f t="shared" ref="T1585:T1591" si="866">"14:52:59.792"</f>
        <v>14:52:59.792</v>
      </c>
      <c r="U1585" t="str">
        <f t="shared" si="838"/>
        <v>ACC530</v>
      </c>
      <c r="V1585">
        <v>0</v>
      </c>
      <c r="W1585">
        <v>0</v>
      </c>
      <c r="X1585">
        <v>1</v>
      </c>
      <c r="Z1585">
        <v>0</v>
      </c>
      <c r="AA1585">
        <v>9</v>
      </c>
      <c r="AB1585">
        <v>3</v>
      </c>
      <c r="AC1585">
        <v>0</v>
      </c>
      <c r="AD1585">
        <v>9</v>
      </c>
      <c r="AE1585">
        <v>0</v>
      </c>
      <c r="AF1585">
        <v>3</v>
      </c>
      <c r="AG1585">
        <v>1</v>
      </c>
      <c r="AH1585">
        <v>0</v>
      </c>
      <c r="AI1585" t="s">
        <v>622</v>
      </c>
      <c r="AJ1585">
        <v>34.193444</v>
      </c>
      <c r="AK1585" t="s">
        <v>623</v>
      </c>
      <c r="AL1585">
        <v>-116.98875200000001</v>
      </c>
      <c r="AM1585">
        <v>100</v>
      </c>
      <c r="AN1585">
        <v>8700</v>
      </c>
      <c r="AO1585" t="s">
        <v>118</v>
      </c>
      <c r="AP1585">
        <v>-106</v>
      </c>
      <c r="AQ1585">
        <v>-65</v>
      </c>
      <c r="AR1585">
        <v>-512</v>
      </c>
      <c r="AZ1585">
        <v>1200</v>
      </c>
      <c r="BA1585">
        <v>1</v>
      </c>
      <c r="BB1585" t="str">
        <f t="shared" si="839"/>
        <v xml:space="preserve">N9217B  </v>
      </c>
      <c r="BC1585">
        <v>1</v>
      </c>
      <c r="BE1585">
        <v>0</v>
      </c>
      <c r="BF1585">
        <v>0</v>
      </c>
      <c r="BG1585">
        <v>0</v>
      </c>
      <c r="BH1585">
        <v>8675</v>
      </c>
      <c r="BI1585">
        <v>1</v>
      </c>
      <c r="BJ1585">
        <v>0</v>
      </c>
      <c r="BK1585">
        <v>0</v>
      </c>
      <c r="BL1585">
        <v>0</v>
      </c>
      <c r="BO1585">
        <v>0</v>
      </c>
      <c r="BP1585">
        <v>0</v>
      </c>
      <c r="BW1585" t="str">
        <f t="shared" ref="BW1585:BW1591" si="867">"14:53:00.000"</f>
        <v>14:53:00.000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6</v>
      </c>
      <c r="CP1585" t="s">
        <v>119</v>
      </c>
      <c r="CQ1585">
        <v>285</v>
      </c>
      <c r="CR1585">
        <v>0</v>
      </c>
      <c r="CW1585">
        <v>8855193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25">
      <c r="A1586" t="str">
        <f t="shared" si="864"/>
        <v>06/05/2020 14:52:54.329</v>
      </c>
      <c r="C1586" t="str">
        <f t="shared" si="856"/>
        <v>FFDFD3C0</v>
      </c>
      <c r="D1586" t="s">
        <v>134</v>
      </c>
      <c r="E1586">
        <v>7</v>
      </c>
      <c r="F1586">
        <v>2007</v>
      </c>
      <c r="G1586" t="s">
        <v>135</v>
      </c>
      <c r="J1586" t="s">
        <v>136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65"/>
        <v>14:52:59.992</v>
      </c>
      <c r="T1586" t="str">
        <f t="shared" si="866"/>
        <v>14:52:59.792</v>
      </c>
      <c r="U1586" t="str">
        <f t="shared" si="838"/>
        <v>ACC530</v>
      </c>
      <c r="V1586">
        <v>0</v>
      </c>
      <c r="W1586">
        <v>0</v>
      </c>
      <c r="X1586">
        <v>1</v>
      </c>
      <c r="Z1586">
        <v>0</v>
      </c>
      <c r="AA1586">
        <v>9</v>
      </c>
      <c r="AB1586">
        <v>3</v>
      </c>
      <c r="AC1586">
        <v>0</v>
      </c>
      <c r="AD1586">
        <v>9</v>
      </c>
      <c r="AE1586">
        <v>0</v>
      </c>
      <c r="AF1586">
        <v>3</v>
      </c>
      <c r="AG1586">
        <v>1</v>
      </c>
      <c r="AH1586">
        <v>0</v>
      </c>
      <c r="AI1586" t="s">
        <v>622</v>
      </c>
      <c r="AJ1586">
        <v>34.193444</v>
      </c>
      <c r="AK1586" t="s">
        <v>623</v>
      </c>
      <c r="AL1586">
        <v>-116.98875200000001</v>
      </c>
      <c r="AM1586">
        <v>100</v>
      </c>
      <c r="AN1586">
        <v>8700</v>
      </c>
      <c r="AO1586" t="s">
        <v>118</v>
      </c>
      <c r="AP1586">
        <v>-106</v>
      </c>
      <c r="AQ1586">
        <v>-65</v>
      </c>
      <c r="AR1586">
        <v>-512</v>
      </c>
      <c r="AZ1586">
        <v>1200</v>
      </c>
      <c r="BA1586">
        <v>1</v>
      </c>
      <c r="BB1586" t="str">
        <f t="shared" si="839"/>
        <v xml:space="preserve">N9217B  </v>
      </c>
      <c r="BC1586">
        <v>1</v>
      </c>
      <c r="BE1586">
        <v>0</v>
      </c>
      <c r="BF1586">
        <v>0</v>
      </c>
      <c r="BG1586">
        <v>0</v>
      </c>
      <c r="BH1586">
        <v>8675</v>
      </c>
      <c r="BI1586">
        <v>1</v>
      </c>
      <c r="BJ1586">
        <v>0</v>
      </c>
      <c r="BK1586">
        <v>0</v>
      </c>
      <c r="BL1586">
        <v>0</v>
      </c>
      <c r="BO1586">
        <v>0</v>
      </c>
      <c r="BP1586">
        <v>0</v>
      </c>
      <c r="BW1586" t="str">
        <f t="shared" si="867"/>
        <v>14:53:00.000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6</v>
      </c>
      <c r="CP1586" t="s">
        <v>119</v>
      </c>
      <c r="CQ1586">
        <v>285</v>
      </c>
      <c r="CR1586">
        <v>0</v>
      </c>
      <c r="CW1586">
        <v>8855193</v>
      </c>
      <c r="CY1586">
        <v>0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25">
      <c r="A1587" t="str">
        <f t="shared" si="864"/>
        <v>06/05/2020 14:52:54.329</v>
      </c>
      <c r="C1587" t="str">
        <f t="shared" si="856"/>
        <v>FFDFD3C0</v>
      </c>
      <c r="D1587" t="s">
        <v>141</v>
      </c>
      <c r="E1587">
        <v>20</v>
      </c>
      <c r="F1587">
        <v>1020</v>
      </c>
      <c r="G1587" t="s">
        <v>114</v>
      </c>
      <c r="J1587" t="s">
        <v>142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65"/>
        <v>14:52:59.992</v>
      </c>
      <c r="T1587" t="str">
        <f t="shared" si="866"/>
        <v>14:52:59.792</v>
      </c>
      <c r="U1587" t="str">
        <f t="shared" si="838"/>
        <v>ACC530</v>
      </c>
      <c r="V1587">
        <v>0</v>
      </c>
      <c r="W1587">
        <v>0</v>
      </c>
      <c r="X1587">
        <v>1</v>
      </c>
      <c r="Z1587">
        <v>0</v>
      </c>
      <c r="AA1587">
        <v>9</v>
      </c>
      <c r="AB1587">
        <v>3</v>
      </c>
      <c r="AC1587">
        <v>0</v>
      </c>
      <c r="AD1587">
        <v>9</v>
      </c>
      <c r="AE1587">
        <v>0</v>
      </c>
      <c r="AF1587">
        <v>3</v>
      </c>
      <c r="AG1587">
        <v>1</v>
      </c>
      <c r="AH1587">
        <v>0</v>
      </c>
      <c r="AI1587" t="s">
        <v>622</v>
      </c>
      <c r="AJ1587">
        <v>34.193444</v>
      </c>
      <c r="AK1587" t="s">
        <v>623</v>
      </c>
      <c r="AL1587">
        <v>-116.98875200000001</v>
      </c>
      <c r="AM1587">
        <v>100</v>
      </c>
      <c r="AN1587">
        <v>8700</v>
      </c>
      <c r="AO1587" t="s">
        <v>118</v>
      </c>
      <c r="AP1587">
        <v>-106</v>
      </c>
      <c r="AQ1587">
        <v>-65</v>
      </c>
      <c r="AR1587">
        <v>-512</v>
      </c>
      <c r="AZ1587">
        <v>1200</v>
      </c>
      <c r="BA1587">
        <v>1</v>
      </c>
      <c r="BB1587" t="str">
        <f t="shared" si="839"/>
        <v xml:space="preserve">N9217B  </v>
      </c>
      <c r="BC1587">
        <v>1</v>
      </c>
      <c r="BE1587">
        <v>0</v>
      </c>
      <c r="BF1587">
        <v>0</v>
      </c>
      <c r="BG1587">
        <v>0</v>
      </c>
      <c r="BH1587">
        <v>8675</v>
      </c>
      <c r="BI1587">
        <v>1</v>
      </c>
      <c r="BJ1587">
        <v>0</v>
      </c>
      <c r="BK1587">
        <v>0</v>
      </c>
      <c r="BL1587">
        <v>0</v>
      </c>
      <c r="BO1587">
        <v>0</v>
      </c>
      <c r="BP1587">
        <v>0</v>
      </c>
      <c r="BW1587" t="str">
        <f t="shared" si="867"/>
        <v>14:53:00.000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6</v>
      </c>
      <c r="CP1587" t="s">
        <v>119</v>
      </c>
      <c r="CQ1587">
        <v>285</v>
      </c>
      <c r="CR1587">
        <v>0</v>
      </c>
      <c r="CW1587">
        <v>8855193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25">
      <c r="A1588" t="str">
        <f t="shared" si="864"/>
        <v>06/05/2020 14:52:54.329</v>
      </c>
      <c r="C1588" t="str">
        <f t="shared" si="856"/>
        <v>FFDFD3C0</v>
      </c>
      <c r="D1588" t="s">
        <v>151</v>
      </c>
      <c r="E1588">
        <v>8</v>
      </c>
      <c r="H1588">
        <v>225</v>
      </c>
      <c r="I1588" t="s">
        <v>353</v>
      </c>
      <c r="J1588" t="s">
        <v>150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865"/>
        <v>14:52:59.992</v>
      </c>
      <c r="T1588" t="str">
        <f t="shared" si="866"/>
        <v>14:52:59.792</v>
      </c>
      <c r="U1588" t="str">
        <f t="shared" si="838"/>
        <v>ACC530</v>
      </c>
      <c r="V1588">
        <v>0</v>
      </c>
      <c r="W1588">
        <v>0</v>
      </c>
      <c r="X1588">
        <v>1</v>
      </c>
      <c r="Z1588">
        <v>0</v>
      </c>
      <c r="AA1588">
        <v>9</v>
      </c>
      <c r="AB1588">
        <v>3</v>
      </c>
      <c r="AC1588">
        <v>0</v>
      </c>
      <c r="AD1588">
        <v>9</v>
      </c>
      <c r="AE1588">
        <v>0</v>
      </c>
      <c r="AF1588">
        <v>3</v>
      </c>
      <c r="AG1588">
        <v>1</v>
      </c>
      <c r="AH1588">
        <v>0</v>
      </c>
      <c r="AI1588" t="s">
        <v>622</v>
      </c>
      <c r="AJ1588">
        <v>34.193444</v>
      </c>
      <c r="AK1588" t="s">
        <v>623</v>
      </c>
      <c r="AL1588">
        <v>-116.98875200000001</v>
      </c>
      <c r="AM1588">
        <v>100</v>
      </c>
      <c r="AN1588">
        <v>8700</v>
      </c>
      <c r="AO1588" t="s">
        <v>118</v>
      </c>
      <c r="AP1588">
        <v>-106</v>
      </c>
      <c r="AQ1588">
        <v>-65</v>
      </c>
      <c r="AR1588">
        <v>-512</v>
      </c>
      <c r="AZ1588">
        <v>1200</v>
      </c>
      <c r="BA1588">
        <v>1</v>
      </c>
      <c r="BB1588" t="str">
        <f t="shared" si="839"/>
        <v xml:space="preserve">N9217B  </v>
      </c>
      <c r="BC1588">
        <v>1</v>
      </c>
      <c r="BE1588">
        <v>0</v>
      </c>
      <c r="BF1588">
        <v>0</v>
      </c>
      <c r="BG1588">
        <v>0</v>
      </c>
      <c r="BH1588">
        <v>8675</v>
      </c>
      <c r="BI1588">
        <v>1</v>
      </c>
      <c r="BJ1588">
        <v>0</v>
      </c>
      <c r="BK1588">
        <v>0</v>
      </c>
      <c r="BL1588">
        <v>0</v>
      </c>
      <c r="BO1588">
        <v>0</v>
      </c>
      <c r="BP1588">
        <v>0</v>
      </c>
      <c r="BW1588" t="str">
        <f t="shared" si="867"/>
        <v>14:53:00.000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119</v>
      </c>
      <c r="CQ1588">
        <v>285</v>
      </c>
      <c r="CR1588">
        <v>0</v>
      </c>
      <c r="CW1588">
        <v>8855193</v>
      </c>
      <c r="CY1588">
        <v>0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25">
      <c r="A1589" t="str">
        <f t="shared" si="864"/>
        <v>06/05/2020 14:52:54.329</v>
      </c>
      <c r="C1589" t="str">
        <f t="shared" si="856"/>
        <v>FFDFD3C0</v>
      </c>
      <c r="D1589" t="s">
        <v>151</v>
      </c>
      <c r="E1589">
        <v>9</v>
      </c>
      <c r="H1589">
        <v>226</v>
      </c>
      <c r="I1589" t="s">
        <v>152</v>
      </c>
      <c r="J1589" t="s">
        <v>150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865"/>
        <v>14:52:59.992</v>
      </c>
      <c r="T1589" t="str">
        <f t="shared" si="866"/>
        <v>14:52:59.792</v>
      </c>
      <c r="U1589" t="str">
        <f t="shared" si="838"/>
        <v>ACC530</v>
      </c>
      <c r="V1589">
        <v>0</v>
      </c>
      <c r="W1589">
        <v>0</v>
      </c>
      <c r="X1589">
        <v>1</v>
      </c>
      <c r="Z1589">
        <v>0</v>
      </c>
      <c r="AA1589">
        <v>9</v>
      </c>
      <c r="AB1589">
        <v>3</v>
      </c>
      <c r="AC1589">
        <v>0</v>
      </c>
      <c r="AD1589">
        <v>9</v>
      </c>
      <c r="AE1589">
        <v>0</v>
      </c>
      <c r="AF1589">
        <v>3</v>
      </c>
      <c r="AG1589">
        <v>1</v>
      </c>
      <c r="AH1589">
        <v>0</v>
      </c>
      <c r="AI1589" t="s">
        <v>622</v>
      </c>
      <c r="AJ1589">
        <v>34.193444</v>
      </c>
      <c r="AK1589" t="s">
        <v>623</v>
      </c>
      <c r="AL1589">
        <v>-116.98875200000001</v>
      </c>
      <c r="AM1589">
        <v>100</v>
      </c>
      <c r="AN1589">
        <v>8700</v>
      </c>
      <c r="AO1589" t="s">
        <v>118</v>
      </c>
      <c r="AP1589">
        <v>-106</v>
      </c>
      <c r="AQ1589">
        <v>-65</v>
      </c>
      <c r="AR1589">
        <v>-512</v>
      </c>
      <c r="AZ1589">
        <v>1200</v>
      </c>
      <c r="BA1589">
        <v>1</v>
      </c>
      <c r="BB1589" t="str">
        <f t="shared" si="839"/>
        <v xml:space="preserve">N9217B  </v>
      </c>
      <c r="BC1589">
        <v>1</v>
      </c>
      <c r="BE1589">
        <v>0</v>
      </c>
      <c r="BF1589">
        <v>0</v>
      </c>
      <c r="BG1589">
        <v>0</v>
      </c>
      <c r="BH1589">
        <v>8675</v>
      </c>
      <c r="BI1589">
        <v>1</v>
      </c>
      <c r="BJ1589">
        <v>0</v>
      </c>
      <c r="BK1589">
        <v>0</v>
      </c>
      <c r="BL1589">
        <v>0</v>
      </c>
      <c r="BO1589">
        <v>0</v>
      </c>
      <c r="BP1589">
        <v>0</v>
      </c>
      <c r="BW1589" t="str">
        <f t="shared" si="867"/>
        <v>14:53:00.000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285</v>
      </c>
      <c r="CR1589">
        <v>0</v>
      </c>
      <c r="CW1589">
        <v>8855193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25">
      <c r="A1590" t="str">
        <f t="shared" si="864"/>
        <v>06/05/2020 14:52:54.329</v>
      </c>
      <c r="C1590" t="str">
        <f t="shared" si="856"/>
        <v>FFDFD3C0</v>
      </c>
      <c r="D1590" t="s">
        <v>148</v>
      </c>
      <c r="E1590">
        <v>11</v>
      </c>
      <c r="H1590">
        <v>53</v>
      </c>
      <c r="I1590" t="s">
        <v>364</v>
      </c>
      <c r="J1590" t="s">
        <v>150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65"/>
        <v>14:52:59.992</v>
      </c>
      <c r="T1590" t="str">
        <f t="shared" si="866"/>
        <v>14:52:59.792</v>
      </c>
      <c r="U1590" t="str">
        <f t="shared" si="838"/>
        <v>ACC530</v>
      </c>
      <c r="V1590">
        <v>0</v>
      </c>
      <c r="W1590">
        <v>0</v>
      </c>
      <c r="X1590">
        <v>1</v>
      </c>
      <c r="Z1590">
        <v>0</v>
      </c>
      <c r="AA1590">
        <v>9</v>
      </c>
      <c r="AB1590">
        <v>3</v>
      </c>
      <c r="AC1590">
        <v>0</v>
      </c>
      <c r="AD1590">
        <v>9</v>
      </c>
      <c r="AE1590">
        <v>0</v>
      </c>
      <c r="AF1590">
        <v>3</v>
      </c>
      <c r="AG1590">
        <v>1</v>
      </c>
      <c r="AH1590">
        <v>0</v>
      </c>
      <c r="AI1590" t="s">
        <v>622</v>
      </c>
      <c r="AJ1590">
        <v>34.193444</v>
      </c>
      <c r="AK1590" t="s">
        <v>623</v>
      </c>
      <c r="AL1590">
        <v>-116.98875200000001</v>
      </c>
      <c r="AM1590">
        <v>100</v>
      </c>
      <c r="AN1590">
        <v>8700</v>
      </c>
      <c r="AO1590" t="s">
        <v>118</v>
      </c>
      <c r="AP1590">
        <v>-106</v>
      </c>
      <c r="AQ1590">
        <v>-65</v>
      </c>
      <c r="AR1590">
        <v>-512</v>
      </c>
      <c r="AZ1590">
        <v>1200</v>
      </c>
      <c r="BA1590">
        <v>1</v>
      </c>
      <c r="BB1590" t="str">
        <f t="shared" si="839"/>
        <v xml:space="preserve">N9217B  </v>
      </c>
      <c r="BC1590">
        <v>1</v>
      </c>
      <c r="BE1590">
        <v>0</v>
      </c>
      <c r="BF1590">
        <v>0</v>
      </c>
      <c r="BG1590">
        <v>0</v>
      </c>
      <c r="BH1590">
        <v>8675</v>
      </c>
      <c r="BI1590">
        <v>1</v>
      </c>
      <c r="BJ1590">
        <v>0</v>
      </c>
      <c r="BK1590">
        <v>0</v>
      </c>
      <c r="BL1590">
        <v>0</v>
      </c>
      <c r="BO1590">
        <v>0</v>
      </c>
      <c r="BP1590">
        <v>0</v>
      </c>
      <c r="BW1590" t="str">
        <f t="shared" si="867"/>
        <v>14:53:00.000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6</v>
      </c>
      <c r="CP1590" t="s">
        <v>119</v>
      </c>
      <c r="CQ1590">
        <v>285</v>
      </c>
      <c r="CR1590">
        <v>0</v>
      </c>
      <c r="CW1590">
        <v>8855193</v>
      </c>
      <c r="CY1590">
        <v>0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25">
      <c r="A1591" t="str">
        <f t="shared" si="864"/>
        <v>06/05/2020 14:52:54.329</v>
      </c>
      <c r="C1591" t="str">
        <f t="shared" si="856"/>
        <v>FFDFD3C0</v>
      </c>
      <c r="D1591" t="s">
        <v>148</v>
      </c>
      <c r="E1591">
        <v>8</v>
      </c>
      <c r="H1591">
        <v>50</v>
      </c>
      <c r="I1591" t="s">
        <v>149</v>
      </c>
      <c r="J1591" t="s">
        <v>150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865"/>
        <v>14:52:59.992</v>
      </c>
      <c r="T1591" t="str">
        <f t="shared" si="866"/>
        <v>14:52:59.792</v>
      </c>
      <c r="U1591" t="str">
        <f t="shared" si="838"/>
        <v>ACC530</v>
      </c>
      <c r="V1591">
        <v>0</v>
      </c>
      <c r="W1591">
        <v>0</v>
      </c>
      <c r="X1591">
        <v>1</v>
      </c>
      <c r="Z1591">
        <v>0</v>
      </c>
      <c r="AA1591">
        <v>9</v>
      </c>
      <c r="AB1591">
        <v>3</v>
      </c>
      <c r="AC1591">
        <v>0</v>
      </c>
      <c r="AD1591">
        <v>9</v>
      </c>
      <c r="AE1591">
        <v>0</v>
      </c>
      <c r="AF1591">
        <v>3</v>
      </c>
      <c r="AG1591">
        <v>1</v>
      </c>
      <c r="AH1591">
        <v>0</v>
      </c>
      <c r="AI1591" t="s">
        <v>622</v>
      </c>
      <c r="AJ1591">
        <v>34.193444</v>
      </c>
      <c r="AK1591" t="s">
        <v>623</v>
      </c>
      <c r="AL1591">
        <v>-116.98875200000001</v>
      </c>
      <c r="AM1591">
        <v>100</v>
      </c>
      <c r="AN1591">
        <v>8700</v>
      </c>
      <c r="AO1591" t="s">
        <v>118</v>
      </c>
      <c r="AP1591">
        <v>-106</v>
      </c>
      <c r="AQ1591">
        <v>-65</v>
      </c>
      <c r="AR1591">
        <v>-512</v>
      </c>
      <c r="AZ1591">
        <v>1200</v>
      </c>
      <c r="BA1591">
        <v>1</v>
      </c>
      <c r="BB1591" t="str">
        <f t="shared" si="839"/>
        <v xml:space="preserve">N9217B  </v>
      </c>
      <c r="BC1591">
        <v>1</v>
      </c>
      <c r="BE1591">
        <v>0</v>
      </c>
      <c r="BF1591">
        <v>0</v>
      </c>
      <c r="BG1591">
        <v>0</v>
      </c>
      <c r="BH1591">
        <v>8675</v>
      </c>
      <c r="BI1591">
        <v>1</v>
      </c>
      <c r="BJ1591">
        <v>0</v>
      </c>
      <c r="BK1591">
        <v>0</v>
      </c>
      <c r="BL1591">
        <v>0</v>
      </c>
      <c r="BO1591">
        <v>0</v>
      </c>
      <c r="BP1591">
        <v>0</v>
      </c>
      <c r="BW1591" t="str">
        <f t="shared" si="867"/>
        <v>14:53:00.000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6</v>
      </c>
      <c r="CP1591" t="s">
        <v>119</v>
      </c>
      <c r="CQ1591">
        <v>285</v>
      </c>
      <c r="CR1591">
        <v>0</v>
      </c>
      <c r="CW1591">
        <v>8855193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25">
      <c r="A1592" t="str">
        <f t="shared" ref="A1592:A1598" si="868">"06/05/2020 14:52:55.281"</f>
        <v>06/05/2020 14:52:55.281</v>
      </c>
      <c r="C1592" t="str">
        <f t="shared" si="856"/>
        <v>FFDFD3C0</v>
      </c>
      <c r="D1592" t="s">
        <v>148</v>
      </c>
      <c r="E1592">
        <v>8</v>
      </c>
      <c r="H1592">
        <v>50</v>
      </c>
      <c r="I1592" t="s">
        <v>149</v>
      </c>
      <c r="J1592" t="s">
        <v>150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ref="S1592:S1598" si="869">"14:53:00.922"</f>
        <v>14:53:00.922</v>
      </c>
      <c r="T1592" t="str">
        <f t="shared" ref="T1592:T1598" si="870">"14:53:00.722"</f>
        <v>14:53:00.722</v>
      </c>
      <c r="U1592" t="str">
        <f t="shared" si="838"/>
        <v>ACC530</v>
      </c>
      <c r="V1592">
        <v>0</v>
      </c>
      <c r="W1592">
        <v>0</v>
      </c>
      <c r="X1592">
        <v>1</v>
      </c>
      <c r="Z1592">
        <v>0</v>
      </c>
      <c r="AA1592">
        <v>9</v>
      </c>
      <c r="AB1592">
        <v>3</v>
      </c>
      <c r="AC1592">
        <v>0</v>
      </c>
      <c r="AD1592">
        <v>9</v>
      </c>
      <c r="AE1592">
        <v>0</v>
      </c>
      <c r="AF1592">
        <v>3</v>
      </c>
      <c r="AG1592">
        <v>1</v>
      </c>
      <c r="AH1592">
        <v>0</v>
      </c>
      <c r="AI1592" t="s">
        <v>624</v>
      </c>
      <c r="AJ1592">
        <v>34.193165</v>
      </c>
      <c r="AK1592" t="s">
        <v>625</v>
      </c>
      <c r="AL1592">
        <v>-116.98931</v>
      </c>
      <c r="AM1592">
        <v>100</v>
      </c>
      <c r="AN1592">
        <v>8700</v>
      </c>
      <c r="AO1592" t="s">
        <v>118</v>
      </c>
      <c r="AP1592">
        <v>-105</v>
      </c>
      <c r="AQ1592">
        <v>-66</v>
      </c>
      <c r="AR1592">
        <v>-512</v>
      </c>
      <c r="AZ1592">
        <v>1200</v>
      </c>
      <c r="BA1592">
        <v>1</v>
      </c>
      <c r="BB1592" t="str">
        <f t="shared" si="839"/>
        <v xml:space="preserve">N9217B  </v>
      </c>
      <c r="BC1592">
        <v>1</v>
      </c>
      <c r="BE1592">
        <v>0</v>
      </c>
      <c r="BF1592">
        <v>0</v>
      </c>
      <c r="BG1592">
        <v>0</v>
      </c>
      <c r="BH1592">
        <v>8675</v>
      </c>
      <c r="BI1592">
        <v>1</v>
      </c>
      <c r="BJ1592">
        <v>0</v>
      </c>
      <c r="BK1592">
        <v>0</v>
      </c>
      <c r="BL1592">
        <v>0</v>
      </c>
      <c r="BO1592">
        <v>0</v>
      </c>
      <c r="BP1592">
        <v>0</v>
      </c>
      <c r="BW1592" t="str">
        <f t="shared" ref="BW1592:BW1598" si="871">"14:53:00.929"</f>
        <v>14:53:00.929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6</v>
      </c>
      <c r="CP1592" t="s">
        <v>119</v>
      </c>
      <c r="CQ1592">
        <v>285</v>
      </c>
      <c r="CR1592">
        <v>0</v>
      </c>
      <c r="CW1592">
        <v>8855275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25">
      <c r="A1593" t="str">
        <f t="shared" si="868"/>
        <v>06/05/2020 14:52:55.281</v>
      </c>
      <c r="C1593" t="str">
        <f t="shared" si="856"/>
        <v>FFDFD3C0</v>
      </c>
      <c r="D1593" t="s">
        <v>113</v>
      </c>
      <c r="E1593">
        <v>3</v>
      </c>
      <c r="H1593">
        <v>166</v>
      </c>
      <c r="I1593" t="s">
        <v>114</v>
      </c>
      <c r="J1593" t="s">
        <v>115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69"/>
        <v>14:53:00.922</v>
      </c>
      <c r="T1593" t="str">
        <f t="shared" si="870"/>
        <v>14:53:00.722</v>
      </c>
      <c r="U1593" t="str">
        <f t="shared" si="838"/>
        <v>ACC530</v>
      </c>
      <c r="V1593">
        <v>0</v>
      </c>
      <c r="W1593">
        <v>0</v>
      </c>
      <c r="X1593">
        <v>1</v>
      </c>
      <c r="Z1593">
        <v>0</v>
      </c>
      <c r="AA1593">
        <v>9</v>
      </c>
      <c r="AB1593">
        <v>3</v>
      </c>
      <c r="AC1593">
        <v>0</v>
      </c>
      <c r="AD1593">
        <v>9</v>
      </c>
      <c r="AE1593">
        <v>0</v>
      </c>
      <c r="AF1593">
        <v>3</v>
      </c>
      <c r="AG1593">
        <v>1</v>
      </c>
      <c r="AH1593">
        <v>0</v>
      </c>
      <c r="AI1593" t="s">
        <v>624</v>
      </c>
      <c r="AJ1593">
        <v>34.193165</v>
      </c>
      <c r="AK1593" t="s">
        <v>625</v>
      </c>
      <c r="AL1593">
        <v>-116.98931</v>
      </c>
      <c r="AM1593">
        <v>100</v>
      </c>
      <c r="AN1593">
        <v>8700</v>
      </c>
      <c r="AO1593" t="s">
        <v>118</v>
      </c>
      <c r="AP1593">
        <v>-105</v>
      </c>
      <c r="AQ1593">
        <v>-66</v>
      </c>
      <c r="AR1593">
        <v>-512</v>
      </c>
      <c r="AZ1593">
        <v>1200</v>
      </c>
      <c r="BA1593">
        <v>1</v>
      </c>
      <c r="BB1593" t="str">
        <f t="shared" si="839"/>
        <v xml:space="preserve">N9217B  </v>
      </c>
      <c r="BC1593">
        <v>1</v>
      </c>
      <c r="BE1593">
        <v>0</v>
      </c>
      <c r="BF1593">
        <v>0</v>
      </c>
      <c r="BG1593">
        <v>0</v>
      </c>
      <c r="BH1593">
        <v>8675</v>
      </c>
      <c r="BI1593">
        <v>1</v>
      </c>
      <c r="BJ1593">
        <v>0</v>
      </c>
      <c r="BK1593">
        <v>0</v>
      </c>
      <c r="BL1593">
        <v>0</v>
      </c>
      <c r="BO1593">
        <v>0</v>
      </c>
      <c r="BP1593">
        <v>0</v>
      </c>
      <c r="BW1593" t="str">
        <f t="shared" si="871"/>
        <v>14:53:00.929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119</v>
      </c>
      <c r="CQ1593">
        <v>285</v>
      </c>
      <c r="CR1593">
        <v>0</v>
      </c>
      <c r="CW1593">
        <v>8855275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25">
      <c r="A1594" t="str">
        <f t="shared" si="868"/>
        <v>06/05/2020 14:52:55.281</v>
      </c>
      <c r="C1594" t="str">
        <f t="shared" si="856"/>
        <v>FFDFD3C0</v>
      </c>
      <c r="D1594" t="s">
        <v>134</v>
      </c>
      <c r="E1594">
        <v>7</v>
      </c>
      <c r="F1594">
        <v>2007</v>
      </c>
      <c r="G1594" t="s">
        <v>135</v>
      </c>
      <c r="J1594" t="s">
        <v>136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69"/>
        <v>14:53:00.922</v>
      </c>
      <c r="T1594" t="str">
        <f t="shared" si="870"/>
        <v>14:53:00.722</v>
      </c>
      <c r="U1594" t="str">
        <f t="shared" si="838"/>
        <v>ACC530</v>
      </c>
      <c r="V1594">
        <v>0</v>
      </c>
      <c r="W1594">
        <v>0</v>
      </c>
      <c r="X1594">
        <v>1</v>
      </c>
      <c r="Z1594">
        <v>0</v>
      </c>
      <c r="AA1594">
        <v>9</v>
      </c>
      <c r="AB1594">
        <v>3</v>
      </c>
      <c r="AC1594">
        <v>0</v>
      </c>
      <c r="AD1594">
        <v>9</v>
      </c>
      <c r="AE1594">
        <v>0</v>
      </c>
      <c r="AF1594">
        <v>3</v>
      </c>
      <c r="AG1594">
        <v>1</v>
      </c>
      <c r="AH1594">
        <v>0</v>
      </c>
      <c r="AI1594" t="s">
        <v>624</v>
      </c>
      <c r="AJ1594">
        <v>34.193165</v>
      </c>
      <c r="AK1594" t="s">
        <v>625</v>
      </c>
      <c r="AL1594">
        <v>-116.98931</v>
      </c>
      <c r="AM1594">
        <v>100</v>
      </c>
      <c r="AN1594">
        <v>8700</v>
      </c>
      <c r="AO1594" t="s">
        <v>118</v>
      </c>
      <c r="AP1594">
        <v>-105</v>
      </c>
      <c r="AQ1594">
        <v>-66</v>
      </c>
      <c r="AR1594">
        <v>-512</v>
      </c>
      <c r="AZ1594">
        <v>1200</v>
      </c>
      <c r="BA1594">
        <v>1</v>
      </c>
      <c r="BB1594" t="str">
        <f t="shared" si="839"/>
        <v xml:space="preserve">N9217B  </v>
      </c>
      <c r="BC1594">
        <v>1</v>
      </c>
      <c r="BE1594">
        <v>0</v>
      </c>
      <c r="BF1594">
        <v>0</v>
      </c>
      <c r="BG1594">
        <v>0</v>
      </c>
      <c r="BH1594">
        <v>8675</v>
      </c>
      <c r="BI1594">
        <v>1</v>
      </c>
      <c r="BJ1594">
        <v>0</v>
      </c>
      <c r="BK1594">
        <v>0</v>
      </c>
      <c r="BL1594">
        <v>0</v>
      </c>
      <c r="BO1594">
        <v>0</v>
      </c>
      <c r="BP1594">
        <v>0</v>
      </c>
      <c r="BW1594" t="str">
        <f t="shared" si="871"/>
        <v>14:53:00.929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285</v>
      </c>
      <c r="CR1594">
        <v>0</v>
      </c>
      <c r="CW1594">
        <v>8855275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25">
      <c r="A1595" t="str">
        <f t="shared" si="868"/>
        <v>06/05/2020 14:52:55.281</v>
      </c>
      <c r="C1595" t="str">
        <f t="shared" si="856"/>
        <v>FFDFD3C0</v>
      </c>
      <c r="D1595" t="s">
        <v>141</v>
      </c>
      <c r="E1595">
        <v>20</v>
      </c>
      <c r="F1595">
        <v>1020</v>
      </c>
      <c r="G1595" t="s">
        <v>114</v>
      </c>
      <c r="J1595" t="s">
        <v>142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869"/>
        <v>14:53:00.922</v>
      </c>
      <c r="T1595" t="str">
        <f t="shared" si="870"/>
        <v>14:53:00.722</v>
      </c>
      <c r="U1595" t="str">
        <f t="shared" si="838"/>
        <v>ACC530</v>
      </c>
      <c r="V1595">
        <v>0</v>
      </c>
      <c r="W1595">
        <v>0</v>
      </c>
      <c r="X1595">
        <v>1</v>
      </c>
      <c r="Z1595">
        <v>0</v>
      </c>
      <c r="AA1595">
        <v>9</v>
      </c>
      <c r="AB1595">
        <v>3</v>
      </c>
      <c r="AC1595">
        <v>0</v>
      </c>
      <c r="AD1595">
        <v>9</v>
      </c>
      <c r="AE1595">
        <v>0</v>
      </c>
      <c r="AF1595">
        <v>3</v>
      </c>
      <c r="AG1595">
        <v>1</v>
      </c>
      <c r="AH1595">
        <v>0</v>
      </c>
      <c r="AI1595" t="s">
        <v>624</v>
      </c>
      <c r="AJ1595">
        <v>34.193165</v>
      </c>
      <c r="AK1595" t="s">
        <v>625</v>
      </c>
      <c r="AL1595">
        <v>-116.98931</v>
      </c>
      <c r="AM1595">
        <v>100</v>
      </c>
      <c r="AN1595">
        <v>8700</v>
      </c>
      <c r="AO1595" t="s">
        <v>118</v>
      </c>
      <c r="AP1595">
        <v>-105</v>
      </c>
      <c r="AQ1595">
        <v>-66</v>
      </c>
      <c r="AR1595">
        <v>-512</v>
      </c>
      <c r="AZ1595">
        <v>1200</v>
      </c>
      <c r="BA1595">
        <v>1</v>
      </c>
      <c r="BB1595" t="str">
        <f t="shared" si="839"/>
        <v xml:space="preserve">N9217B  </v>
      </c>
      <c r="BC1595">
        <v>1</v>
      </c>
      <c r="BE1595">
        <v>0</v>
      </c>
      <c r="BF1595">
        <v>0</v>
      </c>
      <c r="BG1595">
        <v>0</v>
      </c>
      <c r="BH1595">
        <v>8675</v>
      </c>
      <c r="BI1595">
        <v>1</v>
      </c>
      <c r="BJ1595">
        <v>0</v>
      </c>
      <c r="BK1595">
        <v>0</v>
      </c>
      <c r="BL1595">
        <v>0</v>
      </c>
      <c r="BO1595">
        <v>0</v>
      </c>
      <c r="BP1595">
        <v>0</v>
      </c>
      <c r="BW1595" t="str">
        <f t="shared" si="871"/>
        <v>14:53:00.929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285</v>
      </c>
      <c r="CR1595">
        <v>0</v>
      </c>
      <c r="CW1595">
        <v>8855275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25">
      <c r="A1596" t="str">
        <f t="shared" si="868"/>
        <v>06/05/2020 14:52:55.281</v>
      </c>
      <c r="C1596" t="str">
        <f t="shared" si="856"/>
        <v>FFDFD3C0</v>
      </c>
      <c r="D1596" t="s">
        <v>151</v>
      </c>
      <c r="E1596">
        <v>8</v>
      </c>
      <c r="H1596">
        <v>225</v>
      </c>
      <c r="I1596" t="s">
        <v>353</v>
      </c>
      <c r="J1596" t="s">
        <v>150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869"/>
        <v>14:53:00.922</v>
      </c>
      <c r="T1596" t="str">
        <f t="shared" si="870"/>
        <v>14:53:00.722</v>
      </c>
      <c r="U1596" t="str">
        <f t="shared" si="838"/>
        <v>ACC530</v>
      </c>
      <c r="V1596">
        <v>0</v>
      </c>
      <c r="W1596">
        <v>0</v>
      </c>
      <c r="X1596">
        <v>1</v>
      </c>
      <c r="Z1596">
        <v>0</v>
      </c>
      <c r="AA1596">
        <v>9</v>
      </c>
      <c r="AB1596">
        <v>3</v>
      </c>
      <c r="AC1596">
        <v>0</v>
      </c>
      <c r="AD1596">
        <v>9</v>
      </c>
      <c r="AE1596">
        <v>0</v>
      </c>
      <c r="AF1596">
        <v>3</v>
      </c>
      <c r="AG1596">
        <v>1</v>
      </c>
      <c r="AH1596">
        <v>0</v>
      </c>
      <c r="AI1596" t="s">
        <v>624</v>
      </c>
      <c r="AJ1596">
        <v>34.193165</v>
      </c>
      <c r="AK1596" t="s">
        <v>625</v>
      </c>
      <c r="AL1596">
        <v>-116.98931</v>
      </c>
      <c r="AM1596">
        <v>100</v>
      </c>
      <c r="AN1596">
        <v>8700</v>
      </c>
      <c r="AO1596" t="s">
        <v>118</v>
      </c>
      <c r="AP1596">
        <v>-105</v>
      </c>
      <c r="AQ1596">
        <v>-66</v>
      </c>
      <c r="AR1596">
        <v>-512</v>
      </c>
      <c r="AZ1596">
        <v>1200</v>
      </c>
      <c r="BA1596">
        <v>1</v>
      </c>
      <c r="BB1596" t="str">
        <f t="shared" si="839"/>
        <v xml:space="preserve">N9217B  </v>
      </c>
      <c r="BC1596">
        <v>1</v>
      </c>
      <c r="BE1596">
        <v>0</v>
      </c>
      <c r="BF1596">
        <v>0</v>
      </c>
      <c r="BG1596">
        <v>0</v>
      </c>
      <c r="BH1596">
        <v>8675</v>
      </c>
      <c r="BI1596">
        <v>1</v>
      </c>
      <c r="BJ1596">
        <v>0</v>
      </c>
      <c r="BK1596">
        <v>0</v>
      </c>
      <c r="BL1596">
        <v>0</v>
      </c>
      <c r="BO1596">
        <v>0</v>
      </c>
      <c r="BP1596">
        <v>0</v>
      </c>
      <c r="BW1596" t="str">
        <f t="shared" si="871"/>
        <v>14:53:00.929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285</v>
      </c>
      <c r="CR1596">
        <v>0</v>
      </c>
      <c r="CW1596">
        <v>8855275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25">
      <c r="A1597" t="str">
        <f t="shared" si="868"/>
        <v>06/05/2020 14:52:55.281</v>
      </c>
      <c r="C1597" t="str">
        <f t="shared" si="856"/>
        <v>FFDFD3C0</v>
      </c>
      <c r="D1597" t="s">
        <v>151</v>
      </c>
      <c r="E1597">
        <v>9</v>
      </c>
      <c r="H1597">
        <v>226</v>
      </c>
      <c r="I1597" t="s">
        <v>152</v>
      </c>
      <c r="J1597" t="s">
        <v>150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869"/>
        <v>14:53:00.922</v>
      </c>
      <c r="T1597" t="str">
        <f t="shared" si="870"/>
        <v>14:53:00.722</v>
      </c>
      <c r="U1597" t="str">
        <f t="shared" si="838"/>
        <v>ACC530</v>
      </c>
      <c r="V1597">
        <v>0</v>
      </c>
      <c r="W1597">
        <v>0</v>
      </c>
      <c r="X1597">
        <v>1</v>
      </c>
      <c r="Z1597">
        <v>0</v>
      </c>
      <c r="AA1597">
        <v>9</v>
      </c>
      <c r="AB1597">
        <v>3</v>
      </c>
      <c r="AC1597">
        <v>0</v>
      </c>
      <c r="AD1597">
        <v>9</v>
      </c>
      <c r="AE1597">
        <v>0</v>
      </c>
      <c r="AF1597">
        <v>3</v>
      </c>
      <c r="AG1597">
        <v>1</v>
      </c>
      <c r="AH1597">
        <v>0</v>
      </c>
      <c r="AI1597" t="s">
        <v>624</v>
      </c>
      <c r="AJ1597">
        <v>34.193165</v>
      </c>
      <c r="AK1597" t="s">
        <v>625</v>
      </c>
      <c r="AL1597">
        <v>-116.98931</v>
      </c>
      <c r="AM1597">
        <v>100</v>
      </c>
      <c r="AN1597">
        <v>8700</v>
      </c>
      <c r="AO1597" t="s">
        <v>118</v>
      </c>
      <c r="AP1597">
        <v>-105</v>
      </c>
      <c r="AQ1597">
        <v>-66</v>
      </c>
      <c r="AR1597">
        <v>-512</v>
      </c>
      <c r="AZ1597">
        <v>1200</v>
      </c>
      <c r="BA1597">
        <v>1</v>
      </c>
      <c r="BB1597" t="str">
        <f t="shared" si="839"/>
        <v xml:space="preserve">N9217B  </v>
      </c>
      <c r="BC1597">
        <v>1</v>
      </c>
      <c r="BE1597">
        <v>0</v>
      </c>
      <c r="BF1597">
        <v>0</v>
      </c>
      <c r="BG1597">
        <v>0</v>
      </c>
      <c r="BH1597">
        <v>8675</v>
      </c>
      <c r="BI1597">
        <v>1</v>
      </c>
      <c r="BJ1597">
        <v>0</v>
      </c>
      <c r="BK1597">
        <v>0</v>
      </c>
      <c r="BL1597">
        <v>0</v>
      </c>
      <c r="BO1597">
        <v>0</v>
      </c>
      <c r="BP1597">
        <v>0</v>
      </c>
      <c r="BW1597" t="str">
        <f t="shared" si="871"/>
        <v>14:53:00.929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285</v>
      </c>
      <c r="CR1597">
        <v>0</v>
      </c>
      <c r="CW1597">
        <v>8855275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25">
      <c r="A1598" t="str">
        <f t="shared" si="868"/>
        <v>06/05/2020 14:52:55.281</v>
      </c>
      <c r="C1598" t="str">
        <f t="shared" si="856"/>
        <v>FFDFD3C0</v>
      </c>
      <c r="D1598" t="s">
        <v>148</v>
      </c>
      <c r="E1598">
        <v>11</v>
      </c>
      <c r="H1598">
        <v>53</v>
      </c>
      <c r="I1598" t="s">
        <v>364</v>
      </c>
      <c r="J1598" t="s">
        <v>150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869"/>
        <v>14:53:00.922</v>
      </c>
      <c r="T1598" t="str">
        <f t="shared" si="870"/>
        <v>14:53:00.722</v>
      </c>
      <c r="U1598" t="str">
        <f t="shared" si="838"/>
        <v>ACC530</v>
      </c>
      <c r="V1598">
        <v>0</v>
      </c>
      <c r="W1598">
        <v>0</v>
      </c>
      <c r="X1598">
        <v>1</v>
      </c>
      <c r="Z1598">
        <v>0</v>
      </c>
      <c r="AA1598">
        <v>9</v>
      </c>
      <c r="AB1598">
        <v>3</v>
      </c>
      <c r="AC1598">
        <v>0</v>
      </c>
      <c r="AD1598">
        <v>9</v>
      </c>
      <c r="AE1598">
        <v>0</v>
      </c>
      <c r="AF1598">
        <v>3</v>
      </c>
      <c r="AG1598">
        <v>1</v>
      </c>
      <c r="AH1598">
        <v>0</v>
      </c>
      <c r="AI1598" t="s">
        <v>624</v>
      </c>
      <c r="AJ1598">
        <v>34.193165</v>
      </c>
      <c r="AK1598" t="s">
        <v>625</v>
      </c>
      <c r="AL1598">
        <v>-116.98931</v>
      </c>
      <c r="AM1598">
        <v>100</v>
      </c>
      <c r="AN1598">
        <v>8700</v>
      </c>
      <c r="AO1598" t="s">
        <v>118</v>
      </c>
      <c r="AP1598">
        <v>-105</v>
      </c>
      <c r="AQ1598">
        <v>-66</v>
      </c>
      <c r="AR1598">
        <v>-512</v>
      </c>
      <c r="AZ1598">
        <v>1200</v>
      </c>
      <c r="BA1598">
        <v>1</v>
      </c>
      <c r="BB1598" t="str">
        <f t="shared" si="839"/>
        <v xml:space="preserve">N9217B  </v>
      </c>
      <c r="BC1598">
        <v>1</v>
      </c>
      <c r="BE1598">
        <v>0</v>
      </c>
      <c r="BF1598">
        <v>0</v>
      </c>
      <c r="BG1598">
        <v>0</v>
      </c>
      <c r="BH1598">
        <v>8675</v>
      </c>
      <c r="BI1598">
        <v>1</v>
      </c>
      <c r="BJ1598">
        <v>0</v>
      </c>
      <c r="BK1598">
        <v>0</v>
      </c>
      <c r="BL1598">
        <v>0</v>
      </c>
      <c r="BO1598">
        <v>0</v>
      </c>
      <c r="BP1598">
        <v>0</v>
      </c>
      <c r="BW1598" t="str">
        <f t="shared" si="871"/>
        <v>14:53:00.929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6</v>
      </c>
      <c r="CP1598" t="s">
        <v>119</v>
      </c>
      <c r="CQ1598">
        <v>285</v>
      </c>
      <c r="CR1598">
        <v>0</v>
      </c>
      <c r="CW1598">
        <v>8855275</v>
      </c>
      <c r="CY1598">
        <v>0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25">
      <c r="A1599" t="str">
        <f t="shared" ref="A1599:A1605" si="872">"06/05/2020 14:52:56.399"</f>
        <v>06/05/2020 14:52:56.399</v>
      </c>
      <c r="C1599" t="str">
        <f t="shared" si="856"/>
        <v>FFDFD3C0</v>
      </c>
      <c r="D1599" t="s">
        <v>113</v>
      </c>
      <c r="E1599">
        <v>3</v>
      </c>
      <c r="H1599">
        <v>166</v>
      </c>
      <c r="I1599" t="s">
        <v>114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ref="S1599:S1605" si="873">"14:53:02.039"</f>
        <v>14:53:02.039</v>
      </c>
      <c r="T1599" t="str">
        <f t="shared" ref="T1599:T1605" si="874">"14:53:01.639"</f>
        <v>14:53:01.639</v>
      </c>
      <c r="U1599" t="str">
        <f t="shared" si="838"/>
        <v>ACC530</v>
      </c>
      <c r="V1599">
        <v>0</v>
      </c>
      <c r="W1599">
        <v>0</v>
      </c>
      <c r="X1599">
        <v>1</v>
      </c>
      <c r="Z1599">
        <v>0</v>
      </c>
      <c r="AA1599">
        <v>9</v>
      </c>
      <c r="AB1599">
        <v>3</v>
      </c>
      <c r="AC1599">
        <v>0</v>
      </c>
      <c r="AD1599">
        <v>9</v>
      </c>
      <c r="AE1599">
        <v>0</v>
      </c>
      <c r="AF1599">
        <v>3</v>
      </c>
      <c r="AG1599">
        <v>1</v>
      </c>
      <c r="AH1599">
        <v>0</v>
      </c>
      <c r="AI1599" t="s">
        <v>626</v>
      </c>
      <c r="AJ1599">
        <v>34.192843000000003</v>
      </c>
      <c r="AK1599" t="s">
        <v>627</v>
      </c>
      <c r="AL1599">
        <v>-116.989932</v>
      </c>
      <c r="AM1599">
        <v>100</v>
      </c>
      <c r="AN1599">
        <v>8600</v>
      </c>
      <c r="AO1599" t="s">
        <v>118</v>
      </c>
      <c r="AP1599">
        <v>-105</v>
      </c>
      <c r="AQ1599">
        <v>-66</v>
      </c>
      <c r="AR1599">
        <v>-448</v>
      </c>
      <c r="AZ1599">
        <v>1200</v>
      </c>
      <c r="BA1599">
        <v>1</v>
      </c>
      <c r="BB1599" t="str">
        <f t="shared" si="839"/>
        <v xml:space="preserve">N9217B  </v>
      </c>
      <c r="BC1599">
        <v>1</v>
      </c>
      <c r="BE1599">
        <v>0</v>
      </c>
      <c r="BF1599">
        <v>0</v>
      </c>
      <c r="BG1599">
        <v>0</v>
      </c>
      <c r="BH1599">
        <v>8575</v>
      </c>
      <c r="BI1599">
        <v>1</v>
      </c>
      <c r="BJ1599">
        <v>0</v>
      </c>
      <c r="BK1599">
        <v>0</v>
      </c>
      <c r="BL1599">
        <v>0</v>
      </c>
      <c r="BO1599">
        <v>0</v>
      </c>
      <c r="BP1599">
        <v>0</v>
      </c>
      <c r="BW1599" t="str">
        <f t="shared" ref="BW1599:BW1605" si="875">"14:53:02.039"</f>
        <v>14:53:02.039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285</v>
      </c>
      <c r="CR1599">
        <v>0</v>
      </c>
      <c r="CW1599">
        <v>8855373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25">
      <c r="A1600" t="str">
        <f t="shared" si="872"/>
        <v>06/05/2020 14:52:56.399</v>
      </c>
      <c r="C1600" t="str">
        <f t="shared" si="856"/>
        <v>FFDFD3C0</v>
      </c>
      <c r="D1600" t="s">
        <v>134</v>
      </c>
      <c r="E1600">
        <v>7</v>
      </c>
      <c r="F1600">
        <v>2007</v>
      </c>
      <c r="G1600" t="s">
        <v>135</v>
      </c>
      <c r="J1600" t="s">
        <v>136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873"/>
        <v>14:53:02.039</v>
      </c>
      <c r="T1600" t="str">
        <f t="shared" si="874"/>
        <v>14:53:01.639</v>
      </c>
      <c r="U1600" t="str">
        <f t="shared" si="838"/>
        <v>ACC530</v>
      </c>
      <c r="V1600">
        <v>0</v>
      </c>
      <c r="W1600">
        <v>0</v>
      </c>
      <c r="X1600">
        <v>1</v>
      </c>
      <c r="Z1600">
        <v>0</v>
      </c>
      <c r="AA1600">
        <v>9</v>
      </c>
      <c r="AB1600">
        <v>3</v>
      </c>
      <c r="AC1600">
        <v>0</v>
      </c>
      <c r="AD1600">
        <v>9</v>
      </c>
      <c r="AE1600">
        <v>0</v>
      </c>
      <c r="AF1600">
        <v>3</v>
      </c>
      <c r="AG1600">
        <v>1</v>
      </c>
      <c r="AH1600">
        <v>0</v>
      </c>
      <c r="AI1600" t="s">
        <v>626</v>
      </c>
      <c r="AJ1600">
        <v>34.192843000000003</v>
      </c>
      <c r="AK1600" t="s">
        <v>627</v>
      </c>
      <c r="AL1600">
        <v>-116.989932</v>
      </c>
      <c r="AM1600">
        <v>100</v>
      </c>
      <c r="AN1600">
        <v>8600</v>
      </c>
      <c r="AO1600" t="s">
        <v>118</v>
      </c>
      <c r="AP1600">
        <v>-105</v>
      </c>
      <c r="AQ1600">
        <v>-66</v>
      </c>
      <c r="AR1600">
        <v>-448</v>
      </c>
      <c r="AZ1600">
        <v>1200</v>
      </c>
      <c r="BA1600">
        <v>1</v>
      </c>
      <c r="BB1600" t="str">
        <f t="shared" si="839"/>
        <v xml:space="preserve">N9217B  </v>
      </c>
      <c r="BC1600">
        <v>1</v>
      </c>
      <c r="BE1600">
        <v>0</v>
      </c>
      <c r="BF1600">
        <v>0</v>
      </c>
      <c r="BG1600">
        <v>0</v>
      </c>
      <c r="BH1600">
        <v>8575</v>
      </c>
      <c r="BI1600">
        <v>1</v>
      </c>
      <c r="BJ1600">
        <v>0</v>
      </c>
      <c r="BK1600">
        <v>0</v>
      </c>
      <c r="BL1600">
        <v>0</v>
      </c>
      <c r="BO1600">
        <v>0</v>
      </c>
      <c r="BP1600">
        <v>0</v>
      </c>
      <c r="BW1600" t="str">
        <f t="shared" si="875"/>
        <v>14:53:02.039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6</v>
      </c>
      <c r="CP1600" t="s">
        <v>119</v>
      </c>
      <c r="CQ1600">
        <v>285</v>
      </c>
      <c r="CR1600">
        <v>0</v>
      </c>
      <c r="CW1600">
        <v>8855373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25">
      <c r="A1601" t="str">
        <f t="shared" si="872"/>
        <v>06/05/2020 14:52:56.399</v>
      </c>
      <c r="C1601" t="str">
        <f t="shared" si="856"/>
        <v>FFDFD3C0</v>
      </c>
      <c r="D1601" t="s">
        <v>141</v>
      </c>
      <c r="E1601">
        <v>20</v>
      </c>
      <c r="F1601">
        <v>1020</v>
      </c>
      <c r="G1601" t="s">
        <v>114</v>
      </c>
      <c r="J1601" t="s">
        <v>142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73"/>
        <v>14:53:02.039</v>
      </c>
      <c r="T1601" t="str">
        <f t="shared" si="874"/>
        <v>14:53:01.639</v>
      </c>
      <c r="U1601" t="str">
        <f t="shared" si="838"/>
        <v>ACC530</v>
      </c>
      <c r="V1601">
        <v>0</v>
      </c>
      <c r="W1601">
        <v>0</v>
      </c>
      <c r="X1601">
        <v>1</v>
      </c>
      <c r="Z1601">
        <v>0</v>
      </c>
      <c r="AA1601">
        <v>9</v>
      </c>
      <c r="AB1601">
        <v>3</v>
      </c>
      <c r="AC1601">
        <v>0</v>
      </c>
      <c r="AD1601">
        <v>9</v>
      </c>
      <c r="AE1601">
        <v>0</v>
      </c>
      <c r="AF1601">
        <v>3</v>
      </c>
      <c r="AG1601">
        <v>1</v>
      </c>
      <c r="AH1601">
        <v>0</v>
      </c>
      <c r="AI1601" t="s">
        <v>626</v>
      </c>
      <c r="AJ1601">
        <v>34.192843000000003</v>
      </c>
      <c r="AK1601" t="s">
        <v>627</v>
      </c>
      <c r="AL1601">
        <v>-116.989932</v>
      </c>
      <c r="AM1601">
        <v>100</v>
      </c>
      <c r="AN1601">
        <v>8600</v>
      </c>
      <c r="AO1601" t="s">
        <v>118</v>
      </c>
      <c r="AP1601">
        <v>-105</v>
      </c>
      <c r="AQ1601">
        <v>-66</v>
      </c>
      <c r="AR1601">
        <v>-448</v>
      </c>
      <c r="AZ1601">
        <v>1200</v>
      </c>
      <c r="BA1601">
        <v>1</v>
      </c>
      <c r="BB1601" t="str">
        <f t="shared" si="839"/>
        <v xml:space="preserve">N9217B  </v>
      </c>
      <c r="BC1601">
        <v>1</v>
      </c>
      <c r="BE1601">
        <v>0</v>
      </c>
      <c r="BF1601">
        <v>0</v>
      </c>
      <c r="BG1601">
        <v>0</v>
      </c>
      <c r="BH1601">
        <v>8575</v>
      </c>
      <c r="BI1601">
        <v>1</v>
      </c>
      <c r="BJ1601">
        <v>0</v>
      </c>
      <c r="BK1601">
        <v>0</v>
      </c>
      <c r="BL1601">
        <v>0</v>
      </c>
      <c r="BO1601">
        <v>0</v>
      </c>
      <c r="BP1601">
        <v>0</v>
      </c>
      <c r="BW1601" t="str">
        <f t="shared" si="875"/>
        <v>14:53:02.039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6</v>
      </c>
      <c r="CP1601" t="s">
        <v>119</v>
      </c>
      <c r="CQ1601">
        <v>285</v>
      </c>
      <c r="CR1601">
        <v>0</v>
      </c>
      <c r="CW1601">
        <v>8855373</v>
      </c>
      <c r="CY1601">
        <v>0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25">
      <c r="A1602" t="str">
        <f t="shared" si="872"/>
        <v>06/05/2020 14:52:56.399</v>
      </c>
      <c r="C1602" t="str">
        <f t="shared" si="856"/>
        <v>FFDFD3C0</v>
      </c>
      <c r="D1602" t="s">
        <v>151</v>
      </c>
      <c r="E1602">
        <v>8</v>
      </c>
      <c r="H1602">
        <v>225</v>
      </c>
      <c r="I1602" t="s">
        <v>353</v>
      </c>
      <c r="J1602" t="s">
        <v>150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873"/>
        <v>14:53:02.039</v>
      </c>
      <c r="T1602" t="str">
        <f t="shared" si="874"/>
        <v>14:53:01.639</v>
      </c>
      <c r="U1602" t="str">
        <f t="shared" ref="U1602:U1665" si="876">"ACC530"</f>
        <v>ACC530</v>
      </c>
      <c r="V1602">
        <v>0</v>
      </c>
      <c r="W1602">
        <v>0</v>
      </c>
      <c r="X1602">
        <v>1</v>
      </c>
      <c r="Z1602">
        <v>0</v>
      </c>
      <c r="AA1602">
        <v>9</v>
      </c>
      <c r="AB1602">
        <v>3</v>
      </c>
      <c r="AC1602">
        <v>0</v>
      </c>
      <c r="AD1602">
        <v>9</v>
      </c>
      <c r="AE1602">
        <v>0</v>
      </c>
      <c r="AF1602">
        <v>3</v>
      </c>
      <c r="AG1602">
        <v>1</v>
      </c>
      <c r="AH1602">
        <v>0</v>
      </c>
      <c r="AI1602" t="s">
        <v>626</v>
      </c>
      <c r="AJ1602">
        <v>34.192843000000003</v>
      </c>
      <c r="AK1602" t="s">
        <v>627</v>
      </c>
      <c r="AL1602">
        <v>-116.989932</v>
      </c>
      <c r="AM1602">
        <v>100</v>
      </c>
      <c r="AN1602">
        <v>8600</v>
      </c>
      <c r="AO1602" t="s">
        <v>118</v>
      </c>
      <c r="AP1602">
        <v>-105</v>
      </c>
      <c r="AQ1602">
        <v>-66</v>
      </c>
      <c r="AR1602">
        <v>-448</v>
      </c>
      <c r="AZ1602">
        <v>1200</v>
      </c>
      <c r="BA1602">
        <v>1</v>
      </c>
      <c r="BB1602" t="str">
        <f t="shared" si="839"/>
        <v xml:space="preserve">N9217B  </v>
      </c>
      <c r="BC1602">
        <v>1</v>
      </c>
      <c r="BE1602">
        <v>0</v>
      </c>
      <c r="BF1602">
        <v>0</v>
      </c>
      <c r="BG1602">
        <v>0</v>
      </c>
      <c r="BH1602">
        <v>8575</v>
      </c>
      <c r="BI1602">
        <v>1</v>
      </c>
      <c r="BJ1602">
        <v>0</v>
      </c>
      <c r="BK1602">
        <v>0</v>
      </c>
      <c r="BL1602">
        <v>0</v>
      </c>
      <c r="BO1602">
        <v>0</v>
      </c>
      <c r="BP1602">
        <v>0</v>
      </c>
      <c r="BW1602" t="str">
        <f t="shared" si="875"/>
        <v>14:53:02.039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285</v>
      </c>
      <c r="CR1602">
        <v>0</v>
      </c>
      <c r="CW1602">
        <v>8855373</v>
      </c>
      <c r="CY1602">
        <v>0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25">
      <c r="A1603" t="str">
        <f t="shared" si="872"/>
        <v>06/05/2020 14:52:56.399</v>
      </c>
      <c r="C1603" t="str">
        <f t="shared" si="856"/>
        <v>FFDFD3C0</v>
      </c>
      <c r="D1603" t="s">
        <v>148</v>
      </c>
      <c r="E1603">
        <v>11</v>
      </c>
      <c r="H1603">
        <v>53</v>
      </c>
      <c r="I1603" t="s">
        <v>364</v>
      </c>
      <c r="J1603" t="s">
        <v>150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873"/>
        <v>14:53:02.039</v>
      </c>
      <c r="T1603" t="str">
        <f t="shared" si="874"/>
        <v>14:53:01.639</v>
      </c>
      <c r="U1603" t="str">
        <f t="shared" si="876"/>
        <v>ACC530</v>
      </c>
      <c r="V1603">
        <v>0</v>
      </c>
      <c r="W1603">
        <v>0</v>
      </c>
      <c r="X1603">
        <v>1</v>
      </c>
      <c r="Z1603">
        <v>0</v>
      </c>
      <c r="AA1603">
        <v>9</v>
      </c>
      <c r="AB1603">
        <v>3</v>
      </c>
      <c r="AC1603">
        <v>0</v>
      </c>
      <c r="AD1603">
        <v>9</v>
      </c>
      <c r="AE1603">
        <v>0</v>
      </c>
      <c r="AF1603">
        <v>3</v>
      </c>
      <c r="AG1603">
        <v>1</v>
      </c>
      <c r="AH1603">
        <v>0</v>
      </c>
      <c r="AI1603" t="s">
        <v>626</v>
      </c>
      <c r="AJ1603">
        <v>34.192843000000003</v>
      </c>
      <c r="AK1603" t="s">
        <v>627</v>
      </c>
      <c r="AL1603">
        <v>-116.989932</v>
      </c>
      <c r="AM1603">
        <v>100</v>
      </c>
      <c r="AN1603">
        <v>8600</v>
      </c>
      <c r="AO1603" t="s">
        <v>118</v>
      </c>
      <c r="AP1603">
        <v>-105</v>
      </c>
      <c r="AQ1603">
        <v>-66</v>
      </c>
      <c r="AR1603">
        <v>-448</v>
      </c>
      <c r="AZ1603">
        <v>1200</v>
      </c>
      <c r="BA1603">
        <v>1</v>
      </c>
      <c r="BB1603" t="str">
        <f t="shared" si="839"/>
        <v xml:space="preserve">N9217B  </v>
      </c>
      <c r="BC1603">
        <v>1</v>
      </c>
      <c r="BE1603">
        <v>0</v>
      </c>
      <c r="BF1603">
        <v>0</v>
      </c>
      <c r="BG1603">
        <v>0</v>
      </c>
      <c r="BH1603">
        <v>8575</v>
      </c>
      <c r="BI1603">
        <v>1</v>
      </c>
      <c r="BJ1603">
        <v>0</v>
      </c>
      <c r="BK1603">
        <v>0</v>
      </c>
      <c r="BL1603">
        <v>0</v>
      </c>
      <c r="BO1603">
        <v>0</v>
      </c>
      <c r="BP1603">
        <v>0</v>
      </c>
      <c r="BW1603" t="str">
        <f t="shared" si="875"/>
        <v>14:53:02.039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285</v>
      </c>
      <c r="CR1603">
        <v>0</v>
      </c>
      <c r="CW1603">
        <v>8855373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25">
      <c r="A1604" t="str">
        <f t="shared" si="872"/>
        <v>06/05/2020 14:52:56.399</v>
      </c>
      <c r="C1604" t="str">
        <f t="shared" si="856"/>
        <v>FFDFD3C0</v>
      </c>
      <c r="D1604" t="s">
        <v>151</v>
      </c>
      <c r="E1604">
        <v>9</v>
      </c>
      <c r="H1604">
        <v>226</v>
      </c>
      <c r="I1604" t="s">
        <v>152</v>
      </c>
      <c r="J1604" t="s">
        <v>150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73"/>
        <v>14:53:02.039</v>
      </c>
      <c r="T1604" t="str">
        <f t="shared" si="874"/>
        <v>14:53:01.639</v>
      </c>
      <c r="U1604" t="str">
        <f t="shared" si="876"/>
        <v>ACC530</v>
      </c>
      <c r="V1604">
        <v>0</v>
      </c>
      <c r="W1604">
        <v>0</v>
      </c>
      <c r="X1604">
        <v>1</v>
      </c>
      <c r="Z1604">
        <v>0</v>
      </c>
      <c r="AA1604">
        <v>9</v>
      </c>
      <c r="AB1604">
        <v>3</v>
      </c>
      <c r="AC1604">
        <v>0</v>
      </c>
      <c r="AD1604">
        <v>9</v>
      </c>
      <c r="AE1604">
        <v>0</v>
      </c>
      <c r="AF1604">
        <v>3</v>
      </c>
      <c r="AG1604">
        <v>1</v>
      </c>
      <c r="AH1604">
        <v>0</v>
      </c>
      <c r="AI1604" t="s">
        <v>626</v>
      </c>
      <c r="AJ1604">
        <v>34.192843000000003</v>
      </c>
      <c r="AK1604" t="s">
        <v>627</v>
      </c>
      <c r="AL1604">
        <v>-116.989932</v>
      </c>
      <c r="AM1604">
        <v>100</v>
      </c>
      <c r="AN1604">
        <v>8600</v>
      </c>
      <c r="AO1604" t="s">
        <v>118</v>
      </c>
      <c r="AP1604">
        <v>-105</v>
      </c>
      <c r="AQ1604">
        <v>-66</v>
      </c>
      <c r="AR1604">
        <v>-448</v>
      </c>
      <c r="AZ1604">
        <v>1200</v>
      </c>
      <c r="BA1604">
        <v>1</v>
      </c>
      <c r="BB1604" t="str">
        <f t="shared" si="839"/>
        <v xml:space="preserve">N9217B  </v>
      </c>
      <c r="BC1604">
        <v>1</v>
      </c>
      <c r="BE1604">
        <v>0</v>
      </c>
      <c r="BF1604">
        <v>0</v>
      </c>
      <c r="BG1604">
        <v>0</v>
      </c>
      <c r="BH1604">
        <v>8575</v>
      </c>
      <c r="BI1604">
        <v>1</v>
      </c>
      <c r="BJ1604">
        <v>0</v>
      </c>
      <c r="BK1604">
        <v>0</v>
      </c>
      <c r="BL1604">
        <v>0</v>
      </c>
      <c r="BO1604">
        <v>0</v>
      </c>
      <c r="BP1604">
        <v>0</v>
      </c>
      <c r="BW1604" t="str">
        <f t="shared" si="875"/>
        <v>14:53:02.039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285</v>
      </c>
      <c r="CR1604">
        <v>0</v>
      </c>
      <c r="CW1604">
        <v>8855373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25">
      <c r="A1605" t="str">
        <f t="shared" si="872"/>
        <v>06/05/2020 14:52:56.399</v>
      </c>
      <c r="C1605" t="str">
        <f t="shared" si="856"/>
        <v>FFDFD3C0</v>
      </c>
      <c r="D1605" t="s">
        <v>148</v>
      </c>
      <c r="E1605">
        <v>8</v>
      </c>
      <c r="H1605">
        <v>50</v>
      </c>
      <c r="I1605" t="s">
        <v>149</v>
      </c>
      <c r="J1605" t="s">
        <v>150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73"/>
        <v>14:53:02.039</v>
      </c>
      <c r="T1605" t="str">
        <f t="shared" si="874"/>
        <v>14:53:01.639</v>
      </c>
      <c r="U1605" t="str">
        <f t="shared" si="876"/>
        <v>ACC530</v>
      </c>
      <c r="V1605">
        <v>0</v>
      </c>
      <c r="W1605">
        <v>0</v>
      </c>
      <c r="X1605">
        <v>1</v>
      </c>
      <c r="Z1605">
        <v>0</v>
      </c>
      <c r="AA1605">
        <v>9</v>
      </c>
      <c r="AB1605">
        <v>3</v>
      </c>
      <c r="AC1605">
        <v>0</v>
      </c>
      <c r="AD1605">
        <v>9</v>
      </c>
      <c r="AE1605">
        <v>0</v>
      </c>
      <c r="AF1605">
        <v>3</v>
      </c>
      <c r="AG1605">
        <v>1</v>
      </c>
      <c r="AH1605">
        <v>0</v>
      </c>
      <c r="AI1605" t="s">
        <v>626</v>
      </c>
      <c r="AJ1605">
        <v>34.192843000000003</v>
      </c>
      <c r="AK1605" t="s">
        <v>627</v>
      </c>
      <c r="AL1605">
        <v>-116.989932</v>
      </c>
      <c r="AM1605">
        <v>100</v>
      </c>
      <c r="AN1605">
        <v>8600</v>
      </c>
      <c r="AO1605" t="s">
        <v>118</v>
      </c>
      <c r="AP1605">
        <v>-105</v>
      </c>
      <c r="AQ1605">
        <v>-66</v>
      </c>
      <c r="AR1605">
        <v>-448</v>
      </c>
      <c r="AZ1605">
        <v>1200</v>
      </c>
      <c r="BA1605">
        <v>1</v>
      </c>
      <c r="BB1605" t="str">
        <f t="shared" ref="BB1605:BB1668" si="877">"N9217B  "</f>
        <v xml:space="preserve">N9217B  </v>
      </c>
      <c r="BC1605">
        <v>1</v>
      </c>
      <c r="BE1605">
        <v>0</v>
      </c>
      <c r="BF1605">
        <v>0</v>
      </c>
      <c r="BG1605">
        <v>0</v>
      </c>
      <c r="BH1605">
        <v>8575</v>
      </c>
      <c r="BI1605">
        <v>1</v>
      </c>
      <c r="BJ1605">
        <v>0</v>
      </c>
      <c r="BK1605">
        <v>0</v>
      </c>
      <c r="BL1605">
        <v>0</v>
      </c>
      <c r="BO1605">
        <v>0</v>
      </c>
      <c r="BP1605">
        <v>0</v>
      </c>
      <c r="BW1605" t="str">
        <f t="shared" si="875"/>
        <v>14:53:02.039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285</v>
      </c>
      <c r="CR1605">
        <v>0</v>
      </c>
      <c r="CW1605">
        <v>8855373</v>
      </c>
      <c r="CY1605">
        <v>0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25">
      <c r="A1606" t="str">
        <f t="shared" ref="A1606:A1612" si="878">"06/05/2020 14:52:57.387"</f>
        <v>06/05/2020 14:52:57.387</v>
      </c>
      <c r="C1606" t="str">
        <f t="shared" si="856"/>
        <v>FFDFD3C0</v>
      </c>
      <c r="D1606" t="s">
        <v>141</v>
      </c>
      <c r="E1606">
        <v>20</v>
      </c>
      <c r="F1606">
        <v>1020</v>
      </c>
      <c r="G1606" t="s">
        <v>114</v>
      </c>
      <c r="J1606" t="s">
        <v>142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ref="S1606:S1612" si="879">"14:53:03.039"</f>
        <v>14:53:03.039</v>
      </c>
      <c r="T1606" t="str">
        <f t="shared" ref="T1606:T1612" si="880">"14:53:02.639"</f>
        <v>14:53:02.639</v>
      </c>
      <c r="U1606" t="str">
        <f t="shared" si="876"/>
        <v>ACC530</v>
      </c>
      <c r="V1606">
        <v>0</v>
      </c>
      <c r="W1606">
        <v>0</v>
      </c>
      <c r="X1606">
        <v>1</v>
      </c>
      <c r="Z1606">
        <v>0</v>
      </c>
      <c r="AA1606">
        <v>9</v>
      </c>
      <c r="AB1606">
        <v>3</v>
      </c>
      <c r="AC1606">
        <v>0</v>
      </c>
      <c r="AD1606">
        <v>9</v>
      </c>
      <c r="AE1606">
        <v>0</v>
      </c>
      <c r="AF1606">
        <v>3</v>
      </c>
      <c r="AG1606">
        <v>1</v>
      </c>
      <c r="AH1606">
        <v>0</v>
      </c>
      <c r="AI1606" t="s">
        <v>628</v>
      </c>
      <c r="AJ1606">
        <v>34.192521999999997</v>
      </c>
      <c r="AK1606" t="s">
        <v>629</v>
      </c>
      <c r="AL1606">
        <v>-116.990554</v>
      </c>
      <c r="AM1606">
        <v>100</v>
      </c>
      <c r="AN1606">
        <v>8600</v>
      </c>
      <c r="AO1606" t="s">
        <v>118</v>
      </c>
      <c r="AP1606">
        <v>-104</v>
      </c>
      <c r="AQ1606">
        <v>-67</v>
      </c>
      <c r="AR1606">
        <v>-512</v>
      </c>
      <c r="AZ1606">
        <v>1200</v>
      </c>
      <c r="BA1606">
        <v>1</v>
      </c>
      <c r="BB1606" t="str">
        <f t="shared" si="877"/>
        <v xml:space="preserve">N9217B  </v>
      </c>
      <c r="BC1606">
        <v>1</v>
      </c>
      <c r="BE1606">
        <v>0</v>
      </c>
      <c r="BF1606">
        <v>0</v>
      </c>
      <c r="BG1606">
        <v>0</v>
      </c>
      <c r="BH1606">
        <v>8650</v>
      </c>
      <c r="BI1606">
        <v>1</v>
      </c>
      <c r="BJ1606">
        <v>0</v>
      </c>
      <c r="BK1606">
        <v>0</v>
      </c>
      <c r="BL1606">
        <v>0</v>
      </c>
      <c r="BO1606">
        <v>0</v>
      </c>
      <c r="BP1606">
        <v>0</v>
      </c>
      <c r="BW1606" t="str">
        <f t="shared" ref="BW1606:BW1612" si="881">"14:53:03.044"</f>
        <v>14:53:03.044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285</v>
      </c>
      <c r="CR1606">
        <v>0</v>
      </c>
      <c r="CW1606">
        <v>8855463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25">
      <c r="A1607" t="str">
        <f t="shared" si="878"/>
        <v>06/05/2020 14:52:57.387</v>
      </c>
      <c r="C1607" t="str">
        <f t="shared" si="856"/>
        <v>FFDFD3C0</v>
      </c>
      <c r="D1607" t="s">
        <v>151</v>
      </c>
      <c r="E1607">
        <v>8</v>
      </c>
      <c r="H1607">
        <v>225</v>
      </c>
      <c r="I1607" t="s">
        <v>353</v>
      </c>
      <c r="J1607" t="s">
        <v>150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879"/>
        <v>14:53:03.039</v>
      </c>
      <c r="T1607" t="str">
        <f t="shared" si="880"/>
        <v>14:53:02.639</v>
      </c>
      <c r="U1607" t="str">
        <f t="shared" si="876"/>
        <v>ACC530</v>
      </c>
      <c r="V1607">
        <v>0</v>
      </c>
      <c r="W1607">
        <v>0</v>
      </c>
      <c r="X1607">
        <v>1</v>
      </c>
      <c r="Z1607">
        <v>0</v>
      </c>
      <c r="AA1607">
        <v>9</v>
      </c>
      <c r="AB1607">
        <v>3</v>
      </c>
      <c r="AC1607">
        <v>0</v>
      </c>
      <c r="AD1607">
        <v>9</v>
      </c>
      <c r="AE1607">
        <v>0</v>
      </c>
      <c r="AF1607">
        <v>3</v>
      </c>
      <c r="AG1607">
        <v>1</v>
      </c>
      <c r="AH1607">
        <v>0</v>
      </c>
      <c r="AI1607" t="s">
        <v>628</v>
      </c>
      <c r="AJ1607">
        <v>34.192521999999997</v>
      </c>
      <c r="AK1607" t="s">
        <v>629</v>
      </c>
      <c r="AL1607">
        <v>-116.990554</v>
      </c>
      <c r="AM1607">
        <v>100</v>
      </c>
      <c r="AN1607">
        <v>8600</v>
      </c>
      <c r="AO1607" t="s">
        <v>118</v>
      </c>
      <c r="AP1607">
        <v>-104</v>
      </c>
      <c r="AQ1607">
        <v>-67</v>
      </c>
      <c r="AR1607">
        <v>-512</v>
      </c>
      <c r="AZ1607">
        <v>1200</v>
      </c>
      <c r="BA1607">
        <v>1</v>
      </c>
      <c r="BB1607" t="str">
        <f t="shared" si="877"/>
        <v xml:space="preserve">N9217B  </v>
      </c>
      <c r="BC1607">
        <v>1</v>
      </c>
      <c r="BE1607">
        <v>0</v>
      </c>
      <c r="BF1607">
        <v>0</v>
      </c>
      <c r="BG1607">
        <v>0</v>
      </c>
      <c r="BH1607">
        <v>8650</v>
      </c>
      <c r="BI1607">
        <v>1</v>
      </c>
      <c r="BJ1607">
        <v>0</v>
      </c>
      <c r="BK1607">
        <v>0</v>
      </c>
      <c r="BL1607">
        <v>0</v>
      </c>
      <c r="BO1607">
        <v>0</v>
      </c>
      <c r="BP1607">
        <v>0</v>
      </c>
      <c r="BW1607" t="str">
        <f t="shared" si="881"/>
        <v>14:53:03.044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6</v>
      </c>
      <c r="CP1607" t="s">
        <v>119</v>
      </c>
      <c r="CQ1607">
        <v>285</v>
      </c>
      <c r="CR1607">
        <v>0</v>
      </c>
      <c r="CW1607">
        <v>8855463</v>
      </c>
      <c r="CY1607">
        <v>0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25">
      <c r="A1608" t="str">
        <f t="shared" si="878"/>
        <v>06/05/2020 14:52:57.387</v>
      </c>
      <c r="C1608" t="str">
        <f t="shared" si="856"/>
        <v>FFDFD3C0</v>
      </c>
      <c r="D1608" t="s">
        <v>148</v>
      </c>
      <c r="E1608">
        <v>11</v>
      </c>
      <c r="H1608">
        <v>53</v>
      </c>
      <c r="I1608" t="s">
        <v>364</v>
      </c>
      <c r="J1608" t="s">
        <v>150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79"/>
        <v>14:53:03.039</v>
      </c>
      <c r="T1608" t="str">
        <f t="shared" si="880"/>
        <v>14:53:02.639</v>
      </c>
      <c r="U1608" t="str">
        <f t="shared" si="876"/>
        <v>ACC530</v>
      </c>
      <c r="V1608">
        <v>0</v>
      </c>
      <c r="W1608">
        <v>0</v>
      </c>
      <c r="X1608">
        <v>1</v>
      </c>
      <c r="Z1608">
        <v>0</v>
      </c>
      <c r="AA1608">
        <v>9</v>
      </c>
      <c r="AB1608">
        <v>3</v>
      </c>
      <c r="AC1608">
        <v>0</v>
      </c>
      <c r="AD1608">
        <v>9</v>
      </c>
      <c r="AE1608">
        <v>0</v>
      </c>
      <c r="AF1608">
        <v>3</v>
      </c>
      <c r="AG1608">
        <v>1</v>
      </c>
      <c r="AH1608">
        <v>0</v>
      </c>
      <c r="AI1608" t="s">
        <v>628</v>
      </c>
      <c r="AJ1608">
        <v>34.192521999999997</v>
      </c>
      <c r="AK1608" t="s">
        <v>629</v>
      </c>
      <c r="AL1608">
        <v>-116.990554</v>
      </c>
      <c r="AM1608">
        <v>100</v>
      </c>
      <c r="AN1608">
        <v>8600</v>
      </c>
      <c r="AO1608" t="s">
        <v>118</v>
      </c>
      <c r="AP1608">
        <v>-104</v>
      </c>
      <c r="AQ1608">
        <v>-67</v>
      </c>
      <c r="AR1608">
        <v>-512</v>
      </c>
      <c r="AZ1608">
        <v>1200</v>
      </c>
      <c r="BA1608">
        <v>1</v>
      </c>
      <c r="BB1608" t="str">
        <f t="shared" si="877"/>
        <v xml:space="preserve">N9217B  </v>
      </c>
      <c r="BC1608">
        <v>1</v>
      </c>
      <c r="BE1608">
        <v>0</v>
      </c>
      <c r="BF1608">
        <v>0</v>
      </c>
      <c r="BG1608">
        <v>0</v>
      </c>
      <c r="BH1608">
        <v>8650</v>
      </c>
      <c r="BI1608">
        <v>1</v>
      </c>
      <c r="BJ1608">
        <v>0</v>
      </c>
      <c r="BK1608">
        <v>0</v>
      </c>
      <c r="BL1608">
        <v>0</v>
      </c>
      <c r="BO1608">
        <v>0</v>
      </c>
      <c r="BP1608">
        <v>0</v>
      </c>
      <c r="BW1608" t="str">
        <f t="shared" si="881"/>
        <v>14:53:03.044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6</v>
      </c>
      <c r="CP1608" t="s">
        <v>119</v>
      </c>
      <c r="CQ1608">
        <v>285</v>
      </c>
      <c r="CR1608">
        <v>0</v>
      </c>
      <c r="CW1608">
        <v>8855463</v>
      </c>
      <c r="CY1608">
        <v>0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25">
      <c r="A1609" t="str">
        <f t="shared" si="878"/>
        <v>06/05/2020 14:52:57.387</v>
      </c>
      <c r="C1609" t="str">
        <f t="shared" si="856"/>
        <v>FFDFD3C0</v>
      </c>
      <c r="D1609" t="s">
        <v>151</v>
      </c>
      <c r="E1609">
        <v>9</v>
      </c>
      <c r="H1609">
        <v>226</v>
      </c>
      <c r="I1609" t="s">
        <v>152</v>
      </c>
      <c r="J1609" t="s">
        <v>150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879"/>
        <v>14:53:03.039</v>
      </c>
      <c r="T1609" t="str">
        <f t="shared" si="880"/>
        <v>14:53:02.639</v>
      </c>
      <c r="U1609" t="str">
        <f t="shared" si="876"/>
        <v>ACC530</v>
      </c>
      <c r="V1609">
        <v>0</v>
      </c>
      <c r="W1609">
        <v>0</v>
      </c>
      <c r="X1609">
        <v>1</v>
      </c>
      <c r="Z1609">
        <v>0</v>
      </c>
      <c r="AA1609">
        <v>9</v>
      </c>
      <c r="AB1609">
        <v>3</v>
      </c>
      <c r="AC1609">
        <v>0</v>
      </c>
      <c r="AD1609">
        <v>9</v>
      </c>
      <c r="AE1609">
        <v>0</v>
      </c>
      <c r="AF1609">
        <v>3</v>
      </c>
      <c r="AG1609">
        <v>1</v>
      </c>
      <c r="AH1609">
        <v>0</v>
      </c>
      <c r="AI1609" t="s">
        <v>628</v>
      </c>
      <c r="AJ1609">
        <v>34.192521999999997</v>
      </c>
      <c r="AK1609" t="s">
        <v>629</v>
      </c>
      <c r="AL1609">
        <v>-116.990554</v>
      </c>
      <c r="AM1609">
        <v>100</v>
      </c>
      <c r="AN1609">
        <v>8600</v>
      </c>
      <c r="AO1609" t="s">
        <v>118</v>
      </c>
      <c r="AP1609">
        <v>-104</v>
      </c>
      <c r="AQ1609">
        <v>-67</v>
      </c>
      <c r="AR1609">
        <v>-512</v>
      </c>
      <c r="AZ1609">
        <v>1200</v>
      </c>
      <c r="BA1609">
        <v>1</v>
      </c>
      <c r="BB1609" t="str">
        <f t="shared" si="877"/>
        <v xml:space="preserve">N9217B  </v>
      </c>
      <c r="BC1609">
        <v>1</v>
      </c>
      <c r="BE1609">
        <v>0</v>
      </c>
      <c r="BF1609">
        <v>0</v>
      </c>
      <c r="BG1609">
        <v>0</v>
      </c>
      <c r="BH1609">
        <v>8650</v>
      </c>
      <c r="BI1609">
        <v>1</v>
      </c>
      <c r="BJ1609">
        <v>0</v>
      </c>
      <c r="BK1609">
        <v>0</v>
      </c>
      <c r="BL1609">
        <v>0</v>
      </c>
      <c r="BO1609">
        <v>0</v>
      </c>
      <c r="BP1609">
        <v>0</v>
      </c>
      <c r="BW1609" t="str">
        <f t="shared" si="881"/>
        <v>14:53:03.044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6</v>
      </c>
      <c r="CP1609" t="s">
        <v>119</v>
      </c>
      <c r="CQ1609">
        <v>285</v>
      </c>
      <c r="CR1609">
        <v>0</v>
      </c>
      <c r="CW1609">
        <v>8855463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25">
      <c r="A1610" t="str">
        <f t="shared" si="878"/>
        <v>06/05/2020 14:52:57.387</v>
      </c>
      <c r="C1610" t="str">
        <f t="shared" si="856"/>
        <v>FFDFD3C0</v>
      </c>
      <c r="D1610" t="s">
        <v>148</v>
      </c>
      <c r="E1610">
        <v>8</v>
      </c>
      <c r="H1610">
        <v>50</v>
      </c>
      <c r="I1610" t="s">
        <v>149</v>
      </c>
      <c r="J1610" t="s">
        <v>150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879"/>
        <v>14:53:03.039</v>
      </c>
      <c r="T1610" t="str">
        <f t="shared" si="880"/>
        <v>14:53:02.639</v>
      </c>
      <c r="U1610" t="str">
        <f t="shared" si="876"/>
        <v>ACC530</v>
      </c>
      <c r="V1610">
        <v>0</v>
      </c>
      <c r="W1610">
        <v>0</v>
      </c>
      <c r="X1610">
        <v>1</v>
      </c>
      <c r="Z1610">
        <v>0</v>
      </c>
      <c r="AA1610">
        <v>9</v>
      </c>
      <c r="AB1610">
        <v>3</v>
      </c>
      <c r="AC1610">
        <v>0</v>
      </c>
      <c r="AD1610">
        <v>9</v>
      </c>
      <c r="AE1610">
        <v>0</v>
      </c>
      <c r="AF1610">
        <v>3</v>
      </c>
      <c r="AG1610">
        <v>1</v>
      </c>
      <c r="AH1610">
        <v>0</v>
      </c>
      <c r="AI1610" t="s">
        <v>628</v>
      </c>
      <c r="AJ1610">
        <v>34.192521999999997</v>
      </c>
      <c r="AK1610" t="s">
        <v>629</v>
      </c>
      <c r="AL1610">
        <v>-116.990554</v>
      </c>
      <c r="AM1610">
        <v>100</v>
      </c>
      <c r="AN1610">
        <v>8600</v>
      </c>
      <c r="AO1610" t="s">
        <v>118</v>
      </c>
      <c r="AP1610">
        <v>-104</v>
      </c>
      <c r="AQ1610">
        <v>-67</v>
      </c>
      <c r="AR1610">
        <v>-512</v>
      </c>
      <c r="AZ1610">
        <v>1200</v>
      </c>
      <c r="BA1610">
        <v>1</v>
      </c>
      <c r="BB1610" t="str">
        <f t="shared" si="877"/>
        <v xml:space="preserve">N9217B  </v>
      </c>
      <c r="BC1610">
        <v>1</v>
      </c>
      <c r="BE1610">
        <v>0</v>
      </c>
      <c r="BF1610">
        <v>0</v>
      </c>
      <c r="BG1610">
        <v>0</v>
      </c>
      <c r="BH1610">
        <v>8650</v>
      </c>
      <c r="BI1610">
        <v>1</v>
      </c>
      <c r="BJ1610">
        <v>0</v>
      </c>
      <c r="BK1610">
        <v>0</v>
      </c>
      <c r="BL1610">
        <v>0</v>
      </c>
      <c r="BO1610">
        <v>0</v>
      </c>
      <c r="BP1610">
        <v>0</v>
      </c>
      <c r="BW1610" t="str">
        <f t="shared" si="881"/>
        <v>14:53:03.044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6</v>
      </c>
      <c r="CP1610" t="s">
        <v>119</v>
      </c>
      <c r="CQ1610">
        <v>285</v>
      </c>
      <c r="CR1610">
        <v>0</v>
      </c>
      <c r="CW1610">
        <v>8855463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25">
      <c r="A1611" t="str">
        <f t="shared" si="878"/>
        <v>06/05/2020 14:52:57.387</v>
      </c>
      <c r="C1611" t="str">
        <f t="shared" si="856"/>
        <v>FFDFD3C0</v>
      </c>
      <c r="D1611" t="s">
        <v>113</v>
      </c>
      <c r="E1611">
        <v>3</v>
      </c>
      <c r="H1611">
        <v>166</v>
      </c>
      <c r="I1611" t="s">
        <v>114</v>
      </c>
      <c r="J1611" t="s">
        <v>115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79"/>
        <v>14:53:03.039</v>
      </c>
      <c r="T1611" t="str">
        <f t="shared" si="880"/>
        <v>14:53:02.639</v>
      </c>
      <c r="U1611" t="str">
        <f t="shared" si="876"/>
        <v>ACC530</v>
      </c>
      <c r="V1611">
        <v>0</v>
      </c>
      <c r="W1611">
        <v>0</v>
      </c>
      <c r="X1611">
        <v>1</v>
      </c>
      <c r="Z1611">
        <v>0</v>
      </c>
      <c r="AA1611">
        <v>9</v>
      </c>
      <c r="AB1611">
        <v>3</v>
      </c>
      <c r="AC1611">
        <v>0</v>
      </c>
      <c r="AD1611">
        <v>9</v>
      </c>
      <c r="AE1611">
        <v>0</v>
      </c>
      <c r="AF1611">
        <v>3</v>
      </c>
      <c r="AG1611">
        <v>1</v>
      </c>
      <c r="AH1611">
        <v>0</v>
      </c>
      <c r="AI1611" t="s">
        <v>628</v>
      </c>
      <c r="AJ1611">
        <v>34.192521999999997</v>
      </c>
      <c r="AK1611" t="s">
        <v>629</v>
      </c>
      <c r="AL1611">
        <v>-116.990554</v>
      </c>
      <c r="AM1611">
        <v>100</v>
      </c>
      <c r="AN1611">
        <v>8600</v>
      </c>
      <c r="AO1611" t="s">
        <v>118</v>
      </c>
      <c r="AP1611">
        <v>-104</v>
      </c>
      <c r="AQ1611">
        <v>-67</v>
      </c>
      <c r="AR1611">
        <v>-512</v>
      </c>
      <c r="AZ1611">
        <v>1200</v>
      </c>
      <c r="BA1611">
        <v>1</v>
      </c>
      <c r="BB1611" t="str">
        <f t="shared" si="877"/>
        <v xml:space="preserve">N9217B  </v>
      </c>
      <c r="BC1611">
        <v>1</v>
      </c>
      <c r="BE1611">
        <v>0</v>
      </c>
      <c r="BF1611">
        <v>0</v>
      </c>
      <c r="BG1611">
        <v>0</v>
      </c>
      <c r="BH1611">
        <v>8650</v>
      </c>
      <c r="BI1611">
        <v>1</v>
      </c>
      <c r="BJ1611">
        <v>0</v>
      </c>
      <c r="BK1611">
        <v>0</v>
      </c>
      <c r="BL1611">
        <v>0</v>
      </c>
      <c r="BO1611">
        <v>0</v>
      </c>
      <c r="BP1611">
        <v>0</v>
      </c>
      <c r="BW1611" t="str">
        <f t="shared" si="881"/>
        <v>14:53:03.044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6</v>
      </c>
      <c r="CP1611" t="s">
        <v>119</v>
      </c>
      <c r="CQ1611">
        <v>285</v>
      </c>
      <c r="CR1611">
        <v>0</v>
      </c>
      <c r="CW1611">
        <v>8855463</v>
      </c>
      <c r="CY1611">
        <v>0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25">
      <c r="A1612" t="str">
        <f t="shared" si="878"/>
        <v>06/05/2020 14:52:57.387</v>
      </c>
      <c r="C1612" t="str">
        <f t="shared" si="856"/>
        <v>FFDFD3C0</v>
      </c>
      <c r="D1612" t="s">
        <v>134</v>
      </c>
      <c r="E1612">
        <v>7</v>
      </c>
      <c r="F1612">
        <v>2007</v>
      </c>
      <c r="G1612" t="s">
        <v>135</v>
      </c>
      <c r="J1612" t="s">
        <v>136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79"/>
        <v>14:53:03.039</v>
      </c>
      <c r="T1612" t="str">
        <f t="shared" si="880"/>
        <v>14:53:02.639</v>
      </c>
      <c r="U1612" t="str">
        <f t="shared" si="876"/>
        <v>ACC530</v>
      </c>
      <c r="V1612">
        <v>0</v>
      </c>
      <c r="W1612">
        <v>0</v>
      </c>
      <c r="X1612">
        <v>1</v>
      </c>
      <c r="Z1612">
        <v>0</v>
      </c>
      <c r="AA1612">
        <v>9</v>
      </c>
      <c r="AB1612">
        <v>3</v>
      </c>
      <c r="AC1612">
        <v>0</v>
      </c>
      <c r="AD1612">
        <v>9</v>
      </c>
      <c r="AE1612">
        <v>0</v>
      </c>
      <c r="AF1612">
        <v>3</v>
      </c>
      <c r="AG1612">
        <v>1</v>
      </c>
      <c r="AH1612">
        <v>0</v>
      </c>
      <c r="AI1612" t="s">
        <v>628</v>
      </c>
      <c r="AJ1612">
        <v>34.192521999999997</v>
      </c>
      <c r="AK1612" t="s">
        <v>629</v>
      </c>
      <c r="AL1612">
        <v>-116.990554</v>
      </c>
      <c r="AM1612">
        <v>100</v>
      </c>
      <c r="AN1612">
        <v>8600</v>
      </c>
      <c r="AO1612" t="s">
        <v>118</v>
      </c>
      <c r="AP1612">
        <v>-104</v>
      </c>
      <c r="AQ1612">
        <v>-67</v>
      </c>
      <c r="AR1612">
        <v>-512</v>
      </c>
      <c r="AZ1612">
        <v>1200</v>
      </c>
      <c r="BA1612">
        <v>1</v>
      </c>
      <c r="BB1612" t="str">
        <f t="shared" si="877"/>
        <v xml:space="preserve">N9217B  </v>
      </c>
      <c r="BC1612">
        <v>1</v>
      </c>
      <c r="BE1612">
        <v>0</v>
      </c>
      <c r="BF1612">
        <v>0</v>
      </c>
      <c r="BG1612">
        <v>0</v>
      </c>
      <c r="BH1612">
        <v>8650</v>
      </c>
      <c r="BI1612">
        <v>1</v>
      </c>
      <c r="BJ1612">
        <v>0</v>
      </c>
      <c r="BK1612">
        <v>0</v>
      </c>
      <c r="BL1612">
        <v>0</v>
      </c>
      <c r="BO1612">
        <v>0</v>
      </c>
      <c r="BP1612">
        <v>0</v>
      </c>
      <c r="BW1612" t="str">
        <f t="shared" si="881"/>
        <v>14:53:03.044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285</v>
      </c>
      <c r="CR1612">
        <v>0</v>
      </c>
      <c r="CW1612">
        <v>8855463</v>
      </c>
      <c r="CY1612">
        <v>0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25">
      <c r="A1613" t="str">
        <f t="shared" ref="A1613:A1619" si="882">"06/05/2020 14:52:58.513"</f>
        <v>06/05/2020 14:52:58.513</v>
      </c>
      <c r="C1613" t="str">
        <f t="shared" si="856"/>
        <v>FFDFD3C0</v>
      </c>
      <c r="D1613" t="s">
        <v>148</v>
      </c>
      <c r="E1613">
        <v>11</v>
      </c>
      <c r="H1613">
        <v>53</v>
      </c>
      <c r="I1613" t="s">
        <v>364</v>
      </c>
      <c r="J1613" t="s">
        <v>150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ref="S1613:T1619" si="883">"14:53:04.148"</f>
        <v>14:53:04.148</v>
      </c>
      <c r="T1613" t="str">
        <f t="shared" si="883"/>
        <v>14:53:04.148</v>
      </c>
      <c r="U1613" t="str">
        <f t="shared" si="876"/>
        <v>ACC530</v>
      </c>
      <c r="V1613">
        <v>0</v>
      </c>
      <c r="W1613">
        <v>0</v>
      </c>
      <c r="X1613">
        <v>1</v>
      </c>
      <c r="Z1613">
        <v>0</v>
      </c>
      <c r="AA1613">
        <v>9</v>
      </c>
      <c r="AB1613">
        <v>3</v>
      </c>
      <c r="AC1613">
        <v>0</v>
      </c>
      <c r="AD1613">
        <v>9</v>
      </c>
      <c r="AE1613">
        <v>0</v>
      </c>
      <c r="AF1613">
        <v>3</v>
      </c>
      <c r="AG1613">
        <v>1</v>
      </c>
      <c r="AH1613">
        <v>0</v>
      </c>
      <c r="AI1613" t="s">
        <v>630</v>
      </c>
      <c r="AJ1613">
        <v>34.1922</v>
      </c>
      <c r="AK1613" t="s">
        <v>631</v>
      </c>
      <c r="AL1613">
        <v>-116.99117699999999</v>
      </c>
      <c r="AM1613">
        <v>100</v>
      </c>
      <c r="AN1613">
        <v>8600</v>
      </c>
      <c r="AO1613" t="s">
        <v>118</v>
      </c>
      <c r="AP1613">
        <v>-104</v>
      </c>
      <c r="AQ1613">
        <v>-67</v>
      </c>
      <c r="AR1613">
        <v>-576</v>
      </c>
      <c r="AZ1613">
        <v>1200</v>
      </c>
      <c r="BA1613">
        <v>1</v>
      </c>
      <c r="BB1613" t="str">
        <f t="shared" si="877"/>
        <v xml:space="preserve">N9217B  </v>
      </c>
      <c r="BC1613">
        <v>1</v>
      </c>
      <c r="BE1613">
        <v>0</v>
      </c>
      <c r="BF1613">
        <v>0</v>
      </c>
      <c r="BG1613">
        <v>0</v>
      </c>
      <c r="BH1613">
        <v>8650</v>
      </c>
      <c r="BI1613">
        <v>1</v>
      </c>
      <c r="BJ1613">
        <v>0</v>
      </c>
      <c r="BK1613">
        <v>0</v>
      </c>
      <c r="BL1613">
        <v>0</v>
      </c>
      <c r="BO1613">
        <v>0</v>
      </c>
      <c r="BP1613">
        <v>0</v>
      </c>
      <c r="BW1613" t="str">
        <f t="shared" ref="BW1613:BW1619" si="884">"14:53:04.154"</f>
        <v>14:53:04.154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285</v>
      </c>
      <c r="CR1613">
        <v>0</v>
      </c>
      <c r="CW1613">
        <v>8855564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25">
      <c r="A1614" t="str">
        <f t="shared" si="882"/>
        <v>06/05/2020 14:52:58.513</v>
      </c>
      <c r="C1614" t="str">
        <f t="shared" si="856"/>
        <v>FFDFD3C0</v>
      </c>
      <c r="D1614" t="s">
        <v>151</v>
      </c>
      <c r="E1614">
        <v>9</v>
      </c>
      <c r="H1614">
        <v>226</v>
      </c>
      <c r="I1614" t="s">
        <v>152</v>
      </c>
      <c r="J1614" t="s">
        <v>150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883"/>
        <v>14:53:04.148</v>
      </c>
      <c r="T1614" t="str">
        <f t="shared" si="883"/>
        <v>14:53:04.148</v>
      </c>
      <c r="U1614" t="str">
        <f t="shared" si="876"/>
        <v>ACC530</v>
      </c>
      <c r="V1614">
        <v>0</v>
      </c>
      <c r="W1614">
        <v>0</v>
      </c>
      <c r="X1614">
        <v>1</v>
      </c>
      <c r="Z1614">
        <v>0</v>
      </c>
      <c r="AA1614">
        <v>9</v>
      </c>
      <c r="AB1614">
        <v>3</v>
      </c>
      <c r="AC1614">
        <v>0</v>
      </c>
      <c r="AD1614">
        <v>9</v>
      </c>
      <c r="AE1614">
        <v>0</v>
      </c>
      <c r="AF1614">
        <v>3</v>
      </c>
      <c r="AG1614">
        <v>1</v>
      </c>
      <c r="AH1614">
        <v>0</v>
      </c>
      <c r="AI1614" t="s">
        <v>630</v>
      </c>
      <c r="AJ1614">
        <v>34.1922</v>
      </c>
      <c r="AK1614" t="s">
        <v>631</v>
      </c>
      <c r="AL1614">
        <v>-116.99117699999999</v>
      </c>
      <c r="AM1614">
        <v>100</v>
      </c>
      <c r="AN1614">
        <v>8600</v>
      </c>
      <c r="AO1614" t="s">
        <v>118</v>
      </c>
      <c r="AP1614">
        <v>-104</v>
      </c>
      <c r="AQ1614">
        <v>-67</v>
      </c>
      <c r="AR1614">
        <v>-576</v>
      </c>
      <c r="AZ1614">
        <v>1200</v>
      </c>
      <c r="BA1614">
        <v>1</v>
      </c>
      <c r="BB1614" t="str">
        <f t="shared" si="877"/>
        <v xml:space="preserve">N9217B  </v>
      </c>
      <c r="BC1614">
        <v>1</v>
      </c>
      <c r="BE1614">
        <v>0</v>
      </c>
      <c r="BF1614">
        <v>0</v>
      </c>
      <c r="BG1614">
        <v>0</v>
      </c>
      <c r="BH1614">
        <v>8650</v>
      </c>
      <c r="BI1614">
        <v>1</v>
      </c>
      <c r="BJ1614">
        <v>0</v>
      </c>
      <c r="BK1614">
        <v>0</v>
      </c>
      <c r="BL1614">
        <v>0</v>
      </c>
      <c r="BO1614">
        <v>0</v>
      </c>
      <c r="BP1614">
        <v>0</v>
      </c>
      <c r="BW1614" t="str">
        <f t="shared" si="884"/>
        <v>14:53:04.154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6</v>
      </c>
      <c r="CP1614" t="s">
        <v>119</v>
      </c>
      <c r="CQ1614">
        <v>285</v>
      </c>
      <c r="CR1614">
        <v>0</v>
      </c>
      <c r="CW1614">
        <v>8855564</v>
      </c>
      <c r="CY1614">
        <v>0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25">
      <c r="A1615" t="str">
        <f t="shared" si="882"/>
        <v>06/05/2020 14:52:58.513</v>
      </c>
      <c r="C1615" t="str">
        <f t="shared" si="856"/>
        <v>FFDFD3C0</v>
      </c>
      <c r="D1615" t="s">
        <v>148</v>
      </c>
      <c r="E1615">
        <v>8</v>
      </c>
      <c r="H1615">
        <v>50</v>
      </c>
      <c r="I1615" t="s">
        <v>149</v>
      </c>
      <c r="J1615" t="s">
        <v>150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883"/>
        <v>14:53:04.148</v>
      </c>
      <c r="T1615" t="str">
        <f t="shared" si="883"/>
        <v>14:53:04.148</v>
      </c>
      <c r="U1615" t="str">
        <f t="shared" si="876"/>
        <v>ACC530</v>
      </c>
      <c r="V1615">
        <v>0</v>
      </c>
      <c r="W1615">
        <v>0</v>
      </c>
      <c r="X1615">
        <v>1</v>
      </c>
      <c r="Z1615">
        <v>0</v>
      </c>
      <c r="AA1615">
        <v>9</v>
      </c>
      <c r="AB1615">
        <v>3</v>
      </c>
      <c r="AC1615">
        <v>0</v>
      </c>
      <c r="AD1615">
        <v>9</v>
      </c>
      <c r="AE1615">
        <v>0</v>
      </c>
      <c r="AF1615">
        <v>3</v>
      </c>
      <c r="AG1615">
        <v>1</v>
      </c>
      <c r="AH1615">
        <v>0</v>
      </c>
      <c r="AI1615" t="s">
        <v>630</v>
      </c>
      <c r="AJ1615">
        <v>34.1922</v>
      </c>
      <c r="AK1615" t="s">
        <v>631</v>
      </c>
      <c r="AL1615">
        <v>-116.99117699999999</v>
      </c>
      <c r="AM1615">
        <v>100</v>
      </c>
      <c r="AN1615">
        <v>8600</v>
      </c>
      <c r="AO1615" t="s">
        <v>118</v>
      </c>
      <c r="AP1615">
        <v>-104</v>
      </c>
      <c r="AQ1615">
        <v>-67</v>
      </c>
      <c r="AR1615">
        <v>-576</v>
      </c>
      <c r="AZ1615">
        <v>1200</v>
      </c>
      <c r="BA1615">
        <v>1</v>
      </c>
      <c r="BB1615" t="str">
        <f t="shared" si="877"/>
        <v xml:space="preserve">N9217B  </v>
      </c>
      <c r="BC1615">
        <v>1</v>
      </c>
      <c r="BE1615">
        <v>0</v>
      </c>
      <c r="BF1615">
        <v>0</v>
      </c>
      <c r="BG1615">
        <v>0</v>
      </c>
      <c r="BH1615">
        <v>8650</v>
      </c>
      <c r="BI1615">
        <v>1</v>
      </c>
      <c r="BJ1615">
        <v>0</v>
      </c>
      <c r="BK1615">
        <v>0</v>
      </c>
      <c r="BL1615">
        <v>0</v>
      </c>
      <c r="BO1615">
        <v>0</v>
      </c>
      <c r="BP1615">
        <v>0</v>
      </c>
      <c r="BW1615" t="str">
        <f t="shared" si="884"/>
        <v>14:53:04.154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6</v>
      </c>
      <c r="CP1615" t="s">
        <v>119</v>
      </c>
      <c r="CQ1615">
        <v>285</v>
      </c>
      <c r="CR1615">
        <v>0</v>
      </c>
      <c r="CW1615">
        <v>8855564</v>
      </c>
      <c r="CY1615">
        <v>0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25">
      <c r="A1616" t="str">
        <f t="shared" si="882"/>
        <v>06/05/2020 14:52:58.513</v>
      </c>
      <c r="C1616" t="str">
        <f t="shared" si="856"/>
        <v>FFDFD3C0</v>
      </c>
      <c r="D1616" t="s">
        <v>113</v>
      </c>
      <c r="E1616">
        <v>3</v>
      </c>
      <c r="H1616">
        <v>166</v>
      </c>
      <c r="I1616" t="s">
        <v>114</v>
      </c>
      <c r="J1616" t="s">
        <v>115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883"/>
        <v>14:53:04.148</v>
      </c>
      <c r="T1616" t="str">
        <f t="shared" si="883"/>
        <v>14:53:04.148</v>
      </c>
      <c r="U1616" t="str">
        <f t="shared" si="876"/>
        <v>ACC530</v>
      </c>
      <c r="V1616">
        <v>0</v>
      </c>
      <c r="W1616">
        <v>0</v>
      </c>
      <c r="X1616">
        <v>1</v>
      </c>
      <c r="Z1616">
        <v>0</v>
      </c>
      <c r="AA1616">
        <v>9</v>
      </c>
      <c r="AB1616">
        <v>3</v>
      </c>
      <c r="AC1616">
        <v>0</v>
      </c>
      <c r="AD1616">
        <v>9</v>
      </c>
      <c r="AE1616">
        <v>0</v>
      </c>
      <c r="AF1616">
        <v>3</v>
      </c>
      <c r="AG1616">
        <v>1</v>
      </c>
      <c r="AH1616">
        <v>0</v>
      </c>
      <c r="AI1616" t="s">
        <v>630</v>
      </c>
      <c r="AJ1616">
        <v>34.1922</v>
      </c>
      <c r="AK1616" t="s">
        <v>631</v>
      </c>
      <c r="AL1616">
        <v>-116.99117699999999</v>
      </c>
      <c r="AM1616">
        <v>100</v>
      </c>
      <c r="AN1616">
        <v>8600</v>
      </c>
      <c r="AO1616" t="s">
        <v>118</v>
      </c>
      <c r="AP1616">
        <v>-104</v>
      </c>
      <c r="AQ1616">
        <v>-67</v>
      </c>
      <c r="AR1616">
        <v>-576</v>
      </c>
      <c r="AZ1616">
        <v>1200</v>
      </c>
      <c r="BA1616">
        <v>1</v>
      </c>
      <c r="BB1616" t="str">
        <f t="shared" si="877"/>
        <v xml:space="preserve">N9217B  </v>
      </c>
      <c r="BC1616">
        <v>1</v>
      </c>
      <c r="BE1616">
        <v>0</v>
      </c>
      <c r="BF1616">
        <v>0</v>
      </c>
      <c r="BG1616">
        <v>0</v>
      </c>
      <c r="BH1616">
        <v>8650</v>
      </c>
      <c r="BI1616">
        <v>1</v>
      </c>
      <c r="BJ1616">
        <v>0</v>
      </c>
      <c r="BK1616">
        <v>0</v>
      </c>
      <c r="BL1616">
        <v>0</v>
      </c>
      <c r="BO1616">
        <v>0</v>
      </c>
      <c r="BP1616">
        <v>0</v>
      </c>
      <c r="BW1616" t="str">
        <f t="shared" si="884"/>
        <v>14:53:04.154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285</v>
      </c>
      <c r="CR1616">
        <v>0</v>
      </c>
      <c r="CW1616">
        <v>8855564</v>
      </c>
      <c r="CY1616">
        <v>0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25">
      <c r="A1617" t="str">
        <f t="shared" si="882"/>
        <v>06/05/2020 14:52:58.513</v>
      </c>
      <c r="C1617" t="str">
        <f t="shared" si="856"/>
        <v>FFDFD3C0</v>
      </c>
      <c r="D1617" t="s">
        <v>134</v>
      </c>
      <c r="E1617">
        <v>7</v>
      </c>
      <c r="F1617">
        <v>2007</v>
      </c>
      <c r="G1617" t="s">
        <v>135</v>
      </c>
      <c r="J1617" t="s">
        <v>136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883"/>
        <v>14:53:04.148</v>
      </c>
      <c r="T1617" t="str">
        <f t="shared" si="883"/>
        <v>14:53:04.148</v>
      </c>
      <c r="U1617" t="str">
        <f t="shared" si="876"/>
        <v>ACC530</v>
      </c>
      <c r="V1617">
        <v>0</v>
      </c>
      <c r="W1617">
        <v>0</v>
      </c>
      <c r="X1617">
        <v>1</v>
      </c>
      <c r="Z1617">
        <v>0</v>
      </c>
      <c r="AA1617">
        <v>9</v>
      </c>
      <c r="AB1617">
        <v>3</v>
      </c>
      <c r="AC1617">
        <v>0</v>
      </c>
      <c r="AD1617">
        <v>9</v>
      </c>
      <c r="AE1617">
        <v>0</v>
      </c>
      <c r="AF1617">
        <v>3</v>
      </c>
      <c r="AG1617">
        <v>1</v>
      </c>
      <c r="AH1617">
        <v>0</v>
      </c>
      <c r="AI1617" t="s">
        <v>630</v>
      </c>
      <c r="AJ1617">
        <v>34.1922</v>
      </c>
      <c r="AK1617" t="s">
        <v>631</v>
      </c>
      <c r="AL1617">
        <v>-116.99117699999999</v>
      </c>
      <c r="AM1617">
        <v>100</v>
      </c>
      <c r="AN1617">
        <v>8600</v>
      </c>
      <c r="AO1617" t="s">
        <v>118</v>
      </c>
      <c r="AP1617">
        <v>-104</v>
      </c>
      <c r="AQ1617">
        <v>-67</v>
      </c>
      <c r="AR1617">
        <v>-576</v>
      </c>
      <c r="AZ1617">
        <v>1200</v>
      </c>
      <c r="BA1617">
        <v>1</v>
      </c>
      <c r="BB1617" t="str">
        <f t="shared" si="877"/>
        <v xml:space="preserve">N9217B  </v>
      </c>
      <c r="BC1617">
        <v>1</v>
      </c>
      <c r="BE1617">
        <v>0</v>
      </c>
      <c r="BF1617">
        <v>0</v>
      </c>
      <c r="BG1617">
        <v>0</v>
      </c>
      <c r="BH1617">
        <v>8650</v>
      </c>
      <c r="BI1617">
        <v>1</v>
      </c>
      <c r="BJ1617">
        <v>0</v>
      </c>
      <c r="BK1617">
        <v>0</v>
      </c>
      <c r="BL1617">
        <v>0</v>
      </c>
      <c r="BO1617">
        <v>0</v>
      </c>
      <c r="BP1617">
        <v>0</v>
      </c>
      <c r="BW1617" t="str">
        <f t="shared" si="884"/>
        <v>14:53:04.154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285</v>
      </c>
      <c r="CR1617">
        <v>0</v>
      </c>
      <c r="CW1617">
        <v>8855564</v>
      </c>
      <c r="CY1617">
        <v>0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25">
      <c r="A1618" t="str">
        <f t="shared" si="882"/>
        <v>06/05/2020 14:52:58.513</v>
      </c>
      <c r="C1618" t="str">
        <f t="shared" si="856"/>
        <v>FFDFD3C0</v>
      </c>
      <c r="D1618" t="s">
        <v>141</v>
      </c>
      <c r="E1618">
        <v>20</v>
      </c>
      <c r="F1618">
        <v>1020</v>
      </c>
      <c r="G1618" t="s">
        <v>114</v>
      </c>
      <c r="J1618" t="s">
        <v>142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83"/>
        <v>14:53:04.148</v>
      </c>
      <c r="T1618" t="str">
        <f t="shared" si="883"/>
        <v>14:53:04.148</v>
      </c>
      <c r="U1618" t="str">
        <f t="shared" si="876"/>
        <v>ACC530</v>
      </c>
      <c r="V1618">
        <v>0</v>
      </c>
      <c r="W1618">
        <v>0</v>
      </c>
      <c r="X1618">
        <v>1</v>
      </c>
      <c r="Z1618">
        <v>0</v>
      </c>
      <c r="AA1618">
        <v>9</v>
      </c>
      <c r="AB1618">
        <v>3</v>
      </c>
      <c r="AC1618">
        <v>0</v>
      </c>
      <c r="AD1618">
        <v>9</v>
      </c>
      <c r="AE1618">
        <v>0</v>
      </c>
      <c r="AF1618">
        <v>3</v>
      </c>
      <c r="AG1618">
        <v>1</v>
      </c>
      <c r="AH1618">
        <v>0</v>
      </c>
      <c r="AI1618" t="s">
        <v>630</v>
      </c>
      <c r="AJ1618">
        <v>34.1922</v>
      </c>
      <c r="AK1618" t="s">
        <v>631</v>
      </c>
      <c r="AL1618">
        <v>-116.99117699999999</v>
      </c>
      <c r="AM1618">
        <v>100</v>
      </c>
      <c r="AN1618">
        <v>8600</v>
      </c>
      <c r="AO1618" t="s">
        <v>118</v>
      </c>
      <c r="AP1618">
        <v>-104</v>
      </c>
      <c r="AQ1618">
        <v>-67</v>
      </c>
      <c r="AR1618">
        <v>-576</v>
      </c>
      <c r="AZ1618">
        <v>1200</v>
      </c>
      <c r="BA1618">
        <v>1</v>
      </c>
      <c r="BB1618" t="str">
        <f t="shared" si="877"/>
        <v xml:space="preserve">N9217B  </v>
      </c>
      <c r="BC1618">
        <v>1</v>
      </c>
      <c r="BE1618">
        <v>0</v>
      </c>
      <c r="BF1618">
        <v>0</v>
      </c>
      <c r="BG1618">
        <v>0</v>
      </c>
      <c r="BH1618">
        <v>8650</v>
      </c>
      <c r="BI1618">
        <v>1</v>
      </c>
      <c r="BJ1618">
        <v>0</v>
      </c>
      <c r="BK1618">
        <v>0</v>
      </c>
      <c r="BL1618">
        <v>0</v>
      </c>
      <c r="BO1618">
        <v>0</v>
      </c>
      <c r="BP1618">
        <v>0</v>
      </c>
      <c r="BW1618" t="str">
        <f t="shared" si="884"/>
        <v>14:53:04.154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285</v>
      </c>
      <c r="CR1618">
        <v>0</v>
      </c>
      <c r="CW1618">
        <v>8855564</v>
      </c>
      <c r="CY1618">
        <v>0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25">
      <c r="A1619" t="str">
        <f t="shared" si="882"/>
        <v>06/05/2020 14:52:58.513</v>
      </c>
      <c r="C1619" t="str">
        <f t="shared" si="856"/>
        <v>FFDFD3C0</v>
      </c>
      <c r="D1619" t="s">
        <v>151</v>
      </c>
      <c r="E1619">
        <v>8</v>
      </c>
      <c r="H1619">
        <v>225</v>
      </c>
      <c r="I1619" t="s">
        <v>353</v>
      </c>
      <c r="J1619" t="s">
        <v>150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83"/>
        <v>14:53:04.148</v>
      </c>
      <c r="T1619" t="str">
        <f t="shared" si="883"/>
        <v>14:53:04.148</v>
      </c>
      <c r="U1619" t="str">
        <f t="shared" si="876"/>
        <v>ACC530</v>
      </c>
      <c r="V1619">
        <v>0</v>
      </c>
      <c r="W1619">
        <v>0</v>
      </c>
      <c r="X1619">
        <v>1</v>
      </c>
      <c r="Z1619">
        <v>0</v>
      </c>
      <c r="AA1619">
        <v>9</v>
      </c>
      <c r="AB1619">
        <v>3</v>
      </c>
      <c r="AC1619">
        <v>0</v>
      </c>
      <c r="AD1619">
        <v>9</v>
      </c>
      <c r="AE1619">
        <v>0</v>
      </c>
      <c r="AF1619">
        <v>3</v>
      </c>
      <c r="AG1619">
        <v>1</v>
      </c>
      <c r="AH1619">
        <v>0</v>
      </c>
      <c r="AI1619" t="s">
        <v>630</v>
      </c>
      <c r="AJ1619">
        <v>34.1922</v>
      </c>
      <c r="AK1619" t="s">
        <v>631</v>
      </c>
      <c r="AL1619">
        <v>-116.99117699999999</v>
      </c>
      <c r="AM1619">
        <v>100</v>
      </c>
      <c r="AN1619">
        <v>8600</v>
      </c>
      <c r="AO1619" t="s">
        <v>118</v>
      </c>
      <c r="AP1619">
        <v>-104</v>
      </c>
      <c r="AQ1619">
        <v>-67</v>
      </c>
      <c r="AR1619">
        <v>-576</v>
      </c>
      <c r="AZ1619">
        <v>1200</v>
      </c>
      <c r="BA1619">
        <v>1</v>
      </c>
      <c r="BB1619" t="str">
        <f t="shared" si="877"/>
        <v xml:space="preserve">N9217B  </v>
      </c>
      <c r="BC1619">
        <v>1</v>
      </c>
      <c r="BE1619">
        <v>0</v>
      </c>
      <c r="BF1619">
        <v>0</v>
      </c>
      <c r="BG1619">
        <v>0</v>
      </c>
      <c r="BH1619">
        <v>8650</v>
      </c>
      <c r="BI1619">
        <v>1</v>
      </c>
      <c r="BJ1619">
        <v>0</v>
      </c>
      <c r="BK1619">
        <v>0</v>
      </c>
      <c r="BL1619">
        <v>0</v>
      </c>
      <c r="BO1619">
        <v>0</v>
      </c>
      <c r="BP1619">
        <v>0</v>
      </c>
      <c r="BW1619" t="str">
        <f t="shared" si="884"/>
        <v>14:53:04.154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285</v>
      </c>
      <c r="CR1619">
        <v>0</v>
      </c>
      <c r="CW1619">
        <v>8855564</v>
      </c>
      <c r="CY1619">
        <v>0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25">
      <c r="A1620" t="str">
        <f t="shared" ref="A1620:A1626" si="885">"06/05/2020 14:52:59.404"</f>
        <v>06/05/2020 14:52:59.404</v>
      </c>
      <c r="C1620" t="str">
        <f t="shared" si="856"/>
        <v>FFDFD3C0</v>
      </c>
      <c r="D1620" t="s">
        <v>141</v>
      </c>
      <c r="E1620">
        <v>20</v>
      </c>
      <c r="F1620">
        <v>1020</v>
      </c>
      <c r="G1620" t="s">
        <v>114</v>
      </c>
      <c r="J1620" t="s">
        <v>142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ref="S1620:S1626" si="886">"14:53:05.047"</f>
        <v>14:53:05.047</v>
      </c>
      <c r="T1620" t="str">
        <f t="shared" ref="T1620:T1626" si="887">"14:53:04.747"</f>
        <v>14:53:04.747</v>
      </c>
      <c r="U1620" t="str">
        <f t="shared" si="876"/>
        <v>ACC530</v>
      </c>
      <c r="V1620">
        <v>0</v>
      </c>
      <c r="W1620">
        <v>0</v>
      </c>
      <c r="X1620">
        <v>1</v>
      </c>
      <c r="Z1620">
        <v>0</v>
      </c>
      <c r="AA1620">
        <v>9</v>
      </c>
      <c r="AB1620">
        <v>3</v>
      </c>
      <c r="AC1620">
        <v>0</v>
      </c>
      <c r="AD1620">
        <v>9</v>
      </c>
      <c r="AE1620">
        <v>0</v>
      </c>
      <c r="AF1620">
        <v>3</v>
      </c>
      <c r="AG1620">
        <v>1</v>
      </c>
      <c r="AH1620">
        <v>0</v>
      </c>
      <c r="AI1620" t="s">
        <v>632</v>
      </c>
      <c r="AJ1620">
        <v>34.191921000000001</v>
      </c>
      <c r="AK1620" t="s">
        <v>633</v>
      </c>
      <c r="AL1620">
        <v>-116.991692</v>
      </c>
      <c r="AM1620">
        <v>100</v>
      </c>
      <c r="AN1620">
        <v>8600</v>
      </c>
      <c r="AO1620" t="s">
        <v>118</v>
      </c>
      <c r="AP1620">
        <v>-104</v>
      </c>
      <c r="AQ1620">
        <v>-67</v>
      </c>
      <c r="AR1620">
        <v>-512</v>
      </c>
      <c r="AZ1620">
        <v>1200</v>
      </c>
      <c r="BA1620">
        <v>1</v>
      </c>
      <c r="BB1620" t="str">
        <f t="shared" si="877"/>
        <v xml:space="preserve">N9217B  </v>
      </c>
      <c r="BC1620">
        <v>1</v>
      </c>
      <c r="BE1620">
        <v>0</v>
      </c>
      <c r="BF1620">
        <v>0</v>
      </c>
      <c r="BG1620">
        <v>0</v>
      </c>
      <c r="BH1620">
        <v>8650</v>
      </c>
      <c r="BI1620">
        <v>1</v>
      </c>
      <c r="BJ1620">
        <v>0</v>
      </c>
      <c r="BK1620">
        <v>0</v>
      </c>
      <c r="BL1620">
        <v>0</v>
      </c>
      <c r="BO1620">
        <v>0</v>
      </c>
      <c r="BP1620">
        <v>0</v>
      </c>
      <c r="BW1620" t="str">
        <f t="shared" ref="BW1620:BW1626" si="888">"14:53:05.054"</f>
        <v>14:53:05.054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285</v>
      </c>
      <c r="CR1620">
        <v>0</v>
      </c>
      <c r="CW1620">
        <v>8855648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25">
      <c r="A1621" t="str">
        <f t="shared" si="885"/>
        <v>06/05/2020 14:52:59.404</v>
      </c>
      <c r="C1621" t="str">
        <f t="shared" si="856"/>
        <v>FFDFD3C0</v>
      </c>
      <c r="D1621" t="s">
        <v>151</v>
      </c>
      <c r="E1621">
        <v>8</v>
      </c>
      <c r="H1621">
        <v>225</v>
      </c>
      <c r="I1621" t="s">
        <v>353</v>
      </c>
      <c r="J1621" t="s">
        <v>150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886"/>
        <v>14:53:05.047</v>
      </c>
      <c r="T1621" t="str">
        <f t="shared" si="887"/>
        <v>14:53:04.747</v>
      </c>
      <c r="U1621" t="str">
        <f t="shared" si="876"/>
        <v>ACC530</v>
      </c>
      <c r="V1621">
        <v>0</v>
      </c>
      <c r="W1621">
        <v>0</v>
      </c>
      <c r="X1621">
        <v>1</v>
      </c>
      <c r="Z1621">
        <v>0</v>
      </c>
      <c r="AA1621">
        <v>9</v>
      </c>
      <c r="AB1621">
        <v>3</v>
      </c>
      <c r="AC1621">
        <v>0</v>
      </c>
      <c r="AD1621">
        <v>9</v>
      </c>
      <c r="AE1621">
        <v>0</v>
      </c>
      <c r="AF1621">
        <v>3</v>
      </c>
      <c r="AG1621">
        <v>1</v>
      </c>
      <c r="AH1621">
        <v>0</v>
      </c>
      <c r="AI1621" t="s">
        <v>632</v>
      </c>
      <c r="AJ1621">
        <v>34.191921000000001</v>
      </c>
      <c r="AK1621" t="s">
        <v>633</v>
      </c>
      <c r="AL1621">
        <v>-116.991692</v>
      </c>
      <c r="AM1621">
        <v>100</v>
      </c>
      <c r="AN1621">
        <v>8600</v>
      </c>
      <c r="AO1621" t="s">
        <v>118</v>
      </c>
      <c r="AP1621">
        <v>-104</v>
      </c>
      <c r="AQ1621">
        <v>-67</v>
      </c>
      <c r="AR1621">
        <v>-512</v>
      </c>
      <c r="AZ1621">
        <v>1200</v>
      </c>
      <c r="BA1621">
        <v>1</v>
      </c>
      <c r="BB1621" t="str">
        <f t="shared" si="877"/>
        <v xml:space="preserve">N9217B  </v>
      </c>
      <c r="BC1621">
        <v>1</v>
      </c>
      <c r="BE1621">
        <v>0</v>
      </c>
      <c r="BF1621">
        <v>0</v>
      </c>
      <c r="BG1621">
        <v>0</v>
      </c>
      <c r="BH1621">
        <v>8650</v>
      </c>
      <c r="BI1621">
        <v>1</v>
      </c>
      <c r="BJ1621">
        <v>0</v>
      </c>
      <c r="BK1621">
        <v>0</v>
      </c>
      <c r="BL1621">
        <v>0</v>
      </c>
      <c r="BO1621">
        <v>0</v>
      </c>
      <c r="BP1621">
        <v>0</v>
      </c>
      <c r="BW1621" t="str">
        <f t="shared" si="888"/>
        <v>14:53:05.054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285</v>
      </c>
      <c r="CR1621">
        <v>0</v>
      </c>
      <c r="CW1621">
        <v>8855648</v>
      </c>
      <c r="CY1621">
        <v>0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25">
      <c r="A1622" t="str">
        <f t="shared" si="885"/>
        <v>06/05/2020 14:52:59.404</v>
      </c>
      <c r="C1622" t="str">
        <f t="shared" si="856"/>
        <v>FFDFD3C0</v>
      </c>
      <c r="D1622" t="s">
        <v>148</v>
      </c>
      <c r="E1622">
        <v>11</v>
      </c>
      <c r="H1622">
        <v>53</v>
      </c>
      <c r="I1622" t="s">
        <v>364</v>
      </c>
      <c r="J1622" t="s">
        <v>150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86"/>
        <v>14:53:05.047</v>
      </c>
      <c r="T1622" t="str">
        <f t="shared" si="887"/>
        <v>14:53:04.747</v>
      </c>
      <c r="U1622" t="str">
        <f t="shared" si="876"/>
        <v>ACC530</v>
      </c>
      <c r="V1622">
        <v>0</v>
      </c>
      <c r="W1622">
        <v>0</v>
      </c>
      <c r="X1622">
        <v>1</v>
      </c>
      <c r="Z1622">
        <v>0</v>
      </c>
      <c r="AA1622">
        <v>9</v>
      </c>
      <c r="AB1622">
        <v>3</v>
      </c>
      <c r="AC1622">
        <v>0</v>
      </c>
      <c r="AD1622">
        <v>9</v>
      </c>
      <c r="AE1622">
        <v>0</v>
      </c>
      <c r="AF1622">
        <v>3</v>
      </c>
      <c r="AG1622">
        <v>1</v>
      </c>
      <c r="AH1622">
        <v>0</v>
      </c>
      <c r="AI1622" t="s">
        <v>632</v>
      </c>
      <c r="AJ1622">
        <v>34.191921000000001</v>
      </c>
      <c r="AK1622" t="s">
        <v>633</v>
      </c>
      <c r="AL1622">
        <v>-116.991692</v>
      </c>
      <c r="AM1622">
        <v>100</v>
      </c>
      <c r="AN1622">
        <v>8600</v>
      </c>
      <c r="AO1622" t="s">
        <v>118</v>
      </c>
      <c r="AP1622">
        <v>-104</v>
      </c>
      <c r="AQ1622">
        <v>-67</v>
      </c>
      <c r="AR1622">
        <v>-512</v>
      </c>
      <c r="AZ1622">
        <v>1200</v>
      </c>
      <c r="BA1622">
        <v>1</v>
      </c>
      <c r="BB1622" t="str">
        <f t="shared" si="877"/>
        <v xml:space="preserve">N9217B  </v>
      </c>
      <c r="BC1622">
        <v>1</v>
      </c>
      <c r="BE1622">
        <v>0</v>
      </c>
      <c r="BF1622">
        <v>0</v>
      </c>
      <c r="BG1622">
        <v>0</v>
      </c>
      <c r="BH1622">
        <v>8650</v>
      </c>
      <c r="BI1622">
        <v>1</v>
      </c>
      <c r="BJ1622">
        <v>0</v>
      </c>
      <c r="BK1622">
        <v>0</v>
      </c>
      <c r="BL1622">
        <v>0</v>
      </c>
      <c r="BO1622">
        <v>0</v>
      </c>
      <c r="BP1622">
        <v>0</v>
      </c>
      <c r="BW1622" t="str">
        <f t="shared" si="888"/>
        <v>14:53:05.054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285</v>
      </c>
      <c r="CR1622">
        <v>0</v>
      </c>
      <c r="CW1622">
        <v>8855648</v>
      </c>
      <c r="CY1622">
        <v>0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25">
      <c r="A1623" t="str">
        <f t="shared" si="885"/>
        <v>06/05/2020 14:52:59.404</v>
      </c>
      <c r="C1623" t="str">
        <f t="shared" si="856"/>
        <v>FFDFD3C0</v>
      </c>
      <c r="D1623" t="s">
        <v>151</v>
      </c>
      <c r="E1623">
        <v>9</v>
      </c>
      <c r="H1623">
        <v>226</v>
      </c>
      <c r="I1623" t="s">
        <v>152</v>
      </c>
      <c r="J1623" t="s">
        <v>150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886"/>
        <v>14:53:05.047</v>
      </c>
      <c r="T1623" t="str">
        <f t="shared" si="887"/>
        <v>14:53:04.747</v>
      </c>
      <c r="U1623" t="str">
        <f t="shared" si="876"/>
        <v>ACC530</v>
      </c>
      <c r="V1623">
        <v>0</v>
      </c>
      <c r="W1623">
        <v>0</v>
      </c>
      <c r="X1623">
        <v>1</v>
      </c>
      <c r="Z1623">
        <v>0</v>
      </c>
      <c r="AA1623">
        <v>9</v>
      </c>
      <c r="AB1623">
        <v>3</v>
      </c>
      <c r="AC1623">
        <v>0</v>
      </c>
      <c r="AD1623">
        <v>9</v>
      </c>
      <c r="AE1623">
        <v>0</v>
      </c>
      <c r="AF1623">
        <v>3</v>
      </c>
      <c r="AG1623">
        <v>1</v>
      </c>
      <c r="AH1623">
        <v>0</v>
      </c>
      <c r="AI1623" t="s">
        <v>632</v>
      </c>
      <c r="AJ1623">
        <v>34.191921000000001</v>
      </c>
      <c r="AK1623" t="s">
        <v>633</v>
      </c>
      <c r="AL1623">
        <v>-116.991692</v>
      </c>
      <c r="AM1623">
        <v>100</v>
      </c>
      <c r="AN1623">
        <v>8600</v>
      </c>
      <c r="AO1623" t="s">
        <v>118</v>
      </c>
      <c r="AP1623">
        <v>-104</v>
      </c>
      <c r="AQ1623">
        <v>-67</v>
      </c>
      <c r="AR1623">
        <v>-512</v>
      </c>
      <c r="AZ1623">
        <v>1200</v>
      </c>
      <c r="BA1623">
        <v>1</v>
      </c>
      <c r="BB1623" t="str">
        <f t="shared" si="877"/>
        <v xml:space="preserve">N9217B  </v>
      </c>
      <c r="BC1623">
        <v>1</v>
      </c>
      <c r="BE1623">
        <v>0</v>
      </c>
      <c r="BF1623">
        <v>0</v>
      </c>
      <c r="BG1623">
        <v>0</v>
      </c>
      <c r="BH1623">
        <v>8650</v>
      </c>
      <c r="BI1623">
        <v>1</v>
      </c>
      <c r="BJ1623">
        <v>0</v>
      </c>
      <c r="BK1623">
        <v>0</v>
      </c>
      <c r="BL1623">
        <v>0</v>
      </c>
      <c r="BO1623">
        <v>0</v>
      </c>
      <c r="BP1623">
        <v>0</v>
      </c>
      <c r="BW1623" t="str">
        <f t="shared" si="888"/>
        <v>14:53:05.054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285</v>
      </c>
      <c r="CR1623">
        <v>0</v>
      </c>
      <c r="CW1623">
        <v>8855648</v>
      </c>
      <c r="CY1623">
        <v>0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25">
      <c r="A1624" t="str">
        <f t="shared" si="885"/>
        <v>06/05/2020 14:52:59.404</v>
      </c>
      <c r="C1624" t="str">
        <f t="shared" si="856"/>
        <v>FFDFD3C0</v>
      </c>
      <c r="D1624" t="s">
        <v>113</v>
      </c>
      <c r="E1624">
        <v>3</v>
      </c>
      <c r="H1624">
        <v>166</v>
      </c>
      <c r="I1624" t="s">
        <v>114</v>
      </c>
      <c r="J1624" t="s">
        <v>115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886"/>
        <v>14:53:05.047</v>
      </c>
      <c r="T1624" t="str">
        <f t="shared" si="887"/>
        <v>14:53:04.747</v>
      </c>
      <c r="U1624" t="str">
        <f t="shared" si="876"/>
        <v>ACC530</v>
      </c>
      <c r="V1624">
        <v>0</v>
      </c>
      <c r="W1624">
        <v>0</v>
      </c>
      <c r="X1624">
        <v>1</v>
      </c>
      <c r="Z1624">
        <v>0</v>
      </c>
      <c r="AA1624">
        <v>9</v>
      </c>
      <c r="AB1624">
        <v>3</v>
      </c>
      <c r="AC1624">
        <v>0</v>
      </c>
      <c r="AD1624">
        <v>9</v>
      </c>
      <c r="AE1624">
        <v>0</v>
      </c>
      <c r="AF1624">
        <v>3</v>
      </c>
      <c r="AG1624">
        <v>1</v>
      </c>
      <c r="AH1624">
        <v>0</v>
      </c>
      <c r="AI1624" t="s">
        <v>632</v>
      </c>
      <c r="AJ1624">
        <v>34.191921000000001</v>
      </c>
      <c r="AK1624" t="s">
        <v>633</v>
      </c>
      <c r="AL1624">
        <v>-116.991692</v>
      </c>
      <c r="AM1624">
        <v>100</v>
      </c>
      <c r="AN1624">
        <v>8600</v>
      </c>
      <c r="AO1624" t="s">
        <v>118</v>
      </c>
      <c r="AP1624">
        <v>-104</v>
      </c>
      <c r="AQ1624">
        <v>-67</v>
      </c>
      <c r="AR1624">
        <v>-512</v>
      </c>
      <c r="AZ1624">
        <v>1200</v>
      </c>
      <c r="BA1624">
        <v>1</v>
      </c>
      <c r="BB1624" t="str">
        <f t="shared" si="877"/>
        <v xml:space="preserve">N9217B  </v>
      </c>
      <c r="BC1624">
        <v>1</v>
      </c>
      <c r="BE1624">
        <v>0</v>
      </c>
      <c r="BF1624">
        <v>0</v>
      </c>
      <c r="BG1624">
        <v>0</v>
      </c>
      <c r="BH1624">
        <v>8650</v>
      </c>
      <c r="BI1624">
        <v>1</v>
      </c>
      <c r="BJ1624">
        <v>0</v>
      </c>
      <c r="BK1624">
        <v>0</v>
      </c>
      <c r="BL1624">
        <v>0</v>
      </c>
      <c r="BO1624">
        <v>0</v>
      </c>
      <c r="BP1624">
        <v>0</v>
      </c>
      <c r="BW1624" t="str">
        <f t="shared" si="888"/>
        <v>14:53:05.054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285</v>
      </c>
      <c r="CR1624">
        <v>0</v>
      </c>
      <c r="CW1624">
        <v>8855648</v>
      </c>
      <c r="CY1624">
        <v>0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25">
      <c r="A1625" t="str">
        <f t="shared" si="885"/>
        <v>06/05/2020 14:52:59.404</v>
      </c>
      <c r="C1625" t="str">
        <f t="shared" si="856"/>
        <v>FFDFD3C0</v>
      </c>
      <c r="D1625" t="s">
        <v>148</v>
      </c>
      <c r="E1625">
        <v>8</v>
      </c>
      <c r="H1625">
        <v>50</v>
      </c>
      <c r="I1625" t="s">
        <v>149</v>
      </c>
      <c r="J1625" t="s">
        <v>150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86"/>
        <v>14:53:05.047</v>
      </c>
      <c r="T1625" t="str">
        <f t="shared" si="887"/>
        <v>14:53:04.747</v>
      </c>
      <c r="U1625" t="str">
        <f t="shared" si="876"/>
        <v>ACC530</v>
      </c>
      <c r="V1625">
        <v>0</v>
      </c>
      <c r="W1625">
        <v>0</v>
      </c>
      <c r="X1625">
        <v>1</v>
      </c>
      <c r="Z1625">
        <v>0</v>
      </c>
      <c r="AA1625">
        <v>9</v>
      </c>
      <c r="AB1625">
        <v>3</v>
      </c>
      <c r="AC1625">
        <v>0</v>
      </c>
      <c r="AD1625">
        <v>9</v>
      </c>
      <c r="AE1625">
        <v>0</v>
      </c>
      <c r="AF1625">
        <v>3</v>
      </c>
      <c r="AG1625">
        <v>1</v>
      </c>
      <c r="AH1625">
        <v>0</v>
      </c>
      <c r="AI1625" t="s">
        <v>632</v>
      </c>
      <c r="AJ1625">
        <v>34.191921000000001</v>
      </c>
      <c r="AK1625" t="s">
        <v>633</v>
      </c>
      <c r="AL1625">
        <v>-116.991692</v>
      </c>
      <c r="AM1625">
        <v>100</v>
      </c>
      <c r="AN1625">
        <v>8600</v>
      </c>
      <c r="AO1625" t="s">
        <v>118</v>
      </c>
      <c r="AP1625">
        <v>-104</v>
      </c>
      <c r="AQ1625">
        <v>-67</v>
      </c>
      <c r="AR1625">
        <v>-512</v>
      </c>
      <c r="AZ1625">
        <v>1200</v>
      </c>
      <c r="BA1625">
        <v>1</v>
      </c>
      <c r="BB1625" t="str">
        <f t="shared" si="877"/>
        <v xml:space="preserve">N9217B  </v>
      </c>
      <c r="BC1625">
        <v>1</v>
      </c>
      <c r="BE1625">
        <v>0</v>
      </c>
      <c r="BF1625">
        <v>0</v>
      </c>
      <c r="BG1625">
        <v>0</v>
      </c>
      <c r="BH1625">
        <v>8650</v>
      </c>
      <c r="BI1625">
        <v>1</v>
      </c>
      <c r="BJ1625">
        <v>0</v>
      </c>
      <c r="BK1625">
        <v>0</v>
      </c>
      <c r="BL1625">
        <v>0</v>
      </c>
      <c r="BO1625">
        <v>0</v>
      </c>
      <c r="BP1625">
        <v>0</v>
      </c>
      <c r="BW1625" t="str">
        <f t="shared" si="888"/>
        <v>14:53:05.054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6</v>
      </c>
      <c r="CP1625" t="s">
        <v>119</v>
      </c>
      <c r="CQ1625">
        <v>285</v>
      </c>
      <c r="CR1625">
        <v>0</v>
      </c>
      <c r="CW1625">
        <v>8855648</v>
      </c>
      <c r="CY1625">
        <v>0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25">
      <c r="A1626" t="str">
        <f t="shared" si="885"/>
        <v>06/05/2020 14:52:59.404</v>
      </c>
      <c r="C1626" t="str">
        <f t="shared" si="856"/>
        <v>FFDFD3C0</v>
      </c>
      <c r="D1626" t="s">
        <v>134</v>
      </c>
      <c r="E1626">
        <v>7</v>
      </c>
      <c r="F1626">
        <v>2007</v>
      </c>
      <c r="G1626" t="s">
        <v>135</v>
      </c>
      <c r="J1626" t="s">
        <v>136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86"/>
        <v>14:53:05.047</v>
      </c>
      <c r="T1626" t="str">
        <f t="shared" si="887"/>
        <v>14:53:04.747</v>
      </c>
      <c r="U1626" t="str">
        <f t="shared" si="876"/>
        <v>ACC530</v>
      </c>
      <c r="V1626">
        <v>0</v>
      </c>
      <c r="W1626">
        <v>0</v>
      </c>
      <c r="X1626">
        <v>1</v>
      </c>
      <c r="Z1626">
        <v>0</v>
      </c>
      <c r="AA1626">
        <v>9</v>
      </c>
      <c r="AB1626">
        <v>3</v>
      </c>
      <c r="AC1626">
        <v>0</v>
      </c>
      <c r="AD1626">
        <v>9</v>
      </c>
      <c r="AE1626">
        <v>0</v>
      </c>
      <c r="AF1626">
        <v>3</v>
      </c>
      <c r="AG1626">
        <v>1</v>
      </c>
      <c r="AH1626">
        <v>0</v>
      </c>
      <c r="AI1626" t="s">
        <v>632</v>
      </c>
      <c r="AJ1626">
        <v>34.191921000000001</v>
      </c>
      <c r="AK1626" t="s">
        <v>633</v>
      </c>
      <c r="AL1626">
        <v>-116.991692</v>
      </c>
      <c r="AM1626">
        <v>100</v>
      </c>
      <c r="AN1626">
        <v>8600</v>
      </c>
      <c r="AO1626" t="s">
        <v>118</v>
      </c>
      <c r="AP1626">
        <v>-104</v>
      </c>
      <c r="AQ1626">
        <v>-67</v>
      </c>
      <c r="AR1626">
        <v>-512</v>
      </c>
      <c r="AZ1626">
        <v>1200</v>
      </c>
      <c r="BA1626">
        <v>1</v>
      </c>
      <c r="BB1626" t="str">
        <f t="shared" si="877"/>
        <v xml:space="preserve">N9217B  </v>
      </c>
      <c r="BC1626">
        <v>1</v>
      </c>
      <c r="BE1626">
        <v>0</v>
      </c>
      <c r="BF1626">
        <v>0</v>
      </c>
      <c r="BG1626">
        <v>0</v>
      </c>
      <c r="BH1626">
        <v>8650</v>
      </c>
      <c r="BI1626">
        <v>1</v>
      </c>
      <c r="BJ1626">
        <v>0</v>
      </c>
      <c r="BK1626">
        <v>0</v>
      </c>
      <c r="BL1626">
        <v>0</v>
      </c>
      <c r="BO1626">
        <v>0</v>
      </c>
      <c r="BP1626">
        <v>0</v>
      </c>
      <c r="BW1626" t="str">
        <f t="shared" si="888"/>
        <v>14:53:05.054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6</v>
      </c>
      <c r="CP1626" t="s">
        <v>119</v>
      </c>
      <c r="CQ1626">
        <v>285</v>
      </c>
      <c r="CR1626">
        <v>0</v>
      </c>
      <c r="CW1626">
        <v>8855648</v>
      </c>
      <c r="CY1626">
        <v>0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25">
      <c r="A1627" t="str">
        <f t="shared" ref="A1627:A1633" si="889">"06/05/2020 14:53:00.229"</f>
        <v>06/05/2020 14:53:00.229</v>
      </c>
      <c r="C1627" t="str">
        <f t="shared" si="856"/>
        <v>FFDFD3C0</v>
      </c>
      <c r="D1627" t="s">
        <v>151</v>
      </c>
      <c r="E1627">
        <v>8</v>
      </c>
      <c r="H1627">
        <v>225</v>
      </c>
      <c r="I1627" t="s">
        <v>353</v>
      </c>
      <c r="J1627" t="s">
        <v>150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ref="S1627:S1633" si="890">"14:53:05.875"</f>
        <v>14:53:05.875</v>
      </c>
      <c r="T1627" t="str">
        <f t="shared" ref="T1627:T1633" si="891">"14:53:05.675"</f>
        <v>14:53:05.675</v>
      </c>
      <c r="U1627" t="str">
        <f t="shared" si="876"/>
        <v>ACC530</v>
      </c>
      <c r="V1627">
        <v>0</v>
      </c>
      <c r="W1627">
        <v>0</v>
      </c>
      <c r="X1627">
        <v>1</v>
      </c>
      <c r="Z1627">
        <v>0</v>
      </c>
      <c r="AA1627">
        <v>9</v>
      </c>
      <c r="AB1627">
        <v>3</v>
      </c>
      <c r="AC1627">
        <v>0</v>
      </c>
      <c r="AD1627">
        <v>9</v>
      </c>
      <c r="AE1627">
        <v>0</v>
      </c>
      <c r="AF1627">
        <v>3</v>
      </c>
      <c r="AG1627">
        <v>1</v>
      </c>
      <c r="AH1627">
        <v>0</v>
      </c>
      <c r="AI1627" t="s">
        <v>634</v>
      </c>
      <c r="AJ1627">
        <v>34.191642000000002</v>
      </c>
      <c r="AK1627" t="s">
        <v>635</v>
      </c>
      <c r="AL1627">
        <v>-116.99220699999999</v>
      </c>
      <c r="AM1627">
        <v>100</v>
      </c>
      <c r="AN1627">
        <v>8600</v>
      </c>
      <c r="AO1627" t="s">
        <v>118</v>
      </c>
      <c r="AP1627">
        <v>-104</v>
      </c>
      <c r="AQ1627">
        <v>-67</v>
      </c>
      <c r="AR1627">
        <v>-576</v>
      </c>
      <c r="AZ1627">
        <v>1200</v>
      </c>
      <c r="BA1627">
        <v>1</v>
      </c>
      <c r="BB1627" t="str">
        <f t="shared" si="877"/>
        <v xml:space="preserve">N9217B  </v>
      </c>
      <c r="BC1627">
        <v>1</v>
      </c>
      <c r="BE1627">
        <v>0</v>
      </c>
      <c r="BF1627">
        <v>0</v>
      </c>
      <c r="BG1627">
        <v>0</v>
      </c>
      <c r="BH1627">
        <v>8625</v>
      </c>
      <c r="BI1627">
        <v>1</v>
      </c>
      <c r="BJ1627">
        <v>0</v>
      </c>
      <c r="BK1627">
        <v>0</v>
      </c>
      <c r="BL1627">
        <v>0</v>
      </c>
      <c r="BO1627">
        <v>0</v>
      </c>
      <c r="BP1627">
        <v>0</v>
      </c>
      <c r="BW1627" t="str">
        <f t="shared" ref="BW1627:BW1633" si="892">"14:53:05.879"</f>
        <v>14:53:05.879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6</v>
      </c>
      <c r="CP1627" t="s">
        <v>119</v>
      </c>
      <c r="CQ1627">
        <v>285</v>
      </c>
      <c r="CR1627">
        <v>0</v>
      </c>
      <c r="CW1627">
        <v>8855721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25">
      <c r="A1628" t="str">
        <f t="shared" si="889"/>
        <v>06/05/2020 14:53:00.229</v>
      </c>
      <c r="C1628" t="str">
        <f t="shared" si="856"/>
        <v>FFDFD3C0</v>
      </c>
      <c r="D1628" t="s">
        <v>148</v>
      </c>
      <c r="E1628">
        <v>11</v>
      </c>
      <c r="H1628">
        <v>53</v>
      </c>
      <c r="I1628" t="s">
        <v>364</v>
      </c>
      <c r="J1628" t="s">
        <v>150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890"/>
        <v>14:53:05.875</v>
      </c>
      <c r="T1628" t="str">
        <f t="shared" si="891"/>
        <v>14:53:05.675</v>
      </c>
      <c r="U1628" t="str">
        <f t="shared" si="876"/>
        <v>ACC530</v>
      </c>
      <c r="V1628">
        <v>0</v>
      </c>
      <c r="W1628">
        <v>0</v>
      </c>
      <c r="X1628">
        <v>1</v>
      </c>
      <c r="Z1628">
        <v>0</v>
      </c>
      <c r="AA1628">
        <v>9</v>
      </c>
      <c r="AB1628">
        <v>3</v>
      </c>
      <c r="AC1628">
        <v>0</v>
      </c>
      <c r="AD1628">
        <v>9</v>
      </c>
      <c r="AE1628">
        <v>0</v>
      </c>
      <c r="AF1628">
        <v>3</v>
      </c>
      <c r="AG1628">
        <v>1</v>
      </c>
      <c r="AH1628">
        <v>0</v>
      </c>
      <c r="AI1628" t="s">
        <v>634</v>
      </c>
      <c r="AJ1628">
        <v>34.191642000000002</v>
      </c>
      <c r="AK1628" t="s">
        <v>635</v>
      </c>
      <c r="AL1628">
        <v>-116.99220699999999</v>
      </c>
      <c r="AM1628">
        <v>100</v>
      </c>
      <c r="AN1628">
        <v>8600</v>
      </c>
      <c r="AO1628" t="s">
        <v>118</v>
      </c>
      <c r="AP1628">
        <v>-104</v>
      </c>
      <c r="AQ1628">
        <v>-67</v>
      </c>
      <c r="AR1628">
        <v>-576</v>
      </c>
      <c r="AZ1628">
        <v>1200</v>
      </c>
      <c r="BA1628">
        <v>1</v>
      </c>
      <c r="BB1628" t="str">
        <f t="shared" si="877"/>
        <v xml:space="preserve">N9217B  </v>
      </c>
      <c r="BC1628">
        <v>1</v>
      </c>
      <c r="BE1628">
        <v>0</v>
      </c>
      <c r="BF1628">
        <v>0</v>
      </c>
      <c r="BG1628">
        <v>0</v>
      </c>
      <c r="BH1628">
        <v>8625</v>
      </c>
      <c r="BI1628">
        <v>1</v>
      </c>
      <c r="BJ1628">
        <v>0</v>
      </c>
      <c r="BK1628">
        <v>0</v>
      </c>
      <c r="BL1628">
        <v>0</v>
      </c>
      <c r="BO1628">
        <v>0</v>
      </c>
      <c r="BP1628">
        <v>0</v>
      </c>
      <c r="BW1628" t="str">
        <f t="shared" si="892"/>
        <v>14:53:05.879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6</v>
      </c>
      <c r="CP1628" t="s">
        <v>119</v>
      </c>
      <c r="CQ1628">
        <v>285</v>
      </c>
      <c r="CR1628">
        <v>0</v>
      </c>
      <c r="CW1628">
        <v>8855721</v>
      </c>
      <c r="CY1628">
        <v>0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25">
      <c r="A1629" t="str">
        <f t="shared" si="889"/>
        <v>06/05/2020 14:53:00.229</v>
      </c>
      <c r="C1629" t="str">
        <f t="shared" si="856"/>
        <v>FFDFD3C0</v>
      </c>
      <c r="D1629" t="s">
        <v>113</v>
      </c>
      <c r="E1629">
        <v>3</v>
      </c>
      <c r="H1629">
        <v>166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90"/>
        <v>14:53:05.875</v>
      </c>
      <c r="T1629" t="str">
        <f t="shared" si="891"/>
        <v>14:53:05.675</v>
      </c>
      <c r="U1629" t="str">
        <f t="shared" si="876"/>
        <v>ACC530</v>
      </c>
      <c r="V1629">
        <v>0</v>
      </c>
      <c r="W1629">
        <v>0</v>
      </c>
      <c r="X1629">
        <v>1</v>
      </c>
      <c r="Z1629">
        <v>0</v>
      </c>
      <c r="AA1629">
        <v>9</v>
      </c>
      <c r="AB1629">
        <v>3</v>
      </c>
      <c r="AC1629">
        <v>0</v>
      </c>
      <c r="AD1629">
        <v>9</v>
      </c>
      <c r="AE1629">
        <v>0</v>
      </c>
      <c r="AF1629">
        <v>3</v>
      </c>
      <c r="AG1629">
        <v>1</v>
      </c>
      <c r="AH1629">
        <v>0</v>
      </c>
      <c r="AI1629" t="s">
        <v>634</v>
      </c>
      <c r="AJ1629">
        <v>34.191642000000002</v>
      </c>
      <c r="AK1629" t="s">
        <v>635</v>
      </c>
      <c r="AL1629">
        <v>-116.99220699999999</v>
      </c>
      <c r="AM1629">
        <v>100</v>
      </c>
      <c r="AN1629">
        <v>8600</v>
      </c>
      <c r="AO1629" t="s">
        <v>118</v>
      </c>
      <c r="AP1629">
        <v>-104</v>
      </c>
      <c r="AQ1629">
        <v>-67</v>
      </c>
      <c r="AR1629">
        <v>-576</v>
      </c>
      <c r="AZ1629">
        <v>1200</v>
      </c>
      <c r="BA1629">
        <v>1</v>
      </c>
      <c r="BB1629" t="str">
        <f t="shared" si="877"/>
        <v xml:space="preserve">N9217B  </v>
      </c>
      <c r="BC1629">
        <v>1</v>
      </c>
      <c r="BE1629">
        <v>0</v>
      </c>
      <c r="BF1629">
        <v>0</v>
      </c>
      <c r="BG1629">
        <v>0</v>
      </c>
      <c r="BH1629">
        <v>8625</v>
      </c>
      <c r="BI1629">
        <v>1</v>
      </c>
      <c r="BJ1629">
        <v>0</v>
      </c>
      <c r="BK1629">
        <v>0</v>
      </c>
      <c r="BL1629">
        <v>0</v>
      </c>
      <c r="BO1629">
        <v>0</v>
      </c>
      <c r="BP1629">
        <v>0</v>
      </c>
      <c r="BW1629" t="str">
        <f t="shared" si="892"/>
        <v>14:53:05.879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285</v>
      </c>
      <c r="CR1629">
        <v>0</v>
      </c>
      <c r="CW1629">
        <v>8855721</v>
      </c>
      <c r="CY1629">
        <v>0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25">
      <c r="A1630" t="str">
        <f t="shared" si="889"/>
        <v>06/05/2020 14:53:00.229</v>
      </c>
      <c r="C1630" t="str">
        <f t="shared" si="856"/>
        <v>FFDFD3C0</v>
      </c>
      <c r="D1630" t="s">
        <v>151</v>
      </c>
      <c r="E1630">
        <v>9</v>
      </c>
      <c r="H1630">
        <v>226</v>
      </c>
      <c r="I1630" t="s">
        <v>152</v>
      </c>
      <c r="J1630" t="s">
        <v>150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890"/>
        <v>14:53:05.875</v>
      </c>
      <c r="T1630" t="str">
        <f t="shared" si="891"/>
        <v>14:53:05.675</v>
      </c>
      <c r="U1630" t="str">
        <f t="shared" si="876"/>
        <v>ACC530</v>
      </c>
      <c r="V1630">
        <v>0</v>
      </c>
      <c r="W1630">
        <v>0</v>
      </c>
      <c r="X1630">
        <v>1</v>
      </c>
      <c r="Z1630">
        <v>0</v>
      </c>
      <c r="AA1630">
        <v>9</v>
      </c>
      <c r="AB1630">
        <v>3</v>
      </c>
      <c r="AC1630">
        <v>0</v>
      </c>
      <c r="AD1630">
        <v>9</v>
      </c>
      <c r="AE1630">
        <v>0</v>
      </c>
      <c r="AF1630">
        <v>3</v>
      </c>
      <c r="AG1630">
        <v>1</v>
      </c>
      <c r="AH1630">
        <v>0</v>
      </c>
      <c r="AI1630" t="s">
        <v>634</v>
      </c>
      <c r="AJ1630">
        <v>34.191642000000002</v>
      </c>
      <c r="AK1630" t="s">
        <v>635</v>
      </c>
      <c r="AL1630">
        <v>-116.99220699999999</v>
      </c>
      <c r="AM1630">
        <v>100</v>
      </c>
      <c r="AN1630">
        <v>8600</v>
      </c>
      <c r="AO1630" t="s">
        <v>118</v>
      </c>
      <c r="AP1630">
        <v>-104</v>
      </c>
      <c r="AQ1630">
        <v>-67</v>
      </c>
      <c r="AR1630">
        <v>-576</v>
      </c>
      <c r="AZ1630">
        <v>1200</v>
      </c>
      <c r="BA1630">
        <v>1</v>
      </c>
      <c r="BB1630" t="str">
        <f t="shared" si="877"/>
        <v xml:space="preserve">N9217B  </v>
      </c>
      <c r="BC1630">
        <v>1</v>
      </c>
      <c r="BE1630">
        <v>0</v>
      </c>
      <c r="BF1630">
        <v>0</v>
      </c>
      <c r="BG1630">
        <v>0</v>
      </c>
      <c r="BH1630">
        <v>8625</v>
      </c>
      <c r="BI1630">
        <v>1</v>
      </c>
      <c r="BJ1630">
        <v>0</v>
      </c>
      <c r="BK1630">
        <v>0</v>
      </c>
      <c r="BL1630">
        <v>0</v>
      </c>
      <c r="BO1630">
        <v>0</v>
      </c>
      <c r="BP1630">
        <v>0</v>
      </c>
      <c r="BW1630" t="str">
        <f t="shared" si="892"/>
        <v>14:53:05.879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285</v>
      </c>
      <c r="CR1630">
        <v>0</v>
      </c>
      <c r="CW1630">
        <v>8855721</v>
      </c>
      <c r="CY1630">
        <v>0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25">
      <c r="A1631" t="str">
        <f t="shared" si="889"/>
        <v>06/05/2020 14:53:00.229</v>
      </c>
      <c r="C1631" t="str">
        <f t="shared" si="856"/>
        <v>FFDFD3C0</v>
      </c>
      <c r="D1631" t="s">
        <v>134</v>
      </c>
      <c r="E1631">
        <v>7</v>
      </c>
      <c r="F1631">
        <v>2007</v>
      </c>
      <c r="G1631" t="s">
        <v>135</v>
      </c>
      <c r="J1631" t="s">
        <v>136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890"/>
        <v>14:53:05.875</v>
      </c>
      <c r="T1631" t="str">
        <f t="shared" si="891"/>
        <v>14:53:05.675</v>
      </c>
      <c r="U1631" t="str">
        <f t="shared" si="876"/>
        <v>ACC530</v>
      </c>
      <c r="V1631">
        <v>0</v>
      </c>
      <c r="W1631">
        <v>0</v>
      </c>
      <c r="X1631">
        <v>1</v>
      </c>
      <c r="Z1631">
        <v>0</v>
      </c>
      <c r="AA1631">
        <v>9</v>
      </c>
      <c r="AB1631">
        <v>3</v>
      </c>
      <c r="AC1631">
        <v>0</v>
      </c>
      <c r="AD1631">
        <v>9</v>
      </c>
      <c r="AE1631">
        <v>0</v>
      </c>
      <c r="AF1631">
        <v>3</v>
      </c>
      <c r="AG1631">
        <v>1</v>
      </c>
      <c r="AH1631">
        <v>0</v>
      </c>
      <c r="AI1631" t="s">
        <v>634</v>
      </c>
      <c r="AJ1631">
        <v>34.191642000000002</v>
      </c>
      <c r="AK1631" t="s">
        <v>635</v>
      </c>
      <c r="AL1631">
        <v>-116.99220699999999</v>
      </c>
      <c r="AM1631">
        <v>100</v>
      </c>
      <c r="AN1631">
        <v>8600</v>
      </c>
      <c r="AO1631" t="s">
        <v>118</v>
      </c>
      <c r="AP1631">
        <v>-104</v>
      </c>
      <c r="AQ1631">
        <v>-67</v>
      </c>
      <c r="AR1631">
        <v>-576</v>
      </c>
      <c r="AZ1631">
        <v>1200</v>
      </c>
      <c r="BA1631">
        <v>1</v>
      </c>
      <c r="BB1631" t="str">
        <f t="shared" si="877"/>
        <v xml:space="preserve">N9217B  </v>
      </c>
      <c r="BC1631">
        <v>1</v>
      </c>
      <c r="BE1631">
        <v>0</v>
      </c>
      <c r="BF1631">
        <v>0</v>
      </c>
      <c r="BG1631">
        <v>0</v>
      </c>
      <c r="BH1631">
        <v>8625</v>
      </c>
      <c r="BI1631">
        <v>1</v>
      </c>
      <c r="BJ1631">
        <v>0</v>
      </c>
      <c r="BK1631">
        <v>0</v>
      </c>
      <c r="BL1631">
        <v>0</v>
      </c>
      <c r="BO1631">
        <v>0</v>
      </c>
      <c r="BP1631">
        <v>0</v>
      </c>
      <c r="BW1631" t="str">
        <f t="shared" si="892"/>
        <v>14:53:05.879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285</v>
      </c>
      <c r="CR1631">
        <v>0</v>
      </c>
      <c r="CW1631">
        <v>8855721</v>
      </c>
      <c r="CY1631">
        <v>0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25">
      <c r="A1632" t="str">
        <f t="shared" si="889"/>
        <v>06/05/2020 14:53:00.229</v>
      </c>
      <c r="C1632" t="str">
        <f t="shared" si="856"/>
        <v>FFDFD3C0</v>
      </c>
      <c r="D1632" t="s">
        <v>148</v>
      </c>
      <c r="E1632">
        <v>8</v>
      </c>
      <c r="H1632">
        <v>50</v>
      </c>
      <c r="I1632" t="s">
        <v>149</v>
      </c>
      <c r="J1632" t="s">
        <v>150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890"/>
        <v>14:53:05.875</v>
      </c>
      <c r="T1632" t="str">
        <f t="shared" si="891"/>
        <v>14:53:05.675</v>
      </c>
      <c r="U1632" t="str">
        <f t="shared" si="876"/>
        <v>ACC530</v>
      </c>
      <c r="V1632">
        <v>0</v>
      </c>
      <c r="W1632">
        <v>0</v>
      </c>
      <c r="X1632">
        <v>1</v>
      </c>
      <c r="Z1632">
        <v>0</v>
      </c>
      <c r="AA1632">
        <v>9</v>
      </c>
      <c r="AB1632">
        <v>3</v>
      </c>
      <c r="AC1632">
        <v>0</v>
      </c>
      <c r="AD1632">
        <v>9</v>
      </c>
      <c r="AE1632">
        <v>0</v>
      </c>
      <c r="AF1632">
        <v>3</v>
      </c>
      <c r="AG1632">
        <v>1</v>
      </c>
      <c r="AH1632">
        <v>0</v>
      </c>
      <c r="AI1632" t="s">
        <v>634</v>
      </c>
      <c r="AJ1632">
        <v>34.191642000000002</v>
      </c>
      <c r="AK1632" t="s">
        <v>635</v>
      </c>
      <c r="AL1632">
        <v>-116.99220699999999</v>
      </c>
      <c r="AM1632">
        <v>100</v>
      </c>
      <c r="AN1632">
        <v>8600</v>
      </c>
      <c r="AO1632" t="s">
        <v>118</v>
      </c>
      <c r="AP1632">
        <v>-104</v>
      </c>
      <c r="AQ1632">
        <v>-67</v>
      </c>
      <c r="AR1632">
        <v>-576</v>
      </c>
      <c r="AZ1632">
        <v>1200</v>
      </c>
      <c r="BA1632">
        <v>1</v>
      </c>
      <c r="BB1632" t="str">
        <f t="shared" si="877"/>
        <v xml:space="preserve">N9217B  </v>
      </c>
      <c r="BC1632">
        <v>1</v>
      </c>
      <c r="BE1632">
        <v>0</v>
      </c>
      <c r="BF1632">
        <v>0</v>
      </c>
      <c r="BG1632">
        <v>0</v>
      </c>
      <c r="BH1632">
        <v>8625</v>
      </c>
      <c r="BI1632">
        <v>1</v>
      </c>
      <c r="BJ1632">
        <v>0</v>
      </c>
      <c r="BK1632">
        <v>0</v>
      </c>
      <c r="BL1632">
        <v>0</v>
      </c>
      <c r="BO1632">
        <v>0</v>
      </c>
      <c r="BP1632">
        <v>0</v>
      </c>
      <c r="BW1632" t="str">
        <f t="shared" si="892"/>
        <v>14:53:05.879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285</v>
      </c>
      <c r="CR1632">
        <v>0</v>
      </c>
      <c r="CW1632">
        <v>8855721</v>
      </c>
      <c r="CY1632">
        <v>0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25">
      <c r="A1633" t="str">
        <f t="shared" si="889"/>
        <v>06/05/2020 14:53:00.229</v>
      </c>
      <c r="C1633" t="str">
        <f t="shared" si="856"/>
        <v>FFDFD3C0</v>
      </c>
      <c r="D1633" t="s">
        <v>141</v>
      </c>
      <c r="E1633">
        <v>20</v>
      </c>
      <c r="F1633">
        <v>1020</v>
      </c>
      <c r="G1633" t="s">
        <v>114</v>
      </c>
      <c r="J1633" t="s">
        <v>142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890"/>
        <v>14:53:05.875</v>
      </c>
      <c r="T1633" t="str">
        <f t="shared" si="891"/>
        <v>14:53:05.675</v>
      </c>
      <c r="U1633" t="str">
        <f t="shared" si="876"/>
        <v>ACC530</v>
      </c>
      <c r="V1633">
        <v>0</v>
      </c>
      <c r="W1633">
        <v>0</v>
      </c>
      <c r="X1633">
        <v>1</v>
      </c>
      <c r="Z1633">
        <v>0</v>
      </c>
      <c r="AA1633">
        <v>9</v>
      </c>
      <c r="AB1633">
        <v>3</v>
      </c>
      <c r="AC1633">
        <v>0</v>
      </c>
      <c r="AD1633">
        <v>9</v>
      </c>
      <c r="AE1633">
        <v>0</v>
      </c>
      <c r="AF1633">
        <v>3</v>
      </c>
      <c r="AG1633">
        <v>1</v>
      </c>
      <c r="AH1633">
        <v>0</v>
      </c>
      <c r="AI1633" t="s">
        <v>634</v>
      </c>
      <c r="AJ1633">
        <v>34.191642000000002</v>
      </c>
      <c r="AK1633" t="s">
        <v>635</v>
      </c>
      <c r="AL1633">
        <v>-116.99220699999999</v>
      </c>
      <c r="AM1633">
        <v>100</v>
      </c>
      <c r="AN1633">
        <v>8600</v>
      </c>
      <c r="AO1633" t="s">
        <v>118</v>
      </c>
      <c r="AP1633">
        <v>-104</v>
      </c>
      <c r="AQ1633">
        <v>-67</v>
      </c>
      <c r="AR1633">
        <v>-576</v>
      </c>
      <c r="AZ1633">
        <v>1200</v>
      </c>
      <c r="BA1633">
        <v>1</v>
      </c>
      <c r="BB1633" t="str">
        <f t="shared" si="877"/>
        <v xml:space="preserve">N9217B  </v>
      </c>
      <c r="BC1633">
        <v>1</v>
      </c>
      <c r="BE1633">
        <v>0</v>
      </c>
      <c r="BF1633">
        <v>0</v>
      </c>
      <c r="BG1633">
        <v>0</v>
      </c>
      <c r="BH1633">
        <v>8625</v>
      </c>
      <c r="BI1633">
        <v>1</v>
      </c>
      <c r="BJ1633">
        <v>0</v>
      </c>
      <c r="BK1633">
        <v>0</v>
      </c>
      <c r="BL1633">
        <v>0</v>
      </c>
      <c r="BO1633">
        <v>0</v>
      </c>
      <c r="BP1633">
        <v>0</v>
      </c>
      <c r="BW1633" t="str">
        <f t="shared" si="892"/>
        <v>14:53:05.879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285</v>
      </c>
      <c r="CR1633">
        <v>0</v>
      </c>
      <c r="CW1633">
        <v>8855721</v>
      </c>
      <c r="CY1633">
        <v>0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25">
      <c r="A1634" t="str">
        <f t="shared" ref="A1634:A1640" si="893">"06/05/2020 14:53:01.292"</f>
        <v>06/05/2020 14:53:01.292</v>
      </c>
      <c r="C1634" t="str">
        <f t="shared" si="856"/>
        <v>FFDFD3C0</v>
      </c>
      <c r="D1634" t="s">
        <v>151</v>
      </c>
      <c r="E1634">
        <v>8</v>
      </c>
      <c r="H1634">
        <v>225</v>
      </c>
      <c r="I1634" t="s">
        <v>353</v>
      </c>
      <c r="J1634" t="s">
        <v>150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S1640" si="894">"14:53:06.938"</f>
        <v>14:53:06.938</v>
      </c>
      <c r="T1634" t="str">
        <f t="shared" ref="T1634:T1640" si="895">"14:53:06.638"</f>
        <v>14:53:06.638</v>
      </c>
      <c r="U1634" t="str">
        <f t="shared" si="876"/>
        <v>ACC530</v>
      </c>
      <c r="V1634">
        <v>0</v>
      </c>
      <c r="W1634">
        <v>0</v>
      </c>
      <c r="X1634">
        <v>1</v>
      </c>
      <c r="Z1634">
        <v>0</v>
      </c>
      <c r="AA1634">
        <v>9</v>
      </c>
      <c r="AB1634">
        <v>3</v>
      </c>
      <c r="AC1634">
        <v>0</v>
      </c>
      <c r="AD1634">
        <v>9</v>
      </c>
      <c r="AE1634">
        <v>0</v>
      </c>
      <c r="AF1634">
        <v>3</v>
      </c>
      <c r="AG1634">
        <v>1</v>
      </c>
      <c r="AH1634">
        <v>0</v>
      </c>
      <c r="AI1634" t="s">
        <v>636</v>
      </c>
      <c r="AJ1634">
        <v>34.191319999999997</v>
      </c>
      <c r="AK1634" t="s">
        <v>637</v>
      </c>
      <c r="AL1634">
        <v>-116.992786</v>
      </c>
      <c r="AM1634">
        <v>100</v>
      </c>
      <c r="AN1634">
        <v>8600</v>
      </c>
      <c r="AO1634" t="s">
        <v>118</v>
      </c>
      <c r="AP1634">
        <v>-104</v>
      </c>
      <c r="AQ1634">
        <v>-66</v>
      </c>
      <c r="AR1634">
        <v>-640</v>
      </c>
      <c r="AZ1634">
        <v>1200</v>
      </c>
      <c r="BA1634">
        <v>1</v>
      </c>
      <c r="BB1634" t="str">
        <f t="shared" si="877"/>
        <v xml:space="preserve">N9217B  </v>
      </c>
      <c r="BC1634">
        <v>1</v>
      </c>
      <c r="BE1634">
        <v>0</v>
      </c>
      <c r="BF1634">
        <v>0</v>
      </c>
      <c r="BG1634">
        <v>0</v>
      </c>
      <c r="BH1634">
        <v>8625</v>
      </c>
      <c r="BI1634">
        <v>1</v>
      </c>
      <c r="BJ1634">
        <v>0</v>
      </c>
      <c r="BK1634">
        <v>0</v>
      </c>
      <c r="BL1634">
        <v>0</v>
      </c>
      <c r="BO1634">
        <v>0</v>
      </c>
      <c r="BP1634">
        <v>0</v>
      </c>
      <c r="BW1634" t="str">
        <f t="shared" ref="BW1634:BW1640" si="896">"14:53:06.944"</f>
        <v>14:53:06.944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285</v>
      </c>
      <c r="CR1634">
        <v>0</v>
      </c>
      <c r="CW1634">
        <v>8855814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25">
      <c r="A1635" t="str">
        <f t="shared" si="893"/>
        <v>06/05/2020 14:53:01.292</v>
      </c>
      <c r="C1635" t="str">
        <f t="shared" ref="C1635:C1698" si="897">"FFDFD3C0"</f>
        <v>FFDFD3C0</v>
      </c>
      <c r="D1635" t="s">
        <v>134</v>
      </c>
      <c r="E1635">
        <v>7</v>
      </c>
      <c r="F1635">
        <v>2007</v>
      </c>
      <c r="G1635" t="s">
        <v>135</v>
      </c>
      <c r="J1635" t="s">
        <v>136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894"/>
        <v>14:53:06.938</v>
      </c>
      <c r="T1635" t="str">
        <f t="shared" si="895"/>
        <v>14:53:06.638</v>
      </c>
      <c r="U1635" t="str">
        <f t="shared" si="876"/>
        <v>ACC530</v>
      </c>
      <c r="V1635">
        <v>0</v>
      </c>
      <c r="W1635">
        <v>0</v>
      </c>
      <c r="X1635">
        <v>1</v>
      </c>
      <c r="Z1635">
        <v>0</v>
      </c>
      <c r="AA1635">
        <v>9</v>
      </c>
      <c r="AB1635">
        <v>3</v>
      </c>
      <c r="AC1635">
        <v>0</v>
      </c>
      <c r="AD1635">
        <v>9</v>
      </c>
      <c r="AE1635">
        <v>0</v>
      </c>
      <c r="AF1635">
        <v>3</v>
      </c>
      <c r="AG1635">
        <v>1</v>
      </c>
      <c r="AH1635">
        <v>0</v>
      </c>
      <c r="AI1635" t="s">
        <v>636</v>
      </c>
      <c r="AJ1635">
        <v>34.191319999999997</v>
      </c>
      <c r="AK1635" t="s">
        <v>637</v>
      </c>
      <c r="AL1635">
        <v>-116.992786</v>
      </c>
      <c r="AM1635">
        <v>100</v>
      </c>
      <c r="AN1635">
        <v>8600</v>
      </c>
      <c r="AO1635" t="s">
        <v>118</v>
      </c>
      <c r="AP1635">
        <v>-104</v>
      </c>
      <c r="AQ1635">
        <v>-66</v>
      </c>
      <c r="AR1635">
        <v>-640</v>
      </c>
      <c r="AZ1635">
        <v>1200</v>
      </c>
      <c r="BA1635">
        <v>1</v>
      </c>
      <c r="BB1635" t="str">
        <f t="shared" si="877"/>
        <v xml:space="preserve">N9217B  </v>
      </c>
      <c r="BC1635">
        <v>1</v>
      </c>
      <c r="BE1635">
        <v>0</v>
      </c>
      <c r="BF1635">
        <v>0</v>
      </c>
      <c r="BG1635">
        <v>0</v>
      </c>
      <c r="BH1635">
        <v>8625</v>
      </c>
      <c r="BI1635">
        <v>1</v>
      </c>
      <c r="BJ1635">
        <v>0</v>
      </c>
      <c r="BK1635">
        <v>0</v>
      </c>
      <c r="BL1635">
        <v>0</v>
      </c>
      <c r="BO1635">
        <v>0</v>
      </c>
      <c r="BP1635">
        <v>0</v>
      </c>
      <c r="BW1635" t="str">
        <f t="shared" si="896"/>
        <v>14:53:06.944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119</v>
      </c>
      <c r="CQ1635">
        <v>285</v>
      </c>
      <c r="CR1635">
        <v>0</v>
      </c>
      <c r="CW1635">
        <v>8855814</v>
      </c>
      <c r="CY1635">
        <v>0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25">
      <c r="A1636" t="str">
        <f t="shared" si="893"/>
        <v>06/05/2020 14:53:01.292</v>
      </c>
      <c r="C1636" t="str">
        <f t="shared" si="897"/>
        <v>FFDFD3C0</v>
      </c>
      <c r="D1636" t="s">
        <v>113</v>
      </c>
      <c r="E1636">
        <v>3</v>
      </c>
      <c r="H1636">
        <v>166</v>
      </c>
      <c r="I1636" t="s">
        <v>114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894"/>
        <v>14:53:06.938</v>
      </c>
      <c r="T1636" t="str">
        <f t="shared" si="895"/>
        <v>14:53:06.638</v>
      </c>
      <c r="U1636" t="str">
        <f t="shared" si="876"/>
        <v>ACC530</v>
      </c>
      <c r="V1636">
        <v>0</v>
      </c>
      <c r="W1636">
        <v>0</v>
      </c>
      <c r="X1636">
        <v>1</v>
      </c>
      <c r="Z1636">
        <v>0</v>
      </c>
      <c r="AA1636">
        <v>9</v>
      </c>
      <c r="AB1636">
        <v>3</v>
      </c>
      <c r="AC1636">
        <v>0</v>
      </c>
      <c r="AD1636">
        <v>9</v>
      </c>
      <c r="AE1636">
        <v>0</v>
      </c>
      <c r="AF1636">
        <v>3</v>
      </c>
      <c r="AG1636">
        <v>1</v>
      </c>
      <c r="AH1636">
        <v>0</v>
      </c>
      <c r="AI1636" t="s">
        <v>636</v>
      </c>
      <c r="AJ1636">
        <v>34.191319999999997</v>
      </c>
      <c r="AK1636" t="s">
        <v>637</v>
      </c>
      <c r="AL1636">
        <v>-116.992786</v>
      </c>
      <c r="AM1636">
        <v>100</v>
      </c>
      <c r="AN1636">
        <v>8600</v>
      </c>
      <c r="AO1636" t="s">
        <v>118</v>
      </c>
      <c r="AP1636">
        <v>-104</v>
      </c>
      <c r="AQ1636">
        <v>-66</v>
      </c>
      <c r="AR1636">
        <v>-640</v>
      </c>
      <c r="AZ1636">
        <v>1200</v>
      </c>
      <c r="BA1636">
        <v>1</v>
      </c>
      <c r="BB1636" t="str">
        <f t="shared" si="877"/>
        <v xml:space="preserve">N9217B  </v>
      </c>
      <c r="BC1636">
        <v>1</v>
      </c>
      <c r="BE1636">
        <v>0</v>
      </c>
      <c r="BF1636">
        <v>0</v>
      </c>
      <c r="BG1636">
        <v>0</v>
      </c>
      <c r="BH1636">
        <v>8625</v>
      </c>
      <c r="BI1636">
        <v>1</v>
      </c>
      <c r="BJ1636">
        <v>0</v>
      </c>
      <c r="BK1636">
        <v>0</v>
      </c>
      <c r="BL1636">
        <v>0</v>
      </c>
      <c r="BO1636">
        <v>0</v>
      </c>
      <c r="BP1636">
        <v>0</v>
      </c>
      <c r="BW1636" t="str">
        <f t="shared" si="896"/>
        <v>14:53:06.944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285</v>
      </c>
      <c r="CR1636">
        <v>0</v>
      </c>
      <c r="CW1636">
        <v>8855814</v>
      </c>
      <c r="CY1636">
        <v>0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25">
      <c r="A1637" t="str">
        <f t="shared" si="893"/>
        <v>06/05/2020 14:53:01.292</v>
      </c>
      <c r="C1637" t="str">
        <f t="shared" si="897"/>
        <v>FFDFD3C0</v>
      </c>
      <c r="D1637" t="s">
        <v>148</v>
      </c>
      <c r="E1637">
        <v>11</v>
      </c>
      <c r="H1637">
        <v>53</v>
      </c>
      <c r="I1637" t="s">
        <v>364</v>
      </c>
      <c r="J1637" t="s">
        <v>150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894"/>
        <v>14:53:06.938</v>
      </c>
      <c r="T1637" t="str">
        <f t="shared" si="895"/>
        <v>14:53:06.638</v>
      </c>
      <c r="U1637" t="str">
        <f t="shared" si="876"/>
        <v>ACC530</v>
      </c>
      <c r="V1637">
        <v>0</v>
      </c>
      <c r="W1637">
        <v>0</v>
      </c>
      <c r="X1637">
        <v>1</v>
      </c>
      <c r="Z1637">
        <v>0</v>
      </c>
      <c r="AA1637">
        <v>9</v>
      </c>
      <c r="AB1637">
        <v>3</v>
      </c>
      <c r="AC1637">
        <v>0</v>
      </c>
      <c r="AD1637">
        <v>9</v>
      </c>
      <c r="AE1637">
        <v>0</v>
      </c>
      <c r="AF1637">
        <v>3</v>
      </c>
      <c r="AG1637">
        <v>1</v>
      </c>
      <c r="AH1637">
        <v>0</v>
      </c>
      <c r="AI1637" t="s">
        <v>636</v>
      </c>
      <c r="AJ1637">
        <v>34.191319999999997</v>
      </c>
      <c r="AK1637" t="s">
        <v>637</v>
      </c>
      <c r="AL1637">
        <v>-116.992786</v>
      </c>
      <c r="AM1637">
        <v>100</v>
      </c>
      <c r="AN1637">
        <v>8600</v>
      </c>
      <c r="AO1637" t="s">
        <v>118</v>
      </c>
      <c r="AP1637">
        <v>-104</v>
      </c>
      <c r="AQ1637">
        <v>-66</v>
      </c>
      <c r="AR1637">
        <v>-640</v>
      </c>
      <c r="AZ1637">
        <v>1200</v>
      </c>
      <c r="BA1637">
        <v>1</v>
      </c>
      <c r="BB1637" t="str">
        <f t="shared" si="877"/>
        <v xml:space="preserve">N9217B  </v>
      </c>
      <c r="BC1637">
        <v>1</v>
      </c>
      <c r="BE1637">
        <v>0</v>
      </c>
      <c r="BF1637">
        <v>0</v>
      </c>
      <c r="BG1637">
        <v>0</v>
      </c>
      <c r="BH1637">
        <v>8625</v>
      </c>
      <c r="BI1637">
        <v>1</v>
      </c>
      <c r="BJ1637">
        <v>0</v>
      </c>
      <c r="BK1637">
        <v>0</v>
      </c>
      <c r="BL1637">
        <v>0</v>
      </c>
      <c r="BO1637">
        <v>0</v>
      </c>
      <c r="BP1637">
        <v>0</v>
      </c>
      <c r="BW1637" t="str">
        <f t="shared" si="896"/>
        <v>14:53:06.944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285</v>
      </c>
      <c r="CR1637">
        <v>0</v>
      </c>
      <c r="CW1637">
        <v>8855814</v>
      </c>
      <c r="CY1637">
        <v>0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25">
      <c r="A1638" t="str">
        <f t="shared" si="893"/>
        <v>06/05/2020 14:53:01.292</v>
      </c>
      <c r="C1638" t="str">
        <f t="shared" si="897"/>
        <v>FFDFD3C0</v>
      </c>
      <c r="D1638" t="s">
        <v>151</v>
      </c>
      <c r="E1638">
        <v>9</v>
      </c>
      <c r="H1638">
        <v>226</v>
      </c>
      <c r="I1638" t="s">
        <v>152</v>
      </c>
      <c r="J1638" t="s">
        <v>150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894"/>
        <v>14:53:06.938</v>
      </c>
      <c r="T1638" t="str">
        <f t="shared" si="895"/>
        <v>14:53:06.638</v>
      </c>
      <c r="U1638" t="str">
        <f t="shared" si="876"/>
        <v>ACC530</v>
      </c>
      <c r="V1638">
        <v>0</v>
      </c>
      <c r="W1638">
        <v>0</v>
      </c>
      <c r="X1638">
        <v>1</v>
      </c>
      <c r="Z1638">
        <v>0</v>
      </c>
      <c r="AA1638">
        <v>9</v>
      </c>
      <c r="AB1638">
        <v>3</v>
      </c>
      <c r="AC1638">
        <v>0</v>
      </c>
      <c r="AD1638">
        <v>9</v>
      </c>
      <c r="AE1638">
        <v>0</v>
      </c>
      <c r="AF1638">
        <v>3</v>
      </c>
      <c r="AG1638">
        <v>1</v>
      </c>
      <c r="AH1638">
        <v>0</v>
      </c>
      <c r="AI1638" t="s">
        <v>636</v>
      </c>
      <c r="AJ1638">
        <v>34.191319999999997</v>
      </c>
      <c r="AK1638" t="s">
        <v>637</v>
      </c>
      <c r="AL1638">
        <v>-116.992786</v>
      </c>
      <c r="AM1638">
        <v>100</v>
      </c>
      <c r="AN1638">
        <v>8600</v>
      </c>
      <c r="AO1638" t="s">
        <v>118</v>
      </c>
      <c r="AP1638">
        <v>-104</v>
      </c>
      <c r="AQ1638">
        <v>-66</v>
      </c>
      <c r="AR1638">
        <v>-640</v>
      </c>
      <c r="AZ1638">
        <v>1200</v>
      </c>
      <c r="BA1638">
        <v>1</v>
      </c>
      <c r="BB1638" t="str">
        <f t="shared" si="877"/>
        <v xml:space="preserve">N9217B  </v>
      </c>
      <c r="BC1638">
        <v>1</v>
      </c>
      <c r="BE1638">
        <v>0</v>
      </c>
      <c r="BF1638">
        <v>0</v>
      </c>
      <c r="BG1638">
        <v>0</v>
      </c>
      <c r="BH1638">
        <v>8625</v>
      </c>
      <c r="BI1638">
        <v>1</v>
      </c>
      <c r="BJ1638">
        <v>0</v>
      </c>
      <c r="BK1638">
        <v>0</v>
      </c>
      <c r="BL1638">
        <v>0</v>
      </c>
      <c r="BO1638">
        <v>0</v>
      </c>
      <c r="BP1638">
        <v>0</v>
      </c>
      <c r="BW1638" t="str">
        <f t="shared" si="896"/>
        <v>14:53:06.944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119</v>
      </c>
      <c r="CQ1638">
        <v>285</v>
      </c>
      <c r="CR1638">
        <v>0</v>
      </c>
      <c r="CW1638">
        <v>8855814</v>
      </c>
      <c r="CY1638">
        <v>0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25">
      <c r="A1639" t="str">
        <f t="shared" si="893"/>
        <v>06/05/2020 14:53:01.292</v>
      </c>
      <c r="C1639" t="str">
        <f t="shared" si="897"/>
        <v>FFDFD3C0</v>
      </c>
      <c r="D1639" t="s">
        <v>148</v>
      </c>
      <c r="E1639">
        <v>8</v>
      </c>
      <c r="H1639">
        <v>50</v>
      </c>
      <c r="I1639" t="s">
        <v>149</v>
      </c>
      <c r="J1639" t="s">
        <v>150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894"/>
        <v>14:53:06.938</v>
      </c>
      <c r="T1639" t="str">
        <f t="shared" si="895"/>
        <v>14:53:06.638</v>
      </c>
      <c r="U1639" t="str">
        <f t="shared" si="876"/>
        <v>ACC530</v>
      </c>
      <c r="V1639">
        <v>0</v>
      </c>
      <c r="W1639">
        <v>0</v>
      </c>
      <c r="X1639">
        <v>1</v>
      </c>
      <c r="Z1639">
        <v>0</v>
      </c>
      <c r="AA1639">
        <v>9</v>
      </c>
      <c r="AB1639">
        <v>3</v>
      </c>
      <c r="AC1639">
        <v>0</v>
      </c>
      <c r="AD1639">
        <v>9</v>
      </c>
      <c r="AE1639">
        <v>0</v>
      </c>
      <c r="AF1639">
        <v>3</v>
      </c>
      <c r="AG1639">
        <v>1</v>
      </c>
      <c r="AH1639">
        <v>0</v>
      </c>
      <c r="AI1639" t="s">
        <v>636</v>
      </c>
      <c r="AJ1639">
        <v>34.191319999999997</v>
      </c>
      <c r="AK1639" t="s">
        <v>637</v>
      </c>
      <c r="AL1639">
        <v>-116.992786</v>
      </c>
      <c r="AM1639">
        <v>100</v>
      </c>
      <c r="AN1639">
        <v>8600</v>
      </c>
      <c r="AO1639" t="s">
        <v>118</v>
      </c>
      <c r="AP1639">
        <v>-104</v>
      </c>
      <c r="AQ1639">
        <v>-66</v>
      </c>
      <c r="AR1639">
        <v>-640</v>
      </c>
      <c r="AZ1639">
        <v>1200</v>
      </c>
      <c r="BA1639">
        <v>1</v>
      </c>
      <c r="BB1639" t="str">
        <f t="shared" si="877"/>
        <v xml:space="preserve">N9217B  </v>
      </c>
      <c r="BC1639">
        <v>1</v>
      </c>
      <c r="BE1639">
        <v>0</v>
      </c>
      <c r="BF1639">
        <v>0</v>
      </c>
      <c r="BG1639">
        <v>0</v>
      </c>
      <c r="BH1639">
        <v>8625</v>
      </c>
      <c r="BI1639">
        <v>1</v>
      </c>
      <c r="BJ1639">
        <v>0</v>
      </c>
      <c r="BK1639">
        <v>0</v>
      </c>
      <c r="BL1639">
        <v>0</v>
      </c>
      <c r="BO1639">
        <v>0</v>
      </c>
      <c r="BP1639">
        <v>0</v>
      </c>
      <c r="BW1639" t="str">
        <f t="shared" si="896"/>
        <v>14:53:06.944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119</v>
      </c>
      <c r="CQ1639">
        <v>285</v>
      </c>
      <c r="CR1639">
        <v>0</v>
      </c>
      <c r="CW1639">
        <v>8855814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25">
      <c r="A1640" t="str">
        <f t="shared" si="893"/>
        <v>06/05/2020 14:53:01.292</v>
      </c>
      <c r="C1640" t="str">
        <f t="shared" si="897"/>
        <v>FFDFD3C0</v>
      </c>
      <c r="D1640" t="s">
        <v>141</v>
      </c>
      <c r="E1640">
        <v>20</v>
      </c>
      <c r="F1640">
        <v>1020</v>
      </c>
      <c r="G1640" t="s">
        <v>114</v>
      </c>
      <c r="J1640" t="s">
        <v>142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894"/>
        <v>14:53:06.938</v>
      </c>
      <c r="T1640" t="str">
        <f t="shared" si="895"/>
        <v>14:53:06.638</v>
      </c>
      <c r="U1640" t="str">
        <f t="shared" si="876"/>
        <v>ACC530</v>
      </c>
      <c r="V1640">
        <v>0</v>
      </c>
      <c r="W1640">
        <v>0</v>
      </c>
      <c r="X1640">
        <v>1</v>
      </c>
      <c r="Z1640">
        <v>0</v>
      </c>
      <c r="AA1640">
        <v>9</v>
      </c>
      <c r="AB1640">
        <v>3</v>
      </c>
      <c r="AC1640">
        <v>0</v>
      </c>
      <c r="AD1640">
        <v>9</v>
      </c>
      <c r="AE1640">
        <v>0</v>
      </c>
      <c r="AF1640">
        <v>3</v>
      </c>
      <c r="AG1640">
        <v>1</v>
      </c>
      <c r="AH1640">
        <v>0</v>
      </c>
      <c r="AI1640" t="s">
        <v>636</v>
      </c>
      <c r="AJ1640">
        <v>34.191319999999997</v>
      </c>
      <c r="AK1640" t="s">
        <v>637</v>
      </c>
      <c r="AL1640">
        <v>-116.992786</v>
      </c>
      <c r="AM1640">
        <v>100</v>
      </c>
      <c r="AN1640">
        <v>8600</v>
      </c>
      <c r="AO1640" t="s">
        <v>118</v>
      </c>
      <c r="AP1640">
        <v>-104</v>
      </c>
      <c r="AQ1640">
        <v>-66</v>
      </c>
      <c r="AR1640">
        <v>-640</v>
      </c>
      <c r="AZ1640">
        <v>1200</v>
      </c>
      <c r="BA1640">
        <v>1</v>
      </c>
      <c r="BB1640" t="str">
        <f t="shared" si="877"/>
        <v xml:space="preserve">N9217B  </v>
      </c>
      <c r="BC1640">
        <v>1</v>
      </c>
      <c r="BE1640">
        <v>0</v>
      </c>
      <c r="BF1640">
        <v>0</v>
      </c>
      <c r="BG1640">
        <v>0</v>
      </c>
      <c r="BH1640">
        <v>8625</v>
      </c>
      <c r="BI1640">
        <v>1</v>
      </c>
      <c r="BJ1640">
        <v>0</v>
      </c>
      <c r="BK1640">
        <v>0</v>
      </c>
      <c r="BL1640">
        <v>0</v>
      </c>
      <c r="BO1640">
        <v>0</v>
      </c>
      <c r="BP1640">
        <v>0</v>
      </c>
      <c r="BW1640" t="str">
        <f t="shared" si="896"/>
        <v>14:53:06.944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285</v>
      </c>
      <c r="CR1640">
        <v>0</v>
      </c>
      <c r="CW1640">
        <v>8855814</v>
      </c>
      <c r="CY1640">
        <v>0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25">
      <c r="A1641" t="str">
        <f t="shared" ref="A1641:A1647" si="898">"06/05/2020 14:53:02.376"</f>
        <v>06/05/2020 14:53:02.376</v>
      </c>
      <c r="C1641" t="str">
        <f t="shared" si="897"/>
        <v>FFDFD3C0</v>
      </c>
      <c r="D1641" t="s">
        <v>141</v>
      </c>
      <c r="E1641">
        <v>20</v>
      </c>
      <c r="F1641">
        <v>1020</v>
      </c>
      <c r="G1641" t="s">
        <v>114</v>
      </c>
      <c r="J1641" t="s">
        <v>142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ref="S1641:S1647" si="899">"14:53:08.023"</f>
        <v>14:53:08.023</v>
      </c>
      <c r="T1641" t="str">
        <f t="shared" ref="T1641:T1647" si="900">"14:53:07.823"</f>
        <v>14:53:07.823</v>
      </c>
      <c r="U1641" t="str">
        <f t="shared" si="876"/>
        <v>ACC530</v>
      </c>
      <c r="V1641">
        <v>0</v>
      </c>
      <c r="W1641">
        <v>0</v>
      </c>
      <c r="X1641">
        <v>1</v>
      </c>
      <c r="Z1641">
        <v>0</v>
      </c>
      <c r="AA1641">
        <v>9</v>
      </c>
      <c r="AB1641">
        <v>3</v>
      </c>
      <c r="AC1641">
        <v>0</v>
      </c>
      <c r="AD1641">
        <v>9</v>
      </c>
      <c r="AE1641">
        <v>0</v>
      </c>
      <c r="AF1641">
        <v>3</v>
      </c>
      <c r="AG1641">
        <v>1</v>
      </c>
      <c r="AH1641">
        <v>0</v>
      </c>
      <c r="AI1641" t="s">
        <v>638</v>
      </c>
      <c r="AJ1641">
        <v>34.191020000000002</v>
      </c>
      <c r="AK1641" t="s">
        <v>639</v>
      </c>
      <c r="AL1641">
        <v>-116.99347299999999</v>
      </c>
      <c r="AM1641">
        <v>100</v>
      </c>
      <c r="AN1641">
        <v>8600</v>
      </c>
      <c r="AO1641" t="s">
        <v>118</v>
      </c>
      <c r="AP1641">
        <v>-104</v>
      </c>
      <c r="AQ1641">
        <v>-66</v>
      </c>
      <c r="AR1641">
        <v>-576</v>
      </c>
      <c r="AZ1641">
        <v>1200</v>
      </c>
      <c r="BA1641">
        <v>1</v>
      </c>
      <c r="BB1641" t="str">
        <f t="shared" si="877"/>
        <v xml:space="preserve">N9217B  </v>
      </c>
      <c r="BC1641">
        <v>1</v>
      </c>
      <c r="BE1641">
        <v>0</v>
      </c>
      <c r="BF1641">
        <v>0</v>
      </c>
      <c r="BG1641">
        <v>0</v>
      </c>
      <c r="BH1641">
        <v>8600</v>
      </c>
      <c r="BI1641">
        <v>1</v>
      </c>
      <c r="BJ1641">
        <v>0</v>
      </c>
      <c r="BK1641">
        <v>0</v>
      </c>
      <c r="BL1641">
        <v>0</v>
      </c>
      <c r="BO1641">
        <v>0</v>
      </c>
      <c r="BP1641">
        <v>0</v>
      </c>
      <c r="BW1641" t="str">
        <f t="shared" ref="BW1641:BW1647" si="901">"14:53:08.024"</f>
        <v>14:53:08.024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6</v>
      </c>
      <c r="CP1641" t="s">
        <v>119</v>
      </c>
      <c r="CQ1641">
        <v>285</v>
      </c>
      <c r="CR1641">
        <v>0</v>
      </c>
      <c r="CW1641">
        <v>8855908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25">
      <c r="A1642" t="str">
        <f t="shared" si="898"/>
        <v>06/05/2020 14:53:02.376</v>
      </c>
      <c r="C1642" t="str">
        <f t="shared" si="897"/>
        <v>FFDFD3C0</v>
      </c>
      <c r="D1642" t="s">
        <v>151</v>
      </c>
      <c r="E1642">
        <v>8</v>
      </c>
      <c r="H1642">
        <v>225</v>
      </c>
      <c r="I1642" t="s">
        <v>353</v>
      </c>
      <c r="J1642" t="s">
        <v>150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899"/>
        <v>14:53:08.023</v>
      </c>
      <c r="T1642" t="str">
        <f t="shared" si="900"/>
        <v>14:53:07.823</v>
      </c>
      <c r="U1642" t="str">
        <f t="shared" si="876"/>
        <v>ACC530</v>
      </c>
      <c r="V1642">
        <v>0</v>
      </c>
      <c r="W1642">
        <v>0</v>
      </c>
      <c r="X1642">
        <v>1</v>
      </c>
      <c r="Z1642">
        <v>0</v>
      </c>
      <c r="AA1642">
        <v>9</v>
      </c>
      <c r="AB1642">
        <v>3</v>
      </c>
      <c r="AC1642">
        <v>0</v>
      </c>
      <c r="AD1642">
        <v>9</v>
      </c>
      <c r="AE1642">
        <v>0</v>
      </c>
      <c r="AF1642">
        <v>3</v>
      </c>
      <c r="AG1642">
        <v>1</v>
      </c>
      <c r="AH1642">
        <v>0</v>
      </c>
      <c r="AI1642" t="s">
        <v>638</v>
      </c>
      <c r="AJ1642">
        <v>34.191020000000002</v>
      </c>
      <c r="AK1642" t="s">
        <v>639</v>
      </c>
      <c r="AL1642">
        <v>-116.99347299999999</v>
      </c>
      <c r="AM1642">
        <v>100</v>
      </c>
      <c r="AN1642">
        <v>8600</v>
      </c>
      <c r="AO1642" t="s">
        <v>118</v>
      </c>
      <c r="AP1642">
        <v>-104</v>
      </c>
      <c r="AQ1642">
        <v>-66</v>
      </c>
      <c r="AR1642">
        <v>-576</v>
      </c>
      <c r="AZ1642">
        <v>1200</v>
      </c>
      <c r="BA1642">
        <v>1</v>
      </c>
      <c r="BB1642" t="str">
        <f t="shared" si="877"/>
        <v xml:space="preserve">N9217B  </v>
      </c>
      <c r="BC1642">
        <v>1</v>
      </c>
      <c r="BE1642">
        <v>0</v>
      </c>
      <c r="BF1642">
        <v>0</v>
      </c>
      <c r="BG1642">
        <v>0</v>
      </c>
      <c r="BH1642">
        <v>8600</v>
      </c>
      <c r="BI1642">
        <v>1</v>
      </c>
      <c r="BJ1642">
        <v>0</v>
      </c>
      <c r="BK1642">
        <v>0</v>
      </c>
      <c r="BL1642">
        <v>0</v>
      </c>
      <c r="BO1642">
        <v>0</v>
      </c>
      <c r="BP1642">
        <v>0</v>
      </c>
      <c r="BW1642" t="str">
        <f t="shared" si="901"/>
        <v>14:53:08.024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285</v>
      </c>
      <c r="CR1642">
        <v>0</v>
      </c>
      <c r="CW1642">
        <v>8855908</v>
      </c>
      <c r="CY1642">
        <v>0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25">
      <c r="A1643" t="str">
        <f t="shared" si="898"/>
        <v>06/05/2020 14:53:02.376</v>
      </c>
      <c r="C1643" t="str">
        <f t="shared" si="897"/>
        <v>FFDFD3C0</v>
      </c>
      <c r="D1643" t="s">
        <v>134</v>
      </c>
      <c r="E1643">
        <v>7</v>
      </c>
      <c r="F1643">
        <v>2007</v>
      </c>
      <c r="G1643" t="s">
        <v>135</v>
      </c>
      <c r="J1643" t="s">
        <v>136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899"/>
        <v>14:53:08.023</v>
      </c>
      <c r="T1643" t="str">
        <f t="shared" si="900"/>
        <v>14:53:07.823</v>
      </c>
      <c r="U1643" t="str">
        <f t="shared" si="876"/>
        <v>ACC530</v>
      </c>
      <c r="V1643">
        <v>0</v>
      </c>
      <c r="W1643">
        <v>0</v>
      </c>
      <c r="X1643">
        <v>1</v>
      </c>
      <c r="Z1643">
        <v>0</v>
      </c>
      <c r="AA1643">
        <v>9</v>
      </c>
      <c r="AB1643">
        <v>3</v>
      </c>
      <c r="AC1643">
        <v>0</v>
      </c>
      <c r="AD1643">
        <v>9</v>
      </c>
      <c r="AE1643">
        <v>0</v>
      </c>
      <c r="AF1643">
        <v>3</v>
      </c>
      <c r="AG1643">
        <v>1</v>
      </c>
      <c r="AH1643">
        <v>0</v>
      </c>
      <c r="AI1643" t="s">
        <v>638</v>
      </c>
      <c r="AJ1643">
        <v>34.191020000000002</v>
      </c>
      <c r="AK1643" t="s">
        <v>639</v>
      </c>
      <c r="AL1643">
        <v>-116.99347299999999</v>
      </c>
      <c r="AM1643">
        <v>100</v>
      </c>
      <c r="AN1643">
        <v>8600</v>
      </c>
      <c r="AO1643" t="s">
        <v>118</v>
      </c>
      <c r="AP1643">
        <v>-104</v>
      </c>
      <c r="AQ1643">
        <v>-66</v>
      </c>
      <c r="AR1643">
        <v>-576</v>
      </c>
      <c r="AZ1643">
        <v>1200</v>
      </c>
      <c r="BA1643">
        <v>1</v>
      </c>
      <c r="BB1643" t="str">
        <f t="shared" si="877"/>
        <v xml:space="preserve">N9217B  </v>
      </c>
      <c r="BC1643">
        <v>1</v>
      </c>
      <c r="BE1643">
        <v>0</v>
      </c>
      <c r="BF1643">
        <v>0</v>
      </c>
      <c r="BG1643">
        <v>0</v>
      </c>
      <c r="BH1643">
        <v>8600</v>
      </c>
      <c r="BI1643">
        <v>1</v>
      </c>
      <c r="BJ1643">
        <v>0</v>
      </c>
      <c r="BK1643">
        <v>0</v>
      </c>
      <c r="BL1643">
        <v>0</v>
      </c>
      <c r="BO1643">
        <v>0</v>
      </c>
      <c r="BP1643">
        <v>0</v>
      </c>
      <c r="BW1643" t="str">
        <f t="shared" si="901"/>
        <v>14:53:08.024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119</v>
      </c>
      <c r="CQ1643">
        <v>285</v>
      </c>
      <c r="CR1643">
        <v>0</v>
      </c>
      <c r="CW1643">
        <v>8855908</v>
      </c>
      <c r="CY1643">
        <v>0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25">
      <c r="A1644" t="str">
        <f t="shared" si="898"/>
        <v>06/05/2020 14:53:02.376</v>
      </c>
      <c r="C1644" t="str">
        <f t="shared" si="897"/>
        <v>FFDFD3C0</v>
      </c>
      <c r="D1644" t="s">
        <v>113</v>
      </c>
      <c r="E1644">
        <v>3</v>
      </c>
      <c r="H1644">
        <v>166</v>
      </c>
      <c r="I1644" t="s">
        <v>114</v>
      </c>
      <c r="J1644" t="s">
        <v>115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899"/>
        <v>14:53:08.023</v>
      </c>
      <c r="T1644" t="str">
        <f t="shared" si="900"/>
        <v>14:53:07.823</v>
      </c>
      <c r="U1644" t="str">
        <f t="shared" si="876"/>
        <v>ACC530</v>
      </c>
      <c r="V1644">
        <v>0</v>
      </c>
      <c r="W1644">
        <v>0</v>
      </c>
      <c r="X1644">
        <v>1</v>
      </c>
      <c r="Z1644">
        <v>0</v>
      </c>
      <c r="AA1644">
        <v>9</v>
      </c>
      <c r="AB1644">
        <v>3</v>
      </c>
      <c r="AC1644">
        <v>0</v>
      </c>
      <c r="AD1644">
        <v>9</v>
      </c>
      <c r="AE1644">
        <v>0</v>
      </c>
      <c r="AF1644">
        <v>3</v>
      </c>
      <c r="AG1644">
        <v>1</v>
      </c>
      <c r="AH1644">
        <v>0</v>
      </c>
      <c r="AI1644" t="s">
        <v>638</v>
      </c>
      <c r="AJ1644">
        <v>34.191020000000002</v>
      </c>
      <c r="AK1644" t="s">
        <v>639</v>
      </c>
      <c r="AL1644">
        <v>-116.99347299999999</v>
      </c>
      <c r="AM1644">
        <v>100</v>
      </c>
      <c r="AN1644">
        <v>8600</v>
      </c>
      <c r="AO1644" t="s">
        <v>118</v>
      </c>
      <c r="AP1644">
        <v>-104</v>
      </c>
      <c r="AQ1644">
        <v>-66</v>
      </c>
      <c r="AR1644">
        <v>-576</v>
      </c>
      <c r="AZ1644">
        <v>1200</v>
      </c>
      <c r="BA1644">
        <v>1</v>
      </c>
      <c r="BB1644" t="str">
        <f t="shared" si="877"/>
        <v xml:space="preserve">N9217B  </v>
      </c>
      <c r="BC1644">
        <v>1</v>
      </c>
      <c r="BE1644">
        <v>0</v>
      </c>
      <c r="BF1644">
        <v>0</v>
      </c>
      <c r="BG1644">
        <v>0</v>
      </c>
      <c r="BH1644">
        <v>8600</v>
      </c>
      <c r="BI1644">
        <v>1</v>
      </c>
      <c r="BJ1644">
        <v>0</v>
      </c>
      <c r="BK1644">
        <v>0</v>
      </c>
      <c r="BL1644">
        <v>0</v>
      </c>
      <c r="BO1644">
        <v>0</v>
      </c>
      <c r="BP1644">
        <v>0</v>
      </c>
      <c r="BW1644" t="str">
        <f t="shared" si="901"/>
        <v>14:53:08.024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119</v>
      </c>
      <c r="CQ1644">
        <v>285</v>
      </c>
      <c r="CR1644">
        <v>0</v>
      </c>
      <c r="CW1644">
        <v>8855908</v>
      </c>
      <c r="CY1644">
        <v>0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25">
      <c r="A1645" t="str">
        <f t="shared" si="898"/>
        <v>06/05/2020 14:53:02.376</v>
      </c>
      <c r="C1645" t="str">
        <f t="shared" si="897"/>
        <v>FFDFD3C0</v>
      </c>
      <c r="D1645" t="s">
        <v>148</v>
      </c>
      <c r="E1645">
        <v>11</v>
      </c>
      <c r="H1645">
        <v>53</v>
      </c>
      <c r="I1645" t="s">
        <v>364</v>
      </c>
      <c r="J1645" t="s">
        <v>150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899"/>
        <v>14:53:08.023</v>
      </c>
      <c r="T1645" t="str">
        <f t="shared" si="900"/>
        <v>14:53:07.823</v>
      </c>
      <c r="U1645" t="str">
        <f t="shared" si="876"/>
        <v>ACC530</v>
      </c>
      <c r="V1645">
        <v>0</v>
      </c>
      <c r="W1645">
        <v>0</v>
      </c>
      <c r="X1645">
        <v>1</v>
      </c>
      <c r="Z1645">
        <v>0</v>
      </c>
      <c r="AA1645">
        <v>9</v>
      </c>
      <c r="AB1645">
        <v>3</v>
      </c>
      <c r="AC1645">
        <v>0</v>
      </c>
      <c r="AD1645">
        <v>9</v>
      </c>
      <c r="AE1645">
        <v>0</v>
      </c>
      <c r="AF1645">
        <v>3</v>
      </c>
      <c r="AG1645">
        <v>1</v>
      </c>
      <c r="AH1645">
        <v>0</v>
      </c>
      <c r="AI1645" t="s">
        <v>638</v>
      </c>
      <c r="AJ1645">
        <v>34.191020000000002</v>
      </c>
      <c r="AK1645" t="s">
        <v>639</v>
      </c>
      <c r="AL1645">
        <v>-116.99347299999999</v>
      </c>
      <c r="AM1645">
        <v>100</v>
      </c>
      <c r="AN1645">
        <v>8600</v>
      </c>
      <c r="AO1645" t="s">
        <v>118</v>
      </c>
      <c r="AP1645">
        <v>-104</v>
      </c>
      <c r="AQ1645">
        <v>-66</v>
      </c>
      <c r="AR1645">
        <v>-576</v>
      </c>
      <c r="AZ1645">
        <v>1200</v>
      </c>
      <c r="BA1645">
        <v>1</v>
      </c>
      <c r="BB1645" t="str">
        <f t="shared" si="877"/>
        <v xml:space="preserve">N9217B  </v>
      </c>
      <c r="BC1645">
        <v>1</v>
      </c>
      <c r="BE1645">
        <v>0</v>
      </c>
      <c r="BF1645">
        <v>0</v>
      </c>
      <c r="BG1645">
        <v>0</v>
      </c>
      <c r="BH1645">
        <v>8600</v>
      </c>
      <c r="BI1645">
        <v>1</v>
      </c>
      <c r="BJ1645">
        <v>0</v>
      </c>
      <c r="BK1645">
        <v>0</v>
      </c>
      <c r="BL1645">
        <v>0</v>
      </c>
      <c r="BO1645">
        <v>0</v>
      </c>
      <c r="BP1645">
        <v>0</v>
      </c>
      <c r="BW1645" t="str">
        <f t="shared" si="901"/>
        <v>14:53:08.024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6</v>
      </c>
      <c r="CP1645" t="s">
        <v>119</v>
      </c>
      <c r="CQ1645">
        <v>285</v>
      </c>
      <c r="CR1645">
        <v>0</v>
      </c>
      <c r="CW1645">
        <v>8855908</v>
      </c>
      <c r="CY1645">
        <v>0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25">
      <c r="A1646" t="str">
        <f t="shared" si="898"/>
        <v>06/05/2020 14:53:02.376</v>
      </c>
      <c r="C1646" t="str">
        <f t="shared" si="897"/>
        <v>FFDFD3C0</v>
      </c>
      <c r="D1646" t="s">
        <v>151</v>
      </c>
      <c r="E1646">
        <v>9</v>
      </c>
      <c r="H1646">
        <v>226</v>
      </c>
      <c r="I1646" t="s">
        <v>152</v>
      </c>
      <c r="J1646" t="s">
        <v>150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899"/>
        <v>14:53:08.023</v>
      </c>
      <c r="T1646" t="str">
        <f t="shared" si="900"/>
        <v>14:53:07.823</v>
      </c>
      <c r="U1646" t="str">
        <f t="shared" si="876"/>
        <v>ACC530</v>
      </c>
      <c r="V1646">
        <v>0</v>
      </c>
      <c r="W1646">
        <v>0</v>
      </c>
      <c r="X1646">
        <v>1</v>
      </c>
      <c r="Z1646">
        <v>0</v>
      </c>
      <c r="AA1646">
        <v>9</v>
      </c>
      <c r="AB1646">
        <v>3</v>
      </c>
      <c r="AC1646">
        <v>0</v>
      </c>
      <c r="AD1646">
        <v>9</v>
      </c>
      <c r="AE1646">
        <v>0</v>
      </c>
      <c r="AF1646">
        <v>3</v>
      </c>
      <c r="AG1646">
        <v>1</v>
      </c>
      <c r="AH1646">
        <v>0</v>
      </c>
      <c r="AI1646" t="s">
        <v>638</v>
      </c>
      <c r="AJ1646">
        <v>34.191020000000002</v>
      </c>
      <c r="AK1646" t="s">
        <v>639</v>
      </c>
      <c r="AL1646">
        <v>-116.99347299999999</v>
      </c>
      <c r="AM1646">
        <v>100</v>
      </c>
      <c r="AN1646">
        <v>8600</v>
      </c>
      <c r="AO1646" t="s">
        <v>118</v>
      </c>
      <c r="AP1646">
        <v>-104</v>
      </c>
      <c r="AQ1646">
        <v>-66</v>
      </c>
      <c r="AR1646">
        <v>-576</v>
      </c>
      <c r="AZ1646">
        <v>1200</v>
      </c>
      <c r="BA1646">
        <v>1</v>
      </c>
      <c r="BB1646" t="str">
        <f t="shared" si="877"/>
        <v xml:space="preserve">N9217B  </v>
      </c>
      <c r="BC1646">
        <v>1</v>
      </c>
      <c r="BE1646">
        <v>0</v>
      </c>
      <c r="BF1646">
        <v>0</v>
      </c>
      <c r="BG1646">
        <v>0</v>
      </c>
      <c r="BH1646">
        <v>8600</v>
      </c>
      <c r="BI1646">
        <v>1</v>
      </c>
      <c r="BJ1646">
        <v>0</v>
      </c>
      <c r="BK1646">
        <v>0</v>
      </c>
      <c r="BL1646">
        <v>0</v>
      </c>
      <c r="BO1646">
        <v>0</v>
      </c>
      <c r="BP1646">
        <v>0</v>
      </c>
      <c r="BW1646" t="str">
        <f t="shared" si="901"/>
        <v>14:53:08.024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285</v>
      </c>
      <c r="CR1646">
        <v>0</v>
      </c>
      <c r="CW1646">
        <v>8855908</v>
      </c>
      <c r="CY1646">
        <v>0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25">
      <c r="A1647" t="str">
        <f t="shared" si="898"/>
        <v>06/05/2020 14:53:02.376</v>
      </c>
      <c r="C1647" t="str">
        <f t="shared" si="897"/>
        <v>FFDFD3C0</v>
      </c>
      <c r="D1647" t="s">
        <v>148</v>
      </c>
      <c r="E1647">
        <v>8</v>
      </c>
      <c r="H1647">
        <v>50</v>
      </c>
      <c r="I1647" t="s">
        <v>149</v>
      </c>
      <c r="J1647" t="s">
        <v>150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899"/>
        <v>14:53:08.023</v>
      </c>
      <c r="T1647" t="str">
        <f t="shared" si="900"/>
        <v>14:53:07.823</v>
      </c>
      <c r="U1647" t="str">
        <f t="shared" si="876"/>
        <v>ACC530</v>
      </c>
      <c r="V1647">
        <v>0</v>
      </c>
      <c r="W1647">
        <v>0</v>
      </c>
      <c r="X1647">
        <v>1</v>
      </c>
      <c r="Z1647">
        <v>0</v>
      </c>
      <c r="AA1647">
        <v>9</v>
      </c>
      <c r="AB1647">
        <v>3</v>
      </c>
      <c r="AC1647">
        <v>0</v>
      </c>
      <c r="AD1647">
        <v>9</v>
      </c>
      <c r="AE1647">
        <v>0</v>
      </c>
      <c r="AF1647">
        <v>3</v>
      </c>
      <c r="AG1647">
        <v>1</v>
      </c>
      <c r="AH1647">
        <v>0</v>
      </c>
      <c r="AI1647" t="s">
        <v>638</v>
      </c>
      <c r="AJ1647">
        <v>34.191020000000002</v>
      </c>
      <c r="AK1647" t="s">
        <v>639</v>
      </c>
      <c r="AL1647">
        <v>-116.99347299999999</v>
      </c>
      <c r="AM1647">
        <v>100</v>
      </c>
      <c r="AN1647">
        <v>8600</v>
      </c>
      <c r="AO1647" t="s">
        <v>118</v>
      </c>
      <c r="AP1647">
        <v>-104</v>
      </c>
      <c r="AQ1647">
        <v>-66</v>
      </c>
      <c r="AR1647">
        <v>-576</v>
      </c>
      <c r="AZ1647">
        <v>1200</v>
      </c>
      <c r="BA1647">
        <v>1</v>
      </c>
      <c r="BB1647" t="str">
        <f t="shared" si="877"/>
        <v xml:space="preserve">N9217B  </v>
      </c>
      <c r="BC1647">
        <v>1</v>
      </c>
      <c r="BE1647">
        <v>0</v>
      </c>
      <c r="BF1647">
        <v>0</v>
      </c>
      <c r="BG1647">
        <v>0</v>
      </c>
      <c r="BH1647">
        <v>8600</v>
      </c>
      <c r="BI1647">
        <v>1</v>
      </c>
      <c r="BJ1647">
        <v>0</v>
      </c>
      <c r="BK1647">
        <v>0</v>
      </c>
      <c r="BL1647">
        <v>0</v>
      </c>
      <c r="BO1647">
        <v>0</v>
      </c>
      <c r="BP1647">
        <v>0</v>
      </c>
      <c r="BW1647" t="str">
        <f t="shared" si="901"/>
        <v>14:53:08.024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285</v>
      </c>
      <c r="CR1647">
        <v>0</v>
      </c>
      <c r="CW1647">
        <v>8855908</v>
      </c>
      <c r="CY1647">
        <v>0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25">
      <c r="A1648" t="str">
        <f t="shared" ref="A1648:A1654" si="902">"06/05/2020 14:53:03.510"</f>
        <v>06/05/2020 14:53:03.510</v>
      </c>
      <c r="C1648" t="str">
        <f t="shared" si="897"/>
        <v>FFDFD3C0</v>
      </c>
      <c r="D1648" t="s">
        <v>134</v>
      </c>
      <c r="E1648">
        <v>7</v>
      </c>
      <c r="F1648">
        <v>2007</v>
      </c>
      <c r="G1648" t="s">
        <v>135</v>
      </c>
      <c r="J1648" t="s">
        <v>136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ref="S1648:T1654" si="903">"14:53:09.156"</f>
        <v>14:53:09.156</v>
      </c>
      <c r="T1648" t="str">
        <f t="shared" si="903"/>
        <v>14:53:09.156</v>
      </c>
      <c r="U1648" t="str">
        <f t="shared" si="876"/>
        <v>ACC530</v>
      </c>
      <c r="V1648">
        <v>0</v>
      </c>
      <c r="W1648">
        <v>0</v>
      </c>
      <c r="X1648">
        <v>1</v>
      </c>
      <c r="Z1648">
        <v>0</v>
      </c>
      <c r="AA1648">
        <v>9</v>
      </c>
      <c r="AB1648">
        <v>3</v>
      </c>
      <c r="AC1648">
        <v>0</v>
      </c>
      <c r="AD1648">
        <v>9</v>
      </c>
      <c r="AE1648">
        <v>0</v>
      </c>
      <c r="AF1648">
        <v>3</v>
      </c>
      <c r="AG1648">
        <v>1</v>
      </c>
      <c r="AH1648">
        <v>0</v>
      </c>
      <c r="AI1648" t="s">
        <v>640</v>
      </c>
      <c r="AJ1648">
        <v>34.190632999999998</v>
      </c>
      <c r="AK1648" t="s">
        <v>641</v>
      </c>
      <c r="AL1648">
        <v>-116.994073</v>
      </c>
      <c r="AM1648">
        <v>100</v>
      </c>
      <c r="AN1648">
        <v>8600</v>
      </c>
      <c r="AO1648" t="s">
        <v>118</v>
      </c>
      <c r="AP1648">
        <v>-103</v>
      </c>
      <c r="AQ1648">
        <v>-66</v>
      </c>
      <c r="AR1648">
        <v>-512</v>
      </c>
      <c r="AZ1648">
        <v>1200</v>
      </c>
      <c r="BA1648">
        <v>1</v>
      </c>
      <c r="BB1648" t="str">
        <f t="shared" si="877"/>
        <v xml:space="preserve">N9217B  </v>
      </c>
      <c r="BC1648">
        <v>1</v>
      </c>
      <c r="BE1648">
        <v>0</v>
      </c>
      <c r="BF1648">
        <v>0</v>
      </c>
      <c r="BG1648">
        <v>0</v>
      </c>
      <c r="BH1648">
        <v>8600</v>
      </c>
      <c r="BI1648">
        <v>1</v>
      </c>
      <c r="BJ1648">
        <v>0</v>
      </c>
      <c r="BK1648">
        <v>0</v>
      </c>
      <c r="BL1648">
        <v>0</v>
      </c>
      <c r="BO1648">
        <v>0</v>
      </c>
      <c r="BP1648">
        <v>0</v>
      </c>
      <c r="BW1648" t="str">
        <f t="shared" ref="BW1648:BW1654" si="904">"14:53:09.164"</f>
        <v>14:53:09.164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285</v>
      </c>
      <c r="CR1648">
        <v>0</v>
      </c>
      <c r="CW1648">
        <v>8856009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25">
      <c r="A1649" t="str">
        <f t="shared" si="902"/>
        <v>06/05/2020 14:53:03.510</v>
      </c>
      <c r="C1649" t="str">
        <f t="shared" si="897"/>
        <v>FFDFD3C0</v>
      </c>
      <c r="D1649" t="s">
        <v>113</v>
      </c>
      <c r="E1649">
        <v>3</v>
      </c>
      <c r="H1649">
        <v>166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903"/>
        <v>14:53:09.156</v>
      </c>
      <c r="T1649" t="str">
        <f t="shared" si="903"/>
        <v>14:53:09.156</v>
      </c>
      <c r="U1649" t="str">
        <f t="shared" si="876"/>
        <v>ACC530</v>
      </c>
      <c r="V1649">
        <v>0</v>
      </c>
      <c r="W1649">
        <v>0</v>
      </c>
      <c r="X1649">
        <v>1</v>
      </c>
      <c r="Z1649">
        <v>0</v>
      </c>
      <c r="AA1649">
        <v>9</v>
      </c>
      <c r="AB1649">
        <v>3</v>
      </c>
      <c r="AC1649">
        <v>0</v>
      </c>
      <c r="AD1649">
        <v>9</v>
      </c>
      <c r="AE1649">
        <v>0</v>
      </c>
      <c r="AF1649">
        <v>3</v>
      </c>
      <c r="AG1649">
        <v>1</v>
      </c>
      <c r="AH1649">
        <v>0</v>
      </c>
      <c r="AI1649" t="s">
        <v>640</v>
      </c>
      <c r="AJ1649">
        <v>34.190632999999998</v>
      </c>
      <c r="AK1649" t="s">
        <v>641</v>
      </c>
      <c r="AL1649">
        <v>-116.994073</v>
      </c>
      <c r="AM1649">
        <v>100</v>
      </c>
      <c r="AN1649">
        <v>8600</v>
      </c>
      <c r="AO1649" t="s">
        <v>118</v>
      </c>
      <c r="AP1649">
        <v>-103</v>
      </c>
      <c r="AQ1649">
        <v>-66</v>
      </c>
      <c r="AR1649">
        <v>-512</v>
      </c>
      <c r="AZ1649">
        <v>1200</v>
      </c>
      <c r="BA1649">
        <v>1</v>
      </c>
      <c r="BB1649" t="str">
        <f t="shared" si="877"/>
        <v xml:space="preserve">N9217B  </v>
      </c>
      <c r="BC1649">
        <v>1</v>
      </c>
      <c r="BE1649">
        <v>0</v>
      </c>
      <c r="BF1649">
        <v>0</v>
      </c>
      <c r="BG1649">
        <v>0</v>
      </c>
      <c r="BH1649">
        <v>8600</v>
      </c>
      <c r="BI1649">
        <v>1</v>
      </c>
      <c r="BJ1649">
        <v>0</v>
      </c>
      <c r="BK1649">
        <v>0</v>
      </c>
      <c r="BL1649">
        <v>0</v>
      </c>
      <c r="BO1649">
        <v>0</v>
      </c>
      <c r="BP1649">
        <v>0</v>
      </c>
      <c r="BW1649" t="str">
        <f t="shared" si="904"/>
        <v>14:53:09.164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285</v>
      </c>
      <c r="CR1649">
        <v>0</v>
      </c>
      <c r="CW1649">
        <v>8856009</v>
      </c>
      <c r="CY1649">
        <v>0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25">
      <c r="A1650" t="str">
        <f t="shared" si="902"/>
        <v>06/05/2020 14:53:03.510</v>
      </c>
      <c r="C1650" t="str">
        <f t="shared" si="897"/>
        <v>FFDFD3C0</v>
      </c>
      <c r="D1650" t="s">
        <v>151</v>
      </c>
      <c r="E1650">
        <v>8</v>
      </c>
      <c r="H1650">
        <v>225</v>
      </c>
      <c r="I1650" t="s">
        <v>353</v>
      </c>
      <c r="J1650" t="s">
        <v>150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903"/>
        <v>14:53:09.156</v>
      </c>
      <c r="T1650" t="str">
        <f t="shared" si="903"/>
        <v>14:53:09.156</v>
      </c>
      <c r="U1650" t="str">
        <f t="shared" si="876"/>
        <v>ACC530</v>
      </c>
      <c r="V1650">
        <v>0</v>
      </c>
      <c r="W1650">
        <v>0</v>
      </c>
      <c r="X1650">
        <v>1</v>
      </c>
      <c r="Z1650">
        <v>0</v>
      </c>
      <c r="AA1650">
        <v>9</v>
      </c>
      <c r="AB1650">
        <v>3</v>
      </c>
      <c r="AC1650">
        <v>0</v>
      </c>
      <c r="AD1650">
        <v>9</v>
      </c>
      <c r="AE1650">
        <v>0</v>
      </c>
      <c r="AF1650">
        <v>3</v>
      </c>
      <c r="AG1650">
        <v>1</v>
      </c>
      <c r="AH1650">
        <v>0</v>
      </c>
      <c r="AI1650" t="s">
        <v>640</v>
      </c>
      <c r="AJ1650">
        <v>34.190632999999998</v>
      </c>
      <c r="AK1650" t="s">
        <v>641</v>
      </c>
      <c r="AL1650">
        <v>-116.994073</v>
      </c>
      <c r="AM1650">
        <v>100</v>
      </c>
      <c r="AN1650">
        <v>8600</v>
      </c>
      <c r="AO1650" t="s">
        <v>118</v>
      </c>
      <c r="AP1650">
        <v>-103</v>
      </c>
      <c r="AQ1650">
        <v>-66</v>
      </c>
      <c r="AR1650">
        <v>-512</v>
      </c>
      <c r="AZ1650">
        <v>1200</v>
      </c>
      <c r="BA1650">
        <v>1</v>
      </c>
      <c r="BB1650" t="str">
        <f t="shared" si="877"/>
        <v xml:space="preserve">N9217B  </v>
      </c>
      <c r="BC1650">
        <v>1</v>
      </c>
      <c r="BE1650">
        <v>0</v>
      </c>
      <c r="BF1650">
        <v>0</v>
      </c>
      <c r="BG1650">
        <v>0</v>
      </c>
      <c r="BH1650">
        <v>8600</v>
      </c>
      <c r="BI1650">
        <v>1</v>
      </c>
      <c r="BJ1650">
        <v>0</v>
      </c>
      <c r="BK1650">
        <v>0</v>
      </c>
      <c r="BL1650">
        <v>0</v>
      </c>
      <c r="BO1650">
        <v>0</v>
      </c>
      <c r="BP1650">
        <v>0</v>
      </c>
      <c r="BW1650" t="str">
        <f t="shared" si="904"/>
        <v>14:53:09.164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6</v>
      </c>
      <c r="CP1650" t="s">
        <v>119</v>
      </c>
      <c r="CQ1650">
        <v>285</v>
      </c>
      <c r="CR1650">
        <v>0</v>
      </c>
      <c r="CW1650">
        <v>8856009</v>
      </c>
      <c r="CY1650">
        <v>0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25">
      <c r="A1651" t="str">
        <f t="shared" si="902"/>
        <v>06/05/2020 14:53:03.510</v>
      </c>
      <c r="C1651" t="str">
        <f t="shared" si="897"/>
        <v>FFDFD3C0</v>
      </c>
      <c r="D1651" t="s">
        <v>148</v>
      </c>
      <c r="E1651">
        <v>11</v>
      </c>
      <c r="H1651">
        <v>53</v>
      </c>
      <c r="I1651" t="s">
        <v>364</v>
      </c>
      <c r="J1651" t="s">
        <v>150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903"/>
        <v>14:53:09.156</v>
      </c>
      <c r="T1651" t="str">
        <f t="shared" si="903"/>
        <v>14:53:09.156</v>
      </c>
      <c r="U1651" t="str">
        <f t="shared" si="876"/>
        <v>ACC530</v>
      </c>
      <c r="V1651">
        <v>0</v>
      </c>
      <c r="W1651">
        <v>0</v>
      </c>
      <c r="X1651">
        <v>1</v>
      </c>
      <c r="Z1651">
        <v>0</v>
      </c>
      <c r="AA1651">
        <v>9</v>
      </c>
      <c r="AB1651">
        <v>3</v>
      </c>
      <c r="AC1651">
        <v>0</v>
      </c>
      <c r="AD1651">
        <v>9</v>
      </c>
      <c r="AE1651">
        <v>0</v>
      </c>
      <c r="AF1651">
        <v>3</v>
      </c>
      <c r="AG1651">
        <v>1</v>
      </c>
      <c r="AH1651">
        <v>0</v>
      </c>
      <c r="AI1651" t="s">
        <v>640</v>
      </c>
      <c r="AJ1651">
        <v>34.190632999999998</v>
      </c>
      <c r="AK1651" t="s">
        <v>641</v>
      </c>
      <c r="AL1651">
        <v>-116.994073</v>
      </c>
      <c r="AM1651">
        <v>100</v>
      </c>
      <c r="AN1651">
        <v>8600</v>
      </c>
      <c r="AO1651" t="s">
        <v>118</v>
      </c>
      <c r="AP1651">
        <v>-103</v>
      </c>
      <c r="AQ1651">
        <v>-66</v>
      </c>
      <c r="AR1651">
        <v>-512</v>
      </c>
      <c r="AZ1651">
        <v>1200</v>
      </c>
      <c r="BA1651">
        <v>1</v>
      </c>
      <c r="BB1651" t="str">
        <f t="shared" si="877"/>
        <v xml:space="preserve">N9217B  </v>
      </c>
      <c r="BC1651">
        <v>1</v>
      </c>
      <c r="BE1651">
        <v>0</v>
      </c>
      <c r="BF1651">
        <v>0</v>
      </c>
      <c r="BG1651">
        <v>0</v>
      </c>
      <c r="BH1651">
        <v>8600</v>
      </c>
      <c r="BI1651">
        <v>1</v>
      </c>
      <c r="BJ1651">
        <v>0</v>
      </c>
      <c r="BK1651">
        <v>0</v>
      </c>
      <c r="BL1651">
        <v>0</v>
      </c>
      <c r="BO1651">
        <v>0</v>
      </c>
      <c r="BP1651">
        <v>0</v>
      </c>
      <c r="BW1651" t="str">
        <f t="shared" si="904"/>
        <v>14:53:09.164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6</v>
      </c>
      <c r="CP1651" t="s">
        <v>119</v>
      </c>
      <c r="CQ1651">
        <v>285</v>
      </c>
      <c r="CR1651">
        <v>0</v>
      </c>
      <c r="CW1651">
        <v>8856009</v>
      </c>
      <c r="CY1651">
        <v>0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25">
      <c r="A1652" t="str">
        <f t="shared" si="902"/>
        <v>06/05/2020 14:53:03.510</v>
      </c>
      <c r="C1652" t="str">
        <f t="shared" si="897"/>
        <v>FFDFD3C0</v>
      </c>
      <c r="D1652" t="s">
        <v>151</v>
      </c>
      <c r="E1652">
        <v>9</v>
      </c>
      <c r="H1652">
        <v>226</v>
      </c>
      <c r="I1652" t="s">
        <v>152</v>
      </c>
      <c r="J1652" t="s">
        <v>150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903"/>
        <v>14:53:09.156</v>
      </c>
      <c r="T1652" t="str">
        <f t="shared" si="903"/>
        <v>14:53:09.156</v>
      </c>
      <c r="U1652" t="str">
        <f t="shared" si="876"/>
        <v>ACC530</v>
      </c>
      <c r="V1652">
        <v>0</v>
      </c>
      <c r="W1652">
        <v>0</v>
      </c>
      <c r="X1652">
        <v>1</v>
      </c>
      <c r="Z1652">
        <v>0</v>
      </c>
      <c r="AA1652">
        <v>9</v>
      </c>
      <c r="AB1652">
        <v>3</v>
      </c>
      <c r="AC1652">
        <v>0</v>
      </c>
      <c r="AD1652">
        <v>9</v>
      </c>
      <c r="AE1652">
        <v>0</v>
      </c>
      <c r="AF1652">
        <v>3</v>
      </c>
      <c r="AG1652">
        <v>1</v>
      </c>
      <c r="AH1652">
        <v>0</v>
      </c>
      <c r="AI1652" t="s">
        <v>640</v>
      </c>
      <c r="AJ1652">
        <v>34.190632999999998</v>
      </c>
      <c r="AK1652" t="s">
        <v>641</v>
      </c>
      <c r="AL1652">
        <v>-116.994073</v>
      </c>
      <c r="AM1652">
        <v>100</v>
      </c>
      <c r="AN1652">
        <v>8600</v>
      </c>
      <c r="AO1652" t="s">
        <v>118</v>
      </c>
      <c r="AP1652">
        <v>-103</v>
      </c>
      <c r="AQ1652">
        <v>-66</v>
      </c>
      <c r="AR1652">
        <v>-512</v>
      </c>
      <c r="AZ1652">
        <v>1200</v>
      </c>
      <c r="BA1652">
        <v>1</v>
      </c>
      <c r="BB1652" t="str">
        <f t="shared" si="877"/>
        <v xml:space="preserve">N9217B  </v>
      </c>
      <c r="BC1652">
        <v>1</v>
      </c>
      <c r="BE1652">
        <v>0</v>
      </c>
      <c r="BF1652">
        <v>0</v>
      </c>
      <c r="BG1652">
        <v>0</v>
      </c>
      <c r="BH1652">
        <v>8600</v>
      </c>
      <c r="BI1652">
        <v>1</v>
      </c>
      <c r="BJ1652">
        <v>0</v>
      </c>
      <c r="BK1652">
        <v>0</v>
      </c>
      <c r="BL1652">
        <v>0</v>
      </c>
      <c r="BO1652">
        <v>0</v>
      </c>
      <c r="BP1652">
        <v>0</v>
      </c>
      <c r="BW1652" t="str">
        <f t="shared" si="904"/>
        <v>14:53:09.164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6</v>
      </c>
      <c r="CP1652" t="s">
        <v>119</v>
      </c>
      <c r="CQ1652">
        <v>285</v>
      </c>
      <c r="CR1652">
        <v>0</v>
      </c>
      <c r="CW1652">
        <v>8856009</v>
      </c>
      <c r="CY1652">
        <v>0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25">
      <c r="A1653" t="str">
        <f t="shared" si="902"/>
        <v>06/05/2020 14:53:03.510</v>
      </c>
      <c r="C1653" t="str">
        <f t="shared" si="897"/>
        <v>FFDFD3C0</v>
      </c>
      <c r="D1653" t="s">
        <v>148</v>
      </c>
      <c r="E1653">
        <v>8</v>
      </c>
      <c r="H1653">
        <v>50</v>
      </c>
      <c r="I1653" t="s">
        <v>149</v>
      </c>
      <c r="J1653" t="s">
        <v>150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903"/>
        <v>14:53:09.156</v>
      </c>
      <c r="T1653" t="str">
        <f t="shared" si="903"/>
        <v>14:53:09.156</v>
      </c>
      <c r="U1653" t="str">
        <f t="shared" si="876"/>
        <v>ACC530</v>
      </c>
      <c r="V1653">
        <v>0</v>
      </c>
      <c r="W1653">
        <v>0</v>
      </c>
      <c r="X1653">
        <v>1</v>
      </c>
      <c r="Z1653">
        <v>0</v>
      </c>
      <c r="AA1653">
        <v>9</v>
      </c>
      <c r="AB1653">
        <v>3</v>
      </c>
      <c r="AC1653">
        <v>0</v>
      </c>
      <c r="AD1653">
        <v>9</v>
      </c>
      <c r="AE1653">
        <v>0</v>
      </c>
      <c r="AF1653">
        <v>3</v>
      </c>
      <c r="AG1653">
        <v>1</v>
      </c>
      <c r="AH1653">
        <v>0</v>
      </c>
      <c r="AI1653" t="s">
        <v>640</v>
      </c>
      <c r="AJ1653">
        <v>34.190632999999998</v>
      </c>
      <c r="AK1653" t="s">
        <v>641</v>
      </c>
      <c r="AL1653">
        <v>-116.994073</v>
      </c>
      <c r="AM1653">
        <v>100</v>
      </c>
      <c r="AN1653">
        <v>8600</v>
      </c>
      <c r="AO1653" t="s">
        <v>118</v>
      </c>
      <c r="AP1653">
        <v>-103</v>
      </c>
      <c r="AQ1653">
        <v>-66</v>
      </c>
      <c r="AR1653">
        <v>-512</v>
      </c>
      <c r="AZ1653">
        <v>1200</v>
      </c>
      <c r="BA1653">
        <v>1</v>
      </c>
      <c r="BB1653" t="str">
        <f t="shared" si="877"/>
        <v xml:space="preserve">N9217B  </v>
      </c>
      <c r="BC1653">
        <v>1</v>
      </c>
      <c r="BE1653">
        <v>0</v>
      </c>
      <c r="BF1653">
        <v>0</v>
      </c>
      <c r="BG1653">
        <v>0</v>
      </c>
      <c r="BH1653">
        <v>8600</v>
      </c>
      <c r="BI1653">
        <v>1</v>
      </c>
      <c r="BJ1653">
        <v>0</v>
      </c>
      <c r="BK1653">
        <v>0</v>
      </c>
      <c r="BL1653">
        <v>0</v>
      </c>
      <c r="BO1653">
        <v>0</v>
      </c>
      <c r="BP1653">
        <v>0</v>
      </c>
      <c r="BW1653" t="str">
        <f t="shared" si="904"/>
        <v>14:53:09.164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6</v>
      </c>
      <c r="CP1653" t="s">
        <v>119</v>
      </c>
      <c r="CQ1653">
        <v>285</v>
      </c>
      <c r="CR1653">
        <v>0</v>
      </c>
      <c r="CW1653">
        <v>8856009</v>
      </c>
      <c r="CY1653">
        <v>0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25">
      <c r="A1654" t="str">
        <f t="shared" si="902"/>
        <v>06/05/2020 14:53:03.510</v>
      </c>
      <c r="C1654" t="str">
        <f t="shared" si="897"/>
        <v>FFDFD3C0</v>
      </c>
      <c r="D1654" t="s">
        <v>141</v>
      </c>
      <c r="E1654">
        <v>20</v>
      </c>
      <c r="F1654">
        <v>1020</v>
      </c>
      <c r="G1654" t="s">
        <v>114</v>
      </c>
      <c r="J1654" t="s">
        <v>142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903"/>
        <v>14:53:09.156</v>
      </c>
      <c r="T1654" t="str">
        <f t="shared" si="903"/>
        <v>14:53:09.156</v>
      </c>
      <c r="U1654" t="str">
        <f t="shared" si="876"/>
        <v>ACC530</v>
      </c>
      <c r="V1654">
        <v>0</v>
      </c>
      <c r="W1654">
        <v>0</v>
      </c>
      <c r="X1654">
        <v>1</v>
      </c>
      <c r="Z1654">
        <v>0</v>
      </c>
      <c r="AA1654">
        <v>9</v>
      </c>
      <c r="AB1654">
        <v>3</v>
      </c>
      <c r="AC1654">
        <v>0</v>
      </c>
      <c r="AD1654">
        <v>9</v>
      </c>
      <c r="AE1654">
        <v>0</v>
      </c>
      <c r="AF1654">
        <v>3</v>
      </c>
      <c r="AG1654">
        <v>1</v>
      </c>
      <c r="AH1654">
        <v>0</v>
      </c>
      <c r="AI1654" t="s">
        <v>640</v>
      </c>
      <c r="AJ1654">
        <v>34.190632999999998</v>
      </c>
      <c r="AK1654" t="s">
        <v>641</v>
      </c>
      <c r="AL1654">
        <v>-116.994073</v>
      </c>
      <c r="AM1654">
        <v>100</v>
      </c>
      <c r="AN1654">
        <v>8600</v>
      </c>
      <c r="AO1654" t="s">
        <v>118</v>
      </c>
      <c r="AP1654">
        <v>-103</v>
      </c>
      <c r="AQ1654">
        <v>-66</v>
      </c>
      <c r="AR1654">
        <v>-512</v>
      </c>
      <c r="AZ1654">
        <v>1200</v>
      </c>
      <c r="BA1654">
        <v>1</v>
      </c>
      <c r="BB1654" t="str">
        <f t="shared" si="877"/>
        <v xml:space="preserve">N9217B  </v>
      </c>
      <c r="BC1654">
        <v>1</v>
      </c>
      <c r="BE1654">
        <v>0</v>
      </c>
      <c r="BF1654">
        <v>0</v>
      </c>
      <c r="BG1654">
        <v>0</v>
      </c>
      <c r="BH1654">
        <v>8600</v>
      </c>
      <c r="BI1654">
        <v>1</v>
      </c>
      <c r="BJ1654">
        <v>0</v>
      </c>
      <c r="BK1654">
        <v>0</v>
      </c>
      <c r="BL1654">
        <v>0</v>
      </c>
      <c r="BO1654">
        <v>0</v>
      </c>
      <c r="BP1654">
        <v>0</v>
      </c>
      <c r="BW1654" t="str">
        <f t="shared" si="904"/>
        <v>14:53:09.164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119</v>
      </c>
      <c r="CQ1654">
        <v>285</v>
      </c>
      <c r="CR1654">
        <v>0</v>
      </c>
      <c r="CW1654">
        <v>8856009</v>
      </c>
      <c r="CY1654">
        <v>0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25">
      <c r="A1655" t="str">
        <f t="shared" ref="A1655:A1661" si="905">"06/05/2020 14:53:04.465"</f>
        <v>06/05/2020 14:53:04.465</v>
      </c>
      <c r="C1655" t="str">
        <f t="shared" si="897"/>
        <v>FFDFD3C0</v>
      </c>
      <c r="D1655" t="s">
        <v>134</v>
      </c>
      <c r="E1655">
        <v>7</v>
      </c>
      <c r="F1655">
        <v>2007</v>
      </c>
      <c r="G1655" t="s">
        <v>135</v>
      </c>
      <c r="J1655" t="s">
        <v>136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ref="S1655:S1661" si="906">"14:53:10.102"</f>
        <v>14:53:10.102</v>
      </c>
      <c r="T1655" t="str">
        <f t="shared" ref="T1655:T1661" si="907">"14:53:09.802"</f>
        <v>14:53:09.802</v>
      </c>
      <c r="U1655" t="str">
        <f t="shared" si="876"/>
        <v>ACC530</v>
      </c>
      <c r="V1655">
        <v>0</v>
      </c>
      <c r="W1655">
        <v>0</v>
      </c>
      <c r="X1655">
        <v>1</v>
      </c>
      <c r="Z1655">
        <v>0</v>
      </c>
      <c r="AA1655">
        <v>9</v>
      </c>
      <c r="AB1655">
        <v>3</v>
      </c>
      <c r="AC1655">
        <v>0</v>
      </c>
      <c r="AD1655">
        <v>9</v>
      </c>
      <c r="AE1655">
        <v>0</v>
      </c>
      <c r="AF1655">
        <v>3</v>
      </c>
      <c r="AG1655">
        <v>1</v>
      </c>
      <c r="AH1655">
        <v>0</v>
      </c>
      <c r="AI1655" t="s">
        <v>642</v>
      </c>
      <c r="AJ1655">
        <v>34.190333000000003</v>
      </c>
      <c r="AK1655" t="s">
        <v>643</v>
      </c>
      <c r="AL1655">
        <v>-116.994631</v>
      </c>
      <c r="AM1655">
        <v>100</v>
      </c>
      <c r="AN1655">
        <v>8600</v>
      </c>
      <c r="AO1655" t="s">
        <v>118</v>
      </c>
      <c r="AP1655">
        <v>-103</v>
      </c>
      <c r="AQ1655">
        <v>-67</v>
      </c>
      <c r="AR1655">
        <v>-576</v>
      </c>
      <c r="AZ1655">
        <v>1200</v>
      </c>
      <c r="BA1655">
        <v>1</v>
      </c>
      <c r="BB1655" t="str">
        <f t="shared" si="877"/>
        <v xml:space="preserve">N9217B  </v>
      </c>
      <c r="BC1655">
        <v>1</v>
      </c>
      <c r="BE1655">
        <v>0</v>
      </c>
      <c r="BF1655">
        <v>0</v>
      </c>
      <c r="BG1655">
        <v>0</v>
      </c>
      <c r="BH1655">
        <v>8600</v>
      </c>
      <c r="BI1655">
        <v>1</v>
      </c>
      <c r="BJ1655">
        <v>0</v>
      </c>
      <c r="BK1655">
        <v>0</v>
      </c>
      <c r="BL1655">
        <v>0</v>
      </c>
      <c r="BO1655">
        <v>0</v>
      </c>
      <c r="BP1655">
        <v>0</v>
      </c>
      <c r="BW1655" t="str">
        <f t="shared" ref="BW1655:BW1661" si="908">"14:53:10.109"</f>
        <v>14:53:10.109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6</v>
      </c>
      <c r="CP1655" t="s">
        <v>119</v>
      </c>
      <c r="CQ1655">
        <v>285</v>
      </c>
      <c r="CR1655">
        <v>0</v>
      </c>
      <c r="CW1655">
        <v>8856097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25">
      <c r="A1656" t="str">
        <f t="shared" si="905"/>
        <v>06/05/2020 14:53:04.465</v>
      </c>
      <c r="C1656" t="str">
        <f t="shared" si="897"/>
        <v>FFDFD3C0</v>
      </c>
      <c r="D1656" t="s">
        <v>113</v>
      </c>
      <c r="E1656">
        <v>3</v>
      </c>
      <c r="H1656">
        <v>166</v>
      </c>
      <c r="I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906"/>
        <v>14:53:10.102</v>
      </c>
      <c r="T1656" t="str">
        <f t="shared" si="907"/>
        <v>14:53:09.802</v>
      </c>
      <c r="U1656" t="str">
        <f t="shared" si="876"/>
        <v>ACC530</v>
      </c>
      <c r="V1656">
        <v>0</v>
      </c>
      <c r="W1656">
        <v>0</v>
      </c>
      <c r="X1656">
        <v>1</v>
      </c>
      <c r="Z1656">
        <v>0</v>
      </c>
      <c r="AA1656">
        <v>9</v>
      </c>
      <c r="AB1656">
        <v>3</v>
      </c>
      <c r="AC1656">
        <v>0</v>
      </c>
      <c r="AD1656">
        <v>9</v>
      </c>
      <c r="AE1656">
        <v>0</v>
      </c>
      <c r="AF1656">
        <v>3</v>
      </c>
      <c r="AG1656">
        <v>1</v>
      </c>
      <c r="AH1656">
        <v>0</v>
      </c>
      <c r="AI1656" t="s">
        <v>642</v>
      </c>
      <c r="AJ1656">
        <v>34.190333000000003</v>
      </c>
      <c r="AK1656" t="s">
        <v>643</v>
      </c>
      <c r="AL1656">
        <v>-116.994631</v>
      </c>
      <c r="AM1656">
        <v>100</v>
      </c>
      <c r="AN1656">
        <v>8600</v>
      </c>
      <c r="AO1656" t="s">
        <v>118</v>
      </c>
      <c r="AP1656">
        <v>-103</v>
      </c>
      <c r="AQ1656">
        <v>-67</v>
      </c>
      <c r="AR1656">
        <v>-576</v>
      </c>
      <c r="AZ1656">
        <v>1200</v>
      </c>
      <c r="BA1656">
        <v>1</v>
      </c>
      <c r="BB1656" t="str">
        <f t="shared" si="877"/>
        <v xml:space="preserve">N9217B  </v>
      </c>
      <c r="BC1656">
        <v>1</v>
      </c>
      <c r="BE1656">
        <v>0</v>
      </c>
      <c r="BF1656">
        <v>0</v>
      </c>
      <c r="BG1656">
        <v>0</v>
      </c>
      <c r="BH1656">
        <v>8600</v>
      </c>
      <c r="BI1656">
        <v>1</v>
      </c>
      <c r="BJ1656">
        <v>0</v>
      </c>
      <c r="BK1656">
        <v>0</v>
      </c>
      <c r="BL1656">
        <v>0</v>
      </c>
      <c r="BO1656">
        <v>0</v>
      </c>
      <c r="BP1656">
        <v>0</v>
      </c>
      <c r="BW1656" t="str">
        <f t="shared" si="908"/>
        <v>14:53:10.109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6</v>
      </c>
      <c r="CP1656" t="s">
        <v>119</v>
      </c>
      <c r="CQ1656">
        <v>285</v>
      </c>
      <c r="CR1656">
        <v>0</v>
      </c>
      <c r="CW1656">
        <v>8856097</v>
      </c>
      <c r="CY1656">
        <v>0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25">
      <c r="A1657" t="str">
        <f t="shared" si="905"/>
        <v>06/05/2020 14:53:04.465</v>
      </c>
      <c r="C1657" t="str">
        <f t="shared" si="897"/>
        <v>FFDFD3C0</v>
      </c>
      <c r="D1657" t="s">
        <v>151</v>
      </c>
      <c r="E1657">
        <v>8</v>
      </c>
      <c r="H1657">
        <v>225</v>
      </c>
      <c r="I1657" t="s">
        <v>353</v>
      </c>
      <c r="J1657" t="s">
        <v>150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906"/>
        <v>14:53:10.102</v>
      </c>
      <c r="T1657" t="str">
        <f t="shared" si="907"/>
        <v>14:53:09.802</v>
      </c>
      <c r="U1657" t="str">
        <f t="shared" si="876"/>
        <v>ACC530</v>
      </c>
      <c r="V1657">
        <v>0</v>
      </c>
      <c r="W1657">
        <v>0</v>
      </c>
      <c r="X1657">
        <v>1</v>
      </c>
      <c r="Z1657">
        <v>0</v>
      </c>
      <c r="AA1657">
        <v>9</v>
      </c>
      <c r="AB1657">
        <v>3</v>
      </c>
      <c r="AC1657">
        <v>0</v>
      </c>
      <c r="AD1657">
        <v>9</v>
      </c>
      <c r="AE1657">
        <v>0</v>
      </c>
      <c r="AF1657">
        <v>3</v>
      </c>
      <c r="AG1657">
        <v>1</v>
      </c>
      <c r="AH1657">
        <v>0</v>
      </c>
      <c r="AI1657" t="s">
        <v>642</v>
      </c>
      <c r="AJ1657">
        <v>34.190333000000003</v>
      </c>
      <c r="AK1657" t="s">
        <v>643</v>
      </c>
      <c r="AL1657">
        <v>-116.994631</v>
      </c>
      <c r="AM1657">
        <v>100</v>
      </c>
      <c r="AN1657">
        <v>8600</v>
      </c>
      <c r="AO1657" t="s">
        <v>118</v>
      </c>
      <c r="AP1657">
        <v>-103</v>
      </c>
      <c r="AQ1657">
        <v>-67</v>
      </c>
      <c r="AR1657">
        <v>-576</v>
      </c>
      <c r="AZ1657">
        <v>1200</v>
      </c>
      <c r="BA1657">
        <v>1</v>
      </c>
      <c r="BB1657" t="str">
        <f t="shared" si="877"/>
        <v xml:space="preserve">N9217B  </v>
      </c>
      <c r="BC1657">
        <v>1</v>
      </c>
      <c r="BE1657">
        <v>0</v>
      </c>
      <c r="BF1657">
        <v>0</v>
      </c>
      <c r="BG1657">
        <v>0</v>
      </c>
      <c r="BH1657">
        <v>8600</v>
      </c>
      <c r="BI1657">
        <v>1</v>
      </c>
      <c r="BJ1657">
        <v>0</v>
      </c>
      <c r="BK1657">
        <v>0</v>
      </c>
      <c r="BL1657">
        <v>0</v>
      </c>
      <c r="BO1657">
        <v>0</v>
      </c>
      <c r="BP1657">
        <v>0</v>
      </c>
      <c r="BW1657" t="str">
        <f t="shared" si="908"/>
        <v>14:53:10.109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6</v>
      </c>
      <c r="CP1657" t="s">
        <v>119</v>
      </c>
      <c r="CQ1657">
        <v>285</v>
      </c>
      <c r="CR1657">
        <v>0</v>
      </c>
      <c r="CW1657">
        <v>8856097</v>
      </c>
      <c r="CY1657">
        <v>0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25">
      <c r="A1658" t="str">
        <f t="shared" si="905"/>
        <v>06/05/2020 14:53:04.465</v>
      </c>
      <c r="C1658" t="str">
        <f t="shared" si="897"/>
        <v>FFDFD3C0</v>
      </c>
      <c r="D1658" t="s">
        <v>148</v>
      </c>
      <c r="E1658">
        <v>11</v>
      </c>
      <c r="H1658">
        <v>53</v>
      </c>
      <c r="I1658" t="s">
        <v>364</v>
      </c>
      <c r="J1658" t="s">
        <v>150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906"/>
        <v>14:53:10.102</v>
      </c>
      <c r="T1658" t="str">
        <f t="shared" si="907"/>
        <v>14:53:09.802</v>
      </c>
      <c r="U1658" t="str">
        <f t="shared" si="876"/>
        <v>ACC530</v>
      </c>
      <c r="V1658">
        <v>0</v>
      </c>
      <c r="W1658">
        <v>0</v>
      </c>
      <c r="X1658">
        <v>1</v>
      </c>
      <c r="Z1658">
        <v>0</v>
      </c>
      <c r="AA1658">
        <v>9</v>
      </c>
      <c r="AB1658">
        <v>3</v>
      </c>
      <c r="AC1658">
        <v>0</v>
      </c>
      <c r="AD1658">
        <v>9</v>
      </c>
      <c r="AE1658">
        <v>0</v>
      </c>
      <c r="AF1658">
        <v>3</v>
      </c>
      <c r="AG1658">
        <v>1</v>
      </c>
      <c r="AH1658">
        <v>0</v>
      </c>
      <c r="AI1658" t="s">
        <v>642</v>
      </c>
      <c r="AJ1658">
        <v>34.190333000000003</v>
      </c>
      <c r="AK1658" t="s">
        <v>643</v>
      </c>
      <c r="AL1658">
        <v>-116.994631</v>
      </c>
      <c r="AM1658">
        <v>100</v>
      </c>
      <c r="AN1658">
        <v>8600</v>
      </c>
      <c r="AO1658" t="s">
        <v>118</v>
      </c>
      <c r="AP1658">
        <v>-103</v>
      </c>
      <c r="AQ1658">
        <v>-67</v>
      </c>
      <c r="AR1658">
        <v>-576</v>
      </c>
      <c r="AZ1658">
        <v>1200</v>
      </c>
      <c r="BA1658">
        <v>1</v>
      </c>
      <c r="BB1658" t="str">
        <f t="shared" si="877"/>
        <v xml:space="preserve">N9217B  </v>
      </c>
      <c r="BC1658">
        <v>1</v>
      </c>
      <c r="BE1658">
        <v>0</v>
      </c>
      <c r="BF1658">
        <v>0</v>
      </c>
      <c r="BG1658">
        <v>0</v>
      </c>
      <c r="BH1658">
        <v>8600</v>
      </c>
      <c r="BI1658">
        <v>1</v>
      </c>
      <c r="BJ1658">
        <v>0</v>
      </c>
      <c r="BK1658">
        <v>0</v>
      </c>
      <c r="BL1658">
        <v>0</v>
      </c>
      <c r="BO1658">
        <v>0</v>
      </c>
      <c r="BP1658">
        <v>0</v>
      </c>
      <c r="BW1658" t="str">
        <f t="shared" si="908"/>
        <v>14:53:10.109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6</v>
      </c>
      <c r="CP1658" t="s">
        <v>119</v>
      </c>
      <c r="CQ1658">
        <v>285</v>
      </c>
      <c r="CR1658">
        <v>0</v>
      </c>
      <c r="CW1658">
        <v>8856097</v>
      </c>
      <c r="CY1658">
        <v>0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25">
      <c r="A1659" t="str">
        <f t="shared" si="905"/>
        <v>06/05/2020 14:53:04.465</v>
      </c>
      <c r="C1659" t="str">
        <f t="shared" si="897"/>
        <v>FFDFD3C0</v>
      </c>
      <c r="D1659" t="s">
        <v>151</v>
      </c>
      <c r="E1659">
        <v>9</v>
      </c>
      <c r="H1659">
        <v>226</v>
      </c>
      <c r="I1659" t="s">
        <v>152</v>
      </c>
      <c r="J1659" t="s">
        <v>150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906"/>
        <v>14:53:10.102</v>
      </c>
      <c r="T1659" t="str">
        <f t="shared" si="907"/>
        <v>14:53:09.802</v>
      </c>
      <c r="U1659" t="str">
        <f t="shared" si="876"/>
        <v>ACC530</v>
      </c>
      <c r="V1659">
        <v>0</v>
      </c>
      <c r="W1659">
        <v>0</v>
      </c>
      <c r="X1659">
        <v>1</v>
      </c>
      <c r="Z1659">
        <v>0</v>
      </c>
      <c r="AA1659">
        <v>9</v>
      </c>
      <c r="AB1659">
        <v>3</v>
      </c>
      <c r="AC1659">
        <v>0</v>
      </c>
      <c r="AD1659">
        <v>9</v>
      </c>
      <c r="AE1659">
        <v>0</v>
      </c>
      <c r="AF1659">
        <v>3</v>
      </c>
      <c r="AG1659">
        <v>1</v>
      </c>
      <c r="AH1659">
        <v>0</v>
      </c>
      <c r="AI1659" t="s">
        <v>642</v>
      </c>
      <c r="AJ1659">
        <v>34.190333000000003</v>
      </c>
      <c r="AK1659" t="s">
        <v>643</v>
      </c>
      <c r="AL1659">
        <v>-116.994631</v>
      </c>
      <c r="AM1659">
        <v>100</v>
      </c>
      <c r="AN1659">
        <v>8600</v>
      </c>
      <c r="AO1659" t="s">
        <v>118</v>
      </c>
      <c r="AP1659">
        <v>-103</v>
      </c>
      <c r="AQ1659">
        <v>-67</v>
      </c>
      <c r="AR1659">
        <v>-576</v>
      </c>
      <c r="AZ1659">
        <v>1200</v>
      </c>
      <c r="BA1659">
        <v>1</v>
      </c>
      <c r="BB1659" t="str">
        <f t="shared" si="877"/>
        <v xml:space="preserve">N9217B  </v>
      </c>
      <c r="BC1659">
        <v>1</v>
      </c>
      <c r="BE1659">
        <v>0</v>
      </c>
      <c r="BF1659">
        <v>0</v>
      </c>
      <c r="BG1659">
        <v>0</v>
      </c>
      <c r="BH1659">
        <v>8600</v>
      </c>
      <c r="BI1659">
        <v>1</v>
      </c>
      <c r="BJ1659">
        <v>0</v>
      </c>
      <c r="BK1659">
        <v>0</v>
      </c>
      <c r="BL1659">
        <v>0</v>
      </c>
      <c r="BO1659">
        <v>0</v>
      </c>
      <c r="BP1659">
        <v>0</v>
      </c>
      <c r="BW1659" t="str">
        <f t="shared" si="908"/>
        <v>14:53:10.109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6</v>
      </c>
      <c r="CP1659" t="s">
        <v>119</v>
      </c>
      <c r="CQ1659">
        <v>285</v>
      </c>
      <c r="CR1659">
        <v>0</v>
      </c>
      <c r="CW1659">
        <v>8856097</v>
      </c>
      <c r="CY1659">
        <v>0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25">
      <c r="A1660" t="str">
        <f t="shared" si="905"/>
        <v>06/05/2020 14:53:04.465</v>
      </c>
      <c r="C1660" t="str">
        <f t="shared" si="897"/>
        <v>FFDFD3C0</v>
      </c>
      <c r="D1660" t="s">
        <v>148</v>
      </c>
      <c r="E1660">
        <v>8</v>
      </c>
      <c r="H1660">
        <v>50</v>
      </c>
      <c r="I1660" t="s">
        <v>149</v>
      </c>
      <c r="J1660" t="s">
        <v>150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906"/>
        <v>14:53:10.102</v>
      </c>
      <c r="T1660" t="str">
        <f t="shared" si="907"/>
        <v>14:53:09.802</v>
      </c>
      <c r="U1660" t="str">
        <f t="shared" si="876"/>
        <v>ACC530</v>
      </c>
      <c r="V1660">
        <v>0</v>
      </c>
      <c r="W1660">
        <v>0</v>
      </c>
      <c r="X1660">
        <v>1</v>
      </c>
      <c r="Z1660">
        <v>0</v>
      </c>
      <c r="AA1660">
        <v>9</v>
      </c>
      <c r="AB1660">
        <v>3</v>
      </c>
      <c r="AC1660">
        <v>0</v>
      </c>
      <c r="AD1660">
        <v>9</v>
      </c>
      <c r="AE1660">
        <v>0</v>
      </c>
      <c r="AF1660">
        <v>3</v>
      </c>
      <c r="AG1660">
        <v>1</v>
      </c>
      <c r="AH1660">
        <v>0</v>
      </c>
      <c r="AI1660" t="s">
        <v>642</v>
      </c>
      <c r="AJ1660">
        <v>34.190333000000003</v>
      </c>
      <c r="AK1660" t="s">
        <v>643</v>
      </c>
      <c r="AL1660">
        <v>-116.994631</v>
      </c>
      <c r="AM1660">
        <v>100</v>
      </c>
      <c r="AN1660">
        <v>8600</v>
      </c>
      <c r="AO1660" t="s">
        <v>118</v>
      </c>
      <c r="AP1660">
        <v>-103</v>
      </c>
      <c r="AQ1660">
        <v>-67</v>
      </c>
      <c r="AR1660">
        <v>-576</v>
      </c>
      <c r="AZ1660">
        <v>1200</v>
      </c>
      <c r="BA1660">
        <v>1</v>
      </c>
      <c r="BB1660" t="str">
        <f t="shared" si="877"/>
        <v xml:space="preserve">N9217B  </v>
      </c>
      <c r="BC1660">
        <v>1</v>
      </c>
      <c r="BE1660">
        <v>0</v>
      </c>
      <c r="BF1660">
        <v>0</v>
      </c>
      <c r="BG1660">
        <v>0</v>
      </c>
      <c r="BH1660">
        <v>8600</v>
      </c>
      <c r="BI1660">
        <v>1</v>
      </c>
      <c r="BJ1660">
        <v>0</v>
      </c>
      <c r="BK1660">
        <v>0</v>
      </c>
      <c r="BL1660">
        <v>0</v>
      </c>
      <c r="BO1660">
        <v>0</v>
      </c>
      <c r="BP1660">
        <v>0</v>
      </c>
      <c r="BW1660" t="str">
        <f t="shared" si="908"/>
        <v>14:53:10.109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6</v>
      </c>
      <c r="CP1660" t="s">
        <v>119</v>
      </c>
      <c r="CQ1660">
        <v>285</v>
      </c>
      <c r="CR1660">
        <v>0</v>
      </c>
      <c r="CW1660">
        <v>8856097</v>
      </c>
      <c r="CY1660">
        <v>0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25">
      <c r="A1661" t="str">
        <f t="shared" si="905"/>
        <v>06/05/2020 14:53:04.465</v>
      </c>
      <c r="C1661" t="str">
        <f t="shared" si="897"/>
        <v>FFDFD3C0</v>
      </c>
      <c r="D1661" t="s">
        <v>141</v>
      </c>
      <c r="E1661">
        <v>20</v>
      </c>
      <c r="F1661">
        <v>1020</v>
      </c>
      <c r="G1661" t="s">
        <v>114</v>
      </c>
      <c r="J1661" t="s">
        <v>142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906"/>
        <v>14:53:10.102</v>
      </c>
      <c r="T1661" t="str">
        <f t="shared" si="907"/>
        <v>14:53:09.802</v>
      </c>
      <c r="U1661" t="str">
        <f t="shared" si="876"/>
        <v>ACC530</v>
      </c>
      <c r="V1661">
        <v>0</v>
      </c>
      <c r="W1661">
        <v>0</v>
      </c>
      <c r="X1661">
        <v>1</v>
      </c>
      <c r="Z1661">
        <v>0</v>
      </c>
      <c r="AA1661">
        <v>9</v>
      </c>
      <c r="AB1661">
        <v>3</v>
      </c>
      <c r="AC1661">
        <v>0</v>
      </c>
      <c r="AD1661">
        <v>9</v>
      </c>
      <c r="AE1661">
        <v>0</v>
      </c>
      <c r="AF1661">
        <v>3</v>
      </c>
      <c r="AG1661">
        <v>1</v>
      </c>
      <c r="AH1661">
        <v>0</v>
      </c>
      <c r="AI1661" t="s">
        <v>642</v>
      </c>
      <c r="AJ1661">
        <v>34.190333000000003</v>
      </c>
      <c r="AK1661" t="s">
        <v>643</v>
      </c>
      <c r="AL1661">
        <v>-116.994631</v>
      </c>
      <c r="AM1661">
        <v>100</v>
      </c>
      <c r="AN1661">
        <v>8600</v>
      </c>
      <c r="AO1661" t="s">
        <v>118</v>
      </c>
      <c r="AP1661">
        <v>-103</v>
      </c>
      <c r="AQ1661">
        <v>-67</v>
      </c>
      <c r="AR1661">
        <v>-576</v>
      </c>
      <c r="AZ1661">
        <v>1200</v>
      </c>
      <c r="BA1661">
        <v>1</v>
      </c>
      <c r="BB1661" t="str">
        <f t="shared" si="877"/>
        <v xml:space="preserve">N9217B  </v>
      </c>
      <c r="BC1661">
        <v>1</v>
      </c>
      <c r="BE1661">
        <v>0</v>
      </c>
      <c r="BF1661">
        <v>0</v>
      </c>
      <c r="BG1661">
        <v>0</v>
      </c>
      <c r="BH1661">
        <v>8600</v>
      </c>
      <c r="BI1661">
        <v>1</v>
      </c>
      <c r="BJ1661">
        <v>0</v>
      </c>
      <c r="BK1661">
        <v>0</v>
      </c>
      <c r="BL1661">
        <v>0</v>
      </c>
      <c r="BO1661">
        <v>0</v>
      </c>
      <c r="BP1661">
        <v>0</v>
      </c>
      <c r="BW1661" t="str">
        <f t="shared" si="908"/>
        <v>14:53:10.109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6</v>
      </c>
      <c r="CP1661" t="s">
        <v>119</v>
      </c>
      <c r="CQ1661">
        <v>285</v>
      </c>
      <c r="CR1661">
        <v>0</v>
      </c>
      <c r="CW1661">
        <v>8856097</v>
      </c>
      <c r="CY1661">
        <v>0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25">
      <c r="A1662" t="str">
        <f t="shared" ref="A1662:A1668" si="909">"06/05/2020 14:53:05.537"</f>
        <v>06/05/2020 14:53:05.537</v>
      </c>
      <c r="C1662" t="str">
        <f t="shared" si="897"/>
        <v>FFDFD3C0</v>
      </c>
      <c r="D1662" t="s">
        <v>113</v>
      </c>
      <c r="E1662">
        <v>3</v>
      </c>
      <c r="H1662">
        <v>166</v>
      </c>
      <c r="I1662" t="s">
        <v>114</v>
      </c>
      <c r="J1662" t="s">
        <v>115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ref="S1662:T1668" si="910">"14:53:11.188"</f>
        <v>14:53:11.188</v>
      </c>
      <c r="T1662" t="str">
        <f t="shared" si="910"/>
        <v>14:53:11.188</v>
      </c>
      <c r="U1662" t="str">
        <f t="shared" si="876"/>
        <v>ACC530</v>
      </c>
      <c r="V1662">
        <v>0</v>
      </c>
      <c r="W1662">
        <v>0</v>
      </c>
      <c r="X1662">
        <v>1</v>
      </c>
      <c r="Z1662">
        <v>0</v>
      </c>
      <c r="AA1662">
        <v>9</v>
      </c>
      <c r="AB1662">
        <v>3</v>
      </c>
      <c r="AC1662">
        <v>0</v>
      </c>
      <c r="AD1662">
        <v>9</v>
      </c>
      <c r="AE1662">
        <v>0</v>
      </c>
      <c r="AF1662">
        <v>3</v>
      </c>
      <c r="AG1662">
        <v>1</v>
      </c>
      <c r="AH1662">
        <v>0</v>
      </c>
      <c r="AI1662" t="s">
        <v>644</v>
      </c>
      <c r="AJ1662">
        <v>34.190010999999998</v>
      </c>
      <c r="AK1662" t="s">
        <v>645</v>
      </c>
      <c r="AL1662">
        <v>-116.995254</v>
      </c>
      <c r="AM1662">
        <v>100</v>
      </c>
      <c r="AN1662">
        <v>8600</v>
      </c>
      <c r="AO1662" t="s">
        <v>118</v>
      </c>
      <c r="AP1662">
        <v>-102</v>
      </c>
      <c r="AQ1662">
        <v>-67</v>
      </c>
      <c r="AR1662">
        <v>-640</v>
      </c>
      <c r="AZ1662">
        <v>1200</v>
      </c>
      <c r="BA1662">
        <v>1</v>
      </c>
      <c r="BB1662" t="str">
        <f t="shared" si="877"/>
        <v xml:space="preserve">N9217B  </v>
      </c>
      <c r="BC1662">
        <v>1</v>
      </c>
      <c r="BE1662">
        <v>0</v>
      </c>
      <c r="BF1662">
        <v>0</v>
      </c>
      <c r="BG1662">
        <v>0</v>
      </c>
      <c r="BH1662">
        <v>8575</v>
      </c>
      <c r="BI1662">
        <v>1</v>
      </c>
      <c r="BJ1662">
        <v>0</v>
      </c>
      <c r="BK1662">
        <v>0</v>
      </c>
      <c r="BL1662">
        <v>0</v>
      </c>
      <c r="BO1662">
        <v>0</v>
      </c>
      <c r="BP1662">
        <v>0</v>
      </c>
      <c r="BW1662" t="str">
        <f t="shared" ref="BW1662:BW1668" si="911">"14:53:11.188"</f>
        <v>14:53:11.188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285</v>
      </c>
      <c r="CR1662">
        <v>0</v>
      </c>
      <c r="CW1662">
        <v>8856194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25">
      <c r="A1663" t="str">
        <f t="shared" si="909"/>
        <v>06/05/2020 14:53:05.537</v>
      </c>
      <c r="C1663" t="str">
        <f t="shared" si="897"/>
        <v>FFDFD3C0</v>
      </c>
      <c r="D1663" t="s">
        <v>151</v>
      </c>
      <c r="E1663">
        <v>8</v>
      </c>
      <c r="H1663">
        <v>225</v>
      </c>
      <c r="I1663" t="s">
        <v>353</v>
      </c>
      <c r="J1663" t="s">
        <v>150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910"/>
        <v>14:53:11.188</v>
      </c>
      <c r="T1663" t="str">
        <f t="shared" si="910"/>
        <v>14:53:11.188</v>
      </c>
      <c r="U1663" t="str">
        <f t="shared" si="876"/>
        <v>ACC530</v>
      </c>
      <c r="V1663">
        <v>0</v>
      </c>
      <c r="W1663">
        <v>0</v>
      </c>
      <c r="X1663">
        <v>1</v>
      </c>
      <c r="Z1663">
        <v>0</v>
      </c>
      <c r="AA1663">
        <v>9</v>
      </c>
      <c r="AB1663">
        <v>3</v>
      </c>
      <c r="AC1663">
        <v>0</v>
      </c>
      <c r="AD1663">
        <v>9</v>
      </c>
      <c r="AE1663">
        <v>0</v>
      </c>
      <c r="AF1663">
        <v>3</v>
      </c>
      <c r="AG1663">
        <v>1</v>
      </c>
      <c r="AH1663">
        <v>0</v>
      </c>
      <c r="AI1663" t="s">
        <v>644</v>
      </c>
      <c r="AJ1663">
        <v>34.190010999999998</v>
      </c>
      <c r="AK1663" t="s">
        <v>645</v>
      </c>
      <c r="AL1663">
        <v>-116.995254</v>
      </c>
      <c r="AM1663">
        <v>100</v>
      </c>
      <c r="AN1663">
        <v>8600</v>
      </c>
      <c r="AO1663" t="s">
        <v>118</v>
      </c>
      <c r="AP1663">
        <v>-102</v>
      </c>
      <c r="AQ1663">
        <v>-67</v>
      </c>
      <c r="AR1663">
        <v>-640</v>
      </c>
      <c r="AZ1663">
        <v>1200</v>
      </c>
      <c r="BA1663">
        <v>1</v>
      </c>
      <c r="BB1663" t="str">
        <f t="shared" si="877"/>
        <v xml:space="preserve">N9217B  </v>
      </c>
      <c r="BC1663">
        <v>1</v>
      </c>
      <c r="BE1663">
        <v>0</v>
      </c>
      <c r="BF1663">
        <v>0</v>
      </c>
      <c r="BG1663">
        <v>0</v>
      </c>
      <c r="BH1663">
        <v>8575</v>
      </c>
      <c r="BI1663">
        <v>1</v>
      </c>
      <c r="BJ1663">
        <v>0</v>
      </c>
      <c r="BK1663">
        <v>0</v>
      </c>
      <c r="BL1663">
        <v>0</v>
      </c>
      <c r="BO1663">
        <v>0</v>
      </c>
      <c r="BP1663">
        <v>0</v>
      </c>
      <c r="BW1663" t="str">
        <f t="shared" si="911"/>
        <v>14:53:11.188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285</v>
      </c>
      <c r="CR1663">
        <v>0</v>
      </c>
      <c r="CW1663">
        <v>8856194</v>
      </c>
      <c r="CY1663">
        <v>0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25">
      <c r="A1664" t="str">
        <f t="shared" si="909"/>
        <v>06/05/2020 14:53:05.537</v>
      </c>
      <c r="C1664" t="str">
        <f t="shared" si="897"/>
        <v>FFDFD3C0</v>
      </c>
      <c r="D1664" t="s">
        <v>148</v>
      </c>
      <c r="E1664">
        <v>11</v>
      </c>
      <c r="H1664">
        <v>53</v>
      </c>
      <c r="I1664" t="s">
        <v>364</v>
      </c>
      <c r="J1664" t="s">
        <v>150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910"/>
        <v>14:53:11.188</v>
      </c>
      <c r="T1664" t="str">
        <f t="shared" si="910"/>
        <v>14:53:11.188</v>
      </c>
      <c r="U1664" t="str">
        <f t="shared" si="876"/>
        <v>ACC530</v>
      </c>
      <c r="V1664">
        <v>0</v>
      </c>
      <c r="W1664">
        <v>0</v>
      </c>
      <c r="X1664">
        <v>1</v>
      </c>
      <c r="Z1664">
        <v>0</v>
      </c>
      <c r="AA1664">
        <v>9</v>
      </c>
      <c r="AB1664">
        <v>3</v>
      </c>
      <c r="AC1664">
        <v>0</v>
      </c>
      <c r="AD1664">
        <v>9</v>
      </c>
      <c r="AE1664">
        <v>0</v>
      </c>
      <c r="AF1664">
        <v>3</v>
      </c>
      <c r="AG1664">
        <v>1</v>
      </c>
      <c r="AH1664">
        <v>0</v>
      </c>
      <c r="AI1664" t="s">
        <v>644</v>
      </c>
      <c r="AJ1664">
        <v>34.190010999999998</v>
      </c>
      <c r="AK1664" t="s">
        <v>645</v>
      </c>
      <c r="AL1664">
        <v>-116.995254</v>
      </c>
      <c r="AM1664">
        <v>100</v>
      </c>
      <c r="AN1664">
        <v>8600</v>
      </c>
      <c r="AO1664" t="s">
        <v>118</v>
      </c>
      <c r="AP1664">
        <v>-102</v>
      </c>
      <c r="AQ1664">
        <v>-67</v>
      </c>
      <c r="AR1664">
        <v>-640</v>
      </c>
      <c r="AZ1664">
        <v>1200</v>
      </c>
      <c r="BA1664">
        <v>1</v>
      </c>
      <c r="BB1664" t="str">
        <f t="shared" si="877"/>
        <v xml:space="preserve">N9217B  </v>
      </c>
      <c r="BC1664">
        <v>1</v>
      </c>
      <c r="BE1664">
        <v>0</v>
      </c>
      <c r="BF1664">
        <v>0</v>
      </c>
      <c r="BG1664">
        <v>0</v>
      </c>
      <c r="BH1664">
        <v>8575</v>
      </c>
      <c r="BI1664">
        <v>1</v>
      </c>
      <c r="BJ1664">
        <v>0</v>
      </c>
      <c r="BK1664">
        <v>0</v>
      </c>
      <c r="BL1664">
        <v>0</v>
      </c>
      <c r="BO1664">
        <v>0</v>
      </c>
      <c r="BP1664">
        <v>0</v>
      </c>
      <c r="BW1664" t="str">
        <f t="shared" si="911"/>
        <v>14:53:11.188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285</v>
      </c>
      <c r="CR1664">
        <v>0</v>
      </c>
      <c r="CW1664">
        <v>8856194</v>
      </c>
      <c r="CY1664">
        <v>0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25">
      <c r="A1665" t="str">
        <f t="shared" si="909"/>
        <v>06/05/2020 14:53:05.537</v>
      </c>
      <c r="C1665" t="str">
        <f t="shared" si="897"/>
        <v>FFDFD3C0</v>
      </c>
      <c r="D1665" t="s">
        <v>151</v>
      </c>
      <c r="E1665">
        <v>9</v>
      </c>
      <c r="H1665">
        <v>226</v>
      </c>
      <c r="I1665" t="s">
        <v>152</v>
      </c>
      <c r="J1665" t="s">
        <v>150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910"/>
        <v>14:53:11.188</v>
      </c>
      <c r="T1665" t="str">
        <f t="shared" si="910"/>
        <v>14:53:11.188</v>
      </c>
      <c r="U1665" t="str">
        <f t="shared" si="876"/>
        <v>ACC530</v>
      </c>
      <c r="V1665">
        <v>0</v>
      </c>
      <c r="W1665">
        <v>0</v>
      </c>
      <c r="X1665">
        <v>1</v>
      </c>
      <c r="Z1665">
        <v>0</v>
      </c>
      <c r="AA1665">
        <v>9</v>
      </c>
      <c r="AB1665">
        <v>3</v>
      </c>
      <c r="AC1665">
        <v>0</v>
      </c>
      <c r="AD1665">
        <v>9</v>
      </c>
      <c r="AE1665">
        <v>0</v>
      </c>
      <c r="AF1665">
        <v>3</v>
      </c>
      <c r="AG1665">
        <v>1</v>
      </c>
      <c r="AH1665">
        <v>0</v>
      </c>
      <c r="AI1665" t="s">
        <v>644</v>
      </c>
      <c r="AJ1665">
        <v>34.190010999999998</v>
      </c>
      <c r="AK1665" t="s">
        <v>645</v>
      </c>
      <c r="AL1665">
        <v>-116.995254</v>
      </c>
      <c r="AM1665">
        <v>100</v>
      </c>
      <c r="AN1665">
        <v>8600</v>
      </c>
      <c r="AO1665" t="s">
        <v>118</v>
      </c>
      <c r="AP1665">
        <v>-102</v>
      </c>
      <c r="AQ1665">
        <v>-67</v>
      </c>
      <c r="AR1665">
        <v>-640</v>
      </c>
      <c r="AZ1665">
        <v>1200</v>
      </c>
      <c r="BA1665">
        <v>1</v>
      </c>
      <c r="BB1665" t="str">
        <f t="shared" si="877"/>
        <v xml:space="preserve">N9217B  </v>
      </c>
      <c r="BC1665">
        <v>1</v>
      </c>
      <c r="BE1665">
        <v>0</v>
      </c>
      <c r="BF1665">
        <v>0</v>
      </c>
      <c r="BG1665">
        <v>0</v>
      </c>
      <c r="BH1665">
        <v>8575</v>
      </c>
      <c r="BI1665">
        <v>1</v>
      </c>
      <c r="BJ1665">
        <v>0</v>
      </c>
      <c r="BK1665">
        <v>0</v>
      </c>
      <c r="BL1665">
        <v>0</v>
      </c>
      <c r="BO1665">
        <v>0</v>
      </c>
      <c r="BP1665">
        <v>0</v>
      </c>
      <c r="BW1665" t="str">
        <f t="shared" si="911"/>
        <v>14:53:11.188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285</v>
      </c>
      <c r="CR1665">
        <v>0</v>
      </c>
      <c r="CW1665">
        <v>8856194</v>
      </c>
      <c r="CY1665">
        <v>0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25">
      <c r="A1666" t="str">
        <f t="shared" si="909"/>
        <v>06/05/2020 14:53:05.537</v>
      </c>
      <c r="C1666" t="str">
        <f t="shared" si="897"/>
        <v>FFDFD3C0</v>
      </c>
      <c r="D1666" t="s">
        <v>141</v>
      </c>
      <c r="E1666">
        <v>20</v>
      </c>
      <c r="F1666">
        <v>1020</v>
      </c>
      <c r="G1666" t="s">
        <v>114</v>
      </c>
      <c r="J1666" t="s">
        <v>142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910"/>
        <v>14:53:11.188</v>
      </c>
      <c r="T1666" t="str">
        <f t="shared" si="910"/>
        <v>14:53:11.188</v>
      </c>
      <c r="U1666" t="str">
        <f t="shared" ref="U1666:U1729" si="912">"ACC530"</f>
        <v>ACC530</v>
      </c>
      <c r="V1666">
        <v>0</v>
      </c>
      <c r="W1666">
        <v>0</v>
      </c>
      <c r="X1666">
        <v>1</v>
      </c>
      <c r="Z1666">
        <v>0</v>
      </c>
      <c r="AA1666">
        <v>9</v>
      </c>
      <c r="AB1666">
        <v>3</v>
      </c>
      <c r="AC1666">
        <v>0</v>
      </c>
      <c r="AD1666">
        <v>9</v>
      </c>
      <c r="AE1666">
        <v>0</v>
      </c>
      <c r="AF1666">
        <v>3</v>
      </c>
      <c r="AG1666">
        <v>1</v>
      </c>
      <c r="AH1666">
        <v>0</v>
      </c>
      <c r="AI1666" t="s">
        <v>644</v>
      </c>
      <c r="AJ1666">
        <v>34.190010999999998</v>
      </c>
      <c r="AK1666" t="s">
        <v>645</v>
      </c>
      <c r="AL1666">
        <v>-116.995254</v>
      </c>
      <c r="AM1666">
        <v>100</v>
      </c>
      <c r="AN1666">
        <v>8600</v>
      </c>
      <c r="AO1666" t="s">
        <v>118</v>
      </c>
      <c r="AP1666">
        <v>-102</v>
      </c>
      <c r="AQ1666">
        <v>-67</v>
      </c>
      <c r="AR1666">
        <v>-640</v>
      </c>
      <c r="AZ1666">
        <v>1200</v>
      </c>
      <c r="BA1666">
        <v>1</v>
      </c>
      <c r="BB1666" t="str">
        <f t="shared" si="877"/>
        <v xml:space="preserve">N9217B  </v>
      </c>
      <c r="BC1666">
        <v>1</v>
      </c>
      <c r="BE1666">
        <v>0</v>
      </c>
      <c r="BF1666">
        <v>0</v>
      </c>
      <c r="BG1666">
        <v>0</v>
      </c>
      <c r="BH1666">
        <v>8575</v>
      </c>
      <c r="BI1666">
        <v>1</v>
      </c>
      <c r="BJ1666">
        <v>0</v>
      </c>
      <c r="BK1666">
        <v>0</v>
      </c>
      <c r="BL1666">
        <v>0</v>
      </c>
      <c r="BO1666">
        <v>0</v>
      </c>
      <c r="BP1666">
        <v>0</v>
      </c>
      <c r="BW1666" t="str">
        <f t="shared" si="911"/>
        <v>14:53:11.188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285</v>
      </c>
      <c r="CR1666">
        <v>0</v>
      </c>
      <c r="CW1666">
        <v>8856194</v>
      </c>
      <c r="CY1666">
        <v>0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25">
      <c r="A1667" t="str">
        <f t="shared" si="909"/>
        <v>06/05/2020 14:53:05.537</v>
      </c>
      <c r="C1667" t="str">
        <f t="shared" si="897"/>
        <v>FFDFD3C0</v>
      </c>
      <c r="D1667" t="s">
        <v>148</v>
      </c>
      <c r="E1667">
        <v>8</v>
      </c>
      <c r="H1667">
        <v>50</v>
      </c>
      <c r="I1667" t="s">
        <v>149</v>
      </c>
      <c r="J1667" t="s">
        <v>150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910"/>
        <v>14:53:11.188</v>
      </c>
      <c r="T1667" t="str">
        <f t="shared" si="910"/>
        <v>14:53:11.188</v>
      </c>
      <c r="U1667" t="str">
        <f t="shared" si="912"/>
        <v>ACC530</v>
      </c>
      <c r="V1667">
        <v>0</v>
      </c>
      <c r="W1667">
        <v>0</v>
      </c>
      <c r="X1667">
        <v>1</v>
      </c>
      <c r="Z1667">
        <v>0</v>
      </c>
      <c r="AA1667">
        <v>9</v>
      </c>
      <c r="AB1667">
        <v>3</v>
      </c>
      <c r="AC1667">
        <v>0</v>
      </c>
      <c r="AD1667">
        <v>9</v>
      </c>
      <c r="AE1667">
        <v>0</v>
      </c>
      <c r="AF1667">
        <v>3</v>
      </c>
      <c r="AG1667">
        <v>1</v>
      </c>
      <c r="AH1667">
        <v>0</v>
      </c>
      <c r="AI1667" t="s">
        <v>644</v>
      </c>
      <c r="AJ1667">
        <v>34.190010999999998</v>
      </c>
      <c r="AK1667" t="s">
        <v>645</v>
      </c>
      <c r="AL1667">
        <v>-116.995254</v>
      </c>
      <c r="AM1667">
        <v>100</v>
      </c>
      <c r="AN1667">
        <v>8600</v>
      </c>
      <c r="AO1667" t="s">
        <v>118</v>
      </c>
      <c r="AP1667">
        <v>-102</v>
      </c>
      <c r="AQ1667">
        <v>-67</v>
      </c>
      <c r="AR1667">
        <v>-640</v>
      </c>
      <c r="AZ1667">
        <v>1200</v>
      </c>
      <c r="BA1667">
        <v>1</v>
      </c>
      <c r="BB1667" t="str">
        <f t="shared" si="877"/>
        <v xml:space="preserve">N9217B  </v>
      </c>
      <c r="BC1667">
        <v>1</v>
      </c>
      <c r="BE1667">
        <v>0</v>
      </c>
      <c r="BF1667">
        <v>0</v>
      </c>
      <c r="BG1667">
        <v>0</v>
      </c>
      <c r="BH1667">
        <v>8575</v>
      </c>
      <c r="BI1667">
        <v>1</v>
      </c>
      <c r="BJ1667">
        <v>0</v>
      </c>
      <c r="BK1667">
        <v>0</v>
      </c>
      <c r="BL1667">
        <v>0</v>
      </c>
      <c r="BO1667">
        <v>0</v>
      </c>
      <c r="BP1667">
        <v>0</v>
      </c>
      <c r="BW1667" t="str">
        <f t="shared" si="911"/>
        <v>14:53:11.188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285</v>
      </c>
      <c r="CR1667">
        <v>0</v>
      </c>
      <c r="CW1667">
        <v>8856194</v>
      </c>
      <c r="CY1667">
        <v>0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25">
      <c r="A1668" t="str">
        <f t="shared" si="909"/>
        <v>06/05/2020 14:53:05.537</v>
      </c>
      <c r="C1668" t="str">
        <f t="shared" si="897"/>
        <v>FFDFD3C0</v>
      </c>
      <c r="D1668" t="s">
        <v>134</v>
      </c>
      <c r="E1668">
        <v>7</v>
      </c>
      <c r="F1668">
        <v>2007</v>
      </c>
      <c r="G1668" t="s">
        <v>135</v>
      </c>
      <c r="J1668" t="s">
        <v>136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910"/>
        <v>14:53:11.188</v>
      </c>
      <c r="T1668" t="str">
        <f t="shared" si="910"/>
        <v>14:53:11.188</v>
      </c>
      <c r="U1668" t="str">
        <f t="shared" si="912"/>
        <v>ACC530</v>
      </c>
      <c r="V1668">
        <v>0</v>
      </c>
      <c r="W1668">
        <v>0</v>
      </c>
      <c r="X1668">
        <v>1</v>
      </c>
      <c r="Z1668">
        <v>0</v>
      </c>
      <c r="AA1668">
        <v>9</v>
      </c>
      <c r="AB1668">
        <v>3</v>
      </c>
      <c r="AC1668">
        <v>0</v>
      </c>
      <c r="AD1668">
        <v>9</v>
      </c>
      <c r="AE1668">
        <v>0</v>
      </c>
      <c r="AF1668">
        <v>3</v>
      </c>
      <c r="AG1668">
        <v>1</v>
      </c>
      <c r="AH1668">
        <v>0</v>
      </c>
      <c r="AI1668" t="s">
        <v>644</v>
      </c>
      <c r="AJ1668">
        <v>34.190010999999998</v>
      </c>
      <c r="AK1668" t="s">
        <v>645</v>
      </c>
      <c r="AL1668">
        <v>-116.995254</v>
      </c>
      <c r="AM1668">
        <v>100</v>
      </c>
      <c r="AN1668">
        <v>8600</v>
      </c>
      <c r="AO1668" t="s">
        <v>118</v>
      </c>
      <c r="AP1668">
        <v>-102</v>
      </c>
      <c r="AQ1668">
        <v>-67</v>
      </c>
      <c r="AR1668">
        <v>-640</v>
      </c>
      <c r="AZ1668">
        <v>1200</v>
      </c>
      <c r="BA1668">
        <v>1</v>
      </c>
      <c r="BB1668" t="str">
        <f t="shared" si="877"/>
        <v xml:space="preserve">N9217B  </v>
      </c>
      <c r="BC1668">
        <v>1</v>
      </c>
      <c r="BE1668">
        <v>0</v>
      </c>
      <c r="BF1668">
        <v>0</v>
      </c>
      <c r="BG1668">
        <v>0</v>
      </c>
      <c r="BH1668">
        <v>8575</v>
      </c>
      <c r="BI1668">
        <v>1</v>
      </c>
      <c r="BJ1668">
        <v>0</v>
      </c>
      <c r="BK1668">
        <v>0</v>
      </c>
      <c r="BL1668">
        <v>0</v>
      </c>
      <c r="BO1668">
        <v>0</v>
      </c>
      <c r="BP1668">
        <v>0</v>
      </c>
      <c r="BW1668" t="str">
        <f t="shared" si="911"/>
        <v>14:53:11.188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285</v>
      </c>
      <c r="CR1668">
        <v>0</v>
      </c>
      <c r="CW1668">
        <v>8856194</v>
      </c>
      <c r="CY1668">
        <v>0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25">
      <c r="A1669" t="str">
        <f t="shared" ref="A1669:A1675" si="913">"06/05/2020 14:53:06.394"</f>
        <v>06/05/2020 14:53:06.394</v>
      </c>
      <c r="C1669" t="str">
        <f t="shared" si="897"/>
        <v>FFDFD3C0</v>
      </c>
      <c r="D1669" t="s">
        <v>113</v>
      </c>
      <c r="E1669">
        <v>3</v>
      </c>
      <c r="H1669">
        <v>166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ref="S1669:S1675" si="914">"14:53:12.055"</f>
        <v>14:53:12.055</v>
      </c>
      <c r="T1669" t="str">
        <f t="shared" ref="T1669:T1675" si="915">"14:53:11.655"</f>
        <v>14:53:11.655</v>
      </c>
      <c r="U1669" t="str">
        <f t="shared" si="912"/>
        <v>ACC530</v>
      </c>
      <c r="V1669">
        <v>0</v>
      </c>
      <c r="W1669">
        <v>0</v>
      </c>
      <c r="X1669">
        <v>1</v>
      </c>
      <c r="Z1669">
        <v>0</v>
      </c>
      <c r="AA1669">
        <v>9</v>
      </c>
      <c r="AB1669">
        <v>3</v>
      </c>
      <c r="AC1669">
        <v>0</v>
      </c>
      <c r="AD1669">
        <v>9</v>
      </c>
      <c r="AE1669">
        <v>0</v>
      </c>
      <c r="AF1669">
        <v>3</v>
      </c>
      <c r="AG1669">
        <v>1</v>
      </c>
      <c r="AH1669">
        <v>0</v>
      </c>
      <c r="AI1669" t="s">
        <v>646</v>
      </c>
      <c r="AJ1669">
        <v>34.189731999999999</v>
      </c>
      <c r="AK1669" t="s">
        <v>647</v>
      </c>
      <c r="AL1669">
        <v>-116.995769</v>
      </c>
      <c r="AM1669">
        <v>100</v>
      </c>
      <c r="AN1669">
        <v>8600</v>
      </c>
      <c r="AO1669" t="s">
        <v>118</v>
      </c>
      <c r="AP1669">
        <v>-102</v>
      </c>
      <c r="AQ1669">
        <v>-67</v>
      </c>
      <c r="AR1669">
        <v>-640</v>
      </c>
      <c r="AZ1669">
        <v>1200</v>
      </c>
      <c r="BA1669">
        <v>1</v>
      </c>
      <c r="BB1669" t="str">
        <f t="shared" ref="BB1669:BB1732" si="916">"N9217B  "</f>
        <v xml:space="preserve">N9217B  </v>
      </c>
      <c r="BC1669">
        <v>1</v>
      </c>
      <c r="BE1669">
        <v>0</v>
      </c>
      <c r="BF1669">
        <v>0</v>
      </c>
      <c r="BG1669">
        <v>0</v>
      </c>
      <c r="BH1669">
        <v>8575</v>
      </c>
      <c r="BI1669">
        <v>1</v>
      </c>
      <c r="BJ1669">
        <v>0</v>
      </c>
      <c r="BK1669">
        <v>0</v>
      </c>
      <c r="BL1669">
        <v>0</v>
      </c>
      <c r="BO1669">
        <v>0</v>
      </c>
      <c r="BP1669">
        <v>0</v>
      </c>
      <c r="BW1669" t="str">
        <f t="shared" ref="BW1669:BW1675" si="917">"14:53:12.058"</f>
        <v>14:53:12.058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6</v>
      </c>
      <c r="CP1669" t="s">
        <v>119</v>
      </c>
      <c r="CQ1669">
        <v>285</v>
      </c>
      <c r="CR1669">
        <v>0</v>
      </c>
      <c r="CW1669">
        <v>8856269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25">
      <c r="A1670" t="str">
        <f t="shared" si="913"/>
        <v>06/05/2020 14:53:06.394</v>
      </c>
      <c r="C1670" t="str">
        <f t="shared" si="897"/>
        <v>FFDFD3C0</v>
      </c>
      <c r="D1670" t="s">
        <v>151</v>
      </c>
      <c r="E1670">
        <v>8</v>
      </c>
      <c r="H1670">
        <v>225</v>
      </c>
      <c r="I1670" t="s">
        <v>353</v>
      </c>
      <c r="J1670" t="s">
        <v>150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914"/>
        <v>14:53:12.055</v>
      </c>
      <c r="T1670" t="str">
        <f t="shared" si="915"/>
        <v>14:53:11.655</v>
      </c>
      <c r="U1670" t="str">
        <f t="shared" si="912"/>
        <v>ACC530</v>
      </c>
      <c r="V1670">
        <v>0</v>
      </c>
      <c r="W1670">
        <v>0</v>
      </c>
      <c r="X1670">
        <v>1</v>
      </c>
      <c r="Z1670">
        <v>0</v>
      </c>
      <c r="AA1670">
        <v>9</v>
      </c>
      <c r="AB1670">
        <v>3</v>
      </c>
      <c r="AC1670">
        <v>0</v>
      </c>
      <c r="AD1670">
        <v>9</v>
      </c>
      <c r="AE1670">
        <v>0</v>
      </c>
      <c r="AF1670">
        <v>3</v>
      </c>
      <c r="AG1670">
        <v>1</v>
      </c>
      <c r="AH1670">
        <v>0</v>
      </c>
      <c r="AI1670" t="s">
        <v>646</v>
      </c>
      <c r="AJ1670">
        <v>34.189731999999999</v>
      </c>
      <c r="AK1670" t="s">
        <v>647</v>
      </c>
      <c r="AL1670">
        <v>-116.995769</v>
      </c>
      <c r="AM1670">
        <v>100</v>
      </c>
      <c r="AN1670">
        <v>8600</v>
      </c>
      <c r="AO1670" t="s">
        <v>118</v>
      </c>
      <c r="AP1670">
        <v>-102</v>
      </c>
      <c r="AQ1670">
        <v>-67</v>
      </c>
      <c r="AR1670">
        <v>-640</v>
      </c>
      <c r="AZ1670">
        <v>1200</v>
      </c>
      <c r="BA1670">
        <v>1</v>
      </c>
      <c r="BB1670" t="str">
        <f t="shared" si="916"/>
        <v xml:space="preserve">N9217B  </v>
      </c>
      <c r="BC1670">
        <v>1</v>
      </c>
      <c r="BE1670">
        <v>0</v>
      </c>
      <c r="BF1670">
        <v>0</v>
      </c>
      <c r="BG1670">
        <v>0</v>
      </c>
      <c r="BH1670">
        <v>8575</v>
      </c>
      <c r="BI1670">
        <v>1</v>
      </c>
      <c r="BJ1670">
        <v>0</v>
      </c>
      <c r="BK1670">
        <v>0</v>
      </c>
      <c r="BL1670">
        <v>0</v>
      </c>
      <c r="BO1670">
        <v>0</v>
      </c>
      <c r="BP1670">
        <v>0</v>
      </c>
      <c r="BW1670" t="str">
        <f t="shared" si="917"/>
        <v>14:53:12.058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6</v>
      </c>
      <c r="CP1670" t="s">
        <v>119</v>
      </c>
      <c r="CQ1670">
        <v>285</v>
      </c>
      <c r="CR1670">
        <v>0</v>
      </c>
      <c r="CW1670">
        <v>8856269</v>
      </c>
      <c r="CY1670">
        <v>0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25">
      <c r="A1671" t="str">
        <f t="shared" si="913"/>
        <v>06/05/2020 14:53:06.394</v>
      </c>
      <c r="C1671" t="str">
        <f t="shared" si="897"/>
        <v>FFDFD3C0</v>
      </c>
      <c r="D1671" t="s">
        <v>148</v>
      </c>
      <c r="E1671">
        <v>11</v>
      </c>
      <c r="H1671">
        <v>53</v>
      </c>
      <c r="I1671" t="s">
        <v>364</v>
      </c>
      <c r="J1671" t="s">
        <v>150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914"/>
        <v>14:53:12.055</v>
      </c>
      <c r="T1671" t="str">
        <f t="shared" si="915"/>
        <v>14:53:11.655</v>
      </c>
      <c r="U1671" t="str">
        <f t="shared" si="912"/>
        <v>ACC530</v>
      </c>
      <c r="V1671">
        <v>0</v>
      </c>
      <c r="W1671">
        <v>0</v>
      </c>
      <c r="X1671">
        <v>1</v>
      </c>
      <c r="Z1671">
        <v>0</v>
      </c>
      <c r="AA1671">
        <v>9</v>
      </c>
      <c r="AB1671">
        <v>3</v>
      </c>
      <c r="AC1671">
        <v>0</v>
      </c>
      <c r="AD1671">
        <v>9</v>
      </c>
      <c r="AE1671">
        <v>0</v>
      </c>
      <c r="AF1671">
        <v>3</v>
      </c>
      <c r="AG1671">
        <v>1</v>
      </c>
      <c r="AH1671">
        <v>0</v>
      </c>
      <c r="AI1671" t="s">
        <v>646</v>
      </c>
      <c r="AJ1671">
        <v>34.189731999999999</v>
      </c>
      <c r="AK1671" t="s">
        <v>647</v>
      </c>
      <c r="AL1671">
        <v>-116.995769</v>
      </c>
      <c r="AM1671">
        <v>100</v>
      </c>
      <c r="AN1671">
        <v>8600</v>
      </c>
      <c r="AO1671" t="s">
        <v>118</v>
      </c>
      <c r="AP1671">
        <v>-102</v>
      </c>
      <c r="AQ1671">
        <v>-67</v>
      </c>
      <c r="AR1671">
        <v>-640</v>
      </c>
      <c r="AZ1671">
        <v>1200</v>
      </c>
      <c r="BA1671">
        <v>1</v>
      </c>
      <c r="BB1671" t="str">
        <f t="shared" si="916"/>
        <v xml:space="preserve">N9217B  </v>
      </c>
      <c r="BC1671">
        <v>1</v>
      </c>
      <c r="BE1671">
        <v>0</v>
      </c>
      <c r="BF1671">
        <v>0</v>
      </c>
      <c r="BG1671">
        <v>0</v>
      </c>
      <c r="BH1671">
        <v>8575</v>
      </c>
      <c r="BI1671">
        <v>1</v>
      </c>
      <c r="BJ1671">
        <v>0</v>
      </c>
      <c r="BK1671">
        <v>0</v>
      </c>
      <c r="BL1671">
        <v>0</v>
      </c>
      <c r="BO1671">
        <v>0</v>
      </c>
      <c r="BP1671">
        <v>0</v>
      </c>
      <c r="BW1671" t="str">
        <f t="shared" si="917"/>
        <v>14:53:12.058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6</v>
      </c>
      <c r="CP1671" t="s">
        <v>119</v>
      </c>
      <c r="CQ1671">
        <v>285</v>
      </c>
      <c r="CR1671">
        <v>0</v>
      </c>
      <c r="CW1671">
        <v>8856269</v>
      </c>
      <c r="CY1671">
        <v>0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25">
      <c r="A1672" t="str">
        <f t="shared" si="913"/>
        <v>06/05/2020 14:53:06.394</v>
      </c>
      <c r="C1672" t="str">
        <f t="shared" si="897"/>
        <v>FFDFD3C0</v>
      </c>
      <c r="D1672" t="s">
        <v>151</v>
      </c>
      <c r="E1672">
        <v>9</v>
      </c>
      <c r="H1672">
        <v>226</v>
      </c>
      <c r="I1672" t="s">
        <v>152</v>
      </c>
      <c r="J1672" t="s">
        <v>150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914"/>
        <v>14:53:12.055</v>
      </c>
      <c r="T1672" t="str">
        <f t="shared" si="915"/>
        <v>14:53:11.655</v>
      </c>
      <c r="U1672" t="str">
        <f t="shared" si="912"/>
        <v>ACC530</v>
      </c>
      <c r="V1672">
        <v>0</v>
      </c>
      <c r="W1672">
        <v>0</v>
      </c>
      <c r="X1672">
        <v>1</v>
      </c>
      <c r="Z1672">
        <v>0</v>
      </c>
      <c r="AA1672">
        <v>9</v>
      </c>
      <c r="AB1672">
        <v>3</v>
      </c>
      <c r="AC1672">
        <v>0</v>
      </c>
      <c r="AD1672">
        <v>9</v>
      </c>
      <c r="AE1672">
        <v>0</v>
      </c>
      <c r="AF1672">
        <v>3</v>
      </c>
      <c r="AG1672">
        <v>1</v>
      </c>
      <c r="AH1672">
        <v>0</v>
      </c>
      <c r="AI1672" t="s">
        <v>646</v>
      </c>
      <c r="AJ1672">
        <v>34.189731999999999</v>
      </c>
      <c r="AK1672" t="s">
        <v>647</v>
      </c>
      <c r="AL1672">
        <v>-116.995769</v>
      </c>
      <c r="AM1672">
        <v>100</v>
      </c>
      <c r="AN1672">
        <v>8600</v>
      </c>
      <c r="AO1672" t="s">
        <v>118</v>
      </c>
      <c r="AP1672">
        <v>-102</v>
      </c>
      <c r="AQ1672">
        <v>-67</v>
      </c>
      <c r="AR1672">
        <v>-640</v>
      </c>
      <c r="AZ1672">
        <v>1200</v>
      </c>
      <c r="BA1672">
        <v>1</v>
      </c>
      <c r="BB1672" t="str">
        <f t="shared" si="916"/>
        <v xml:space="preserve">N9217B  </v>
      </c>
      <c r="BC1672">
        <v>1</v>
      </c>
      <c r="BE1672">
        <v>0</v>
      </c>
      <c r="BF1672">
        <v>0</v>
      </c>
      <c r="BG1672">
        <v>0</v>
      </c>
      <c r="BH1672">
        <v>8575</v>
      </c>
      <c r="BI1672">
        <v>1</v>
      </c>
      <c r="BJ1672">
        <v>0</v>
      </c>
      <c r="BK1672">
        <v>0</v>
      </c>
      <c r="BL1672">
        <v>0</v>
      </c>
      <c r="BO1672">
        <v>0</v>
      </c>
      <c r="BP1672">
        <v>0</v>
      </c>
      <c r="BW1672" t="str">
        <f t="shared" si="917"/>
        <v>14:53:12.058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6</v>
      </c>
      <c r="CP1672" t="s">
        <v>119</v>
      </c>
      <c r="CQ1672">
        <v>285</v>
      </c>
      <c r="CR1672">
        <v>0</v>
      </c>
      <c r="CW1672">
        <v>8856269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25">
      <c r="A1673" t="str">
        <f t="shared" si="913"/>
        <v>06/05/2020 14:53:06.394</v>
      </c>
      <c r="C1673" t="str">
        <f t="shared" si="897"/>
        <v>FFDFD3C0</v>
      </c>
      <c r="D1673" t="s">
        <v>141</v>
      </c>
      <c r="E1673">
        <v>20</v>
      </c>
      <c r="F1673">
        <v>1020</v>
      </c>
      <c r="G1673" t="s">
        <v>114</v>
      </c>
      <c r="J1673" t="s">
        <v>142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914"/>
        <v>14:53:12.055</v>
      </c>
      <c r="T1673" t="str">
        <f t="shared" si="915"/>
        <v>14:53:11.655</v>
      </c>
      <c r="U1673" t="str">
        <f t="shared" si="912"/>
        <v>ACC530</v>
      </c>
      <c r="V1673">
        <v>0</v>
      </c>
      <c r="W1673">
        <v>0</v>
      </c>
      <c r="X1673">
        <v>1</v>
      </c>
      <c r="Z1673">
        <v>0</v>
      </c>
      <c r="AA1673">
        <v>9</v>
      </c>
      <c r="AB1673">
        <v>3</v>
      </c>
      <c r="AC1673">
        <v>0</v>
      </c>
      <c r="AD1673">
        <v>9</v>
      </c>
      <c r="AE1673">
        <v>0</v>
      </c>
      <c r="AF1673">
        <v>3</v>
      </c>
      <c r="AG1673">
        <v>1</v>
      </c>
      <c r="AH1673">
        <v>0</v>
      </c>
      <c r="AI1673" t="s">
        <v>646</v>
      </c>
      <c r="AJ1673">
        <v>34.189731999999999</v>
      </c>
      <c r="AK1673" t="s">
        <v>647</v>
      </c>
      <c r="AL1673">
        <v>-116.995769</v>
      </c>
      <c r="AM1673">
        <v>100</v>
      </c>
      <c r="AN1673">
        <v>8600</v>
      </c>
      <c r="AO1673" t="s">
        <v>118</v>
      </c>
      <c r="AP1673">
        <v>-102</v>
      </c>
      <c r="AQ1673">
        <v>-67</v>
      </c>
      <c r="AR1673">
        <v>-640</v>
      </c>
      <c r="AZ1673">
        <v>1200</v>
      </c>
      <c r="BA1673">
        <v>1</v>
      </c>
      <c r="BB1673" t="str">
        <f t="shared" si="916"/>
        <v xml:space="preserve">N9217B  </v>
      </c>
      <c r="BC1673">
        <v>1</v>
      </c>
      <c r="BE1673">
        <v>0</v>
      </c>
      <c r="BF1673">
        <v>0</v>
      </c>
      <c r="BG1673">
        <v>0</v>
      </c>
      <c r="BH1673">
        <v>8575</v>
      </c>
      <c r="BI1673">
        <v>1</v>
      </c>
      <c r="BJ1673">
        <v>0</v>
      </c>
      <c r="BK1673">
        <v>0</v>
      </c>
      <c r="BL1673">
        <v>0</v>
      </c>
      <c r="BO1673">
        <v>0</v>
      </c>
      <c r="BP1673">
        <v>0</v>
      </c>
      <c r="BW1673" t="str">
        <f t="shared" si="917"/>
        <v>14:53:12.058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6</v>
      </c>
      <c r="CP1673" t="s">
        <v>119</v>
      </c>
      <c r="CQ1673">
        <v>285</v>
      </c>
      <c r="CR1673">
        <v>0</v>
      </c>
      <c r="CW1673">
        <v>8856269</v>
      </c>
      <c r="CY1673">
        <v>0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25">
      <c r="A1674" t="str">
        <f t="shared" si="913"/>
        <v>06/05/2020 14:53:06.394</v>
      </c>
      <c r="C1674" t="str">
        <f t="shared" si="897"/>
        <v>FFDFD3C0</v>
      </c>
      <c r="D1674" t="s">
        <v>148</v>
      </c>
      <c r="E1674">
        <v>8</v>
      </c>
      <c r="H1674">
        <v>50</v>
      </c>
      <c r="I1674" t="s">
        <v>149</v>
      </c>
      <c r="J1674" t="s">
        <v>150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914"/>
        <v>14:53:12.055</v>
      </c>
      <c r="T1674" t="str">
        <f t="shared" si="915"/>
        <v>14:53:11.655</v>
      </c>
      <c r="U1674" t="str">
        <f t="shared" si="912"/>
        <v>ACC530</v>
      </c>
      <c r="V1674">
        <v>0</v>
      </c>
      <c r="W1674">
        <v>0</v>
      </c>
      <c r="X1674">
        <v>1</v>
      </c>
      <c r="Z1674">
        <v>0</v>
      </c>
      <c r="AA1674">
        <v>9</v>
      </c>
      <c r="AB1674">
        <v>3</v>
      </c>
      <c r="AC1674">
        <v>0</v>
      </c>
      <c r="AD1674">
        <v>9</v>
      </c>
      <c r="AE1674">
        <v>0</v>
      </c>
      <c r="AF1674">
        <v>3</v>
      </c>
      <c r="AG1674">
        <v>1</v>
      </c>
      <c r="AH1674">
        <v>0</v>
      </c>
      <c r="AI1674" t="s">
        <v>646</v>
      </c>
      <c r="AJ1674">
        <v>34.189731999999999</v>
      </c>
      <c r="AK1674" t="s">
        <v>647</v>
      </c>
      <c r="AL1674">
        <v>-116.995769</v>
      </c>
      <c r="AM1674">
        <v>100</v>
      </c>
      <c r="AN1674">
        <v>8600</v>
      </c>
      <c r="AO1674" t="s">
        <v>118</v>
      </c>
      <c r="AP1674">
        <v>-102</v>
      </c>
      <c r="AQ1674">
        <v>-67</v>
      </c>
      <c r="AR1674">
        <v>-640</v>
      </c>
      <c r="AZ1674">
        <v>1200</v>
      </c>
      <c r="BA1674">
        <v>1</v>
      </c>
      <c r="BB1674" t="str">
        <f t="shared" si="916"/>
        <v xml:space="preserve">N9217B  </v>
      </c>
      <c r="BC1674">
        <v>1</v>
      </c>
      <c r="BE1674">
        <v>0</v>
      </c>
      <c r="BF1674">
        <v>0</v>
      </c>
      <c r="BG1674">
        <v>0</v>
      </c>
      <c r="BH1674">
        <v>8575</v>
      </c>
      <c r="BI1674">
        <v>1</v>
      </c>
      <c r="BJ1674">
        <v>0</v>
      </c>
      <c r="BK1674">
        <v>0</v>
      </c>
      <c r="BL1674">
        <v>0</v>
      </c>
      <c r="BO1674">
        <v>0</v>
      </c>
      <c r="BP1674">
        <v>0</v>
      </c>
      <c r="BW1674" t="str">
        <f t="shared" si="917"/>
        <v>14:53:12.058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6</v>
      </c>
      <c r="CP1674" t="s">
        <v>119</v>
      </c>
      <c r="CQ1674">
        <v>285</v>
      </c>
      <c r="CR1674">
        <v>0</v>
      </c>
      <c r="CW1674">
        <v>8856269</v>
      </c>
      <c r="CY1674">
        <v>0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25">
      <c r="A1675" t="str">
        <f t="shared" si="913"/>
        <v>06/05/2020 14:53:06.394</v>
      </c>
      <c r="C1675" t="str">
        <f t="shared" si="897"/>
        <v>FFDFD3C0</v>
      </c>
      <c r="D1675" t="s">
        <v>134</v>
      </c>
      <c r="E1675">
        <v>7</v>
      </c>
      <c r="F1675">
        <v>2007</v>
      </c>
      <c r="G1675" t="s">
        <v>135</v>
      </c>
      <c r="J1675" t="s">
        <v>136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914"/>
        <v>14:53:12.055</v>
      </c>
      <c r="T1675" t="str">
        <f t="shared" si="915"/>
        <v>14:53:11.655</v>
      </c>
      <c r="U1675" t="str">
        <f t="shared" si="912"/>
        <v>ACC530</v>
      </c>
      <c r="V1675">
        <v>0</v>
      </c>
      <c r="W1675">
        <v>0</v>
      </c>
      <c r="X1675">
        <v>1</v>
      </c>
      <c r="Z1675">
        <v>0</v>
      </c>
      <c r="AA1675">
        <v>9</v>
      </c>
      <c r="AB1675">
        <v>3</v>
      </c>
      <c r="AC1675">
        <v>0</v>
      </c>
      <c r="AD1675">
        <v>9</v>
      </c>
      <c r="AE1675">
        <v>0</v>
      </c>
      <c r="AF1675">
        <v>3</v>
      </c>
      <c r="AG1675">
        <v>1</v>
      </c>
      <c r="AH1675">
        <v>0</v>
      </c>
      <c r="AI1675" t="s">
        <v>646</v>
      </c>
      <c r="AJ1675">
        <v>34.189731999999999</v>
      </c>
      <c r="AK1675" t="s">
        <v>647</v>
      </c>
      <c r="AL1675">
        <v>-116.995769</v>
      </c>
      <c r="AM1675">
        <v>100</v>
      </c>
      <c r="AN1675">
        <v>8600</v>
      </c>
      <c r="AO1675" t="s">
        <v>118</v>
      </c>
      <c r="AP1675">
        <v>-102</v>
      </c>
      <c r="AQ1675">
        <v>-67</v>
      </c>
      <c r="AR1675">
        <v>-640</v>
      </c>
      <c r="AZ1675">
        <v>1200</v>
      </c>
      <c r="BA1675">
        <v>1</v>
      </c>
      <c r="BB1675" t="str">
        <f t="shared" si="916"/>
        <v xml:space="preserve">N9217B  </v>
      </c>
      <c r="BC1675">
        <v>1</v>
      </c>
      <c r="BE1675">
        <v>0</v>
      </c>
      <c r="BF1675">
        <v>0</v>
      </c>
      <c r="BG1675">
        <v>0</v>
      </c>
      <c r="BH1675">
        <v>8575</v>
      </c>
      <c r="BI1675">
        <v>1</v>
      </c>
      <c r="BJ1675">
        <v>0</v>
      </c>
      <c r="BK1675">
        <v>0</v>
      </c>
      <c r="BL1675">
        <v>0</v>
      </c>
      <c r="BO1675">
        <v>0</v>
      </c>
      <c r="BP1675">
        <v>0</v>
      </c>
      <c r="BW1675" t="str">
        <f t="shared" si="917"/>
        <v>14:53:12.058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6</v>
      </c>
      <c r="CP1675" t="s">
        <v>119</v>
      </c>
      <c r="CQ1675">
        <v>285</v>
      </c>
      <c r="CR1675">
        <v>0</v>
      </c>
      <c r="CW1675">
        <v>8856269</v>
      </c>
      <c r="CY1675">
        <v>0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25">
      <c r="A1676" t="str">
        <f t="shared" ref="A1676:A1682" si="918">"06/05/2020 14:53:07.443"</f>
        <v>06/05/2020 14:53:07.443</v>
      </c>
      <c r="C1676" t="str">
        <f t="shared" si="897"/>
        <v>FFDFD3C0</v>
      </c>
      <c r="D1676" t="s">
        <v>134</v>
      </c>
      <c r="E1676">
        <v>7</v>
      </c>
      <c r="F1676">
        <v>2007</v>
      </c>
      <c r="G1676" t="s">
        <v>135</v>
      </c>
      <c r="J1676" t="s">
        <v>136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ref="S1676:S1682" si="919">"14:53:13.078"</f>
        <v>14:53:13.078</v>
      </c>
      <c r="T1676" t="str">
        <f t="shared" ref="T1676:T1682" si="920">"14:53:12.678"</f>
        <v>14:53:12.678</v>
      </c>
      <c r="U1676" t="str">
        <f t="shared" si="912"/>
        <v>ACC530</v>
      </c>
      <c r="V1676">
        <v>0</v>
      </c>
      <c r="W1676">
        <v>0</v>
      </c>
      <c r="X1676">
        <v>1</v>
      </c>
      <c r="Z1676">
        <v>0</v>
      </c>
      <c r="AA1676">
        <v>9</v>
      </c>
      <c r="AB1676">
        <v>3</v>
      </c>
      <c r="AC1676">
        <v>0</v>
      </c>
      <c r="AD1676">
        <v>9</v>
      </c>
      <c r="AE1676">
        <v>0</v>
      </c>
      <c r="AF1676">
        <v>3</v>
      </c>
      <c r="AG1676">
        <v>1</v>
      </c>
      <c r="AH1676">
        <v>0</v>
      </c>
      <c r="AI1676" t="s">
        <v>648</v>
      </c>
      <c r="AJ1676">
        <v>34.189410000000002</v>
      </c>
      <c r="AK1676" t="s">
        <v>649</v>
      </c>
      <c r="AL1676">
        <v>-116.996326</v>
      </c>
      <c r="AM1676">
        <v>100</v>
      </c>
      <c r="AN1676">
        <v>8500</v>
      </c>
      <c r="AO1676" t="s">
        <v>118</v>
      </c>
      <c r="AP1676">
        <v>-102</v>
      </c>
      <c r="AQ1676">
        <v>-67</v>
      </c>
      <c r="AR1676">
        <v>-640</v>
      </c>
      <c r="AZ1676">
        <v>1200</v>
      </c>
      <c r="BA1676">
        <v>1</v>
      </c>
      <c r="BB1676" t="str">
        <f t="shared" si="916"/>
        <v xml:space="preserve">N9217B  </v>
      </c>
      <c r="BC1676">
        <v>1</v>
      </c>
      <c r="BE1676">
        <v>0</v>
      </c>
      <c r="BF1676">
        <v>0</v>
      </c>
      <c r="BG1676">
        <v>0</v>
      </c>
      <c r="BH1676">
        <v>8450</v>
      </c>
      <c r="BI1676">
        <v>1</v>
      </c>
      <c r="BJ1676">
        <v>0</v>
      </c>
      <c r="BK1676">
        <v>0</v>
      </c>
      <c r="BL1676">
        <v>0</v>
      </c>
      <c r="BO1676">
        <v>0</v>
      </c>
      <c r="BP1676">
        <v>0</v>
      </c>
      <c r="BW1676" t="str">
        <f t="shared" ref="BW1676:BW1682" si="921">"14:53:13.078"</f>
        <v>14:53:13.078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6</v>
      </c>
      <c r="CP1676" t="s">
        <v>119</v>
      </c>
      <c r="CQ1676">
        <v>285</v>
      </c>
      <c r="CR1676">
        <v>0</v>
      </c>
      <c r="CW1676">
        <v>8856360</v>
      </c>
      <c r="CY1676">
        <v>0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25">
      <c r="A1677" t="str">
        <f t="shared" si="918"/>
        <v>06/05/2020 14:53:07.443</v>
      </c>
      <c r="C1677" t="str">
        <f t="shared" si="897"/>
        <v>FFDFD3C0</v>
      </c>
      <c r="D1677" t="s">
        <v>113</v>
      </c>
      <c r="E1677">
        <v>3</v>
      </c>
      <c r="H1677">
        <v>166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919"/>
        <v>14:53:13.078</v>
      </c>
      <c r="T1677" t="str">
        <f t="shared" si="920"/>
        <v>14:53:12.678</v>
      </c>
      <c r="U1677" t="str">
        <f t="shared" si="912"/>
        <v>ACC530</v>
      </c>
      <c r="V1677">
        <v>0</v>
      </c>
      <c r="W1677">
        <v>0</v>
      </c>
      <c r="X1677">
        <v>1</v>
      </c>
      <c r="Z1677">
        <v>0</v>
      </c>
      <c r="AA1677">
        <v>9</v>
      </c>
      <c r="AB1677">
        <v>3</v>
      </c>
      <c r="AC1677">
        <v>0</v>
      </c>
      <c r="AD1677">
        <v>9</v>
      </c>
      <c r="AE1677">
        <v>0</v>
      </c>
      <c r="AF1677">
        <v>3</v>
      </c>
      <c r="AG1677">
        <v>1</v>
      </c>
      <c r="AH1677">
        <v>0</v>
      </c>
      <c r="AI1677" t="s">
        <v>648</v>
      </c>
      <c r="AJ1677">
        <v>34.189410000000002</v>
      </c>
      <c r="AK1677" t="s">
        <v>649</v>
      </c>
      <c r="AL1677">
        <v>-116.996326</v>
      </c>
      <c r="AM1677">
        <v>100</v>
      </c>
      <c r="AN1677">
        <v>8500</v>
      </c>
      <c r="AO1677" t="s">
        <v>118</v>
      </c>
      <c r="AP1677">
        <v>-102</v>
      </c>
      <c r="AQ1677">
        <v>-67</v>
      </c>
      <c r="AR1677">
        <v>-640</v>
      </c>
      <c r="AZ1677">
        <v>1200</v>
      </c>
      <c r="BA1677">
        <v>1</v>
      </c>
      <c r="BB1677" t="str">
        <f t="shared" si="916"/>
        <v xml:space="preserve">N9217B  </v>
      </c>
      <c r="BC1677">
        <v>1</v>
      </c>
      <c r="BE1677">
        <v>0</v>
      </c>
      <c r="BF1677">
        <v>0</v>
      </c>
      <c r="BG1677">
        <v>0</v>
      </c>
      <c r="BH1677">
        <v>8450</v>
      </c>
      <c r="BI1677">
        <v>1</v>
      </c>
      <c r="BJ1677">
        <v>0</v>
      </c>
      <c r="BK1677">
        <v>0</v>
      </c>
      <c r="BL1677">
        <v>0</v>
      </c>
      <c r="BO1677">
        <v>0</v>
      </c>
      <c r="BP1677">
        <v>0</v>
      </c>
      <c r="BW1677" t="str">
        <f t="shared" si="921"/>
        <v>14:53:13.078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6</v>
      </c>
      <c r="CP1677" t="s">
        <v>119</v>
      </c>
      <c r="CQ1677">
        <v>285</v>
      </c>
      <c r="CR1677">
        <v>0</v>
      </c>
      <c r="CW1677">
        <v>8856360</v>
      </c>
      <c r="CY1677">
        <v>0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25">
      <c r="A1678" t="str">
        <f t="shared" si="918"/>
        <v>06/05/2020 14:53:07.443</v>
      </c>
      <c r="C1678" t="str">
        <f t="shared" si="897"/>
        <v>FFDFD3C0</v>
      </c>
      <c r="D1678" t="s">
        <v>141</v>
      </c>
      <c r="E1678">
        <v>20</v>
      </c>
      <c r="F1678">
        <v>1020</v>
      </c>
      <c r="G1678" t="s">
        <v>114</v>
      </c>
      <c r="J1678" t="s">
        <v>142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919"/>
        <v>14:53:13.078</v>
      </c>
      <c r="T1678" t="str">
        <f t="shared" si="920"/>
        <v>14:53:12.678</v>
      </c>
      <c r="U1678" t="str">
        <f t="shared" si="912"/>
        <v>ACC530</v>
      </c>
      <c r="V1678">
        <v>0</v>
      </c>
      <c r="W1678">
        <v>0</v>
      </c>
      <c r="X1678">
        <v>1</v>
      </c>
      <c r="Z1678">
        <v>0</v>
      </c>
      <c r="AA1678">
        <v>9</v>
      </c>
      <c r="AB1678">
        <v>3</v>
      </c>
      <c r="AC1678">
        <v>0</v>
      </c>
      <c r="AD1678">
        <v>9</v>
      </c>
      <c r="AE1678">
        <v>0</v>
      </c>
      <c r="AF1678">
        <v>3</v>
      </c>
      <c r="AG1678">
        <v>1</v>
      </c>
      <c r="AH1678">
        <v>0</v>
      </c>
      <c r="AI1678" t="s">
        <v>648</v>
      </c>
      <c r="AJ1678">
        <v>34.189410000000002</v>
      </c>
      <c r="AK1678" t="s">
        <v>649</v>
      </c>
      <c r="AL1678">
        <v>-116.996326</v>
      </c>
      <c r="AM1678">
        <v>100</v>
      </c>
      <c r="AN1678">
        <v>8500</v>
      </c>
      <c r="AO1678" t="s">
        <v>118</v>
      </c>
      <c r="AP1678">
        <v>-102</v>
      </c>
      <c r="AQ1678">
        <v>-67</v>
      </c>
      <c r="AR1678">
        <v>-640</v>
      </c>
      <c r="AZ1678">
        <v>1200</v>
      </c>
      <c r="BA1678">
        <v>1</v>
      </c>
      <c r="BB1678" t="str">
        <f t="shared" si="916"/>
        <v xml:space="preserve">N9217B  </v>
      </c>
      <c r="BC1678">
        <v>1</v>
      </c>
      <c r="BE1678">
        <v>0</v>
      </c>
      <c r="BF1678">
        <v>0</v>
      </c>
      <c r="BG1678">
        <v>0</v>
      </c>
      <c r="BH1678">
        <v>8450</v>
      </c>
      <c r="BI1678">
        <v>1</v>
      </c>
      <c r="BJ1678">
        <v>0</v>
      </c>
      <c r="BK1678">
        <v>0</v>
      </c>
      <c r="BL1678">
        <v>0</v>
      </c>
      <c r="BO1678">
        <v>0</v>
      </c>
      <c r="BP1678">
        <v>0</v>
      </c>
      <c r="BW1678" t="str">
        <f t="shared" si="921"/>
        <v>14:53:13.078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6</v>
      </c>
      <c r="CP1678" t="s">
        <v>119</v>
      </c>
      <c r="CQ1678">
        <v>285</v>
      </c>
      <c r="CR1678">
        <v>0</v>
      </c>
      <c r="CW1678">
        <v>8856360</v>
      </c>
      <c r="CY1678">
        <v>0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25">
      <c r="A1679" t="str">
        <f t="shared" si="918"/>
        <v>06/05/2020 14:53:07.443</v>
      </c>
      <c r="C1679" t="str">
        <f t="shared" si="897"/>
        <v>FFDFD3C0</v>
      </c>
      <c r="D1679" t="s">
        <v>151</v>
      </c>
      <c r="E1679">
        <v>8</v>
      </c>
      <c r="H1679">
        <v>225</v>
      </c>
      <c r="I1679" t="s">
        <v>353</v>
      </c>
      <c r="J1679" t="s">
        <v>150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919"/>
        <v>14:53:13.078</v>
      </c>
      <c r="T1679" t="str">
        <f t="shared" si="920"/>
        <v>14:53:12.678</v>
      </c>
      <c r="U1679" t="str">
        <f t="shared" si="912"/>
        <v>ACC530</v>
      </c>
      <c r="V1679">
        <v>0</v>
      </c>
      <c r="W1679">
        <v>0</v>
      </c>
      <c r="X1679">
        <v>1</v>
      </c>
      <c r="Z1679">
        <v>0</v>
      </c>
      <c r="AA1679">
        <v>9</v>
      </c>
      <c r="AB1679">
        <v>3</v>
      </c>
      <c r="AC1679">
        <v>0</v>
      </c>
      <c r="AD1679">
        <v>9</v>
      </c>
      <c r="AE1679">
        <v>0</v>
      </c>
      <c r="AF1679">
        <v>3</v>
      </c>
      <c r="AG1679">
        <v>1</v>
      </c>
      <c r="AH1679">
        <v>0</v>
      </c>
      <c r="AI1679" t="s">
        <v>648</v>
      </c>
      <c r="AJ1679">
        <v>34.189410000000002</v>
      </c>
      <c r="AK1679" t="s">
        <v>649</v>
      </c>
      <c r="AL1679">
        <v>-116.996326</v>
      </c>
      <c r="AM1679">
        <v>100</v>
      </c>
      <c r="AN1679">
        <v>8500</v>
      </c>
      <c r="AO1679" t="s">
        <v>118</v>
      </c>
      <c r="AP1679">
        <v>-102</v>
      </c>
      <c r="AQ1679">
        <v>-67</v>
      </c>
      <c r="AR1679">
        <v>-640</v>
      </c>
      <c r="AZ1679">
        <v>1200</v>
      </c>
      <c r="BA1679">
        <v>1</v>
      </c>
      <c r="BB1679" t="str">
        <f t="shared" si="916"/>
        <v xml:space="preserve">N9217B  </v>
      </c>
      <c r="BC1679">
        <v>1</v>
      </c>
      <c r="BE1679">
        <v>0</v>
      </c>
      <c r="BF1679">
        <v>0</v>
      </c>
      <c r="BG1679">
        <v>0</v>
      </c>
      <c r="BH1679">
        <v>8450</v>
      </c>
      <c r="BI1679">
        <v>1</v>
      </c>
      <c r="BJ1679">
        <v>0</v>
      </c>
      <c r="BK1679">
        <v>0</v>
      </c>
      <c r="BL1679">
        <v>0</v>
      </c>
      <c r="BO1679">
        <v>0</v>
      </c>
      <c r="BP1679">
        <v>0</v>
      </c>
      <c r="BW1679" t="str">
        <f t="shared" si="921"/>
        <v>14:53:13.078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6</v>
      </c>
      <c r="CP1679" t="s">
        <v>119</v>
      </c>
      <c r="CQ1679">
        <v>285</v>
      </c>
      <c r="CR1679">
        <v>0</v>
      </c>
      <c r="CW1679">
        <v>8856360</v>
      </c>
      <c r="CY1679">
        <v>0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25">
      <c r="A1680" t="str">
        <f t="shared" si="918"/>
        <v>06/05/2020 14:53:07.443</v>
      </c>
      <c r="C1680" t="str">
        <f t="shared" si="897"/>
        <v>FFDFD3C0</v>
      </c>
      <c r="D1680" t="s">
        <v>148</v>
      </c>
      <c r="E1680">
        <v>11</v>
      </c>
      <c r="H1680">
        <v>53</v>
      </c>
      <c r="I1680" t="s">
        <v>364</v>
      </c>
      <c r="J1680" t="s">
        <v>150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919"/>
        <v>14:53:13.078</v>
      </c>
      <c r="T1680" t="str">
        <f t="shared" si="920"/>
        <v>14:53:12.678</v>
      </c>
      <c r="U1680" t="str">
        <f t="shared" si="912"/>
        <v>ACC530</v>
      </c>
      <c r="V1680">
        <v>0</v>
      </c>
      <c r="W1680">
        <v>0</v>
      </c>
      <c r="X1680">
        <v>1</v>
      </c>
      <c r="Z1680">
        <v>0</v>
      </c>
      <c r="AA1680">
        <v>9</v>
      </c>
      <c r="AB1680">
        <v>3</v>
      </c>
      <c r="AC1680">
        <v>0</v>
      </c>
      <c r="AD1680">
        <v>9</v>
      </c>
      <c r="AE1680">
        <v>0</v>
      </c>
      <c r="AF1680">
        <v>3</v>
      </c>
      <c r="AG1680">
        <v>1</v>
      </c>
      <c r="AH1680">
        <v>0</v>
      </c>
      <c r="AI1680" t="s">
        <v>648</v>
      </c>
      <c r="AJ1680">
        <v>34.189410000000002</v>
      </c>
      <c r="AK1680" t="s">
        <v>649</v>
      </c>
      <c r="AL1680">
        <v>-116.996326</v>
      </c>
      <c r="AM1680">
        <v>100</v>
      </c>
      <c r="AN1680">
        <v>8500</v>
      </c>
      <c r="AO1680" t="s">
        <v>118</v>
      </c>
      <c r="AP1680">
        <v>-102</v>
      </c>
      <c r="AQ1680">
        <v>-67</v>
      </c>
      <c r="AR1680">
        <v>-640</v>
      </c>
      <c r="AZ1680">
        <v>1200</v>
      </c>
      <c r="BA1680">
        <v>1</v>
      </c>
      <c r="BB1680" t="str">
        <f t="shared" si="916"/>
        <v xml:space="preserve">N9217B  </v>
      </c>
      <c r="BC1680">
        <v>1</v>
      </c>
      <c r="BE1680">
        <v>0</v>
      </c>
      <c r="BF1680">
        <v>0</v>
      </c>
      <c r="BG1680">
        <v>0</v>
      </c>
      <c r="BH1680">
        <v>8450</v>
      </c>
      <c r="BI1680">
        <v>1</v>
      </c>
      <c r="BJ1680">
        <v>0</v>
      </c>
      <c r="BK1680">
        <v>0</v>
      </c>
      <c r="BL1680">
        <v>0</v>
      </c>
      <c r="BO1680">
        <v>0</v>
      </c>
      <c r="BP1680">
        <v>0</v>
      </c>
      <c r="BW1680" t="str">
        <f t="shared" si="921"/>
        <v>14:53:13.078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6</v>
      </c>
      <c r="CP1680" t="s">
        <v>119</v>
      </c>
      <c r="CQ1680">
        <v>285</v>
      </c>
      <c r="CR1680">
        <v>0</v>
      </c>
      <c r="CW1680">
        <v>8856360</v>
      </c>
      <c r="CY1680">
        <v>0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25">
      <c r="A1681" t="str">
        <f t="shared" si="918"/>
        <v>06/05/2020 14:53:07.443</v>
      </c>
      <c r="C1681" t="str">
        <f t="shared" si="897"/>
        <v>FFDFD3C0</v>
      </c>
      <c r="D1681" t="s">
        <v>151</v>
      </c>
      <c r="E1681">
        <v>9</v>
      </c>
      <c r="H1681">
        <v>226</v>
      </c>
      <c r="I1681" t="s">
        <v>152</v>
      </c>
      <c r="J1681" t="s">
        <v>150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919"/>
        <v>14:53:13.078</v>
      </c>
      <c r="T1681" t="str">
        <f t="shared" si="920"/>
        <v>14:53:12.678</v>
      </c>
      <c r="U1681" t="str">
        <f t="shared" si="912"/>
        <v>ACC530</v>
      </c>
      <c r="V1681">
        <v>0</v>
      </c>
      <c r="W1681">
        <v>0</v>
      </c>
      <c r="X1681">
        <v>1</v>
      </c>
      <c r="Z1681">
        <v>0</v>
      </c>
      <c r="AA1681">
        <v>9</v>
      </c>
      <c r="AB1681">
        <v>3</v>
      </c>
      <c r="AC1681">
        <v>0</v>
      </c>
      <c r="AD1681">
        <v>9</v>
      </c>
      <c r="AE1681">
        <v>0</v>
      </c>
      <c r="AF1681">
        <v>3</v>
      </c>
      <c r="AG1681">
        <v>1</v>
      </c>
      <c r="AH1681">
        <v>0</v>
      </c>
      <c r="AI1681" t="s">
        <v>648</v>
      </c>
      <c r="AJ1681">
        <v>34.189410000000002</v>
      </c>
      <c r="AK1681" t="s">
        <v>649</v>
      </c>
      <c r="AL1681">
        <v>-116.996326</v>
      </c>
      <c r="AM1681">
        <v>100</v>
      </c>
      <c r="AN1681">
        <v>8500</v>
      </c>
      <c r="AO1681" t="s">
        <v>118</v>
      </c>
      <c r="AP1681">
        <v>-102</v>
      </c>
      <c r="AQ1681">
        <v>-67</v>
      </c>
      <c r="AR1681">
        <v>-640</v>
      </c>
      <c r="AZ1681">
        <v>1200</v>
      </c>
      <c r="BA1681">
        <v>1</v>
      </c>
      <c r="BB1681" t="str">
        <f t="shared" si="916"/>
        <v xml:space="preserve">N9217B  </v>
      </c>
      <c r="BC1681">
        <v>1</v>
      </c>
      <c r="BE1681">
        <v>0</v>
      </c>
      <c r="BF1681">
        <v>0</v>
      </c>
      <c r="BG1681">
        <v>0</v>
      </c>
      <c r="BH1681">
        <v>8450</v>
      </c>
      <c r="BI1681">
        <v>1</v>
      </c>
      <c r="BJ1681">
        <v>0</v>
      </c>
      <c r="BK1681">
        <v>0</v>
      </c>
      <c r="BL1681">
        <v>0</v>
      </c>
      <c r="BO1681">
        <v>0</v>
      </c>
      <c r="BP1681">
        <v>0</v>
      </c>
      <c r="BW1681" t="str">
        <f t="shared" si="921"/>
        <v>14:53:13.078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6</v>
      </c>
      <c r="CP1681" t="s">
        <v>119</v>
      </c>
      <c r="CQ1681">
        <v>285</v>
      </c>
      <c r="CR1681">
        <v>0</v>
      </c>
      <c r="CW1681">
        <v>8856360</v>
      </c>
      <c r="CY1681">
        <v>0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25">
      <c r="A1682" t="str">
        <f t="shared" si="918"/>
        <v>06/05/2020 14:53:07.443</v>
      </c>
      <c r="C1682" t="str">
        <f t="shared" si="897"/>
        <v>FFDFD3C0</v>
      </c>
      <c r="D1682" t="s">
        <v>148</v>
      </c>
      <c r="E1682">
        <v>8</v>
      </c>
      <c r="H1682">
        <v>50</v>
      </c>
      <c r="I1682" t="s">
        <v>149</v>
      </c>
      <c r="J1682" t="s">
        <v>150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919"/>
        <v>14:53:13.078</v>
      </c>
      <c r="T1682" t="str">
        <f t="shared" si="920"/>
        <v>14:53:12.678</v>
      </c>
      <c r="U1682" t="str">
        <f t="shared" si="912"/>
        <v>ACC530</v>
      </c>
      <c r="V1682">
        <v>0</v>
      </c>
      <c r="W1682">
        <v>0</v>
      </c>
      <c r="X1682">
        <v>1</v>
      </c>
      <c r="Z1682">
        <v>0</v>
      </c>
      <c r="AA1682">
        <v>9</v>
      </c>
      <c r="AB1682">
        <v>3</v>
      </c>
      <c r="AC1682">
        <v>0</v>
      </c>
      <c r="AD1682">
        <v>9</v>
      </c>
      <c r="AE1682">
        <v>0</v>
      </c>
      <c r="AF1682">
        <v>3</v>
      </c>
      <c r="AG1682">
        <v>1</v>
      </c>
      <c r="AH1682">
        <v>0</v>
      </c>
      <c r="AI1682" t="s">
        <v>648</v>
      </c>
      <c r="AJ1682">
        <v>34.189410000000002</v>
      </c>
      <c r="AK1682" t="s">
        <v>649</v>
      </c>
      <c r="AL1682">
        <v>-116.996326</v>
      </c>
      <c r="AM1682">
        <v>100</v>
      </c>
      <c r="AN1682">
        <v>8500</v>
      </c>
      <c r="AO1682" t="s">
        <v>118</v>
      </c>
      <c r="AP1682">
        <v>-102</v>
      </c>
      <c r="AQ1682">
        <v>-67</v>
      </c>
      <c r="AR1682">
        <v>-640</v>
      </c>
      <c r="AZ1682">
        <v>1200</v>
      </c>
      <c r="BA1682">
        <v>1</v>
      </c>
      <c r="BB1682" t="str">
        <f t="shared" si="916"/>
        <v xml:space="preserve">N9217B  </v>
      </c>
      <c r="BC1682">
        <v>1</v>
      </c>
      <c r="BE1682">
        <v>0</v>
      </c>
      <c r="BF1682">
        <v>0</v>
      </c>
      <c r="BG1682">
        <v>0</v>
      </c>
      <c r="BH1682">
        <v>8450</v>
      </c>
      <c r="BI1682">
        <v>1</v>
      </c>
      <c r="BJ1682">
        <v>0</v>
      </c>
      <c r="BK1682">
        <v>0</v>
      </c>
      <c r="BL1682">
        <v>0</v>
      </c>
      <c r="BO1682">
        <v>0</v>
      </c>
      <c r="BP1682">
        <v>0</v>
      </c>
      <c r="BW1682" t="str">
        <f t="shared" si="921"/>
        <v>14:53:13.078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6</v>
      </c>
      <c r="CP1682" t="s">
        <v>119</v>
      </c>
      <c r="CQ1682">
        <v>285</v>
      </c>
      <c r="CR1682">
        <v>0</v>
      </c>
      <c r="CW1682">
        <v>8856360</v>
      </c>
      <c r="CY1682">
        <v>0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25">
      <c r="A1683" t="str">
        <f t="shared" ref="A1683:A1689" si="922">"06/05/2020 14:53:08.527"</f>
        <v>06/05/2020 14:53:08.527</v>
      </c>
      <c r="C1683" t="str">
        <f t="shared" si="897"/>
        <v>FFDFD3C0</v>
      </c>
      <c r="D1683" t="s">
        <v>151</v>
      </c>
      <c r="E1683">
        <v>8</v>
      </c>
      <c r="H1683">
        <v>225</v>
      </c>
      <c r="I1683" t="s">
        <v>353</v>
      </c>
      <c r="J1683" t="s">
        <v>150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ref="S1683:S1689" si="923">"14:53:14.195"</f>
        <v>14:53:14.195</v>
      </c>
      <c r="T1683" t="str">
        <f t="shared" ref="T1683:T1689" si="924">"14:53:14.095"</f>
        <v>14:53:14.095</v>
      </c>
      <c r="U1683" t="str">
        <f t="shared" si="912"/>
        <v>ACC530</v>
      </c>
      <c r="V1683">
        <v>0</v>
      </c>
      <c r="W1683">
        <v>0</v>
      </c>
      <c r="X1683">
        <v>1</v>
      </c>
      <c r="Z1683">
        <v>0</v>
      </c>
      <c r="AA1683">
        <v>9</v>
      </c>
      <c r="AB1683">
        <v>3</v>
      </c>
      <c r="AC1683">
        <v>0</v>
      </c>
      <c r="AD1683">
        <v>9</v>
      </c>
      <c r="AE1683">
        <v>0</v>
      </c>
      <c r="AF1683">
        <v>3</v>
      </c>
      <c r="AG1683">
        <v>1</v>
      </c>
      <c r="AH1683">
        <v>0</v>
      </c>
      <c r="AI1683" t="s">
        <v>650</v>
      </c>
      <c r="AJ1683">
        <v>34.189087999999998</v>
      </c>
      <c r="AK1683" t="s">
        <v>651</v>
      </c>
      <c r="AL1683">
        <v>-116.996949</v>
      </c>
      <c r="AM1683">
        <v>100</v>
      </c>
      <c r="AN1683">
        <v>8500</v>
      </c>
      <c r="AO1683" t="s">
        <v>118</v>
      </c>
      <c r="AP1683">
        <v>-101</v>
      </c>
      <c r="AQ1683">
        <v>-67</v>
      </c>
      <c r="AR1683">
        <v>-704</v>
      </c>
      <c r="AZ1683">
        <v>1200</v>
      </c>
      <c r="BA1683">
        <v>1</v>
      </c>
      <c r="BB1683" t="str">
        <f t="shared" si="916"/>
        <v xml:space="preserve">N9217B  </v>
      </c>
      <c r="BC1683">
        <v>1</v>
      </c>
      <c r="BE1683">
        <v>0</v>
      </c>
      <c r="BF1683">
        <v>0</v>
      </c>
      <c r="BG1683">
        <v>0</v>
      </c>
      <c r="BH1683">
        <v>8550</v>
      </c>
      <c r="BI1683">
        <v>1</v>
      </c>
      <c r="BJ1683">
        <v>0</v>
      </c>
      <c r="BK1683">
        <v>0</v>
      </c>
      <c r="BL1683">
        <v>0</v>
      </c>
      <c r="BO1683">
        <v>0</v>
      </c>
      <c r="BP1683">
        <v>0</v>
      </c>
      <c r="BW1683" t="str">
        <f t="shared" ref="BW1683:BW1689" si="925">"14:53:14.203"</f>
        <v>14:53:14.203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6</v>
      </c>
      <c r="CP1683" t="s">
        <v>119</v>
      </c>
      <c r="CQ1683">
        <v>285</v>
      </c>
      <c r="CR1683">
        <v>0</v>
      </c>
      <c r="CW1683">
        <v>8856452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25">
      <c r="A1684" t="str">
        <f t="shared" si="922"/>
        <v>06/05/2020 14:53:08.527</v>
      </c>
      <c r="C1684" t="str">
        <f t="shared" si="897"/>
        <v>FFDFD3C0</v>
      </c>
      <c r="D1684" t="s">
        <v>148</v>
      </c>
      <c r="E1684">
        <v>11</v>
      </c>
      <c r="H1684">
        <v>53</v>
      </c>
      <c r="I1684" t="s">
        <v>364</v>
      </c>
      <c r="J1684" t="s">
        <v>150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923"/>
        <v>14:53:14.195</v>
      </c>
      <c r="T1684" t="str">
        <f t="shared" si="924"/>
        <v>14:53:14.095</v>
      </c>
      <c r="U1684" t="str">
        <f t="shared" si="912"/>
        <v>ACC530</v>
      </c>
      <c r="V1684">
        <v>0</v>
      </c>
      <c r="W1684">
        <v>0</v>
      </c>
      <c r="X1684">
        <v>1</v>
      </c>
      <c r="Z1684">
        <v>0</v>
      </c>
      <c r="AA1684">
        <v>9</v>
      </c>
      <c r="AB1684">
        <v>3</v>
      </c>
      <c r="AC1684">
        <v>0</v>
      </c>
      <c r="AD1684">
        <v>9</v>
      </c>
      <c r="AE1684">
        <v>0</v>
      </c>
      <c r="AF1684">
        <v>3</v>
      </c>
      <c r="AG1684">
        <v>1</v>
      </c>
      <c r="AH1684">
        <v>0</v>
      </c>
      <c r="AI1684" t="s">
        <v>650</v>
      </c>
      <c r="AJ1684">
        <v>34.189087999999998</v>
      </c>
      <c r="AK1684" t="s">
        <v>651</v>
      </c>
      <c r="AL1684">
        <v>-116.996949</v>
      </c>
      <c r="AM1684">
        <v>100</v>
      </c>
      <c r="AN1684">
        <v>8500</v>
      </c>
      <c r="AO1684" t="s">
        <v>118</v>
      </c>
      <c r="AP1684">
        <v>-101</v>
      </c>
      <c r="AQ1684">
        <v>-67</v>
      </c>
      <c r="AR1684">
        <v>-704</v>
      </c>
      <c r="AZ1684">
        <v>1200</v>
      </c>
      <c r="BA1684">
        <v>1</v>
      </c>
      <c r="BB1684" t="str">
        <f t="shared" si="916"/>
        <v xml:space="preserve">N9217B  </v>
      </c>
      <c r="BC1684">
        <v>1</v>
      </c>
      <c r="BE1684">
        <v>0</v>
      </c>
      <c r="BF1684">
        <v>0</v>
      </c>
      <c r="BG1684">
        <v>0</v>
      </c>
      <c r="BH1684">
        <v>8550</v>
      </c>
      <c r="BI1684">
        <v>1</v>
      </c>
      <c r="BJ1684">
        <v>0</v>
      </c>
      <c r="BK1684">
        <v>0</v>
      </c>
      <c r="BL1684">
        <v>0</v>
      </c>
      <c r="BO1684">
        <v>0</v>
      </c>
      <c r="BP1684">
        <v>0</v>
      </c>
      <c r="BW1684" t="str">
        <f t="shared" si="925"/>
        <v>14:53:14.203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6</v>
      </c>
      <c r="CP1684" t="s">
        <v>119</v>
      </c>
      <c r="CQ1684">
        <v>285</v>
      </c>
      <c r="CR1684">
        <v>0</v>
      </c>
      <c r="CW1684">
        <v>8856452</v>
      </c>
      <c r="CY1684">
        <v>0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25">
      <c r="A1685" t="str">
        <f t="shared" si="922"/>
        <v>06/05/2020 14:53:08.527</v>
      </c>
      <c r="C1685" t="str">
        <f t="shared" si="897"/>
        <v>FFDFD3C0</v>
      </c>
      <c r="D1685" t="s">
        <v>151</v>
      </c>
      <c r="E1685">
        <v>9</v>
      </c>
      <c r="H1685">
        <v>226</v>
      </c>
      <c r="I1685" t="s">
        <v>152</v>
      </c>
      <c r="J1685" t="s">
        <v>150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923"/>
        <v>14:53:14.195</v>
      </c>
      <c r="T1685" t="str">
        <f t="shared" si="924"/>
        <v>14:53:14.095</v>
      </c>
      <c r="U1685" t="str">
        <f t="shared" si="912"/>
        <v>ACC530</v>
      </c>
      <c r="V1685">
        <v>0</v>
      </c>
      <c r="W1685">
        <v>0</v>
      </c>
      <c r="X1685">
        <v>1</v>
      </c>
      <c r="Z1685">
        <v>0</v>
      </c>
      <c r="AA1685">
        <v>9</v>
      </c>
      <c r="AB1685">
        <v>3</v>
      </c>
      <c r="AC1685">
        <v>0</v>
      </c>
      <c r="AD1685">
        <v>9</v>
      </c>
      <c r="AE1685">
        <v>0</v>
      </c>
      <c r="AF1685">
        <v>3</v>
      </c>
      <c r="AG1685">
        <v>1</v>
      </c>
      <c r="AH1685">
        <v>0</v>
      </c>
      <c r="AI1685" t="s">
        <v>650</v>
      </c>
      <c r="AJ1685">
        <v>34.189087999999998</v>
      </c>
      <c r="AK1685" t="s">
        <v>651</v>
      </c>
      <c r="AL1685">
        <v>-116.996949</v>
      </c>
      <c r="AM1685">
        <v>100</v>
      </c>
      <c r="AN1685">
        <v>8500</v>
      </c>
      <c r="AO1685" t="s">
        <v>118</v>
      </c>
      <c r="AP1685">
        <v>-101</v>
      </c>
      <c r="AQ1685">
        <v>-67</v>
      </c>
      <c r="AR1685">
        <v>-704</v>
      </c>
      <c r="AZ1685">
        <v>1200</v>
      </c>
      <c r="BA1685">
        <v>1</v>
      </c>
      <c r="BB1685" t="str">
        <f t="shared" si="916"/>
        <v xml:space="preserve">N9217B  </v>
      </c>
      <c r="BC1685">
        <v>1</v>
      </c>
      <c r="BE1685">
        <v>0</v>
      </c>
      <c r="BF1685">
        <v>0</v>
      </c>
      <c r="BG1685">
        <v>0</v>
      </c>
      <c r="BH1685">
        <v>8550</v>
      </c>
      <c r="BI1685">
        <v>1</v>
      </c>
      <c r="BJ1685">
        <v>0</v>
      </c>
      <c r="BK1685">
        <v>0</v>
      </c>
      <c r="BL1685">
        <v>0</v>
      </c>
      <c r="BO1685">
        <v>0</v>
      </c>
      <c r="BP1685">
        <v>0</v>
      </c>
      <c r="BW1685" t="str">
        <f t="shared" si="925"/>
        <v>14:53:14.203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6</v>
      </c>
      <c r="CP1685" t="s">
        <v>119</v>
      </c>
      <c r="CQ1685">
        <v>285</v>
      </c>
      <c r="CR1685">
        <v>0</v>
      </c>
      <c r="CW1685">
        <v>8856452</v>
      </c>
      <c r="CY1685">
        <v>0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25">
      <c r="A1686" t="str">
        <f t="shared" si="922"/>
        <v>06/05/2020 14:53:08.527</v>
      </c>
      <c r="C1686" t="str">
        <f t="shared" si="897"/>
        <v>FFDFD3C0</v>
      </c>
      <c r="D1686" t="s">
        <v>148</v>
      </c>
      <c r="E1686">
        <v>8</v>
      </c>
      <c r="H1686">
        <v>50</v>
      </c>
      <c r="I1686" t="s">
        <v>149</v>
      </c>
      <c r="J1686" t="s">
        <v>150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923"/>
        <v>14:53:14.195</v>
      </c>
      <c r="T1686" t="str">
        <f t="shared" si="924"/>
        <v>14:53:14.095</v>
      </c>
      <c r="U1686" t="str">
        <f t="shared" si="912"/>
        <v>ACC530</v>
      </c>
      <c r="V1686">
        <v>0</v>
      </c>
      <c r="W1686">
        <v>0</v>
      </c>
      <c r="X1686">
        <v>1</v>
      </c>
      <c r="Z1686">
        <v>0</v>
      </c>
      <c r="AA1686">
        <v>9</v>
      </c>
      <c r="AB1686">
        <v>3</v>
      </c>
      <c r="AC1686">
        <v>0</v>
      </c>
      <c r="AD1686">
        <v>9</v>
      </c>
      <c r="AE1686">
        <v>0</v>
      </c>
      <c r="AF1686">
        <v>3</v>
      </c>
      <c r="AG1686">
        <v>1</v>
      </c>
      <c r="AH1686">
        <v>0</v>
      </c>
      <c r="AI1686" t="s">
        <v>650</v>
      </c>
      <c r="AJ1686">
        <v>34.189087999999998</v>
      </c>
      <c r="AK1686" t="s">
        <v>651</v>
      </c>
      <c r="AL1686">
        <v>-116.996949</v>
      </c>
      <c r="AM1686">
        <v>100</v>
      </c>
      <c r="AN1686">
        <v>8500</v>
      </c>
      <c r="AO1686" t="s">
        <v>118</v>
      </c>
      <c r="AP1686">
        <v>-101</v>
      </c>
      <c r="AQ1686">
        <v>-67</v>
      </c>
      <c r="AR1686">
        <v>-704</v>
      </c>
      <c r="AZ1686">
        <v>1200</v>
      </c>
      <c r="BA1686">
        <v>1</v>
      </c>
      <c r="BB1686" t="str">
        <f t="shared" si="916"/>
        <v xml:space="preserve">N9217B  </v>
      </c>
      <c r="BC1686">
        <v>1</v>
      </c>
      <c r="BE1686">
        <v>0</v>
      </c>
      <c r="BF1686">
        <v>0</v>
      </c>
      <c r="BG1686">
        <v>0</v>
      </c>
      <c r="BH1686">
        <v>8550</v>
      </c>
      <c r="BI1686">
        <v>1</v>
      </c>
      <c r="BJ1686">
        <v>0</v>
      </c>
      <c r="BK1686">
        <v>0</v>
      </c>
      <c r="BL1686">
        <v>0</v>
      </c>
      <c r="BO1686">
        <v>0</v>
      </c>
      <c r="BP1686">
        <v>0</v>
      </c>
      <c r="BW1686" t="str">
        <f t="shared" si="925"/>
        <v>14:53:14.203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285</v>
      </c>
      <c r="CR1686">
        <v>0</v>
      </c>
      <c r="CW1686">
        <v>8856452</v>
      </c>
      <c r="CY1686">
        <v>0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25">
      <c r="A1687" t="str">
        <f t="shared" si="922"/>
        <v>06/05/2020 14:53:08.527</v>
      </c>
      <c r="C1687" t="str">
        <f t="shared" si="897"/>
        <v>FFDFD3C0</v>
      </c>
      <c r="D1687" t="s">
        <v>134</v>
      </c>
      <c r="E1687">
        <v>7</v>
      </c>
      <c r="F1687">
        <v>2007</v>
      </c>
      <c r="G1687" t="s">
        <v>135</v>
      </c>
      <c r="J1687" t="s">
        <v>136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923"/>
        <v>14:53:14.195</v>
      </c>
      <c r="T1687" t="str">
        <f t="shared" si="924"/>
        <v>14:53:14.095</v>
      </c>
      <c r="U1687" t="str">
        <f t="shared" si="912"/>
        <v>ACC530</v>
      </c>
      <c r="V1687">
        <v>0</v>
      </c>
      <c r="W1687">
        <v>0</v>
      </c>
      <c r="X1687">
        <v>1</v>
      </c>
      <c r="Z1687">
        <v>0</v>
      </c>
      <c r="AA1687">
        <v>9</v>
      </c>
      <c r="AB1687">
        <v>3</v>
      </c>
      <c r="AC1687">
        <v>0</v>
      </c>
      <c r="AD1687">
        <v>9</v>
      </c>
      <c r="AE1687">
        <v>0</v>
      </c>
      <c r="AF1687">
        <v>3</v>
      </c>
      <c r="AG1687">
        <v>1</v>
      </c>
      <c r="AH1687">
        <v>0</v>
      </c>
      <c r="AI1687" t="s">
        <v>650</v>
      </c>
      <c r="AJ1687">
        <v>34.189087999999998</v>
      </c>
      <c r="AK1687" t="s">
        <v>651</v>
      </c>
      <c r="AL1687">
        <v>-116.996949</v>
      </c>
      <c r="AM1687">
        <v>100</v>
      </c>
      <c r="AN1687">
        <v>8500</v>
      </c>
      <c r="AO1687" t="s">
        <v>118</v>
      </c>
      <c r="AP1687">
        <v>-101</v>
      </c>
      <c r="AQ1687">
        <v>-67</v>
      </c>
      <c r="AR1687">
        <v>-704</v>
      </c>
      <c r="AZ1687">
        <v>1200</v>
      </c>
      <c r="BA1687">
        <v>1</v>
      </c>
      <c r="BB1687" t="str">
        <f t="shared" si="916"/>
        <v xml:space="preserve">N9217B  </v>
      </c>
      <c r="BC1687">
        <v>1</v>
      </c>
      <c r="BE1687">
        <v>0</v>
      </c>
      <c r="BF1687">
        <v>0</v>
      </c>
      <c r="BG1687">
        <v>0</v>
      </c>
      <c r="BH1687">
        <v>8550</v>
      </c>
      <c r="BI1687">
        <v>1</v>
      </c>
      <c r="BJ1687">
        <v>0</v>
      </c>
      <c r="BK1687">
        <v>0</v>
      </c>
      <c r="BL1687">
        <v>0</v>
      </c>
      <c r="BO1687">
        <v>0</v>
      </c>
      <c r="BP1687">
        <v>0</v>
      </c>
      <c r="BW1687" t="str">
        <f t="shared" si="925"/>
        <v>14:53:14.203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6</v>
      </c>
      <c r="CP1687" t="s">
        <v>119</v>
      </c>
      <c r="CQ1687">
        <v>285</v>
      </c>
      <c r="CR1687">
        <v>0</v>
      </c>
      <c r="CW1687">
        <v>8856452</v>
      </c>
      <c r="CY1687">
        <v>0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25">
      <c r="A1688" t="str">
        <f t="shared" si="922"/>
        <v>06/05/2020 14:53:08.527</v>
      </c>
      <c r="C1688" t="str">
        <f t="shared" si="897"/>
        <v>FFDFD3C0</v>
      </c>
      <c r="D1688" t="s">
        <v>113</v>
      </c>
      <c r="E1688">
        <v>3</v>
      </c>
      <c r="H1688">
        <v>166</v>
      </c>
      <c r="I1688" t="s">
        <v>114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923"/>
        <v>14:53:14.195</v>
      </c>
      <c r="T1688" t="str">
        <f t="shared" si="924"/>
        <v>14:53:14.095</v>
      </c>
      <c r="U1688" t="str">
        <f t="shared" si="912"/>
        <v>ACC530</v>
      </c>
      <c r="V1688">
        <v>0</v>
      </c>
      <c r="W1688">
        <v>0</v>
      </c>
      <c r="X1688">
        <v>1</v>
      </c>
      <c r="Z1688">
        <v>0</v>
      </c>
      <c r="AA1688">
        <v>9</v>
      </c>
      <c r="AB1688">
        <v>3</v>
      </c>
      <c r="AC1688">
        <v>0</v>
      </c>
      <c r="AD1688">
        <v>9</v>
      </c>
      <c r="AE1688">
        <v>0</v>
      </c>
      <c r="AF1688">
        <v>3</v>
      </c>
      <c r="AG1688">
        <v>1</v>
      </c>
      <c r="AH1688">
        <v>0</v>
      </c>
      <c r="AI1688" t="s">
        <v>650</v>
      </c>
      <c r="AJ1688">
        <v>34.189087999999998</v>
      </c>
      <c r="AK1688" t="s">
        <v>651</v>
      </c>
      <c r="AL1688">
        <v>-116.996949</v>
      </c>
      <c r="AM1688">
        <v>100</v>
      </c>
      <c r="AN1688">
        <v>8500</v>
      </c>
      <c r="AO1688" t="s">
        <v>118</v>
      </c>
      <c r="AP1688">
        <v>-101</v>
      </c>
      <c r="AQ1688">
        <v>-67</v>
      </c>
      <c r="AR1688">
        <v>-704</v>
      </c>
      <c r="AZ1688">
        <v>1200</v>
      </c>
      <c r="BA1688">
        <v>1</v>
      </c>
      <c r="BB1688" t="str">
        <f t="shared" si="916"/>
        <v xml:space="preserve">N9217B  </v>
      </c>
      <c r="BC1688">
        <v>1</v>
      </c>
      <c r="BE1688">
        <v>0</v>
      </c>
      <c r="BF1688">
        <v>0</v>
      </c>
      <c r="BG1688">
        <v>0</v>
      </c>
      <c r="BH1688">
        <v>8550</v>
      </c>
      <c r="BI1688">
        <v>1</v>
      </c>
      <c r="BJ1688">
        <v>0</v>
      </c>
      <c r="BK1688">
        <v>0</v>
      </c>
      <c r="BL1688">
        <v>0</v>
      </c>
      <c r="BO1688">
        <v>0</v>
      </c>
      <c r="BP1688">
        <v>0</v>
      </c>
      <c r="BW1688" t="str">
        <f t="shared" si="925"/>
        <v>14:53:14.203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6</v>
      </c>
      <c r="CP1688" t="s">
        <v>119</v>
      </c>
      <c r="CQ1688">
        <v>285</v>
      </c>
      <c r="CR1688">
        <v>0</v>
      </c>
      <c r="CW1688">
        <v>8856452</v>
      </c>
      <c r="CY1688">
        <v>0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25">
      <c r="A1689" t="str">
        <f t="shared" si="922"/>
        <v>06/05/2020 14:53:08.527</v>
      </c>
      <c r="C1689" t="str">
        <f t="shared" si="897"/>
        <v>FFDFD3C0</v>
      </c>
      <c r="D1689" t="s">
        <v>141</v>
      </c>
      <c r="E1689">
        <v>20</v>
      </c>
      <c r="F1689">
        <v>1020</v>
      </c>
      <c r="G1689" t="s">
        <v>114</v>
      </c>
      <c r="J1689" t="s">
        <v>142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923"/>
        <v>14:53:14.195</v>
      </c>
      <c r="T1689" t="str">
        <f t="shared" si="924"/>
        <v>14:53:14.095</v>
      </c>
      <c r="U1689" t="str">
        <f t="shared" si="912"/>
        <v>ACC530</v>
      </c>
      <c r="V1689">
        <v>0</v>
      </c>
      <c r="W1689">
        <v>0</v>
      </c>
      <c r="X1689">
        <v>1</v>
      </c>
      <c r="Z1689">
        <v>0</v>
      </c>
      <c r="AA1689">
        <v>9</v>
      </c>
      <c r="AB1689">
        <v>3</v>
      </c>
      <c r="AC1689">
        <v>0</v>
      </c>
      <c r="AD1689">
        <v>9</v>
      </c>
      <c r="AE1689">
        <v>0</v>
      </c>
      <c r="AF1689">
        <v>3</v>
      </c>
      <c r="AG1689">
        <v>1</v>
      </c>
      <c r="AH1689">
        <v>0</v>
      </c>
      <c r="AI1689" t="s">
        <v>650</v>
      </c>
      <c r="AJ1689">
        <v>34.189087999999998</v>
      </c>
      <c r="AK1689" t="s">
        <v>651</v>
      </c>
      <c r="AL1689">
        <v>-116.996949</v>
      </c>
      <c r="AM1689">
        <v>100</v>
      </c>
      <c r="AN1689">
        <v>8500</v>
      </c>
      <c r="AO1689" t="s">
        <v>118</v>
      </c>
      <c r="AP1689">
        <v>-101</v>
      </c>
      <c r="AQ1689">
        <v>-67</v>
      </c>
      <c r="AR1689">
        <v>-704</v>
      </c>
      <c r="AZ1689">
        <v>1200</v>
      </c>
      <c r="BA1689">
        <v>1</v>
      </c>
      <c r="BB1689" t="str">
        <f t="shared" si="916"/>
        <v xml:space="preserve">N9217B  </v>
      </c>
      <c r="BC1689">
        <v>1</v>
      </c>
      <c r="BE1689">
        <v>0</v>
      </c>
      <c r="BF1689">
        <v>0</v>
      </c>
      <c r="BG1689">
        <v>0</v>
      </c>
      <c r="BH1689">
        <v>8550</v>
      </c>
      <c r="BI1689">
        <v>1</v>
      </c>
      <c r="BJ1689">
        <v>0</v>
      </c>
      <c r="BK1689">
        <v>0</v>
      </c>
      <c r="BL1689">
        <v>0</v>
      </c>
      <c r="BO1689">
        <v>0</v>
      </c>
      <c r="BP1689">
        <v>0</v>
      </c>
      <c r="BW1689" t="str">
        <f t="shared" si="925"/>
        <v>14:53:14.203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6</v>
      </c>
      <c r="CP1689" t="s">
        <v>119</v>
      </c>
      <c r="CQ1689">
        <v>285</v>
      </c>
      <c r="CR1689">
        <v>0</v>
      </c>
      <c r="CW1689">
        <v>8856452</v>
      </c>
      <c r="CY1689">
        <v>0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25">
      <c r="A1690" t="str">
        <f t="shared" ref="A1690:A1696" si="926">"06/05/2020 14:53:09.646"</f>
        <v>06/05/2020 14:53:09.646</v>
      </c>
      <c r="C1690" t="str">
        <f t="shared" si="897"/>
        <v>FFDFD3C0</v>
      </c>
      <c r="D1690" t="s">
        <v>148</v>
      </c>
      <c r="E1690">
        <v>8</v>
      </c>
      <c r="H1690">
        <v>50</v>
      </c>
      <c r="I1690" t="s">
        <v>149</v>
      </c>
      <c r="J1690" t="s">
        <v>150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ref="S1690:S1696" si="927">"14:53:15.281"</f>
        <v>14:53:15.281</v>
      </c>
      <c r="T1690" t="str">
        <f t="shared" ref="T1690:T1696" si="928">"14:53:15.181"</f>
        <v>14:53:15.181</v>
      </c>
      <c r="U1690" t="str">
        <f t="shared" si="912"/>
        <v>ACC530</v>
      </c>
      <c r="V1690">
        <v>0</v>
      </c>
      <c r="W1690">
        <v>0</v>
      </c>
      <c r="X1690">
        <v>1</v>
      </c>
      <c r="Z1690">
        <v>0</v>
      </c>
      <c r="AA1690">
        <v>9</v>
      </c>
      <c r="AB1690">
        <v>3</v>
      </c>
      <c r="AC1690">
        <v>0</v>
      </c>
      <c r="AD1690">
        <v>9</v>
      </c>
      <c r="AE1690">
        <v>0</v>
      </c>
      <c r="AF1690">
        <v>3</v>
      </c>
      <c r="AG1690">
        <v>1</v>
      </c>
      <c r="AH1690">
        <v>0</v>
      </c>
      <c r="AI1690" t="s">
        <v>652</v>
      </c>
      <c r="AJ1690">
        <v>34.188766000000001</v>
      </c>
      <c r="AK1690" t="s">
        <v>653</v>
      </c>
      <c r="AL1690">
        <v>-116.99755</v>
      </c>
      <c r="AM1690">
        <v>100</v>
      </c>
      <c r="AN1690">
        <v>8500</v>
      </c>
      <c r="AO1690" t="s">
        <v>118</v>
      </c>
      <c r="AP1690">
        <v>-101</v>
      </c>
      <c r="AQ1690">
        <v>-67</v>
      </c>
      <c r="AR1690">
        <v>-768</v>
      </c>
      <c r="AZ1690">
        <v>1200</v>
      </c>
      <c r="BA1690">
        <v>1</v>
      </c>
      <c r="BB1690" t="str">
        <f t="shared" si="916"/>
        <v xml:space="preserve">N9217B  </v>
      </c>
      <c r="BC1690">
        <v>1</v>
      </c>
      <c r="BE1690">
        <v>0</v>
      </c>
      <c r="BF1690">
        <v>0</v>
      </c>
      <c r="BG1690">
        <v>0</v>
      </c>
      <c r="BH1690">
        <v>8525</v>
      </c>
      <c r="BI1690">
        <v>1</v>
      </c>
      <c r="BJ1690">
        <v>0</v>
      </c>
      <c r="BK1690">
        <v>0</v>
      </c>
      <c r="BL1690">
        <v>0</v>
      </c>
      <c r="BO1690">
        <v>0</v>
      </c>
      <c r="BP1690">
        <v>0</v>
      </c>
      <c r="BW1690" t="str">
        <f t="shared" ref="BW1690:BW1696" si="929">"14:53:15.283"</f>
        <v>14:53:15.283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6</v>
      </c>
      <c r="CP1690" t="s">
        <v>119</v>
      </c>
      <c r="CQ1690">
        <v>285</v>
      </c>
      <c r="CR1690">
        <v>0</v>
      </c>
      <c r="CW1690">
        <v>8856551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25">
      <c r="A1691" t="str">
        <f t="shared" si="926"/>
        <v>06/05/2020 14:53:09.646</v>
      </c>
      <c r="C1691" t="str">
        <f t="shared" si="897"/>
        <v>FFDFD3C0</v>
      </c>
      <c r="D1691" t="s">
        <v>134</v>
      </c>
      <c r="E1691">
        <v>7</v>
      </c>
      <c r="F1691">
        <v>2007</v>
      </c>
      <c r="G1691" t="s">
        <v>135</v>
      </c>
      <c r="J1691" t="s">
        <v>136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927"/>
        <v>14:53:15.281</v>
      </c>
      <c r="T1691" t="str">
        <f t="shared" si="928"/>
        <v>14:53:15.181</v>
      </c>
      <c r="U1691" t="str">
        <f t="shared" si="912"/>
        <v>ACC530</v>
      </c>
      <c r="V1691">
        <v>0</v>
      </c>
      <c r="W1691">
        <v>0</v>
      </c>
      <c r="X1691">
        <v>1</v>
      </c>
      <c r="Z1691">
        <v>0</v>
      </c>
      <c r="AA1691">
        <v>9</v>
      </c>
      <c r="AB1691">
        <v>3</v>
      </c>
      <c r="AC1691">
        <v>0</v>
      </c>
      <c r="AD1691">
        <v>9</v>
      </c>
      <c r="AE1691">
        <v>0</v>
      </c>
      <c r="AF1691">
        <v>3</v>
      </c>
      <c r="AG1691">
        <v>1</v>
      </c>
      <c r="AH1691">
        <v>0</v>
      </c>
      <c r="AI1691" t="s">
        <v>652</v>
      </c>
      <c r="AJ1691">
        <v>34.188766000000001</v>
      </c>
      <c r="AK1691" t="s">
        <v>653</v>
      </c>
      <c r="AL1691">
        <v>-116.99755</v>
      </c>
      <c r="AM1691">
        <v>100</v>
      </c>
      <c r="AN1691">
        <v>8500</v>
      </c>
      <c r="AO1691" t="s">
        <v>118</v>
      </c>
      <c r="AP1691">
        <v>-101</v>
      </c>
      <c r="AQ1691">
        <v>-67</v>
      </c>
      <c r="AR1691">
        <v>-768</v>
      </c>
      <c r="AZ1691">
        <v>1200</v>
      </c>
      <c r="BA1691">
        <v>1</v>
      </c>
      <c r="BB1691" t="str">
        <f t="shared" si="916"/>
        <v xml:space="preserve">N9217B  </v>
      </c>
      <c r="BC1691">
        <v>1</v>
      </c>
      <c r="BE1691">
        <v>0</v>
      </c>
      <c r="BF1691">
        <v>0</v>
      </c>
      <c r="BG1691">
        <v>0</v>
      </c>
      <c r="BH1691">
        <v>8525</v>
      </c>
      <c r="BI1691">
        <v>1</v>
      </c>
      <c r="BJ1691">
        <v>0</v>
      </c>
      <c r="BK1691">
        <v>0</v>
      </c>
      <c r="BL1691">
        <v>0</v>
      </c>
      <c r="BO1691">
        <v>0</v>
      </c>
      <c r="BP1691">
        <v>0</v>
      </c>
      <c r="BW1691" t="str">
        <f t="shared" si="929"/>
        <v>14:53:15.283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285</v>
      </c>
      <c r="CR1691">
        <v>0</v>
      </c>
      <c r="CW1691">
        <v>8856551</v>
      </c>
      <c r="CY1691">
        <v>0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25">
      <c r="A1692" t="str">
        <f t="shared" si="926"/>
        <v>06/05/2020 14:53:09.646</v>
      </c>
      <c r="C1692" t="str">
        <f t="shared" si="897"/>
        <v>FFDFD3C0</v>
      </c>
      <c r="D1692" t="s">
        <v>113</v>
      </c>
      <c r="E1692">
        <v>3</v>
      </c>
      <c r="H1692">
        <v>166</v>
      </c>
      <c r="I1692" t="s">
        <v>114</v>
      </c>
      <c r="J1692" t="s">
        <v>115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927"/>
        <v>14:53:15.281</v>
      </c>
      <c r="T1692" t="str">
        <f t="shared" si="928"/>
        <v>14:53:15.181</v>
      </c>
      <c r="U1692" t="str">
        <f t="shared" si="912"/>
        <v>ACC530</v>
      </c>
      <c r="V1692">
        <v>0</v>
      </c>
      <c r="W1692">
        <v>0</v>
      </c>
      <c r="X1692">
        <v>1</v>
      </c>
      <c r="Z1692">
        <v>0</v>
      </c>
      <c r="AA1692">
        <v>9</v>
      </c>
      <c r="AB1692">
        <v>3</v>
      </c>
      <c r="AC1692">
        <v>0</v>
      </c>
      <c r="AD1692">
        <v>9</v>
      </c>
      <c r="AE1692">
        <v>0</v>
      </c>
      <c r="AF1692">
        <v>3</v>
      </c>
      <c r="AG1692">
        <v>1</v>
      </c>
      <c r="AH1692">
        <v>0</v>
      </c>
      <c r="AI1692" t="s">
        <v>652</v>
      </c>
      <c r="AJ1692">
        <v>34.188766000000001</v>
      </c>
      <c r="AK1692" t="s">
        <v>653</v>
      </c>
      <c r="AL1692">
        <v>-116.99755</v>
      </c>
      <c r="AM1692">
        <v>100</v>
      </c>
      <c r="AN1692">
        <v>8500</v>
      </c>
      <c r="AO1692" t="s">
        <v>118</v>
      </c>
      <c r="AP1692">
        <v>-101</v>
      </c>
      <c r="AQ1692">
        <v>-67</v>
      </c>
      <c r="AR1692">
        <v>-768</v>
      </c>
      <c r="AZ1692">
        <v>1200</v>
      </c>
      <c r="BA1692">
        <v>1</v>
      </c>
      <c r="BB1692" t="str">
        <f t="shared" si="916"/>
        <v xml:space="preserve">N9217B  </v>
      </c>
      <c r="BC1692">
        <v>1</v>
      </c>
      <c r="BE1692">
        <v>0</v>
      </c>
      <c r="BF1692">
        <v>0</v>
      </c>
      <c r="BG1692">
        <v>0</v>
      </c>
      <c r="BH1692">
        <v>8525</v>
      </c>
      <c r="BI1692">
        <v>1</v>
      </c>
      <c r="BJ1692">
        <v>0</v>
      </c>
      <c r="BK1692">
        <v>0</v>
      </c>
      <c r="BL1692">
        <v>0</v>
      </c>
      <c r="BO1692">
        <v>0</v>
      </c>
      <c r="BP1692">
        <v>0</v>
      </c>
      <c r="BW1692" t="str">
        <f t="shared" si="929"/>
        <v>14:53:15.283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6</v>
      </c>
      <c r="CP1692" t="s">
        <v>119</v>
      </c>
      <c r="CQ1692">
        <v>285</v>
      </c>
      <c r="CR1692">
        <v>0</v>
      </c>
      <c r="CW1692">
        <v>8856551</v>
      </c>
      <c r="CY1692">
        <v>0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25">
      <c r="A1693" t="str">
        <f t="shared" si="926"/>
        <v>06/05/2020 14:53:09.646</v>
      </c>
      <c r="C1693" t="str">
        <f t="shared" si="897"/>
        <v>FFDFD3C0</v>
      </c>
      <c r="D1693" t="s">
        <v>141</v>
      </c>
      <c r="E1693">
        <v>20</v>
      </c>
      <c r="F1693">
        <v>1020</v>
      </c>
      <c r="G1693" t="s">
        <v>114</v>
      </c>
      <c r="J1693" t="s">
        <v>142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927"/>
        <v>14:53:15.281</v>
      </c>
      <c r="T1693" t="str">
        <f t="shared" si="928"/>
        <v>14:53:15.181</v>
      </c>
      <c r="U1693" t="str">
        <f t="shared" si="912"/>
        <v>ACC530</v>
      </c>
      <c r="V1693">
        <v>0</v>
      </c>
      <c r="W1693">
        <v>0</v>
      </c>
      <c r="X1693">
        <v>1</v>
      </c>
      <c r="Z1693">
        <v>0</v>
      </c>
      <c r="AA1693">
        <v>9</v>
      </c>
      <c r="AB1693">
        <v>3</v>
      </c>
      <c r="AC1693">
        <v>0</v>
      </c>
      <c r="AD1693">
        <v>9</v>
      </c>
      <c r="AE1693">
        <v>0</v>
      </c>
      <c r="AF1693">
        <v>3</v>
      </c>
      <c r="AG1693">
        <v>1</v>
      </c>
      <c r="AH1693">
        <v>0</v>
      </c>
      <c r="AI1693" t="s">
        <v>652</v>
      </c>
      <c r="AJ1693">
        <v>34.188766000000001</v>
      </c>
      <c r="AK1693" t="s">
        <v>653</v>
      </c>
      <c r="AL1693">
        <v>-116.99755</v>
      </c>
      <c r="AM1693">
        <v>100</v>
      </c>
      <c r="AN1693">
        <v>8500</v>
      </c>
      <c r="AO1693" t="s">
        <v>118</v>
      </c>
      <c r="AP1693">
        <v>-101</v>
      </c>
      <c r="AQ1693">
        <v>-67</v>
      </c>
      <c r="AR1693">
        <v>-768</v>
      </c>
      <c r="AZ1693">
        <v>1200</v>
      </c>
      <c r="BA1693">
        <v>1</v>
      </c>
      <c r="BB1693" t="str">
        <f t="shared" si="916"/>
        <v xml:space="preserve">N9217B  </v>
      </c>
      <c r="BC1693">
        <v>1</v>
      </c>
      <c r="BE1693">
        <v>0</v>
      </c>
      <c r="BF1693">
        <v>0</v>
      </c>
      <c r="BG1693">
        <v>0</v>
      </c>
      <c r="BH1693">
        <v>8525</v>
      </c>
      <c r="BI1693">
        <v>1</v>
      </c>
      <c r="BJ1693">
        <v>0</v>
      </c>
      <c r="BK1693">
        <v>0</v>
      </c>
      <c r="BL1693">
        <v>0</v>
      </c>
      <c r="BO1693">
        <v>0</v>
      </c>
      <c r="BP1693">
        <v>0</v>
      </c>
      <c r="BW1693" t="str">
        <f t="shared" si="929"/>
        <v>14:53:15.283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6</v>
      </c>
      <c r="CP1693" t="s">
        <v>119</v>
      </c>
      <c r="CQ1693">
        <v>285</v>
      </c>
      <c r="CR1693">
        <v>0</v>
      </c>
      <c r="CW1693">
        <v>8856551</v>
      </c>
      <c r="CY1693">
        <v>0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25">
      <c r="A1694" t="str">
        <f t="shared" si="926"/>
        <v>06/05/2020 14:53:09.646</v>
      </c>
      <c r="C1694" t="str">
        <f t="shared" si="897"/>
        <v>FFDFD3C0</v>
      </c>
      <c r="D1694" t="s">
        <v>151</v>
      </c>
      <c r="E1694">
        <v>8</v>
      </c>
      <c r="H1694">
        <v>225</v>
      </c>
      <c r="I1694" t="s">
        <v>353</v>
      </c>
      <c r="J1694" t="s">
        <v>150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927"/>
        <v>14:53:15.281</v>
      </c>
      <c r="T1694" t="str">
        <f t="shared" si="928"/>
        <v>14:53:15.181</v>
      </c>
      <c r="U1694" t="str">
        <f t="shared" si="912"/>
        <v>ACC530</v>
      </c>
      <c r="V1694">
        <v>0</v>
      </c>
      <c r="W1694">
        <v>0</v>
      </c>
      <c r="X1694">
        <v>1</v>
      </c>
      <c r="Z1694">
        <v>0</v>
      </c>
      <c r="AA1694">
        <v>9</v>
      </c>
      <c r="AB1694">
        <v>3</v>
      </c>
      <c r="AC1694">
        <v>0</v>
      </c>
      <c r="AD1694">
        <v>9</v>
      </c>
      <c r="AE1694">
        <v>0</v>
      </c>
      <c r="AF1694">
        <v>3</v>
      </c>
      <c r="AG1694">
        <v>1</v>
      </c>
      <c r="AH1694">
        <v>0</v>
      </c>
      <c r="AI1694" t="s">
        <v>652</v>
      </c>
      <c r="AJ1694">
        <v>34.188766000000001</v>
      </c>
      <c r="AK1694" t="s">
        <v>653</v>
      </c>
      <c r="AL1694">
        <v>-116.99755</v>
      </c>
      <c r="AM1694">
        <v>100</v>
      </c>
      <c r="AN1694">
        <v>8500</v>
      </c>
      <c r="AO1694" t="s">
        <v>118</v>
      </c>
      <c r="AP1694">
        <v>-101</v>
      </c>
      <c r="AQ1694">
        <v>-67</v>
      </c>
      <c r="AR1694">
        <v>-768</v>
      </c>
      <c r="AZ1694">
        <v>1200</v>
      </c>
      <c r="BA1694">
        <v>1</v>
      </c>
      <c r="BB1694" t="str">
        <f t="shared" si="916"/>
        <v xml:space="preserve">N9217B  </v>
      </c>
      <c r="BC1694">
        <v>1</v>
      </c>
      <c r="BE1694">
        <v>0</v>
      </c>
      <c r="BF1694">
        <v>0</v>
      </c>
      <c r="BG1694">
        <v>0</v>
      </c>
      <c r="BH1694">
        <v>8525</v>
      </c>
      <c r="BI1694">
        <v>1</v>
      </c>
      <c r="BJ1694">
        <v>0</v>
      </c>
      <c r="BK1694">
        <v>0</v>
      </c>
      <c r="BL1694">
        <v>0</v>
      </c>
      <c r="BO1694">
        <v>0</v>
      </c>
      <c r="BP1694">
        <v>0</v>
      </c>
      <c r="BW1694" t="str">
        <f t="shared" si="929"/>
        <v>14:53:15.283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6</v>
      </c>
      <c r="CP1694" t="s">
        <v>119</v>
      </c>
      <c r="CQ1694">
        <v>285</v>
      </c>
      <c r="CR1694">
        <v>0</v>
      </c>
      <c r="CW1694">
        <v>8856551</v>
      </c>
      <c r="CY1694">
        <v>0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25">
      <c r="A1695" t="str">
        <f t="shared" si="926"/>
        <v>06/05/2020 14:53:09.646</v>
      </c>
      <c r="C1695" t="str">
        <f t="shared" si="897"/>
        <v>FFDFD3C0</v>
      </c>
      <c r="D1695" t="s">
        <v>148</v>
      </c>
      <c r="E1695">
        <v>11</v>
      </c>
      <c r="H1695">
        <v>53</v>
      </c>
      <c r="I1695" t="s">
        <v>364</v>
      </c>
      <c r="J1695" t="s">
        <v>150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927"/>
        <v>14:53:15.281</v>
      </c>
      <c r="T1695" t="str">
        <f t="shared" si="928"/>
        <v>14:53:15.181</v>
      </c>
      <c r="U1695" t="str">
        <f t="shared" si="912"/>
        <v>ACC530</v>
      </c>
      <c r="V1695">
        <v>0</v>
      </c>
      <c r="W1695">
        <v>0</v>
      </c>
      <c r="X1695">
        <v>1</v>
      </c>
      <c r="Z1695">
        <v>0</v>
      </c>
      <c r="AA1695">
        <v>9</v>
      </c>
      <c r="AB1695">
        <v>3</v>
      </c>
      <c r="AC1695">
        <v>0</v>
      </c>
      <c r="AD1695">
        <v>9</v>
      </c>
      <c r="AE1695">
        <v>0</v>
      </c>
      <c r="AF1695">
        <v>3</v>
      </c>
      <c r="AG1695">
        <v>1</v>
      </c>
      <c r="AH1695">
        <v>0</v>
      </c>
      <c r="AI1695" t="s">
        <v>652</v>
      </c>
      <c r="AJ1695">
        <v>34.188766000000001</v>
      </c>
      <c r="AK1695" t="s">
        <v>653</v>
      </c>
      <c r="AL1695">
        <v>-116.99755</v>
      </c>
      <c r="AM1695">
        <v>100</v>
      </c>
      <c r="AN1695">
        <v>8500</v>
      </c>
      <c r="AO1695" t="s">
        <v>118</v>
      </c>
      <c r="AP1695">
        <v>-101</v>
      </c>
      <c r="AQ1695">
        <v>-67</v>
      </c>
      <c r="AR1695">
        <v>-768</v>
      </c>
      <c r="AZ1695">
        <v>1200</v>
      </c>
      <c r="BA1695">
        <v>1</v>
      </c>
      <c r="BB1695" t="str">
        <f t="shared" si="916"/>
        <v xml:space="preserve">N9217B  </v>
      </c>
      <c r="BC1695">
        <v>1</v>
      </c>
      <c r="BE1695">
        <v>0</v>
      </c>
      <c r="BF1695">
        <v>0</v>
      </c>
      <c r="BG1695">
        <v>0</v>
      </c>
      <c r="BH1695">
        <v>8525</v>
      </c>
      <c r="BI1695">
        <v>1</v>
      </c>
      <c r="BJ1695">
        <v>0</v>
      </c>
      <c r="BK1695">
        <v>0</v>
      </c>
      <c r="BL1695">
        <v>0</v>
      </c>
      <c r="BO1695">
        <v>0</v>
      </c>
      <c r="BP1695">
        <v>0</v>
      </c>
      <c r="BW1695" t="str">
        <f t="shared" si="929"/>
        <v>14:53:15.283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6</v>
      </c>
      <c r="CP1695" t="s">
        <v>119</v>
      </c>
      <c r="CQ1695">
        <v>285</v>
      </c>
      <c r="CR1695">
        <v>0</v>
      </c>
      <c r="CW1695">
        <v>8856551</v>
      </c>
      <c r="CY1695">
        <v>0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25">
      <c r="A1696" t="str">
        <f t="shared" si="926"/>
        <v>06/05/2020 14:53:09.646</v>
      </c>
      <c r="C1696" t="str">
        <f t="shared" si="897"/>
        <v>FFDFD3C0</v>
      </c>
      <c r="D1696" t="s">
        <v>151</v>
      </c>
      <c r="E1696">
        <v>9</v>
      </c>
      <c r="H1696">
        <v>226</v>
      </c>
      <c r="I1696" t="s">
        <v>152</v>
      </c>
      <c r="J1696" t="s">
        <v>150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927"/>
        <v>14:53:15.281</v>
      </c>
      <c r="T1696" t="str">
        <f t="shared" si="928"/>
        <v>14:53:15.181</v>
      </c>
      <c r="U1696" t="str">
        <f t="shared" si="912"/>
        <v>ACC530</v>
      </c>
      <c r="V1696">
        <v>0</v>
      </c>
      <c r="W1696">
        <v>0</v>
      </c>
      <c r="X1696">
        <v>1</v>
      </c>
      <c r="Z1696">
        <v>0</v>
      </c>
      <c r="AA1696">
        <v>9</v>
      </c>
      <c r="AB1696">
        <v>3</v>
      </c>
      <c r="AC1696">
        <v>0</v>
      </c>
      <c r="AD1696">
        <v>9</v>
      </c>
      <c r="AE1696">
        <v>0</v>
      </c>
      <c r="AF1696">
        <v>3</v>
      </c>
      <c r="AG1696">
        <v>1</v>
      </c>
      <c r="AH1696">
        <v>0</v>
      </c>
      <c r="AI1696" t="s">
        <v>652</v>
      </c>
      <c r="AJ1696">
        <v>34.188766000000001</v>
      </c>
      <c r="AK1696" t="s">
        <v>653</v>
      </c>
      <c r="AL1696">
        <v>-116.99755</v>
      </c>
      <c r="AM1696">
        <v>100</v>
      </c>
      <c r="AN1696">
        <v>8500</v>
      </c>
      <c r="AO1696" t="s">
        <v>118</v>
      </c>
      <c r="AP1696">
        <v>-101</v>
      </c>
      <c r="AQ1696">
        <v>-67</v>
      </c>
      <c r="AR1696">
        <v>-768</v>
      </c>
      <c r="AZ1696">
        <v>1200</v>
      </c>
      <c r="BA1696">
        <v>1</v>
      </c>
      <c r="BB1696" t="str">
        <f t="shared" si="916"/>
        <v xml:space="preserve">N9217B  </v>
      </c>
      <c r="BC1696">
        <v>1</v>
      </c>
      <c r="BE1696">
        <v>0</v>
      </c>
      <c r="BF1696">
        <v>0</v>
      </c>
      <c r="BG1696">
        <v>0</v>
      </c>
      <c r="BH1696">
        <v>8525</v>
      </c>
      <c r="BI1696">
        <v>1</v>
      </c>
      <c r="BJ1696">
        <v>0</v>
      </c>
      <c r="BK1696">
        <v>0</v>
      </c>
      <c r="BL1696">
        <v>0</v>
      </c>
      <c r="BO1696">
        <v>0</v>
      </c>
      <c r="BP1696">
        <v>0</v>
      </c>
      <c r="BW1696" t="str">
        <f t="shared" si="929"/>
        <v>14:53:15.283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6</v>
      </c>
      <c r="CP1696" t="s">
        <v>119</v>
      </c>
      <c r="CQ1696">
        <v>285</v>
      </c>
      <c r="CR1696">
        <v>0</v>
      </c>
      <c r="CW1696">
        <v>8856551</v>
      </c>
      <c r="CY1696">
        <v>0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25">
      <c r="A1697" t="str">
        <f t="shared" ref="A1697:A1703" si="930">"06/05/2020 14:53:10.482"</f>
        <v>06/05/2020 14:53:10.482</v>
      </c>
      <c r="C1697" t="str">
        <f t="shared" si="897"/>
        <v>FFDFD3C0</v>
      </c>
      <c r="D1697" t="s">
        <v>141</v>
      </c>
      <c r="E1697">
        <v>20</v>
      </c>
      <c r="F1697">
        <v>1020</v>
      </c>
      <c r="G1697" t="s">
        <v>114</v>
      </c>
      <c r="J1697" t="s">
        <v>142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ref="S1697:S1703" si="931">"14:53:16.148"</f>
        <v>14:53:16.148</v>
      </c>
      <c r="T1697" t="str">
        <f t="shared" ref="T1697:T1703" si="932">"14:53:15.648"</f>
        <v>14:53:15.648</v>
      </c>
      <c r="U1697" t="str">
        <f t="shared" si="912"/>
        <v>ACC530</v>
      </c>
      <c r="V1697">
        <v>0</v>
      </c>
      <c r="W1697">
        <v>0</v>
      </c>
      <c r="X1697">
        <v>1</v>
      </c>
      <c r="Z1697">
        <v>0</v>
      </c>
      <c r="AA1697">
        <v>9</v>
      </c>
      <c r="AB1697">
        <v>3</v>
      </c>
      <c r="AC1697">
        <v>0</v>
      </c>
      <c r="AD1697">
        <v>9</v>
      </c>
      <c r="AE1697">
        <v>0</v>
      </c>
      <c r="AF1697">
        <v>3</v>
      </c>
      <c r="AG1697">
        <v>1</v>
      </c>
      <c r="AH1697">
        <v>0</v>
      </c>
      <c r="AI1697" t="s">
        <v>654</v>
      </c>
      <c r="AJ1697">
        <v>34.188465999999998</v>
      </c>
      <c r="AK1697" t="s">
        <v>655</v>
      </c>
      <c r="AL1697">
        <v>-116.998107</v>
      </c>
      <c r="AM1697">
        <v>100</v>
      </c>
      <c r="AN1697">
        <v>8500</v>
      </c>
      <c r="AO1697" t="s">
        <v>118</v>
      </c>
      <c r="AP1697">
        <v>-101</v>
      </c>
      <c r="AQ1697">
        <v>-67</v>
      </c>
      <c r="AR1697">
        <v>-768</v>
      </c>
      <c r="AZ1697">
        <v>1200</v>
      </c>
      <c r="BA1697">
        <v>1</v>
      </c>
      <c r="BB1697" t="str">
        <f t="shared" si="916"/>
        <v xml:space="preserve">N9217B  </v>
      </c>
      <c r="BC1697">
        <v>1</v>
      </c>
      <c r="BE1697">
        <v>0</v>
      </c>
      <c r="BF1697">
        <v>0</v>
      </c>
      <c r="BG1697">
        <v>0</v>
      </c>
      <c r="BH1697">
        <v>8525</v>
      </c>
      <c r="BI1697">
        <v>1</v>
      </c>
      <c r="BJ1697">
        <v>0</v>
      </c>
      <c r="BK1697">
        <v>0</v>
      </c>
      <c r="BL1697">
        <v>0</v>
      </c>
      <c r="BO1697">
        <v>0</v>
      </c>
      <c r="BP1697">
        <v>0</v>
      </c>
      <c r="BW1697" t="str">
        <f t="shared" ref="BW1697:BW1703" si="933">"14:53:16.153"</f>
        <v>14:53:16.153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285</v>
      </c>
      <c r="CR1697">
        <v>0</v>
      </c>
      <c r="CW1697">
        <v>8856631</v>
      </c>
      <c r="CY1697">
        <v>0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25">
      <c r="A1698" t="str">
        <f t="shared" si="930"/>
        <v>06/05/2020 14:53:10.482</v>
      </c>
      <c r="C1698" t="str">
        <f t="shared" si="897"/>
        <v>FFDFD3C0</v>
      </c>
      <c r="D1698" t="s">
        <v>113</v>
      </c>
      <c r="E1698">
        <v>3</v>
      </c>
      <c r="H1698">
        <v>166</v>
      </c>
      <c r="I1698" t="s">
        <v>114</v>
      </c>
      <c r="J1698" t="s">
        <v>115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931"/>
        <v>14:53:16.148</v>
      </c>
      <c r="T1698" t="str">
        <f t="shared" si="932"/>
        <v>14:53:15.648</v>
      </c>
      <c r="U1698" t="str">
        <f t="shared" si="912"/>
        <v>ACC530</v>
      </c>
      <c r="V1698">
        <v>0</v>
      </c>
      <c r="W1698">
        <v>0</v>
      </c>
      <c r="X1698">
        <v>1</v>
      </c>
      <c r="Z1698">
        <v>0</v>
      </c>
      <c r="AA1698">
        <v>9</v>
      </c>
      <c r="AB1698">
        <v>3</v>
      </c>
      <c r="AC1698">
        <v>0</v>
      </c>
      <c r="AD1698">
        <v>9</v>
      </c>
      <c r="AE1698">
        <v>0</v>
      </c>
      <c r="AF1698">
        <v>3</v>
      </c>
      <c r="AG1698">
        <v>1</v>
      </c>
      <c r="AH1698">
        <v>0</v>
      </c>
      <c r="AI1698" t="s">
        <v>654</v>
      </c>
      <c r="AJ1698">
        <v>34.188465999999998</v>
      </c>
      <c r="AK1698" t="s">
        <v>655</v>
      </c>
      <c r="AL1698">
        <v>-116.998107</v>
      </c>
      <c r="AM1698">
        <v>100</v>
      </c>
      <c r="AN1698">
        <v>8500</v>
      </c>
      <c r="AO1698" t="s">
        <v>118</v>
      </c>
      <c r="AP1698">
        <v>-101</v>
      </c>
      <c r="AQ1698">
        <v>-67</v>
      </c>
      <c r="AR1698">
        <v>-768</v>
      </c>
      <c r="AZ1698">
        <v>1200</v>
      </c>
      <c r="BA1698">
        <v>1</v>
      </c>
      <c r="BB1698" t="str">
        <f t="shared" si="916"/>
        <v xml:space="preserve">N9217B  </v>
      </c>
      <c r="BC1698">
        <v>1</v>
      </c>
      <c r="BE1698">
        <v>0</v>
      </c>
      <c r="BF1698">
        <v>0</v>
      </c>
      <c r="BG1698">
        <v>0</v>
      </c>
      <c r="BH1698">
        <v>8525</v>
      </c>
      <c r="BI1698">
        <v>1</v>
      </c>
      <c r="BJ1698">
        <v>0</v>
      </c>
      <c r="BK1698">
        <v>0</v>
      </c>
      <c r="BL1698">
        <v>0</v>
      </c>
      <c r="BO1698">
        <v>0</v>
      </c>
      <c r="BP1698">
        <v>0</v>
      </c>
      <c r="BW1698" t="str">
        <f t="shared" si="933"/>
        <v>14:53:16.153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6</v>
      </c>
      <c r="CP1698" t="s">
        <v>119</v>
      </c>
      <c r="CQ1698">
        <v>285</v>
      </c>
      <c r="CR1698">
        <v>0</v>
      </c>
      <c r="CW1698">
        <v>8856631</v>
      </c>
      <c r="CY1698">
        <v>0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25">
      <c r="A1699" t="str">
        <f t="shared" si="930"/>
        <v>06/05/2020 14:53:10.482</v>
      </c>
      <c r="C1699" t="str">
        <f t="shared" ref="C1699:C1762" si="934">"FFDFD3C0"</f>
        <v>FFDFD3C0</v>
      </c>
      <c r="D1699" t="s">
        <v>151</v>
      </c>
      <c r="E1699">
        <v>8</v>
      </c>
      <c r="H1699">
        <v>225</v>
      </c>
      <c r="I1699" t="s">
        <v>353</v>
      </c>
      <c r="J1699" t="s">
        <v>150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931"/>
        <v>14:53:16.148</v>
      </c>
      <c r="T1699" t="str">
        <f t="shared" si="932"/>
        <v>14:53:15.648</v>
      </c>
      <c r="U1699" t="str">
        <f t="shared" si="912"/>
        <v>ACC530</v>
      </c>
      <c r="V1699">
        <v>0</v>
      </c>
      <c r="W1699">
        <v>0</v>
      </c>
      <c r="X1699">
        <v>1</v>
      </c>
      <c r="Z1699">
        <v>0</v>
      </c>
      <c r="AA1699">
        <v>9</v>
      </c>
      <c r="AB1699">
        <v>3</v>
      </c>
      <c r="AC1699">
        <v>0</v>
      </c>
      <c r="AD1699">
        <v>9</v>
      </c>
      <c r="AE1699">
        <v>0</v>
      </c>
      <c r="AF1699">
        <v>3</v>
      </c>
      <c r="AG1699">
        <v>1</v>
      </c>
      <c r="AH1699">
        <v>0</v>
      </c>
      <c r="AI1699" t="s">
        <v>654</v>
      </c>
      <c r="AJ1699">
        <v>34.188465999999998</v>
      </c>
      <c r="AK1699" t="s">
        <v>655</v>
      </c>
      <c r="AL1699">
        <v>-116.998107</v>
      </c>
      <c r="AM1699">
        <v>100</v>
      </c>
      <c r="AN1699">
        <v>8500</v>
      </c>
      <c r="AO1699" t="s">
        <v>118</v>
      </c>
      <c r="AP1699">
        <v>-101</v>
      </c>
      <c r="AQ1699">
        <v>-67</v>
      </c>
      <c r="AR1699">
        <v>-768</v>
      </c>
      <c r="AZ1699">
        <v>1200</v>
      </c>
      <c r="BA1699">
        <v>1</v>
      </c>
      <c r="BB1699" t="str">
        <f t="shared" si="916"/>
        <v xml:space="preserve">N9217B  </v>
      </c>
      <c r="BC1699">
        <v>1</v>
      </c>
      <c r="BE1699">
        <v>0</v>
      </c>
      <c r="BF1699">
        <v>0</v>
      </c>
      <c r="BG1699">
        <v>0</v>
      </c>
      <c r="BH1699">
        <v>8525</v>
      </c>
      <c r="BI1699">
        <v>1</v>
      </c>
      <c r="BJ1699">
        <v>0</v>
      </c>
      <c r="BK1699">
        <v>0</v>
      </c>
      <c r="BL1699">
        <v>0</v>
      </c>
      <c r="BO1699">
        <v>0</v>
      </c>
      <c r="BP1699">
        <v>0</v>
      </c>
      <c r="BW1699" t="str">
        <f t="shared" si="933"/>
        <v>14:53:16.153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6</v>
      </c>
      <c r="CP1699" t="s">
        <v>119</v>
      </c>
      <c r="CQ1699">
        <v>285</v>
      </c>
      <c r="CR1699">
        <v>0</v>
      </c>
      <c r="CW1699">
        <v>8856631</v>
      </c>
      <c r="CY1699">
        <v>0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25">
      <c r="A1700" t="str">
        <f t="shared" si="930"/>
        <v>06/05/2020 14:53:10.482</v>
      </c>
      <c r="C1700" t="str">
        <f t="shared" si="934"/>
        <v>FFDFD3C0</v>
      </c>
      <c r="D1700" t="s">
        <v>148</v>
      </c>
      <c r="E1700">
        <v>11</v>
      </c>
      <c r="H1700">
        <v>53</v>
      </c>
      <c r="I1700" t="s">
        <v>364</v>
      </c>
      <c r="J1700" t="s">
        <v>150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931"/>
        <v>14:53:16.148</v>
      </c>
      <c r="T1700" t="str">
        <f t="shared" si="932"/>
        <v>14:53:15.648</v>
      </c>
      <c r="U1700" t="str">
        <f t="shared" si="912"/>
        <v>ACC530</v>
      </c>
      <c r="V1700">
        <v>0</v>
      </c>
      <c r="W1700">
        <v>0</v>
      </c>
      <c r="X1700">
        <v>1</v>
      </c>
      <c r="Z1700">
        <v>0</v>
      </c>
      <c r="AA1700">
        <v>9</v>
      </c>
      <c r="AB1700">
        <v>3</v>
      </c>
      <c r="AC1700">
        <v>0</v>
      </c>
      <c r="AD1700">
        <v>9</v>
      </c>
      <c r="AE1700">
        <v>0</v>
      </c>
      <c r="AF1700">
        <v>3</v>
      </c>
      <c r="AG1700">
        <v>1</v>
      </c>
      <c r="AH1700">
        <v>0</v>
      </c>
      <c r="AI1700" t="s">
        <v>654</v>
      </c>
      <c r="AJ1700">
        <v>34.188465999999998</v>
      </c>
      <c r="AK1700" t="s">
        <v>655</v>
      </c>
      <c r="AL1700">
        <v>-116.998107</v>
      </c>
      <c r="AM1700">
        <v>100</v>
      </c>
      <c r="AN1700">
        <v>8500</v>
      </c>
      <c r="AO1700" t="s">
        <v>118</v>
      </c>
      <c r="AP1700">
        <v>-101</v>
      </c>
      <c r="AQ1700">
        <v>-67</v>
      </c>
      <c r="AR1700">
        <v>-768</v>
      </c>
      <c r="AZ1700">
        <v>1200</v>
      </c>
      <c r="BA1700">
        <v>1</v>
      </c>
      <c r="BB1700" t="str">
        <f t="shared" si="916"/>
        <v xml:space="preserve">N9217B  </v>
      </c>
      <c r="BC1700">
        <v>1</v>
      </c>
      <c r="BE1700">
        <v>0</v>
      </c>
      <c r="BF1700">
        <v>0</v>
      </c>
      <c r="BG1700">
        <v>0</v>
      </c>
      <c r="BH1700">
        <v>8525</v>
      </c>
      <c r="BI1700">
        <v>1</v>
      </c>
      <c r="BJ1700">
        <v>0</v>
      </c>
      <c r="BK1700">
        <v>0</v>
      </c>
      <c r="BL1700">
        <v>0</v>
      </c>
      <c r="BO1700">
        <v>0</v>
      </c>
      <c r="BP1700">
        <v>0</v>
      </c>
      <c r="BW1700" t="str">
        <f t="shared" si="933"/>
        <v>14:53:16.153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6</v>
      </c>
      <c r="CP1700" t="s">
        <v>119</v>
      </c>
      <c r="CQ1700">
        <v>285</v>
      </c>
      <c r="CR1700">
        <v>0</v>
      </c>
      <c r="CW1700">
        <v>8856631</v>
      </c>
      <c r="CY1700">
        <v>0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25">
      <c r="A1701" t="str">
        <f t="shared" si="930"/>
        <v>06/05/2020 14:53:10.482</v>
      </c>
      <c r="C1701" t="str">
        <f t="shared" si="934"/>
        <v>FFDFD3C0</v>
      </c>
      <c r="D1701" t="s">
        <v>151</v>
      </c>
      <c r="E1701">
        <v>9</v>
      </c>
      <c r="H1701">
        <v>226</v>
      </c>
      <c r="I1701" t="s">
        <v>152</v>
      </c>
      <c r="J1701" t="s">
        <v>150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931"/>
        <v>14:53:16.148</v>
      </c>
      <c r="T1701" t="str">
        <f t="shared" si="932"/>
        <v>14:53:15.648</v>
      </c>
      <c r="U1701" t="str">
        <f t="shared" si="912"/>
        <v>ACC530</v>
      </c>
      <c r="V1701">
        <v>0</v>
      </c>
      <c r="W1701">
        <v>0</v>
      </c>
      <c r="X1701">
        <v>1</v>
      </c>
      <c r="Z1701">
        <v>0</v>
      </c>
      <c r="AA1701">
        <v>9</v>
      </c>
      <c r="AB1701">
        <v>3</v>
      </c>
      <c r="AC1701">
        <v>0</v>
      </c>
      <c r="AD1701">
        <v>9</v>
      </c>
      <c r="AE1701">
        <v>0</v>
      </c>
      <c r="AF1701">
        <v>3</v>
      </c>
      <c r="AG1701">
        <v>1</v>
      </c>
      <c r="AH1701">
        <v>0</v>
      </c>
      <c r="AI1701" t="s">
        <v>654</v>
      </c>
      <c r="AJ1701">
        <v>34.188465999999998</v>
      </c>
      <c r="AK1701" t="s">
        <v>655</v>
      </c>
      <c r="AL1701">
        <v>-116.998107</v>
      </c>
      <c r="AM1701">
        <v>100</v>
      </c>
      <c r="AN1701">
        <v>8500</v>
      </c>
      <c r="AO1701" t="s">
        <v>118</v>
      </c>
      <c r="AP1701">
        <v>-101</v>
      </c>
      <c r="AQ1701">
        <v>-67</v>
      </c>
      <c r="AR1701">
        <v>-768</v>
      </c>
      <c r="AZ1701">
        <v>1200</v>
      </c>
      <c r="BA1701">
        <v>1</v>
      </c>
      <c r="BB1701" t="str">
        <f t="shared" si="916"/>
        <v xml:space="preserve">N9217B  </v>
      </c>
      <c r="BC1701">
        <v>1</v>
      </c>
      <c r="BE1701">
        <v>0</v>
      </c>
      <c r="BF1701">
        <v>0</v>
      </c>
      <c r="BG1701">
        <v>0</v>
      </c>
      <c r="BH1701">
        <v>8525</v>
      </c>
      <c r="BI1701">
        <v>1</v>
      </c>
      <c r="BJ1701">
        <v>0</v>
      </c>
      <c r="BK1701">
        <v>0</v>
      </c>
      <c r="BL1701">
        <v>0</v>
      </c>
      <c r="BO1701">
        <v>0</v>
      </c>
      <c r="BP1701">
        <v>0</v>
      </c>
      <c r="BW1701" t="str">
        <f t="shared" si="933"/>
        <v>14:53:16.153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6</v>
      </c>
      <c r="CP1701" t="s">
        <v>119</v>
      </c>
      <c r="CQ1701">
        <v>285</v>
      </c>
      <c r="CR1701">
        <v>0</v>
      </c>
      <c r="CW1701">
        <v>8856631</v>
      </c>
      <c r="CY1701">
        <v>0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25">
      <c r="A1702" t="str">
        <f t="shared" si="930"/>
        <v>06/05/2020 14:53:10.482</v>
      </c>
      <c r="C1702" t="str">
        <f t="shared" si="934"/>
        <v>FFDFD3C0</v>
      </c>
      <c r="D1702" t="s">
        <v>148</v>
      </c>
      <c r="E1702">
        <v>8</v>
      </c>
      <c r="H1702">
        <v>50</v>
      </c>
      <c r="I1702" t="s">
        <v>149</v>
      </c>
      <c r="J1702" t="s">
        <v>150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931"/>
        <v>14:53:16.148</v>
      </c>
      <c r="T1702" t="str">
        <f t="shared" si="932"/>
        <v>14:53:15.648</v>
      </c>
      <c r="U1702" t="str">
        <f t="shared" si="912"/>
        <v>ACC530</v>
      </c>
      <c r="V1702">
        <v>0</v>
      </c>
      <c r="W1702">
        <v>0</v>
      </c>
      <c r="X1702">
        <v>1</v>
      </c>
      <c r="Z1702">
        <v>0</v>
      </c>
      <c r="AA1702">
        <v>9</v>
      </c>
      <c r="AB1702">
        <v>3</v>
      </c>
      <c r="AC1702">
        <v>0</v>
      </c>
      <c r="AD1702">
        <v>9</v>
      </c>
      <c r="AE1702">
        <v>0</v>
      </c>
      <c r="AF1702">
        <v>3</v>
      </c>
      <c r="AG1702">
        <v>1</v>
      </c>
      <c r="AH1702">
        <v>0</v>
      </c>
      <c r="AI1702" t="s">
        <v>654</v>
      </c>
      <c r="AJ1702">
        <v>34.188465999999998</v>
      </c>
      <c r="AK1702" t="s">
        <v>655</v>
      </c>
      <c r="AL1702">
        <v>-116.998107</v>
      </c>
      <c r="AM1702">
        <v>100</v>
      </c>
      <c r="AN1702">
        <v>8500</v>
      </c>
      <c r="AO1702" t="s">
        <v>118</v>
      </c>
      <c r="AP1702">
        <v>-101</v>
      </c>
      <c r="AQ1702">
        <v>-67</v>
      </c>
      <c r="AR1702">
        <v>-768</v>
      </c>
      <c r="AZ1702">
        <v>1200</v>
      </c>
      <c r="BA1702">
        <v>1</v>
      </c>
      <c r="BB1702" t="str">
        <f t="shared" si="916"/>
        <v xml:space="preserve">N9217B  </v>
      </c>
      <c r="BC1702">
        <v>1</v>
      </c>
      <c r="BE1702">
        <v>0</v>
      </c>
      <c r="BF1702">
        <v>0</v>
      </c>
      <c r="BG1702">
        <v>0</v>
      </c>
      <c r="BH1702">
        <v>8525</v>
      </c>
      <c r="BI1702">
        <v>1</v>
      </c>
      <c r="BJ1702">
        <v>0</v>
      </c>
      <c r="BK1702">
        <v>0</v>
      </c>
      <c r="BL1702">
        <v>0</v>
      </c>
      <c r="BO1702">
        <v>0</v>
      </c>
      <c r="BP1702">
        <v>0</v>
      </c>
      <c r="BW1702" t="str">
        <f t="shared" si="933"/>
        <v>14:53:16.153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285</v>
      </c>
      <c r="CR1702">
        <v>0</v>
      </c>
      <c r="CW1702">
        <v>8856631</v>
      </c>
      <c r="CY1702">
        <v>0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25">
      <c r="A1703" t="str">
        <f t="shared" si="930"/>
        <v>06/05/2020 14:53:10.482</v>
      </c>
      <c r="C1703" t="str">
        <f t="shared" si="934"/>
        <v>FFDFD3C0</v>
      </c>
      <c r="D1703" t="s">
        <v>134</v>
      </c>
      <c r="E1703">
        <v>7</v>
      </c>
      <c r="F1703">
        <v>2007</v>
      </c>
      <c r="G1703" t="s">
        <v>135</v>
      </c>
      <c r="J1703" t="s">
        <v>136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931"/>
        <v>14:53:16.148</v>
      </c>
      <c r="T1703" t="str">
        <f t="shared" si="932"/>
        <v>14:53:15.648</v>
      </c>
      <c r="U1703" t="str">
        <f t="shared" si="912"/>
        <v>ACC530</v>
      </c>
      <c r="V1703">
        <v>0</v>
      </c>
      <c r="W1703">
        <v>0</v>
      </c>
      <c r="X1703">
        <v>1</v>
      </c>
      <c r="Z1703">
        <v>0</v>
      </c>
      <c r="AA1703">
        <v>9</v>
      </c>
      <c r="AB1703">
        <v>3</v>
      </c>
      <c r="AC1703">
        <v>0</v>
      </c>
      <c r="AD1703">
        <v>9</v>
      </c>
      <c r="AE1703">
        <v>0</v>
      </c>
      <c r="AF1703">
        <v>3</v>
      </c>
      <c r="AG1703">
        <v>1</v>
      </c>
      <c r="AH1703">
        <v>0</v>
      </c>
      <c r="AI1703" t="s">
        <v>654</v>
      </c>
      <c r="AJ1703">
        <v>34.188465999999998</v>
      </c>
      <c r="AK1703" t="s">
        <v>655</v>
      </c>
      <c r="AL1703">
        <v>-116.998107</v>
      </c>
      <c r="AM1703">
        <v>100</v>
      </c>
      <c r="AN1703">
        <v>8500</v>
      </c>
      <c r="AO1703" t="s">
        <v>118</v>
      </c>
      <c r="AP1703">
        <v>-101</v>
      </c>
      <c r="AQ1703">
        <v>-67</v>
      </c>
      <c r="AR1703">
        <v>-768</v>
      </c>
      <c r="AZ1703">
        <v>1200</v>
      </c>
      <c r="BA1703">
        <v>1</v>
      </c>
      <c r="BB1703" t="str">
        <f t="shared" si="916"/>
        <v xml:space="preserve">N9217B  </v>
      </c>
      <c r="BC1703">
        <v>1</v>
      </c>
      <c r="BE1703">
        <v>0</v>
      </c>
      <c r="BF1703">
        <v>0</v>
      </c>
      <c r="BG1703">
        <v>0</v>
      </c>
      <c r="BH1703">
        <v>8525</v>
      </c>
      <c r="BI1703">
        <v>1</v>
      </c>
      <c r="BJ1703">
        <v>0</v>
      </c>
      <c r="BK1703">
        <v>0</v>
      </c>
      <c r="BL1703">
        <v>0</v>
      </c>
      <c r="BO1703">
        <v>0</v>
      </c>
      <c r="BP1703">
        <v>0</v>
      </c>
      <c r="BW1703" t="str">
        <f t="shared" si="933"/>
        <v>14:53:16.153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6</v>
      </c>
      <c r="CP1703" t="s">
        <v>119</v>
      </c>
      <c r="CQ1703">
        <v>285</v>
      </c>
      <c r="CR1703">
        <v>0</v>
      </c>
      <c r="CW1703">
        <v>8856631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25">
      <c r="A1704" t="str">
        <f t="shared" ref="A1704:A1710" si="935">"06/05/2020 14:53:11.440"</f>
        <v>06/05/2020 14:53:11.440</v>
      </c>
      <c r="C1704" t="str">
        <f t="shared" si="934"/>
        <v>FFDFD3C0</v>
      </c>
      <c r="D1704" t="s">
        <v>141</v>
      </c>
      <c r="E1704">
        <v>20</v>
      </c>
      <c r="F1704">
        <v>1020</v>
      </c>
      <c r="G1704" t="s">
        <v>114</v>
      </c>
      <c r="J1704" t="s">
        <v>142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ref="S1704:S1710" si="936">"14:53:17.078"</f>
        <v>14:53:17.078</v>
      </c>
      <c r="T1704" t="str">
        <f t="shared" ref="T1704:T1710" si="937">"14:53:16.678"</f>
        <v>14:53:16.678</v>
      </c>
      <c r="U1704" t="str">
        <f t="shared" si="912"/>
        <v>ACC530</v>
      </c>
      <c r="V1704">
        <v>0</v>
      </c>
      <c r="W1704">
        <v>0</v>
      </c>
      <c r="X1704">
        <v>1</v>
      </c>
      <c r="Z1704">
        <v>0</v>
      </c>
      <c r="AA1704">
        <v>9</v>
      </c>
      <c r="AB1704">
        <v>3</v>
      </c>
      <c r="AC1704">
        <v>0</v>
      </c>
      <c r="AD1704">
        <v>9</v>
      </c>
      <c r="AE1704">
        <v>0</v>
      </c>
      <c r="AF1704">
        <v>3</v>
      </c>
      <c r="AG1704">
        <v>1</v>
      </c>
      <c r="AH1704">
        <v>0</v>
      </c>
      <c r="AI1704" t="s">
        <v>656</v>
      </c>
      <c r="AJ1704">
        <v>34.188186999999999</v>
      </c>
      <c r="AK1704" t="s">
        <v>657</v>
      </c>
      <c r="AL1704">
        <v>-116.998622</v>
      </c>
      <c r="AM1704">
        <v>100</v>
      </c>
      <c r="AN1704">
        <v>8500</v>
      </c>
      <c r="AO1704" t="s">
        <v>118</v>
      </c>
      <c r="AP1704">
        <v>-101</v>
      </c>
      <c r="AQ1704">
        <v>-67</v>
      </c>
      <c r="AR1704">
        <v>-832</v>
      </c>
      <c r="AZ1704">
        <v>1200</v>
      </c>
      <c r="BA1704">
        <v>1</v>
      </c>
      <c r="BB1704" t="str">
        <f t="shared" si="916"/>
        <v xml:space="preserve">N9217B  </v>
      </c>
      <c r="BC1704">
        <v>1</v>
      </c>
      <c r="BE1704">
        <v>0</v>
      </c>
      <c r="BF1704">
        <v>0</v>
      </c>
      <c r="BG1704">
        <v>0</v>
      </c>
      <c r="BH1704">
        <v>8500</v>
      </c>
      <c r="BI1704">
        <v>1</v>
      </c>
      <c r="BJ1704">
        <v>0</v>
      </c>
      <c r="BK1704">
        <v>0</v>
      </c>
      <c r="BL1704">
        <v>0</v>
      </c>
      <c r="BO1704">
        <v>0</v>
      </c>
      <c r="BP1704">
        <v>0</v>
      </c>
      <c r="BW1704" t="str">
        <f t="shared" ref="BW1704:BW1710" si="938">"14:53:17.083"</f>
        <v>14:53:17.083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285</v>
      </c>
      <c r="CR1704">
        <v>0</v>
      </c>
      <c r="CW1704">
        <v>8856711</v>
      </c>
      <c r="CY1704">
        <v>0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25">
      <c r="A1705" t="str">
        <f t="shared" si="935"/>
        <v>06/05/2020 14:53:11.440</v>
      </c>
      <c r="C1705" t="str">
        <f t="shared" si="934"/>
        <v>FFDFD3C0</v>
      </c>
      <c r="D1705" t="s">
        <v>113</v>
      </c>
      <c r="E1705">
        <v>3</v>
      </c>
      <c r="H1705">
        <v>166</v>
      </c>
      <c r="I1705" t="s">
        <v>114</v>
      </c>
      <c r="J1705" t="s">
        <v>115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936"/>
        <v>14:53:17.078</v>
      </c>
      <c r="T1705" t="str">
        <f t="shared" si="937"/>
        <v>14:53:16.678</v>
      </c>
      <c r="U1705" t="str">
        <f t="shared" si="912"/>
        <v>ACC530</v>
      </c>
      <c r="V1705">
        <v>0</v>
      </c>
      <c r="W1705">
        <v>0</v>
      </c>
      <c r="X1705">
        <v>1</v>
      </c>
      <c r="Z1705">
        <v>0</v>
      </c>
      <c r="AA1705">
        <v>9</v>
      </c>
      <c r="AB1705">
        <v>3</v>
      </c>
      <c r="AC1705">
        <v>0</v>
      </c>
      <c r="AD1705">
        <v>9</v>
      </c>
      <c r="AE1705">
        <v>0</v>
      </c>
      <c r="AF1705">
        <v>3</v>
      </c>
      <c r="AG1705">
        <v>1</v>
      </c>
      <c r="AH1705">
        <v>0</v>
      </c>
      <c r="AI1705" t="s">
        <v>656</v>
      </c>
      <c r="AJ1705">
        <v>34.188186999999999</v>
      </c>
      <c r="AK1705" t="s">
        <v>657</v>
      </c>
      <c r="AL1705">
        <v>-116.998622</v>
      </c>
      <c r="AM1705">
        <v>100</v>
      </c>
      <c r="AN1705">
        <v>8500</v>
      </c>
      <c r="AO1705" t="s">
        <v>118</v>
      </c>
      <c r="AP1705">
        <v>-101</v>
      </c>
      <c r="AQ1705">
        <v>-67</v>
      </c>
      <c r="AR1705">
        <v>-832</v>
      </c>
      <c r="AZ1705">
        <v>1200</v>
      </c>
      <c r="BA1705">
        <v>1</v>
      </c>
      <c r="BB1705" t="str">
        <f t="shared" si="916"/>
        <v xml:space="preserve">N9217B  </v>
      </c>
      <c r="BC1705">
        <v>1</v>
      </c>
      <c r="BE1705">
        <v>0</v>
      </c>
      <c r="BF1705">
        <v>0</v>
      </c>
      <c r="BG1705">
        <v>0</v>
      </c>
      <c r="BH1705">
        <v>8500</v>
      </c>
      <c r="BI1705">
        <v>1</v>
      </c>
      <c r="BJ1705">
        <v>0</v>
      </c>
      <c r="BK1705">
        <v>0</v>
      </c>
      <c r="BL1705">
        <v>0</v>
      </c>
      <c r="BO1705">
        <v>0</v>
      </c>
      <c r="BP1705">
        <v>0</v>
      </c>
      <c r="BW1705" t="str">
        <f t="shared" si="938"/>
        <v>14:53:17.083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285</v>
      </c>
      <c r="CR1705">
        <v>0</v>
      </c>
      <c r="CW1705">
        <v>8856711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25">
      <c r="A1706" t="str">
        <f t="shared" si="935"/>
        <v>06/05/2020 14:53:11.440</v>
      </c>
      <c r="C1706" t="str">
        <f t="shared" si="934"/>
        <v>FFDFD3C0</v>
      </c>
      <c r="D1706" t="s">
        <v>151</v>
      </c>
      <c r="E1706">
        <v>8</v>
      </c>
      <c r="H1706">
        <v>225</v>
      </c>
      <c r="I1706" t="s">
        <v>353</v>
      </c>
      <c r="J1706" t="s">
        <v>150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936"/>
        <v>14:53:17.078</v>
      </c>
      <c r="T1706" t="str">
        <f t="shared" si="937"/>
        <v>14:53:16.678</v>
      </c>
      <c r="U1706" t="str">
        <f t="shared" si="912"/>
        <v>ACC530</v>
      </c>
      <c r="V1706">
        <v>0</v>
      </c>
      <c r="W1706">
        <v>0</v>
      </c>
      <c r="X1706">
        <v>1</v>
      </c>
      <c r="Z1706">
        <v>0</v>
      </c>
      <c r="AA1706">
        <v>9</v>
      </c>
      <c r="AB1706">
        <v>3</v>
      </c>
      <c r="AC1706">
        <v>0</v>
      </c>
      <c r="AD1706">
        <v>9</v>
      </c>
      <c r="AE1706">
        <v>0</v>
      </c>
      <c r="AF1706">
        <v>3</v>
      </c>
      <c r="AG1706">
        <v>1</v>
      </c>
      <c r="AH1706">
        <v>0</v>
      </c>
      <c r="AI1706" t="s">
        <v>656</v>
      </c>
      <c r="AJ1706">
        <v>34.188186999999999</v>
      </c>
      <c r="AK1706" t="s">
        <v>657</v>
      </c>
      <c r="AL1706">
        <v>-116.998622</v>
      </c>
      <c r="AM1706">
        <v>100</v>
      </c>
      <c r="AN1706">
        <v>8500</v>
      </c>
      <c r="AO1706" t="s">
        <v>118</v>
      </c>
      <c r="AP1706">
        <v>-101</v>
      </c>
      <c r="AQ1706">
        <v>-67</v>
      </c>
      <c r="AR1706">
        <v>-832</v>
      </c>
      <c r="AZ1706">
        <v>1200</v>
      </c>
      <c r="BA1706">
        <v>1</v>
      </c>
      <c r="BB1706" t="str">
        <f t="shared" si="916"/>
        <v xml:space="preserve">N9217B  </v>
      </c>
      <c r="BC1706">
        <v>1</v>
      </c>
      <c r="BE1706">
        <v>0</v>
      </c>
      <c r="BF1706">
        <v>0</v>
      </c>
      <c r="BG1706">
        <v>0</v>
      </c>
      <c r="BH1706">
        <v>8500</v>
      </c>
      <c r="BI1706">
        <v>1</v>
      </c>
      <c r="BJ1706">
        <v>0</v>
      </c>
      <c r="BK1706">
        <v>0</v>
      </c>
      <c r="BL1706">
        <v>0</v>
      </c>
      <c r="BO1706">
        <v>0</v>
      </c>
      <c r="BP1706">
        <v>0</v>
      </c>
      <c r="BW1706" t="str">
        <f t="shared" si="938"/>
        <v>14:53:17.083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6</v>
      </c>
      <c r="CP1706" t="s">
        <v>119</v>
      </c>
      <c r="CQ1706">
        <v>285</v>
      </c>
      <c r="CR1706">
        <v>0</v>
      </c>
      <c r="CW1706">
        <v>8856711</v>
      </c>
      <c r="CY1706">
        <v>0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25">
      <c r="A1707" t="str">
        <f t="shared" si="935"/>
        <v>06/05/2020 14:53:11.440</v>
      </c>
      <c r="C1707" t="str">
        <f t="shared" si="934"/>
        <v>FFDFD3C0</v>
      </c>
      <c r="D1707" t="s">
        <v>148</v>
      </c>
      <c r="E1707">
        <v>11</v>
      </c>
      <c r="H1707">
        <v>53</v>
      </c>
      <c r="I1707" t="s">
        <v>364</v>
      </c>
      <c r="J1707" t="s">
        <v>150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936"/>
        <v>14:53:17.078</v>
      </c>
      <c r="T1707" t="str">
        <f t="shared" si="937"/>
        <v>14:53:16.678</v>
      </c>
      <c r="U1707" t="str">
        <f t="shared" si="912"/>
        <v>ACC530</v>
      </c>
      <c r="V1707">
        <v>0</v>
      </c>
      <c r="W1707">
        <v>0</v>
      </c>
      <c r="X1707">
        <v>1</v>
      </c>
      <c r="Z1707">
        <v>0</v>
      </c>
      <c r="AA1707">
        <v>9</v>
      </c>
      <c r="AB1707">
        <v>3</v>
      </c>
      <c r="AC1707">
        <v>0</v>
      </c>
      <c r="AD1707">
        <v>9</v>
      </c>
      <c r="AE1707">
        <v>0</v>
      </c>
      <c r="AF1707">
        <v>3</v>
      </c>
      <c r="AG1707">
        <v>1</v>
      </c>
      <c r="AH1707">
        <v>0</v>
      </c>
      <c r="AI1707" t="s">
        <v>656</v>
      </c>
      <c r="AJ1707">
        <v>34.188186999999999</v>
      </c>
      <c r="AK1707" t="s">
        <v>657</v>
      </c>
      <c r="AL1707">
        <v>-116.998622</v>
      </c>
      <c r="AM1707">
        <v>100</v>
      </c>
      <c r="AN1707">
        <v>8500</v>
      </c>
      <c r="AO1707" t="s">
        <v>118</v>
      </c>
      <c r="AP1707">
        <v>-101</v>
      </c>
      <c r="AQ1707">
        <v>-67</v>
      </c>
      <c r="AR1707">
        <v>-832</v>
      </c>
      <c r="AZ1707">
        <v>1200</v>
      </c>
      <c r="BA1707">
        <v>1</v>
      </c>
      <c r="BB1707" t="str">
        <f t="shared" si="916"/>
        <v xml:space="preserve">N9217B  </v>
      </c>
      <c r="BC1707">
        <v>1</v>
      </c>
      <c r="BE1707">
        <v>0</v>
      </c>
      <c r="BF1707">
        <v>0</v>
      </c>
      <c r="BG1707">
        <v>0</v>
      </c>
      <c r="BH1707">
        <v>8500</v>
      </c>
      <c r="BI1707">
        <v>1</v>
      </c>
      <c r="BJ1707">
        <v>0</v>
      </c>
      <c r="BK1707">
        <v>0</v>
      </c>
      <c r="BL1707">
        <v>0</v>
      </c>
      <c r="BO1707">
        <v>0</v>
      </c>
      <c r="BP1707">
        <v>0</v>
      </c>
      <c r="BW1707" t="str">
        <f t="shared" si="938"/>
        <v>14:53:17.083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6</v>
      </c>
      <c r="CP1707" t="s">
        <v>119</v>
      </c>
      <c r="CQ1707">
        <v>285</v>
      </c>
      <c r="CR1707">
        <v>0</v>
      </c>
      <c r="CW1707">
        <v>8856711</v>
      </c>
      <c r="CY1707">
        <v>0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25">
      <c r="A1708" t="str">
        <f t="shared" si="935"/>
        <v>06/05/2020 14:53:11.440</v>
      </c>
      <c r="C1708" t="str">
        <f t="shared" si="934"/>
        <v>FFDFD3C0</v>
      </c>
      <c r="D1708" t="s">
        <v>151</v>
      </c>
      <c r="E1708">
        <v>9</v>
      </c>
      <c r="H1708">
        <v>226</v>
      </c>
      <c r="I1708" t="s">
        <v>152</v>
      </c>
      <c r="J1708" t="s">
        <v>150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936"/>
        <v>14:53:17.078</v>
      </c>
      <c r="T1708" t="str">
        <f t="shared" si="937"/>
        <v>14:53:16.678</v>
      </c>
      <c r="U1708" t="str">
        <f t="shared" si="912"/>
        <v>ACC530</v>
      </c>
      <c r="V1708">
        <v>0</v>
      </c>
      <c r="W1708">
        <v>0</v>
      </c>
      <c r="X1708">
        <v>1</v>
      </c>
      <c r="Z1708">
        <v>0</v>
      </c>
      <c r="AA1708">
        <v>9</v>
      </c>
      <c r="AB1708">
        <v>3</v>
      </c>
      <c r="AC1708">
        <v>0</v>
      </c>
      <c r="AD1708">
        <v>9</v>
      </c>
      <c r="AE1708">
        <v>0</v>
      </c>
      <c r="AF1708">
        <v>3</v>
      </c>
      <c r="AG1708">
        <v>1</v>
      </c>
      <c r="AH1708">
        <v>0</v>
      </c>
      <c r="AI1708" t="s">
        <v>656</v>
      </c>
      <c r="AJ1708">
        <v>34.188186999999999</v>
      </c>
      <c r="AK1708" t="s">
        <v>657</v>
      </c>
      <c r="AL1708">
        <v>-116.998622</v>
      </c>
      <c r="AM1708">
        <v>100</v>
      </c>
      <c r="AN1708">
        <v>8500</v>
      </c>
      <c r="AO1708" t="s">
        <v>118</v>
      </c>
      <c r="AP1708">
        <v>-101</v>
      </c>
      <c r="AQ1708">
        <v>-67</v>
      </c>
      <c r="AR1708">
        <v>-832</v>
      </c>
      <c r="AZ1708">
        <v>1200</v>
      </c>
      <c r="BA1708">
        <v>1</v>
      </c>
      <c r="BB1708" t="str">
        <f t="shared" si="916"/>
        <v xml:space="preserve">N9217B  </v>
      </c>
      <c r="BC1708">
        <v>1</v>
      </c>
      <c r="BE1708">
        <v>0</v>
      </c>
      <c r="BF1708">
        <v>0</v>
      </c>
      <c r="BG1708">
        <v>0</v>
      </c>
      <c r="BH1708">
        <v>8500</v>
      </c>
      <c r="BI1708">
        <v>1</v>
      </c>
      <c r="BJ1708">
        <v>0</v>
      </c>
      <c r="BK1708">
        <v>0</v>
      </c>
      <c r="BL1708">
        <v>0</v>
      </c>
      <c r="BO1708">
        <v>0</v>
      </c>
      <c r="BP1708">
        <v>0</v>
      </c>
      <c r="BW1708" t="str">
        <f t="shared" si="938"/>
        <v>14:53:17.083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285</v>
      </c>
      <c r="CR1708">
        <v>0</v>
      </c>
      <c r="CW1708">
        <v>8856711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25">
      <c r="A1709" t="str">
        <f t="shared" si="935"/>
        <v>06/05/2020 14:53:11.440</v>
      </c>
      <c r="C1709" t="str">
        <f t="shared" si="934"/>
        <v>FFDFD3C0</v>
      </c>
      <c r="D1709" t="s">
        <v>148</v>
      </c>
      <c r="E1709">
        <v>8</v>
      </c>
      <c r="H1709">
        <v>50</v>
      </c>
      <c r="I1709" t="s">
        <v>149</v>
      </c>
      <c r="J1709" t="s">
        <v>150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936"/>
        <v>14:53:17.078</v>
      </c>
      <c r="T1709" t="str">
        <f t="shared" si="937"/>
        <v>14:53:16.678</v>
      </c>
      <c r="U1709" t="str">
        <f t="shared" si="912"/>
        <v>ACC530</v>
      </c>
      <c r="V1709">
        <v>0</v>
      </c>
      <c r="W1709">
        <v>0</v>
      </c>
      <c r="X1709">
        <v>1</v>
      </c>
      <c r="Z1709">
        <v>0</v>
      </c>
      <c r="AA1709">
        <v>9</v>
      </c>
      <c r="AB1709">
        <v>3</v>
      </c>
      <c r="AC1709">
        <v>0</v>
      </c>
      <c r="AD1709">
        <v>9</v>
      </c>
      <c r="AE1709">
        <v>0</v>
      </c>
      <c r="AF1709">
        <v>3</v>
      </c>
      <c r="AG1709">
        <v>1</v>
      </c>
      <c r="AH1709">
        <v>0</v>
      </c>
      <c r="AI1709" t="s">
        <v>656</v>
      </c>
      <c r="AJ1709">
        <v>34.188186999999999</v>
      </c>
      <c r="AK1709" t="s">
        <v>657</v>
      </c>
      <c r="AL1709">
        <v>-116.998622</v>
      </c>
      <c r="AM1709">
        <v>100</v>
      </c>
      <c r="AN1709">
        <v>8500</v>
      </c>
      <c r="AO1709" t="s">
        <v>118</v>
      </c>
      <c r="AP1709">
        <v>-101</v>
      </c>
      <c r="AQ1709">
        <v>-67</v>
      </c>
      <c r="AR1709">
        <v>-832</v>
      </c>
      <c r="AZ1709">
        <v>1200</v>
      </c>
      <c r="BA1709">
        <v>1</v>
      </c>
      <c r="BB1709" t="str">
        <f t="shared" si="916"/>
        <v xml:space="preserve">N9217B  </v>
      </c>
      <c r="BC1709">
        <v>1</v>
      </c>
      <c r="BE1709">
        <v>0</v>
      </c>
      <c r="BF1709">
        <v>0</v>
      </c>
      <c r="BG1709">
        <v>0</v>
      </c>
      <c r="BH1709">
        <v>8500</v>
      </c>
      <c r="BI1709">
        <v>1</v>
      </c>
      <c r="BJ1709">
        <v>0</v>
      </c>
      <c r="BK1709">
        <v>0</v>
      </c>
      <c r="BL1709">
        <v>0</v>
      </c>
      <c r="BO1709">
        <v>0</v>
      </c>
      <c r="BP1709">
        <v>0</v>
      </c>
      <c r="BW1709" t="str">
        <f t="shared" si="938"/>
        <v>14:53:17.083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285</v>
      </c>
      <c r="CR1709">
        <v>0</v>
      </c>
      <c r="CW1709">
        <v>8856711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25">
      <c r="A1710" t="str">
        <f t="shared" si="935"/>
        <v>06/05/2020 14:53:11.440</v>
      </c>
      <c r="C1710" t="str">
        <f t="shared" si="934"/>
        <v>FFDFD3C0</v>
      </c>
      <c r="D1710" t="s">
        <v>134</v>
      </c>
      <c r="E1710">
        <v>7</v>
      </c>
      <c r="F1710">
        <v>2007</v>
      </c>
      <c r="G1710" t="s">
        <v>135</v>
      </c>
      <c r="J1710" t="s">
        <v>136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936"/>
        <v>14:53:17.078</v>
      </c>
      <c r="T1710" t="str">
        <f t="shared" si="937"/>
        <v>14:53:16.678</v>
      </c>
      <c r="U1710" t="str">
        <f t="shared" si="912"/>
        <v>ACC530</v>
      </c>
      <c r="V1710">
        <v>0</v>
      </c>
      <c r="W1710">
        <v>0</v>
      </c>
      <c r="X1710">
        <v>1</v>
      </c>
      <c r="Z1710">
        <v>0</v>
      </c>
      <c r="AA1710">
        <v>9</v>
      </c>
      <c r="AB1710">
        <v>3</v>
      </c>
      <c r="AC1710">
        <v>0</v>
      </c>
      <c r="AD1710">
        <v>9</v>
      </c>
      <c r="AE1710">
        <v>0</v>
      </c>
      <c r="AF1710">
        <v>3</v>
      </c>
      <c r="AG1710">
        <v>1</v>
      </c>
      <c r="AH1710">
        <v>0</v>
      </c>
      <c r="AI1710" t="s">
        <v>656</v>
      </c>
      <c r="AJ1710">
        <v>34.188186999999999</v>
      </c>
      <c r="AK1710" t="s">
        <v>657</v>
      </c>
      <c r="AL1710">
        <v>-116.998622</v>
      </c>
      <c r="AM1710">
        <v>100</v>
      </c>
      <c r="AN1710">
        <v>8500</v>
      </c>
      <c r="AO1710" t="s">
        <v>118</v>
      </c>
      <c r="AP1710">
        <v>-101</v>
      </c>
      <c r="AQ1710">
        <v>-67</v>
      </c>
      <c r="AR1710">
        <v>-832</v>
      </c>
      <c r="AZ1710">
        <v>1200</v>
      </c>
      <c r="BA1710">
        <v>1</v>
      </c>
      <c r="BB1710" t="str">
        <f t="shared" si="916"/>
        <v xml:space="preserve">N9217B  </v>
      </c>
      <c r="BC1710">
        <v>1</v>
      </c>
      <c r="BE1710">
        <v>0</v>
      </c>
      <c r="BF1710">
        <v>0</v>
      </c>
      <c r="BG1710">
        <v>0</v>
      </c>
      <c r="BH1710">
        <v>8500</v>
      </c>
      <c r="BI1710">
        <v>1</v>
      </c>
      <c r="BJ1710">
        <v>0</v>
      </c>
      <c r="BK1710">
        <v>0</v>
      </c>
      <c r="BL1710">
        <v>0</v>
      </c>
      <c r="BO1710">
        <v>0</v>
      </c>
      <c r="BP1710">
        <v>0</v>
      </c>
      <c r="BW1710" t="str">
        <f t="shared" si="938"/>
        <v>14:53:17.083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285</v>
      </c>
      <c r="CR1710">
        <v>0</v>
      </c>
      <c r="CW1710">
        <v>8856711</v>
      </c>
      <c r="CY1710">
        <v>0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25">
      <c r="A1711" t="str">
        <f t="shared" ref="A1711:A1717" si="939">"06/05/2020 14:53:12.571"</f>
        <v>06/05/2020 14:53:12.571</v>
      </c>
      <c r="C1711" t="str">
        <f t="shared" si="934"/>
        <v>FFDFD3C0</v>
      </c>
      <c r="D1711" t="s">
        <v>151</v>
      </c>
      <c r="E1711">
        <v>8</v>
      </c>
      <c r="H1711">
        <v>225</v>
      </c>
      <c r="I1711" t="s">
        <v>353</v>
      </c>
      <c r="J1711" t="s">
        <v>150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ref="S1711:T1717" si="940">"14:53:18.219"</f>
        <v>14:53:18.219</v>
      </c>
      <c r="T1711" t="str">
        <f t="shared" si="940"/>
        <v>14:53:18.219</v>
      </c>
      <c r="U1711" t="str">
        <f t="shared" si="912"/>
        <v>ACC530</v>
      </c>
      <c r="V1711">
        <v>0</v>
      </c>
      <c r="W1711">
        <v>0</v>
      </c>
      <c r="X1711">
        <v>1</v>
      </c>
      <c r="Z1711">
        <v>0</v>
      </c>
      <c r="AA1711">
        <v>9</v>
      </c>
      <c r="AB1711">
        <v>3</v>
      </c>
      <c r="AC1711">
        <v>0</v>
      </c>
      <c r="AD1711">
        <v>9</v>
      </c>
      <c r="AE1711">
        <v>0</v>
      </c>
      <c r="AF1711">
        <v>3</v>
      </c>
      <c r="AG1711">
        <v>1</v>
      </c>
      <c r="AH1711">
        <v>0</v>
      </c>
      <c r="AI1711" t="s">
        <v>658</v>
      </c>
      <c r="AJ1711">
        <v>34.187821999999997</v>
      </c>
      <c r="AK1711" t="s">
        <v>659</v>
      </c>
      <c r="AL1711">
        <v>-116.999245</v>
      </c>
      <c r="AM1711">
        <v>100</v>
      </c>
      <c r="AN1711">
        <v>8500</v>
      </c>
      <c r="AO1711" t="s">
        <v>118</v>
      </c>
      <c r="AP1711">
        <v>-102</v>
      </c>
      <c r="AQ1711">
        <v>-66</v>
      </c>
      <c r="AR1711">
        <v>-832</v>
      </c>
      <c r="AZ1711">
        <v>1200</v>
      </c>
      <c r="BA1711">
        <v>1</v>
      </c>
      <c r="BB1711" t="str">
        <f t="shared" si="916"/>
        <v xml:space="preserve">N9217B  </v>
      </c>
      <c r="BC1711">
        <v>1</v>
      </c>
      <c r="BE1711">
        <v>0</v>
      </c>
      <c r="BF1711">
        <v>0</v>
      </c>
      <c r="BG1711">
        <v>0</v>
      </c>
      <c r="BH1711">
        <v>8475</v>
      </c>
      <c r="BI1711">
        <v>1</v>
      </c>
      <c r="BJ1711">
        <v>0</v>
      </c>
      <c r="BK1711">
        <v>0</v>
      </c>
      <c r="BL1711">
        <v>0</v>
      </c>
      <c r="BO1711">
        <v>0</v>
      </c>
      <c r="BP1711">
        <v>0</v>
      </c>
      <c r="BW1711" t="str">
        <f t="shared" ref="BW1711:BW1717" si="941">"14:53:18.223"</f>
        <v>14:53:18.223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6</v>
      </c>
      <c r="CP1711" t="s">
        <v>119</v>
      </c>
      <c r="CQ1711">
        <v>285</v>
      </c>
      <c r="CR1711">
        <v>0</v>
      </c>
      <c r="CW1711">
        <v>8856811</v>
      </c>
      <c r="CY1711">
        <v>0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25">
      <c r="A1712" t="str">
        <f t="shared" si="939"/>
        <v>06/05/2020 14:53:12.571</v>
      </c>
      <c r="C1712" t="str">
        <f t="shared" si="934"/>
        <v>FFDFD3C0</v>
      </c>
      <c r="D1712" t="s">
        <v>148</v>
      </c>
      <c r="E1712">
        <v>11</v>
      </c>
      <c r="H1712">
        <v>53</v>
      </c>
      <c r="I1712" t="s">
        <v>364</v>
      </c>
      <c r="J1712" t="s">
        <v>150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940"/>
        <v>14:53:18.219</v>
      </c>
      <c r="T1712" t="str">
        <f t="shared" si="940"/>
        <v>14:53:18.219</v>
      </c>
      <c r="U1712" t="str">
        <f t="shared" si="912"/>
        <v>ACC530</v>
      </c>
      <c r="V1712">
        <v>0</v>
      </c>
      <c r="W1712">
        <v>0</v>
      </c>
      <c r="X1712">
        <v>1</v>
      </c>
      <c r="Z1712">
        <v>0</v>
      </c>
      <c r="AA1712">
        <v>9</v>
      </c>
      <c r="AB1712">
        <v>3</v>
      </c>
      <c r="AC1712">
        <v>0</v>
      </c>
      <c r="AD1712">
        <v>9</v>
      </c>
      <c r="AE1712">
        <v>0</v>
      </c>
      <c r="AF1712">
        <v>3</v>
      </c>
      <c r="AG1712">
        <v>1</v>
      </c>
      <c r="AH1712">
        <v>0</v>
      </c>
      <c r="AI1712" t="s">
        <v>658</v>
      </c>
      <c r="AJ1712">
        <v>34.187821999999997</v>
      </c>
      <c r="AK1712" t="s">
        <v>659</v>
      </c>
      <c r="AL1712">
        <v>-116.999245</v>
      </c>
      <c r="AM1712">
        <v>100</v>
      </c>
      <c r="AN1712">
        <v>8500</v>
      </c>
      <c r="AO1712" t="s">
        <v>118</v>
      </c>
      <c r="AP1712">
        <v>-102</v>
      </c>
      <c r="AQ1712">
        <v>-66</v>
      </c>
      <c r="AR1712">
        <v>-832</v>
      </c>
      <c r="AZ1712">
        <v>1200</v>
      </c>
      <c r="BA1712">
        <v>1</v>
      </c>
      <c r="BB1712" t="str">
        <f t="shared" si="916"/>
        <v xml:space="preserve">N9217B  </v>
      </c>
      <c r="BC1712">
        <v>1</v>
      </c>
      <c r="BE1712">
        <v>0</v>
      </c>
      <c r="BF1712">
        <v>0</v>
      </c>
      <c r="BG1712">
        <v>0</v>
      </c>
      <c r="BH1712">
        <v>8475</v>
      </c>
      <c r="BI1712">
        <v>1</v>
      </c>
      <c r="BJ1712">
        <v>0</v>
      </c>
      <c r="BK1712">
        <v>0</v>
      </c>
      <c r="BL1712">
        <v>0</v>
      </c>
      <c r="BO1712">
        <v>0</v>
      </c>
      <c r="BP1712">
        <v>0</v>
      </c>
      <c r="BW1712" t="str">
        <f t="shared" si="941"/>
        <v>14:53:18.223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6</v>
      </c>
      <c r="CP1712" t="s">
        <v>119</v>
      </c>
      <c r="CQ1712">
        <v>285</v>
      </c>
      <c r="CR1712">
        <v>0</v>
      </c>
      <c r="CW1712">
        <v>8856811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25">
      <c r="A1713" t="str">
        <f t="shared" si="939"/>
        <v>06/05/2020 14:53:12.571</v>
      </c>
      <c r="C1713" t="str">
        <f t="shared" si="934"/>
        <v>FFDFD3C0</v>
      </c>
      <c r="D1713" t="s">
        <v>151</v>
      </c>
      <c r="E1713">
        <v>9</v>
      </c>
      <c r="H1713">
        <v>226</v>
      </c>
      <c r="I1713" t="s">
        <v>152</v>
      </c>
      <c r="J1713" t="s">
        <v>150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940"/>
        <v>14:53:18.219</v>
      </c>
      <c r="T1713" t="str">
        <f t="shared" si="940"/>
        <v>14:53:18.219</v>
      </c>
      <c r="U1713" t="str">
        <f t="shared" si="912"/>
        <v>ACC530</v>
      </c>
      <c r="V1713">
        <v>0</v>
      </c>
      <c r="W1713">
        <v>0</v>
      </c>
      <c r="X1713">
        <v>1</v>
      </c>
      <c r="Z1713">
        <v>0</v>
      </c>
      <c r="AA1713">
        <v>9</v>
      </c>
      <c r="AB1713">
        <v>3</v>
      </c>
      <c r="AC1713">
        <v>0</v>
      </c>
      <c r="AD1713">
        <v>9</v>
      </c>
      <c r="AE1713">
        <v>0</v>
      </c>
      <c r="AF1713">
        <v>3</v>
      </c>
      <c r="AG1713">
        <v>1</v>
      </c>
      <c r="AH1713">
        <v>0</v>
      </c>
      <c r="AI1713" t="s">
        <v>658</v>
      </c>
      <c r="AJ1713">
        <v>34.187821999999997</v>
      </c>
      <c r="AK1713" t="s">
        <v>659</v>
      </c>
      <c r="AL1713">
        <v>-116.999245</v>
      </c>
      <c r="AM1713">
        <v>100</v>
      </c>
      <c r="AN1713">
        <v>8500</v>
      </c>
      <c r="AO1713" t="s">
        <v>118</v>
      </c>
      <c r="AP1713">
        <v>-102</v>
      </c>
      <c r="AQ1713">
        <v>-66</v>
      </c>
      <c r="AR1713">
        <v>-832</v>
      </c>
      <c r="AZ1713">
        <v>1200</v>
      </c>
      <c r="BA1713">
        <v>1</v>
      </c>
      <c r="BB1713" t="str">
        <f t="shared" si="916"/>
        <v xml:space="preserve">N9217B  </v>
      </c>
      <c r="BC1713">
        <v>1</v>
      </c>
      <c r="BE1713">
        <v>0</v>
      </c>
      <c r="BF1713">
        <v>0</v>
      </c>
      <c r="BG1713">
        <v>0</v>
      </c>
      <c r="BH1713">
        <v>8475</v>
      </c>
      <c r="BI1713">
        <v>1</v>
      </c>
      <c r="BJ1713">
        <v>0</v>
      </c>
      <c r="BK1713">
        <v>0</v>
      </c>
      <c r="BL1713">
        <v>0</v>
      </c>
      <c r="BO1713">
        <v>0</v>
      </c>
      <c r="BP1713">
        <v>0</v>
      </c>
      <c r="BW1713" t="str">
        <f t="shared" si="941"/>
        <v>14:53:18.223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6</v>
      </c>
      <c r="CP1713" t="s">
        <v>119</v>
      </c>
      <c r="CQ1713">
        <v>285</v>
      </c>
      <c r="CR1713">
        <v>0</v>
      </c>
      <c r="CW1713">
        <v>8856811</v>
      </c>
      <c r="CY1713">
        <v>0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25">
      <c r="A1714" t="str">
        <f t="shared" si="939"/>
        <v>06/05/2020 14:53:12.571</v>
      </c>
      <c r="C1714" t="str">
        <f t="shared" si="934"/>
        <v>FFDFD3C0</v>
      </c>
      <c r="D1714" t="s">
        <v>148</v>
      </c>
      <c r="E1714">
        <v>8</v>
      </c>
      <c r="H1714">
        <v>50</v>
      </c>
      <c r="I1714" t="s">
        <v>149</v>
      </c>
      <c r="J1714" t="s">
        <v>150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940"/>
        <v>14:53:18.219</v>
      </c>
      <c r="T1714" t="str">
        <f t="shared" si="940"/>
        <v>14:53:18.219</v>
      </c>
      <c r="U1714" t="str">
        <f t="shared" si="912"/>
        <v>ACC530</v>
      </c>
      <c r="V1714">
        <v>0</v>
      </c>
      <c r="W1714">
        <v>0</v>
      </c>
      <c r="X1714">
        <v>1</v>
      </c>
      <c r="Z1714">
        <v>0</v>
      </c>
      <c r="AA1714">
        <v>9</v>
      </c>
      <c r="AB1714">
        <v>3</v>
      </c>
      <c r="AC1714">
        <v>0</v>
      </c>
      <c r="AD1714">
        <v>9</v>
      </c>
      <c r="AE1714">
        <v>0</v>
      </c>
      <c r="AF1714">
        <v>3</v>
      </c>
      <c r="AG1714">
        <v>1</v>
      </c>
      <c r="AH1714">
        <v>0</v>
      </c>
      <c r="AI1714" t="s">
        <v>658</v>
      </c>
      <c r="AJ1714">
        <v>34.187821999999997</v>
      </c>
      <c r="AK1714" t="s">
        <v>659</v>
      </c>
      <c r="AL1714">
        <v>-116.999245</v>
      </c>
      <c r="AM1714">
        <v>100</v>
      </c>
      <c r="AN1714">
        <v>8500</v>
      </c>
      <c r="AO1714" t="s">
        <v>118</v>
      </c>
      <c r="AP1714">
        <v>-102</v>
      </c>
      <c r="AQ1714">
        <v>-66</v>
      </c>
      <c r="AR1714">
        <v>-832</v>
      </c>
      <c r="AZ1714">
        <v>1200</v>
      </c>
      <c r="BA1714">
        <v>1</v>
      </c>
      <c r="BB1714" t="str">
        <f t="shared" si="916"/>
        <v xml:space="preserve">N9217B  </v>
      </c>
      <c r="BC1714">
        <v>1</v>
      </c>
      <c r="BE1714">
        <v>0</v>
      </c>
      <c r="BF1714">
        <v>0</v>
      </c>
      <c r="BG1714">
        <v>0</v>
      </c>
      <c r="BH1714">
        <v>8475</v>
      </c>
      <c r="BI1714">
        <v>1</v>
      </c>
      <c r="BJ1714">
        <v>0</v>
      </c>
      <c r="BK1714">
        <v>0</v>
      </c>
      <c r="BL1714">
        <v>0</v>
      </c>
      <c r="BO1714">
        <v>0</v>
      </c>
      <c r="BP1714">
        <v>0</v>
      </c>
      <c r="BW1714" t="str">
        <f t="shared" si="941"/>
        <v>14:53:18.223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6</v>
      </c>
      <c r="CP1714" t="s">
        <v>119</v>
      </c>
      <c r="CQ1714">
        <v>285</v>
      </c>
      <c r="CR1714">
        <v>0</v>
      </c>
      <c r="CW1714">
        <v>8856811</v>
      </c>
      <c r="CY1714">
        <v>0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25">
      <c r="A1715" t="str">
        <f t="shared" si="939"/>
        <v>06/05/2020 14:53:12.571</v>
      </c>
      <c r="C1715" t="str">
        <f t="shared" si="934"/>
        <v>FFDFD3C0</v>
      </c>
      <c r="D1715" t="s">
        <v>134</v>
      </c>
      <c r="E1715">
        <v>7</v>
      </c>
      <c r="F1715">
        <v>2007</v>
      </c>
      <c r="G1715" t="s">
        <v>135</v>
      </c>
      <c r="J1715" t="s">
        <v>136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940"/>
        <v>14:53:18.219</v>
      </c>
      <c r="T1715" t="str">
        <f t="shared" si="940"/>
        <v>14:53:18.219</v>
      </c>
      <c r="U1715" t="str">
        <f t="shared" si="912"/>
        <v>ACC530</v>
      </c>
      <c r="V1715">
        <v>0</v>
      </c>
      <c r="W1715">
        <v>0</v>
      </c>
      <c r="X1715">
        <v>1</v>
      </c>
      <c r="Z1715">
        <v>0</v>
      </c>
      <c r="AA1715">
        <v>9</v>
      </c>
      <c r="AB1715">
        <v>3</v>
      </c>
      <c r="AC1715">
        <v>0</v>
      </c>
      <c r="AD1715">
        <v>9</v>
      </c>
      <c r="AE1715">
        <v>0</v>
      </c>
      <c r="AF1715">
        <v>3</v>
      </c>
      <c r="AG1715">
        <v>1</v>
      </c>
      <c r="AH1715">
        <v>0</v>
      </c>
      <c r="AI1715" t="s">
        <v>658</v>
      </c>
      <c r="AJ1715">
        <v>34.187821999999997</v>
      </c>
      <c r="AK1715" t="s">
        <v>659</v>
      </c>
      <c r="AL1715">
        <v>-116.999245</v>
      </c>
      <c r="AM1715">
        <v>100</v>
      </c>
      <c r="AN1715">
        <v>8500</v>
      </c>
      <c r="AO1715" t="s">
        <v>118</v>
      </c>
      <c r="AP1715">
        <v>-102</v>
      </c>
      <c r="AQ1715">
        <v>-66</v>
      </c>
      <c r="AR1715">
        <v>-832</v>
      </c>
      <c r="AZ1715">
        <v>1200</v>
      </c>
      <c r="BA1715">
        <v>1</v>
      </c>
      <c r="BB1715" t="str">
        <f t="shared" si="916"/>
        <v xml:space="preserve">N9217B  </v>
      </c>
      <c r="BC1715">
        <v>1</v>
      </c>
      <c r="BE1715">
        <v>0</v>
      </c>
      <c r="BF1715">
        <v>0</v>
      </c>
      <c r="BG1715">
        <v>0</v>
      </c>
      <c r="BH1715">
        <v>8475</v>
      </c>
      <c r="BI1715">
        <v>1</v>
      </c>
      <c r="BJ1715">
        <v>0</v>
      </c>
      <c r="BK1715">
        <v>0</v>
      </c>
      <c r="BL1715">
        <v>0</v>
      </c>
      <c r="BO1715">
        <v>0</v>
      </c>
      <c r="BP1715">
        <v>0</v>
      </c>
      <c r="BW1715" t="str">
        <f t="shared" si="941"/>
        <v>14:53:18.223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285</v>
      </c>
      <c r="CR1715">
        <v>0</v>
      </c>
      <c r="CW1715">
        <v>8856811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25">
      <c r="A1716" t="str">
        <f t="shared" si="939"/>
        <v>06/05/2020 14:53:12.571</v>
      </c>
      <c r="C1716" t="str">
        <f t="shared" si="934"/>
        <v>FFDFD3C0</v>
      </c>
      <c r="D1716" t="s">
        <v>141</v>
      </c>
      <c r="E1716">
        <v>20</v>
      </c>
      <c r="F1716">
        <v>1020</v>
      </c>
      <c r="G1716" t="s">
        <v>114</v>
      </c>
      <c r="J1716" t="s">
        <v>142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940"/>
        <v>14:53:18.219</v>
      </c>
      <c r="T1716" t="str">
        <f t="shared" si="940"/>
        <v>14:53:18.219</v>
      </c>
      <c r="U1716" t="str">
        <f t="shared" si="912"/>
        <v>ACC530</v>
      </c>
      <c r="V1716">
        <v>0</v>
      </c>
      <c r="W1716">
        <v>0</v>
      </c>
      <c r="X1716">
        <v>1</v>
      </c>
      <c r="Z1716">
        <v>0</v>
      </c>
      <c r="AA1716">
        <v>9</v>
      </c>
      <c r="AB1716">
        <v>3</v>
      </c>
      <c r="AC1716">
        <v>0</v>
      </c>
      <c r="AD1716">
        <v>9</v>
      </c>
      <c r="AE1716">
        <v>0</v>
      </c>
      <c r="AF1716">
        <v>3</v>
      </c>
      <c r="AG1716">
        <v>1</v>
      </c>
      <c r="AH1716">
        <v>0</v>
      </c>
      <c r="AI1716" t="s">
        <v>658</v>
      </c>
      <c r="AJ1716">
        <v>34.187821999999997</v>
      </c>
      <c r="AK1716" t="s">
        <v>659</v>
      </c>
      <c r="AL1716">
        <v>-116.999245</v>
      </c>
      <c r="AM1716">
        <v>100</v>
      </c>
      <c r="AN1716">
        <v>8500</v>
      </c>
      <c r="AO1716" t="s">
        <v>118</v>
      </c>
      <c r="AP1716">
        <v>-102</v>
      </c>
      <c r="AQ1716">
        <v>-66</v>
      </c>
      <c r="AR1716">
        <v>-832</v>
      </c>
      <c r="AZ1716">
        <v>1200</v>
      </c>
      <c r="BA1716">
        <v>1</v>
      </c>
      <c r="BB1716" t="str">
        <f t="shared" si="916"/>
        <v xml:space="preserve">N9217B  </v>
      </c>
      <c r="BC1716">
        <v>1</v>
      </c>
      <c r="BE1716">
        <v>0</v>
      </c>
      <c r="BF1716">
        <v>0</v>
      </c>
      <c r="BG1716">
        <v>0</v>
      </c>
      <c r="BH1716">
        <v>8475</v>
      </c>
      <c r="BI1716">
        <v>1</v>
      </c>
      <c r="BJ1716">
        <v>0</v>
      </c>
      <c r="BK1716">
        <v>0</v>
      </c>
      <c r="BL1716">
        <v>0</v>
      </c>
      <c r="BO1716">
        <v>0</v>
      </c>
      <c r="BP1716">
        <v>0</v>
      </c>
      <c r="BW1716" t="str">
        <f t="shared" si="941"/>
        <v>14:53:18.223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285</v>
      </c>
      <c r="CR1716">
        <v>0</v>
      </c>
      <c r="CW1716">
        <v>8856811</v>
      </c>
      <c r="CY1716">
        <v>0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25">
      <c r="A1717" t="str">
        <f t="shared" si="939"/>
        <v>06/05/2020 14:53:12.571</v>
      </c>
      <c r="C1717" t="str">
        <f t="shared" si="934"/>
        <v>FFDFD3C0</v>
      </c>
      <c r="D1717" t="s">
        <v>113</v>
      </c>
      <c r="E1717">
        <v>3</v>
      </c>
      <c r="H1717">
        <v>166</v>
      </c>
      <c r="I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940"/>
        <v>14:53:18.219</v>
      </c>
      <c r="T1717" t="str">
        <f t="shared" si="940"/>
        <v>14:53:18.219</v>
      </c>
      <c r="U1717" t="str">
        <f t="shared" si="912"/>
        <v>ACC530</v>
      </c>
      <c r="V1717">
        <v>0</v>
      </c>
      <c r="W1717">
        <v>0</v>
      </c>
      <c r="X1717">
        <v>1</v>
      </c>
      <c r="Z1717">
        <v>0</v>
      </c>
      <c r="AA1717">
        <v>9</v>
      </c>
      <c r="AB1717">
        <v>3</v>
      </c>
      <c r="AC1717">
        <v>0</v>
      </c>
      <c r="AD1717">
        <v>9</v>
      </c>
      <c r="AE1717">
        <v>0</v>
      </c>
      <c r="AF1717">
        <v>3</v>
      </c>
      <c r="AG1717">
        <v>1</v>
      </c>
      <c r="AH1717">
        <v>0</v>
      </c>
      <c r="AI1717" t="s">
        <v>658</v>
      </c>
      <c r="AJ1717">
        <v>34.187821999999997</v>
      </c>
      <c r="AK1717" t="s">
        <v>659</v>
      </c>
      <c r="AL1717">
        <v>-116.999245</v>
      </c>
      <c r="AM1717">
        <v>100</v>
      </c>
      <c r="AN1717">
        <v>8500</v>
      </c>
      <c r="AO1717" t="s">
        <v>118</v>
      </c>
      <c r="AP1717">
        <v>-102</v>
      </c>
      <c r="AQ1717">
        <v>-66</v>
      </c>
      <c r="AR1717">
        <v>-832</v>
      </c>
      <c r="AZ1717">
        <v>1200</v>
      </c>
      <c r="BA1717">
        <v>1</v>
      </c>
      <c r="BB1717" t="str">
        <f t="shared" si="916"/>
        <v xml:space="preserve">N9217B  </v>
      </c>
      <c r="BC1717">
        <v>1</v>
      </c>
      <c r="BE1717">
        <v>0</v>
      </c>
      <c r="BF1717">
        <v>0</v>
      </c>
      <c r="BG1717">
        <v>0</v>
      </c>
      <c r="BH1717">
        <v>8475</v>
      </c>
      <c r="BI1717">
        <v>1</v>
      </c>
      <c r="BJ1717">
        <v>0</v>
      </c>
      <c r="BK1717">
        <v>0</v>
      </c>
      <c r="BL1717">
        <v>0</v>
      </c>
      <c r="BO1717">
        <v>0</v>
      </c>
      <c r="BP1717">
        <v>0</v>
      </c>
      <c r="BW1717" t="str">
        <f t="shared" si="941"/>
        <v>14:53:18.223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6</v>
      </c>
      <c r="CP1717" t="s">
        <v>119</v>
      </c>
      <c r="CQ1717">
        <v>285</v>
      </c>
      <c r="CR1717">
        <v>0</v>
      </c>
      <c r="CW1717">
        <v>8856811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25">
      <c r="A1718" t="str">
        <f t="shared" ref="A1718:A1724" si="942">"06/05/2020 14:53:13.685"</f>
        <v>06/05/2020 14:53:13.685</v>
      </c>
      <c r="C1718" t="str">
        <f t="shared" si="934"/>
        <v>FFDFD3C0</v>
      </c>
      <c r="D1718" t="s">
        <v>148</v>
      </c>
      <c r="E1718">
        <v>11</v>
      </c>
      <c r="H1718">
        <v>53</v>
      </c>
      <c r="I1718" t="s">
        <v>364</v>
      </c>
      <c r="J1718" t="s">
        <v>150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ref="S1718:T1724" si="943">"14:53:19.313"</f>
        <v>14:53:19.313</v>
      </c>
      <c r="T1718" t="str">
        <f t="shared" si="943"/>
        <v>14:53:19.313</v>
      </c>
      <c r="U1718" t="str">
        <f t="shared" si="912"/>
        <v>ACC530</v>
      </c>
      <c r="V1718">
        <v>0</v>
      </c>
      <c r="W1718">
        <v>0</v>
      </c>
      <c r="X1718">
        <v>1</v>
      </c>
      <c r="Z1718">
        <v>0</v>
      </c>
      <c r="AA1718">
        <v>9</v>
      </c>
      <c r="AB1718">
        <v>3</v>
      </c>
      <c r="AC1718">
        <v>0</v>
      </c>
      <c r="AD1718">
        <v>9</v>
      </c>
      <c r="AE1718">
        <v>0</v>
      </c>
      <c r="AF1718">
        <v>3</v>
      </c>
      <c r="AG1718">
        <v>1</v>
      </c>
      <c r="AH1718">
        <v>0</v>
      </c>
      <c r="AI1718" t="s">
        <v>660</v>
      </c>
      <c r="AJ1718">
        <v>34.187522000000001</v>
      </c>
      <c r="AK1718" t="s">
        <v>661</v>
      </c>
      <c r="AL1718">
        <v>-116.99984600000001</v>
      </c>
      <c r="AM1718">
        <v>100</v>
      </c>
      <c r="AN1718">
        <v>8500</v>
      </c>
      <c r="AO1718" t="s">
        <v>118</v>
      </c>
      <c r="AP1718">
        <v>-102</v>
      </c>
      <c r="AQ1718">
        <v>-66</v>
      </c>
      <c r="AR1718">
        <v>-768</v>
      </c>
      <c r="AZ1718">
        <v>1200</v>
      </c>
      <c r="BA1718">
        <v>1</v>
      </c>
      <c r="BB1718" t="str">
        <f t="shared" si="916"/>
        <v xml:space="preserve">N9217B  </v>
      </c>
      <c r="BC1718">
        <v>1</v>
      </c>
      <c r="BE1718">
        <v>0</v>
      </c>
      <c r="BF1718">
        <v>0</v>
      </c>
      <c r="BG1718">
        <v>0</v>
      </c>
      <c r="BH1718">
        <v>8475</v>
      </c>
      <c r="BI1718">
        <v>1</v>
      </c>
      <c r="BJ1718">
        <v>0</v>
      </c>
      <c r="BK1718">
        <v>0</v>
      </c>
      <c r="BL1718">
        <v>0</v>
      </c>
      <c r="BO1718">
        <v>0</v>
      </c>
      <c r="BP1718">
        <v>0</v>
      </c>
      <c r="BW1718" t="str">
        <f t="shared" ref="BW1718:BW1724" si="944">"14:53:19.318"</f>
        <v>14:53:19.318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6</v>
      </c>
      <c r="CP1718" t="s">
        <v>119</v>
      </c>
      <c r="CQ1718">
        <v>285</v>
      </c>
      <c r="CR1718">
        <v>0</v>
      </c>
      <c r="CW1718">
        <v>8856907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25">
      <c r="A1719" t="str">
        <f t="shared" si="942"/>
        <v>06/05/2020 14:53:13.685</v>
      </c>
      <c r="C1719" t="str">
        <f t="shared" si="934"/>
        <v>FFDFD3C0</v>
      </c>
      <c r="D1719" t="s">
        <v>151</v>
      </c>
      <c r="E1719">
        <v>8</v>
      </c>
      <c r="H1719">
        <v>225</v>
      </c>
      <c r="I1719" t="s">
        <v>353</v>
      </c>
      <c r="J1719" t="s">
        <v>150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943"/>
        <v>14:53:19.313</v>
      </c>
      <c r="T1719" t="str">
        <f t="shared" si="943"/>
        <v>14:53:19.313</v>
      </c>
      <c r="U1719" t="str">
        <f t="shared" si="912"/>
        <v>ACC530</v>
      </c>
      <c r="V1719">
        <v>0</v>
      </c>
      <c r="W1719">
        <v>0</v>
      </c>
      <c r="X1719">
        <v>1</v>
      </c>
      <c r="Z1719">
        <v>0</v>
      </c>
      <c r="AA1719">
        <v>9</v>
      </c>
      <c r="AB1719">
        <v>3</v>
      </c>
      <c r="AC1719">
        <v>0</v>
      </c>
      <c r="AD1719">
        <v>9</v>
      </c>
      <c r="AE1719">
        <v>0</v>
      </c>
      <c r="AF1719">
        <v>3</v>
      </c>
      <c r="AG1719">
        <v>1</v>
      </c>
      <c r="AH1719">
        <v>0</v>
      </c>
      <c r="AI1719" t="s">
        <v>660</v>
      </c>
      <c r="AJ1719">
        <v>34.187522000000001</v>
      </c>
      <c r="AK1719" t="s">
        <v>661</v>
      </c>
      <c r="AL1719">
        <v>-116.99984600000001</v>
      </c>
      <c r="AM1719">
        <v>100</v>
      </c>
      <c r="AN1719">
        <v>8500</v>
      </c>
      <c r="AO1719" t="s">
        <v>118</v>
      </c>
      <c r="AP1719">
        <v>-102</v>
      </c>
      <c r="AQ1719">
        <v>-66</v>
      </c>
      <c r="AR1719">
        <v>-768</v>
      </c>
      <c r="AZ1719">
        <v>1200</v>
      </c>
      <c r="BA1719">
        <v>1</v>
      </c>
      <c r="BB1719" t="str">
        <f t="shared" si="916"/>
        <v xml:space="preserve">N9217B  </v>
      </c>
      <c r="BC1719">
        <v>1</v>
      </c>
      <c r="BE1719">
        <v>0</v>
      </c>
      <c r="BF1719">
        <v>0</v>
      </c>
      <c r="BG1719">
        <v>0</v>
      </c>
      <c r="BH1719">
        <v>8475</v>
      </c>
      <c r="BI1719">
        <v>1</v>
      </c>
      <c r="BJ1719">
        <v>0</v>
      </c>
      <c r="BK1719">
        <v>0</v>
      </c>
      <c r="BL1719">
        <v>0</v>
      </c>
      <c r="BO1719">
        <v>0</v>
      </c>
      <c r="BP1719">
        <v>0</v>
      </c>
      <c r="BW1719" t="str">
        <f t="shared" si="944"/>
        <v>14:53:19.318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285</v>
      </c>
      <c r="CR1719">
        <v>0</v>
      </c>
      <c r="CW1719">
        <v>8856907</v>
      </c>
      <c r="CY1719">
        <v>0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25">
      <c r="A1720" t="str">
        <f t="shared" si="942"/>
        <v>06/05/2020 14:53:13.685</v>
      </c>
      <c r="C1720" t="str">
        <f t="shared" si="934"/>
        <v>FFDFD3C0</v>
      </c>
      <c r="D1720" t="s">
        <v>151</v>
      </c>
      <c r="E1720">
        <v>9</v>
      </c>
      <c r="H1720">
        <v>226</v>
      </c>
      <c r="I1720" t="s">
        <v>152</v>
      </c>
      <c r="J1720" t="s">
        <v>150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943"/>
        <v>14:53:19.313</v>
      </c>
      <c r="T1720" t="str">
        <f t="shared" si="943"/>
        <v>14:53:19.313</v>
      </c>
      <c r="U1720" t="str">
        <f t="shared" si="912"/>
        <v>ACC530</v>
      </c>
      <c r="V1720">
        <v>0</v>
      </c>
      <c r="W1720">
        <v>0</v>
      </c>
      <c r="X1720">
        <v>1</v>
      </c>
      <c r="Z1720">
        <v>0</v>
      </c>
      <c r="AA1720">
        <v>9</v>
      </c>
      <c r="AB1720">
        <v>3</v>
      </c>
      <c r="AC1720">
        <v>0</v>
      </c>
      <c r="AD1720">
        <v>9</v>
      </c>
      <c r="AE1720">
        <v>0</v>
      </c>
      <c r="AF1720">
        <v>3</v>
      </c>
      <c r="AG1720">
        <v>1</v>
      </c>
      <c r="AH1720">
        <v>0</v>
      </c>
      <c r="AI1720" t="s">
        <v>660</v>
      </c>
      <c r="AJ1720">
        <v>34.187522000000001</v>
      </c>
      <c r="AK1720" t="s">
        <v>661</v>
      </c>
      <c r="AL1720">
        <v>-116.99984600000001</v>
      </c>
      <c r="AM1720">
        <v>100</v>
      </c>
      <c r="AN1720">
        <v>8500</v>
      </c>
      <c r="AO1720" t="s">
        <v>118</v>
      </c>
      <c r="AP1720">
        <v>-102</v>
      </c>
      <c r="AQ1720">
        <v>-66</v>
      </c>
      <c r="AR1720">
        <v>-768</v>
      </c>
      <c r="AZ1720">
        <v>1200</v>
      </c>
      <c r="BA1720">
        <v>1</v>
      </c>
      <c r="BB1720" t="str">
        <f t="shared" si="916"/>
        <v xml:space="preserve">N9217B  </v>
      </c>
      <c r="BC1720">
        <v>1</v>
      </c>
      <c r="BE1720">
        <v>0</v>
      </c>
      <c r="BF1720">
        <v>0</v>
      </c>
      <c r="BG1720">
        <v>0</v>
      </c>
      <c r="BH1720">
        <v>8475</v>
      </c>
      <c r="BI1720">
        <v>1</v>
      </c>
      <c r="BJ1720">
        <v>0</v>
      </c>
      <c r="BK1720">
        <v>0</v>
      </c>
      <c r="BL1720">
        <v>0</v>
      </c>
      <c r="BO1720">
        <v>0</v>
      </c>
      <c r="BP1720">
        <v>0</v>
      </c>
      <c r="BW1720" t="str">
        <f t="shared" si="944"/>
        <v>14:53:19.318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6</v>
      </c>
      <c r="CP1720" t="s">
        <v>119</v>
      </c>
      <c r="CQ1720">
        <v>285</v>
      </c>
      <c r="CR1720">
        <v>0</v>
      </c>
      <c r="CW1720">
        <v>8856907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25">
      <c r="A1721" t="str">
        <f t="shared" si="942"/>
        <v>06/05/2020 14:53:13.685</v>
      </c>
      <c r="C1721" t="str">
        <f t="shared" si="934"/>
        <v>FFDFD3C0</v>
      </c>
      <c r="D1721" t="s">
        <v>134</v>
      </c>
      <c r="E1721">
        <v>7</v>
      </c>
      <c r="F1721">
        <v>2007</v>
      </c>
      <c r="G1721" t="s">
        <v>135</v>
      </c>
      <c r="J1721" t="s">
        <v>136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943"/>
        <v>14:53:19.313</v>
      </c>
      <c r="T1721" t="str">
        <f t="shared" si="943"/>
        <v>14:53:19.313</v>
      </c>
      <c r="U1721" t="str">
        <f t="shared" si="912"/>
        <v>ACC530</v>
      </c>
      <c r="V1721">
        <v>0</v>
      </c>
      <c r="W1721">
        <v>0</v>
      </c>
      <c r="X1721">
        <v>1</v>
      </c>
      <c r="Z1721">
        <v>0</v>
      </c>
      <c r="AA1721">
        <v>9</v>
      </c>
      <c r="AB1721">
        <v>3</v>
      </c>
      <c r="AC1721">
        <v>0</v>
      </c>
      <c r="AD1721">
        <v>9</v>
      </c>
      <c r="AE1721">
        <v>0</v>
      </c>
      <c r="AF1721">
        <v>3</v>
      </c>
      <c r="AG1721">
        <v>1</v>
      </c>
      <c r="AH1721">
        <v>0</v>
      </c>
      <c r="AI1721" t="s">
        <v>660</v>
      </c>
      <c r="AJ1721">
        <v>34.187522000000001</v>
      </c>
      <c r="AK1721" t="s">
        <v>661</v>
      </c>
      <c r="AL1721">
        <v>-116.99984600000001</v>
      </c>
      <c r="AM1721">
        <v>100</v>
      </c>
      <c r="AN1721">
        <v>8500</v>
      </c>
      <c r="AO1721" t="s">
        <v>118</v>
      </c>
      <c r="AP1721">
        <v>-102</v>
      </c>
      <c r="AQ1721">
        <v>-66</v>
      </c>
      <c r="AR1721">
        <v>-768</v>
      </c>
      <c r="AZ1721">
        <v>1200</v>
      </c>
      <c r="BA1721">
        <v>1</v>
      </c>
      <c r="BB1721" t="str">
        <f t="shared" si="916"/>
        <v xml:space="preserve">N9217B  </v>
      </c>
      <c r="BC1721">
        <v>1</v>
      </c>
      <c r="BE1721">
        <v>0</v>
      </c>
      <c r="BF1721">
        <v>0</v>
      </c>
      <c r="BG1721">
        <v>0</v>
      </c>
      <c r="BH1721">
        <v>8475</v>
      </c>
      <c r="BI1721">
        <v>1</v>
      </c>
      <c r="BJ1721">
        <v>0</v>
      </c>
      <c r="BK1721">
        <v>0</v>
      </c>
      <c r="BL1721">
        <v>0</v>
      </c>
      <c r="BO1721">
        <v>0</v>
      </c>
      <c r="BP1721">
        <v>0</v>
      </c>
      <c r="BW1721" t="str">
        <f t="shared" si="944"/>
        <v>14:53:19.318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6</v>
      </c>
      <c r="CP1721" t="s">
        <v>119</v>
      </c>
      <c r="CQ1721">
        <v>285</v>
      </c>
      <c r="CR1721">
        <v>0</v>
      </c>
      <c r="CW1721">
        <v>8856907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25">
      <c r="A1722" t="str">
        <f t="shared" si="942"/>
        <v>06/05/2020 14:53:13.685</v>
      </c>
      <c r="C1722" t="str">
        <f t="shared" si="934"/>
        <v>FFDFD3C0</v>
      </c>
      <c r="D1722" t="s">
        <v>148</v>
      </c>
      <c r="E1722">
        <v>8</v>
      </c>
      <c r="H1722">
        <v>50</v>
      </c>
      <c r="I1722" t="s">
        <v>149</v>
      </c>
      <c r="J1722" t="s">
        <v>150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943"/>
        <v>14:53:19.313</v>
      </c>
      <c r="T1722" t="str">
        <f t="shared" si="943"/>
        <v>14:53:19.313</v>
      </c>
      <c r="U1722" t="str">
        <f t="shared" si="912"/>
        <v>ACC530</v>
      </c>
      <c r="V1722">
        <v>0</v>
      </c>
      <c r="W1722">
        <v>0</v>
      </c>
      <c r="X1722">
        <v>1</v>
      </c>
      <c r="Z1722">
        <v>0</v>
      </c>
      <c r="AA1722">
        <v>9</v>
      </c>
      <c r="AB1722">
        <v>3</v>
      </c>
      <c r="AC1722">
        <v>0</v>
      </c>
      <c r="AD1722">
        <v>9</v>
      </c>
      <c r="AE1722">
        <v>0</v>
      </c>
      <c r="AF1722">
        <v>3</v>
      </c>
      <c r="AG1722">
        <v>1</v>
      </c>
      <c r="AH1722">
        <v>0</v>
      </c>
      <c r="AI1722" t="s">
        <v>660</v>
      </c>
      <c r="AJ1722">
        <v>34.187522000000001</v>
      </c>
      <c r="AK1722" t="s">
        <v>661</v>
      </c>
      <c r="AL1722">
        <v>-116.99984600000001</v>
      </c>
      <c r="AM1722">
        <v>100</v>
      </c>
      <c r="AN1722">
        <v>8500</v>
      </c>
      <c r="AO1722" t="s">
        <v>118</v>
      </c>
      <c r="AP1722">
        <v>-102</v>
      </c>
      <c r="AQ1722">
        <v>-66</v>
      </c>
      <c r="AR1722">
        <v>-768</v>
      </c>
      <c r="AZ1722">
        <v>1200</v>
      </c>
      <c r="BA1722">
        <v>1</v>
      </c>
      <c r="BB1722" t="str">
        <f t="shared" si="916"/>
        <v xml:space="preserve">N9217B  </v>
      </c>
      <c r="BC1722">
        <v>1</v>
      </c>
      <c r="BE1722">
        <v>0</v>
      </c>
      <c r="BF1722">
        <v>0</v>
      </c>
      <c r="BG1722">
        <v>0</v>
      </c>
      <c r="BH1722">
        <v>8475</v>
      </c>
      <c r="BI1722">
        <v>1</v>
      </c>
      <c r="BJ1722">
        <v>0</v>
      </c>
      <c r="BK1722">
        <v>0</v>
      </c>
      <c r="BL1722">
        <v>0</v>
      </c>
      <c r="BO1722">
        <v>0</v>
      </c>
      <c r="BP1722">
        <v>0</v>
      </c>
      <c r="BW1722" t="str">
        <f t="shared" si="944"/>
        <v>14:53:19.318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6</v>
      </c>
      <c r="CP1722" t="s">
        <v>119</v>
      </c>
      <c r="CQ1722">
        <v>285</v>
      </c>
      <c r="CR1722">
        <v>0</v>
      </c>
      <c r="CW1722">
        <v>8856907</v>
      </c>
      <c r="CY1722">
        <v>0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25">
      <c r="A1723" t="str">
        <f t="shared" si="942"/>
        <v>06/05/2020 14:53:13.685</v>
      </c>
      <c r="C1723" t="str">
        <f t="shared" si="934"/>
        <v>FFDFD3C0</v>
      </c>
      <c r="D1723" t="s">
        <v>141</v>
      </c>
      <c r="E1723">
        <v>20</v>
      </c>
      <c r="F1723">
        <v>1020</v>
      </c>
      <c r="G1723" t="s">
        <v>114</v>
      </c>
      <c r="J1723" t="s">
        <v>142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943"/>
        <v>14:53:19.313</v>
      </c>
      <c r="T1723" t="str">
        <f t="shared" si="943"/>
        <v>14:53:19.313</v>
      </c>
      <c r="U1723" t="str">
        <f t="shared" si="912"/>
        <v>ACC530</v>
      </c>
      <c r="V1723">
        <v>0</v>
      </c>
      <c r="W1723">
        <v>0</v>
      </c>
      <c r="X1723">
        <v>1</v>
      </c>
      <c r="Z1723">
        <v>0</v>
      </c>
      <c r="AA1723">
        <v>9</v>
      </c>
      <c r="AB1723">
        <v>3</v>
      </c>
      <c r="AC1723">
        <v>0</v>
      </c>
      <c r="AD1723">
        <v>9</v>
      </c>
      <c r="AE1723">
        <v>0</v>
      </c>
      <c r="AF1723">
        <v>3</v>
      </c>
      <c r="AG1723">
        <v>1</v>
      </c>
      <c r="AH1723">
        <v>0</v>
      </c>
      <c r="AI1723" t="s">
        <v>660</v>
      </c>
      <c r="AJ1723">
        <v>34.187522000000001</v>
      </c>
      <c r="AK1723" t="s">
        <v>661</v>
      </c>
      <c r="AL1723">
        <v>-116.99984600000001</v>
      </c>
      <c r="AM1723">
        <v>100</v>
      </c>
      <c r="AN1723">
        <v>8500</v>
      </c>
      <c r="AO1723" t="s">
        <v>118</v>
      </c>
      <c r="AP1723">
        <v>-102</v>
      </c>
      <c r="AQ1723">
        <v>-66</v>
      </c>
      <c r="AR1723">
        <v>-768</v>
      </c>
      <c r="AZ1723">
        <v>1200</v>
      </c>
      <c r="BA1723">
        <v>1</v>
      </c>
      <c r="BB1723" t="str">
        <f t="shared" si="916"/>
        <v xml:space="preserve">N9217B  </v>
      </c>
      <c r="BC1723">
        <v>1</v>
      </c>
      <c r="BE1723">
        <v>0</v>
      </c>
      <c r="BF1723">
        <v>0</v>
      </c>
      <c r="BG1723">
        <v>0</v>
      </c>
      <c r="BH1723">
        <v>8475</v>
      </c>
      <c r="BI1723">
        <v>1</v>
      </c>
      <c r="BJ1723">
        <v>0</v>
      </c>
      <c r="BK1723">
        <v>0</v>
      </c>
      <c r="BL1723">
        <v>0</v>
      </c>
      <c r="BO1723">
        <v>0</v>
      </c>
      <c r="BP1723">
        <v>0</v>
      </c>
      <c r="BW1723" t="str">
        <f t="shared" si="944"/>
        <v>14:53:19.318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6</v>
      </c>
      <c r="CP1723" t="s">
        <v>119</v>
      </c>
      <c r="CQ1723">
        <v>285</v>
      </c>
      <c r="CR1723">
        <v>0</v>
      </c>
      <c r="CW1723">
        <v>8856907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25">
      <c r="A1724" t="str">
        <f t="shared" si="942"/>
        <v>06/05/2020 14:53:13.685</v>
      </c>
      <c r="C1724" t="str">
        <f t="shared" si="934"/>
        <v>FFDFD3C0</v>
      </c>
      <c r="D1724" t="s">
        <v>113</v>
      </c>
      <c r="E1724">
        <v>3</v>
      </c>
      <c r="H1724">
        <v>166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943"/>
        <v>14:53:19.313</v>
      </c>
      <c r="T1724" t="str">
        <f t="shared" si="943"/>
        <v>14:53:19.313</v>
      </c>
      <c r="U1724" t="str">
        <f t="shared" si="912"/>
        <v>ACC530</v>
      </c>
      <c r="V1724">
        <v>0</v>
      </c>
      <c r="W1724">
        <v>0</v>
      </c>
      <c r="X1724">
        <v>1</v>
      </c>
      <c r="Z1724">
        <v>0</v>
      </c>
      <c r="AA1724">
        <v>9</v>
      </c>
      <c r="AB1724">
        <v>3</v>
      </c>
      <c r="AC1724">
        <v>0</v>
      </c>
      <c r="AD1724">
        <v>9</v>
      </c>
      <c r="AE1724">
        <v>0</v>
      </c>
      <c r="AF1724">
        <v>3</v>
      </c>
      <c r="AG1724">
        <v>1</v>
      </c>
      <c r="AH1724">
        <v>0</v>
      </c>
      <c r="AI1724" t="s">
        <v>660</v>
      </c>
      <c r="AJ1724">
        <v>34.187522000000001</v>
      </c>
      <c r="AK1724" t="s">
        <v>661</v>
      </c>
      <c r="AL1724">
        <v>-116.99984600000001</v>
      </c>
      <c r="AM1724">
        <v>100</v>
      </c>
      <c r="AN1724">
        <v>8500</v>
      </c>
      <c r="AO1724" t="s">
        <v>118</v>
      </c>
      <c r="AP1724">
        <v>-102</v>
      </c>
      <c r="AQ1724">
        <v>-66</v>
      </c>
      <c r="AR1724">
        <v>-768</v>
      </c>
      <c r="AZ1724">
        <v>1200</v>
      </c>
      <c r="BA1724">
        <v>1</v>
      </c>
      <c r="BB1724" t="str">
        <f t="shared" si="916"/>
        <v xml:space="preserve">N9217B  </v>
      </c>
      <c r="BC1724">
        <v>1</v>
      </c>
      <c r="BE1724">
        <v>0</v>
      </c>
      <c r="BF1724">
        <v>0</v>
      </c>
      <c r="BG1724">
        <v>0</v>
      </c>
      <c r="BH1724">
        <v>8475</v>
      </c>
      <c r="BI1724">
        <v>1</v>
      </c>
      <c r="BJ1724">
        <v>0</v>
      </c>
      <c r="BK1724">
        <v>0</v>
      </c>
      <c r="BL1724">
        <v>0</v>
      </c>
      <c r="BO1724">
        <v>0</v>
      </c>
      <c r="BP1724">
        <v>0</v>
      </c>
      <c r="BW1724" t="str">
        <f t="shared" si="944"/>
        <v>14:53:19.318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6</v>
      </c>
      <c r="CP1724" t="s">
        <v>119</v>
      </c>
      <c r="CQ1724">
        <v>285</v>
      </c>
      <c r="CR1724">
        <v>0</v>
      </c>
      <c r="CW1724">
        <v>8856907</v>
      </c>
      <c r="CY1724">
        <v>0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25">
      <c r="A1725" t="str">
        <f t="shared" ref="A1725:A1731" si="945">"06/05/2020 14:53:14.545"</f>
        <v>06/05/2020 14:53:14.545</v>
      </c>
      <c r="C1725" t="str">
        <f t="shared" si="934"/>
        <v>FFDFD3C0</v>
      </c>
      <c r="D1725" t="s">
        <v>148</v>
      </c>
      <c r="E1725">
        <v>11</v>
      </c>
      <c r="H1725">
        <v>53</v>
      </c>
      <c r="I1725" t="s">
        <v>364</v>
      </c>
      <c r="J1725" t="s">
        <v>150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ref="S1725:S1731" si="946">"14:53:20.195"</f>
        <v>14:53:20.195</v>
      </c>
      <c r="T1725" t="str">
        <f t="shared" ref="T1725:T1731" si="947">"14:53:19.795"</f>
        <v>14:53:19.795</v>
      </c>
      <c r="U1725" t="str">
        <f t="shared" si="912"/>
        <v>ACC530</v>
      </c>
      <c r="V1725">
        <v>0</v>
      </c>
      <c r="W1725">
        <v>0</v>
      </c>
      <c r="X1725">
        <v>1</v>
      </c>
      <c r="Z1725">
        <v>0</v>
      </c>
      <c r="AA1725">
        <v>9</v>
      </c>
      <c r="AB1725">
        <v>3</v>
      </c>
      <c r="AC1725">
        <v>0</v>
      </c>
      <c r="AD1725">
        <v>9</v>
      </c>
      <c r="AE1725">
        <v>0</v>
      </c>
      <c r="AF1725">
        <v>3</v>
      </c>
      <c r="AG1725">
        <v>1</v>
      </c>
      <c r="AH1725">
        <v>0</v>
      </c>
      <c r="AI1725" t="s">
        <v>662</v>
      </c>
      <c r="AJ1725">
        <v>34.187221999999998</v>
      </c>
      <c r="AK1725" t="s">
        <v>663</v>
      </c>
      <c r="AL1725">
        <v>-117.000382</v>
      </c>
      <c r="AM1725">
        <v>100</v>
      </c>
      <c r="AN1725">
        <v>8400</v>
      </c>
      <c r="AO1725" t="s">
        <v>118</v>
      </c>
      <c r="AP1725">
        <v>-102</v>
      </c>
      <c r="AQ1725">
        <v>-66</v>
      </c>
      <c r="AR1725">
        <v>-768</v>
      </c>
      <c r="AZ1725">
        <v>1200</v>
      </c>
      <c r="BA1725">
        <v>1</v>
      </c>
      <c r="BB1725" t="str">
        <f t="shared" si="916"/>
        <v xml:space="preserve">N9217B  </v>
      </c>
      <c r="BC1725">
        <v>1</v>
      </c>
      <c r="BE1725">
        <v>0</v>
      </c>
      <c r="BF1725">
        <v>0</v>
      </c>
      <c r="BG1725">
        <v>0</v>
      </c>
      <c r="BH1725">
        <v>8375</v>
      </c>
      <c r="BI1725">
        <v>1</v>
      </c>
      <c r="BJ1725">
        <v>0</v>
      </c>
      <c r="BK1725">
        <v>0</v>
      </c>
      <c r="BL1725">
        <v>0</v>
      </c>
      <c r="BO1725">
        <v>0</v>
      </c>
      <c r="BP1725">
        <v>0</v>
      </c>
      <c r="BW1725" t="str">
        <f t="shared" ref="BW1725:BW1731" si="948">"14:53:20.203"</f>
        <v>14:53:20.203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6</v>
      </c>
      <c r="CP1725" t="s">
        <v>119</v>
      </c>
      <c r="CQ1725">
        <v>285</v>
      </c>
      <c r="CR1725">
        <v>0</v>
      </c>
      <c r="CW1725">
        <v>8856980</v>
      </c>
      <c r="CY1725">
        <v>0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25">
      <c r="A1726" t="str">
        <f t="shared" si="945"/>
        <v>06/05/2020 14:53:14.545</v>
      </c>
      <c r="C1726" t="str">
        <f t="shared" si="934"/>
        <v>FFDFD3C0</v>
      </c>
      <c r="D1726" t="s">
        <v>151</v>
      </c>
      <c r="E1726">
        <v>8</v>
      </c>
      <c r="H1726">
        <v>225</v>
      </c>
      <c r="I1726" t="s">
        <v>353</v>
      </c>
      <c r="J1726" t="s">
        <v>150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946"/>
        <v>14:53:20.195</v>
      </c>
      <c r="T1726" t="str">
        <f t="shared" si="947"/>
        <v>14:53:19.795</v>
      </c>
      <c r="U1726" t="str">
        <f t="shared" si="912"/>
        <v>ACC530</v>
      </c>
      <c r="V1726">
        <v>0</v>
      </c>
      <c r="W1726">
        <v>0</v>
      </c>
      <c r="X1726">
        <v>1</v>
      </c>
      <c r="Z1726">
        <v>0</v>
      </c>
      <c r="AA1726">
        <v>9</v>
      </c>
      <c r="AB1726">
        <v>3</v>
      </c>
      <c r="AC1726">
        <v>0</v>
      </c>
      <c r="AD1726">
        <v>9</v>
      </c>
      <c r="AE1726">
        <v>0</v>
      </c>
      <c r="AF1726">
        <v>3</v>
      </c>
      <c r="AG1726">
        <v>1</v>
      </c>
      <c r="AH1726">
        <v>0</v>
      </c>
      <c r="AI1726" t="s">
        <v>662</v>
      </c>
      <c r="AJ1726">
        <v>34.187221999999998</v>
      </c>
      <c r="AK1726" t="s">
        <v>663</v>
      </c>
      <c r="AL1726">
        <v>-117.000382</v>
      </c>
      <c r="AM1726">
        <v>100</v>
      </c>
      <c r="AN1726">
        <v>8400</v>
      </c>
      <c r="AO1726" t="s">
        <v>118</v>
      </c>
      <c r="AP1726">
        <v>-102</v>
      </c>
      <c r="AQ1726">
        <v>-66</v>
      </c>
      <c r="AR1726">
        <v>-768</v>
      </c>
      <c r="AZ1726">
        <v>1200</v>
      </c>
      <c r="BA1726">
        <v>1</v>
      </c>
      <c r="BB1726" t="str">
        <f t="shared" si="916"/>
        <v xml:space="preserve">N9217B  </v>
      </c>
      <c r="BC1726">
        <v>1</v>
      </c>
      <c r="BE1726">
        <v>0</v>
      </c>
      <c r="BF1726">
        <v>0</v>
      </c>
      <c r="BG1726">
        <v>0</v>
      </c>
      <c r="BH1726">
        <v>8375</v>
      </c>
      <c r="BI1726">
        <v>1</v>
      </c>
      <c r="BJ1726">
        <v>0</v>
      </c>
      <c r="BK1726">
        <v>0</v>
      </c>
      <c r="BL1726">
        <v>0</v>
      </c>
      <c r="BO1726">
        <v>0</v>
      </c>
      <c r="BP1726">
        <v>0</v>
      </c>
      <c r="BW1726" t="str">
        <f t="shared" si="948"/>
        <v>14:53:20.203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285</v>
      </c>
      <c r="CR1726">
        <v>0</v>
      </c>
      <c r="CW1726">
        <v>8856980</v>
      </c>
      <c r="CY1726">
        <v>0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25">
      <c r="A1727" t="str">
        <f t="shared" si="945"/>
        <v>06/05/2020 14:53:14.545</v>
      </c>
      <c r="C1727" t="str">
        <f t="shared" si="934"/>
        <v>FFDFD3C0</v>
      </c>
      <c r="D1727" t="s">
        <v>151</v>
      </c>
      <c r="E1727">
        <v>9</v>
      </c>
      <c r="H1727">
        <v>226</v>
      </c>
      <c r="I1727" t="s">
        <v>152</v>
      </c>
      <c r="J1727" t="s">
        <v>150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946"/>
        <v>14:53:20.195</v>
      </c>
      <c r="T1727" t="str">
        <f t="shared" si="947"/>
        <v>14:53:19.795</v>
      </c>
      <c r="U1727" t="str">
        <f t="shared" si="912"/>
        <v>ACC530</v>
      </c>
      <c r="V1727">
        <v>0</v>
      </c>
      <c r="W1727">
        <v>0</v>
      </c>
      <c r="X1727">
        <v>1</v>
      </c>
      <c r="Z1727">
        <v>0</v>
      </c>
      <c r="AA1727">
        <v>9</v>
      </c>
      <c r="AB1727">
        <v>3</v>
      </c>
      <c r="AC1727">
        <v>0</v>
      </c>
      <c r="AD1727">
        <v>9</v>
      </c>
      <c r="AE1727">
        <v>0</v>
      </c>
      <c r="AF1727">
        <v>3</v>
      </c>
      <c r="AG1727">
        <v>1</v>
      </c>
      <c r="AH1727">
        <v>0</v>
      </c>
      <c r="AI1727" t="s">
        <v>662</v>
      </c>
      <c r="AJ1727">
        <v>34.187221999999998</v>
      </c>
      <c r="AK1727" t="s">
        <v>663</v>
      </c>
      <c r="AL1727">
        <v>-117.000382</v>
      </c>
      <c r="AM1727">
        <v>100</v>
      </c>
      <c r="AN1727">
        <v>8400</v>
      </c>
      <c r="AO1727" t="s">
        <v>118</v>
      </c>
      <c r="AP1727">
        <v>-102</v>
      </c>
      <c r="AQ1727">
        <v>-66</v>
      </c>
      <c r="AR1727">
        <v>-768</v>
      </c>
      <c r="AZ1727">
        <v>1200</v>
      </c>
      <c r="BA1727">
        <v>1</v>
      </c>
      <c r="BB1727" t="str">
        <f t="shared" si="916"/>
        <v xml:space="preserve">N9217B  </v>
      </c>
      <c r="BC1727">
        <v>1</v>
      </c>
      <c r="BE1727">
        <v>0</v>
      </c>
      <c r="BF1727">
        <v>0</v>
      </c>
      <c r="BG1727">
        <v>0</v>
      </c>
      <c r="BH1727">
        <v>8375</v>
      </c>
      <c r="BI1727">
        <v>1</v>
      </c>
      <c r="BJ1727">
        <v>0</v>
      </c>
      <c r="BK1727">
        <v>0</v>
      </c>
      <c r="BL1727">
        <v>0</v>
      </c>
      <c r="BO1727">
        <v>0</v>
      </c>
      <c r="BP1727">
        <v>0</v>
      </c>
      <c r="BW1727" t="str">
        <f t="shared" si="948"/>
        <v>14:53:20.203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285</v>
      </c>
      <c r="CR1727">
        <v>0</v>
      </c>
      <c r="CW1727">
        <v>8856980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25">
      <c r="A1728" t="str">
        <f t="shared" si="945"/>
        <v>06/05/2020 14:53:14.545</v>
      </c>
      <c r="C1728" t="str">
        <f t="shared" si="934"/>
        <v>FFDFD3C0</v>
      </c>
      <c r="D1728" t="s">
        <v>134</v>
      </c>
      <c r="E1728">
        <v>7</v>
      </c>
      <c r="F1728">
        <v>2007</v>
      </c>
      <c r="G1728" t="s">
        <v>135</v>
      </c>
      <c r="J1728" t="s">
        <v>136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946"/>
        <v>14:53:20.195</v>
      </c>
      <c r="T1728" t="str">
        <f t="shared" si="947"/>
        <v>14:53:19.795</v>
      </c>
      <c r="U1728" t="str">
        <f t="shared" si="912"/>
        <v>ACC530</v>
      </c>
      <c r="V1728">
        <v>0</v>
      </c>
      <c r="W1728">
        <v>0</v>
      </c>
      <c r="X1728">
        <v>1</v>
      </c>
      <c r="Z1728">
        <v>0</v>
      </c>
      <c r="AA1728">
        <v>9</v>
      </c>
      <c r="AB1728">
        <v>3</v>
      </c>
      <c r="AC1728">
        <v>0</v>
      </c>
      <c r="AD1728">
        <v>9</v>
      </c>
      <c r="AE1728">
        <v>0</v>
      </c>
      <c r="AF1728">
        <v>3</v>
      </c>
      <c r="AG1728">
        <v>1</v>
      </c>
      <c r="AH1728">
        <v>0</v>
      </c>
      <c r="AI1728" t="s">
        <v>662</v>
      </c>
      <c r="AJ1728">
        <v>34.187221999999998</v>
      </c>
      <c r="AK1728" t="s">
        <v>663</v>
      </c>
      <c r="AL1728">
        <v>-117.000382</v>
      </c>
      <c r="AM1728">
        <v>100</v>
      </c>
      <c r="AN1728">
        <v>8400</v>
      </c>
      <c r="AO1728" t="s">
        <v>118</v>
      </c>
      <c r="AP1728">
        <v>-102</v>
      </c>
      <c r="AQ1728">
        <v>-66</v>
      </c>
      <c r="AR1728">
        <v>-768</v>
      </c>
      <c r="AZ1728">
        <v>1200</v>
      </c>
      <c r="BA1728">
        <v>1</v>
      </c>
      <c r="BB1728" t="str">
        <f t="shared" si="916"/>
        <v xml:space="preserve">N9217B  </v>
      </c>
      <c r="BC1728">
        <v>1</v>
      </c>
      <c r="BE1728">
        <v>0</v>
      </c>
      <c r="BF1728">
        <v>0</v>
      </c>
      <c r="BG1728">
        <v>0</v>
      </c>
      <c r="BH1728">
        <v>8375</v>
      </c>
      <c r="BI1728">
        <v>1</v>
      </c>
      <c r="BJ1728">
        <v>0</v>
      </c>
      <c r="BK1728">
        <v>0</v>
      </c>
      <c r="BL1728">
        <v>0</v>
      </c>
      <c r="BO1728">
        <v>0</v>
      </c>
      <c r="BP1728">
        <v>0</v>
      </c>
      <c r="BW1728" t="str">
        <f t="shared" si="948"/>
        <v>14:53:20.203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285</v>
      </c>
      <c r="CR1728">
        <v>0</v>
      </c>
      <c r="CW1728">
        <v>8856980</v>
      </c>
      <c r="CY1728">
        <v>0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25">
      <c r="A1729" t="str">
        <f t="shared" si="945"/>
        <v>06/05/2020 14:53:14.545</v>
      </c>
      <c r="C1729" t="str">
        <f t="shared" si="934"/>
        <v>FFDFD3C0</v>
      </c>
      <c r="D1729" t="s">
        <v>148</v>
      </c>
      <c r="E1729">
        <v>8</v>
      </c>
      <c r="H1729">
        <v>50</v>
      </c>
      <c r="I1729" t="s">
        <v>149</v>
      </c>
      <c r="J1729" t="s">
        <v>150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946"/>
        <v>14:53:20.195</v>
      </c>
      <c r="T1729" t="str">
        <f t="shared" si="947"/>
        <v>14:53:19.795</v>
      </c>
      <c r="U1729" t="str">
        <f t="shared" si="912"/>
        <v>ACC530</v>
      </c>
      <c r="V1729">
        <v>0</v>
      </c>
      <c r="W1729">
        <v>0</v>
      </c>
      <c r="X1729">
        <v>1</v>
      </c>
      <c r="Z1729">
        <v>0</v>
      </c>
      <c r="AA1729">
        <v>9</v>
      </c>
      <c r="AB1729">
        <v>3</v>
      </c>
      <c r="AC1729">
        <v>0</v>
      </c>
      <c r="AD1729">
        <v>9</v>
      </c>
      <c r="AE1729">
        <v>0</v>
      </c>
      <c r="AF1729">
        <v>3</v>
      </c>
      <c r="AG1729">
        <v>1</v>
      </c>
      <c r="AH1729">
        <v>0</v>
      </c>
      <c r="AI1729" t="s">
        <v>662</v>
      </c>
      <c r="AJ1729">
        <v>34.187221999999998</v>
      </c>
      <c r="AK1729" t="s">
        <v>663</v>
      </c>
      <c r="AL1729">
        <v>-117.000382</v>
      </c>
      <c r="AM1729">
        <v>100</v>
      </c>
      <c r="AN1729">
        <v>8400</v>
      </c>
      <c r="AO1729" t="s">
        <v>118</v>
      </c>
      <c r="AP1729">
        <v>-102</v>
      </c>
      <c r="AQ1729">
        <v>-66</v>
      </c>
      <c r="AR1729">
        <v>-768</v>
      </c>
      <c r="AZ1729">
        <v>1200</v>
      </c>
      <c r="BA1729">
        <v>1</v>
      </c>
      <c r="BB1729" t="str">
        <f t="shared" si="916"/>
        <v xml:space="preserve">N9217B  </v>
      </c>
      <c r="BC1729">
        <v>1</v>
      </c>
      <c r="BE1729">
        <v>0</v>
      </c>
      <c r="BF1729">
        <v>0</v>
      </c>
      <c r="BG1729">
        <v>0</v>
      </c>
      <c r="BH1729">
        <v>8375</v>
      </c>
      <c r="BI1729">
        <v>1</v>
      </c>
      <c r="BJ1729">
        <v>0</v>
      </c>
      <c r="BK1729">
        <v>0</v>
      </c>
      <c r="BL1729">
        <v>0</v>
      </c>
      <c r="BO1729">
        <v>0</v>
      </c>
      <c r="BP1729">
        <v>0</v>
      </c>
      <c r="BW1729" t="str">
        <f t="shared" si="948"/>
        <v>14:53:20.203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6</v>
      </c>
      <c r="CP1729" t="s">
        <v>119</v>
      </c>
      <c r="CQ1729">
        <v>285</v>
      </c>
      <c r="CR1729">
        <v>0</v>
      </c>
      <c r="CW1729">
        <v>8856980</v>
      </c>
      <c r="CY1729">
        <v>0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25">
      <c r="A1730" t="str">
        <f t="shared" si="945"/>
        <v>06/05/2020 14:53:14.545</v>
      </c>
      <c r="C1730" t="str">
        <f t="shared" si="934"/>
        <v>FFDFD3C0</v>
      </c>
      <c r="D1730" t="s">
        <v>141</v>
      </c>
      <c r="E1730">
        <v>20</v>
      </c>
      <c r="F1730">
        <v>1020</v>
      </c>
      <c r="G1730" t="s">
        <v>114</v>
      </c>
      <c r="J1730" t="s">
        <v>142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946"/>
        <v>14:53:20.195</v>
      </c>
      <c r="T1730" t="str">
        <f t="shared" si="947"/>
        <v>14:53:19.795</v>
      </c>
      <c r="U1730" t="str">
        <f t="shared" ref="U1730:U1793" si="949">"ACC530"</f>
        <v>ACC530</v>
      </c>
      <c r="V1730">
        <v>0</v>
      </c>
      <c r="W1730">
        <v>0</v>
      </c>
      <c r="X1730">
        <v>1</v>
      </c>
      <c r="Z1730">
        <v>0</v>
      </c>
      <c r="AA1730">
        <v>9</v>
      </c>
      <c r="AB1730">
        <v>3</v>
      </c>
      <c r="AC1730">
        <v>0</v>
      </c>
      <c r="AD1730">
        <v>9</v>
      </c>
      <c r="AE1730">
        <v>0</v>
      </c>
      <c r="AF1730">
        <v>3</v>
      </c>
      <c r="AG1730">
        <v>1</v>
      </c>
      <c r="AH1730">
        <v>0</v>
      </c>
      <c r="AI1730" t="s">
        <v>662</v>
      </c>
      <c r="AJ1730">
        <v>34.187221999999998</v>
      </c>
      <c r="AK1730" t="s">
        <v>663</v>
      </c>
      <c r="AL1730">
        <v>-117.000382</v>
      </c>
      <c r="AM1730">
        <v>100</v>
      </c>
      <c r="AN1730">
        <v>8400</v>
      </c>
      <c r="AO1730" t="s">
        <v>118</v>
      </c>
      <c r="AP1730">
        <v>-102</v>
      </c>
      <c r="AQ1730">
        <v>-66</v>
      </c>
      <c r="AR1730">
        <v>-768</v>
      </c>
      <c r="AZ1730">
        <v>1200</v>
      </c>
      <c r="BA1730">
        <v>1</v>
      </c>
      <c r="BB1730" t="str">
        <f t="shared" si="916"/>
        <v xml:space="preserve">N9217B  </v>
      </c>
      <c r="BC1730">
        <v>1</v>
      </c>
      <c r="BE1730">
        <v>0</v>
      </c>
      <c r="BF1730">
        <v>0</v>
      </c>
      <c r="BG1730">
        <v>0</v>
      </c>
      <c r="BH1730">
        <v>8375</v>
      </c>
      <c r="BI1730">
        <v>1</v>
      </c>
      <c r="BJ1730">
        <v>0</v>
      </c>
      <c r="BK1730">
        <v>0</v>
      </c>
      <c r="BL1730">
        <v>0</v>
      </c>
      <c r="BO1730">
        <v>0</v>
      </c>
      <c r="BP1730">
        <v>0</v>
      </c>
      <c r="BW1730" t="str">
        <f t="shared" si="948"/>
        <v>14:53:20.203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6</v>
      </c>
      <c r="CP1730" t="s">
        <v>119</v>
      </c>
      <c r="CQ1730">
        <v>285</v>
      </c>
      <c r="CR1730">
        <v>0</v>
      </c>
      <c r="CW1730">
        <v>8856980</v>
      </c>
      <c r="CY1730">
        <v>0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25">
      <c r="A1731" t="str">
        <f t="shared" si="945"/>
        <v>06/05/2020 14:53:14.545</v>
      </c>
      <c r="C1731" t="str">
        <f t="shared" si="934"/>
        <v>FFDFD3C0</v>
      </c>
      <c r="D1731" t="s">
        <v>113</v>
      </c>
      <c r="E1731">
        <v>3</v>
      </c>
      <c r="H1731">
        <v>166</v>
      </c>
      <c r="I1731" t="s">
        <v>114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946"/>
        <v>14:53:20.195</v>
      </c>
      <c r="T1731" t="str">
        <f t="shared" si="947"/>
        <v>14:53:19.795</v>
      </c>
      <c r="U1731" t="str">
        <f t="shared" si="949"/>
        <v>ACC530</v>
      </c>
      <c r="V1731">
        <v>0</v>
      </c>
      <c r="W1731">
        <v>0</v>
      </c>
      <c r="X1731">
        <v>1</v>
      </c>
      <c r="Z1731">
        <v>0</v>
      </c>
      <c r="AA1731">
        <v>9</v>
      </c>
      <c r="AB1731">
        <v>3</v>
      </c>
      <c r="AC1731">
        <v>0</v>
      </c>
      <c r="AD1731">
        <v>9</v>
      </c>
      <c r="AE1731">
        <v>0</v>
      </c>
      <c r="AF1731">
        <v>3</v>
      </c>
      <c r="AG1731">
        <v>1</v>
      </c>
      <c r="AH1731">
        <v>0</v>
      </c>
      <c r="AI1731" t="s">
        <v>662</v>
      </c>
      <c r="AJ1731">
        <v>34.187221999999998</v>
      </c>
      <c r="AK1731" t="s">
        <v>663</v>
      </c>
      <c r="AL1731">
        <v>-117.000382</v>
      </c>
      <c r="AM1731">
        <v>100</v>
      </c>
      <c r="AN1731">
        <v>8400</v>
      </c>
      <c r="AO1731" t="s">
        <v>118</v>
      </c>
      <c r="AP1731">
        <v>-102</v>
      </c>
      <c r="AQ1731">
        <v>-66</v>
      </c>
      <c r="AR1731">
        <v>-768</v>
      </c>
      <c r="AZ1731">
        <v>1200</v>
      </c>
      <c r="BA1731">
        <v>1</v>
      </c>
      <c r="BB1731" t="str">
        <f t="shared" si="916"/>
        <v xml:space="preserve">N9217B  </v>
      </c>
      <c r="BC1731">
        <v>1</v>
      </c>
      <c r="BE1731">
        <v>0</v>
      </c>
      <c r="BF1731">
        <v>0</v>
      </c>
      <c r="BG1731">
        <v>0</v>
      </c>
      <c r="BH1731">
        <v>8375</v>
      </c>
      <c r="BI1731">
        <v>1</v>
      </c>
      <c r="BJ1731">
        <v>0</v>
      </c>
      <c r="BK1731">
        <v>0</v>
      </c>
      <c r="BL1731">
        <v>0</v>
      </c>
      <c r="BO1731">
        <v>0</v>
      </c>
      <c r="BP1731">
        <v>0</v>
      </c>
      <c r="BW1731" t="str">
        <f t="shared" si="948"/>
        <v>14:53:20.203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285</v>
      </c>
      <c r="CR1731">
        <v>0</v>
      </c>
      <c r="CW1731">
        <v>8856980</v>
      </c>
      <c r="CY1731">
        <v>0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25">
      <c r="A1732" t="str">
        <f t="shared" ref="A1732:A1738" si="950">"06/05/2020 14:53:15.556"</f>
        <v>06/05/2020 14:53:15.556</v>
      </c>
      <c r="C1732" t="str">
        <f t="shared" si="934"/>
        <v>FFDFD3C0</v>
      </c>
      <c r="D1732" t="s">
        <v>148</v>
      </c>
      <c r="E1732">
        <v>11</v>
      </c>
      <c r="H1732">
        <v>53</v>
      </c>
      <c r="I1732" t="s">
        <v>364</v>
      </c>
      <c r="J1732" t="s">
        <v>150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ref="S1732:S1738" si="951">"14:53:21.172"</f>
        <v>14:53:21.172</v>
      </c>
      <c r="T1732" t="str">
        <f t="shared" ref="T1732:T1738" si="952">"14:53:20.872"</f>
        <v>14:53:20.872</v>
      </c>
      <c r="U1732" t="str">
        <f t="shared" si="949"/>
        <v>ACC530</v>
      </c>
      <c r="V1732">
        <v>0</v>
      </c>
      <c r="W1732">
        <v>0</v>
      </c>
      <c r="X1732">
        <v>1</v>
      </c>
      <c r="Z1732">
        <v>0</v>
      </c>
      <c r="AA1732">
        <v>9</v>
      </c>
      <c r="AB1732">
        <v>3</v>
      </c>
      <c r="AC1732">
        <v>0</v>
      </c>
      <c r="AD1732">
        <v>9</v>
      </c>
      <c r="AE1732">
        <v>0</v>
      </c>
      <c r="AF1732">
        <v>3</v>
      </c>
      <c r="AG1732">
        <v>1</v>
      </c>
      <c r="AH1732">
        <v>0</v>
      </c>
      <c r="AI1732" t="s">
        <v>664</v>
      </c>
      <c r="AJ1732">
        <v>34.186942999999999</v>
      </c>
      <c r="AK1732" t="s">
        <v>665</v>
      </c>
      <c r="AL1732">
        <v>-117.000918</v>
      </c>
      <c r="AM1732">
        <v>100</v>
      </c>
      <c r="AN1732">
        <v>8400</v>
      </c>
      <c r="AO1732" t="s">
        <v>118</v>
      </c>
      <c r="AP1732">
        <v>-101</v>
      </c>
      <c r="AQ1732">
        <v>-67</v>
      </c>
      <c r="AR1732">
        <v>-832</v>
      </c>
      <c r="AZ1732">
        <v>1200</v>
      </c>
      <c r="BA1732">
        <v>1</v>
      </c>
      <c r="BB1732" t="str">
        <f t="shared" si="916"/>
        <v xml:space="preserve">N9217B  </v>
      </c>
      <c r="BC1732">
        <v>1</v>
      </c>
      <c r="BE1732">
        <v>0</v>
      </c>
      <c r="BF1732">
        <v>0</v>
      </c>
      <c r="BG1732">
        <v>0</v>
      </c>
      <c r="BH1732">
        <v>8350</v>
      </c>
      <c r="BI1732">
        <v>1</v>
      </c>
      <c r="BJ1732">
        <v>0</v>
      </c>
      <c r="BK1732">
        <v>0</v>
      </c>
      <c r="BL1732">
        <v>0</v>
      </c>
      <c r="BO1732">
        <v>0</v>
      </c>
      <c r="BP1732">
        <v>0</v>
      </c>
      <c r="BW1732" t="str">
        <f t="shared" ref="BW1732:BW1738" si="953">"14:53:21.177"</f>
        <v>14:53:21.177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6</v>
      </c>
      <c r="CP1732" t="s">
        <v>119</v>
      </c>
      <c r="CQ1732">
        <v>285</v>
      </c>
      <c r="CR1732">
        <v>0</v>
      </c>
      <c r="CW1732">
        <v>8857068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25">
      <c r="A1733" t="str">
        <f t="shared" si="950"/>
        <v>06/05/2020 14:53:15.556</v>
      </c>
      <c r="C1733" t="str">
        <f t="shared" si="934"/>
        <v>FFDFD3C0</v>
      </c>
      <c r="D1733" t="s">
        <v>134</v>
      </c>
      <c r="E1733">
        <v>7</v>
      </c>
      <c r="F1733">
        <v>2007</v>
      </c>
      <c r="G1733" t="s">
        <v>135</v>
      </c>
      <c r="J1733" t="s">
        <v>136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951"/>
        <v>14:53:21.172</v>
      </c>
      <c r="T1733" t="str">
        <f t="shared" si="952"/>
        <v>14:53:20.872</v>
      </c>
      <c r="U1733" t="str">
        <f t="shared" si="949"/>
        <v>ACC530</v>
      </c>
      <c r="V1733">
        <v>0</v>
      </c>
      <c r="W1733">
        <v>0</v>
      </c>
      <c r="X1733">
        <v>1</v>
      </c>
      <c r="Z1733">
        <v>0</v>
      </c>
      <c r="AA1733">
        <v>9</v>
      </c>
      <c r="AB1733">
        <v>3</v>
      </c>
      <c r="AC1733">
        <v>0</v>
      </c>
      <c r="AD1733">
        <v>9</v>
      </c>
      <c r="AE1733">
        <v>0</v>
      </c>
      <c r="AF1733">
        <v>3</v>
      </c>
      <c r="AG1733">
        <v>1</v>
      </c>
      <c r="AH1733">
        <v>0</v>
      </c>
      <c r="AI1733" t="s">
        <v>664</v>
      </c>
      <c r="AJ1733">
        <v>34.186942999999999</v>
      </c>
      <c r="AK1733" t="s">
        <v>665</v>
      </c>
      <c r="AL1733">
        <v>-117.000918</v>
      </c>
      <c r="AM1733">
        <v>100</v>
      </c>
      <c r="AN1733">
        <v>8400</v>
      </c>
      <c r="AO1733" t="s">
        <v>118</v>
      </c>
      <c r="AP1733">
        <v>-101</v>
      </c>
      <c r="AQ1733">
        <v>-67</v>
      </c>
      <c r="AR1733">
        <v>-832</v>
      </c>
      <c r="AZ1733">
        <v>1200</v>
      </c>
      <c r="BA1733">
        <v>1</v>
      </c>
      <c r="BB1733" t="str">
        <f t="shared" ref="BB1733:BB1796" si="954">"N9217B  "</f>
        <v xml:space="preserve">N9217B  </v>
      </c>
      <c r="BC1733">
        <v>1</v>
      </c>
      <c r="BE1733">
        <v>0</v>
      </c>
      <c r="BF1733">
        <v>0</v>
      </c>
      <c r="BG1733">
        <v>0</v>
      </c>
      <c r="BH1733">
        <v>8350</v>
      </c>
      <c r="BI1733">
        <v>1</v>
      </c>
      <c r="BJ1733">
        <v>0</v>
      </c>
      <c r="BK1733">
        <v>0</v>
      </c>
      <c r="BL1733">
        <v>0</v>
      </c>
      <c r="BO1733">
        <v>0</v>
      </c>
      <c r="BP1733">
        <v>0</v>
      </c>
      <c r="BW1733" t="str">
        <f t="shared" si="953"/>
        <v>14:53:21.177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285</v>
      </c>
      <c r="CR1733">
        <v>0</v>
      </c>
      <c r="CW1733">
        <v>8857068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25">
      <c r="A1734" t="str">
        <f t="shared" si="950"/>
        <v>06/05/2020 14:53:15.556</v>
      </c>
      <c r="C1734" t="str">
        <f t="shared" si="934"/>
        <v>FFDFD3C0</v>
      </c>
      <c r="D1734" t="s">
        <v>151</v>
      </c>
      <c r="E1734">
        <v>8</v>
      </c>
      <c r="H1734">
        <v>225</v>
      </c>
      <c r="I1734" t="s">
        <v>353</v>
      </c>
      <c r="J1734" t="s">
        <v>150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951"/>
        <v>14:53:21.172</v>
      </c>
      <c r="T1734" t="str">
        <f t="shared" si="952"/>
        <v>14:53:20.872</v>
      </c>
      <c r="U1734" t="str">
        <f t="shared" si="949"/>
        <v>ACC530</v>
      </c>
      <c r="V1734">
        <v>0</v>
      </c>
      <c r="W1734">
        <v>0</v>
      </c>
      <c r="X1734">
        <v>1</v>
      </c>
      <c r="Z1734">
        <v>0</v>
      </c>
      <c r="AA1734">
        <v>9</v>
      </c>
      <c r="AB1734">
        <v>3</v>
      </c>
      <c r="AC1734">
        <v>0</v>
      </c>
      <c r="AD1734">
        <v>9</v>
      </c>
      <c r="AE1734">
        <v>0</v>
      </c>
      <c r="AF1734">
        <v>3</v>
      </c>
      <c r="AG1734">
        <v>1</v>
      </c>
      <c r="AH1734">
        <v>0</v>
      </c>
      <c r="AI1734" t="s">
        <v>664</v>
      </c>
      <c r="AJ1734">
        <v>34.186942999999999</v>
      </c>
      <c r="AK1734" t="s">
        <v>665</v>
      </c>
      <c r="AL1734">
        <v>-117.000918</v>
      </c>
      <c r="AM1734">
        <v>100</v>
      </c>
      <c r="AN1734">
        <v>8400</v>
      </c>
      <c r="AO1734" t="s">
        <v>118</v>
      </c>
      <c r="AP1734">
        <v>-101</v>
      </c>
      <c r="AQ1734">
        <v>-67</v>
      </c>
      <c r="AR1734">
        <v>-832</v>
      </c>
      <c r="AZ1734">
        <v>1200</v>
      </c>
      <c r="BA1734">
        <v>1</v>
      </c>
      <c r="BB1734" t="str">
        <f t="shared" si="954"/>
        <v xml:space="preserve">N9217B  </v>
      </c>
      <c r="BC1734">
        <v>1</v>
      </c>
      <c r="BE1734">
        <v>0</v>
      </c>
      <c r="BF1734">
        <v>0</v>
      </c>
      <c r="BG1734">
        <v>0</v>
      </c>
      <c r="BH1734">
        <v>8350</v>
      </c>
      <c r="BI1734">
        <v>1</v>
      </c>
      <c r="BJ1734">
        <v>0</v>
      </c>
      <c r="BK1734">
        <v>0</v>
      </c>
      <c r="BL1734">
        <v>0</v>
      </c>
      <c r="BO1734">
        <v>0</v>
      </c>
      <c r="BP1734">
        <v>0</v>
      </c>
      <c r="BW1734" t="str">
        <f t="shared" si="953"/>
        <v>14:53:21.177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6</v>
      </c>
      <c r="CP1734" t="s">
        <v>119</v>
      </c>
      <c r="CQ1734">
        <v>285</v>
      </c>
      <c r="CR1734">
        <v>0</v>
      </c>
      <c r="CW1734">
        <v>8857068</v>
      </c>
      <c r="CY1734">
        <v>0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25">
      <c r="A1735" t="str">
        <f t="shared" si="950"/>
        <v>06/05/2020 14:53:15.556</v>
      </c>
      <c r="C1735" t="str">
        <f t="shared" si="934"/>
        <v>FFDFD3C0</v>
      </c>
      <c r="D1735" t="s">
        <v>151</v>
      </c>
      <c r="E1735">
        <v>9</v>
      </c>
      <c r="H1735">
        <v>226</v>
      </c>
      <c r="I1735" t="s">
        <v>152</v>
      </c>
      <c r="J1735" t="s">
        <v>150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951"/>
        <v>14:53:21.172</v>
      </c>
      <c r="T1735" t="str">
        <f t="shared" si="952"/>
        <v>14:53:20.872</v>
      </c>
      <c r="U1735" t="str">
        <f t="shared" si="949"/>
        <v>ACC530</v>
      </c>
      <c r="V1735">
        <v>0</v>
      </c>
      <c r="W1735">
        <v>0</v>
      </c>
      <c r="X1735">
        <v>1</v>
      </c>
      <c r="Z1735">
        <v>0</v>
      </c>
      <c r="AA1735">
        <v>9</v>
      </c>
      <c r="AB1735">
        <v>3</v>
      </c>
      <c r="AC1735">
        <v>0</v>
      </c>
      <c r="AD1735">
        <v>9</v>
      </c>
      <c r="AE1735">
        <v>0</v>
      </c>
      <c r="AF1735">
        <v>3</v>
      </c>
      <c r="AG1735">
        <v>1</v>
      </c>
      <c r="AH1735">
        <v>0</v>
      </c>
      <c r="AI1735" t="s">
        <v>664</v>
      </c>
      <c r="AJ1735">
        <v>34.186942999999999</v>
      </c>
      <c r="AK1735" t="s">
        <v>665</v>
      </c>
      <c r="AL1735">
        <v>-117.000918</v>
      </c>
      <c r="AM1735">
        <v>100</v>
      </c>
      <c r="AN1735">
        <v>8400</v>
      </c>
      <c r="AO1735" t="s">
        <v>118</v>
      </c>
      <c r="AP1735">
        <v>-101</v>
      </c>
      <c r="AQ1735">
        <v>-67</v>
      </c>
      <c r="AR1735">
        <v>-832</v>
      </c>
      <c r="AZ1735">
        <v>1200</v>
      </c>
      <c r="BA1735">
        <v>1</v>
      </c>
      <c r="BB1735" t="str">
        <f t="shared" si="954"/>
        <v xml:space="preserve">N9217B  </v>
      </c>
      <c r="BC1735">
        <v>1</v>
      </c>
      <c r="BE1735">
        <v>0</v>
      </c>
      <c r="BF1735">
        <v>0</v>
      </c>
      <c r="BG1735">
        <v>0</v>
      </c>
      <c r="BH1735">
        <v>8350</v>
      </c>
      <c r="BI1735">
        <v>1</v>
      </c>
      <c r="BJ1735">
        <v>0</v>
      </c>
      <c r="BK1735">
        <v>0</v>
      </c>
      <c r="BL1735">
        <v>0</v>
      </c>
      <c r="BO1735">
        <v>0</v>
      </c>
      <c r="BP1735">
        <v>0</v>
      </c>
      <c r="BW1735" t="str">
        <f t="shared" si="953"/>
        <v>14:53:21.177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6</v>
      </c>
      <c r="CP1735" t="s">
        <v>119</v>
      </c>
      <c r="CQ1735">
        <v>285</v>
      </c>
      <c r="CR1735">
        <v>0</v>
      </c>
      <c r="CW1735">
        <v>8857068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25">
      <c r="A1736" t="str">
        <f t="shared" si="950"/>
        <v>06/05/2020 14:53:15.556</v>
      </c>
      <c r="C1736" t="str">
        <f t="shared" si="934"/>
        <v>FFDFD3C0</v>
      </c>
      <c r="D1736" t="s">
        <v>148</v>
      </c>
      <c r="E1736">
        <v>8</v>
      </c>
      <c r="H1736">
        <v>50</v>
      </c>
      <c r="I1736" t="s">
        <v>149</v>
      </c>
      <c r="J1736" t="s">
        <v>150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951"/>
        <v>14:53:21.172</v>
      </c>
      <c r="T1736" t="str">
        <f t="shared" si="952"/>
        <v>14:53:20.872</v>
      </c>
      <c r="U1736" t="str">
        <f t="shared" si="949"/>
        <v>ACC530</v>
      </c>
      <c r="V1736">
        <v>0</v>
      </c>
      <c r="W1736">
        <v>0</v>
      </c>
      <c r="X1736">
        <v>1</v>
      </c>
      <c r="Z1736">
        <v>0</v>
      </c>
      <c r="AA1736">
        <v>9</v>
      </c>
      <c r="AB1736">
        <v>3</v>
      </c>
      <c r="AC1736">
        <v>0</v>
      </c>
      <c r="AD1736">
        <v>9</v>
      </c>
      <c r="AE1736">
        <v>0</v>
      </c>
      <c r="AF1736">
        <v>3</v>
      </c>
      <c r="AG1736">
        <v>1</v>
      </c>
      <c r="AH1736">
        <v>0</v>
      </c>
      <c r="AI1736" t="s">
        <v>664</v>
      </c>
      <c r="AJ1736">
        <v>34.186942999999999</v>
      </c>
      <c r="AK1736" t="s">
        <v>665</v>
      </c>
      <c r="AL1736">
        <v>-117.000918</v>
      </c>
      <c r="AM1736">
        <v>100</v>
      </c>
      <c r="AN1736">
        <v>8400</v>
      </c>
      <c r="AO1736" t="s">
        <v>118</v>
      </c>
      <c r="AP1736">
        <v>-101</v>
      </c>
      <c r="AQ1736">
        <v>-67</v>
      </c>
      <c r="AR1736">
        <v>-832</v>
      </c>
      <c r="AZ1736">
        <v>1200</v>
      </c>
      <c r="BA1736">
        <v>1</v>
      </c>
      <c r="BB1736" t="str">
        <f t="shared" si="954"/>
        <v xml:space="preserve">N9217B  </v>
      </c>
      <c r="BC1736">
        <v>1</v>
      </c>
      <c r="BE1736">
        <v>0</v>
      </c>
      <c r="BF1736">
        <v>0</v>
      </c>
      <c r="BG1736">
        <v>0</v>
      </c>
      <c r="BH1736">
        <v>8350</v>
      </c>
      <c r="BI1736">
        <v>1</v>
      </c>
      <c r="BJ1736">
        <v>0</v>
      </c>
      <c r="BK1736">
        <v>0</v>
      </c>
      <c r="BL1736">
        <v>0</v>
      </c>
      <c r="BO1736">
        <v>0</v>
      </c>
      <c r="BP1736">
        <v>0</v>
      </c>
      <c r="BW1736" t="str">
        <f t="shared" si="953"/>
        <v>14:53:21.177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285</v>
      </c>
      <c r="CR1736">
        <v>0</v>
      </c>
      <c r="CW1736">
        <v>8857068</v>
      </c>
      <c r="CY1736">
        <v>0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25">
      <c r="A1737" t="str">
        <f t="shared" si="950"/>
        <v>06/05/2020 14:53:15.556</v>
      </c>
      <c r="C1737" t="str">
        <f t="shared" si="934"/>
        <v>FFDFD3C0</v>
      </c>
      <c r="D1737" t="s">
        <v>141</v>
      </c>
      <c r="E1737">
        <v>20</v>
      </c>
      <c r="F1737">
        <v>1020</v>
      </c>
      <c r="G1737" t="s">
        <v>114</v>
      </c>
      <c r="J1737" t="s">
        <v>142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951"/>
        <v>14:53:21.172</v>
      </c>
      <c r="T1737" t="str">
        <f t="shared" si="952"/>
        <v>14:53:20.872</v>
      </c>
      <c r="U1737" t="str">
        <f t="shared" si="949"/>
        <v>ACC530</v>
      </c>
      <c r="V1737">
        <v>0</v>
      </c>
      <c r="W1737">
        <v>0</v>
      </c>
      <c r="X1737">
        <v>1</v>
      </c>
      <c r="Z1737">
        <v>0</v>
      </c>
      <c r="AA1737">
        <v>9</v>
      </c>
      <c r="AB1737">
        <v>3</v>
      </c>
      <c r="AC1737">
        <v>0</v>
      </c>
      <c r="AD1737">
        <v>9</v>
      </c>
      <c r="AE1737">
        <v>0</v>
      </c>
      <c r="AF1737">
        <v>3</v>
      </c>
      <c r="AG1737">
        <v>1</v>
      </c>
      <c r="AH1737">
        <v>0</v>
      </c>
      <c r="AI1737" t="s">
        <v>664</v>
      </c>
      <c r="AJ1737">
        <v>34.186942999999999</v>
      </c>
      <c r="AK1737" t="s">
        <v>665</v>
      </c>
      <c r="AL1737">
        <v>-117.000918</v>
      </c>
      <c r="AM1737">
        <v>100</v>
      </c>
      <c r="AN1737">
        <v>8400</v>
      </c>
      <c r="AO1737" t="s">
        <v>118</v>
      </c>
      <c r="AP1737">
        <v>-101</v>
      </c>
      <c r="AQ1737">
        <v>-67</v>
      </c>
      <c r="AR1737">
        <v>-832</v>
      </c>
      <c r="AZ1737">
        <v>1200</v>
      </c>
      <c r="BA1737">
        <v>1</v>
      </c>
      <c r="BB1737" t="str">
        <f t="shared" si="954"/>
        <v xml:space="preserve">N9217B  </v>
      </c>
      <c r="BC1737">
        <v>1</v>
      </c>
      <c r="BE1737">
        <v>0</v>
      </c>
      <c r="BF1737">
        <v>0</v>
      </c>
      <c r="BG1737">
        <v>0</v>
      </c>
      <c r="BH1737">
        <v>8350</v>
      </c>
      <c r="BI1737">
        <v>1</v>
      </c>
      <c r="BJ1737">
        <v>0</v>
      </c>
      <c r="BK1737">
        <v>0</v>
      </c>
      <c r="BL1737">
        <v>0</v>
      </c>
      <c r="BO1737">
        <v>0</v>
      </c>
      <c r="BP1737">
        <v>0</v>
      </c>
      <c r="BW1737" t="str">
        <f t="shared" si="953"/>
        <v>14:53:21.177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285</v>
      </c>
      <c r="CR1737">
        <v>0</v>
      </c>
      <c r="CW1737">
        <v>8857068</v>
      </c>
      <c r="CY1737">
        <v>0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25">
      <c r="A1738" t="str">
        <f t="shared" si="950"/>
        <v>06/05/2020 14:53:15.556</v>
      </c>
      <c r="C1738" t="str">
        <f t="shared" si="934"/>
        <v>FFDFD3C0</v>
      </c>
      <c r="D1738" t="s">
        <v>113</v>
      </c>
      <c r="E1738">
        <v>3</v>
      </c>
      <c r="H1738">
        <v>166</v>
      </c>
      <c r="I1738" t="s">
        <v>114</v>
      </c>
      <c r="J1738" t="s">
        <v>115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951"/>
        <v>14:53:21.172</v>
      </c>
      <c r="T1738" t="str">
        <f t="shared" si="952"/>
        <v>14:53:20.872</v>
      </c>
      <c r="U1738" t="str">
        <f t="shared" si="949"/>
        <v>ACC530</v>
      </c>
      <c r="V1738">
        <v>0</v>
      </c>
      <c r="W1738">
        <v>0</v>
      </c>
      <c r="X1738">
        <v>1</v>
      </c>
      <c r="Z1738">
        <v>0</v>
      </c>
      <c r="AA1738">
        <v>9</v>
      </c>
      <c r="AB1738">
        <v>3</v>
      </c>
      <c r="AC1738">
        <v>0</v>
      </c>
      <c r="AD1738">
        <v>9</v>
      </c>
      <c r="AE1738">
        <v>0</v>
      </c>
      <c r="AF1738">
        <v>3</v>
      </c>
      <c r="AG1738">
        <v>1</v>
      </c>
      <c r="AH1738">
        <v>0</v>
      </c>
      <c r="AI1738" t="s">
        <v>664</v>
      </c>
      <c r="AJ1738">
        <v>34.186942999999999</v>
      </c>
      <c r="AK1738" t="s">
        <v>665</v>
      </c>
      <c r="AL1738">
        <v>-117.000918</v>
      </c>
      <c r="AM1738">
        <v>100</v>
      </c>
      <c r="AN1738">
        <v>8400</v>
      </c>
      <c r="AO1738" t="s">
        <v>118</v>
      </c>
      <c r="AP1738">
        <v>-101</v>
      </c>
      <c r="AQ1738">
        <v>-67</v>
      </c>
      <c r="AR1738">
        <v>-832</v>
      </c>
      <c r="AZ1738">
        <v>1200</v>
      </c>
      <c r="BA1738">
        <v>1</v>
      </c>
      <c r="BB1738" t="str">
        <f t="shared" si="954"/>
        <v xml:space="preserve">N9217B  </v>
      </c>
      <c r="BC1738">
        <v>1</v>
      </c>
      <c r="BE1738">
        <v>0</v>
      </c>
      <c r="BF1738">
        <v>0</v>
      </c>
      <c r="BG1738">
        <v>0</v>
      </c>
      <c r="BH1738">
        <v>8350</v>
      </c>
      <c r="BI1738">
        <v>1</v>
      </c>
      <c r="BJ1738">
        <v>0</v>
      </c>
      <c r="BK1738">
        <v>0</v>
      </c>
      <c r="BL1738">
        <v>0</v>
      </c>
      <c r="BO1738">
        <v>0</v>
      </c>
      <c r="BP1738">
        <v>0</v>
      </c>
      <c r="BW1738" t="str">
        <f t="shared" si="953"/>
        <v>14:53:21.177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285</v>
      </c>
      <c r="CR1738">
        <v>0</v>
      </c>
      <c r="CW1738">
        <v>8857068</v>
      </c>
      <c r="CY1738">
        <v>0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25">
      <c r="A1739" t="str">
        <f t="shared" ref="A1739:A1745" si="955">"06/05/2020 14:53:16.494"</f>
        <v>06/05/2020 14:53:16.494</v>
      </c>
      <c r="C1739" t="str">
        <f t="shared" si="934"/>
        <v>FFDFD3C0</v>
      </c>
      <c r="D1739" t="s">
        <v>113</v>
      </c>
      <c r="E1739">
        <v>3</v>
      </c>
      <c r="H1739">
        <v>166</v>
      </c>
      <c r="I1739" t="s">
        <v>114</v>
      </c>
      <c r="J1739" t="s">
        <v>115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ref="S1739:S1745" si="956">"14:53:22.148"</f>
        <v>14:53:22.148</v>
      </c>
      <c r="T1739" t="str">
        <f t="shared" ref="T1739:T1745" si="957">"14:53:21.848"</f>
        <v>14:53:21.848</v>
      </c>
      <c r="U1739" t="str">
        <f t="shared" si="949"/>
        <v>ACC530</v>
      </c>
      <c r="V1739">
        <v>0</v>
      </c>
      <c r="W1739">
        <v>0</v>
      </c>
      <c r="X1739">
        <v>1</v>
      </c>
      <c r="Z1739">
        <v>0</v>
      </c>
      <c r="AA1739">
        <v>9</v>
      </c>
      <c r="AB1739">
        <v>3</v>
      </c>
      <c r="AC1739">
        <v>0</v>
      </c>
      <c r="AD1739">
        <v>9</v>
      </c>
      <c r="AE1739">
        <v>0</v>
      </c>
      <c r="AF1739">
        <v>3</v>
      </c>
      <c r="AG1739">
        <v>1</v>
      </c>
      <c r="AH1739">
        <v>0</v>
      </c>
      <c r="AI1739" t="s">
        <v>666</v>
      </c>
      <c r="AJ1739">
        <v>34.186664</v>
      </c>
      <c r="AK1739" t="s">
        <v>667</v>
      </c>
      <c r="AL1739">
        <v>-117.001476</v>
      </c>
      <c r="AM1739">
        <v>100</v>
      </c>
      <c r="AN1739">
        <v>8400</v>
      </c>
      <c r="AO1739" t="s">
        <v>118</v>
      </c>
      <c r="AP1739">
        <v>-101</v>
      </c>
      <c r="AQ1739">
        <v>-67</v>
      </c>
      <c r="AR1739">
        <v>-832</v>
      </c>
      <c r="AZ1739">
        <v>1200</v>
      </c>
      <c r="BA1739">
        <v>1</v>
      </c>
      <c r="BB1739" t="str">
        <f t="shared" si="954"/>
        <v xml:space="preserve">N9217B  </v>
      </c>
      <c r="BC1739">
        <v>1</v>
      </c>
      <c r="BE1739">
        <v>0</v>
      </c>
      <c r="BF1739">
        <v>0</v>
      </c>
      <c r="BG1739">
        <v>0</v>
      </c>
      <c r="BH1739">
        <v>8450</v>
      </c>
      <c r="BI1739">
        <v>1</v>
      </c>
      <c r="BJ1739">
        <v>0</v>
      </c>
      <c r="BK1739">
        <v>0</v>
      </c>
      <c r="BL1739">
        <v>0</v>
      </c>
      <c r="BO1739">
        <v>0</v>
      </c>
      <c r="BP1739">
        <v>0</v>
      </c>
      <c r="BW1739" t="str">
        <f t="shared" ref="BW1739:BW1745" si="958">"14:53:22.152"</f>
        <v>14:53:22.152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6</v>
      </c>
      <c r="CP1739" t="s">
        <v>119</v>
      </c>
      <c r="CQ1739">
        <v>285</v>
      </c>
      <c r="CR1739">
        <v>0</v>
      </c>
      <c r="CW1739">
        <v>8857152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25">
      <c r="A1740" t="str">
        <f t="shared" si="955"/>
        <v>06/05/2020 14:53:16.494</v>
      </c>
      <c r="C1740" t="str">
        <f t="shared" si="934"/>
        <v>FFDFD3C0</v>
      </c>
      <c r="D1740" t="s">
        <v>134</v>
      </c>
      <c r="E1740">
        <v>7</v>
      </c>
      <c r="F1740">
        <v>2007</v>
      </c>
      <c r="G1740" t="s">
        <v>135</v>
      </c>
      <c r="J1740" t="s">
        <v>136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956"/>
        <v>14:53:22.148</v>
      </c>
      <c r="T1740" t="str">
        <f t="shared" si="957"/>
        <v>14:53:21.848</v>
      </c>
      <c r="U1740" t="str">
        <f t="shared" si="949"/>
        <v>ACC530</v>
      </c>
      <c r="V1740">
        <v>0</v>
      </c>
      <c r="W1740">
        <v>0</v>
      </c>
      <c r="X1740">
        <v>1</v>
      </c>
      <c r="Z1740">
        <v>0</v>
      </c>
      <c r="AA1740">
        <v>9</v>
      </c>
      <c r="AB1740">
        <v>3</v>
      </c>
      <c r="AC1740">
        <v>0</v>
      </c>
      <c r="AD1740">
        <v>9</v>
      </c>
      <c r="AE1740">
        <v>0</v>
      </c>
      <c r="AF1740">
        <v>3</v>
      </c>
      <c r="AG1740">
        <v>1</v>
      </c>
      <c r="AH1740">
        <v>0</v>
      </c>
      <c r="AI1740" t="s">
        <v>666</v>
      </c>
      <c r="AJ1740">
        <v>34.186664</v>
      </c>
      <c r="AK1740" t="s">
        <v>667</v>
      </c>
      <c r="AL1740">
        <v>-117.001476</v>
      </c>
      <c r="AM1740">
        <v>100</v>
      </c>
      <c r="AN1740">
        <v>8400</v>
      </c>
      <c r="AO1740" t="s">
        <v>118</v>
      </c>
      <c r="AP1740">
        <v>-101</v>
      </c>
      <c r="AQ1740">
        <v>-67</v>
      </c>
      <c r="AR1740">
        <v>-832</v>
      </c>
      <c r="AZ1740">
        <v>1200</v>
      </c>
      <c r="BA1740">
        <v>1</v>
      </c>
      <c r="BB1740" t="str">
        <f t="shared" si="954"/>
        <v xml:space="preserve">N9217B  </v>
      </c>
      <c r="BC1740">
        <v>1</v>
      </c>
      <c r="BE1740">
        <v>0</v>
      </c>
      <c r="BF1740">
        <v>0</v>
      </c>
      <c r="BG1740">
        <v>0</v>
      </c>
      <c r="BH1740">
        <v>8450</v>
      </c>
      <c r="BI1740">
        <v>1</v>
      </c>
      <c r="BJ1740">
        <v>0</v>
      </c>
      <c r="BK1740">
        <v>0</v>
      </c>
      <c r="BL1740">
        <v>0</v>
      </c>
      <c r="BO1740">
        <v>0</v>
      </c>
      <c r="BP1740">
        <v>0</v>
      </c>
      <c r="BW1740" t="str">
        <f t="shared" si="958"/>
        <v>14:53:22.152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285</v>
      </c>
      <c r="CR1740">
        <v>0</v>
      </c>
      <c r="CW1740">
        <v>8857152</v>
      </c>
      <c r="CY1740">
        <v>0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25">
      <c r="A1741" t="str">
        <f t="shared" si="955"/>
        <v>06/05/2020 14:53:16.494</v>
      </c>
      <c r="C1741" t="str">
        <f t="shared" si="934"/>
        <v>FFDFD3C0</v>
      </c>
      <c r="D1741" t="s">
        <v>148</v>
      </c>
      <c r="E1741">
        <v>11</v>
      </c>
      <c r="H1741">
        <v>53</v>
      </c>
      <c r="I1741" t="s">
        <v>364</v>
      </c>
      <c r="J1741" t="s">
        <v>150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956"/>
        <v>14:53:22.148</v>
      </c>
      <c r="T1741" t="str">
        <f t="shared" si="957"/>
        <v>14:53:21.848</v>
      </c>
      <c r="U1741" t="str">
        <f t="shared" si="949"/>
        <v>ACC530</v>
      </c>
      <c r="V1741">
        <v>0</v>
      </c>
      <c r="W1741">
        <v>0</v>
      </c>
      <c r="X1741">
        <v>1</v>
      </c>
      <c r="Z1741">
        <v>0</v>
      </c>
      <c r="AA1741">
        <v>9</v>
      </c>
      <c r="AB1741">
        <v>3</v>
      </c>
      <c r="AC1741">
        <v>0</v>
      </c>
      <c r="AD1741">
        <v>9</v>
      </c>
      <c r="AE1741">
        <v>0</v>
      </c>
      <c r="AF1741">
        <v>3</v>
      </c>
      <c r="AG1741">
        <v>1</v>
      </c>
      <c r="AH1741">
        <v>0</v>
      </c>
      <c r="AI1741" t="s">
        <v>666</v>
      </c>
      <c r="AJ1741">
        <v>34.186664</v>
      </c>
      <c r="AK1741" t="s">
        <v>667</v>
      </c>
      <c r="AL1741">
        <v>-117.001476</v>
      </c>
      <c r="AM1741">
        <v>100</v>
      </c>
      <c r="AN1741">
        <v>8400</v>
      </c>
      <c r="AO1741" t="s">
        <v>118</v>
      </c>
      <c r="AP1741">
        <v>-101</v>
      </c>
      <c r="AQ1741">
        <v>-67</v>
      </c>
      <c r="AR1741">
        <v>-832</v>
      </c>
      <c r="AZ1741">
        <v>1200</v>
      </c>
      <c r="BA1741">
        <v>1</v>
      </c>
      <c r="BB1741" t="str">
        <f t="shared" si="954"/>
        <v xml:space="preserve">N9217B  </v>
      </c>
      <c r="BC1741">
        <v>1</v>
      </c>
      <c r="BE1741">
        <v>0</v>
      </c>
      <c r="BF1741">
        <v>0</v>
      </c>
      <c r="BG1741">
        <v>0</v>
      </c>
      <c r="BH1741">
        <v>8450</v>
      </c>
      <c r="BI1741">
        <v>1</v>
      </c>
      <c r="BJ1741">
        <v>0</v>
      </c>
      <c r="BK1741">
        <v>0</v>
      </c>
      <c r="BL1741">
        <v>0</v>
      </c>
      <c r="BO1741">
        <v>0</v>
      </c>
      <c r="BP1741">
        <v>0</v>
      </c>
      <c r="BW1741" t="str">
        <f t="shared" si="958"/>
        <v>14:53:22.152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6</v>
      </c>
      <c r="CP1741" t="s">
        <v>119</v>
      </c>
      <c r="CQ1741">
        <v>285</v>
      </c>
      <c r="CR1741">
        <v>0</v>
      </c>
      <c r="CW1741">
        <v>8857152</v>
      </c>
      <c r="CY1741">
        <v>0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25">
      <c r="A1742" t="str">
        <f t="shared" si="955"/>
        <v>06/05/2020 14:53:16.494</v>
      </c>
      <c r="C1742" t="str">
        <f t="shared" si="934"/>
        <v>FFDFD3C0</v>
      </c>
      <c r="D1742" t="s">
        <v>151</v>
      </c>
      <c r="E1742">
        <v>8</v>
      </c>
      <c r="H1742">
        <v>225</v>
      </c>
      <c r="I1742" t="s">
        <v>353</v>
      </c>
      <c r="J1742" t="s">
        <v>150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956"/>
        <v>14:53:22.148</v>
      </c>
      <c r="T1742" t="str">
        <f t="shared" si="957"/>
        <v>14:53:21.848</v>
      </c>
      <c r="U1742" t="str">
        <f t="shared" si="949"/>
        <v>ACC530</v>
      </c>
      <c r="V1742">
        <v>0</v>
      </c>
      <c r="W1742">
        <v>0</v>
      </c>
      <c r="X1742">
        <v>1</v>
      </c>
      <c r="Z1742">
        <v>0</v>
      </c>
      <c r="AA1742">
        <v>9</v>
      </c>
      <c r="AB1742">
        <v>3</v>
      </c>
      <c r="AC1742">
        <v>0</v>
      </c>
      <c r="AD1742">
        <v>9</v>
      </c>
      <c r="AE1742">
        <v>0</v>
      </c>
      <c r="AF1742">
        <v>3</v>
      </c>
      <c r="AG1742">
        <v>1</v>
      </c>
      <c r="AH1742">
        <v>0</v>
      </c>
      <c r="AI1742" t="s">
        <v>666</v>
      </c>
      <c r="AJ1742">
        <v>34.186664</v>
      </c>
      <c r="AK1742" t="s">
        <v>667</v>
      </c>
      <c r="AL1742">
        <v>-117.001476</v>
      </c>
      <c r="AM1742">
        <v>100</v>
      </c>
      <c r="AN1742">
        <v>8400</v>
      </c>
      <c r="AO1742" t="s">
        <v>118</v>
      </c>
      <c r="AP1742">
        <v>-101</v>
      </c>
      <c r="AQ1742">
        <v>-67</v>
      </c>
      <c r="AR1742">
        <v>-832</v>
      </c>
      <c r="AZ1742">
        <v>1200</v>
      </c>
      <c r="BA1742">
        <v>1</v>
      </c>
      <c r="BB1742" t="str">
        <f t="shared" si="954"/>
        <v xml:space="preserve">N9217B  </v>
      </c>
      <c r="BC1742">
        <v>1</v>
      </c>
      <c r="BE1742">
        <v>0</v>
      </c>
      <c r="BF1742">
        <v>0</v>
      </c>
      <c r="BG1742">
        <v>0</v>
      </c>
      <c r="BH1742">
        <v>8450</v>
      </c>
      <c r="BI1742">
        <v>1</v>
      </c>
      <c r="BJ1742">
        <v>0</v>
      </c>
      <c r="BK1742">
        <v>0</v>
      </c>
      <c r="BL1742">
        <v>0</v>
      </c>
      <c r="BO1742">
        <v>0</v>
      </c>
      <c r="BP1742">
        <v>0</v>
      </c>
      <c r="BW1742" t="str">
        <f t="shared" si="958"/>
        <v>14:53:22.152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6</v>
      </c>
      <c r="CP1742" t="s">
        <v>119</v>
      </c>
      <c r="CQ1742">
        <v>285</v>
      </c>
      <c r="CR1742">
        <v>0</v>
      </c>
      <c r="CW1742">
        <v>8857152</v>
      </c>
      <c r="CY1742">
        <v>0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25">
      <c r="A1743" t="str">
        <f t="shared" si="955"/>
        <v>06/05/2020 14:53:16.494</v>
      </c>
      <c r="C1743" t="str">
        <f t="shared" si="934"/>
        <v>FFDFD3C0</v>
      </c>
      <c r="D1743" t="s">
        <v>151</v>
      </c>
      <c r="E1743">
        <v>9</v>
      </c>
      <c r="H1743">
        <v>226</v>
      </c>
      <c r="I1743" t="s">
        <v>152</v>
      </c>
      <c r="J1743" t="s">
        <v>150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956"/>
        <v>14:53:22.148</v>
      </c>
      <c r="T1743" t="str">
        <f t="shared" si="957"/>
        <v>14:53:21.848</v>
      </c>
      <c r="U1743" t="str">
        <f t="shared" si="949"/>
        <v>ACC530</v>
      </c>
      <c r="V1743">
        <v>0</v>
      </c>
      <c r="W1743">
        <v>0</v>
      </c>
      <c r="X1743">
        <v>1</v>
      </c>
      <c r="Z1743">
        <v>0</v>
      </c>
      <c r="AA1743">
        <v>9</v>
      </c>
      <c r="AB1743">
        <v>3</v>
      </c>
      <c r="AC1743">
        <v>0</v>
      </c>
      <c r="AD1743">
        <v>9</v>
      </c>
      <c r="AE1743">
        <v>0</v>
      </c>
      <c r="AF1743">
        <v>3</v>
      </c>
      <c r="AG1743">
        <v>1</v>
      </c>
      <c r="AH1743">
        <v>0</v>
      </c>
      <c r="AI1743" t="s">
        <v>666</v>
      </c>
      <c r="AJ1743">
        <v>34.186664</v>
      </c>
      <c r="AK1743" t="s">
        <v>667</v>
      </c>
      <c r="AL1743">
        <v>-117.001476</v>
      </c>
      <c r="AM1743">
        <v>100</v>
      </c>
      <c r="AN1743">
        <v>8400</v>
      </c>
      <c r="AO1743" t="s">
        <v>118</v>
      </c>
      <c r="AP1743">
        <v>-101</v>
      </c>
      <c r="AQ1743">
        <v>-67</v>
      </c>
      <c r="AR1743">
        <v>-832</v>
      </c>
      <c r="AZ1743">
        <v>1200</v>
      </c>
      <c r="BA1743">
        <v>1</v>
      </c>
      <c r="BB1743" t="str">
        <f t="shared" si="954"/>
        <v xml:space="preserve">N9217B  </v>
      </c>
      <c r="BC1743">
        <v>1</v>
      </c>
      <c r="BE1743">
        <v>0</v>
      </c>
      <c r="BF1743">
        <v>0</v>
      </c>
      <c r="BG1743">
        <v>0</v>
      </c>
      <c r="BH1743">
        <v>8450</v>
      </c>
      <c r="BI1743">
        <v>1</v>
      </c>
      <c r="BJ1743">
        <v>0</v>
      </c>
      <c r="BK1743">
        <v>0</v>
      </c>
      <c r="BL1743">
        <v>0</v>
      </c>
      <c r="BO1743">
        <v>0</v>
      </c>
      <c r="BP1743">
        <v>0</v>
      </c>
      <c r="BW1743" t="str">
        <f t="shared" si="958"/>
        <v>14:53:22.152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6</v>
      </c>
      <c r="CP1743" t="s">
        <v>119</v>
      </c>
      <c r="CQ1743">
        <v>285</v>
      </c>
      <c r="CR1743">
        <v>0</v>
      </c>
      <c r="CW1743">
        <v>8857152</v>
      </c>
      <c r="CY1743">
        <v>0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25">
      <c r="A1744" t="str">
        <f t="shared" si="955"/>
        <v>06/05/2020 14:53:16.494</v>
      </c>
      <c r="C1744" t="str">
        <f t="shared" si="934"/>
        <v>FFDFD3C0</v>
      </c>
      <c r="D1744" t="s">
        <v>148</v>
      </c>
      <c r="E1744">
        <v>8</v>
      </c>
      <c r="H1744">
        <v>50</v>
      </c>
      <c r="I1744" t="s">
        <v>149</v>
      </c>
      <c r="J1744" t="s">
        <v>150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956"/>
        <v>14:53:22.148</v>
      </c>
      <c r="T1744" t="str">
        <f t="shared" si="957"/>
        <v>14:53:21.848</v>
      </c>
      <c r="U1744" t="str">
        <f t="shared" si="949"/>
        <v>ACC530</v>
      </c>
      <c r="V1744">
        <v>0</v>
      </c>
      <c r="W1744">
        <v>0</v>
      </c>
      <c r="X1744">
        <v>1</v>
      </c>
      <c r="Z1744">
        <v>0</v>
      </c>
      <c r="AA1744">
        <v>9</v>
      </c>
      <c r="AB1744">
        <v>3</v>
      </c>
      <c r="AC1744">
        <v>0</v>
      </c>
      <c r="AD1744">
        <v>9</v>
      </c>
      <c r="AE1744">
        <v>0</v>
      </c>
      <c r="AF1744">
        <v>3</v>
      </c>
      <c r="AG1744">
        <v>1</v>
      </c>
      <c r="AH1744">
        <v>0</v>
      </c>
      <c r="AI1744" t="s">
        <v>666</v>
      </c>
      <c r="AJ1744">
        <v>34.186664</v>
      </c>
      <c r="AK1744" t="s">
        <v>667</v>
      </c>
      <c r="AL1744">
        <v>-117.001476</v>
      </c>
      <c r="AM1744">
        <v>100</v>
      </c>
      <c r="AN1744">
        <v>8400</v>
      </c>
      <c r="AO1744" t="s">
        <v>118</v>
      </c>
      <c r="AP1744">
        <v>-101</v>
      </c>
      <c r="AQ1744">
        <v>-67</v>
      </c>
      <c r="AR1744">
        <v>-832</v>
      </c>
      <c r="AZ1744">
        <v>1200</v>
      </c>
      <c r="BA1744">
        <v>1</v>
      </c>
      <c r="BB1744" t="str">
        <f t="shared" si="954"/>
        <v xml:space="preserve">N9217B  </v>
      </c>
      <c r="BC1744">
        <v>1</v>
      </c>
      <c r="BE1744">
        <v>0</v>
      </c>
      <c r="BF1744">
        <v>0</v>
      </c>
      <c r="BG1744">
        <v>0</v>
      </c>
      <c r="BH1744">
        <v>8450</v>
      </c>
      <c r="BI1744">
        <v>1</v>
      </c>
      <c r="BJ1744">
        <v>0</v>
      </c>
      <c r="BK1744">
        <v>0</v>
      </c>
      <c r="BL1744">
        <v>0</v>
      </c>
      <c r="BO1744">
        <v>0</v>
      </c>
      <c r="BP1744">
        <v>0</v>
      </c>
      <c r="BW1744" t="str">
        <f t="shared" si="958"/>
        <v>14:53:22.152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6</v>
      </c>
      <c r="CP1744" t="s">
        <v>119</v>
      </c>
      <c r="CQ1744">
        <v>285</v>
      </c>
      <c r="CR1744">
        <v>0</v>
      </c>
      <c r="CW1744">
        <v>8857152</v>
      </c>
      <c r="CY1744">
        <v>0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25">
      <c r="A1745" t="str">
        <f t="shared" si="955"/>
        <v>06/05/2020 14:53:16.494</v>
      </c>
      <c r="C1745" t="str">
        <f t="shared" si="934"/>
        <v>FFDFD3C0</v>
      </c>
      <c r="D1745" t="s">
        <v>141</v>
      </c>
      <c r="E1745">
        <v>20</v>
      </c>
      <c r="F1745">
        <v>1020</v>
      </c>
      <c r="G1745" t="s">
        <v>114</v>
      </c>
      <c r="J1745" t="s">
        <v>142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956"/>
        <v>14:53:22.148</v>
      </c>
      <c r="T1745" t="str">
        <f t="shared" si="957"/>
        <v>14:53:21.848</v>
      </c>
      <c r="U1745" t="str">
        <f t="shared" si="949"/>
        <v>ACC530</v>
      </c>
      <c r="V1745">
        <v>0</v>
      </c>
      <c r="W1745">
        <v>0</v>
      </c>
      <c r="X1745">
        <v>1</v>
      </c>
      <c r="Z1745">
        <v>0</v>
      </c>
      <c r="AA1745">
        <v>9</v>
      </c>
      <c r="AB1745">
        <v>3</v>
      </c>
      <c r="AC1745">
        <v>0</v>
      </c>
      <c r="AD1745">
        <v>9</v>
      </c>
      <c r="AE1745">
        <v>0</v>
      </c>
      <c r="AF1745">
        <v>3</v>
      </c>
      <c r="AG1745">
        <v>1</v>
      </c>
      <c r="AH1745">
        <v>0</v>
      </c>
      <c r="AI1745" t="s">
        <v>666</v>
      </c>
      <c r="AJ1745">
        <v>34.186664</v>
      </c>
      <c r="AK1745" t="s">
        <v>667</v>
      </c>
      <c r="AL1745">
        <v>-117.001476</v>
      </c>
      <c r="AM1745">
        <v>100</v>
      </c>
      <c r="AN1745">
        <v>8400</v>
      </c>
      <c r="AO1745" t="s">
        <v>118</v>
      </c>
      <c r="AP1745">
        <v>-101</v>
      </c>
      <c r="AQ1745">
        <v>-67</v>
      </c>
      <c r="AR1745">
        <v>-832</v>
      </c>
      <c r="AZ1745">
        <v>1200</v>
      </c>
      <c r="BA1745">
        <v>1</v>
      </c>
      <c r="BB1745" t="str">
        <f t="shared" si="954"/>
        <v xml:space="preserve">N9217B  </v>
      </c>
      <c r="BC1745">
        <v>1</v>
      </c>
      <c r="BE1745">
        <v>0</v>
      </c>
      <c r="BF1745">
        <v>0</v>
      </c>
      <c r="BG1745">
        <v>0</v>
      </c>
      <c r="BH1745">
        <v>8450</v>
      </c>
      <c r="BI1745">
        <v>1</v>
      </c>
      <c r="BJ1745">
        <v>0</v>
      </c>
      <c r="BK1745">
        <v>0</v>
      </c>
      <c r="BL1745">
        <v>0</v>
      </c>
      <c r="BO1745">
        <v>0</v>
      </c>
      <c r="BP1745">
        <v>0</v>
      </c>
      <c r="BW1745" t="str">
        <f t="shared" si="958"/>
        <v>14:53:22.152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6</v>
      </c>
      <c r="CP1745" t="s">
        <v>119</v>
      </c>
      <c r="CQ1745">
        <v>285</v>
      </c>
      <c r="CR1745">
        <v>0</v>
      </c>
      <c r="CW1745">
        <v>8857152</v>
      </c>
      <c r="CY1745">
        <v>0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25">
      <c r="A1746" t="str">
        <f t="shared" ref="A1746:A1751" si="959">"06/05/2020 14:53:17.352"</f>
        <v>06/05/2020 14:53:17.352</v>
      </c>
      <c r="C1746" t="str">
        <f t="shared" si="934"/>
        <v>FFDFD3C0</v>
      </c>
      <c r="D1746" t="s">
        <v>113</v>
      </c>
      <c r="E1746">
        <v>3</v>
      </c>
      <c r="H1746">
        <v>166</v>
      </c>
      <c r="I1746" t="s">
        <v>114</v>
      </c>
      <c r="J1746" t="s">
        <v>115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ref="S1746:S1751" si="960">"14:53:23.000"</f>
        <v>14:53:23.000</v>
      </c>
      <c r="T1746" t="str">
        <f t="shared" ref="T1746:T1751" si="961">"14:53:22.700"</f>
        <v>14:53:22.700</v>
      </c>
      <c r="U1746" t="str">
        <f t="shared" si="949"/>
        <v>ACC530</v>
      </c>
      <c r="V1746">
        <v>0</v>
      </c>
      <c r="W1746">
        <v>0</v>
      </c>
      <c r="X1746">
        <v>1</v>
      </c>
      <c r="Z1746">
        <v>0</v>
      </c>
      <c r="AA1746">
        <v>9</v>
      </c>
      <c r="AB1746">
        <v>3</v>
      </c>
      <c r="AC1746">
        <v>0</v>
      </c>
      <c r="AD1746">
        <v>9</v>
      </c>
      <c r="AE1746">
        <v>0</v>
      </c>
      <c r="AF1746">
        <v>3</v>
      </c>
      <c r="AG1746">
        <v>1</v>
      </c>
      <c r="AH1746">
        <v>0</v>
      </c>
      <c r="AI1746" t="s">
        <v>668</v>
      </c>
      <c r="AJ1746">
        <v>34.186385000000001</v>
      </c>
      <c r="AK1746" t="s">
        <v>669</v>
      </c>
      <c r="AL1746">
        <v>-117.00192699999999</v>
      </c>
      <c r="AM1746">
        <v>100</v>
      </c>
      <c r="AN1746">
        <v>8400</v>
      </c>
      <c r="AO1746" t="s">
        <v>118</v>
      </c>
      <c r="AP1746">
        <v>-101</v>
      </c>
      <c r="AQ1746">
        <v>-68</v>
      </c>
      <c r="AR1746">
        <v>-896</v>
      </c>
      <c r="AZ1746">
        <v>1200</v>
      </c>
      <c r="BA1746">
        <v>1</v>
      </c>
      <c r="BB1746" t="str">
        <f t="shared" si="954"/>
        <v xml:space="preserve">N9217B  </v>
      </c>
      <c r="BC1746">
        <v>1</v>
      </c>
      <c r="BE1746">
        <v>0</v>
      </c>
      <c r="BF1746">
        <v>0</v>
      </c>
      <c r="BG1746">
        <v>0</v>
      </c>
      <c r="BH1746">
        <v>8425</v>
      </c>
      <c r="BI1746">
        <v>1</v>
      </c>
      <c r="BJ1746">
        <v>0</v>
      </c>
      <c r="BK1746">
        <v>0</v>
      </c>
      <c r="BL1746">
        <v>0</v>
      </c>
      <c r="BO1746">
        <v>0</v>
      </c>
      <c r="BP1746">
        <v>0</v>
      </c>
      <c r="BW1746" t="str">
        <f t="shared" ref="BW1746:BW1751" si="962">"14:53:23.007"</f>
        <v>14:53:23.007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4</v>
      </c>
      <c r="CP1746" t="s">
        <v>119</v>
      </c>
      <c r="CQ1746">
        <v>293</v>
      </c>
      <c r="CR1746">
        <v>1</v>
      </c>
      <c r="CW1746">
        <v>15292399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25">
      <c r="A1747" t="str">
        <f t="shared" si="959"/>
        <v>06/05/2020 14:53:17.352</v>
      </c>
      <c r="C1747" t="str">
        <f t="shared" si="934"/>
        <v>FFDFD3C0</v>
      </c>
      <c r="D1747" t="s">
        <v>134</v>
      </c>
      <c r="E1747">
        <v>7</v>
      </c>
      <c r="F1747">
        <v>2007</v>
      </c>
      <c r="G1747" t="s">
        <v>135</v>
      </c>
      <c r="J1747" t="s">
        <v>136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960"/>
        <v>14:53:23.000</v>
      </c>
      <c r="T1747" t="str">
        <f t="shared" si="961"/>
        <v>14:53:22.700</v>
      </c>
      <c r="U1747" t="str">
        <f t="shared" si="949"/>
        <v>ACC530</v>
      </c>
      <c r="V1747">
        <v>0</v>
      </c>
      <c r="W1747">
        <v>0</v>
      </c>
      <c r="X1747">
        <v>1</v>
      </c>
      <c r="Z1747">
        <v>0</v>
      </c>
      <c r="AA1747">
        <v>9</v>
      </c>
      <c r="AB1747">
        <v>3</v>
      </c>
      <c r="AC1747">
        <v>0</v>
      </c>
      <c r="AD1747">
        <v>9</v>
      </c>
      <c r="AE1747">
        <v>0</v>
      </c>
      <c r="AF1747">
        <v>3</v>
      </c>
      <c r="AG1747">
        <v>1</v>
      </c>
      <c r="AH1747">
        <v>0</v>
      </c>
      <c r="AI1747" t="s">
        <v>668</v>
      </c>
      <c r="AJ1747">
        <v>34.186385000000001</v>
      </c>
      <c r="AK1747" t="s">
        <v>669</v>
      </c>
      <c r="AL1747">
        <v>-117.00192699999999</v>
      </c>
      <c r="AM1747">
        <v>100</v>
      </c>
      <c r="AN1747">
        <v>8400</v>
      </c>
      <c r="AO1747" t="s">
        <v>118</v>
      </c>
      <c r="AP1747">
        <v>-101</v>
      </c>
      <c r="AQ1747">
        <v>-68</v>
      </c>
      <c r="AR1747">
        <v>-896</v>
      </c>
      <c r="AZ1747">
        <v>1200</v>
      </c>
      <c r="BA1747">
        <v>1</v>
      </c>
      <c r="BB1747" t="str">
        <f t="shared" si="954"/>
        <v xml:space="preserve">N9217B  </v>
      </c>
      <c r="BC1747">
        <v>1</v>
      </c>
      <c r="BE1747">
        <v>0</v>
      </c>
      <c r="BF1747">
        <v>0</v>
      </c>
      <c r="BG1747">
        <v>0</v>
      </c>
      <c r="BH1747">
        <v>8425</v>
      </c>
      <c r="BI1747">
        <v>1</v>
      </c>
      <c r="BJ1747">
        <v>0</v>
      </c>
      <c r="BK1747">
        <v>0</v>
      </c>
      <c r="BL1747">
        <v>0</v>
      </c>
      <c r="BO1747">
        <v>0</v>
      </c>
      <c r="BP1747">
        <v>0</v>
      </c>
      <c r="BW1747" t="str">
        <f t="shared" si="962"/>
        <v>14:53:23.007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4</v>
      </c>
      <c r="CP1747" t="s">
        <v>119</v>
      </c>
      <c r="CQ1747">
        <v>293</v>
      </c>
      <c r="CR1747">
        <v>1</v>
      </c>
      <c r="CW1747">
        <v>15292399</v>
      </c>
      <c r="CY1747">
        <v>0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25">
      <c r="A1748" t="str">
        <f t="shared" si="959"/>
        <v>06/05/2020 14:53:17.352</v>
      </c>
      <c r="C1748" t="str">
        <f t="shared" si="934"/>
        <v>FFDFD3C0</v>
      </c>
      <c r="D1748" t="s">
        <v>148</v>
      </c>
      <c r="E1748">
        <v>11</v>
      </c>
      <c r="H1748">
        <v>53</v>
      </c>
      <c r="I1748" t="s">
        <v>364</v>
      </c>
      <c r="J1748" t="s">
        <v>150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960"/>
        <v>14:53:23.000</v>
      </c>
      <c r="T1748" t="str">
        <f t="shared" si="961"/>
        <v>14:53:22.700</v>
      </c>
      <c r="U1748" t="str">
        <f t="shared" si="949"/>
        <v>ACC530</v>
      </c>
      <c r="V1748">
        <v>0</v>
      </c>
      <c r="W1748">
        <v>0</v>
      </c>
      <c r="X1748">
        <v>1</v>
      </c>
      <c r="Z1748">
        <v>0</v>
      </c>
      <c r="AA1748">
        <v>9</v>
      </c>
      <c r="AB1748">
        <v>3</v>
      </c>
      <c r="AC1748">
        <v>0</v>
      </c>
      <c r="AD1748">
        <v>9</v>
      </c>
      <c r="AE1748">
        <v>0</v>
      </c>
      <c r="AF1748">
        <v>3</v>
      </c>
      <c r="AG1748">
        <v>1</v>
      </c>
      <c r="AH1748">
        <v>0</v>
      </c>
      <c r="AI1748" t="s">
        <v>668</v>
      </c>
      <c r="AJ1748">
        <v>34.186385000000001</v>
      </c>
      <c r="AK1748" t="s">
        <v>669</v>
      </c>
      <c r="AL1748">
        <v>-117.00192699999999</v>
      </c>
      <c r="AM1748">
        <v>100</v>
      </c>
      <c r="AN1748">
        <v>8400</v>
      </c>
      <c r="AO1748" t="s">
        <v>118</v>
      </c>
      <c r="AP1748">
        <v>-101</v>
      </c>
      <c r="AQ1748">
        <v>-68</v>
      </c>
      <c r="AR1748">
        <v>-896</v>
      </c>
      <c r="AZ1748">
        <v>1200</v>
      </c>
      <c r="BA1748">
        <v>1</v>
      </c>
      <c r="BB1748" t="str">
        <f t="shared" si="954"/>
        <v xml:space="preserve">N9217B  </v>
      </c>
      <c r="BC1748">
        <v>1</v>
      </c>
      <c r="BE1748">
        <v>0</v>
      </c>
      <c r="BF1748">
        <v>0</v>
      </c>
      <c r="BG1748">
        <v>0</v>
      </c>
      <c r="BH1748">
        <v>8425</v>
      </c>
      <c r="BI1748">
        <v>1</v>
      </c>
      <c r="BJ1748">
        <v>0</v>
      </c>
      <c r="BK1748">
        <v>0</v>
      </c>
      <c r="BL1748">
        <v>0</v>
      </c>
      <c r="BO1748">
        <v>0</v>
      </c>
      <c r="BP1748">
        <v>0</v>
      </c>
      <c r="BW1748" t="str">
        <f t="shared" si="962"/>
        <v>14:53:23.007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4</v>
      </c>
      <c r="CP1748" t="s">
        <v>119</v>
      </c>
      <c r="CQ1748">
        <v>293</v>
      </c>
      <c r="CR1748">
        <v>1</v>
      </c>
      <c r="CW1748">
        <v>15292399</v>
      </c>
      <c r="CY1748">
        <v>0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25">
      <c r="A1749" t="str">
        <f t="shared" si="959"/>
        <v>06/05/2020 14:53:17.352</v>
      </c>
      <c r="C1749" t="str">
        <f t="shared" si="934"/>
        <v>FFDFD3C0</v>
      </c>
      <c r="D1749" t="s">
        <v>151</v>
      </c>
      <c r="E1749">
        <v>9</v>
      </c>
      <c r="H1749">
        <v>226</v>
      </c>
      <c r="I1749" t="s">
        <v>152</v>
      </c>
      <c r="J1749" t="s">
        <v>150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960"/>
        <v>14:53:23.000</v>
      </c>
      <c r="T1749" t="str">
        <f t="shared" si="961"/>
        <v>14:53:22.700</v>
      </c>
      <c r="U1749" t="str">
        <f t="shared" si="949"/>
        <v>ACC530</v>
      </c>
      <c r="V1749">
        <v>0</v>
      </c>
      <c r="W1749">
        <v>0</v>
      </c>
      <c r="X1749">
        <v>1</v>
      </c>
      <c r="Z1749">
        <v>0</v>
      </c>
      <c r="AA1749">
        <v>9</v>
      </c>
      <c r="AB1749">
        <v>3</v>
      </c>
      <c r="AC1749">
        <v>0</v>
      </c>
      <c r="AD1749">
        <v>9</v>
      </c>
      <c r="AE1749">
        <v>0</v>
      </c>
      <c r="AF1749">
        <v>3</v>
      </c>
      <c r="AG1749">
        <v>1</v>
      </c>
      <c r="AH1749">
        <v>0</v>
      </c>
      <c r="AI1749" t="s">
        <v>668</v>
      </c>
      <c r="AJ1749">
        <v>34.186385000000001</v>
      </c>
      <c r="AK1749" t="s">
        <v>669</v>
      </c>
      <c r="AL1749">
        <v>-117.00192699999999</v>
      </c>
      <c r="AM1749">
        <v>100</v>
      </c>
      <c r="AN1749">
        <v>8400</v>
      </c>
      <c r="AO1749" t="s">
        <v>118</v>
      </c>
      <c r="AP1749">
        <v>-101</v>
      </c>
      <c r="AQ1749">
        <v>-68</v>
      </c>
      <c r="AR1749">
        <v>-896</v>
      </c>
      <c r="AZ1749">
        <v>1200</v>
      </c>
      <c r="BA1749">
        <v>1</v>
      </c>
      <c r="BB1749" t="str">
        <f t="shared" si="954"/>
        <v xml:space="preserve">N9217B  </v>
      </c>
      <c r="BC1749">
        <v>1</v>
      </c>
      <c r="BE1749">
        <v>0</v>
      </c>
      <c r="BF1749">
        <v>0</v>
      </c>
      <c r="BG1749">
        <v>0</v>
      </c>
      <c r="BH1749">
        <v>8425</v>
      </c>
      <c r="BI1749">
        <v>1</v>
      </c>
      <c r="BJ1749">
        <v>0</v>
      </c>
      <c r="BK1749">
        <v>0</v>
      </c>
      <c r="BL1749">
        <v>0</v>
      </c>
      <c r="BO1749">
        <v>0</v>
      </c>
      <c r="BP1749">
        <v>0</v>
      </c>
      <c r="BW1749" t="str">
        <f t="shared" si="962"/>
        <v>14:53:23.007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4</v>
      </c>
      <c r="CP1749" t="s">
        <v>119</v>
      </c>
      <c r="CQ1749">
        <v>293</v>
      </c>
      <c r="CR1749">
        <v>1</v>
      </c>
      <c r="CW1749">
        <v>15292399</v>
      </c>
      <c r="CY1749">
        <v>0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25">
      <c r="A1750" t="str">
        <f t="shared" si="959"/>
        <v>06/05/2020 14:53:17.352</v>
      </c>
      <c r="C1750" t="str">
        <f t="shared" si="934"/>
        <v>FFDFD3C0</v>
      </c>
      <c r="D1750" t="s">
        <v>148</v>
      </c>
      <c r="E1750">
        <v>8</v>
      </c>
      <c r="H1750">
        <v>50</v>
      </c>
      <c r="I1750" t="s">
        <v>149</v>
      </c>
      <c r="J1750" t="s">
        <v>150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960"/>
        <v>14:53:23.000</v>
      </c>
      <c r="T1750" t="str">
        <f t="shared" si="961"/>
        <v>14:53:22.700</v>
      </c>
      <c r="U1750" t="str">
        <f t="shared" si="949"/>
        <v>ACC530</v>
      </c>
      <c r="V1750">
        <v>0</v>
      </c>
      <c r="W1750">
        <v>0</v>
      </c>
      <c r="X1750">
        <v>1</v>
      </c>
      <c r="Z1750">
        <v>0</v>
      </c>
      <c r="AA1750">
        <v>9</v>
      </c>
      <c r="AB1750">
        <v>3</v>
      </c>
      <c r="AC1750">
        <v>0</v>
      </c>
      <c r="AD1750">
        <v>9</v>
      </c>
      <c r="AE1750">
        <v>0</v>
      </c>
      <c r="AF1750">
        <v>3</v>
      </c>
      <c r="AG1750">
        <v>1</v>
      </c>
      <c r="AH1750">
        <v>0</v>
      </c>
      <c r="AI1750" t="s">
        <v>668</v>
      </c>
      <c r="AJ1750">
        <v>34.186385000000001</v>
      </c>
      <c r="AK1750" t="s">
        <v>669</v>
      </c>
      <c r="AL1750">
        <v>-117.00192699999999</v>
      </c>
      <c r="AM1750">
        <v>100</v>
      </c>
      <c r="AN1750">
        <v>8400</v>
      </c>
      <c r="AO1750" t="s">
        <v>118</v>
      </c>
      <c r="AP1750">
        <v>-101</v>
      </c>
      <c r="AQ1750">
        <v>-68</v>
      </c>
      <c r="AR1750">
        <v>-896</v>
      </c>
      <c r="AZ1750">
        <v>1200</v>
      </c>
      <c r="BA1750">
        <v>1</v>
      </c>
      <c r="BB1750" t="str">
        <f t="shared" si="954"/>
        <v xml:space="preserve">N9217B  </v>
      </c>
      <c r="BC1750">
        <v>1</v>
      </c>
      <c r="BE1750">
        <v>0</v>
      </c>
      <c r="BF1750">
        <v>0</v>
      </c>
      <c r="BG1750">
        <v>0</v>
      </c>
      <c r="BH1750">
        <v>8425</v>
      </c>
      <c r="BI1750">
        <v>1</v>
      </c>
      <c r="BJ1750">
        <v>0</v>
      </c>
      <c r="BK1750">
        <v>0</v>
      </c>
      <c r="BL1750">
        <v>0</v>
      </c>
      <c r="BO1750">
        <v>0</v>
      </c>
      <c r="BP1750">
        <v>0</v>
      </c>
      <c r="BW1750" t="str">
        <f t="shared" si="962"/>
        <v>14:53:23.007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4</v>
      </c>
      <c r="CP1750" t="s">
        <v>119</v>
      </c>
      <c r="CQ1750">
        <v>293</v>
      </c>
      <c r="CR1750">
        <v>1</v>
      </c>
      <c r="CW1750">
        <v>15292399</v>
      </c>
      <c r="CY1750">
        <v>0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25">
      <c r="A1751" t="str">
        <f t="shared" si="959"/>
        <v>06/05/2020 14:53:17.352</v>
      </c>
      <c r="C1751" t="str">
        <f t="shared" si="934"/>
        <v>FFDFD3C0</v>
      </c>
      <c r="D1751" t="s">
        <v>141</v>
      </c>
      <c r="E1751">
        <v>20</v>
      </c>
      <c r="F1751">
        <v>1020</v>
      </c>
      <c r="G1751" t="s">
        <v>114</v>
      </c>
      <c r="J1751" t="s">
        <v>142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960"/>
        <v>14:53:23.000</v>
      </c>
      <c r="T1751" t="str">
        <f t="shared" si="961"/>
        <v>14:53:22.700</v>
      </c>
      <c r="U1751" t="str">
        <f t="shared" si="949"/>
        <v>ACC530</v>
      </c>
      <c r="V1751">
        <v>0</v>
      </c>
      <c r="W1751">
        <v>0</v>
      </c>
      <c r="X1751">
        <v>1</v>
      </c>
      <c r="Z1751">
        <v>0</v>
      </c>
      <c r="AA1751">
        <v>9</v>
      </c>
      <c r="AB1751">
        <v>3</v>
      </c>
      <c r="AC1751">
        <v>0</v>
      </c>
      <c r="AD1751">
        <v>9</v>
      </c>
      <c r="AE1751">
        <v>0</v>
      </c>
      <c r="AF1751">
        <v>3</v>
      </c>
      <c r="AG1751">
        <v>1</v>
      </c>
      <c r="AH1751">
        <v>0</v>
      </c>
      <c r="AI1751" t="s">
        <v>668</v>
      </c>
      <c r="AJ1751">
        <v>34.186385000000001</v>
      </c>
      <c r="AK1751" t="s">
        <v>669</v>
      </c>
      <c r="AL1751">
        <v>-117.00192699999999</v>
      </c>
      <c r="AM1751">
        <v>100</v>
      </c>
      <c r="AN1751">
        <v>8400</v>
      </c>
      <c r="AO1751" t="s">
        <v>118</v>
      </c>
      <c r="AP1751">
        <v>-101</v>
      </c>
      <c r="AQ1751">
        <v>-68</v>
      </c>
      <c r="AR1751">
        <v>-896</v>
      </c>
      <c r="AZ1751">
        <v>1200</v>
      </c>
      <c r="BA1751">
        <v>1</v>
      </c>
      <c r="BB1751" t="str">
        <f t="shared" si="954"/>
        <v xml:space="preserve">N9217B  </v>
      </c>
      <c r="BC1751">
        <v>1</v>
      </c>
      <c r="BE1751">
        <v>0</v>
      </c>
      <c r="BF1751">
        <v>0</v>
      </c>
      <c r="BG1751">
        <v>0</v>
      </c>
      <c r="BH1751">
        <v>8425</v>
      </c>
      <c r="BI1751">
        <v>1</v>
      </c>
      <c r="BJ1751">
        <v>0</v>
      </c>
      <c r="BK1751">
        <v>0</v>
      </c>
      <c r="BL1751">
        <v>0</v>
      </c>
      <c r="BO1751">
        <v>0</v>
      </c>
      <c r="BP1751">
        <v>0</v>
      </c>
      <c r="BW1751" t="str">
        <f t="shared" si="962"/>
        <v>14:53:23.007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4</v>
      </c>
      <c r="CP1751" t="s">
        <v>119</v>
      </c>
      <c r="CQ1751">
        <v>293</v>
      </c>
      <c r="CR1751">
        <v>1</v>
      </c>
      <c r="CW1751">
        <v>15292399</v>
      </c>
      <c r="CY1751">
        <v>0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25">
      <c r="A1752" t="str">
        <f t="shared" ref="A1752:A1758" si="963">"06/05/2020 14:53:18.478"</f>
        <v>06/05/2020 14:53:18.478</v>
      </c>
      <c r="C1752" t="str">
        <f t="shared" si="934"/>
        <v>FFDFD3C0</v>
      </c>
      <c r="D1752" t="s">
        <v>134</v>
      </c>
      <c r="E1752">
        <v>7</v>
      </c>
      <c r="F1752">
        <v>2007</v>
      </c>
      <c r="G1752" t="s">
        <v>135</v>
      </c>
      <c r="J1752" t="s">
        <v>136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ref="S1752:S1758" si="964">"14:53:24.125"</f>
        <v>14:53:24.125</v>
      </c>
      <c r="T1752" t="str">
        <f t="shared" ref="T1752:T1758" si="965">"14:53:23.725"</f>
        <v>14:53:23.725</v>
      </c>
      <c r="U1752" t="str">
        <f t="shared" si="949"/>
        <v>ACC530</v>
      </c>
      <c r="V1752">
        <v>0</v>
      </c>
      <c r="W1752">
        <v>0</v>
      </c>
      <c r="X1752">
        <v>1</v>
      </c>
      <c r="Z1752">
        <v>0</v>
      </c>
      <c r="AA1752">
        <v>9</v>
      </c>
      <c r="AB1752">
        <v>3</v>
      </c>
      <c r="AC1752">
        <v>0</v>
      </c>
      <c r="AD1752">
        <v>9</v>
      </c>
      <c r="AE1752">
        <v>0</v>
      </c>
      <c r="AF1752">
        <v>3</v>
      </c>
      <c r="AG1752">
        <v>1</v>
      </c>
      <c r="AH1752">
        <v>0</v>
      </c>
      <c r="AI1752" t="s">
        <v>670</v>
      </c>
      <c r="AJ1752">
        <v>34.186019999999999</v>
      </c>
      <c r="AK1752" t="s">
        <v>671</v>
      </c>
      <c r="AL1752">
        <v>-117.002549</v>
      </c>
      <c r="AM1752">
        <v>100</v>
      </c>
      <c r="AN1752">
        <v>8400</v>
      </c>
      <c r="AO1752" t="s">
        <v>118</v>
      </c>
      <c r="AP1752">
        <v>-102</v>
      </c>
      <c r="AQ1752">
        <v>-68</v>
      </c>
      <c r="AR1752">
        <v>-1088</v>
      </c>
      <c r="AZ1752">
        <v>1200</v>
      </c>
      <c r="BA1752">
        <v>1</v>
      </c>
      <c r="BB1752" t="str">
        <f t="shared" si="954"/>
        <v xml:space="preserve">N9217B  </v>
      </c>
      <c r="BC1752">
        <v>1</v>
      </c>
      <c r="BE1752">
        <v>0</v>
      </c>
      <c r="BF1752">
        <v>0</v>
      </c>
      <c r="BG1752">
        <v>0</v>
      </c>
      <c r="BH1752">
        <v>8400</v>
      </c>
      <c r="BI1752">
        <v>1</v>
      </c>
      <c r="BJ1752">
        <v>0</v>
      </c>
      <c r="BK1752">
        <v>0</v>
      </c>
      <c r="BL1752">
        <v>0</v>
      </c>
      <c r="BO1752">
        <v>0</v>
      </c>
      <c r="BP1752">
        <v>0</v>
      </c>
      <c r="BW1752" t="str">
        <f t="shared" ref="BW1752:BW1758" si="966">"14:53:24.132"</f>
        <v>14:53:24.132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6</v>
      </c>
      <c r="CP1752" t="s">
        <v>119</v>
      </c>
      <c r="CQ1752">
        <v>285</v>
      </c>
      <c r="CR1752">
        <v>0</v>
      </c>
      <c r="CW1752">
        <v>8857319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25">
      <c r="A1753" t="str">
        <f t="shared" si="963"/>
        <v>06/05/2020 14:53:18.478</v>
      </c>
      <c r="C1753" t="str">
        <f t="shared" si="934"/>
        <v>FFDFD3C0</v>
      </c>
      <c r="D1753" t="s">
        <v>148</v>
      </c>
      <c r="E1753">
        <v>11</v>
      </c>
      <c r="H1753">
        <v>53</v>
      </c>
      <c r="I1753" t="s">
        <v>364</v>
      </c>
      <c r="J1753" t="s">
        <v>150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964"/>
        <v>14:53:24.125</v>
      </c>
      <c r="T1753" t="str">
        <f t="shared" si="965"/>
        <v>14:53:23.725</v>
      </c>
      <c r="U1753" t="str">
        <f t="shared" si="949"/>
        <v>ACC530</v>
      </c>
      <c r="V1753">
        <v>0</v>
      </c>
      <c r="W1753">
        <v>0</v>
      </c>
      <c r="X1753">
        <v>1</v>
      </c>
      <c r="Z1753">
        <v>0</v>
      </c>
      <c r="AA1753">
        <v>9</v>
      </c>
      <c r="AB1753">
        <v>3</v>
      </c>
      <c r="AC1753">
        <v>0</v>
      </c>
      <c r="AD1753">
        <v>9</v>
      </c>
      <c r="AE1753">
        <v>0</v>
      </c>
      <c r="AF1753">
        <v>3</v>
      </c>
      <c r="AG1753">
        <v>1</v>
      </c>
      <c r="AH1753">
        <v>0</v>
      </c>
      <c r="AI1753" t="s">
        <v>670</v>
      </c>
      <c r="AJ1753">
        <v>34.186019999999999</v>
      </c>
      <c r="AK1753" t="s">
        <v>671</v>
      </c>
      <c r="AL1753">
        <v>-117.002549</v>
      </c>
      <c r="AM1753">
        <v>100</v>
      </c>
      <c r="AN1753">
        <v>8400</v>
      </c>
      <c r="AO1753" t="s">
        <v>118</v>
      </c>
      <c r="AP1753">
        <v>-102</v>
      </c>
      <c r="AQ1753">
        <v>-68</v>
      </c>
      <c r="AR1753">
        <v>-1088</v>
      </c>
      <c r="AZ1753">
        <v>1200</v>
      </c>
      <c r="BA1753">
        <v>1</v>
      </c>
      <c r="BB1753" t="str">
        <f t="shared" si="954"/>
        <v xml:space="preserve">N9217B  </v>
      </c>
      <c r="BC1753">
        <v>1</v>
      </c>
      <c r="BE1753">
        <v>0</v>
      </c>
      <c r="BF1753">
        <v>0</v>
      </c>
      <c r="BG1753">
        <v>0</v>
      </c>
      <c r="BH1753">
        <v>8400</v>
      </c>
      <c r="BI1753">
        <v>1</v>
      </c>
      <c r="BJ1753">
        <v>0</v>
      </c>
      <c r="BK1753">
        <v>0</v>
      </c>
      <c r="BL1753">
        <v>0</v>
      </c>
      <c r="BO1753">
        <v>0</v>
      </c>
      <c r="BP1753">
        <v>0</v>
      </c>
      <c r="BW1753" t="str">
        <f t="shared" si="966"/>
        <v>14:53:24.132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6</v>
      </c>
      <c r="CP1753" t="s">
        <v>119</v>
      </c>
      <c r="CQ1753">
        <v>285</v>
      </c>
      <c r="CR1753">
        <v>0</v>
      </c>
      <c r="CW1753">
        <v>8857319</v>
      </c>
      <c r="CY1753">
        <v>0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25">
      <c r="A1754" t="str">
        <f t="shared" si="963"/>
        <v>06/05/2020 14:53:18.478</v>
      </c>
      <c r="C1754" t="str">
        <f t="shared" si="934"/>
        <v>FFDFD3C0</v>
      </c>
      <c r="D1754" t="s">
        <v>151</v>
      </c>
      <c r="E1754">
        <v>8</v>
      </c>
      <c r="H1754">
        <v>225</v>
      </c>
      <c r="I1754" t="s">
        <v>353</v>
      </c>
      <c r="J1754" t="s">
        <v>150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964"/>
        <v>14:53:24.125</v>
      </c>
      <c r="T1754" t="str">
        <f t="shared" si="965"/>
        <v>14:53:23.725</v>
      </c>
      <c r="U1754" t="str">
        <f t="shared" si="949"/>
        <v>ACC530</v>
      </c>
      <c r="V1754">
        <v>0</v>
      </c>
      <c r="W1754">
        <v>0</v>
      </c>
      <c r="X1754">
        <v>1</v>
      </c>
      <c r="Z1754">
        <v>0</v>
      </c>
      <c r="AA1754">
        <v>9</v>
      </c>
      <c r="AB1754">
        <v>3</v>
      </c>
      <c r="AC1754">
        <v>0</v>
      </c>
      <c r="AD1754">
        <v>9</v>
      </c>
      <c r="AE1754">
        <v>0</v>
      </c>
      <c r="AF1754">
        <v>3</v>
      </c>
      <c r="AG1754">
        <v>1</v>
      </c>
      <c r="AH1754">
        <v>0</v>
      </c>
      <c r="AI1754" t="s">
        <v>670</v>
      </c>
      <c r="AJ1754">
        <v>34.186019999999999</v>
      </c>
      <c r="AK1754" t="s">
        <v>671</v>
      </c>
      <c r="AL1754">
        <v>-117.002549</v>
      </c>
      <c r="AM1754">
        <v>100</v>
      </c>
      <c r="AN1754">
        <v>8400</v>
      </c>
      <c r="AO1754" t="s">
        <v>118</v>
      </c>
      <c r="AP1754">
        <v>-102</v>
      </c>
      <c r="AQ1754">
        <v>-68</v>
      </c>
      <c r="AR1754">
        <v>-1088</v>
      </c>
      <c r="AZ1754">
        <v>1200</v>
      </c>
      <c r="BA1754">
        <v>1</v>
      </c>
      <c r="BB1754" t="str">
        <f t="shared" si="954"/>
        <v xml:space="preserve">N9217B  </v>
      </c>
      <c r="BC1754">
        <v>1</v>
      </c>
      <c r="BE1754">
        <v>0</v>
      </c>
      <c r="BF1754">
        <v>0</v>
      </c>
      <c r="BG1754">
        <v>0</v>
      </c>
      <c r="BH1754">
        <v>8400</v>
      </c>
      <c r="BI1754">
        <v>1</v>
      </c>
      <c r="BJ1754">
        <v>0</v>
      </c>
      <c r="BK1754">
        <v>0</v>
      </c>
      <c r="BL1754">
        <v>0</v>
      </c>
      <c r="BO1754">
        <v>0</v>
      </c>
      <c r="BP1754">
        <v>0</v>
      </c>
      <c r="BW1754" t="str">
        <f t="shared" si="966"/>
        <v>14:53:24.132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6</v>
      </c>
      <c r="CP1754" t="s">
        <v>119</v>
      </c>
      <c r="CQ1754">
        <v>285</v>
      </c>
      <c r="CR1754">
        <v>0</v>
      </c>
      <c r="CW1754">
        <v>8857319</v>
      </c>
      <c r="CY1754">
        <v>0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25">
      <c r="A1755" t="str">
        <f t="shared" si="963"/>
        <v>06/05/2020 14:53:18.478</v>
      </c>
      <c r="C1755" t="str">
        <f t="shared" si="934"/>
        <v>FFDFD3C0</v>
      </c>
      <c r="D1755" t="s">
        <v>151</v>
      </c>
      <c r="E1755">
        <v>9</v>
      </c>
      <c r="H1755">
        <v>226</v>
      </c>
      <c r="I1755" t="s">
        <v>152</v>
      </c>
      <c r="J1755" t="s">
        <v>150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964"/>
        <v>14:53:24.125</v>
      </c>
      <c r="T1755" t="str">
        <f t="shared" si="965"/>
        <v>14:53:23.725</v>
      </c>
      <c r="U1755" t="str">
        <f t="shared" si="949"/>
        <v>ACC530</v>
      </c>
      <c r="V1755">
        <v>0</v>
      </c>
      <c r="W1755">
        <v>0</v>
      </c>
      <c r="X1755">
        <v>1</v>
      </c>
      <c r="Z1755">
        <v>0</v>
      </c>
      <c r="AA1755">
        <v>9</v>
      </c>
      <c r="AB1755">
        <v>3</v>
      </c>
      <c r="AC1755">
        <v>0</v>
      </c>
      <c r="AD1755">
        <v>9</v>
      </c>
      <c r="AE1755">
        <v>0</v>
      </c>
      <c r="AF1755">
        <v>3</v>
      </c>
      <c r="AG1755">
        <v>1</v>
      </c>
      <c r="AH1755">
        <v>0</v>
      </c>
      <c r="AI1755" t="s">
        <v>670</v>
      </c>
      <c r="AJ1755">
        <v>34.186019999999999</v>
      </c>
      <c r="AK1755" t="s">
        <v>671</v>
      </c>
      <c r="AL1755">
        <v>-117.002549</v>
      </c>
      <c r="AM1755">
        <v>100</v>
      </c>
      <c r="AN1755">
        <v>8400</v>
      </c>
      <c r="AO1755" t="s">
        <v>118</v>
      </c>
      <c r="AP1755">
        <v>-102</v>
      </c>
      <c r="AQ1755">
        <v>-68</v>
      </c>
      <c r="AR1755">
        <v>-1088</v>
      </c>
      <c r="AZ1755">
        <v>1200</v>
      </c>
      <c r="BA1755">
        <v>1</v>
      </c>
      <c r="BB1755" t="str">
        <f t="shared" si="954"/>
        <v xml:space="preserve">N9217B  </v>
      </c>
      <c r="BC1755">
        <v>1</v>
      </c>
      <c r="BE1755">
        <v>0</v>
      </c>
      <c r="BF1755">
        <v>0</v>
      </c>
      <c r="BG1755">
        <v>0</v>
      </c>
      <c r="BH1755">
        <v>8400</v>
      </c>
      <c r="BI1755">
        <v>1</v>
      </c>
      <c r="BJ1755">
        <v>0</v>
      </c>
      <c r="BK1755">
        <v>0</v>
      </c>
      <c r="BL1755">
        <v>0</v>
      </c>
      <c r="BO1755">
        <v>0</v>
      </c>
      <c r="BP1755">
        <v>0</v>
      </c>
      <c r="BW1755" t="str">
        <f t="shared" si="966"/>
        <v>14:53:24.132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6</v>
      </c>
      <c r="CP1755" t="s">
        <v>119</v>
      </c>
      <c r="CQ1755">
        <v>285</v>
      </c>
      <c r="CR1755">
        <v>0</v>
      </c>
      <c r="CW1755">
        <v>8857319</v>
      </c>
      <c r="CY1755">
        <v>0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25">
      <c r="A1756" t="str">
        <f t="shared" si="963"/>
        <v>06/05/2020 14:53:18.478</v>
      </c>
      <c r="C1756" t="str">
        <f t="shared" si="934"/>
        <v>FFDFD3C0</v>
      </c>
      <c r="D1756" t="s">
        <v>141</v>
      </c>
      <c r="E1756">
        <v>20</v>
      </c>
      <c r="F1756">
        <v>1020</v>
      </c>
      <c r="G1756" t="s">
        <v>114</v>
      </c>
      <c r="J1756" t="s">
        <v>142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964"/>
        <v>14:53:24.125</v>
      </c>
      <c r="T1756" t="str">
        <f t="shared" si="965"/>
        <v>14:53:23.725</v>
      </c>
      <c r="U1756" t="str">
        <f t="shared" si="949"/>
        <v>ACC530</v>
      </c>
      <c r="V1756">
        <v>0</v>
      </c>
      <c r="W1756">
        <v>0</v>
      </c>
      <c r="X1756">
        <v>1</v>
      </c>
      <c r="Z1756">
        <v>0</v>
      </c>
      <c r="AA1756">
        <v>9</v>
      </c>
      <c r="AB1756">
        <v>3</v>
      </c>
      <c r="AC1756">
        <v>0</v>
      </c>
      <c r="AD1756">
        <v>9</v>
      </c>
      <c r="AE1756">
        <v>0</v>
      </c>
      <c r="AF1756">
        <v>3</v>
      </c>
      <c r="AG1756">
        <v>1</v>
      </c>
      <c r="AH1756">
        <v>0</v>
      </c>
      <c r="AI1756" t="s">
        <v>670</v>
      </c>
      <c r="AJ1756">
        <v>34.186019999999999</v>
      </c>
      <c r="AK1756" t="s">
        <v>671</v>
      </c>
      <c r="AL1756">
        <v>-117.002549</v>
      </c>
      <c r="AM1756">
        <v>100</v>
      </c>
      <c r="AN1756">
        <v>8400</v>
      </c>
      <c r="AO1756" t="s">
        <v>118</v>
      </c>
      <c r="AP1756">
        <v>-102</v>
      </c>
      <c r="AQ1756">
        <v>-68</v>
      </c>
      <c r="AR1756">
        <v>-1088</v>
      </c>
      <c r="AZ1756">
        <v>1200</v>
      </c>
      <c r="BA1756">
        <v>1</v>
      </c>
      <c r="BB1756" t="str">
        <f t="shared" si="954"/>
        <v xml:space="preserve">N9217B  </v>
      </c>
      <c r="BC1756">
        <v>1</v>
      </c>
      <c r="BE1756">
        <v>0</v>
      </c>
      <c r="BF1756">
        <v>0</v>
      </c>
      <c r="BG1756">
        <v>0</v>
      </c>
      <c r="BH1756">
        <v>8400</v>
      </c>
      <c r="BI1756">
        <v>1</v>
      </c>
      <c r="BJ1756">
        <v>0</v>
      </c>
      <c r="BK1756">
        <v>0</v>
      </c>
      <c r="BL1756">
        <v>0</v>
      </c>
      <c r="BO1756">
        <v>0</v>
      </c>
      <c r="BP1756">
        <v>0</v>
      </c>
      <c r="BW1756" t="str">
        <f t="shared" si="966"/>
        <v>14:53:24.132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6</v>
      </c>
      <c r="CP1756" t="s">
        <v>119</v>
      </c>
      <c r="CQ1756">
        <v>285</v>
      </c>
      <c r="CR1756">
        <v>0</v>
      </c>
      <c r="CW1756">
        <v>8857319</v>
      </c>
      <c r="CY1756">
        <v>0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25">
      <c r="A1757" t="str">
        <f t="shared" si="963"/>
        <v>06/05/2020 14:53:18.478</v>
      </c>
      <c r="C1757" t="str">
        <f t="shared" si="934"/>
        <v>FFDFD3C0</v>
      </c>
      <c r="D1757" t="s">
        <v>148</v>
      </c>
      <c r="E1757">
        <v>8</v>
      </c>
      <c r="H1757">
        <v>50</v>
      </c>
      <c r="I1757" t="s">
        <v>149</v>
      </c>
      <c r="J1757" t="s">
        <v>150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964"/>
        <v>14:53:24.125</v>
      </c>
      <c r="T1757" t="str">
        <f t="shared" si="965"/>
        <v>14:53:23.725</v>
      </c>
      <c r="U1757" t="str">
        <f t="shared" si="949"/>
        <v>ACC530</v>
      </c>
      <c r="V1757">
        <v>0</v>
      </c>
      <c r="W1757">
        <v>0</v>
      </c>
      <c r="X1757">
        <v>1</v>
      </c>
      <c r="Z1757">
        <v>0</v>
      </c>
      <c r="AA1757">
        <v>9</v>
      </c>
      <c r="AB1757">
        <v>3</v>
      </c>
      <c r="AC1757">
        <v>0</v>
      </c>
      <c r="AD1757">
        <v>9</v>
      </c>
      <c r="AE1757">
        <v>0</v>
      </c>
      <c r="AF1757">
        <v>3</v>
      </c>
      <c r="AG1757">
        <v>1</v>
      </c>
      <c r="AH1757">
        <v>0</v>
      </c>
      <c r="AI1757" t="s">
        <v>670</v>
      </c>
      <c r="AJ1757">
        <v>34.186019999999999</v>
      </c>
      <c r="AK1757" t="s">
        <v>671</v>
      </c>
      <c r="AL1757">
        <v>-117.002549</v>
      </c>
      <c r="AM1757">
        <v>100</v>
      </c>
      <c r="AN1757">
        <v>8400</v>
      </c>
      <c r="AO1757" t="s">
        <v>118</v>
      </c>
      <c r="AP1757">
        <v>-102</v>
      </c>
      <c r="AQ1757">
        <v>-68</v>
      </c>
      <c r="AR1757">
        <v>-1088</v>
      </c>
      <c r="AZ1757">
        <v>1200</v>
      </c>
      <c r="BA1757">
        <v>1</v>
      </c>
      <c r="BB1757" t="str">
        <f t="shared" si="954"/>
        <v xml:space="preserve">N9217B  </v>
      </c>
      <c r="BC1757">
        <v>1</v>
      </c>
      <c r="BE1757">
        <v>0</v>
      </c>
      <c r="BF1757">
        <v>0</v>
      </c>
      <c r="BG1757">
        <v>0</v>
      </c>
      <c r="BH1757">
        <v>8400</v>
      </c>
      <c r="BI1757">
        <v>1</v>
      </c>
      <c r="BJ1757">
        <v>0</v>
      </c>
      <c r="BK1757">
        <v>0</v>
      </c>
      <c r="BL1757">
        <v>0</v>
      </c>
      <c r="BO1757">
        <v>0</v>
      </c>
      <c r="BP1757">
        <v>0</v>
      </c>
      <c r="BW1757" t="str">
        <f t="shared" si="966"/>
        <v>14:53:24.132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6</v>
      </c>
      <c r="CP1757" t="s">
        <v>119</v>
      </c>
      <c r="CQ1757">
        <v>285</v>
      </c>
      <c r="CR1757">
        <v>0</v>
      </c>
      <c r="CW1757">
        <v>8857319</v>
      </c>
      <c r="CY1757">
        <v>0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25">
      <c r="A1758" t="str">
        <f t="shared" si="963"/>
        <v>06/05/2020 14:53:18.478</v>
      </c>
      <c r="C1758" t="str">
        <f t="shared" si="934"/>
        <v>FFDFD3C0</v>
      </c>
      <c r="D1758" t="s">
        <v>113</v>
      </c>
      <c r="E1758">
        <v>3</v>
      </c>
      <c r="H1758">
        <v>166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964"/>
        <v>14:53:24.125</v>
      </c>
      <c r="T1758" t="str">
        <f t="shared" si="965"/>
        <v>14:53:23.725</v>
      </c>
      <c r="U1758" t="str">
        <f t="shared" si="949"/>
        <v>ACC530</v>
      </c>
      <c r="V1758">
        <v>0</v>
      </c>
      <c r="W1758">
        <v>0</v>
      </c>
      <c r="X1758">
        <v>1</v>
      </c>
      <c r="Z1758">
        <v>0</v>
      </c>
      <c r="AA1758">
        <v>9</v>
      </c>
      <c r="AB1758">
        <v>3</v>
      </c>
      <c r="AC1758">
        <v>0</v>
      </c>
      <c r="AD1758">
        <v>9</v>
      </c>
      <c r="AE1758">
        <v>0</v>
      </c>
      <c r="AF1758">
        <v>3</v>
      </c>
      <c r="AG1758">
        <v>1</v>
      </c>
      <c r="AH1758">
        <v>0</v>
      </c>
      <c r="AI1758" t="s">
        <v>670</v>
      </c>
      <c r="AJ1758">
        <v>34.186019999999999</v>
      </c>
      <c r="AK1758" t="s">
        <v>671</v>
      </c>
      <c r="AL1758">
        <v>-117.002549</v>
      </c>
      <c r="AM1758">
        <v>100</v>
      </c>
      <c r="AN1758">
        <v>8400</v>
      </c>
      <c r="AO1758" t="s">
        <v>118</v>
      </c>
      <c r="AP1758">
        <v>-102</v>
      </c>
      <c r="AQ1758">
        <v>-68</v>
      </c>
      <c r="AR1758">
        <v>-1088</v>
      </c>
      <c r="AZ1758">
        <v>1200</v>
      </c>
      <c r="BA1758">
        <v>1</v>
      </c>
      <c r="BB1758" t="str">
        <f t="shared" si="954"/>
        <v xml:space="preserve">N9217B  </v>
      </c>
      <c r="BC1758">
        <v>1</v>
      </c>
      <c r="BE1758">
        <v>0</v>
      </c>
      <c r="BF1758">
        <v>0</v>
      </c>
      <c r="BG1758">
        <v>0</v>
      </c>
      <c r="BH1758">
        <v>8400</v>
      </c>
      <c r="BI1758">
        <v>1</v>
      </c>
      <c r="BJ1758">
        <v>0</v>
      </c>
      <c r="BK1758">
        <v>0</v>
      </c>
      <c r="BL1758">
        <v>0</v>
      </c>
      <c r="BO1758">
        <v>0</v>
      </c>
      <c r="BP1758">
        <v>0</v>
      </c>
      <c r="BW1758" t="str">
        <f t="shared" si="966"/>
        <v>14:53:24.132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6</v>
      </c>
      <c r="CP1758" t="s">
        <v>119</v>
      </c>
      <c r="CQ1758">
        <v>285</v>
      </c>
      <c r="CR1758">
        <v>0</v>
      </c>
      <c r="CW1758">
        <v>8857319</v>
      </c>
      <c r="CY1758">
        <v>0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25">
      <c r="A1759" t="str">
        <f t="shared" ref="A1759:A1765" si="967">"06/05/2020 14:53:19.600"</f>
        <v>06/05/2020 14:53:19.600</v>
      </c>
      <c r="C1759" t="str">
        <f t="shared" si="934"/>
        <v>FFDFD3C0</v>
      </c>
      <c r="D1759" t="s">
        <v>148</v>
      </c>
      <c r="E1759">
        <v>11</v>
      </c>
      <c r="H1759">
        <v>53</v>
      </c>
      <c r="I1759" t="s">
        <v>364</v>
      </c>
      <c r="J1759" t="s">
        <v>150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ref="S1759:T1765" si="968">"14:53:25.250"</f>
        <v>14:53:25.250</v>
      </c>
      <c r="T1759" t="str">
        <f t="shared" si="968"/>
        <v>14:53:25.250</v>
      </c>
      <c r="U1759" t="str">
        <f t="shared" si="949"/>
        <v>ACC530</v>
      </c>
      <c r="V1759">
        <v>0</v>
      </c>
      <c r="W1759">
        <v>0</v>
      </c>
      <c r="X1759">
        <v>1</v>
      </c>
      <c r="Z1759">
        <v>0</v>
      </c>
      <c r="AA1759">
        <v>9</v>
      </c>
      <c r="AB1759">
        <v>3</v>
      </c>
      <c r="AC1759">
        <v>0</v>
      </c>
      <c r="AD1759">
        <v>9</v>
      </c>
      <c r="AE1759">
        <v>0</v>
      </c>
      <c r="AF1759">
        <v>3</v>
      </c>
      <c r="AG1759">
        <v>1</v>
      </c>
      <c r="AH1759">
        <v>0</v>
      </c>
      <c r="AI1759" t="s">
        <v>672</v>
      </c>
      <c r="AJ1759">
        <v>34.185654999999997</v>
      </c>
      <c r="AK1759" t="s">
        <v>673</v>
      </c>
      <c r="AL1759">
        <v>-117.003214</v>
      </c>
      <c r="AM1759">
        <v>100</v>
      </c>
      <c r="AN1759">
        <v>8400</v>
      </c>
      <c r="AO1759" t="s">
        <v>118</v>
      </c>
      <c r="AP1759">
        <v>-102</v>
      </c>
      <c r="AQ1759">
        <v>-69</v>
      </c>
      <c r="AR1759">
        <v>-1152</v>
      </c>
      <c r="AZ1759">
        <v>1200</v>
      </c>
      <c r="BA1759">
        <v>1</v>
      </c>
      <c r="BB1759" t="str">
        <f t="shared" si="954"/>
        <v xml:space="preserve">N9217B  </v>
      </c>
      <c r="BC1759">
        <v>1</v>
      </c>
      <c r="BE1759">
        <v>0</v>
      </c>
      <c r="BF1759">
        <v>0</v>
      </c>
      <c r="BG1759">
        <v>0</v>
      </c>
      <c r="BH1759">
        <v>8375</v>
      </c>
      <c r="BI1759">
        <v>1</v>
      </c>
      <c r="BJ1759">
        <v>0</v>
      </c>
      <c r="BK1759">
        <v>0</v>
      </c>
      <c r="BL1759">
        <v>0</v>
      </c>
      <c r="BO1759">
        <v>0</v>
      </c>
      <c r="BP1759">
        <v>0</v>
      </c>
      <c r="BW1759" t="str">
        <f t="shared" ref="BW1759:BW1765" si="969">"14:53:25.257"</f>
        <v>14:53:25.257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285</v>
      </c>
      <c r="CR1759">
        <v>0</v>
      </c>
      <c r="CW1759">
        <v>8857422</v>
      </c>
      <c r="CY1759">
        <v>0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25">
      <c r="A1760" t="str">
        <f t="shared" si="967"/>
        <v>06/05/2020 14:53:19.600</v>
      </c>
      <c r="C1760" t="str">
        <f t="shared" si="934"/>
        <v>FFDFD3C0</v>
      </c>
      <c r="D1760" t="s">
        <v>141</v>
      </c>
      <c r="E1760">
        <v>20</v>
      </c>
      <c r="F1760">
        <v>1020</v>
      </c>
      <c r="G1760" t="s">
        <v>114</v>
      </c>
      <c r="J1760" t="s">
        <v>142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968"/>
        <v>14:53:25.250</v>
      </c>
      <c r="T1760" t="str">
        <f t="shared" si="968"/>
        <v>14:53:25.250</v>
      </c>
      <c r="U1760" t="str">
        <f t="shared" si="949"/>
        <v>ACC530</v>
      </c>
      <c r="V1760">
        <v>0</v>
      </c>
      <c r="W1760">
        <v>0</v>
      </c>
      <c r="X1760">
        <v>1</v>
      </c>
      <c r="Z1760">
        <v>0</v>
      </c>
      <c r="AA1760">
        <v>9</v>
      </c>
      <c r="AB1760">
        <v>3</v>
      </c>
      <c r="AC1760">
        <v>0</v>
      </c>
      <c r="AD1760">
        <v>9</v>
      </c>
      <c r="AE1760">
        <v>0</v>
      </c>
      <c r="AF1760">
        <v>3</v>
      </c>
      <c r="AG1760">
        <v>1</v>
      </c>
      <c r="AH1760">
        <v>0</v>
      </c>
      <c r="AI1760" t="s">
        <v>672</v>
      </c>
      <c r="AJ1760">
        <v>34.185654999999997</v>
      </c>
      <c r="AK1760" t="s">
        <v>673</v>
      </c>
      <c r="AL1760">
        <v>-117.003214</v>
      </c>
      <c r="AM1760">
        <v>100</v>
      </c>
      <c r="AN1760">
        <v>8400</v>
      </c>
      <c r="AO1760" t="s">
        <v>118</v>
      </c>
      <c r="AP1760">
        <v>-102</v>
      </c>
      <c r="AQ1760">
        <v>-69</v>
      </c>
      <c r="AR1760">
        <v>-1152</v>
      </c>
      <c r="AZ1760">
        <v>1200</v>
      </c>
      <c r="BA1760">
        <v>1</v>
      </c>
      <c r="BB1760" t="str">
        <f t="shared" si="954"/>
        <v xml:space="preserve">N9217B  </v>
      </c>
      <c r="BC1760">
        <v>1</v>
      </c>
      <c r="BE1760">
        <v>0</v>
      </c>
      <c r="BF1760">
        <v>0</v>
      </c>
      <c r="BG1760">
        <v>0</v>
      </c>
      <c r="BH1760">
        <v>8375</v>
      </c>
      <c r="BI1760">
        <v>1</v>
      </c>
      <c r="BJ1760">
        <v>0</v>
      </c>
      <c r="BK1760">
        <v>0</v>
      </c>
      <c r="BL1760">
        <v>0</v>
      </c>
      <c r="BO1760">
        <v>0</v>
      </c>
      <c r="BP1760">
        <v>0</v>
      </c>
      <c r="BW1760" t="str">
        <f t="shared" si="969"/>
        <v>14:53:25.257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285</v>
      </c>
      <c r="CR1760">
        <v>0</v>
      </c>
      <c r="CW1760">
        <v>8857422</v>
      </c>
      <c r="CY1760">
        <v>0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25">
      <c r="A1761" t="str">
        <f t="shared" si="967"/>
        <v>06/05/2020 14:53:19.600</v>
      </c>
      <c r="C1761" t="str">
        <f t="shared" si="934"/>
        <v>FFDFD3C0</v>
      </c>
      <c r="D1761" t="s">
        <v>151</v>
      </c>
      <c r="E1761">
        <v>8</v>
      </c>
      <c r="H1761">
        <v>225</v>
      </c>
      <c r="I1761" t="s">
        <v>353</v>
      </c>
      <c r="J1761" t="s">
        <v>150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968"/>
        <v>14:53:25.250</v>
      </c>
      <c r="T1761" t="str">
        <f t="shared" si="968"/>
        <v>14:53:25.250</v>
      </c>
      <c r="U1761" t="str">
        <f t="shared" si="949"/>
        <v>ACC530</v>
      </c>
      <c r="V1761">
        <v>0</v>
      </c>
      <c r="W1761">
        <v>0</v>
      </c>
      <c r="X1761">
        <v>1</v>
      </c>
      <c r="Z1761">
        <v>0</v>
      </c>
      <c r="AA1761">
        <v>9</v>
      </c>
      <c r="AB1761">
        <v>3</v>
      </c>
      <c r="AC1761">
        <v>0</v>
      </c>
      <c r="AD1761">
        <v>9</v>
      </c>
      <c r="AE1761">
        <v>0</v>
      </c>
      <c r="AF1761">
        <v>3</v>
      </c>
      <c r="AG1761">
        <v>1</v>
      </c>
      <c r="AH1761">
        <v>0</v>
      </c>
      <c r="AI1761" t="s">
        <v>672</v>
      </c>
      <c r="AJ1761">
        <v>34.185654999999997</v>
      </c>
      <c r="AK1761" t="s">
        <v>673</v>
      </c>
      <c r="AL1761">
        <v>-117.003214</v>
      </c>
      <c r="AM1761">
        <v>100</v>
      </c>
      <c r="AN1761">
        <v>8400</v>
      </c>
      <c r="AO1761" t="s">
        <v>118</v>
      </c>
      <c r="AP1761">
        <v>-102</v>
      </c>
      <c r="AQ1761">
        <v>-69</v>
      </c>
      <c r="AR1761">
        <v>-1152</v>
      </c>
      <c r="AZ1761">
        <v>1200</v>
      </c>
      <c r="BA1761">
        <v>1</v>
      </c>
      <c r="BB1761" t="str">
        <f t="shared" si="954"/>
        <v xml:space="preserve">N9217B  </v>
      </c>
      <c r="BC1761">
        <v>1</v>
      </c>
      <c r="BE1761">
        <v>0</v>
      </c>
      <c r="BF1761">
        <v>0</v>
      </c>
      <c r="BG1761">
        <v>0</v>
      </c>
      <c r="BH1761">
        <v>8375</v>
      </c>
      <c r="BI1761">
        <v>1</v>
      </c>
      <c r="BJ1761">
        <v>0</v>
      </c>
      <c r="BK1761">
        <v>0</v>
      </c>
      <c r="BL1761">
        <v>0</v>
      </c>
      <c r="BO1761">
        <v>0</v>
      </c>
      <c r="BP1761">
        <v>0</v>
      </c>
      <c r="BW1761" t="str">
        <f t="shared" si="969"/>
        <v>14:53:25.257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6</v>
      </c>
      <c r="CP1761" t="s">
        <v>119</v>
      </c>
      <c r="CQ1761">
        <v>285</v>
      </c>
      <c r="CR1761">
        <v>0</v>
      </c>
      <c r="CW1761">
        <v>8857422</v>
      </c>
      <c r="CY1761">
        <v>0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25">
      <c r="A1762" t="str">
        <f t="shared" si="967"/>
        <v>06/05/2020 14:53:19.600</v>
      </c>
      <c r="C1762" t="str">
        <f t="shared" si="934"/>
        <v>FFDFD3C0</v>
      </c>
      <c r="D1762" t="s">
        <v>151</v>
      </c>
      <c r="E1762">
        <v>9</v>
      </c>
      <c r="H1762">
        <v>226</v>
      </c>
      <c r="I1762" t="s">
        <v>152</v>
      </c>
      <c r="J1762" t="s">
        <v>150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968"/>
        <v>14:53:25.250</v>
      </c>
      <c r="T1762" t="str">
        <f t="shared" si="968"/>
        <v>14:53:25.250</v>
      </c>
      <c r="U1762" t="str">
        <f t="shared" si="949"/>
        <v>ACC530</v>
      </c>
      <c r="V1762">
        <v>0</v>
      </c>
      <c r="W1762">
        <v>0</v>
      </c>
      <c r="X1762">
        <v>1</v>
      </c>
      <c r="Z1762">
        <v>0</v>
      </c>
      <c r="AA1762">
        <v>9</v>
      </c>
      <c r="AB1762">
        <v>3</v>
      </c>
      <c r="AC1762">
        <v>0</v>
      </c>
      <c r="AD1762">
        <v>9</v>
      </c>
      <c r="AE1762">
        <v>0</v>
      </c>
      <c r="AF1762">
        <v>3</v>
      </c>
      <c r="AG1762">
        <v>1</v>
      </c>
      <c r="AH1762">
        <v>0</v>
      </c>
      <c r="AI1762" t="s">
        <v>672</v>
      </c>
      <c r="AJ1762">
        <v>34.185654999999997</v>
      </c>
      <c r="AK1762" t="s">
        <v>673</v>
      </c>
      <c r="AL1762">
        <v>-117.003214</v>
      </c>
      <c r="AM1762">
        <v>100</v>
      </c>
      <c r="AN1762">
        <v>8400</v>
      </c>
      <c r="AO1762" t="s">
        <v>118</v>
      </c>
      <c r="AP1762">
        <v>-102</v>
      </c>
      <c r="AQ1762">
        <v>-69</v>
      </c>
      <c r="AR1762">
        <v>-1152</v>
      </c>
      <c r="AZ1762">
        <v>1200</v>
      </c>
      <c r="BA1762">
        <v>1</v>
      </c>
      <c r="BB1762" t="str">
        <f t="shared" si="954"/>
        <v xml:space="preserve">N9217B  </v>
      </c>
      <c r="BC1762">
        <v>1</v>
      </c>
      <c r="BE1762">
        <v>0</v>
      </c>
      <c r="BF1762">
        <v>0</v>
      </c>
      <c r="BG1762">
        <v>0</v>
      </c>
      <c r="BH1762">
        <v>8375</v>
      </c>
      <c r="BI1762">
        <v>1</v>
      </c>
      <c r="BJ1762">
        <v>0</v>
      </c>
      <c r="BK1762">
        <v>0</v>
      </c>
      <c r="BL1762">
        <v>0</v>
      </c>
      <c r="BO1762">
        <v>0</v>
      </c>
      <c r="BP1762">
        <v>0</v>
      </c>
      <c r="BW1762" t="str">
        <f t="shared" si="969"/>
        <v>14:53:25.257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6</v>
      </c>
      <c r="CP1762" t="s">
        <v>119</v>
      </c>
      <c r="CQ1762">
        <v>285</v>
      </c>
      <c r="CR1762">
        <v>0</v>
      </c>
      <c r="CW1762">
        <v>8857422</v>
      </c>
      <c r="CY1762">
        <v>0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25">
      <c r="A1763" t="str">
        <f t="shared" si="967"/>
        <v>06/05/2020 14:53:19.600</v>
      </c>
      <c r="C1763" t="str">
        <f t="shared" ref="C1763:C1826" si="970">"FFDFD3C0"</f>
        <v>FFDFD3C0</v>
      </c>
      <c r="D1763" t="s">
        <v>148</v>
      </c>
      <c r="E1763">
        <v>8</v>
      </c>
      <c r="H1763">
        <v>50</v>
      </c>
      <c r="I1763" t="s">
        <v>149</v>
      </c>
      <c r="J1763" t="s">
        <v>150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968"/>
        <v>14:53:25.250</v>
      </c>
      <c r="T1763" t="str">
        <f t="shared" si="968"/>
        <v>14:53:25.250</v>
      </c>
      <c r="U1763" t="str">
        <f t="shared" si="949"/>
        <v>ACC530</v>
      </c>
      <c r="V1763">
        <v>0</v>
      </c>
      <c r="W1763">
        <v>0</v>
      </c>
      <c r="X1763">
        <v>1</v>
      </c>
      <c r="Z1763">
        <v>0</v>
      </c>
      <c r="AA1763">
        <v>9</v>
      </c>
      <c r="AB1763">
        <v>3</v>
      </c>
      <c r="AC1763">
        <v>0</v>
      </c>
      <c r="AD1763">
        <v>9</v>
      </c>
      <c r="AE1763">
        <v>0</v>
      </c>
      <c r="AF1763">
        <v>3</v>
      </c>
      <c r="AG1763">
        <v>1</v>
      </c>
      <c r="AH1763">
        <v>0</v>
      </c>
      <c r="AI1763" t="s">
        <v>672</v>
      </c>
      <c r="AJ1763">
        <v>34.185654999999997</v>
      </c>
      <c r="AK1763" t="s">
        <v>673</v>
      </c>
      <c r="AL1763">
        <v>-117.003214</v>
      </c>
      <c r="AM1763">
        <v>100</v>
      </c>
      <c r="AN1763">
        <v>8400</v>
      </c>
      <c r="AO1763" t="s">
        <v>118</v>
      </c>
      <c r="AP1763">
        <v>-102</v>
      </c>
      <c r="AQ1763">
        <v>-69</v>
      </c>
      <c r="AR1763">
        <v>-1152</v>
      </c>
      <c r="AZ1763">
        <v>1200</v>
      </c>
      <c r="BA1763">
        <v>1</v>
      </c>
      <c r="BB1763" t="str">
        <f t="shared" si="954"/>
        <v xml:space="preserve">N9217B  </v>
      </c>
      <c r="BC1763">
        <v>1</v>
      </c>
      <c r="BE1763">
        <v>0</v>
      </c>
      <c r="BF1763">
        <v>0</v>
      </c>
      <c r="BG1763">
        <v>0</v>
      </c>
      <c r="BH1763">
        <v>8375</v>
      </c>
      <c r="BI1763">
        <v>1</v>
      </c>
      <c r="BJ1763">
        <v>0</v>
      </c>
      <c r="BK1763">
        <v>0</v>
      </c>
      <c r="BL1763">
        <v>0</v>
      </c>
      <c r="BO1763">
        <v>0</v>
      </c>
      <c r="BP1763">
        <v>0</v>
      </c>
      <c r="BW1763" t="str">
        <f t="shared" si="969"/>
        <v>14:53:25.257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6</v>
      </c>
      <c r="CP1763" t="s">
        <v>119</v>
      </c>
      <c r="CQ1763">
        <v>285</v>
      </c>
      <c r="CR1763">
        <v>0</v>
      </c>
      <c r="CW1763">
        <v>8857422</v>
      </c>
      <c r="CY1763">
        <v>0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25">
      <c r="A1764" t="str">
        <f t="shared" si="967"/>
        <v>06/05/2020 14:53:19.600</v>
      </c>
      <c r="C1764" t="str">
        <f t="shared" si="970"/>
        <v>FFDFD3C0</v>
      </c>
      <c r="D1764" t="s">
        <v>113</v>
      </c>
      <c r="E1764">
        <v>3</v>
      </c>
      <c r="H1764">
        <v>166</v>
      </c>
      <c r="I1764" t="s">
        <v>114</v>
      </c>
      <c r="J1764" t="s">
        <v>115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968"/>
        <v>14:53:25.250</v>
      </c>
      <c r="T1764" t="str">
        <f t="shared" si="968"/>
        <v>14:53:25.250</v>
      </c>
      <c r="U1764" t="str">
        <f t="shared" si="949"/>
        <v>ACC530</v>
      </c>
      <c r="V1764">
        <v>0</v>
      </c>
      <c r="W1764">
        <v>0</v>
      </c>
      <c r="X1764">
        <v>1</v>
      </c>
      <c r="Z1764">
        <v>0</v>
      </c>
      <c r="AA1764">
        <v>9</v>
      </c>
      <c r="AB1764">
        <v>3</v>
      </c>
      <c r="AC1764">
        <v>0</v>
      </c>
      <c r="AD1764">
        <v>9</v>
      </c>
      <c r="AE1764">
        <v>0</v>
      </c>
      <c r="AF1764">
        <v>3</v>
      </c>
      <c r="AG1764">
        <v>1</v>
      </c>
      <c r="AH1764">
        <v>0</v>
      </c>
      <c r="AI1764" t="s">
        <v>672</v>
      </c>
      <c r="AJ1764">
        <v>34.185654999999997</v>
      </c>
      <c r="AK1764" t="s">
        <v>673</v>
      </c>
      <c r="AL1764">
        <v>-117.003214</v>
      </c>
      <c r="AM1764">
        <v>100</v>
      </c>
      <c r="AN1764">
        <v>8400</v>
      </c>
      <c r="AO1764" t="s">
        <v>118</v>
      </c>
      <c r="AP1764">
        <v>-102</v>
      </c>
      <c r="AQ1764">
        <v>-69</v>
      </c>
      <c r="AR1764">
        <v>-1152</v>
      </c>
      <c r="AZ1764">
        <v>1200</v>
      </c>
      <c r="BA1764">
        <v>1</v>
      </c>
      <c r="BB1764" t="str">
        <f t="shared" si="954"/>
        <v xml:space="preserve">N9217B  </v>
      </c>
      <c r="BC1764">
        <v>1</v>
      </c>
      <c r="BE1764">
        <v>0</v>
      </c>
      <c r="BF1764">
        <v>0</v>
      </c>
      <c r="BG1764">
        <v>0</v>
      </c>
      <c r="BH1764">
        <v>8375</v>
      </c>
      <c r="BI1764">
        <v>1</v>
      </c>
      <c r="BJ1764">
        <v>0</v>
      </c>
      <c r="BK1764">
        <v>0</v>
      </c>
      <c r="BL1764">
        <v>0</v>
      </c>
      <c r="BO1764">
        <v>0</v>
      </c>
      <c r="BP1764">
        <v>0</v>
      </c>
      <c r="BW1764" t="str">
        <f t="shared" si="969"/>
        <v>14:53:25.257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6</v>
      </c>
      <c r="CP1764" t="s">
        <v>119</v>
      </c>
      <c r="CQ1764">
        <v>285</v>
      </c>
      <c r="CR1764">
        <v>0</v>
      </c>
      <c r="CW1764">
        <v>8857422</v>
      </c>
      <c r="CY1764">
        <v>0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25">
      <c r="A1765" t="str">
        <f t="shared" si="967"/>
        <v>06/05/2020 14:53:19.600</v>
      </c>
      <c r="C1765" t="str">
        <f t="shared" si="970"/>
        <v>FFDFD3C0</v>
      </c>
      <c r="D1765" t="s">
        <v>134</v>
      </c>
      <c r="E1765">
        <v>7</v>
      </c>
      <c r="F1765">
        <v>2007</v>
      </c>
      <c r="G1765" t="s">
        <v>135</v>
      </c>
      <c r="J1765" t="s">
        <v>136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968"/>
        <v>14:53:25.250</v>
      </c>
      <c r="T1765" t="str">
        <f t="shared" si="968"/>
        <v>14:53:25.250</v>
      </c>
      <c r="U1765" t="str">
        <f t="shared" si="949"/>
        <v>ACC530</v>
      </c>
      <c r="V1765">
        <v>0</v>
      </c>
      <c r="W1765">
        <v>0</v>
      </c>
      <c r="X1765">
        <v>1</v>
      </c>
      <c r="Z1765">
        <v>0</v>
      </c>
      <c r="AA1765">
        <v>9</v>
      </c>
      <c r="AB1765">
        <v>3</v>
      </c>
      <c r="AC1765">
        <v>0</v>
      </c>
      <c r="AD1765">
        <v>9</v>
      </c>
      <c r="AE1765">
        <v>0</v>
      </c>
      <c r="AF1765">
        <v>3</v>
      </c>
      <c r="AG1765">
        <v>1</v>
      </c>
      <c r="AH1765">
        <v>0</v>
      </c>
      <c r="AI1765" t="s">
        <v>672</v>
      </c>
      <c r="AJ1765">
        <v>34.185654999999997</v>
      </c>
      <c r="AK1765" t="s">
        <v>673</v>
      </c>
      <c r="AL1765">
        <v>-117.003214</v>
      </c>
      <c r="AM1765">
        <v>100</v>
      </c>
      <c r="AN1765">
        <v>8400</v>
      </c>
      <c r="AO1765" t="s">
        <v>118</v>
      </c>
      <c r="AP1765">
        <v>-102</v>
      </c>
      <c r="AQ1765">
        <v>-69</v>
      </c>
      <c r="AR1765">
        <v>-1152</v>
      </c>
      <c r="AZ1765">
        <v>1200</v>
      </c>
      <c r="BA1765">
        <v>1</v>
      </c>
      <c r="BB1765" t="str">
        <f t="shared" si="954"/>
        <v xml:space="preserve">N9217B  </v>
      </c>
      <c r="BC1765">
        <v>1</v>
      </c>
      <c r="BE1765">
        <v>0</v>
      </c>
      <c r="BF1765">
        <v>0</v>
      </c>
      <c r="BG1765">
        <v>0</v>
      </c>
      <c r="BH1765">
        <v>8375</v>
      </c>
      <c r="BI1765">
        <v>1</v>
      </c>
      <c r="BJ1765">
        <v>0</v>
      </c>
      <c r="BK1765">
        <v>0</v>
      </c>
      <c r="BL1765">
        <v>0</v>
      </c>
      <c r="BO1765">
        <v>0</v>
      </c>
      <c r="BP1765">
        <v>0</v>
      </c>
      <c r="BW1765" t="str">
        <f t="shared" si="969"/>
        <v>14:53:25.257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6</v>
      </c>
      <c r="CP1765" t="s">
        <v>119</v>
      </c>
      <c r="CQ1765">
        <v>285</v>
      </c>
      <c r="CR1765">
        <v>0</v>
      </c>
      <c r="CW1765">
        <v>8857422</v>
      </c>
      <c r="CY1765">
        <v>0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25">
      <c r="A1766" t="str">
        <f t="shared" ref="A1766:A1772" si="971">"06/05/2020 14:53:20.611"</f>
        <v>06/05/2020 14:53:20.611</v>
      </c>
      <c r="C1766" t="str">
        <f t="shared" si="970"/>
        <v>FFDFD3C0</v>
      </c>
      <c r="D1766" t="s">
        <v>148</v>
      </c>
      <c r="E1766">
        <v>11</v>
      </c>
      <c r="H1766">
        <v>53</v>
      </c>
      <c r="I1766" t="s">
        <v>364</v>
      </c>
      <c r="J1766" t="s">
        <v>150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ref="S1766:T1772" si="972">"14:53:26.258"</f>
        <v>14:53:26.258</v>
      </c>
      <c r="T1766" t="str">
        <f t="shared" si="972"/>
        <v>14:53:26.258</v>
      </c>
      <c r="U1766" t="str">
        <f t="shared" si="949"/>
        <v>ACC530</v>
      </c>
      <c r="V1766">
        <v>0</v>
      </c>
      <c r="W1766">
        <v>0</v>
      </c>
      <c r="X1766">
        <v>1</v>
      </c>
      <c r="Z1766">
        <v>0</v>
      </c>
      <c r="AA1766">
        <v>9</v>
      </c>
      <c r="AB1766">
        <v>3</v>
      </c>
      <c r="AC1766">
        <v>0</v>
      </c>
      <c r="AD1766">
        <v>9</v>
      </c>
      <c r="AE1766">
        <v>0</v>
      </c>
      <c r="AF1766">
        <v>3</v>
      </c>
      <c r="AG1766">
        <v>1</v>
      </c>
      <c r="AH1766">
        <v>0</v>
      </c>
      <c r="AI1766" t="s">
        <v>674</v>
      </c>
      <c r="AJ1766">
        <v>34.185312000000003</v>
      </c>
      <c r="AK1766" t="s">
        <v>675</v>
      </c>
      <c r="AL1766">
        <v>-117.003815</v>
      </c>
      <c r="AM1766">
        <v>100</v>
      </c>
      <c r="AN1766">
        <v>8400</v>
      </c>
      <c r="AO1766" t="s">
        <v>118</v>
      </c>
      <c r="AP1766">
        <v>-103</v>
      </c>
      <c r="AQ1766">
        <v>-69</v>
      </c>
      <c r="AR1766">
        <v>-1152</v>
      </c>
      <c r="AZ1766">
        <v>1200</v>
      </c>
      <c r="BA1766">
        <v>1</v>
      </c>
      <c r="BB1766" t="str">
        <f t="shared" si="954"/>
        <v xml:space="preserve">N9217B  </v>
      </c>
      <c r="BC1766">
        <v>1</v>
      </c>
      <c r="BE1766">
        <v>0</v>
      </c>
      <c r="BF1766">
        <v>0</v>
      </c>
      <c r="BG1766">
        <v>0</v>
      </c>
      <c r="BH1766">
        <v>8350</v>
      </c>
      <c r="BI1766">
        <v>1</v>
      </c>
      <c r="BJ1766">
        <v>0</v>
      </c>
      <c r="BK1766">
        <v>0</v>
      </c>
      <c r="BL1766">
        <v>0</v>
      </c>
      <c r="BO1766">
        <v>0</v>
      </c>
      <c r="BP1766">
        <v>0</v>
      </c>
      <c r="BW1766" t="str">
        <f t="shared" ref="BW1766:BW1772" si="973">"14:53:26.262"</f>
        <v>14:53:26.262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6</v>
      </c>
      <c r="CP1766" t="s">
        <v>119</v>
      </c>
      <c r="CQ1766">
        <v>285</v>
      </c>
      <c r="CR1766">
        <v>0</v>
      </c>
      <c r="CW1766">
        <v>8857503</v>
      </c>
      <c r="CY1766">
        <v>0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25">
      <c r="A1767" t="str">
        <f t="shared" si="971"/>
        <v>06/05/2020 14:53:20.611</v>
      </c>
      <c r="C1767" t="str">
        <f t="shared" si="970"/>
        <v>FFDFD3C0</v>
      </c>
      <c r="D1767" t="s">
        <v>141</v>
      </c>
      <c r="E1767">
        <v>20</v>
      </c>
      <c r="F1767">
        <v>1020</v>
      </c>
      <c r="G1767" t="s">
        <v>114</v>
      </c>
      <c r="J1767" t="s">
        <v>142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972"/>
        <v>14:53:26.258</v>
      </c>
      <c r="T1767" t="str">
        <f t="shared" si="972"/>
        <v>14:53:26.258</v>
      </c>
      <c r="U1767" t="str">
        <f t="shared" si="949"/>
        <v>ACC530</v>
      </c>
      <c r="V1767">
        <v>0</v>
      </c>
      <c r="W1767">
        <v>0</v>
      </c>
      <c r="X1767">
        <v>1</v>
      </c>
      <c r="Z1767">
        <v>0</v>
      </c>
      <c r="AA1767">
        <v>9</v>
      </c>
      <c r="AB1767">
        <v>3</v>
      </c>
      <c r="AC1767">
        <v>0</v>
      </c>
      <c r="AD1767">
        <v>9</v>
      </c>
      <c r="AE1767">
        <v>0</v>
      </c>
      <c r="AF1767">
        <v>3</v>
      </c>
      <c r="AG1767">
        <v>1</v>
      </c>
      <c r="AH1767">
        <v>0</v>
      </c>
      <c r="AI1767" t="s">
        <v>674</v>
      </c>
      <c r="AJ1767">
        <v>34.185312000000003</v>
      </c>
      <c r="AK1767" t="s">
        <v>675</v>
      </c>
      <c r="AL1767">
        <v>-117.003815</v>
      </c>
      <c r="AM1767">
        <v>100</v>
      </c>
      <c r="AN1767">
        <v>8400</v>
      </c>
      <c r="AO1767" t="s">
        <v>118</v>
      </c>
      <c r="AP1767">
        <v>-103</v>
      </c>
      <c r="AQ1767">
        <v>-69</v>
      </c>
      <c r="AR1767">
        <v>-1152</v>
      </c>
      <c r="AZ1767">
        <v>1200</v>
      </c>
      <c r="BA1767">
        <v>1</v>
      </c>
      <c r="BB1767" t="str">
        <f t="shared" si="954"/>
        <v xml:space="preserve">N9217B  </v>
      </c>
      <c r="BC1767">
        <v>1</v>
      </c>
      <c r="BE1767">
        <v>0</v>
      </c>
      <c r="BF1767">
        <v>0</v>
      </c>
      <c r="BG1767">
        <v>0</v>
      </c>
      <c r="BH1767">
        <v>8350</v>
      </c>
      <c r="BI1767">
        <v>1</v>
      </c>
      <c r="BJ1767">
        <v>0</v>
      </c>
      <c r="BK1767">
        <v>0</v>
      </c>
      <c r="BL1767">
        <v>0</v>
      </c>
      <c r="BO1767">
        <v>0</v>
      </c>
      <c r="BP1767">
        <v>0</v>
      </c>
      <c r="BW1767" t="str">
        <f t="shared" si="973"/>
        <v>14:53:26.262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6</v>
      </c>
      <c r="CP1767" t="s">
        <v>119</v>
      </c>
      <c r="CQ1767">
        <v>285</v>
      </c>
      <c r="CR1767">
        <v>0</v>
      </c>
      <c r="CW1767">
        <v>8857503</v>
      </c>
      <c r="CY1767">
        <v>0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25">
      <c r="A1768" t="str">
        <f t="shared" si="971"/>
        <v>06/05/2020 14:53:20.611</v>
      </c>
      <c r="C1768" t="str">
        <f t="shared" si="970"/>
        <v>FFDFD3C0</v>
      </c>
      <c r="D1768" t="s">
        <v>151</v>
      </c>
      <c r="E1768">
        <v>8</v>
      </c>
      <c r="H1768">
        <v>225</v>
      </c>
      <c r="I1768" t="s">
        <v>353</v>
      </c>
      <c r="J1768" t="s">
        <v>150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972"/>
        <v>14:53:26.258</v>
      </c>
      <c r="T1768" t="str">
        <f t="shared" si="972"/>
        <v>14:53:26.258</v>
      </c>
      <c r="U1768" t="str">
        <f t="shared" si="949"/>
        <v>ACC530</v>
      </c>
      <c r="V1768">
        <v>0</v>
      </c>
      <c r="W1768">
        <v>0</v>
      </c>
      <c r="X1768">
        <v>1</v>
      </c>
      <c r="Z1768">
        <v>0</v>
      </c>
      <c r="AA1768">
        <v>9</v>
      </c>
      <c r="AB1768">
        <v>3</v>
      </c>
      <c r="AC1768">
        <v>0</v>
      </c>
      <c r="AD1768">
        <v>9</v>
      </c>
      <c r="AE1768">
        <v>0</v>
      </c>
      <c r="AF1768">
        <v>3</v>
      </c>
      <c r="AG1768">
        <v>1</v>
      </c>
      <c r="AH1768">
        <v>0</v>
      </c>
      <c r="AI1768" t="s">
        <v>674</v>
      </c>
      <c r="AJ1768">
        <v>34.185312000000003</v>
      </c>
      <c r="AK1768" t="s">
        <v>675</v>
      </c>
      <c r="AL1768">
        <v>-117.003815</v>
      </c>
      <c r="AM1768">
        <v>100</v>
      </c>
      <c r="AN1768">
        <v>8400</v>
      </c>
      <c r="AO1768" t="s">
        <v>118</v>
      </c>
      <c r="AP1768">
        <v>-103</v>
      </c>
      <c r="AQ1768">
        <v>-69</v>
      </c>
      <c r="AR1768">
        <v>-1152</v>
      </c>
      <c r="AZ1768">
        <v>1200</v>
      </c>
      <c r="BA1768">
        <v>1</v>
      </c>
      <c r="BB1768" t="str">
        <f t="shared" si="954"/>
        <v xml:space="preserve">N9217B  </v>
      </c>
      <c r="BC1768">
        <v>1</v>
      </c>
      <c r="BE1768">
        <v>0</v>
      </c>
      <c r="BF1768">
        <v>0</v>
      </c>
      <c r="BG1768">
        <v>0</v>
      </c>
      <c r="BH1768">
        <v>8350</v>
      </c>
      <c r="BI1768">
        <v>1</v>
      </c>
      <c r="BJ1768">
        <v>0</v>
      </c>
      <c r="BK1768">
        <v>0</v>
      </c>
      <c r="BL1768">
        <v>0</v>
      </c>
      <c r="BO1768">
        <v>0</v>
      </c>
      <c r="BP1768">
        <v>0</v>
      </c>
      <c r="BW1768" t="str">
        <f t="shared" si="973"/>
        <v>14:53:26.262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285</v>
      </c>
      <c r="CR1768">
        <v>0</v>
      </c>
      <c r="CW1768">
        <v>8857503</v>
      </c>
      <c r="CY1768">
        <v>0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25">
      <c r="A1769" t="str">
        <f t="shared" si="971"/>
        <v>06/05/2020 14:53:20.611</v>
      </c>
      <c r="C1769" t="str">
        <f t="shared" si="970"/>
        <v>FFDFD3C0</v>
      </c>
      <c r="D1769" t="s">
        <v>151</v>
      </c>
      <c r="E1769">
        <v>9</v>
      </c>
      <c r="H1769">
        <v>226</v>
      </c>
      <c r="I1769" t="s">
        <v>152</v>
      </c>
      <c r="J1769" t="s">
        <v>150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972"/>
        <v>14:53:26.258</v>
      </c>
      <c r="T1769" t="str">
        <f t="shared" si="972"/>
        <v>14:53:26.258</v>
      </c>
      <c r="U1769" t="str">
        <f t="shared" si="949"/>
        <v>ACC530</v>
      </c>
      <c r="V1769">
        <v>0</v>
      </c>
      <c r="W1769">
        <v>0</v>
      </c>
      <c r="X1769">
        <v>1</v>
      </c>
      <c r="Z1769">
        <v>0</v>
      </c>
      <c r="AA1769">
        <v>9</v>
      </c>
      <c r="AB1769">
        <v>3</v>
      </c>
      <c r="AC1769">
        <v>0</v>
      </c>
      <c r="AD1769">
        <v>9</v>
      </c>
      <c r="AE1769">
        <v>0</v>
      </c>
      <c r="AF1769">
        <v>3</v>
      </c>
      <c r="AG1769">
        <v>1</v>
      </c>
      <c r="AH1769">
        <v>0</v>
      </c>
      <c r="AI1769" t="s">
        <v>674</v>
      </c>
      <c r="AJ1769">
        <v>34.185312000000003</v>
      </c>
      <c r="AK1769" t="s">
        <v>675</v>
      </c>
      <c r="AL1769">
        <v>-117.003815</v>
      </c>
      <c r="AM1769">
        <v>100</v>
      </c>
      <c r="AN1769">
        <v>8400</v>
      </c>
      <c r="AO1769" t="s">
        <v>118</v>
      </c>
      <c r="AP1769">
        <v>-103</v>
      </c>
      <c r="AQ1769">
        <v>-69</v>
      </c>
      <c r="AR1769">
        <v>-1152</v>
      </c>
      <c r="AZ1769">
        <v>1200</v>
      </c>
      <c r="BA1769">
        <v>1</v>
      </c>
      <c r="BB1769" t="str">
        <f t="shared" si="954"/>
        <v xml:space="preserve">N9217B  </v>
      </c>
      <c r="BC1769">
        <v>1</v>
      </c>
      <c r="BE1769">
        <v>0</v>
      </c>
      <c r="BF1769">
        <v>0</v>
      </c>
      <c r="BG1769">
        <v>0</v>
      </c>
      <c r="BH1769">
        <v>8350</v>
      </c>
      <c r="BI1769">
        <v>1</v>
      </c>
      <c r="BJ1769">
        <v>0</v>
      </c>
      <c r="BK1769">
        <v>0</v>
      </c>
      <c r="BL1769">
        <v>0</v>
      </c>
      <c r="BO1769">
        <v>0</v>
      </c>
      <c r="BP1769">
        <v>0</v>
      </c>
      <c r="BW1769" t="str">
        <f t="shared" si="973"/>
        <v>14:53:26.262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6</v>
      </c>
      <c r="CP1769" t="s">
        <v>119</v>
      </c>
      <c r="CQ1769">
        <v>285</v>
      </c>
      <c r="CR1769">
        <v>0</v>
      </c>
      <c r="CW1769">
        <v>8857503</v>
      </c>
      <c r="CY1769">
        <v>0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25">
      <c r="A1770" t="str">
        <f t="shared" si="971"/>
        <v>06/05/2020 14:53:20.611</v>
      </c>
      <c r="C1770" t="str">
        <f t="shared" si="970"/>
        <v>FFDFD3C0</v>
      </c>
      <c r="D1770" t="s">
        <v>148</v>
      </c>
      <c r="E1770">
        <v>8</v>
      </c>
      <c r="H1770">
        <v>50</v>
      </c>
      <c r="I1770" t="s">
        <v>149</v>
      </c>
      <c r="J1770" t="s">
        <v>150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72"/>
        <v>14:53:26.258</v>
      </c>
      <c r="T1770" t="str">
        <f t="shared" si="972"/>
        <v>14:53:26.258</v>
      </c>
      <c r="U1770" t="str">
        <f t="shared" si="949"/>
        <v>ACC530</v>
      </c>
      <c r="V1770">
        <v>0</v>
      </c>
      <c r="W1770">
        <v>0</v>
      </c>
      <c r="X1770">
        <v>1</v>
      </c>
      <c r="Z1770">
        <v>0</v>
      </c>
      <c r="AA1770">
        <v>9</v>
      </c>
      <c r="AB1770">
        <v>3</v>
      </c>
      <c r="AC1770">
        <v>0</v>
      </c>
      <c r="AD1770">
        <v>9</v>
      </c>
      <c r="AE1770">
        <v>0</v>
      </c>
      <c r="AF1770">
        <v>3</v>
      </c>
      <c r="AG1770">
        <v>1</v>
      </c>
      <c r="AH1770">
        <v>0</v>
      </c>
      <c r="AI1770" t="s">
        <v>674</v>
      </c>
      <c r="AJ1770">
        <v>34.185312000000003</v>
      </c>
      <c r="AK1770" t="s">
        <v>675</v>
      </c>
      <c r="AL1770">
        <v>-117.003815</v>
      </c>
      <c r="AM1770">
        <v>100</v>
      </c>
      <c r="AN1770">
        <v>8400</v>
      </c>
      <c r="AO1770" t="s">
        <v>118</v>
      </c>
      <c r="AP1770">
        <v>-103</v>
      </c>
      <c r="AQ1770">
        <v>-69</v>
      </c>
      <c r="AR1770">
        <v>-1152</v>
      </c>
      <c r="AZ1770">
        <v>1200</v>
      </c>
      <c r="BA1770">
        <v>1</v>
      </c>
      <c r="BB1770" t="str">
        <f t="shared" si="954"/>
        <v xml:space="preserve">N9217B  </v>
      </c>
      <c r="BC1770">
        <v>1</v>
      </c>
      <c r="BE1770">
        <v>0</v>
      </c>
      <c r="BF1770">
        <v>0</v>
      </c>
      <c r="BG1770">
        <v>0</v>
      </c>
      <c r="BH1770">
        <v>8350</v>
      </c>
      <c r="BI1770">
        <v>1</v>
      </c>
      <c r="BJ1770">
        <v>0</v>
      </c>
      <c r="BK1770">
        <v>0</v>
      </c>
      <c r="BL1770">
        <v>0</v>
      </c>
      <c r="BO1770">
        <v>0</v>
      </c>
      <c r="BP1770">
        <v>0</v>
      </c>
      <c r="BW1770" t="str">
        <f t="shared" si="973"/>
        <v>14:53:26.262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285</v>
      </c>
      <c r="CR1770">
        <v>0</v>
      </c>
      <c r="CW1770">
        <v>8857503</v>
      </c>
      <c r="CY1770">
        <v>0</v>
      </c>
      <c r="CZ1770">
        <v>0</v>
      </c>
      <c r="DA1770">
        <v>1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25">
      <c r="A1771" t="str">
        <f t="shared" si="971"/>
        <v>06/05/2020 14:53:20.611</v>
      </c>
      <c r="C1771" t="str">
        <f t="shared" si="970"/>
        <v>FFDFD3C0</v>
      </c>
      <c r="D1771" t="s">
        <v>113</v>
      </c>
      <c r="E1771">
        <v>3</v>
      </c>
      <c r="H1771">
        <v>166</v>
      </c>
      <c r="I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72"/>
        <v>14:53:26.258</v>
      </c>
      <c r="T1771" t="str">
        <f t="shared" si="972"/>
        <v>14:53:26.258</v>
      </c>
      <c r="U1771" t="str">
        <f t="shared" si="949"/>
        <v>ACC530</v>
      </c>
      <c r="V1771">
        <v>0</v>
      </c>
      <c r="W1771">
        <v>0</v>
      </c>
      <c r="X1771">
        <v>1</v>
      </c>
      <c r="Z1771">
        <v>0</v>
      </c>
      <c r="AA1771">
        <v>9</v>
      </c>
      <c r="AB1771">
        <v>3</v>
      </c>
      <c r="AC1771">
        <v>0</v>
      </c>
      <c r="AD1771">
        <v>9</v>
      </c>
      <c r="AE1771">
        <v>0</v>
      </c>
      <c r="AF1771">
        <v>3</v>
      </c>
      <c r="AG1771">
        <v>1</v>
      </c>
      <c r="AH1771">
        <v>0</v>
      </c>
      <c r="AI1771" t="s">
        <v>674</v>
      </c>
      <c r="AJ1771">
        <v>34.185312000000003</v>
      </c>
      <c r="AK1771" t="s">
        <v>675</v>
      </c>
      <c r="AL1771">
        <v>-117.003815</v>
      </c>
      <c r="AM1771">
        <v>100</v>
      </c>
      <c r="AN1771">
        <v>8400</v>
      </c>
      <c r="AO1771" t="s">
        <v>118</v>
      </c>
      <c r="AP1771">
        <v>-103</v>
      </c>
      <c r="AQ1771">
        <v>-69</v>
      </c>
      <c r="AR1771">
        <v>-1152</v>
      </c>
      <c r="AZ1771">
        <v>1200</v>
      </c>
      <c r="BA1771">
        <v>1</v>
      </c>
      <c r="BB1771" t="str">
        <f t="shared" si="954"/>
        <v xml:space="preserve">N9217B  </v>
      </c>
      <c r="BC1771">
        <v>1</v>
      </c>
      <c r="BE1771">
        <v>0</v>
      </c>
      <c r="BF1771">
        <v>0</v>
      </c>
      <c r="BG1771">
        <v>0</v>
      </c>
      <c r="BH1771">
        <v>8350</v>
      </c>
      <c r="BI1771">
        <v>1</v>
      </c>
      <c r="BJ1771">
        <v>0</v>
      </c>
      <c r="BK1771">
        <v>0</v>
      </c>
      <c r="BL1771">
        <v>0</v>
      </c>
      <c r="BO1771">
        <v>0</v>
      </c>
      <c r="BP1771">
        <v>0</v>
      </c>
      <c r="BW1771" t="str">
        <f t="shared" si="973"/>
        <v>14:53:26.262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6</v>
      </c>
      <c r="CP1771" t="s">
        <v>119</v>
      </c>
      <c r="CQ1771">
        <v>285</v>
      </c>
      <c r="CR1771">
        <v>0</v>
      </c>
      <c r="CW1771">
        <v>8857503</v>
      </c>
      <c r="CY1771">
        <v>0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25">
      <c r="A1772" t="str">
        <f t="shared" si="971"/>
        <v>06/05/2020 14:53:20.611</v>
      </c>
      <c r="C1772" t="str">
        <f t="shared" si="970"/>
        <v>FFDFD3C0</v>
      </c>
      <c r="D1772" t="s">
        <v>134</v>
      </c>
      <c r="E1772">
        <v>7</v>
      </c>
      <c r="F1772">
        <v>2007</v>
      </c>
      <c r="G1772" t="s">
        <v>135</v>
      </c>
      <c r="J1772" t="s">
        <v>136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972"/>
        <v>14:53:26.258</v>
      </c>
      <c r="T1772" t="str">
        <f t="shared" si="972"/>
        <v>14:53:26.258</v>
      </c>
      <c r="U1772" t="str">
        <f t="shared" si="949"/>
        <v>ACC530</v>
      </c>
      <c r="V1772">
        <v>0</v>
      </c>
      <c r="W1772">
        <v>0</v>
      </c>
      <c r="X1772">
        <v>1</v>
      </c>
      <c r="Z1772">
        <v>0</v>
      </c>
      <c r="AA1772">
        <v>9</v>
      </c>
      <c r="AB1772">
        <v>3</v>
      </c>
      <c r="AC1772">
        <v>0</v>
      </c>
      <c r="AD1772">
        <v>9</v>
      </c>
      <c r="AE1772">
        <v>0</v>
      </c>
      <c r="AF1772">
        <v>3</v>
      </c>
      <c r="AG1772">
        <v>1</v>
      </c>
      <c r="AH1772">
        <v>0</v>
      </c>
      <c r="AI1772" t="s">
        <v>674</v>
      </c>
      <c r="AJ1772">
        <v>34.185312000000003</v>
      </c>
      <c r="AK1772" t="s">
        <v>675</v>
      </c>
      <c r="AL1772">
        <v>-117.003815</v>
      </c>
      <c r="AM1772">
        <v>100</v>
      </c>
      <c r="AN1772">
        <v>8400</v>
      </c>
      <c r="AO1772" t="s">
        <v>118</v>
      </c>
      <c r="AP1772">
        <v>-103</v>
      </c>
      <c r="AQ1772">
        <v>-69</v>
      </c>
      <c r="AR1772">
        <v>-1152</v>
      </c>
      <c r="AZ1772">
        <v>1200</v>
      </c>
      <c r="BA1772">
        <v>1</v>
      </c>
      <c r="BB1772" t="str">
        <f t="shared" si="954"/>
        <v xml:space="preserve">N9217B  </v>
      </c>
      <c r="BC1772">
        <v>1</v>
      </c>
      <c r="BE1772">
        <v>0</v>
      </c>
      <c r="BF1772">
        <v>0</v>
      </c>
      <c r="BG1772">
        <v>0</v>
      </c>
      <c r="BH1772">
        <v>8350</v>
      </c>
      <c r="BI1772">
        <v>1</v>
      </c>
      <c r="BJ1772">
        <v>0</v>
      </c>
      <c r="BK1772">
        <v>0</v>
      </c>
      <c r="BL1772">
        <v>0</v>
      </c>
      <c r="BO1772">
        <v>0</v>
      </c>
      <c r="BP1772">
        <v>0</v>
      </c>
      <c r="BW1772" t="str">
        <f t="shared" si="973"/>
        <v>14:53:26.262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6</v>
      </c>
      <c r="CP1772" t="s">
        <v>119</v>
      </c>
      <c r="CQ1772">
        <v>285</v>
      </c>
      <c r="CR1772">
        <v>0</v>
      </c>
      <c r="CW1772">
        <v>8857503</v>
      </c>
      <c r="CY1772">
        <v>0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25">
      <c r="A1773" t="str">
        <f t="shared" ref="A1773:A1779" si="974">"06/05/2020 14:53:21.477"</f>
        <v>06/05/2020 14:53:21.477</v>
      </c>
      <c r="C1773" t="str">
        <f t="shared" si="970"/>
        <v>FFDFD3C0</v>
      </c>
      <c r="D1773" t="s">
        <v>151</v>
      </c>
      <c r="E1773">
        <v>8</v>
      </c>
      <c r="H1773">
        <v>225</v>
      </c>
      <c r="I1773" t="s">
        <v>353</v>
      </c>
      <c r="J1773" t="s">
        <v>150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ref="S1773:S1779" si="975">"14:53:27.125"</f>
        <v>14:53:27.125</v>
      </c>
      <c r="T1773" t="str">
        <f>"14:53:26.225"</f>
        <v>14:53:26.225</v>
      </c>
      <c r="U1773" t="str">
        <f t="shared" si="949"/>
        <v>ACC530</v>
      </c>
      <c r="V1773">
        <v>0</v>
      </c>
      <c r="W1773">
        <v>0</v>
      </c>
      <c r="X1773">
        <v>1</v>
      </c>
      <c r="Z1773">
        <v>0</v>
      </c>
      <c r="AA1773">
        <v>9</v>
      </c>
      <c r="AB1773">
        <v>3</v>
      </c>
      <c r="AC1773">
        <v>0</v>
      </c>
      <c r="AD1773">
        <v>9</v>
      </c>
      <c r="AE1773">
        <v>0</v>
      </c>
      <c r="AF1773">
        <v>3</v>
      </c>
      <c r="AG1773">
        <v>1</v>
      </c>
      <c r="AH1773">
        <v>0</v>
      </c>
      <c r="AI1773" t="s">
        <v>676</v>
      </c>
      <c r="AJ1773">
        <v>34.185032999999997</v>
      </c>
      <c r="AK1773" t="s">
        <v>677</v>
      </c>
      <c r="AL1773">
        <v>-117.00428700000001</v>
      </c>
      <c r="AM1773">
        <v>100</v>
      </c>
      <c r="AN1773">
        <v>8400</v>
      </c>
      <c r="AO1773" t="s">
        <v>118</v>
      </c>
      <c r="AP1773">
        <v>-103</v>
      </c>
      <c r="AQ1773">
        <v>-69</v>
      </c>
      <c r="AR1773">
        <v>-1152</v>
      </c>
      <c r="AZ1773">
        <v>1200</v>
      </c>
      <c r="BA1773">
        <v>1</v>
      </c>
      <c r="BB1773" t="str">
        <f t="shared" si="954"/>
        <v xml:space="preserve">N9217B  </v>
      </c>
      <c r="BC1773">
        <v>1</v>
      </c>
      <c r="BE1773">
        <v>0</v>
      </c>
      <c r="BF1773">
        <v>0</v>
      </c>
      <c r="BG1773">
        <v>0</v>
      </c>
      <c r="BH1773">
        <v>8350</v>
      </c>
      <c r="BI1773">
        <v>1</v>
      </c>
      <c r="BJ1773">
        <v>0</v>
      </c>
      <c r="BK1773">
        <v>0</v>
      </c>
      <c r="BL1773">
        <v>0</v>
      </c>
      <c r="BO1773">
        <v>0</v>
      </c>
      <c r="BP1773">
        <v>0</v>
      </c>
      <c r="BW1773" t="str">
        <f t="shared" ref="BW1773:BW1779" si="976">"14:53:27.132"</f>
        <v>14:53:27.132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285</v>
      </c>
      <c r="CR1773">
        <v>0</v>
      </c>
      <c r="CW1773">
        <v>8857578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25">
      <c r="A1774" t="str">
        <f t="shared" si="974"/>
        <v>06/05/2020 14:53:21.477</v>
      </c>
      <c r="C1774" t="str">
        <f t="shared" si="970"/>
        <v>FFDFD3C0</v>
      </c>
      <c r="D1774" t="s">
        <v>151</v>
      </c>
      <c r="E1774">
        <v>9</v>
      </c>
      <c r="H1774">
        <v>226</v>
      </c>
      <c r="I1774" t="s">
        <v>152</v>
      </c>
      <c r="J1774" t="s">
        <v>150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75"/>
        <v>14:53:27.125</v>
      </c>
      <c r="T1774" t="str">
        <f t="shared" ref="T1774:T1779" si="977">"14:53:26.825"</f>
        <v>14:53:26.825</v>
      </c>
      <c r="U1774" t="str">
        <f t="shared" si="949"/>
        <v>ACC530</v>
      </c>
      <c r="V1774">
        <v>0</v>
      </c>
      <c r="W1774">
        <v>0</v>
      </c>
      <c r="X1774">
        <v>1</v>
      </c>
      <c r="Z1774">
        <v>0</v>
      </c>
      <c r="AA1774">
        <v>9</v>
      </c>
      <c r="AB1774">
        <v>3</v>
      </c>
      <c r="AC1774">
        <v>0</v>
      </c>
      <c r="AD1774">
        <v>9</v>
      </c>
      <c r="AE1774">
        <v>0</v>
      </c>
      <c r="AF1774">
        <v>3</v>
      </c>
      <c r="AG1774">
        <v>1</v>
      </c>
      <c r="AH1774">
        <v>0</v>
      </c>
      <c r="AI1774" t="s">
        <v>676</v>
      </c>
      <c r="AJ1774">
        <v>34.185032999999997</v>
      </c>
      <c r="AK1774" t="s">
        <v>677</v>
      </c>
      <c r="AL1774">
        <v>-117.00428700000001</v>
      </c>
      <c r="AM1774">
        <v>100</v>
      </c>
      <c r="AN1774">
        <v>8400</v>
      </c>
      <c r="AO1774" t="s">
        <v>118</v>
      </c>
      <c r="AP1774">
        <v>-103</v>
      </c>
      <c r="AQ1774">
        <v>-69</v>
      </c>
      <c r="AR1774">
        <v>-1152</v>
      </c>
      <c r="AZ1774">
        <v>1200</v>
      </c>
      <c r="BA1774">
        <v>1</v>
      </c>
      <c r="BB1774" t="str">
        <f t="shared" si="954"/>
        <v xml:space="preserve">N9217B  </v>
      </c>
      <c r="BC1774">
        <v>1</v>
      </c>
      <c r="BE1774">
        <v>0</v>
      </c>
      <c r="BF1774">
        <v>0</v>
      </c>
      <c r="BG1774">
        <v>0</v>
      </c>
      <c r="BH1774">
        <v>8350</v>
      </c>
      <c r="BI1774">
        <v>1</v>
      </c>
      <c r="BJ1774">
        <v>0</v>
      </c>
      <c r="BK1774">
        <v>0</v>
      </c>
      <c r="BL1774">
        <v>0</v>
      </c>
      <c r="BO1774">
        <v>0</v>
      </c>
      <c r="BP1774">
        <v>0</v>
      </c>
      <c r="BW1774" t="str">
        <f t="shared" si="976"/>
        <v>14:53:27.132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4</v>
      </c>
      <c r="CP1774" t="s">
        <v>119</v>
      </c>
      <c r="CQ1774">
        <v>293</v>
      </c>
      <c r="CR1774">
        <v>1</v>
      </c>
      <c r="CW1774">
        <v>15292869</v>
      </c>
      <c r="CY1774">
        <v>0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25">
      <c r="A1775" t="str">
        <f t="shared" si="974"/>
        <v>06/05/2020 14:53:21.477</v>
      </c>
      <c r="C1775" t="str">
        <f t="shared" si="970"/>
        <v>FFDFD3C0</v>
      </c>
      <c r="D1775" t="s">
        <v>148</v>
      </c>
      <c r="E1775">
        <v>8</v>
      </c>
      <c r="H1775">
        <v>50</v>
      </c>
      <c r="I1775" t="s">
        <v>149</v>
      </c>
      <c r="J1775" t="s">
        <v>150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975"/>
        <v>14:53:27.125</v>
      </c>
      <c r="T1775" t="str">
        <f t="shared" si="977"/>
        <v>14:53:26.825</v>
      </c>
      <c r="U1775" t="str">
        <f t="shared" si="949"/>
        <v>ACC530</v>
      </c>
      <c r="V1775">
        <v>0</v>
      </c>
      <c r="W1775">
        <v>0</v>
      </c>
      <c r="X1775">
        <v>1</v>
      </c>
      <c r="Z1775">
        <v>0</v>
      </c>
      <c r="AA1775">
        <v>9</v>
      </c>
      <c r="AB1775">
        <v>3</v>
      </c>
      <c r="AC1775">
        <v>0</v>
      </c>
      <c r="AD1775">
        <v>9</v>
      </c>
      <c r="AE1775">
        <v>0</v>
      </c>
      <c r="AF1775">
        <v>3</v>
      </c>
      <c r="AG1775">
        <v>1</v>
      </c>
      <c r="AH1775">
        <v>0</v>
      </c>
      <c r="AI1775" t="s">
        <v>676</v>
      </c>
      <c r="AJ1775">
        <v>34.185032999999997</v>
      </c>
      <c r="AK1775" t="s">
        <v>677</v>
      </c>
      <c r="AL1775">
        <v>-117.00428700000001</v>
      </c>
      <c r="AM1775">
        <v>100</v>
      </c>
      <c r="AN1775">
        <v>8400</v>
      </c>
      <c r="AO1775" t="s">
        <v>118</v>
      </c>
      <c r="AP1775">
        <v>-103</v>
      </c>
      <c r="AQ1775">
        <v>-69</v>
      </c>
      <c r="AR1775">
        <v>-1152</v>
      </c>
      <c r="AZ1775">
        <v>1200</v>
      </c>
      <c r="BA1775">
        <v>1</v>
      </c>
      <c r="BB1775" t="str">
        <f t="shared" si="954"/>
        <v xml:space="preserve">N9217B  </v>
      </c>
      <c r="BC1775">
        <v>1</v>
      </c>
      <c r="BE1775">
        <v>0</v>
      </c>
      <c r="BF1775">
        <v>0</v>
      </c>
      <c r="BG1775">
        <v>0</v>
      </c>
      <c r="BH1775">
        <v>8350</v>
      </c>
      <c r="BI1775">
        <v>1</v>
      </c>
      <c r="BJ1775">
        <v>0</v>
      </c>
      <c r="BK1775">
        <v>0</v>
      </c>
      <c r="BL1775">
        <v>0</v>
      </c>
      <c r="BO1775">
        <v>0</v>
      </c>
      <c r="BP1775">
        <v>0</v>
      </c>
      <c r="BW1775" t="str">
        <f t="shared" si="976"/>
        <v>14:53:27.132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5</v>
      </c>
      <c r="CP1775" t="s">
        <v>119</v>
      </c>
      <c r="CQ1775">
        <v>295</v>
      </c>
      <c r="CR1775">
        <v>1</v>
      </c>
      <c r="CW1775">
        <v>12440664</v>
      </c>
      <c r="CY1775">
        <v>0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25">
      <c r="A1776" t="str">
        <f t="shared" si="974"/>
        <v>06/05/2020 14:53:21.477</v>
      </c>
      <c r="C1776" t="str">
        <f t="shared" si="970"/>
        <v>FFDFD3C0</v>
      </c>
      <c r="D1776" t="s">
        <v>113</v>
      </c>
      <c r="E1776">
        <v>3</v>
      </c>
      <c r="H1776">
        <v>166</v>
      </c>
      <c r="I1776" t="s">
        <v>114</v>
      </c>
      <c r="J1776" t="s">
        <v>115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975"/>
        <v>14:53:27.125</v>
      </c>
      <c r="T1776" t="str">
        <f t="shared" si="977"/>
        <v>14:53:26.825</v>
      </c>
      <c r="U1776" t="str">
        <f t="shared" si="949"/>
        <v>ACC530</v>
      </c>
      <c r="V1776">
        <v>0</v>
      </c>
      <c r="W1776">
        <v>0</v>
      </c>
      <c r="X1776">
        <v>1</v>
      </c>
      <c r="Z1776">
        <v>0</v>
      </c>
      <c r="AA1776">
        <v>9</v>
      </c>
      <c r="AB1776">
        <v>3</v>
      </c>
      <c r="AC1776">
        <v>0</v>
      </c>
      <c r="AD1776">
        <v>9</v>
      </c>
      <c r="AE1776">
        <v>0</v>
      </c>
      <c r="AF1776">
        <v>3</v>
      </c>
      <c r="AG1776">
        <v>1</v>
      </c>
      <c r="AH1776">
        <v>0</v>
      </c>
      <c r="AI1776" t="s">
        <v>676</v>
      </c>
      <c r="AJ1776">
        <v>34.185032999999997</v>
      </c>
      <c r="AK1776" t="s">
        <v>677</v>
      </c>
      <c r="AL1776">
        <v>-117.00428700000001</v>
      </c>
      <c r="AM1776">
        <v>100</v>
      </c>
      <c r="AN1776">
        <v>8400</v>
      </c>
      <c r="AO1776" t="s">
        <v>118</v>
      </c>
      <c r="AP1776">
        <v>-103</v>
      </c>
      <c r="AQ1776">
        <v>-69</v>
      </c>
      <c r="AR1776">
        <v>-1152</v>
      </c>
      <c r="AZ1776">
        <v>1200</v>
      </c>
      <c r="BA1776">
        <v>1</v>
      </c>
      <c r="BB1776" t="str">
        <f t="shared" si="954"/>
        <v xml:space="preserve">N9217B  </v>
      </c>
      <c r="BC1776">
        <v>1</v>
      </c>
      <c r="BE1776">
        <v>0</v>
      </c>
      <c r="BF1776">
        <v>0</v>
      </c>
      <c r="BG1776">
        <v>0</v>
      </c>
      <c r="BH1776">
        <v>8350</v>
      </c>
      <c r="BI1776">
        <v>1</v>
      </c>
      <c r="BJ1776">
        <v>0</v>
      </c>
      <c r="BK1776">
        <v>0</v>
      </c>
      <c r="BL1776">
        <v>0</v>
      </c>
      <c r="BO1776">
        <v>0</v>
      </c>
      <c r="BP1776">
        <v>0</v>
      </c>
      <c r="BW1776" t="str">
        <f t="shared" si="976"/>
        <v>14:53:27.132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5</v>
      </c>
      <c r="CP1776" t="s">
        <v>119</v>
      </c>
      <c r="CQ1776">
        <v>295</v>
      </c>
      <c r="CR1776">
        <v>1</v>
      </c>
      <c r="CW1776">
        <v>12440664</v>
      </c>
      <c r="CY1776">
        <v>0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25">
      <c r="A1777" t="str">
        <f t="shared" si="974"/>
        <v>06/05/2020 14:53:21.477</v>
      </c>
      <c r="C1777" t="str">
        <f t="shared" si="970"/>
        <v>FFDFD3C0</v>
      </c>
      <c r="D1777" t="s">
        <v>134</v>
      </c>
      <c r="E1777">
        <v>7</v>
      </c>
      <c r="F1777">
        <v>2007</v>
      </c>
      <c r="G1777" t="s">
        <v>135</v>
      </c>
      <c r="J1777" t="s">
        <v>136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75"/>
        <v>14:53:27.125</v>
      </c>
      <c r="T1777" t="str">
        <f t="shared" si="977"/>
        <v>14:53:26.825</v>
      </c>
      <c r="U1777" t="str">
        <f t="shared" si="949"/>
        <v>ACC530</v>
      </c>
      <c r="V1777">
        <v>0</v>
      </c>
      <c r="W1777">
        <v>0</v>
      </c>
      <c r="X1777">
        <v>1</v>
      </c>
      <c r="Z1777">
        <v>0</v>
      </c>
      <c r="AA1777">
        <v>9</v>
      </c>
      <c r="AB1777">
        <v>3</v>
      </c>
      <c r="AC1777">
        <v>0</v>
      </c>
      <c r="AD1777">
        <v>9</v>
      </c>
      <c r="AE1777">
        <v>0</v>
      </c>
      <c r="AF1777">
        <v>3</v>
      </c>
      <c r="AG1777">
        <v>1</v>
      </c>
      <c r="AH1777">
        <v>0</v>
      </c>
      <c r="AI1777" t="s">
        <v>676</v>
      </c>
      <c r="AJ1777">
        <v>34.185032999999997</v>
      </c>
      <c r="AK1777" t="s">
        <v>677</v>
      </c>
      <c r="AL1777">
        <v>-117.00428700000001</v>
      </c>
      <c r="AM1777">
        <v>100</v>
      </c>
      <c r="AN1777">
        <v>8400</v>
      </c>
      <c r="AO1777" t="s">
        <v>118</v>
      </c>
      <c r="AP1777">
        <v>-103</v>
      </c>
      <c r="AQ1777">
        <v>-69</v>
      </c>
      <c r="AR1777">
        <v>-1152</v>
      </c>
      <c r="AZ1777">
        <v>1200</v>
      </c>
      <c r="BA1777">
        <v>1</v>
      </c>
      <c r="BB1777" t="str">
        <f t="shared" si="954"/>
        <v xml:space="preserve">N9217B  </v>
      </c>
      <c r="BC1777">
        <v>1</v>
      </c>
      <c r="BE1777">
        <v>0</v>
      </c>
      <c r="BF1777">
        <v>0</v>
      </c>
      <c r="BG1777">
        <v>0</v>
      </c>
      <c r="BH1777">
        <v>8350</v>
      </c>
      <c r="BI1777">
        <v>1</v>
      </c>
      <c r="BJ1777">
        <v>0</v>
      </c>
      <c r="BK1777">
        <v>0</v>
      </c>
      <c r="BL1777">
        <v>0</v>
      </c>
      <c r="BO1777">
        <v>0</v>
      </c>
      <c r="BP1777">
        <v>0</v>
      </c>
      <c r="BW1777" t="str">
        <f t="shared" si="976"/>
        <v>14:53:27.132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5</v>
      </c>
      <c r="CP1777" t="s">
        <v>119</v>
      </c>
      <c r="CQ1777">
        <v>295</v>
      </c>
      <c r="CR1777">
        <v>1</v>
      </c>
      <c r="CW1777">
        <v>12440664</v>
      </c>
      <c r="CY1777">
        <v>0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25">
      <c r="A1778" t="str">
        <f t="shared" si="974"/>
        <v>06/05/2020 14:53:21.477</v>
      </c>
      <c r="C1778" t="str">
        <f t="shared" si="970"/>
        <v>FFDFD3C0</v>
      </c>
      <c r="D1778" t="s">
        <v>141</v>
      </c>
      <c r="E1778">
        <v>20</v>
      </c>
      <c r="F1778">
        <v>1020</v>
      </c>
      <c r="G1778" t="s">
        <v>114</v>
      </c>
      <c r="J1778" t="s">
        <v>142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75"/>
        <v>14:53:27.125</v>
      </c>
      <c r="T1778" t="str">
        <f t="shared" si="977"/>
        <v>14:53:26.825</v>
      </c>
      <c r="U1778" t="str">
        <f t="shared" si="949"/>
        <v>ACC530</v>
      </c>
      <c r="V1778">
        <v>0</v>
      </c>
      <c r="W1778">
        <v>0</v>
      </c>
      <c r="X1778">
        <v>1</v>
      </c>
      <c r="Z1778">
        <v>0</v>
      </c>
      <c r="AA1778">
        <v>9</v>
      </c>
      <c r="AB1778">
        <v>3</v>
      </c>
      <c r="AC1778">
        <v>0</v>
      </c>
      <c r="AD1778">
        <v>9</v>
      </c>
      <c r="AE1778">
        <v>0</v>
      </c>
      <c r="AF1778">
        <v>3</v>
      </c>
      <c r="AG1778">
        <v>1</v>
      </c>
      <c r="AH1778">
        <v>0</v>
      </c>
      <c r="AI1778" t="s">
        <v>676</v>
      </c>
      <c r="AJ1778">
        <v>34.185032999999997</v>
      </c>
      <c r="AK1778" t="s">
        <v>677</v>
      </c>
      <c r="AL1778">
        <v>-117.00428700000001</v>
      </c>
      <c r="AM1778">
        <v>100</v>
      </c>
      <c r="AN1778">
        <v>8400</v>
      </c>
      <c r="AO1778" t="s">
        <v>118</v>
      </c>
      <c r="AP1778">
        <v>-103</v>
      </c>
      <c r="AQ1778">
        <v>-69</v>
      </c>
      <c r="AR1778">
        <v>-1152</v>
      </c>
      <c r="AZ1778">
        <v>1200</v>
      </c>
      <c r="BA1778">
        <v>1</v>
      </c>
      <c r="BB1778" t="str">
        <f t="shared" si="954"/>
        <v xml:space="preserve">N9217B  </v>
      </c>
      <c r="BC1778">
        <v>1</v>
      </c>
      <c r="BE1778">
        <v>0</v>
      </c>
      <c r="BF1778">
        <v>0</v>
      </c>
      <c r="BG1778">
        <v>0</v>
      </c>
      <c r="BH1778">
        <v>8350</v>
      </c>
      <c r="BI1778">
        <v>1</v>
      </c>
      <c r="BJ1778">
        <v>0</v>
      </c>
      <c r="BK1778">
        <v>0</v>
      </c>
      <c r="BL1778">
        <v>0</v>
      </c>
      <c r="BO1778">
        <v>0</v>
      </c>
      <c r="BP1778">
        <v>0</v>
      </c>
      <c r="BW1778" t="str">
        <f t="shared" si="976"/>
        <v>14:53:27.132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5</v>
      </c>
      <c r="CP1778" t="s">
        <v>119</v>
      </c>
      <c r="CQ1778">
        <v>295</v>
      </c>
      <c r="CR1778">
        <v>1</v>
      </c>
      <c r="CW1778">
        <v>12440664</v>
      </c>
      <c r="CY1778">
        <v>0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25">
      <c r="A1779" t="str">
        <f t="shared" si="974"/>
        <v>06/05/2020 14:53:21.477</v>
      </c>
      <c r="C1779" t="str">
        <f t="shared" si="970"/>
        <v>FFDFD3C0</v>
      </c>
      <c r="D1779" t="s">
        <v>148</v>
      </c>
      <c r="E1779">
        <v>11</v>
      </c>
      <c r="H1779">
        <v>53</v>
      </c>
      <c r="I1779" t="s">
        <v>364</v>
      </c>
      <c r="J1779" t="s">
        <v>150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75"/>
        <v>14:53:27.125</v>
      </c>
      <c r="T1779" t="str">
        <f t="shared" si="977"/>
        <v>14:53:26.825</v>
      </c>
      <c r="U1779" t="str">
        <f t="shared" si="949"/>
        <v>ACC530</v>
      </c>
      <c r="V1779">
        <v>0</v>
      </c>
      <c r="W1779">
        <v>0</v>
      </c>
      <c r="X1779">
        <v>1</v>
      </c>
      <c r="Z1779">
        <v>0</v>
      </c>
      <c r="AA1779">
        <v>9</v>
      </c>
      <c r="AB1779">
        <v>3</v>
      </c>
      <c r="AC1779">
        <v>0</v>
      </c>
      <c r="AD1779">
        <v>9</v>
      </c>
      <c r="AE1779">
        <v>0</v>
      </c>
      <c r="AF1779">
        <v>3</v>
      </c>
      <c r="AG1779">
        <v>1</v>
      </c>
      <c r="AH1779">
        <v>0</v>
      </c>
      <c r="AI1779" t="s">
        <v>676</v>
      </c>
      <c r="AJ1779">
        <v>34.185032999999997</v>
      </c>
      <c r="AK1779" t="s">
        <v>677</v>
      </c>
      <c r="AL1779">
        <v>-117.00428700000001</v>
      </c>
      <c r="AM1779">
        <v>100</v>
      </c>
      <c r="AN1779">
        <v>8400</v>
      </c>
      <c r="AO1779" t="s">
        <v>118</v>
      </c>
      <c r="AP1779">
        <v>-103</v>
      </c>
      <c r="AQ1779">
        <v>-69</v>
      </c>
      <c r="AR1779">
        <v>-1152</v>
      </c>
      <c r="AZ1779">
        <v>1200</v>
      </c>
      <c r="BA1779">
        <v>1</v>
      </c>
      <c r="BB1779" t="str">
        <f t="shared" si="954"/>
        <v xml:space="preserve">N9217B  </v>
      </c>
      <c r="BC1779">
        <v>1</v>
      </c>
      <c r="BE1779">
        <v>0</v>
      </c>
      <c r="BF1779">
        <v>0</v>
      </c>
      <c r="BG1779">
        <v>0</v>
      </c>
      <c r="BH1779">
        <v>8350</v>
      </c>
      <c r="BI1779">
        <v>1</v>
      </c>
      <c r="BJ1779">
        <v>0</v>
      </c>
      <c r="BK1779">
        <v>0</v>
      </c>
      <c r="BL1779">
        <v>0</v>
      </c>
      <c r="BO1779">
        <v>0</v>
      </c>
      <c r="BP1779">
        <v>0</v>
      </c>
      <c r="BW1779" t="str">
        <f t="shared" si="976"/>
        <v>14:53:27.132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4</v>
      </c>
      <c r="CP1779" t="s">
        <v>119</v>
      </c>
      <c r="CQ1779">
        <v>293</v>
      </c>
      <c r="CR1779">
        <v>1</v>
      </c>
      <c r="CW1779">
        <v>15292869</v>
      </c>
      <c r="CY1779">
        <v>0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25">
      <c r="A1780" t="str">
        <f t="shared" ref="A1780:A1786" si="978">"06/05/2020 14:53:22.556"</f>
        <v>06/05/2020 14:53:22.556</v>
      </c>
      <c r="C1780" t="str">
        <f t="shared" si="970"/>
        <v>FFDFD3C0</v>
      </c>
      <c r="D1780" t="s">
        <v>134</v>
      </c>
      <c r="E1780">
        <v>7</v>
      </c>
      <c r="F1780">
        <v>2007</v>
      </c>
      <c r="G1780" t="s">
        <v>135</v>
      </c>
      <c r="J1780" t="s">
        <v>136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ref="S1780:T1786" si="979">"14:53:28.195"</f>
        <v>14:53:28.195</v>
      </c>
      <c r="T1780" t="str">
        <f t="shared" si="979"/>
        <v>14:53:28.195</v>
      </c>
      <c r="U1780" t="str">
        <f t="shared" si="949"/>
        <v>ACC530</v>
      </c>
      <c r="V1780">
        <v>0</v>
      </c>
      <c r="W1780">
        <v>0</v>
      </c>
      <c r="X1780">
        <v>1</v>
      </c>
      <c r="Z1780">
        <v>0</v>
      </c>
      <c r="AA1780">
        <v>9</v>
      </c>
      <c r="AB1780">
        <v>3</v>
      </c>
      <c r="AC1780">
        <v>0</v>
      </c>
      <c r="AD1780">
        <v>9</v>
      </c>
      <c r="AE1780">
        <v>0</v>
      </c>
      <c r="AF1780">
        <v>3</v>
      </c>
      <c r="AG1780">
        <v>1</v>
      </c>
      <c r="AH1780">
        <v>0</v>
      </c>
      <c r="AI1780" t="s">
        <v>678</v>
      </c>
      <c r="AJ1780">
        <v>34.184711</v>
      </c>
      <c r="AK1780" t="s">
        <v>679</v>
      </c>
      <c r="AL1780">
        <v>-117.00491</v>
      </c>
      <c r="AM1780">
        <v>100</v>
      </c>
      <c r="AN1780">
        <v>8300</v>
      </c>
      <c r="AO1780" t="s">
        <v>118</v>
      </c>
      <c r="AP1780">
        <v>-104</v>
      </c>
      <c r="AQ1780">
        <v>-69</v>
      </c>
      <c r="AR1780">
        <v>-1024</v>
      </c>
      <c r="AZ1780">
        <v>1200</v>
      </c>
      <c r="BA1780">
        <v>1</v>
      </c>
      <c r="BB1780" t="str">
        <f t="shared" si="954"/>
        <v xml:space="preserve">N9217B  </v>
      </c>
      <c r="BC1780">
        <v>1</v>
      </c>
      <c r="BE1780">
        <v>0</v>
      </c>
      <c r="BF1780">
        <v>0</v>
      </c>
      <c r="BG1780">
        <v>0</v>
      </c>
      <c r="BH1780">
        <v>8325</v>
      </c>
      <c r="BI1780">
        <v>1</v>
      </c>
      <c r="BJ1780">
        <v>0</v>
      </c>
      <c r="BK1780">
        <v>0</v>
      </c>
      <c r="BL1780">
        <v>0</v>
      </c>
      <c r="BO1780">
        <v>0</v>
      </c>
      <c r="BP1780">
        <v>0</v>
      </c>
      <c r="BW1780" t="str">
        <f t="shared" ref="BW1780:BW1786" si="980">"14:53:28.197"</f>
        <v>14:53:28.197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6</v>
      </c>
      <c r="CP1780" t="s">
        <v>119</v>
      </c>
      <c r="CQ1780">
        <v>285</v>
      </c>
      <c r="CR1780">
        <v>0</v>
      </c>
      <c r="CW1780">
        <v>8857668</v>
      </c>
      <c r="CY1780">
        <v>0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25">
      <c r="A1781" t="str">
        <f t="shared" si="978"/>
        <v>06/05/2020 14:53:22.556</v>
      </c>
      <c r="C1781" t="str">
        <f t="shared" si="970"/>
        <v>FFDFD3C0</v>
      </c>
      <c r="D1781" t="s">
        <v>113</v>
      </c>
      <c r="E1781">
        <v>3</v>
      </c>
      <c r="H1781">
        <v>166</v>
      </c>
      <c r="I1781" t="s">
        <v>114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79"/>
        <v>14:53:28.195</v>
      </c>
      <c r="T1781" t="str">
        <f t="shared" si="979"/>
        <v>14:53:28.195</v>
      </c>
      <c r="U1781" t="str">
        <f t="shared" si="949"/>
        <v>ACC530</v>
      </c>
      <c r="V1781">
        <v>0</v>
      </c>
      <c r="W1781">
        <v>0</v>
      </c>
      <c r="X1781">
        <v>1</v>
      </c>
      <c r="Z1781">
        <v>0</v>
      </c>
      <c r="AA1781">
        <v>9</v>
      </c>
      <c r="AB1781">
        <v>3</v>
      </c>
      <c r="AC1781">
        <v>0</v>
      </c>
      <c r="AD1781">
        <v>9</v>
      </c>
      <c r="AE1781">
        <v>0</v>
      </c>
      <c r="AF1781">
        <v>3</v>
      </c>
      <c r="AG1781">
        <v>1</v>
      </c>
      <c r="AH1781">
        <v>0</v>
      </c>
      <c r="AI1781" t="s">
        <v>678</v>
      </c>
      <c r="AJ1781">
        <v>34.184711</v>
      </c>
      <c r="AK1781" t="s">
        <v>679</v>
      </c>
      <c r="AL1781">
        <v>-117.00491</v>
      </c>
      <c r="AM1781">
        <v>100</v>
      </c>
      <c r="AN1781">
        <v>8300</v>
      </c>
      <c r="AO1781" t="s">
        <v>118</v>
      </c>
      <c r="AP1781">
        <v>-104</v>
      </c>
      <c r="AQ1781">
        <v>-69</v>
      </c>
      <c r="AR1781">
        <v>-1024</v>
      </c>
      <c r="AZ1781">
        <v>1200</v>
      </c>
      <c r="BA1781">
        <v>1</v>
      </c>
      <c r="BB1781" t="str">
        <f t="shared" si="954"/>
        <v xml:space="preserve">N9217B  </v>
      </c>
      <c r="BC1781">
        <v>1</v>
      </c>
      <c r="BE1781">
        <v>0</v>
      </c>
      <c r="BF1781">
        <v>0</v>
      </c>
      <c r="BG1781">
        <v>0</v>
      </c>
      <c r="BH1781">
        <v>8325</v>
      </c>
      <c r="BI1781">
        <v>1</v>
      </c>
      <c r="BJ1781">
        <v>0</v>
      </c>
      <c r="BK1781">
        <v>0</v>
      </c>
      <c r="BL1781">
        <v>0</v>
      </c>
      <c r="BO1781">
        <v>0</v>
      </c>
      <c r="BP1781">
        <v>0</v>
      </c>
      <c r="BW1781" t="str">
        <f t="shared" si="980"/>
        <v>14:53:28.197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285</v>
      </c>
      <c r="CR1781">
        <v>0</v>
      </c>
      <c r="CW1781">
        <v>8857668</v>
      </c>
      <c r="CY1781">
        <v>0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25">
      <c r="A1782" t="str">
        <f t="shared" si="978"/>
        <v>06/05/2020 14:53:22.556</v>
      </c>
      <c r="C1782" t="str">
        <f t="shared" si="970"/>
        <v>FFDFD3C0</v>
      </c>
      <c r="D1782" t="s">
        <v>141</v>
      </c>
      <c r="E1782">
        <v>20</v>
      </c>
      <c r="F1782">
        <v>1020</v>
      </c>
      <c r="G1782" t="s">
        <v>114</v>
      </c>
      <c r="J1782" t="s">
        <v>142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979"/>
        <v>14:53:28.195</v>
      </c>
      <c r="T1782" t="str">
        <f t="shared" si="979"/>
        <v>14:53:28.195</v>
      </c>
      <c r="U1782" t="str">
        <f t="shared" si="949"/>
        <v>ACC530</v>
      </c>
      <c r="V1782">
        <v>0</v>
      </c>
      <c r="W1782">
        <v>0</v>
      </c>
      <c r="X1782">
        <v>1</v>
      </c>
      <c r="Z1782">
        <v>0</v>
      </c>
      <c r="AA1782">
        <v>9</v>
      </c>
      <c r="AB1782">
        <v>3</v>
      </c>
      <c r="AC1782">
        <v>0</v>
      </c>
      <c r="AD1782">
        <v>9</v>
      </c>
      <c r="AE1782">
        <v>0</v>
      </c>
      <c r="AF1782">
        <v>3</v>
      </c>
      <c r="AG1782">
        <v>1</v>
      </c>
      <c r="AH1782">
        <v>0</v>
      </c>
      <c r="AI1782" t="s">
        <v>678</v>
      </c>
      <c r="AJ1782">
        <v>34.184711</v>
      </c>
      <c r="AK1782" t="s">
        <v>679</v>
      </c>
      <c r="AL1782">
        <v>-117.00491</v>
      </c>
      <c r="AM1782">
        <v>100</v>
      </c>
      <c r="AN1782">
        <v>8300</v>
      </c>
      <c r="AO1782" t="s">
        <v>118</v>
      </c>
      <c r="AP1782">
        <v>-104</v>
      </c>
      <c r="AQ1782">
        <v>-69</v>
      </c>
      <c r="AR1782">
        <v>-1024</v>
      </c>
      <c r="AZ1782">
        <v>1200</v>
      </c>
      <c r="BA1782">
        <v>1</v>
      </c>
      <c r="BB1782" t="str">
        <f t="shared" si="954"/>
        <v xml:space="preserve">N9217B  </v>
      </c>
      <c r="BC1782">
        <v>1</v>
      </c>
      <c r="BE1782">
        <v>0</v>
      </c>
      <c r="BF1782">
        <v>0</v>
      </c>
      <c r="BG1782">
        <v>0</v>
      </c>
      <c r="BH1782">
        <v>8325</v>
      </c>
      <c r="BI1782">
        <v>1</v>
      </c>
      <c r="BJ1782">
        <v>0</v>
      </c>
      <c r="BK1782">
        <v>0</v>
      </c>
      <c r="BL1782">
        <v>0</v>
      </c>
      <c r="BO1782">
        <v>0</v>
      </c>
      <c r="BP1782">
        <v>0</v>
      </c>
      <c r="BW1782" t="str">
        <f t="shared" si="980"/>
        <v>14:53:28.197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285</v>
      </c>
      <c r="CR1782">
        <v>0</v>
      </c>
      <c r="CW1782">
        <v>8857668</v>
      </c>
      <c r="CY1782">
        <v>0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25">
      <c r="A1783" t="str">
        <f t="shared" si="978"/>
        <v>06/05/2020 14:53:22.556</v>
      </c>
      <c r="C1783" t="str">
        <f t="shared" si="970"/>
        <v>FFDFD3C0</v>
      </c>
      <c r="D1783" t="s">
        <v>148</v>
      </c>
      <c r="E1783">
        <v>11</v>
      </c>
      <c r="H1783">
        <v>53</v>
      </c>
      <c r="I1783" t="s">
        <v>364</v>
      </c>
      <c r="J1783" t="s">
        <v>150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979"/>
        <v>14:53:28.195</v>
      </c>
      <c r="T1783" t="str">
        <f t="shared" si="979"/>
        <v>14:53:28.195</v>
      </c>
      <c r="U1783" t="str">
        <f t="shared" si="949"/>
        <v>ACC530</v>
      </c>
      <c r="V1783">
        <v>0</v>
      </c>
      <c r="W1783">
        <v>0</v>
      </c>
      <c r="X1783">
        <v>1</v>
      </c>
      <c r="Z1783">
        <v>0</v>
      </c>
      <c r="AA1783">
        <v>9</v>
      </c>
      <c r="AB1783">
        <v>3</v>
      </c>
      <c r="AC1783">
        <v>0</v>
      </c>
      <c r="AD1783">
        <v>9</v>
      </c>
      <c r="AE1783">
        <v>0</v>
      </c>
      <c r="AF1783">
        <v>3</v>
      </c>
      <c r="AG1783">
        <v>1</v>
      </c>
      <c r="AH1783">
        <v>0</v>
      </c>
      <c r="AI1783" t="s">
        <v>678</v>
      </c>
      <c r="AJ1783">
        <v>34.184711</v>
      </c>
      <c r="AK1783" t="s">
        <v>679</v>
      </c>
      <c r="AL1783">
        <v>-117.00491</v>
      </c>
      <c r="AM1783">
        <v>100</v>
      </c>
      <c r="AN1783">
        <v>8300</v>
      </c>
      <c r="AO1783" t="s">
        <v>118</v>
      </c>
      <c r="AP1783">
        <v>-104</v>
      </c>
      <c r="AQ1783">
        <v>-69</v>
      </c>
      <c r="AR1783">
        <v>-1024</v>
      </c>
      <c r="AZ1783">
        <v>1200</v>
      </c>
      <c r="BA1783">
        <v>1</v>
      </c>
      <c r="BB1783" t="str">
        <f t="shared" si="954"/>
        <v xml:space="preserve">N9217B  </v>
      </c>
      <c r="BC1783">
        <v>1</v>
      </c>
      <c r="BE1783">
        <v>0</v>
      </c>
      <c r="BF1783">
        <v>0</v>
      </c>
      <c r="BG1783">
        <v>0</v>
      </c>
      <c r="BH1783">
        <v>8325</v>
      </c>
      <c r="BI1783">
        <v>1</v>
      </c>
      <c r="BJ1783">
        <v>0</v>
      </c>
      <c r="BK1783">
        <v>0</v>
      </c>
      <c r="BL1783">
        <v>0</v>
      </c>
      <c r="BO1783">
        <v>0</v>
      </c>
      <c r="BP1783">
        <v>0</v>
      </c>
      <c r="BW1783" t="str">
        <f t="shared" si="980"/>
        <v>14:53:28.197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6</v>
      </c>
      <c r="CP1783" t="s">
        <v>119</v>
      </c>
      <c r="CQ1783">
        <v>285</v>
      </c>
      <c r="CR1783">
        <v>0</v>
      </c>
      <c r="CW1783">
        <v>8857668</v>
      </c>
      <c r="CY1783">
        <v>0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25">
      <c r="A1784" t="str">
        <f t="shared" si="978"/>
        <v>06/05/2020 14:53:22.556</v>
      </c>
      <c r="C1784" t="str">
        <f t="shared" si="970"/>
        <v>FFDFD3C0</v>
      </c>
      <c r="D1784" t="s">
        <v>151</v>
      </c>
      <c r="E1784">
        <v>8</v>
      </c>
      <c r="H1784">
        <v>225</v>
      </c>
      <c r="I1784" t="s">
        <v>353</v>
      </c>
      <c r="J1784" t="s">
        <v>150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79"/>
        <v>14:53:28.195</v>
      </c>
      <c r="T1784" t="str">
        <f t="shared" si="979"/>
        <v>14:53:28.195</v>
      </c>
      <c r="U1784" t="str">
        <f t="shared" si="949"/>
        <v>ACC530</v>
      </c>
      <c r="V1784">
        <v>0</v>
      </c>
      <c r="W1784">
        <v>0</v>
      </c>
      <c r="X1784">
        <v>1</v>
      </c>
      <c r="Z1784">
        <v>0</v>
      </c>
      <c r="AA1784">
        <v>9</v>
      </c>
      <c r="AB1784">
        <v>3</v>
      </c>
      <c r="AC1784">
        <v>0</v>
      </c>
      <c r="AD1784">
        <v>9</v>
      </c>
      <c r="AE1784">
        <v>0</v>
      </c>
      <c r="AF1784">
        <v>3</v>
      </c>
      <c r="AG1784">
        <v>1</v>
      </c>
      <c r="AH1784">
        <v>0</v>
      </c>
      <c r="AI1784" t="s">
        <v>678</v>
      </c>
      <c r="AJ1784">
        <v>34.184711</v>
      </c>
      <c r="AK1784" t="s">
        <v>679</v>
      </c>
      <c r="AL1784">
        <v>-117.00491</v>
      </c>
      <c r="AM1784">
        <v>100</v>
      </c>
      <c r="AN1784">
        <v>8300</v>
      </c>
      <c r="AO1784" t="s">
        <v>118</v>
      </c>
      <c r="AP1784">
        <v>-104</v>
      </c>
      <c r="AQ1784">
        <v>-69</v>
      </c>
      <c r="AR1784">
        <v>-1024</v>
      </c>
      <c r="AZ1784">
        <v>1200</v>
      </c>
      <c r="BA1784">
        <v>1</v>
      </c>
      <c r="BB1784" t="str">
        <f t="shared" si="954"/>
        <v xml:space="preserve">N9217B  </v>
      </c>
      <c r="BC1784">
        <v>1</v>
      </c>
      <c r="BE1784">
        <v>0</v>
      </c>
      <c r="BF1784">
        <v>0</v>
      </c>
      <c r="BG1784">
        <v>0</v>
      </c>
      <c r="BH1784">
        <v>8325</v>
      </c>
      <c r="BI1784">
        <v>1</v>
      </c>
      <c r="BJ1784">
        <v>0</v>
      </c>
      <c r="BK1784">
        <v>0</v>
      </c>
      <c r="BL1784">
        <v>0</v>
      </c>
      <c r="BO1784">
        <v>0</v>
      </c>
      <c r="BP1784">
        <v>0</v>
      </c>
      <c r="BW1784" t="str">
        <f t="shared" si="980"/>
        <v>14:53:28.197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6</v>
      </c>
      <c r="CP1784" t="s">
        <v>119</v>
      </c>
      <c r="CQ1784">
        <v>285</v>
      </c>
      <c r="CR1784">
        <v>0</v>
      </c>
      <c r="CW1784">
        <v>8857668</v>
      </c>
      <c r="CY1784">
        <v>0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25">
      <c r="A1785" t="str">
        <f t="shared" si="978"/>
        <v>06/05/2020 14:53:22.556</v>
      </c>
      <c r="C1785" t="str">
        <f t="shared" si="970"/>
        <v>FFDFD3C0</v>
      </c>
      <c r="D1785" t="s">
        <v>151</v>
      </c>
      <c r="E1785">
        <v>9</v>
      </c>
      <c r="H1785">
        <v>226</v>
      </c>
      <c r="I1785" t="s">
        <v>152</v>
      </c>
      <c r="J1785" t="s">
        <v>150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79"/>
        <v>14:53:28.195</v>
      </c>
      <c r="T1785" t="str">
        <f t="shared" si="979"/>
        <v>14:53:28.195</v>
      </c>
      <c r="U1785" t="str">
        <f t="shared" si="949"/>
        <v>ACC530</v>
      </c>
      <c r="V1785">
        <v>0</v>
      </c>
      <c r="W1785">
        <v>0</v>
      </c>
      <c r="X1785">
        <v>1</v>
      </c>
      <c r="Z1785">
        <v>0</v>
      </c>
      <c r="AA1785">
        <v>9</v>
      </c>
      <c r="AB1785">
        <v>3</v>
      </c>
      <c r="AC1785">
        <v>0</v>
      </c>
      <c r="AD1785">
        <v>9</v>
      </c>
      <c r="AE1785">
        <v>0</v>
      </c>
      <c r="AF1785">
        <v>3</v>
      </c>
      <c r="AG1785">
        <v>1</v>
      </c>
      <c r="AH1785">
        <v>0</v>
      </c>
      <c r="AI1785" t="s">
        <v>678</v>
      </c>
      <c r="AJ1785">
        <v>34.184711</v>
      </c>
      <c r="AK1785" t="s">
        <v>679</v>
      </c>
      <c r="AL1785">
        <v>-117.00491</v>
      </c>
      <c r="AM1785">
        <v>100</v>
      </c>
      <c r="AN1785">
        <v>8300</v>
      </c>
      <c r="AO1785" t="s">
        <v>118</v>
      </c>
      <c r="AP1785">
        <v>-104</v>
      </c>
      <c r="AQ1785">
        <v>-69</v>
      </c>
      <c r="AR1785">
        <v>-1024</v>
      </c>
      <c r="AZ1785">
        <v>1200</v>
      </c>
      <c r="BA1785">
        <v>1</v>
      </c>
      <c r="BB1785" t="str">
        <f t="shared" si="954"/>
        <v xml:space="preserve">N9217B  </v>
      </c>
      <c r="BC1785">
        <v>1</v>
      </c>
      <c r="BE1785">
        <v>0</v>
      </c>
      <c r="BF1785">
        <v>0</v>
      </c>
      <c r="BG1785">
        <v>0</v>
      </c>
      <c r="BH1785">
        <v>8325</v>
      </c>
      <c r="BI1785">
        <v>1</v>
      </c>
      <c r="BJ1785">
        <v>0</v>
      </c>
      <c r="BK1785">
        <v>0</v>
      </c>
      <c r="BL1785">
        <v>0</v>
      </c>
      <c r="BO1785">
        <v>0</v>
      </c>
      <c r="BP1785">
        <v>0</v>
      </c>
      <c r="BW1785" t="str">
        <f t="shared" si="980"/>
        <v>14:53:28.197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6</v>
      </c>
      <c r="CP1785" t="s">
        <v>119</v>
      </c>
      <c r="CQ1785">
        <v>285</v>
      </c>
      <c r="CR1785">
        <v>0</v>
      </c>
      <c r="CW1785">
        <v>8857668</v>
      </c>
      <c r="CY1785">
        <v>0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25">
      <c r="A1786" t="str">
        <f t="shared" si="978"/>
        <v>06/05/2020 14:53:22.556</v>
      </c>
      <c r="C1786" t="str">
        <f t="shared" si="970"/>
        <v>FFDFD3C0</v>
      </c>
      <c r="D1786" t="s">
        <v>148</v>
      </c>
      <c r="E1786">
        <v>8</v>
      </c>
      <c r="H1786">
        <v>50</v>
      </c>
      <c r="I1786" t="s">
        <v>149</v>
      </c>
      <c r="J1786" t="s">
        <v>150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79"/>
        <v>14:53:28.195</v>
      </c>
      <c r="T1786" t="str">
        <f t="shared" si="979"/>
        <v>14:53:28.195</v>
      </c>
      <c r="U1786" t="str">
        <f t="shared" si="949"/>
        <v>ACC530</v>
      </c>
      <c r="V1786">
        <v>0</v>
      </c>
      <c r="W1786">
        <v>0</v>
      </c>
      <c r="X1786">
        <v>1</v>
      </c>
      <c r="Z1786">
        <v>0</v>
      </c>
      <c r="AA1786">
        <v>9</v>
      </c>
      <c r="AB1786">
        <v>3</v>
      </c>
      <c r="AC1786">
        <v>0</v>
      </c>
      <c r="AD1786">
        <v>9</v>
      </c>
      <c r="AE1786">
        <v>0</v>
      </c>
      <c r="AF1786">
        <v>3</v>
      </c>
      <c r="AG1786">
        <v>1</v>
      </c>
      <c r="AH1786">
        <v>0</v>
      </c>
      <c r="AI1786" t="s">
        <v>678</v>
      </c>
      <c r="AJ1786">
        <v>34.184711</v>
      </c>
      <c r="AK1786" t="s">
        <v>679</v>
      </c>
      <c r="AL1786">
        <v>-117.00491</v>
      </c>
      <c r="AM1786">
        <v>100</v>
      </c>
      <c r="AN1786">
        <v>8300</v>
      </c>
      <c r="AO1786" t="s">
        <v>118</v>
      </c>
      <c r="AP1786">
        <v>-104</v>
      </c>
      <c r="AQ1786">
        <v>-69</v>
      </c>
      <c r="AR1786">
        <v>-1024</v>
      </c>
      <c r="AZ1786">
        <v>1200</v>
      </c>
      <c r="BA1786">
        <v>1</v>
      </c>
      <c r="BB1786" t="str">
        <f t="shared" si="954"/>
        <v xml:space="preserve">N9217B  </v>
      </c>
      <c r="BC1786">
        <v>1</v>
      </c>
      <c r="BE1786">
        <v>0</v>
      </c>
      <c r="BF1786">
        <v>0</v>
      </c>
      <c r="BG1786">
        <v>0</v>
      </c>
      <c r="BH1786">
        <v>8325</v>
      </c>
      <c r="BI1786">
        <v>1</v>
      </c>
      <c r="BJ1786">
        <v>0</v>
      </c>
      <c r="BK1786">
        <v>0</v>
      </c>
      <c r="BL1786">
        <v>0</v>
      </c>
      <c r="BO1786">
        <v>0</v>
      </c>
      <c r="BP1786">
        <v>0</v>
      </c>
      <c r="BW1786" t="str">
        <f t="shared" si="980"/>
        <v>14:53:28.197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6</v>
      </c>
      <c r="CP1786" t="s">
        <v>119</v>
      </c>
      <c r="CQ1786">
        <v>285</v>
      </c>
      <c r="CR1786">
        <v>0</v>
      </c>
      <c r="CW1786">
        <v>8857668</v>
      </c>
      <c r="CY1786">
        <v>0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25">
      <c r="A1787" t="str">
        <f t="shared" ref="A1787:A1793" si="981">"06/05/2020 14:53:23.690"</f>
        <v>06/05/2020 14:53:23.690</v>
      </c>
      <c r="C1787" t="str">
        <f t="shared" si="970"/>
        <v>FFDFD3C0</v>
      </c>
      <c r="D1787" t="s">
        <v>141</v>
      </c>
      <c r="E1787">
        <v>20</v>
      </c>
      <c r="F1787">
        <v>1020</v>
      </c>
      <c r="G1787" t="s">
        <v>114</v>
      </c>
      <c r="J1787" t="s">
        <v>142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ref="S1787:T1793" si="982">"14:53:29.320"</f>
        <v>14:53:29.320</v>
      </c>
      <c r="T1787" t="str">
        <f t="shared" si="982"/>
        <v>14:53:29.320</v>
      </c>
      <c r="U1787" t="str">
        <f t="shared" si="949"/>
        <v>ACC530</v>
      </c>
      <c r="V1787">
        <v>0</v>
      </c>
      <c r="W1787">
        <v>0</v>
      </c>
      <c r="X1787">
        <v>1</v>
      </c>
      <c r="Z1787">
        <v>0</v>
      </c>
      <c r="AA1787">
        <v>9</v>
      </c>
      <c r="AB1787">
        <v>3</v>
      </c>
      <c r="AC1787">
        <v>0</v>
      </c>
      <c r="AD1787">
        <v>9</v>
      </c>
      <c r="AE1787">
        <v>0</v>
      </c>
      <c r="AF1787">
        <v>3</v>
      </c>
      <c r="AG1787">
        <v>1</v>
      </c>
      <c r="AH1787">
        <v>0</v>
      </c>
      <c r="AI1787" t="s">
        <v>680</v>
      </c>
      <c r="AJ1787">
        <v>34.184367999999999</v>
      </c>
      <c r="AK1787" t="s">
        <v>681</v>
      </c>
      <c r="AL1787">
        <v>-117.00557499999999</v>
      </c>
      <c r="AM1787">
        <v>100</v>
      </c>
      <c r="AN1787">
        <v>8300</v>
      </c>
      <c r="AO1787" t="s">
        <v>118</v>
      </c>
      <c r="AP1787">
        <v>-104</v>
      </c>
      <c r="AQ1787">
        <v>-69</v>
      </c>
      <c r="AR1787">
        <v>-896</v>
      </c>
      <c r="AZ1787">
        <v>1200</v>
      </c>
      <c r="BA1787">
        <v>1</v>
      </c>
      <c r="BB1787" t="str">
        <f t="shared" si="954"/>
        <v xml:space="preserve">N9217B  </v>
      </c>
      <c r="BC1787">
        <v>1</v>
      </c>
      <c r="BE1787">
        <v>0</v>
      </c>
      <c r="BF1787">
        <v>0</v>
      </c>
      <c r="BG1787">
        <v>0</v>
      </c>
      <c r="BH1787">
        <v>8300</v>
      </c>
      <c r="BI1787">
        <v>1</v>
      </c>
      <c r="BJ1787">
        <v>0</v>
      </c>
      <c r="BK1787">
        <v>0</v>
      </c>
      <c r="BL1787">
        <v>0</v>
      </c>
      <c r="BO1787">
        <v>0</v>
      </c>
      <c r="BP1787">
        <v>0</v>
      </c>
      <c r="BW1787" t="str">
        <f t="shared" ref="BW1787:BW1793" si="983">"14:53:29.322"</f>
        <v>14:53:29.322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6</v>
      </c>
      <c r="CP1787" t="s">
        <v>119</v>
      </c>
      <c r="CQ1787">
        <v>285</v>
      </c>
      <c r="CR1787">
        <v>0</v>
      </c>
      <c r="CW1787">
        <v>8857762</v>
      </c>
      <c r="CY1787">
        <v>0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25">
      <c r="A1788" t="str">
        <f t="shared" si="981"/>
        <v>06/05/2020 14:53:23.690</v>
      </c>
      <c r="C1788" t="str">
        <f t="shared" si="970"/>
        <v>FFDFD3C0</v>
      </c>
      <c r="D1788" t="s">
        <v>148</v>
      </c>
      <c r="E1788">
        <v>11</v>
      </c>
      <c r="H1788">
        <v>53</v>
      </c>
      <c r="I1788" t="s">
        <v>364</v>
      </c>
      <c r="J1788" t="s">
        <v>150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982"/>
        <v>14:53:29.320</v>
      </c>
      <c r="T1788" t="str">
        <f t="shared" si="982"/>
        <v>14:53:29.320</v>
      </c>
      <c r="U1788" t="str">
        <f t="shared" si="949"/>
        <v>ACC530</v>
      </c>
      <c r="V1788">
        <v>0</v>
      </c>
      <c r="W1788">
        <v>0</v>
      </c>
      <c r="X1788">
        <v>1</v>
      </c>
      <c r="Z1788">
        <v>0</v>
      </c>
      <c r="AA1788">
        <v>9</v>
      </c>
      <c r="AB1788">
        <v>3</v>
      </c>
      <c r="AC1788">
        <v>0</v>
      </c>
      <c r="AD1788">
        <v>9</v>
      </c>
      <c r="AE1788">
        <v>0</v>
      </c>
      <c r="AF1788">
        <v>3</v>
      </c>
      <c r="AG1788">
        <v>1</v>
      </c>
      <c r="AH1788">
        <v>0</v>
      </c>
      <c r="AI1788" t="s">
        <v>680</v>
      </c>
      <c r="AJ1788">
        <v>34.184367999999999</v>
      </c>
      <c r="AK1788" t="s">
        <v>681</v>
      </c>
      <c r="AL1788">
        <v>-117.00557499999999</v>
      </c>
      <c r="AM1788">
        <v>100</v>
      </c>
      <c r="AN1788">
        <v>8300</v>
      </c>
      <c r="AO1788" t="s">
        <v>118</v>
      </c>
      <c r="AP1788">
        <v>-104</v>
      </c>
      <c r="AQ1788">
        <v>-69</v>
      </c>
      <c r="AR1788">
        <v>-896</v>
      </c>
      <c r="AZ1788">
        <v>1200</v>
      </c>
      <c r="BA1788">
        <v>1</v>
      </c>
      <c r="BB1788" t="str">
        <f t="shared" si="954"/>
        <v xml:space="preserve">N9217B  </v>
      </c>
      <c r="BC1788">
        <v>1</v>
      </c>
      <c r="BE1788">
        <v>0</v>
      </c>
      <c r="BF1788">
        <v>0</v>
      </c>
      <c r="BG1788">
        <v>0</v>
      </c>
      <c r="BH1788">
        <v>8300</v>
      </c>
      <c r="BI1788">
        <v>1</v>
      </c>
      <c r="BJ1788">
        <v>0</v>
      </c>
      <c r="BK1788">
        <v>0</v>
      </c>
      <c r="BL1788">
        <v>0</v>
      </c>
      <c r="BO1788">
        <v>0</v>
      </c>
      <c r="BP1788">
        <v>0</v>
      </c>
      <c r="BW1788" t="str">
        <f t="shared" si="983"/>
        <v>14:53:29.322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6</v>
      </c>
      <c r="CP1788" t="s">
        <v>119</v>
      </c>
      <c r="CQ1788">
        <v>285</v>
      </c>
      <c r="CR1788">
        <v>0</v>
      </c>
      <c r="CW1788">
        <v>8857762</v>
      </c>
      <c r="CY1788">
        <v>0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25">
      <c r="A1789" t="str">
        <f t="shared" si="981"/>
        <v>06/05/2020 14:53:23.690</v>
      </c>
      <c r="C1789" t="str">
        <f t="shared" si="970"/>
        <v>FFDFD3C0</v>
      </c>
      <c r="D1789" t="s">
        <v>151</v>
      </c>
      <c r="E1789">
        <v>8</v>
      </c>
      <c r="H1789">
        <v>225</v>
      </c>
      <c r="I1789" t="s">
        <v>353</v>
      </c>
      <c r="J1789" t="s">
        <v>150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982"/>
        <v>14:53:29.320</v>
      </c>
      <c r="T1789" t="str">
        <f t="shared" si="982"/>
        <v>14:53:29.320</v>
      </c>
      <c r="U1789" t="str">
        <f t="shared" si="949"/>
        <v>ACC530</v>
      </c>
      <c r="V1789">
        <v>0</v>
      </c>
      <c r="W1789">
        <v>0</v>
      </c>
      <c r="X1789">
        <v>1</v>
      </c>
      <c r="Z1789">
        <v>0</v>
      </c>
      <c r="AA1789">
        <v>9</v>
      </c>
      <c r="AB1789">
        <v>3</v>
      </c>
      <c r="AC1789">
        <v>0</v>
      </c>
      <c r="AD1789">
        <v>9</v>
      </c>
      <c r="AE1789">
        <v>0</v>
      </c>
      <c r="AF1789">
        <v>3</v>
      </c>
      <c r="AG1789">
        <v>1</v>
      </c>
      <c r="AH1789">
        <v>0</v>
      </c>
      <c r="AI1789" t="s">
        <v>680</v>
      </c>
      <c r="AJ1789">
        <v>34.184367999999999</v>
      </c>
      <c r="AK1789" t="s">
        <v>681</v>
      </c>
      <c r="AL1789">
        <v>-117.00557499999999</v>
      </c>
      <c r="AM1789">
        <v>100</v>
      </c>
      <c r="AN1789">
        <v>8300</v>
      </c>
      <c r="AO1789" t="s">
        <v>118</v>
      </c>
      <c r="AP1789">
        <v>-104</v>
      </c>
      <c r="AQ1789">
        <v>-69</v>
      </c>
      <c r="AR1789">
        <v>-896</v>
      </c>
      <c r="AZ1789">
        <v>1200</v>
      </c>
      <c r="BA1789">
        <v>1</v>
      </c>
      <c r="BB1789" t="str">
        <f t="shared" si="954"/>
        <v xml:space="preserve">N9217B  </v>
      </c>
      <c r="BC1789">
        <v>1</v>
      </c>
      <c r="BE1789">
        <v>0</v>
      </c>
      <c r="BF1789">
        <v>0</v>
      </c>
      <c r="BG1789">
        <v>0</v>
      </c>
      <c r="BH1789">
        <v>8300</v>
      </c>
      <c r="BI1789">
        <v>1</v>
      </c>
      <c r="BJ1789">
        <v>0</v>
      </c>
      <c r="BK1789">
        <v>0</v>
      </c>
      <c r="BL1789">
        <v>0</v>
      </c>
      <c r="BO1789">
        <v>0</v>
      </c>
      <c r="BP1789">
        <v>0</v>
      </c>
      <c r="BW1789" t="str">
        <f t="shared" si="983"/>
        <v>14:53:29.322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285</v>
      </c>
      <c r="CR1789">
        <v>0</v>
      </c>
      <c r="CW1789">
        <v>8857762</v>
      </c>
      <c r="CY1789">
        <v>0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25">
      <c r="A1790" t="str">
        <f t="shared" si="981"/>
        <v>06/05/2020 14:53:23.690</v>
      </c>
      <c r="C1790" t="str">
        <f t="shared" si="970"/>
        <v>FFDFD3C0</v>
      </c>
      <c r="D1790" t="s">
        <v>151</v>
      </c>
      <c r="E1790">
        <v>9</v>
      </c>
      <c r="H1790">
        <v>226</v>
      </c>
      <c r="I1790" t="s">
        <v>152</v>
      </c>
      <c r="J1790" t="s">
        <v>150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982"/>
        <v>14:53:29.320</v>
      </c>
      <c r="T1790" t="str">
        <f t="shared" si="982"/>
        <v>14:53:29.320</v>
      </c>
      <c r="U1790" t="str">
        <f t="shared" si="949"/>
        <v>ACC530</v>
      </c>
      <c r="V1790">
        <v>0</v>
      </c>
      <c r="W1790">
        <v>0</v>
      </c>
      <c r="X1790">
        <v>1</v>
      </c>
      <c r="Z1790">
        <v>0</v>
      </c>
      <c r="AA1790">
        <v>9</v>
      </c>
      <c r="AB1790">
        <v>3</v>
      </c>
      <c r="AC1790">
        <v>0</v>
      </c>
      <c r="AD1790">
        <v>9</v>
      </c>
      <c r="AE1790">
        <v>0</v>
      </c>
      <c r="AF1790">
        <v>3</v>
      </c>
      <c r="AG1790">
        <v>1</v>
      </c>
      <c r="AH1790">
        <v>0</v>
      </c>
      <c r="AI1790" t="s">
        <v>680</v>
      </c>
      <c r="AJ1790">
        <v>34.184367999999999</v>
      </c>
      <c r="AK1790" t="s">
        <v>681</v>
      </c>
      <c r="AL1790">
        <v>-117.00557499999999</v>
      </c>
      <c r="AM1790">
        <v>100</v>
      </c>
      <c r="AN1790">
        <v>8300</v>
      </c>
      <c r="AO1790" t="s">
        <v>118</v>
      </c>
      <c r="AP1790">
        <v>-104</v>
      </c>
      <c r="AQ1790">
        <v>-69</v>
      </c>
      <c r="AR1790">
        <v>-896</v>
      </c>
      <c r="AZ1790">
        <v>1200</v>
      </c>
      <c r="BA1790">
        <v>1</v>
      </c>
      <c r="BB1790" t="str">
        <f t="shared" si="954"/>
        <v xml:space="preserve">N9217B  </v>
      </c>
      <c r="BC1790">
        <v>1</v>
      </c>
      <c r="BE1790">
        <v>0</v>
      </c>
      <c r="BF1790">
        <v>0</v>
      </c>
      <c r="BG1790">
        <v>0</v>
      </c>
      <c r="BH1790">
        <v>8300</v>
      </c>
      <c r="BI1790">
        <v>1</v>
      </c>
      <c r="BJ1790">
        <v>0</v>
      </c>
      <c r="BK1790">
        <v>0</v>
      </c>
      <c r="BL1790">
        <v>0</v>
      </c>
      <c r="BO1790">
        <v>0</v>
      </c>
      <c r="BP1790">
        <v>0</v>
      </c>
      <c r="BW1790" t="str">
        <f t="shared" si="983"/>
        <v>14:53:29.322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285</v>
      </c>
      <c r="CR1790">
        <v>0</v>
      </c>
      <c r="CW1790">
        <v>8857762</v>
      </c>
      <c r="CY1790">
        <v>0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25">
      <c r="A1791" t="str">
        <f t="shared" si="981"/>
        <v>06/05/2020 14:53:23.690</v>
      </c>
      <c r="C1791" t="str">
        <f t="shared" si="970"/>
        <v>FFDFD3C0</v>
      </c>
      <c r="D1791" t="s">
        <v>148</v>
      </c>
      <c r="E1791">
        <v>8</v>
      </c>
      <c r="H1791">
        <v>50</v>
      </c>
      <c r="I1791" t="s">
        <v>149</v>
      </c>
      <c r="J1791" t="s">
        <v>150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82"/>
        <v>14:53:29.320</v>
      </c>
      <c r="T1791" t="str">
        <f t="shared" si="982"/>
        <v>14:53:29.320</v>
      </c>
      <c r="U1791" t="str">
        <f t="shared" si="949"/>
        <v>ACC530</v>
      </c>
      <c r="V1791">
        <v>0</v>
      </c>
      <c r="W1791">
        <v>0</v>
      </c>
      <c r="X1791">
        <v>1</v>
      </c>
      <c r="Z1791">
        <v>0</v>
      </c>
      <c r="AA1791">
        <v>9</v>
      </c>
      <c r="AB1791">
        <v>3</v>
      </c>
      <c r="AC1791">
        <v>0</v>
      </c>
      <c r="AD1791">
        <v>9</v>
      </c>
      <c r="AE1791">
        <v>0</v>
      </c>
      <c r="AF1791">
        <v>3</v>
      </c>
      <c r="AG1791">
        <v>1</v>
      </c>
      <c r="AH1791">
        <v>0</v>
      </c>
      <c r="AI1791" t="s">
        <v>680</v>
      </c>
      <c r="AJ1791">
        <v>34.184367999999999</v>
      </c>
      <c r="AK1791" t="s">
        <v>681</v>
      </c>
      <c r="AL1791">
        <v>-117.00557499999999</v>
      </c>
      <c r="AM1791">
        <v>100</v>
      </c>
      <c r="AN1791">
        <v>8300</v>
      </c>
      <c r="AO1791" t="s">
        <v>118</v>
      </c>
      <c r="AP1791">
        <v>-104</v>
      </c>
      <c r="AQ1791">
        <v>-69</v>
      </c>
      <c r="AR1791">
        <v>-896</v>
      </c>
      <c r="AZ1791">
        <v>1200</v>
      </c>
      <c r="BA1791">
        <v>1</v>
      </c>
      <c r="BB1791" t="str">
        <f t="shared" si="954"/>
        <v xml:space="preserve">N9217B  </v>
      </c>
      <c r="BC1791">
        <v>1</v>
      </c>
      <c r="BE1791">
        <v>0</v>
      </c>
      <c r="BF1791">
        <v>0</v>
      </c>
      <c r="BG1791">
        <v>0</v>
      </c>
      <c r="BH1791">
        <v>8300</v>
      </c>
      <c r="BI1791">
        <v>1</v>
      </c>
      <c r="BJ1791">
        <v>0</v>
      </c>
      <c r="BK1791">
        <v>0</v>
      </c>
      <c r="BL1791">
        <v>0</v>
      </c>
      <c r="BO1791">
        <v>0</v>
      </c>
      <c r="BP1791">
        <v>0</v>
      </c>
      <c r="BW1791" t="str">
        <f t="shared" si="983"/>
        <v>14:53:29.322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285</v>
      </c>
      <c r="CR1791">
        <v>0</v>
      </c>
      <c r="CW1791">
        <v>8857762</v>
      </c>
      <c r="CY1791">
        <v>0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25">
      <c r="A1792" t="str">
        <f t="shared" si="981"/>
        <v>06/05/2020 14:53:23.690</v>
      </c>
      <c r="C1792" t="str">
        <f t="shared" si="970"/>
        <v>FFDFD3C0</v>
      </c>
      <c r="D1792" t="s">
        <v>134</v>
      </c>
      <c r="E1792">
        <v>7</v>
      </c>
      <c r="F1792">
        <v>2007</v>
      </c>
      <c r="G1792" t="s">
        <v>135</v>
      </c>
      <c r="J1792" t="s">
        <v>136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82"/>
        <v>14:53:29.320</v>
      </c>
      <c r="T1792" t="str">
        <f t="shared" si="982"/>
        <v>14:53:29.320</v>
      </c>
      <c r="U1792" t="str">
        <f t="shared" si="949"/>
        <v>ACC530</v>
      </c>
      <c r="V1792">
        <v>0</v>
      </c>
      <c r="W1792">
        <v>0</v>
      </c>
      <c r="X1792">
        <v>1</v>
      </c>
      <c r="Z1792">
        <v>0</v>
      </c>
      <c r="AA1792">
        <v>9</v>
      </c>
      <c r="AB1792">
        <v>3</v>
      </c>
      <c r="AC1792">
        <v>0</v>
      </c>
      <c r="AD1792">
        <v>9</v>
      </c>
      <c r="AE1792">
        <v>0</v>
      </c>
      <c r="AF1792">
        <v>3</v>
      </c>
      <c r="AG1792">
        <v>1</v>
      </c>
      <c r="AH1792">
        <v>0</v>
      </c>
      <c r="AI1792" t="s">
        <v>680</v>
      </c>
      <c r="AJ1792">
        <v>34.184367999999999</v>
      </c>
      <c r="AK1792" t="s">
        <v>681</v>
      </c>
      <c r="AL1792">
        <v>-117.00557499999999</v>
      </c>
      <c r="AM1792">
        <v>100</v>
      </c>
      <c r="AN1792">
        <v>8300</v>
      </c>
      <c r="AO1792" t="s">
        <v>118</v>
      </c>
      <c r="AP1792">
        <v>-104</v>
      </c>
      <c r="AQ1792">
        <v>-69</v>
      </c>
      <c r="AR1792">
        <v>-896</v>
      </c>
      <c r="AZ1792">
        <v>1200</v>
      </c>
      <c r="BA1792">
        <v>1</v>
      </c>
      <c r="BB1792" t="str">
        <f t="shared" si="954"/>
        <v xml:space="preserve">N9217B  </v>
      </c>
      <c r="BC1792">
        <v>1</v>
      </c>
      <c r="BE1792">
        <v>0</v>
      </c>
      <c r="BF1792">
        <v>0</v>
      </c>
      <c r="BG1792">
        <v>0</v>
      </c>
      <c r="BH1792">
        <v>8300</v>
      </c>
      <c r="BI1792">
        <v>1</v>
      </c>
      <c r="BJ1792">
        <v>0</v>
      </c>
      <c r="BK1792">
        <v>0</v>
      </c>
      <c r="BL1792">
        <v>0</v>
      </c>
      <c r="BO1792">
        <v>0</v>
      </c>
      <c r="BP1792">
        <v>0</v>
      </c>
      <c r="BW1792" t="str">
        <f t="shared" si="983"/>
        <v>14:53:29.322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6</v>
      </c>
      <c r="CP1792" t="s">
        <v>119</v>
      </c>
      <c r="CQ1792">
        <v>285</v>
      </c>
      <c r="CR1792">
        <v>0</v>
      </c>
      <c r="CW1792">
        <v>8857762</v>
      </c>
      <c r="CY1792">
        <v>0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25">
      <c r="A1793" t="str">
        <f t="shared" si="981"/>
        <v>06/05/2020 14:53:23.690</v>
      </c>
      <c r="C1793" t="str">
        <f t="shared" si="970"/>
        <v>FFDFD3C0</v>
      </c>
      <c r="D1793" t="s">
        <v>113</v>
      </c>
      <c r="E1793">
        <v>3</v>
      </c>
      <c r="H1793">
        <v>166</v>
      </c>
      <c r="I1793" t="s">
        <v>114</v>
      </c>
      <c r="J1793" t="s">
        <v>115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82"/>
        <v>14:53:29.320</v>
      </c>
      <c r="T1793" t="str">
        <f t="shared" si="982"/>
        <v>14:53:29.320</v>
      </c>
      <c r="U1793" t="str">
        <f t="shared" si="949"/>
        <v>ACC530</v>
      </c>
      <c r="V1793">
        <v>0</v>
      </c>
      <c r="W1793">
        <v>0</v>
      </c>
      <c r="X1793">
        <v>1</v>
      </c>
      <c r="Z1793">
        <v>0</v>
      </c>
      <c r="AA1793">
        <v>9</v>
      </c>
      <c r="AB1793">
        <v>3</v>
      </c>
      <c r="AC1793">
        <v>0</v>
      </c>
      <c r="AD1793">
        <v>9</v>
      </c>
      <c r="AE1793">
        <v>0</v>
      </c>
      <c r="AF1793">
        <v>3</v>
      </c>
      <c r="AG1793">
        <v>1</v>
      </c>
      <c r="AH1793">
        <v>0</v>
      </c>
      <c r="AI1793" t="s">
        <v>680</v>
      </c>
      <c r="AJ1793">
        <v>34.184367999999999</v>
      </c>
      <c r="AK1793" t="s">
        <v>681</v>
      </c>
      <c r="AL1793">
        <v>-117.00557499999999</v>
      </c>
      <c r="AM1793">
        <v>100</v>
      </c>
      <c r="AN1793">
        <v>8300</v>
      </c>
      <c r="AO1793" t="s">
        <v>118</v>
      </c>
      <c r="AP1793">
        <v>-104</v>
      </c>
      <c r="AQ1793">
        <v>-69</v>
      </c>
      <c r="AR1793">
        <v>-896</v>
      </c>
      <c r="AZ1793">
        <v>1200</v>
      </c>
      <c r="BA1793">
        <v>1</v>
      </c>
      <c r="BB1793" t="str">
        <f t="shared" si="954"/>
        <v xml:space="preserve">N9217B  </v>
      </c>
      <c r="BC1793">
        <v>1</v>
      </c>
      <c r="BE1793">
        <v>0</v>
      </c>
      <c r="BF1793">
        <v>0</v>
      </c>
      <c r="BG1793">
        <v>0</v>
      </c>
      <c r="BH1793">
        <v>8300</v>
      </c>
      <c r="BI1793">
        <v>1</v>
      </c>
      <c r="BJ1793">
        <v>0</v>
      </c>
      <c r="BK1793">
        <v>0</v>
      </c>
      <c r="BL1793">
        <v>0</v>
      </c>
      <c r="BO1793">
        <v>0</v>
      </c>
      <c r="BP1793">
        <v>0</v>
      </c>
      <c r="BW1793" t="str">
        <f t="shared" si="983"/>
        <v>14:53:29.322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6</v>
      </c>
      <c r="CP1793" t="s">
        <v>119</v>
      </c>
      <c r="CQ1793">
        <v>285</v>
      </c>
      <c r="CR1793">
        <v>0</v>
      </c>
      <c r="CW1793">
        <v>8857762</v>
      </c>
      <c r="CY1793">
        <v>0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25">
      <c r="A1794" t="str">
        <f t="shared" ref="A1794:A1799" si="984">"06/05/2020 14:53:24.717"</f>
        <v>06/05/2020 14:53:24.717</v>
      </c>
      <c r="C1794" t="str">
        <f t="shared" si="970"/>
        <v>FFDFD3C0</v>
      </c>
      <c r="D1794" t="s">
        <v>151</v>
      </c>
      <c r="E1794">
        <v>9</v>
      </c>
      <c r="H1794">
        <v>226</v>
      </c>
      <c r="I1794" t="s">
        <v>152</v>
      </c>
      <c r="J1794" t="s">
        <v>150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ref="S1794:S1799" si="985">"14:53:30.352"</f>
        <v>14:53:30.352</v>
      </c>
      <c r="T1794" t="str">
        <f t="shared" ref="T1794:T1799" si="986">"14:53:30.252"</f>
        <v>14:53:30.252</v>
      </c>
      <c r="U1794" t="str">
        <f t="shared" ref="U1794:U1857" si="987">"ACC530"</f>
        <v>ACC530</v>
      </c>
      <c r="V1794">
        <v>0</v>
      </c>
      <c r="W1794">
        <v>0</v>
      </c>
      <c r="X1794">
        <v>1</v>
      </c>
      <c r="Z1794">
        <v>0</v>
      </c>
      <c r="AA1794">
        <v>9</v>
      </c>
      <c r="AB1794">
        <v>3</v>
      </c>
      <c r="AC1794">
        <v>0</v>
      </c>
      <c r="AD1794">
        <v>9</v>
      </c>
      <c r="AE1794">
        <v>0</v>
      </c>
      <c r="AF1794">
        <v>3</v>
      </c>
      <c r="AG1794">
        <v>1</v>
      </c>
      <c r="AH1794">
        <v>0</v>
      </c>
      <c r="AI1794" t="s">
        <v>682</v>
      </c>
      <c r="AJ1794">
        <v>34.184002999999997</v>
      </c>
      <c r="AK1794" t="s">
        <v>683</v>
      </c>
      <c r="AL1794">
        <v>-117.006197</v>
      </c>
      <c r="AM1794">
        <v>100</v>
      </c>
      <c r="AN1794">
        <v>8300</v>
      </c>
      <c r="AO1794" t="s">
        <v>118</v>
      </c>
      <c r="AP1794">
        <v>-104</v>
      </c>
      <c r="AQ1794">
        <v>-69</v>
      </c>
      <c r="AR1794">
        <v>-832</v>
      </c>
      <c r="AZ1794">
        <v>1200</v>
      </c>
      <c r="BA1794">
        <v>1</v>
      </c>
      <c r="BB1794" t="str">
        <f t="shared" si="954"/>
        <v xml:space="preserve">N9217B  </v>
      </c>
      <c r="BC1794">
        <v>1</v>
      </c>
      <c r="BE1794">
        <v>0</v>
      </c>
      <c r="BF1794">
        <v>0</v>
      </c>
      <c r="BG1794">
        <v>0</v>
      </c>
      <c r="BH1794">
        <v>8300</v>
      </c>
      <c r="BI1794">
        <v>1</v>
      </c>
      <c r="BJ1794">
        <v>0</v>
      </c>
      <c r="BK1794">
        <v>0</v>
      </c>
      <c r="BL1794">
        <v>0</v>
      </c>
      <c r="BO1794">
        <v>0</v>
      </c>
      <c r="BP1794">
        <v>0</v>
      </c>
      <c r="BW1794" t="str">
        <f t="shared" ref="BW1794:BW1799" si="988">"14:53:30.357"</f>
        <v>14:53:30.357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6</v>
      </c>
      <c r="CP1794" t="s">
        <v>119</v>
      </c>
      <c r="CQ1794">
        <v>293</v>
      </c>
      <c r="CR1794">
        <v>1</v>
      </c>
      <c r="CW1794">
        <v>15293253</v>
      </c>
      <c r="CY1794">
        <v>0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25">
      <c r="A1795" t="str">
        <f t="shared" si="984"/>
        <v>06/05/2020 14:53:24.717</v>
      </c>
      <c r="C1795" t="str">
        <f t="shared" si="970"/>
        <v>FFDFD3C0</v>
      </c>
      <c r="D1795" t="s">
        <v>134</v>
      </c>
      <c r="E1795">
        <v>7</v>
      </c>
      <c r="F1795">
        <v>2007</v>
      </c>
      <c r="G1795" t="s">
        <v>135</v>
      </c>
      <c r="J1795" t="s">
        <v>136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85"/>
        <v>14:53:30.352</v>
      </c>
      <c r="T1795" t="str">
        <f t="shared" si="986"/>
        <v>14:53:30.252</v>
      </c>
      <c r="U1795" t="str">
        <f t="shared" si="987"/>
        <v>ACC530</v>
      </c>
      <c r="V1795">
        <v>0</v>
      </c>
      <c r="W1795">
        <v>0</v>
      </c>
      <c r="X1795">
        <v>1</v>
      </c>
      <c r="Z1795">
        <v>0</v>
      </c>
      <c r="AA1795">
        <v>9</v>
      </c>
      <c r="AB1795">
        <v>3</v>
      </c>
      <c r="AC1795">
        <v>0</v>
      </c>
      <c r="AD1795">
        <v>9</v>
      </c>
      <c r="AE1795">
        <v>0</v>
      </c>
      <c r="AF1795">
        <v>3</v>
      </c>
      <c r="AG1795">
        <v>1</v>
      </c>
      <c r="AH1795">
        <v>0</v>
      </c>
      <c r="AI1795" t="s">
        <v>682</v>
      </c>
      <c r="AJ1795">
        <v>34.184002999999997</v>
      </c>
      <c r="AK1795" t="s">
        <v>683</v>
      </c>
      <c r="AL1795">
        <v>-117.006197</v>
      </c>
      <c r="AM1795">
        <v>100</v>
      </c>
      <c r="AN1795">
        <v>8300</v>
      </c>
      <c r="AO1795" t="s">
        <v>118</v>
      </c>
      <c r="AP1795">
        <v>-104</v>
      </c>
      <c r="AQ1795">
        <v>-69</v>
      </c>
      <c r="AR1795">
        <v>-832</v>
      </c>
      <c r="AZ1795">
        <v>1200</v>
      </c>
      <c r="BA1795">
        <v>1</v>
      </c>
      <c r="BB1795" t="str">
        <f t="shared" si="954"/>
        <v xml:space="preserve">N9217B  </v>
      </c>
      <c r="BC1795">
        <v>1</v>
      </c>
      <c r="BE1795">
        <v>0</v>
      </c>
      <c r="BF1795">
        <v>0</v>
      </c>
      <c r="BG1795">
        <v>0</v>
      </c>
      <c r="BH1795">
        <v>8300</v>
      </c>
      <c r="BI1795">
        <v>1</v>
      </c>
      <c r="BJ1795">
        <v>0</v>
      </c>
      <c r="BK1795">
        <v>0</v>
      </c>
      <c r="BL1795">
        <v>0</v>
      </c>
      <c r="BO1795">
        <v>0</v>
      </c>
      <c r="BP1795">
        <v>0</v>
      </c>
      <c r="BW1795" t="str">
        <f t="shared" si="988"/>
        <v>14:53:30.357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293</v>
      </c>
      <c r="CR1795">
        <v>1</v>
      </c>
      <c r="CW1795">
        <v>15293253</v>
      </c>
      <c r="CY1795">
        <v>0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25">
      <c r="A1796" t="str">
        <f t="shared" si="984"/>
        <v>06/05/2020 14:53:24.717</v>
      </c>
      <c r="C1796" t="str">
        <f t="shared" si="970"/>
        <v>FFDFD3C0</v>
      </c>
      <c r="D1796" t="s">
        <v>148</v>
      </c>
      <c r="E1796">
        <v>8</v>
      </c>
      <c r="H1796">
        <v>50</v>
      </c>
      <c r="I1796" t="s">
        <v>149</v>
      </c>
      <c r="J1796" t="s">
        <v>150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985"/>
        <v>14:53:30.352</v>
      </c>
      <c r="T1796" t="str">
        <f t="shared" si="986"/>
        <v>14:53:30.252</v>
      </c>
      <c r="U1796" t="str">
        <f t="shared" si="987"/>
        <v>ACC530</v>
      </c>
      <c r="V1796">
        <v>0</v>
      </c>
      <c r="W1796">
        <v>0</v>
      </c>
      <c r="X1796">
        <v>1</v>
      </c>
      <c r="Z1796">
        <v>0</v>
      </c>
      <c r="AA1796">
        <v>9</v>
      </c>
      <c r="AB1796">
        <v>3</v>
      </c>
      <c r="AC1796">
        <v>0</v>
      </c>
      <c r="AD1796">
        <v>9</v>
      </c>
      <c r="AE1796">
        <v>0</v>
      </c>
      <c r="AF1796">
        <v>3</v>
      </c>
      <c r="AG1796">
        <v>1</v>
      </c>
      <c r="AH1796">
        <v>0</v>
      </c>
      <c r="AI1796" t="s">
        <v>682</v>
      </c>
      <c r="AJ1796">
        <v>34.184002999999997</v>
      </c>
      <c r="AK1796" t="s">
        <v>683</v>
      </c>
      <c r="AL1796">
        <v>-117.006197</v>
      </c>
      <c r="AM1796">
        <v>100</v>
      </c>
      <c r="AN1796">
        <v>8300</v>
      </c>
      <c r="AO1796" t="s">
        <v>118</v>
      </c>
      <c r="AP1796">
        <v>-104</v>
      </c>
      <c r="AQ1796">
        <v>-69</v>
      </c>
      <c r="AR1796">
        <v>-832</v>
      </c>
      <c r="AZ1796">
        <v>1200</v>
      </c>
      <c r="BA1796">
        <v>1</v>
      </c>
      <c r="BB1796" t="str">
        <f t="shared" si="954"/>
        <v xml:space="preserve">N9217B  </v>
      </c>
      <c r="BC1796">
        <v>1</v>
      </c>
      <c r="BE1796">
        <v>0</v>
      </c>
      <c r="BF1796">
        <v>0</v>
      </c>
      <c r="BG1796">
        <v>0</v>
      </c>
      <c r="BH1796">
        <v>8300</v>
      </c>
      <c r="BI1796">
        <v>1</v>
      </c>
      <c r="BJ1796">
        <v>0</v>
      </c>
      <c r="BK1796">
        <v>0</v>
      </c>
      <c r="BL1796">
        <v>0</v>
      </c>
      <c r="BO1796">
        <v>0</v>
      </c>
      <c r="BP1796">
        <v>0</v>
      </c>
      <c r="BW1796" t="str">
        <f t="shared" si="988"/>
        <v>14:53:30.357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6</v>
      </c>
      <c r="CP1796" t="s">
        <v>119</v>
      </c>
      <c r="CQ1796">
        <v>293</v>
      </c>
      <c r="CR1796">
        <v>1</v>
      </c>
      <c r="CW1796">
        <v>15293253</v>
      </c>
      <c r="CY1796">
        <v>0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25">
      <c r="A1797" t="str">
        <f t="shared" si="984"/>
        <v>06/05/2020 14:53:24.717</v>
      </c>
      <c r="C1797" t="str">
        <f t="shared" si="970"/>
        <v>FFDFD3C0</v>
      </c>
      <c r="D1797" t="s">
        <v>113</v>
      </c>
      <c r="E1797">
        <v>3</v>
      </c>
      <c r="H1797">
        <v>166</v>
      </c>
      <c r="I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985"/>
        <v>14:53:30.352</v>
      </c>
      <c r="T1797" t="str">
        <f t="shared" si="986"/>
        <v>14:53:30.252</v>
      </c>
      <c r="U1797" t="str">
        <f t="shared" si="987"/>
        <v>ACC530</v>
      </c>
      <c r="V1797">
        <v>0</v>
      </c>
      <c r="W1797">
        <v>0</v>
      </c>
      <c r="X1797">
        <v>1</v>
      </c>
      <c r="Z1797">
        <v>0</v>
      </c>
      <c r="AA1797">
        <v>9</v>
      </c>
      <c r="AB1797">
        <v>3</v>
      </c>
      <c r="AC1797">
        <v>0</v>
      </c>
      <c r="AD1797">
        <v>9</v>
      </c>
      <c r="AE1797">
        <v>0</v>
      </c>
      <c r="AF1797">
        <v>3</v>
      </c>
      <c r="AG1797">
        <v>1</v>
      </c>
      <c r="AH1797">
        <v>0</v>
      </c>
      <c r="AI1797" t="s">
        <v>682</v>
      </c>
      <c r="AJ1797">
        <v>34.184002999999997</v>
      </c>
      <c r="AK1797" t="s">
        <v>683</v>
      </c>
      <c r="AL1797">
        <v>-117.006197</v>
      </c>
      <c r="AM1797">
        <v>100</v>
      </c>
      <c r="AN1797">
        <v>8300</v>
      </c>
      <c r="AO1797" t="s">
        <v>118</v>
      </c>
      <c r="AP1797">
        <v>-104</v>
      </c>
      <c r="AQ1797">
        <v>-69</v>
      </c>
      <c r="AR1797">
        <v>-832</v>
      </c>
      <c r="AZ1797">
        <v>1200</v>
      </c>
      <c r="BA1797">
        <v>1</v>
      </c>
      <c r="BB1797" t="str">
        <f t="shared" ref="BB1797:BB1860" si="989">"N9217B  "</f>
        <v xml:space="preserve">N9217B  </v>
      </c>
      <c r="BC1797">
        <v>1</v>
      </c>
      <c r="BE1797">
        <v>0</v>
      </c>
      <c r="BF1797">
        <v>0</v>
      </c>
      <c r="BG1797">
        <v>0</v>
      </c>
      <c r="BH1797">
        <v>8300</v>
      </c>
      <c r="BI1797">
        <v>1</v>
      </c>
      <c r="BJ1797">
        <v>0</v>
      </c>
      <c r="BK1797">
        <v>0</v>
      </c>
      <c r="BL1797">
        <v>0</v>
      </c>
      <c r="BO1797">
        <v>0</v>
      </c>
      <c r="BP1797">
        <v>0</v>
      </c>
      <c r="BW1797" t="str">
        <f t="shared" si="988"/>
        <v>14:53:30.357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293</v>
      </c>
      <c r="CR1797">
        <v>1</v>
      </c>
      <c r="CW1797">
        <v>15293253</v>
      </c>
      <c r="CY1797">
        <v>0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25">
      <c r="A1798" t="str">
        <f t="shared" si="984"/>
        <v>06/05/2020 14:53:24.717</v>
      </c>
      <c r="C1798" t="str">
        <f t="shared" si="970"/>
        <v>FFDFD3C0</v>
      </c>
      <c r="D1798" t="s">
        <v>141</v>
      </c>
      <c r="E1798">
        <v>20</v>
      </c>
      <c r="F1798">
        <v>1020</v>
      </c>
      <c r="G1798" t="s">
        <v>114</v>
      </c>
      <c r="J1798" t="s">
        <v>142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85"/>
        <v>14:53:30.352</v>
      </c>
      <c r="T1798" t="str">
        <f t="shared" si="986"/>
        <v>14:53:30.252</v>
      </c>
      <c r="U1798" t="str">
        <f t="shared" si="987"/>
        <v>ACC530</v>
      </c>
      <c r="V1798">
        <v>0</v>
      </c>
      <c r="W1798">
        <v>0</v>
      </c>
      <c r="X1798">
        <v>1</v>
      </c>
      <c r="Z1798">
        <v>0</v>
      </c>
      <c r="AA1798">
        <v>9</v>
      </c>
      <c r="AB1798">
        <v>3</v>
      </c>
      <c r="AC1798">
        <v>0</v>
      </c>
      <c r="AD1798">
        <v>9</v>
      </c>
      <c r="AE1798">
        <v>0</v>
      </c>
      <c r="AF1798">
        <v>3</v>
      </c>
      <c r="AG1798">
        <v>1</v>
      </c>
      <c r="AH1798">
        <v>0</v>
      </c>
      <c r="AI1798" t="s">
        <v>682</v>
      </c>
      <c r="AJ1798">
        <v>34.184002999999997</v>
      </c>
      <c r="AK1798" t="s">
        <v>683</v>
      </c>
      <c r="AL1798">
        <v>-117.006197</v>
      </c>
      <c r="AM1798">
        <v>100</v>
      </c>
      <c r="AN1798">
        <v>8300</v>
      </c>
      <c r="AO1798" t="s">
        <v>118</v>
      </c>
      <c r="AP1798">
        <v>-104</v>
      </c>
      <c r="AQ1798">
        <v>-69</v>
      </c>
      <c r="AR1798">
        <v>-832</v>
      </c>
      <c r="AZ1798">
        <v>1200</v>
      </c>
      <c r="BA1798">
        <v>1</v>
      </c>
      <c r="BB1798" t="str">
        <f t="shared" si="989"/>
        <v xml:space="preserve">N9217B  </v>
      </c>
      <c r="BC1798">
        <v>1</v>
      </c>
      <c r="BE1798">
        <v>0</v>
      </c>
      <c r="BF1798">
        <v>0</v>
      </c>
      <c r="BG1798">
        <v>0</v>
      </c>
      <c r="BH1798">
        <v>8300</v>
      </c>
      <c r="BI1798">
        <v>1</v>
      </c>
      <c r="BJ1798">
        <v>0</v>
      </c>
      <c r="BK1798">
        <v>0</v>
      </c>
      <c r="BL1798">
        <v>0</v>
      </c>
      <c r="BO1798">
        <v>0</v>
      </c>
      <c r="BP1798">
        <v>0</v>
      </c>
      <c r="BW1798" t="str">
        <f t="shared" si="988"/>
        <v>14:53:30.357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293</v>
      </c>
      <c r="CR1798">
        <v>1</v>
      </c>
      <c r="CW1798">
        <v>15293253</v>
      </c>
      <c r="CY1798">
        <v>0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25">
      <c r="A1799" t="str">
        <f t="shared" si="984"/>
        <v>06/05/2020 14:53:24.717</v>
      </c>
      <c r="C1799" t="str">
        <f t="shared" si="970"/>
        <v>FFDFD3C0</v>
      </c>
      <c r="D1799" t="s">
        <v>148</v>
      </c>
      <c r="E1799">
        <v>11</v>
      </c>
      <c r="H1799">
        <v>53</v>
      </c>
      <c r="I1799" t="s">
        <v>364</v>
      </c>
      <c r="J1799" t="s">
        <v>150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85"/>
        <v>14:53:30.352</v>
      </c>
      <c r="T1799" t="str">
        <f t="shared" si="986"/>
        <v>14:53:30.252</v>
      </c>
      <c r="U1799" t="str">
        <f t="shared" si="987"/>
        <v>ACC530</v>
      </c>
      <c r="V1799">
        <v>0</v>
      </c>
      <c r="W1799">
        <v>0</v>
      </c>
      <c r="X1799">
        <v>1</v>
      </c>
      <c r="Z1799">
        <v>0</v>
      </c>
      <c r="AA1799">
        <v>9</v>
      </c>
      <c r="AB1799">
        <v>3</v>
      </c>
      <c r="AC1799">
        <v>0</v>
      </c>
      <c r="AD1799">
        <v>9</v>
      </c>
      <c r="AE1799">
        <v>0</v>
      </c>
      <c r="AF1799">
        <v>3</v>
      </c>
      <c r="AG1799">
        <v>1</v>
      </c>
      <c r="AH1799">
        <v>0</v>
      </c>
      <c r="AI1799" t="s">
        <v>682</v>
      </c>
      <c r="AJ1799">
        <v>34.184002999999997</v>
      </c>
      <c r="AK1799" t="s">
        <v>683</v>
      </c>
      <c r="AL1799">
        <v>-117.006197</v>
      </c>
      <c r="AM1799">
        <v>100</v>
      </c>
      <c r="AN1799">
        <v>8300</v>
      </c>
      <c r="AO1799" t="s">
        <v>118</v>
      </c>
      <c r="AP1799">
        <v>-104</v>
      </c>
      <c r="AQ1799">
        <v>-69</v>
      </c>
      <c r="AR1799">
        <v>-832</v>
      </c>
      <c r="AZ1799">
        <v>1200</v>
      </c>
      <c r="BA1799">
        <v>1</v>
      </c>
      <c r="BB1799" t="str">
        <f t="shared" si="989"/>
        <v xml:space="preserve">N9217B  </v>
      </c>
      <c r="BC1799">
        <v>1</v>
      </c>
      <c r="BE1799">
        <v>0</v>
      </c>
      <c r="BF1799">
        <v>0</v>
      </c>
      <c r="BG1799">
        <v>0</v>
      </c>
      <c r="BH1799">
        <v>8300</v>
      </c>
      <c r="BI1799">
        <v>1</v>
      </c>
      <c r="BJ1799">
        <v>0</v>
      </c>
      <c r="BK1799">
        <v>0</v>
      </c>
      <c r="BL1799">
        <v>0</v>
      </c>
      <c r="BO1799">
        <v>0</v>
      </c>
      <c r="BP1799">
        <v>0</v>
      </c>
      <c r="BW1799" t="str">
        <f t="shared" si="988"/>
        <v>14:53:30.357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293</v>
      </c>
      <c r="CR1799">
        <v>1</v>
      </c>
      <c r="CW1799">
        <v>15293253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25">
      <c r="A1800" t="str">
        <f t="shared" ref="A1800:A1806" si="990">"06/05/2020 14:53:25.738"</f>
        <v>06/05/2020 14:53:25.738</v>
      </c>
      <c r="C1800" t="str">
        <f t="shared" si="970"/>
        <v>FFDFD3C0</v>
      </c>
      <c r="D1800" t="s">
        <v>148</v>
      </c>
      <c r="E1800">
        <v>8</v>
      </c>
      <c r="H1800">
        <v>50</v>
      </c>
      <c r="I1800" t="s">
        <v>149</v>
      </c>
      <c r="J1800" t="s">
        <v>150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ref="S1800:S1806" si="991">"14:53:31.375"</f>
        <v>14:53:31.375</v>
      </c>
      <c r="T1800" t="str">
        <f t="shared" ref="T1800:T1806" si="992">"14:53:31.275"</f>
        <v>14:53:31.275</v>
      </c>
      <c r="U1800" t="str">
        <f t="shared" si="987"/>
        <v>ACC530</v>
      </c>
      <c r="V1800">
        <v>0</v>
      </c>
      <c r="W1800">
        <v>0</v>
      </c>
      <c r="X1800">
        <v>1</v>
      </c>
      <c r="Z1800">
        <v>0</v>
      </c>
      <c r="AA1800">
        <v>9</v>
      </c>
      <c r="AB1800">
        <v>3</v>
      </c>
      <c r="AC1800">
        <v>0</v>
      </c>
      <c r="AD1800">
        <v>9</v>
      </c>
      <c r="AE1800">
        <v>0</v>
      </c>
      <c r="AF1800">
        <v>3</v>
      </c>
      <c r="AG1800">
        <v>1</v>
      </c>
      <c r="AH1800">
        <v>0</v>
      </c>
      <c r="AI1800" t="s">
        <v>684</v>
      </c>
      <c r="AJ1800">
        <v>34.183681</v>
      </c>
      <c r="AK1800" t="s">
        <v>685</v>
      </c>
      <c r="AL1800">
        <v>-117.006733</v>
      </c>
      <c r="AM1800">
        <v>100</v>
      </c>
      <c r="AN1800">
        <v>8300</v>
      </c>
      <c r="AO1800" t="s">
        <v>118</v>
      </c>
      <c r="AP1800">
        <v>-104</v>
      </c>
      <c r="AQ1800">
        <v>-69</v>
      </c>
      <c r="AR1800">
        <v>-704</v>
      </c>
      <c r="AZ1800">
        <v>1200</v>
      </c>
      <c r="BA1800">
        <v>1</v>
      </c>
      <c r="BB1800" t="str">
        <f t="shared" si="989"/>
        <v xml:space="preserve">N9217B  </v>
      </c>
      <c r="BC1800">
        <v>1</v>
      </c>
      <c r="BE1800">
        <v>0</v>
      </c>
      <c r="BF1800">
        <v>0</v>
      </c>
      <c r="BG1800">
        <v>0</v>
      </c>
      <c r="BH1800">
        <v>8275</v>
      </c>
      <c r="BI1800">
        <v>1</v>
      </c>
      <c r="BJ1800">
        <v>0</v>
      </c>
      <c r="BK1800">
        <v>0</v>
      </c>
      <c r="BL1800">
        <v>0</v>
      </c>
      <c r="BO1800">
        <v>0</v>
      </c>
      <c r="BP1800">
        <v>0</v>
      </c>
      <c r="BW1800" t="str">
        <f t="shared" ref="BW1800:BW1806" si="993">"14:53:31.376"</f>
        <v>14:53:31.376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285</v>
      </c>
      <c r="CR1800">
        <v>0</v>
      </c>
      <c r="CW1800">
        <v>8857932</v>
      </c>
      <c r="CY1800">
        <v>0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25">
      <c r="A1801" t="str">
        <f t="shared" si="990"/>
        <v>06/05/2020 14:53:25.738</v>
      </c>
      <c r="C1801" t="str">
        <f t="shared" si="970"/>
        <v>FFDFD3C0</v>
      </c>
      <c r="D1801" t="s">
        <v>113</v>
      </c>
      <c r="E1801">
        <v>3</v>
      </c>
      <c r="H1801">
        <v>166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991"/>
        <v>14:53:31.375</v>
      </c>
      <c r="T1801" t="str">
        <f t="shared" si="992"/>
        <v>14:53:31.275</v>
      </c>
      <c r="U1801" t="str">
        <f t="shared" si="987"/>
        <v>ACC530</v>
      </c>
      <c r="V1801">
        <v>0</v>
      </c>
      <c r="W1801">
        <v>0</v>
      </c>
      <c r="X1801">
        <v>1</v>
      </c>
      <c r="Z1801">
        <v>0</v>
      </c>
      <c r="AA1801">
        <v>9</v>
      </c>
      <c r="AB1801">
        <v>3</v>
      </c>
      <c r="AC1801">
        <v>0</v>
      </c>
      <c r="AD1801">
        <v>9</v>
      </c>
      <c r="AE1801">
        <v>0</v>
      </c>
      <c r="AF1801">
        <v>3</v>
      </c>
      <c r="AG1801">
        <v>1</v>
      </c>
      <c r="AH1801">
        <v>0</v>
      </c>
      <c r="AI1801" t="s">
        <v>684</v>
      </c>
      <c r="AJ1801">
        <v>34.183681</v>
      </c>
      <c r="AK1801" t="s">
        <v>685</v>
      </c>
      <c r="AL1801">
        <v>-117.006733</v>
      </c>
      <c r="AM1801">
        <v>100</v>
      </c>
      <c r="AN1801">
        <v>8300</v>
      </c>
      <c r="AO1801" t="s">
        <v>118</v>
      </c>
      <c r="AP1801">
        <v>-104</v>
      </c>
      <c r="AQ1801">
        <v>-69</v>
      </c>
      <c r="AR1801">
        <v>-704</v>
      </c>
      <c r="AZ1801">
        <v>1200</v>
      </c>
      <c r="BA1801">
        <v>1</v>
      </c>
      <c r="BB1801" t="str">
        <f t="shared" si="989"/>
        <v xml:space="preserve">N9217B  </v>
      </c>
      <c r="BC1801">
        <v>1</v>
      </c>
      <c r="BE1801">
        <v>0</v>
      </c>
      <c r="BF1801">
        <v>0</v>
      </c>
      <c r="BG1801">
        <v>0</v>
      </c>
      <c r="BH1801">
        <v>8275</v>
      </c>
      <c r="BI1801">
        <v>1</v>
      </c>
      <c r="BJ1801">
        <v>0</v>
      </c>
      <c r="BK1801">
        <v>0</v>
      </c>
      <c r="BL1801">
        <v>0</v>
      </c>
      <c r="BO1801">
        <v>0</v>
      </c>
      <c r="BP1801">
        <v>0</v>
      </c>
      <c r="BW1801" t="str">
        <f t="shared" si="993"/>
        <v>14:53:31.376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6</v>
      </c>
      <c r="CP1801" t="s">
        <v>119</v>
      </c>
      <c r="CQ1801">
        <v>285</v>
      </c>
      <c r="CR1801">
        <v>0</v>
      </c>
      <c r="CW1801">
        <v>8857932</v>
      </c>
      <c r="CY1801">
        <v>0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25">
      <c r="A1802" t="str">
        <f t="shared" si="990"/>
        <v>06/05/2020 14:53:25.738</v>
      </c>
      <c r="C1802" t="str">
        <f t="shared" si="970"/>
        <v>FFDFD3C0</v>
      </c>
      <c r="D1802" t="s">
        <v>141</v>
      </c>
      <c r="E1802">
        <v>20</v>
      </c>
      <c r="F1802">
        <v>1020</v>
      </c>
      <c r="G1802" t="s">
        <v>114</v>
      </c>
      <c r="J1802" t="s">
        <v>142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91"/>
        <v>14:53:31.375</v>
      </c>
      <c r="T1802" t="str">
        <f t="shared" si="992"/>
        <v>14:53:31.275</v>
      </c>
      <c r="U1802" t="str">
        <f t="shared" si="987"/>
        <v>ACC530</v>
      </c>
      <c r="V1802">
        <v>0</v>
      </c>
      <c r="W1802">
        <v>0</v>
      </c>
      <c r="X1802">
        <v>1</v>
      </c>
      <c r="Z1802">
        <v>0</v>
      </c>
      <c r="AA1802">
        <v>9</v>
      </c>
      <c r="AB1802">
        <v>3</v>
      </c>
      <c r="AC1802">
        <v>0</v>
      </c>
      <c r="AD1802">
        <v>9</v>
      </c>
      <c r="AE1802">
        <v>0</v>
      </c>
      <c r="AF1802">
        <v>3</v>
      </c>
      <c r="AG1802">
        <v>1</v>
      </c>
      <c r="AH1802">
        <v>0</v>
      </c>
      <c r="AI1802" t="s">
        <v>684</v>
      </c>
      <c r="AJ1802">
        <v>34.183681</v>
      </c>
      <c r="AK1802" t="s">
        <v>685</v>
      </c>
      <c r="AL1802">
        <v>-117.006733</v>
      </c>
      <c r="AM1802">
        <v>100</v>
      </c>
      <c r="AN1802">
        <v>8300</v>
      </c>
      <c r="AO1802" t="s">
        <v>118</v>
      </c>
      <c r="AP1802">
        <v>-104</v>
      </c>
      <c r="AQ1802">
        <v>-69</v>
      </c>
      <c r="AR1802">
        <v>-704</v>
      </c>
      <c r="AZ1802">
        <v>1200</v>
      </c>
      <c r="BA1802">
        <v>1</v>
      </c>
      <c r="BB1802" t="str">
        <f t="shared" si="989"/>
        <v xml:space="preserve">N9217B  </v>
      </c>
      <c r="BC1802">
        <v>1</v>
      </c>
      <c r="BE1802">
        <v>0</v>
      </c>
      <c r="BF1802">
        <v>0</v>
      </c>
      <c r="BG1802">
        <v>0</v>
      </c>
      <c r="BH1802">
        <v>8275</v>
      </c>
      <c r="BI1802">
        <v>1</v>
      </c>
      <c r="BJ1802">
        <v>0</v>
      </c>
      <c r="BK1802">
        <v>0</v>
      </c>
      <c r="BL1802">
        <v>0</v>
      </c>
      <c r="BO1802">
        <v>0</v>
      </c>
      <c r="BP1802">
        <v>0</v>
      </c>
      <c r="BW1802" t="str">
        <f t="shared" si="993"/>
        <v>14:53:31.376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6</v>
      </c>
      <c r="CP1802" t="s">
        <v>119</v>
      </c>
      <c r="CQ1802">
        <v>285</v>
      </c>
      <c r="CR1802">
        <v>0</v>
      </c>
      <c r="CW1802">
        <v>8857932</v>
      </c>
      <c r="CY1802">
        <v>0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25">
      <c r="A1803" t="str">
        <f t="shared" si="990"/>
        <v>06/05/2020 14:53:25.738</v>
      </c>
      <c r="C1803" t="str">
        <f t="shared" si="970"/>
        <v>FFDFD3C0</v>
      </c>
      <c r="D1803" t="s">
        <v>148</v>
      </c>
      <c r="E1803">
        <v>11</v>
      </c>
      <c r="H1803">
        <v>53</v>
      </c>
      <c r="I1803" t="s">
        <v>364</v>
      </c>
      <c r="J1803" t="s">
        <v>150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991"/>
        <v>14:53:31.375</v>
      </c>
      <c r="T1803" t="str">
        <f t="shared" si="992"/>
        <v>14:53:31.275</v>
      </c>
      <c r="U1803" t="str">
        <f t="shared" si="987"/>
        <v>ACC530</v>
      </c>
      <c r="V1803">
        <v>0</v>
      </c>
      <c r="W1803">
        <v>0</v>
      </c>
      <c r="X1803">
        <v>1</v>
      </c>
      <c r="Z1803">
        <v>0</v>
      </c>
      <c r="AA1803">
        <v>9</v>
      </c>
      <c r="AB1803">
        <v>3</v>
      </c>
      <c r="AC1803">
        <v>0</v>
      </c>
      <c r="AD1803">
        <v>9</v>
      </c>
      <c r="AE1803">
        <v>0</v>
      </c>
      <c r="AF1803">
        <v>3</v>
      </c>
      <c r="AG1803">
        <v>1</v>
      </c>
      <c r="AH1803">
        <v>0</v>
      </c>
      <c r="AI1803" t="s">
        <v>684</v>
      </c>
      <c r="AJ1803">
        <v>34.183681</v>
      </c>
      <c r="AK1803" t="s">
        <v>685</v>
      </c>
      <c r="AL1803">
        <v>-117.006733</v>
      </c>
      <c r="AM1803">
        <v>100</v>
      </c>
      <c r="AN1803">
        <v>8300</v>
      </c>
      <c r="AO1803" t="s">
        <v>118</v>
      </c>
      <c r="AP1803">
        <v>-104</v>
      </c>
      <c r="AQ1803">
        <v>-69</v>
      </c>
      <c r="AR1803">
        <v>-704</v>
      </c>
      <c r="AZ1803">
        <v>1200</v>
      </c>
      <c r="BA1803">
        <v>1</v>
      </c>
      <c r="BB1803" t="str">
        <f t="shared" si="989"/>
        <v xml:space="preserve">N9217B  </v>
      </c>
      <c r="BC1803">
        <v>1</v>
      </c>
      <c r="BE1803">
        <v>0</v>
      </c>
      <c r="BF1803">
        <v>0</v>
      </c>
      <c r="BG1803">
        <v>0</v>
      </c>
      <c r="BH1803">
        <v>8275</v>
      </c>
      <c r="BI1803">
        <v>1</v>
      </c>
      <c r="BJ1803">
        <v>0</v>
      </c>
      <c r="BK1803">
        <v>0</v>
      </c>
      <c r="BL1803">
        <v>0</v>
      </c>
      <c r="BO1803">
        <v>0</v>
      </c>
      <c r="BP1803">
        <v>0</v>
      </c>
      <c r="BW1803" t="str">
        <f t="shared" si="993"/>
        <v>14:53:31.376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6</v>
      </c>
      <c r="CP1803" t="s">
        <v>119</v>
      </c>
      <c r="CQ1803">
        <v>285</v>
      </c>
      <c r="CR1803">
        <v>0</v>
      </c>
      <c r="CW1803">
        <v>8857932</v>
      </c>
      <c r="CY1803">
        <v>0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25">
      <c r="A1804" t="str">
        <f t="shared" si="990"/>
        <v>06/05/2020 14:53:25.738</v>
      </c>
      <c r="C1804" t="str">
        <f t="shared" si="970"/>
        <v>FFDFD3C0</v>
      </c>
      <c r="D1804" t="s">
        <v>151</v>
      </c>
      <c r="E1804">
        <v>8</v>
      </c>
      <c r="H1804">
        <v>225</v>
      </c>
      <c r="I1804" t="s">
        <v>353</v>
      </c>
      <c r="J1804" t="s">
        <v>150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991"/>
        <v>14:53:31.375</v>
      </c>
      <c r="T1804" t="str">
        <f t="shared" si="992"/>
        <v>14:53:31.275</v>
      </c>
      <c r="U1804" t="str">
        <f t="shared" si="987"/>
        <v>ACC530</v>
      </c>
      <c r="V1804">
        <v>0</v>
      </c>
      <c r="W1804">
        <v>0</v>
      </c>
      <c r="X1804">
        <v>1</v>
      </c>
      <c r="Z1804">
        <v>0</v>
      </c>
      <c r="AA1804">
        <v>9</v>
      </c>
      <c r="AB1804">
        <v>3</v>
      </c>
      <c r="AC1804">
        <v>0</v>
      </c>
      <c r="AD1804">
        <v>9</v>
      </c>
      <c r="AE1804">
        <v>0</v>
      </c>
      <c r="AF1804">
        <v>3</v>
      </c>
      <c r="AG1804">
        <v>1</v>
      </c>
      <c r="AH1804">
        <v>0</v>
      </c>
      <c r="AI1804" t="s">
        <v>684</v>
      </c>
      <c r="AJ1804">
        <v>34.183681</v>
      </c>
      <c r="AK1804" t="s">
        <v>685</v>
      </c>
      <c r="AL1804">
        <v>-117.006733</v>
      </c>
      <c r="AM1804">
        <v>100</v>
      </c>
      <c r="AN1804">
        <v>8300</v>
      </c>
      <c r="AO1804" t="s">
        <v>118</v>
      </c>
      <c r="AP1804">
        <v>-104</v>
      </c>
      <c r="AQ1804">
        <v>-69</v>
      </c>
      <c r="AR1804">
        <v>-704</v>
      </c>
      <c r="AZ1804">
        <v>1200</v>
      </c>
      <c r="BA1804">
        <v>1</v>
      </c>
      <c r="BB1804" t="str">
        <f t="shared" si="989"/>
        <v xml:space="preserve">N9217B  </v>
      </c>
      <c r="BC1804">
        <v>1</v>
      </c>
      <c r="BE1804">
        <v>0</v>
      </c>
      <c r="BF1804">
        <v>0</v>
      </c>
      <c r="BG1804">
        <v>0</v>
      </c>
      <c r="BH1804">
        <v>8275</v>
      </c>
      <c r="BI1804">
        <v>1</v>
      </c>
      <c r="BJ1804">
        <v>0</v>
      </c>
      <c r="BK1804">
        <v>0</v>
      </c>
      <c r="BL1804">
        <v>0</v>
      </c>
      <c r="BO1804">
        <v>0</v>
      </c>
      <c r="BP1804">
        <v>0</v>
      </c>
      <c r="BW1804" t="str">
        <f t="shared" si="993"/>
        <v>14:53:31.376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6</v>
      </c>
      <c r="CP1804" t="s">
        <v>119</v>
      </c>
      <c r="CQ1804">
        <v>285</v>
      </c>
      <c r="CR1804">
        <v>0</v>
      </c>
      <c r="CW1804">
        <v>8857932</v>
      </c>
      <c r="CY1804">
        <v>0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25">
      <c r="A1805" t="str">
        <f t="shared" si="990"/>
        <v>06/05/2020 14:53:25.738</v>
      </c>
      <c r="C1805" t="str">
        <f t="shared" si="970"/>
        <v>FFDFD3C0</v>
      </c>
      <c r="D1805" t="s">
        <v>134</v>
      </c>
      <c r="E1805">
        <v>7</v>
      </c>
      <c r="F1805">
        <v>2007</v>
      </c>
      <c r="G1805" t="s">
        <v>135</v>
      </c>
      <c r="J1805" t="s">
        <v>136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91"/>
        <v>14:53:31.375</v>
      </c>
      <c r="T1805" t="str">
        <f t="shared" si="992"/>
        <v>14:53:31.275</v>
      </c>
      <c r="U1805" t="str">
        <f t="shared" si="987"/>
        <v>ACC530</v>
      </c>
      <c r="V1805">
        <v>0</v>
      </c>
      <c r="W1805">
        <v>0</v>
      </c>
      <c r="X1805">
        <v>1</v>
      </c>
      <c r="Z1805">
        <v>0</v>
      </c>
      <c r="AA1805">
        <v>9</v>
      </c>
      <c r="AB1805">
        <v>3</v>
      </c>
      <c r="AC1805">
        <v>0</v>
      </c>
      <c r="AD1805">
        <v>9</v>
      </c>
      <c r="AE1805">
        <v>0</v>
      </c>
      <c r="AF1805">
        <v>3</v>
      </c>
      <c r="AG1805">
        <v>1</v>
      </c>
      <c r="AH1805">
        <v>0</v>
      </c>
      <c r="AI1805" t="s">
        <v>684</v>
      </c>
      <c r="AJ1805">
        <v>34.183681</v>
      </c>
      <c r="AK1805" t="s">
        <v>685</v>
      </c>
      <c r="AL1805">
        <v>-117.006733</v>
      </c>
      <c r="AM1805">
        <v>100</v>
      </c>
      <c r="AN1805">
        <v>8300</v>
      </c>
      <c r="AO1805" t="s">
        <v>118</v>
      </c>
      <c r="AP1805">
        <v>-104</v>
      </c>
      <c r="AQ1805">
        <v>-69</v>
      </c>
      <c r="AR1805">
        <v>-704</v>
      </c>
      <c r="AZ1805">
        <v>1200</v>
      </c>
      <c r="BA1805">
        <v>1</v>
      </c>
      <c r="BB1805" t="str">
        <f t="shared" si="989"/>
        <v xml:space="preserve">N9217B  </v>
      </c>
      <c r="BC1805">
        <v>1</v>
      </c>
      <c r="BE1805">
        <v>0</v>
      </c>
      <c r="BF1805">
        <v>0</v>
      </c>
      <c r="BG1805">
        <v>0</v>
      </c>
      <c r="BH1805">
        <v>8275</v>
      </c>
      <c r="BI1805">
        <v>1</v>
      </c>
      <c r="BJ1805">
        <v>0</v>
      </c>
      <c r="BK1805">
        <v>0</v>
      </c>
      <c r="BL1805">
        <v>0</v>
      </c>
      <c r="BO1805">
        <v>0</v>
      </c>
      <c r="BP1805">
        <v>0</v>
      </c>
      <c r="BW1805" t="str">
        <f t="shared" si="993"/>
        <v>14:53:31.376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285</v>
      </c>
      <c r="CR1805">
        <v>0</v>
      </c>
      <c r="CW1805">
        <v>8857932</v>
      </c>
      <c r="CY1805">
        <v>0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25">
      <c r="A1806" t="str">
        <f t="shared" si="990"/>
        <v>06/05/2020 14:53:25.738</v>
      </c>
      <c r="C1806" t="str">
        <f t="shared" si="970"/>
        <v>FFDFD3C0</v>
      </c>
      <c r="D1806" t="s">
        <v>151</v>
      </c>
      <c r="E1806">
        <v>9</v>
      </c>
      <c r="H1806">
        <v>226</v>
      </c>
      <c r="I1806" t="s">
        <v>152</v>
      </c>
      <c r="J1806" t="s">
        <v>150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91"/>
        <v>14:53:31.375</v>
      </c>
      <c r="T1806" t="str">
        <f t="shared" si="992"/>
        <v>14:53:31.275</v>
      </c>
      <c r="U1806" t="str">
        <f t="shared" si="987"/>
        <v>ACC530</v>
      </c>
      <c r="V1806">
        <v>0</v>
      </c>
      <c r="W1806">
        <v>0</v>
      </c>
      <c r="X1806">
        <v>1</v>
      </c>
      <c r="Z1806">
        <v>0</v>
      </c>
      <c r="AA1806">
        <v>9</v>
      </c>
      <c r="AB1806">
        <v>3</v>
      </c>
      <c r="AC1806">
        <v>0</v>
      </c>
      <c r="AD1806">
        <v>9</v>
      </c>
      <c r="AE1806">
        <v>0</v>
      </c>
      <c r="AF1806">
        <v>3</v>
      </c>
      <c r="AG1806">
        <v>1</v>
      </c>
      <c r="AH1806">
        <v>0</v>
      </c>
      <c r="AI1806" t="s">
        <v>684</v>
      </c>
      <c r="AJ1806">
        <v>34.183681</v>
      </c>
      <c r="AK1806" t="s">
        <v>685</v>
      </c>
      <c r="AL1806">
        <v>-117.006733</v>
      </c>
      <c r="AM1806">
        <v>100</v>
      </c>
      <c r="AN1806">
        <v>8300</v>
      </c>
      <c r="AO1806" t="s">
        <v>118</v>
      </c>
      <c r="AP1806">
        <v>-104</v>
      </c>
      <c r="AQ1806">
        <v>-69</v>
      </c>
      <c r="AR1806">
        <v>-704</v>
      </c>
      <c r="AZ1806">
        <v>1200</v>
      </c>
      <c r="BA1806">
        <v>1</v>
      </c>
      <c r="BB1806" t="str">
        <f t="shared" si="989"/>
        <v xml:space="preserve">N9217B  </v>
      </c>
      <c r="BC1806">
        <v>1</v>
      </c>
      <c r="BE1806">
        <v>0</v>
      </c>
      <c r="BF1806">
        <v>0</v>
      </c>
      <c r="BG1806">
        <v>0</v>
      </c>
      <c r="BH1806">
        <v>8275</v>
      </c>
      <c r="BI1806">
        <v>1</v>
      </c>
      <c r="BJ1806">
        <v>0</v>
      </c>
      <c r="BK1806">
        <v>0</v>
      </c>
      <c r="BL1806">
        <v>0</v>
      </c>
      <c r="BO1806">
        <v>0</v>
      </c>
      <c r="BP1806">
        <v>0</v>
      </c>
      <c r="BW1806" t="str">
        <f t="shared" si="993"/>
        <v>14:53:31.376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285</v>
      </c>
      <c r="CR1806">
        <v>0</v>
      </c>
      <c r="CW1806">
        <v>8857932</v>
      </c>
      <c r="CY1806">
        <v>0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25">
      <c r="A1807" t="str">
        <f t="shared" ref="A1807:A1813" si="994">"06/05/2020 14:53:26.637"</f>
        <v>06/05/2020 14:53:26.637</v>
      </c>
      <c r="C1807" t="str">
        <f t="shared" si="970"/>
        <v>FFDFD3C0</v>
      </c>
      <c r="D1807" t="s">
        <v>151</v>
      </c>
      <c r="E1807">
        <v>8</v>
      </c>
      <c r="H1807">
        <v>225</v>
      </c>
      <c r="I1807" t="s">
        <v>353</v>
      </c>
      <c r="J1807" t="s">
        <v>150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ref="S1807:T1813" si="995">"14:53:32.289"</f>
        <v>14:53:32.289</v>
      </c>
      <c r="T1807" t="str">
        <f t="shared" si="995"/>
        <v>14:53:32.289</v>
      </c>
      <c r="U1807" t="str">
        <f t="shared" si="987"/>
        <v>ACC530</v>
      </c>
      <c r="V1807">
        <v>0</v>
      </c>
      <c r="W1807">
        <v>0</v>
      </c>
      <c r="X1807">
        <v>1</v>
      </c>
      <c r="Z1807">
        <v>0</v>
      </c>
      <c r="AA1807">
        <v>9</v>
      </c>
      <c r="AB1807">
        <v>3</v>
      </c>
      <c r="AC1807">
        <v>0</v>
      </c>
      <c r="AD1807">
        <v>9</v>
      </c>
      <c r="AE1807">
        <v>0</v>
      </c>
      <c r="AF1807">
        <v>3</v>
      </c>
      <c r="AG1807">
        <v>1</v>
      </c>
      <c r="AH1807">
        <v>0</v>
      </c>
      <c r="AI1807" t="s">
        <v>686</v>
      </c>
      <c r="AJ1807">
        <v>34.183402000000001</v>
      </c>
      <c r="AK1807" t="s">
        <v>687</v>
      </c>
      <c r="AL1807">
        <v>-117.007313</v>
      </c>
      <c r="AM1807">
        <v>100</v>
      </c>
      <c r="AN1807">
        <v>8300</v>
      </c>
      <c r="AO1807" t="s">
        <v>118</v>
      </c>
      <c r="AP1807">
        <v>-104</v>
      </c>
      <c r="AQ1807">
        <v>-69</v>
      </c>
      <c r="AR1807">
        <v>-576</v>
      </c>
      <c r="AZ1807">
        <v>1200</v>
      </c>
      <c r="BA1807">
        <v>1</v>
      </c>
      <c r="BB1807" t="str">
        <f t="shared" si="989"/>
        <v xml:space="preserve">N9217B  </v>
      </c>
      <c r="BC1807">
        <v>1</v>
      </c>
      <c r="BE1807">
        <v>0</v>
      </c>
      <c r="BF1807">
        <v>0</v>
      </c>
      <c r="BG1807">
        <v>0</v>
      </c>
      <c r="BH1807">
        <v>8275</v>
      </c>
      <c r="BI1807">
        <v>1</v>
      </c>
      <c r="BJ1807">
        <v>0</v>
      </c>
      <c r="BK1807">
        <v>0</v>
      </c>
      <c r="BL1807">
        <v>0</v>
      </c>
      <c r="BO1807">
        <v>0</v>
      </c>
      <c r="BP1807">
        <v>0</v>
      </c>
      <c r="BW1807" t="str">
        <f t="shared" ref="BW1807:BW1813" si="996">"14:53:32.291"</f>
        <v>14:53:32.291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285</v>
      </c>
      <c r="CR1807">
        <v>0</v>
      </c>
      <c r="CW1807">
        <v>8858016</v>
      </c>
      <c r="CY1807">
        <v>0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25">
      <c r="A1808" t="str">
        <f t="shared" si="994"/>
        <v>06/05/2020 14:53:26.637</v>
      </c>
      <c r="C1808" t="str">
        <f t="shared" si="970"/>
        <v>FFDFD3C0</v>
      </c>
      <c r="D1808" t="s">
        <v>134</v>
      </c>
      <c r="E1808">
        <v>7</v>
      </c>
      <c r="F1808">
        <v>2007</v>
      </c>
      <c r="G1808" t="s">
        <v>135</v>
      </c>
      <c r="J1808" t="s">
        <v>136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995"/>
        <v>14:53:32.289</v>
      </c>
      <c r="T1808" t="str">
        <f t="shared" si="995"/>
        <v>14:53:32.289</v>
      </c>
      <c r="U1808" t="str">
        <f t="shared" si="987"/>
        <v>ACC530</v>
      </c>
      <c r="V1808">
        <v>0</v>
      </c>
      <c r="W1808">
        <v>0</v>
      </c>
      <c r="X1808">
        <v>1</v>
      </c>
      <c r="Z1808">
        <v>0</v>
      </c>
      <c r="AA1808">
        <v>9</v>
      </c>
      <c r="AB1808">
        <v>3</v>
      </c>
      <c r="AC1808">
        <v>0</v>
      </c>
      <c r="AD1808">
        <v>9</v>
      </c>
      <c r="AE1808">
        <v>0</v>
      </c>
      <c r="AF1808">
        <v>3</v>
      </c>
      <c r="AG1808">
        <v>1</v>
      </c>
      <c r="AH1808">
        <v>0</v>
      </c>
      <c r="AI1808" t="s">
        <v>686</v>
      </c>
      <c r="AJ1808">
        <v>34.183402000000001</v>
      </c>
      <c r="AK1808" t="s">
        <v>687</v>
      </c>
      <c r="AL1808">
        <v>-117.007313</v>
      </c>
      <c r="AM1808">
        <v>100</v>
      </c>
      <c r="AN1808">
        <v>8300</v>
      </c>
      <c r="AO1808" t="s">
        <v>118</v>
      </c>
      <c r="AP1808">
        <v>-104</v>
      </c>
      <c r="AQ1808">
        <v>-69</v>
      </c>
      <c r="AR1808">
        <v>-576</v>
      </c>
      <c r="AZ1808">
        <v>1200</v>
      </c>
      <c r="BA1808">
        <v>1</v>
      </c>
      <c r="BB1808" t="str">
        <f t="shared" si="989"/>
        <v xml:space="preserve">N9217B  </v>
      </c>
      <c r="BC1808">
        <v>1</v>
      </c>
      <c r="BE1808">
        <v>0</v>
      </c>
      <c r="BF1808">
        <v>0</v>
      </c>
      <c r="BG1808">
        <v>0</v>
      </c>
      <c r="BH1808">
        <v>8275</v>
      </c>
      <c r="BI1808">
        <v>1</v>
      </c>
      <c r="BJ1808">
        <v>0</v>
      </c>
      <c r="BK1808">
        <v>0</v>
      </c>
      <c r="BL1808">
        <v>0</v>
      </c>
      <c r="BO1808">
        <v>0</v>
      </c>
      <c r="BP1808">
        <v>0</v>
      </c>
      <c r="BW1808" t="str">
        <f t="shared" si="996"/>
        <v>14:53:32.291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285</v>
      </c>
      <c r="CR1808">
        <v>0</v>
      </c>
      <c r="CW1808">
        <v>8858016</v>
      </c>
      <c r="CY1808">
        <v>0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25">
      <c r="A1809" t="str">
        <f t="shared" si="994"/>
        <v>06/05/2020 14:53:26.637</v>
      </c>
      <c r="C1809" t="str">
        <f t="shared" si="970"/>
        <v>FFDFD3C0</v>
      </c>
      <c r="D1809" t="s">
        <v>151</v>
      </c>
      <c r="E1809">
        <v>9</v>
      </c>
      <c r="H1809">
        <v>226</v>
      </c>
      <c r="I1809" t="s">
        <v>152</v>
      </c>
      <c r="J1809" t="s">
        <v>150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95"/>
        <v>14:53:32.289</v>
      </c>
      <c r="T1809" t="str">
        <f t="shared" si="995"/>
        <v>14:53:32.289</v>
      </c>
      <c r="U1809" t="str">
        <f t="shared" si="987"/>
        <v>ACC530</v>
      </c>
      <c r="V1809">
        <v>0</v>
      </c>
      <c r="W1809">
        <v>0</v>
      </c>
      <c r="X1809">
        <v>1</v>
      </c>
      <c r="Z1809">
        <v>0</v>
      </c>
      <c r="AA1809">
        <v>9</v>
      </c>
      <c r="AB1809">
        <v>3</v>
      </c>
      <c r="AC1809">
        <v>0</v>
      </c>
      <c r="AD1809">
        <v>9</v>
      </c>
      <c r="AE1809">
        <v>0</v>
      </c>
      <c r="AF1809">
        <v>3</v>
      </c>
      <c r="AG1809">
        <v>1</v>
      </c>
      <c r="AH1809">
        <v>0</v>
      </c>
      <c r="AI1809" t="s">
        <v>686</v>
      </c>
      <c r="AJ1809">
        <v>34.183402000000001</v>
      </c>
      <c r="AK1809" t="s">
        <v>687</v>
      </c>
      <c r="AL1809">
        <v>-117.007313</v>
      </c>
      <c r="AM1809">
        <v>100</v>
      </c>
      <c r="AN1809">
        <v>8300</v>
      </c>
      <c r="AO1809" t="s">
        <v>118</v>
      </c>
      <c r="AP1809">
        <v>-104</v>
      </c>
      <c r="AQ1809">
        <v>-69</v>
      </c>
      <c r="AR1809">
        <v>-576</v>
      </c>
      <c r="AZ1809">
        <v>1200</v>
      </c>
      <c r="BA1809">
        <v>1</v>
      </c>
      <c r="BB1809" t="str">
        <f t="shared" si="989"/>
        <v xml:space="preserve">N9217B  </v>
      </c>
      <c r="BC1809">
        <v>1</v>
      </c>
      <c r="BE1809">
        <v>0</v>
      </c>
      <c r="BF1809">
        <v>0</v>
      </c>
      <c r="BG1809">
        <v>0</v>
      </c>
      <c r="BH1809">
        <v>8275</v>
      </c>
      <c r="BI1809">
        <v>1</v>
      </c>
      <c r="BJ1809">
        <v>0</v>
      </c>
      <c r="BK1809">
        <v>0</v>
      </c>
      <c r="BL1809">
        <v>0</v>
      </c>
      <c r="BO1809">
        <v>0</v>
      </c>
      <c r="BP1809">
        <v>0</v>
      </c>
      <c r="BW1809" t="str">
        <f t="shared" si="996"/>
        <v>14:53:32.291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285</v>
      </c>
      <c r="CR1809">
        <v>0</v>
      </c>
      <c r="CW1809">
        <v>8858016</v>
      </c>
      <c r="CY1809">
        <v>0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25">
      <c r="A1810" t="str">
        <f t="shared" si="994"/>
        <v>06/05/2020 14:53:26.637</v>
      </c>
      <c r="C1810" t="str">
        <f t="shared" si="970"/>
        <v>FFDFD3C0</v>
      </c>
      <c r="D1810" t="s">
        <v>148</v>
      </c>
      <c r="E1810">
        <v>8</v>
      </c>
      <c r="H1810">
        <v>50</v>
      </c>
      <c r="I1810" t="s">
        <v>149</v>
      </c>
      <c r="J1810" t="s">
        <v>150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995"/>
        <v>14:53:32.289</v>
      </c>
      <c r="T1810" t="str">
        <f t="shared" si="995"/>
        <v>14:53:32.289</v>
      </c>
      <c r="U1810" t="str">
        <f t="shared" si="987"/>
        <v>ACC530</v>
      </c>
      <c r="V1810">
        <v>0</v>
      </c>
      <c r="W1810">
        <v>0</v>
      </c>
      <c r="X1810">
        <v>1</v>
      </c>
      <c r="Z1810">
        <v>0</v>
      </c>
      <c r="AA1810">
        <v>9</v>
      </c>
      <c r="AB1810">
        <v>3</v>
      </c>
      <c r="AC1810">
        <v>0</v>
      </c>
      <c r="AD1810">
        <v>9</v>
      </c>
      <c r="AE1810">
        <v>0</v>
      </c>
      <c r="AF1810">
        <v>3</v>
      </c>
      <c r="AG1810">
        <v>1</v>
      </c>
      <c r="AH1810">
        <v>0</v>
      </c>
      <c r="AI1810" t="s">
        <v>686</v>
      </c>
      <c r="AJ1810">
        <v>34.183402000000001</v>
      </c>
      <c r="AK1810" t="s">
        <v>687</v>
      </c>
      <c r="AL1810">
        <v>-117.007313</v>
      </c>
      <c r="AM1810">
        <v>100</v>
      </c>
      <c r="AN1810">
        <v>8300</v>
      </c>
      <c r="AO1810" t="s">
        <v>118</v>
      </c>
      <c r="AP1810">
        <v>-104</v>
      </c>
      <c r="AQ1810">
        <v>-69</v>
      </c>
      <c r="AR1810">
        <v>-576</v>
      </c>
      <c r="AZ1810">
        <v>1200</v>
      </c>
      <c r="BA1810">
        <v>1</v>
      </c>
      <c r="BB1810" t="str">
        <f t="shared" si="989"/>
        <v xml:space="preserve">N9217B  </v>
      </c>
      <c r="BC1810">
        <v>1</v>
      </c>
      <c r="BE1810">
        <v>0</v>
      </c>
      <c r="BF1810">
        <v>0</v>
      </c>
      <c r="BG1810">
        <v>0</v>
      </c>
      <c r="BH1810">
        <v>8275</v>
      </c>
      <c r="BI1810">
        <v>1</v>
      </c>
      <c r="BJ1810">
        <v>0</v>
      </c>
      <c r="BK1810">
        <v>0</v>
      </c>
      <c r="BL1810">
        <v>0</v>
      </c>
      <c r="BO1810">
        <v>0</v>
      </c>
      <c r="BP1810">
        <v>0</v>
      </c>
      <c r="BW1810" t="str">
        <f t="shared" si="996"/>
        <v>14:53:32.291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119</v>
      </c>
      <c r="CQ1810">
        <v>285</v>
      </c>
      <c r="CR1810">
        <v>0</v>
      </c>
      <c r="CW1810">
        <v>8858016</v>
      </c>
      <c r="CY1810">
        <v>0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25">
      <c r="A1811" t="str">
        <f t="shared" si="994"/>
        <v>06/05/2020 14:53:26.637</v>
      </c>
      <c r="C1811" t="str">
        <f t="shared" si="970"/>
        <v>FFDFD3C0</v>
      </c>
      <c r="D1811" t="s">
        <v>113</v>
      </c>
      <c r="E1811">
        <v>3</v>
      </c>
      <c r="H1811">
        <v>166</v>
      </c>
      <c r="I1811" t="s">
        <v>114</v>
      </c>
      <c r="J1811" t="s">
        <v>115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995"/>
        <v>14:53:32.289</v>
      </c>
      <c r="T1811" t="str">
        <f t="shared" si="995"/>
        <v>14:53:32.289</v>
      </c>
      <c r="U1811" t="str">
        <f t="shared" si="987"/>
        <v>ACC530</v>
      </c>
      <c r="V1811">
        <v>0</v>
      </c>
      <c r="W1811">
        <v>0</v>
      </c>
      <c r="X1811">
        <v>1</v>
      </c>
      <c r="Z1811">
        <v>0</v>
      </c>
      <c r="AA1811">
        <v>9</v>
      </c>
      <c r="AB1811">
        <v>3</v>
      </c>
      <c r="AC1811">
        <v>0</v>
      </c>
      <c r="AD1811">
        <v>9</v>
      </c>
      <c r="AE1811">
        <v>0</v>
      </c>
      <c r="AF1811">
        <v>3</v>
      </c>
      <c r="AG1811">
        <v>1</v>
      </c>
      <c r="AH1811">
        <v>0</v>
      </c>
      <c r="AI1811" t="s">
        <v>686</v>
      </c>
      <c r="AJ1811">
        <v>34.183402000000001</v>
      </c>
      <c r="AK1811" t="s">
        <v>687</v>
      </c>
      <c r="AL1811">
        <v>-117.007313</v>
      </c>
      <c r="AM1811">
        <v>100</v>
      </c>
      <c r="AN1811">
        <v>8300</v>
      </c>
      <c r="AO1811" t="s">
        <v>118</v>
      </c>
      <c r="AP1811">
        <v>-104</v>
      </c>
      <c r="AQ1811">
        <v>-69</v>
      </c>
      <c r="AR1811">
        <v>-576</v>
      </c>
      <c r="AZ1811">
        <v>1200</v>
      </c>
      <c r="BA1811">
        <v>1</v>
      </c>
      <c r="BB1811" t="str">
        <f t="shared" si="989"/>
        <v xml:space="preserve">N9217B  </v>
      </c>
      <c r="BC1811">
        <v>1</v>
      </c>
      <c r="BE1811">
        <v>0</v>
      </c>
      <c r="BF1811">
        <v>0</v>
      </c>
      <c r="BG1811">
        <v>0</v>
      </c>
      <c r="BH1811">
        <v>8275</v>
      </c>
      <c r="BI1811">
        <v>1</v>
      </c>
      <c r="BJ1811">
        <v>0</v>
      </c>
      <c r="BK1811">
        <v>0</v>
      </c>
      <c r="BL1811">
        <v>0</v>
      </c>
      <c r="BO1811">
        <v>0</v>
      </c>
      <c r="BP1811">
        <v>0</v>
      </c>
      <c r="BW1811" t="str">
        <f t="shared" si="996"/>
        <v>14:53:32.291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6</v>
      </c>
      <c r="CP1811" t="s">
        <v>119</v>
      </c>
      <c r="CQ1811">
        <v>285</v>
      </c>
      <c r="CR1811">
        <v>0</v>
      </c>
      <c r="CW1811">
        <v>8858016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25">
      <c r="A1812" t="str">
        <f t="shared" si="994"/>
        <v>06/05/2020 14:53:26.637</v>
      </c>
      <c r="C1812" t="str">
        <f t="shared" si="970"/>
        <v>FFDFD3C0</v>
      </c>
      <c r="D1812" t="s">
        <v>141</v>
      </c>
      <c r="E1812">
        <v>20</v>
      </c>
      <c r="F1812">
        <v>1020</v>
      </c>
      <c r="G1812" t="s">
        <v>114</v>
      </c>
      <c r="J1812" t="s">
        <v>142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995"/>
        <v>14:53:32.289</v>
      </c>
      <c r="T1812" t="str">
        <f t="shared" si="995"/>
        <v>14:53:32.289</v>
      </c>
      <c r="U1812" t="str">
        <f t="shared" si="987"/>
        <v>ACC530</v>
      </c>
      <c r="V1812">
        <v>0</v>
      </c>
      <c r="W1812">
        <v>0</v>
      </c>
      <c r="X1812">
        <v>1</v>
      </c>
      <c r="Z1812">
        <v>0</v>
      </c>
      <c r="AA1812">
        <v>9</v>
      </c>
      <c r="AB1812">
        <v>3</v>
      </c>
      <c r="AC1812">
        <v>0</v>
      </c>
      <c r="AD1812">
        <v>9</v>
      </c>
      <c r="AE1812">
        <v>0</v>
      </c>
      <c r="AF1812">
        <v>3</v>
      </c>
      <c r="AG1812">
        <v>1</v>
      </c>
      <c r="AH1812">
        <v>0</v>
      </c>
      <c r="AI1812" t="s">
        <v>686</v>
      </c>
      <c r="AJ1812">
        <v>34.183402000000001</v>
      </c>
      <c r="AK1812" t="s">
        <v>687</v>
      </c>
      <c r="AL1812">
        <v>-117.007313</v>
      </c>
      <c r="AM1812">
        <v>100</v>
      </c>
      <c r="AN1812">
        <v>8300</v>
      </c>
      <c r="AO1812" t="s">
        <v>118</v>
      </c>
      <c r="AP1812">
        <v>-104</v>
      </c>
      <c r="AQ1812">
        <v>-69</v>
      </c>
      <c r="AR1812">
        <v>-576</v>
      </c>
      <c r="AZ1812">
        <v>1200</v>
      </c>
      <c r="BA1812">
        <v>1</v>
      </c>
      <c r="BB1812" t="str">
        <f t="shared" si="989"/>
        <v xml:space="preserve">N9217B  </v>
      </c>
      <c r="BC1812">
        <v>1</v>
      </c>
      <c r="BE1812">
        <v>0</v>
      </c>
      <c r="BF1812">
        <v>0</v>
      </c>
      <c r="BG1812">
        <v>0</v>
      </c>
      <c r="BH1812">
        <v>8275</v>
      </c>
      <c r="BI1812">
        <v>1</v>
      </c>
      <c r="BJ1812">
        <v>0</v>
      </c>
      <c r="BK1812">
        <v>0</v>
      </c>
      <c r="BL1812">
        <v>0</v>
      </c>
      <c r="BO1812">
        <v>0</v>
      </c>
      <c r="BP1812">
        <v>0</v>
      </c>
      <c r="BW1812" t="str">
        <f t="shared" si="996"/>
        <v>14:53:32.291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6</v>
      </c>
      <c r="CP1812" t="s">
        <v>119</v>
      </c>
      <c r="CQ1812">
        <v>285</v>
      </c>
      <c r="CR1812">
        <v>0</v>
      </c>
      <c r="CW1812">
        <v>8858016</v>
      </c>
      <c r="CY1812">
        <v>0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25">
      <c r="A1813" t="str">
        <f t="shared" si="994"/>
        <v>06/05/2020 14:53:26.637</v>
      </c>
      <c r="C1813" t="str">
        <f t="shared" si="970"/>
        <v>FFDFD3C0</v>
      </c>
      <c r="D1813" t="s">
        <v>148</v>
      </c>
      <c r="E1813">
        <v>11</v>
      </c>
      <c r="H1813">
        <v>53</v>
      </c>
      <c r="I1813" t="s">
        <v>364</v>
      </c>
      <c r="J1813" t="s">
        <v>150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95"/>
        <v>14:53:32.289</v>
      </c>
      <c r="T1813" t="str">
        <f t="shared" si="995"/>
        <v>14:53:32.289</v>
      </c>
      <c r="U1813" t="str">
        <f t="shared" si="987"/>
        <v>ACC530</v>
      </c>
      <c r="V1813">
        <v>0</v>
      </c>
      <c r="W1813">
        <v>0</v>
      </c>
      <c r="X1813">
        <v>1</v>
      </c>
      <c r="Z1813">
        <v>0</v>
      </c>
      <c r="AA1813">
        <v>9</v>
      </c>
      <c r="AB1813">
        <v>3</v>
      </c>
      <c r="AC1813">
        <v>0</v>
      </c>
      <c r="AD1813">
        <v>9</v>
      </c>
      <c r="AE1813">
        <v>0</v>
      </c>
      <c r="AF1813">
        <v>3</v>
      </c>
      <c r="AG1813">
        <v>1</v>
      </c>
      <c r="AH1813">
        <v>0</v>
      </c>
      <c r="AI1813" t="s">
        <v>686</v>
      </c>
      <c r="AJ1813">
        <v>34.183402000000001</v>
      </c>
      <c r="AK1813" t="s">
        <v>687</v>
      </c>
      <c r="AL1813">
        <v>-117.007313</v>
      </c>
      <c r="AM1813">
        <v>100</v>
      </c>
      <c r="AN1813">
        <v>8300</v>
      </c>
      <c r="AO1813" t="s">
        <v>118</v>
      </c>
      <c r="AP1813">
        <v>-104</v>
      </c>
      <c r="AQ1813">
        <v>-69</v>
      </c>
      <c r="AR1813">
        <v>-576</v>
      </c>
      <c r="AZ1813">
        <v>1200</v>
      </c>
      <c r="BA1813">
        <v>1</v>
      </c>
      <c r="BB1813" t="str">
        <f t="shared" si="989"/>
        <v xml:space="preserve">N9217B  </v>
      </c>
      <c r="BC1813">
        <v>1</v>
      </c>
      <c r="BE1813">
        <v>0</v>
      </c>
      <c r="BF1813">
        <v>0</v>
      </c>
      <c r="BG1813">
        <v>0</v>
      </c>
      <c r="BH1813">
        <v>8275</v>
      </c>
      <c r="BI1813">
        <v>1</v>
      </c>
      <c r="BJ1813">
        <v>0</v>
      </c>
      <c r="BK1813">
        <v>0</v>
      </c>
      <c r="BL1813">
        <v>0</v>
      </c>
      <c r="BO1813">
        <v>0</v>
      </c>
      <c r="BP1813">
        <v>0</v>
      </c>
      <c r="BW1813" t="str">
        <f t="shared" si="996"/>
        <v>14:53:32.291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285</v>
      </c>
      <c r="CR1813">
        <v>0</v>
      </c>
      <c r="CW1813">
        <v>8858016</v>
      </c>
      <c r="CY1813">
        <v>0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25">
      <c r="A1814" t="str">
        <f t="shared" ref="A1814:A1820" si="997">"06/05/2020 14:53:27.546"</f>
        <v>06/05/2020 14:53:27.546</v>
      </c>
      <c r="C1814" t="str">
        <f t="shared" si="970"/>
        <v>FFDFD3C0</v>
      </c>
      <c r="D1814" t="s">
        <v>151</v>
      </c>
      <c r="E1814">
        <v>8</v>
      </c>
      <c r="H1814">
        <v>225</v>
      </c>
      <c r="I1814" t="s">
        <v>353</v>
      </c>
      <c r="J1814" t="s">
        <v>150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ref="S1814:S1820" si="998">"14:53:33.188"</f>
        <v>14:53:33.188</v>
      </c>
      <c r="T1814" t="str">
        <f t="shared" ref="T1814:T1820" si="999">"14:53:32.788"</f>
        <v>14:53:32.788</v>
      </c>
      <c r="U1814" t="str">
        <f t="shared" si="987"/>
        <v>ACC530</v>
      </c>
      <c r="V1814">
        <v>0</v>
      </c>
      <c r="W1814">
        <v>0</v>
      </c>
      <c r="X1814">
        <v>1</v>
      </c>
      <c r="Z1814">
        <v>0</v>
      </c>
      <c r="AA1814">
        <v>9</v>
      </c>
      <c r="AB1814">
        <v>3</v>
      </c>
      <c r="AC1814">
        <v>0</v>
      </c>
      <c r="AD1814">
        <v>9</v>
      </c>
      <c r="AE1814">
        <v>0</v>
      </c>
      <c r="AF1814">
        <v>3</v>
      </c>
      <c r="AG1814">
        <v>1</v>
      </c>
      <c r="AH1814">
        <v>0</v>
      </c>
      <c r="AI1814" t="s">
        <v>688</v>
      </c>
      <c r="AJ1814">
        <v>34.183079999999997</v>
      </c>
      <c r="AK1814" t="s">
        <v>689</v>
      </c>
      <c r="AL1814">
        <v>-117.007806</v>
      </c>
      <c r="AM1814">
        <v>100</v>
      </c>
      <c r="AN1814">
        <v>8300</v>
      </c>
      <c r="AO1814" t="s">
        <v>118</v>
      </c>
      <c r="AP1814">
        <v>-104</v>
      </c>
      <c r="AQ1814">
        <v>-69</v>
      </c>
      <c r="AR1814">
        <v>-576</v>
      </c>
      <c r="AZ1814">
        <v>1200</v>
      </c>
      <c r="BA1814">
        <v>1</v>
      </c>
      <c r="BB1814" t="str">
        <f t="shared" si="989"/>
        <v xml:space="preserve">N9217B  </v>
      </c>
      <c r="BC1814">
        <v>1</v>
      </c>
      <c r="BE1814">
        <v>0</v>
      </c>
      <c r="BF1814">
        <v>0</v>
      </c>
      <c r="BG1814">
        <v>0</v>
      </c>
      <c r="BH1814">
        <v>8275</v>
      </c>
      <c r="BI1814">
        <v>1</v>
      </c>
      <c r="BJ1814">
        <v>0</v>
      </c>
      <c r="BK1814">
        <v>0</v>
      </c>
      <c r="BL1814">
        <v>0</v>
      </c>
      <c r="BO1814">
        <v>0</v>
      </c>
      <c r="BP1814">
        <v>0</v>
      </c>
      <c r="BW1814" t="str">
        <f t="shared" ref="BW1814:BW1820" si="1000">"14:53:33.191"</f>
        <v>14:53:33.191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285</v>
      </c>
      <c r="CR1814">
        <v>0</v>
      </c>
      <c r="CW1814">
        <v>8858094</v>
      </c>
      <c r="CY1814">
        <v>0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25">
      <c r="A1815" t="str">
        <f t="shared" si="997"/>
        <v>06/05/2020 14:53:27.546</v>
      </c>
      <c r="C1815" t="str">
        <f t="shared" si="970"/>
        <v>FFDFD3C0</v>
      </c>
      <c r="D1815" t="s">
        <v>151</v>
      </c>
      <c r="E1815">
        <v>9</v>
      </c>
      <c r="H1815">
        <v>226</v>
      </c>
      <c r="I1815" t="s">
        <v>152</v>
      </c>
      <c r="J1815" t="s">
        <v>150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998"/>
        <v>14:53:33.188</v>
      </c>
      <c r="T1815" t="str">
        <f t="shared" si="999"/>
        <v>14:53:32.788</v>
      </c>
      <c r="U1815" t="str">
        <f t="shared" si="987"/>
        <v>ACC530</v>
      </c>
      <c r="V1815">
        <v>0</v>
      </c>
      <c r="W1815">
        <v>0</v>
      </c>
      <c r="X1815">
        <v>1</v>
      </c>
      <c r="Z1815">
        <v>0</v>
      </c>
      <c r="AA1815">
        <v>9</v>
      </c>
      <c r="AB1815">
        <v>3</v>
      </c>
      <c r="AC1815">
        <v>0</v>
      </c>
      <c r="AD1815">
        <v>9</v>
      </c>
      <c r="AE1815">
        <v>0</v>
      </c>
      <c r="AF1815">
        <v>3</v>
      </c>
      <c r="AG1815">
        <v>1</v>
      </c>
      <c r="AH1815">
        <v>0</v>
      </c>
      <c r="AI1815" t="s">
        <v>688</v>
      </c>
      <c r="AJ1815">
        <v>34.183079999999997</v>
      </c>
      <c r="AK1815" t="s">
        <v>689</v>
      </c>
      <c r="AL1815">
        <v>-117.007806</v>
      </c>
      <c r="AM1815">
        <v>100</v>
      </c>
      <c r="AN1815">
        <v>8300</v>
      </c>
      <c r="AO1815" t="s">
        <v>118</v>
      </c>
      <c r="AP1815">
        <v>-104</v>
      </c>
      <c r="AQ1815">
        <v>-69</v>
      </c>
      <c r="AR1815">
        <v>-576</v>
      </c>
      <c r="AZ1815">
        <v>1200</v>
      </c>
      <c r="BA1815">
        <v>1</v>
      </c>
      <c r="BB1815" t="str">
        <f t="shared" si="989"/>
        <v xml:space="preserve">N9217B  </v>
      </c>
      <c r="BC1815">
        <v>1</v>
      </c>
      <c r="BE1815">
        <v>0</v>
      </c>
      <c r="BF1815">
        <v>0</v>
      </c>
      <c r="BG1815">
        <v>0</v>
      </c>
      <c r="BH1815">
        <v>8275</v>
      </c>
      <c r="BI1815">
        <v>1</v>
      </c>
      <c r="BJ1815">
        <v>0</v>
      </c>
      <c r="BK1815">
        <v>0</v>
      </c>
      <c r="BL1815">
        <v>0</v>
      </c>
      <c r="BO1815">
        <v>0</v>
      </c>
      <c r="BP1815">
        <v>0</v>
      </c>
      <c r="BW1815" t="str">
        <f t="shared" si="1000"/>
        <v>14:53:33.191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293</v>
      </c>
      <c r="CR1815">
        <v>1</v>
      </c>
      <c r="CW1815">
        <v>15293584</v>
      </c>
      <c r="CY1815">
        <v>0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25">
      <c r="A1816" t="str">
        <f t="shared" si="997"/>
        <v>06/05/2020 14:53:27.546</v>
      </c>
      <c r="C1816" t="str">
        <f t="shared" si="970"/>
        <v>FFDFD3C0</v>
      </c>
      <c r="D1816" t="s">
        <v>148</v>
      </c>
      <c r="E1816">
        <v>8</v>
      </c>
      <c r="H1816">
        <v>50</v>
      </c>
      <c r="I1816" t="s">
        <v>149</v>
      </c>
      <c r="J1816" t="s">
        <v>150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998"/>
        <v>14:53:33.188</v>
      </c>
      <c r="T1816" t="str">
        <f t="shared" si="999"/>
        <v>14:53:32.788</v>
      </c>
      <c r="U1816" t="str">
        <f t="shared" si="987"/>
        <v>ACC530</v>
      </c>
      <c r="V1816">
        <v>0</v>
      </c>
      <c r="W1816">
        <v>0</v>
      </c>
      <c r="X1816">
        <v>1</v>
      </c>
      <c r="Z1816">
        <v>0</v>
      </c>
      <c r="AA1816">
        <v>9</v>
      </c>
      <c r="AB1816">
        <v>3</v>
      </c>
      <c r="AC1816">
        <v>0</v>
      </c>
      <c r="AD1816">
        <v>9</v>
      </c>
      <c r="AE1816">
        <v>0</v>
      </c>
      <c r="AF1816">
        <v>3</v>
      </c>
      <c r="AG1816">
        <v>1</v>
      </c>
      <c r="AH1816">
        <v>0</v>
      </c>
      <c r="AI1816" t="s">
        <v>688</v>
      </c>
      <c r="AJ1816">
        <v>34.183079999999997</v>
      </c>
      <c r="AK1816" t="s">
        <v>689</v>
      </c>
      <c r="AL1816">
        <v>-117.007806</v>
      </c>
      <c r="AM1816">
        <v>100</v>
      </c>
      <c r="AN1816">
        <v>8300</v>
      </c>
      <c r="AO1816" t="s">
        <v>118</v>
      </c>
      <c r="AP1816">
        <v>-104</v>
      </c>
      <c r="AQ1816">
        <v>-69</v>
      </c>
      <c r="AR1816">
        <v>-576</v>
      </c>
      <c r="AZ1816">
        <v>1200</v>
      </c>
      <c r="BA1816">
        <v>1</v>
      </c>
      <c r="BB1816" t="str">
        <f t="shared" si="989"/>
        <v xml:space="preserve">N9217B  </v>
      </c>
      <c r="BC1816">
        <v>1</v>
      </c>
      <c r="BE1816">
        <v>0</v>
      </c>
      <c r="BF1816">
        <v>0</v>
      </c>
      <c r="BG1816">
        <v>0</v>
      </c>
      <c r="BH1816">
        <v>8275</v>
      </c>
      <c r="BI1816">
        <v>1</v>
      </c>
      <c r="BJ1816">
        <v>0</v>
      </c>
      <c r="BK1816">
        <v>0</v>
      </c>
      <c r="BL1816">
        <v>0</v>
      </c>
      <c r="BO1816">
        <v>0</v>
      </c>
      <c r="BP1816">
        <v>0</v>
      </c>
      <c r="BW1816" t="str">
        <f t="shared" si="1000"/>
        <v>14:53:33.191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119</v>
      </c>
      <c r="CQ1816">
        <v>293</v>
      </c>
      <c r="CR1816">
        <v>1</v>
      </c>
      <c r="CW1816">
        <v>15293584</v>
      </c>
      <c r="CY1816">
        <v>0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25">
      <c r="A1817" t="str">
        <f t="shared" si="997"/>
        <v>06/05/2020 14:53:27.546</v>
      </c>
      <c r="C1817" t="str">
        <f t="shared" si="970"/>
        <v>FFDFD3C0</v>
      </c>
      <c r="D1817" t="s">
        <v>113</v>
      </c>
      <c r="E1817">
        <v>3</v>
      </c>
      <c r="H1817">
        <v>166</v>
      </c>
      <c r="I1817" t="s">
        <v>114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998"/>
        <v>14:53:33.188</v>
      </c>
      <c r="T1817" t="str">
        <f t="shared" si="999"/>
        <v>14:53:32.788</v>
      </c>
      <c r="U1817" t="str">
        <f t="shared" si="987"/>
        <v>ACC530</v>
      </c>
      <c r="V1817">
        <v>0</v>
      </c>
      <c r="W1817">
        <v>0</v>
      </c>
      <c r="X1817">
        <v>1</v>
      </c>
      <c r="Z1817">
        <v>0</v>
      </c>
      <c r="AA1817">
        <v>9</v>
      </c>
      <c r="AB1817">
        <v>3</v>
      </c>
      <c r="AC1817">
        <v>0</v>
      </c>
      <c r="AD1817">
        <v>9</v>
      </c>
      <c r="AE1817">
        <v>0</v>
      </c>
      <c r="AF1817">
        <v>3</v>
      </c>
      <c r="AG1817">
        <v>1</v>
      </c>
      <c r="AH1817">
        <v>0</v>
      </c>
      <c r="AI1817" t="s">
        <v>688</v>
      </c>
      <c r="AJ1817">
        <v>34.183079999999997</v>
      </c>
      <c r="AK1817" t="s">
        <v>689</v>
      </c>
      <c r="AL1817">
        <v>-117.007806</v>
      </c>
      <c r="AM1817">
        <v>100</v>
      </c>
      <c r="AN1817">
        <v>8300</v>
      </c>
      <c r="AO1817" t="s">
        <v>118</v>
      </c>
      <c r="AP1817">
        <v>-104</v>
      </c>
      <c r="AQ1817">
        <v>-69</v>
      </c>
      <c r="AR1817">
        <v>-576</v>
      </c>
      <c r="AZ1817">
        <v>1200</v>
      </c>
      <c r="BA1817">
        <v>1</v>
      </c>
      <c r="BB1817" t="str">
        <f t="shared" si="989"/>
        <v xml:space="preserve">N9217B  </v>
      </c>
      <c r="BC1817">
        <v>1</v>
      </c>
      <c r="BE1817">
        <v>0</v>
      </c>
      <c r="BF1817">
        <v>0</v>
      </c>
      <c r="BG1817">
        <v>0</v>
      </c>
      <c r="BH1817">
        <v>8275</v>
      </c>
      <c r="BI1817">
        <v>1</v>
      </c>
      <c r="BJ1817">
        <v>0</v>
      </c>
      <c r="BK1817">
        <v>0</v>
      </c>
      <c r="BL1817">
        <v>0</v>
      </c>
      <c r="BO1817">
        <v>0</v>
      </c>
      <c r="BP1817">
        <v>0</v>
      </c>
      <c r="BW1817" t="str">
        <f t="shared" si="1000"/>
        <v>14:53:33.191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293</v>
      </c>
      <c r="CR1817">
        <v>1</v>
      </c>
      <c r="CW1817">
        <v>15293584</v>
      </c>
      <c r="CY1817">
        <v>0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25">
      <c r="A1818" t="str">
        <f t="shared" si="997"/>
        <v>06/05/2020 14:53:27.546</v>
      </c>
      <c r="C1818" t="str">
        <f t="shared" si="970"/>
        <v>FFDFD3C0</v>
      </c>
      <c r="D1818" t="s">
        <v>141</v>
      </c>
      <c r="E1818">
        <v>20</v>
      </c>
      <c r="F1818">
        <v>1020</v>
      </c>
      <c r="G1818" t="s">
        <v>114</v>
      </c>
      <c r="J1818" t="s">
        <v>142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998"/>
        <v>14:53:33.188</v>
      </c>
      <c r="T1818" t="str">
        <f t="shared" si="999"/>
        <v>14:53:32.788</v>
      </c>
      <c r="U1818" t="str">
        <f t="shared" si="987"/>
        <v>ACC530</v>
      </c>
      <c r="V1818">
        <v>0</v>
      </c>
      <c r="W1818">
        <v>0</v>
      </c>
      <c r="X1818">
        <v>1</v>
      </c>
      <c r="Z1818">
        <v>0</v>
      </c>
      <c r="AA1818">
        <v>9</v>
      </c>
      <c r="AB1818">
        <v>3</v>
      </c>
      <c r="AC1818">
        <v>0</v>
      </c>
      <c r="AD1818">
        <v>9</v>
      </c>
      <c r="AE1818">
        <v>0</v>
      </c>
      <c r="AF1818">
        <v>3</v>
      </c>
      <c r="AG1818">
        <v>1</v>
      </c>
      <c r="AH1818">
        <v>0</v>
      </c>
      <c r="AI1818" t="s">
        <v>688</v>
      </c>
      <c r="AJ1818">
        <v>34.183079999999997</v>
      </c>
      <c r="AK1818" t="s">
        <v>689</v>
      </c>
      <c r="AL1818">
        <v>-117.007806</v>
      </c>
      <c r="AM1818">
        <v>100</v>
      </c>
      <c r="AN1818">
        <v>8300</v>
      </c>
      <c r="AO1818" t="s">
        <v>118</v>
      </c>
      <c r="AP1818">
        <v>-104</v>
      </c>
      <c r="AQ1818">
        <v>-69</v>
      </c>
      <c r="AR1818">
        <v>-576</v>
      </c>
      <c r="AZ1818">
        <v>1200</v>
      </c>
      <c r="BA1818">
        <v>1</v>
      </c>
      <c r="BB1818" t="str">
        <f t="shared" si="989"/>
        <v xml:space="preserve">N9217B  </v>
      </c>
      <c r="BC1818">
        <v>1</v>
      </c>
      <c r="BE1818">
        <v>0</v>
      </c>
      <c r="BF1818">
        <v>0</v>
      </c>
      <c r="BG1818">
        <v>0</v>
      </c>
      <c r="BH1818">
        <v>8275</v>
      </c>
      <c r="BI1818">
        <v>1</v>
      </c>
      <c r="BJ1818">
        <v>0</v>
      </c>
      <c r="BK1818">
        <v>0</v>
      </c>
      <c r="BL1818">
        <v>0</v>
      </c>
      <c r="BO1818">
        <v>0</v>
      </c>
      <c r="BP1818">
        <v>0</v>
      </c>
      <c r="BW1818" t="str">
        <f t="shared" si="1000"/>
        <v>14:53:33.191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293</v>
      </c>
      <c r="CR1818">
        <v>1</v>
      </c>
      <c r="CW1818">
        <v>15293584</v>
      </c>
      <c r="CY1818">
        <v>0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25">
      <c r="A1819" t="str">
        <f t="shared" si="997"/>
        <v>06/05/2020 14:53:27.546</v>
      </c>
      <c r="C1819" t="str">
        <f t="shared" si="970"/>
        <v>FFDFD3C0</v>
      </c>
      <c r="D1819" t="s">
        <v>148</v>
      </c>
      <c r="E1819">
        <v>11</v>
      </c>
      <c r="H1819">
        <v>53</v>
      </c>
      <c r="I1819" t="s">
        <v>364</v>
      </c>
      <c r="J1819" t="s">
        <v>150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98"/>
        <v>14:53:33.188</v>
      </c>
      <c r="T1819" t="str">
        <f t="shared" si="999"/>
        <v>14:53:32.788</v>
      </c>
      <c r="U1819" t="str">
        <f t="shared" si="987"/>
        <v>ACC530</v>
      </c>
      <c r="V1819">
        <v>0</v>
      </c>
      <c r="W1819">
        <v>0</v>
      </c>
      <c r="X1819">
        <v>1</v>
      </c>
      <c r="Z1819">
        <v>0</v>
      </c>
      <c r="AA1819">
        <v>9</v>
      </c>
      <c r="AB1819">
        <v>3</v>
      </c>
      <c r="AC1819">
        <v>0</v>
      </c>
      <c r="AD1819">
        <v>9</v>
      </c>
      <c r="AE1819">
        <v>0</v>
      </c>
      <c r="AF1819">
        <v>3</v>
      </c>
      <c r="AG1819">
        <v>1</v>
      </c>
      <c r="AH1819">
        <v>0</v>
      </c>
      <c r="AI1819" t="s">
        <v>688</v>
      </c>
      <c r="AJ1819">
        <v>34.183079999999997</v>
      </c>
      <c r="AK1819" t="s">
        <v>689</v>
      </c>
      <c r="AL1819">
        <v>-117.007806</v>
      </c>
      <c r="AM1819">
        <v>100</v>
      </c>
      <c r="AN1819">
        <v>8300</v>
      </c>
      <c r="AO1819" t="s">
        <v>118</v>
      </c>
      <c r="AP1819">
        <v>-104</v>
      </c>
      <c r="AQ1819">
        <v>-69</v>
      </c>
      <c r="AR1819">
        <v>-576</v>
      </c>
      <c r="AZ1819">
        <v>1200</v>
      </c>
      <c r="BA1819">
        <v>1</v>
      </c>
      <c r="BB1819" t="str">
        <f t="shared" si="989"/>
        <v xml:space="preserve">N9217B  </v>
      </c>
      <c r="BC1819">
        <v>1</v>
      </c>
      <c r="BE1819">
        <v>0</v>
      </c>
      <c r="BF1819">
        <v>0</v>
      </c>
      <c r="BG1819">
        <v>0</v>
      </c>
      <c r="BH1819">
        <v>8275</v>
      </c>
      <c r="BI1819">
        <v>1</v>
      </c>
      <c r="BJ1819">
        <v>0</v>
      </c>
      <c r="BK1819">
        <v>0</v>
      </c>
      <c r="BL1819">
        <v>0</v>
      </c>
      <c r="BO1819">
        <v>0</v>
      </c>
      <c r="BP1819">
        <v>0</v>
      </c>
      <c r="BW1819" t="str">
        <f t="shared" si="1000"/>
        <v>14:53:33.191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293</v>
      </c>
      <c r="CR1819">
        <v>1</v>
      </c>
      <c r="CW1819">
        <v>15293584</v>
      </c>
      <c r="CY1819">
        <v>0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25">
      <c r="A1820" t="str">
        <f t="shared" si="997"/>
        <v>06/05/2020 14:53:27.546</v>
      </c>
      <c r="C1820" t="str">
        <f t="shared" si="970"/>
        <v>FFDFD3C0</v>
      </c>
      <c r="D1820" t="s">
        <v>134</v>
      </c>
      <c r="E1820">
        <v>7</v>
      </c>
      <c r="F1820">
        <v>2007</v>
      </c>
      <c r="G1820" t="s">
        <v>135</v>
      </c>
      <c r="J1820" t="s">
        <v>136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998"/>
        <v>14:53:33.188</v>
      </c>
      <c r="T1820" t="str">
        <f t="shared" si="999"/>
        <v>14:53:32.788</v>
      </c>
      <c r="U1820" t="str">
        <f t="shared" si="987"/>
        <v>ACC530</v>
      </c>
      <c r="V1820">
        <v>0</v>
      </c>
      <c r="W1820">
        <v>0</v>
      </c>
      <c r="X1820">
        <v>1</v>
      </c>
      <c r="Z1820">
        <v>0</v>
      </c>
      <c r="AA1820">
        <v>9</v>
      </c>
      <c r="AB1820">
        <v>3</v>
      </c>
      <c r="AC1820">
        <v>0</v>
      </c>
      <c r="AD1820">
        <v>9</v>
      </c>
      <c r="AE1820">
        <v>0</v>
      </c>
      <c r="AF1820">
        <v>3</v>
      </c>
      <c r="AG1820">
        <v>1</v>
      </c>
      <c r="AH1820">
        <v>0</v>
      </c>
      <c r="AI1820" t="s">
        <v>688</v>
      </c>
      <c r="AJ1820">
        <v>34.183079999999997</v>
      </c>
      <c r="AK1820" t="s">
        <v>689</v>
      </c>
      <c r="AL1820">
        <v>-117.007806</v>
      </c>
      <c r="AM1820">
        <v>100</v>
      </c>
      <c r="AN1820">
        <v>8300</v>
      </c>
      <c r="AO1820" t="s">
        <v>118</v>
      </c>
      <c r="AP1820">
        <v>-104</v>
      </c>
      <c r="AQ1820">
        <v>-69</v>
      </c>
      <c r="AR1820">
        <v>-576</v>
      </c>
      <c r="AZ1820">
        <v>1200</v>
      </c>
      <c r="BA1820">
        <v>1</v>
      </c>
      <c r="BB1820" t="str">
        <f t="shared" si="989"/>
        <v xml:space="preserve">N9217B  </v>
      </c>
      <c r="BC1820">
        <v>1</v>
      </c>
      <c r="BE1820">
        <v>0</v>
      </c>
      <c r="BF1820">
        <v>0</v>
      </c>
      <c r="BG1820">
        <v>0</v>
      </c>
      <c r="BH1820">
        <v>8275</v>
      </c>
      <c r="BI1820">
        <v>1</v>
      </c>
      <c r="BJ1820">
        <v>0</v>
      </c>
      <c r="BK1820">
        <v>0</v>
      </c>
      <c r="BL1820">
        <v>0</v>
      </c>
      <c r="BO1820">
        <v>0</v>
      </c>
      <c r="BP1820">
        <v>0</v>
      </c>
      <c r="BW1820" t="str">
        <f t="shared" si="1000"/>
        <v>14:53:33.191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293</v>
      </c>
      <c r="CR1820">
        <v>1</v>
      </c>
      <c r="CW1820">
        <v>15293584</v>
      </c>
      <c r="CY1820">
        <v>0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25">
      <c r="A1821" t="str">
        <f t="shared" ref="A1821:A1827" si="1001">"06/05/2020 14:53:28.462"</f>
        <v>06/05/2020 14:53:28.462</v>
      </c>
      <c r="C1821" t="str">
        <f t="shared" si="970"/>
        <v>FFDFD3C0</v>
      </c>
      <c r="D1821" t="s">
        <v>151</v>
      </c>
      <c r="E1821">
        <v>9</v>
      </c>
      <c r="H1821">
        <v>226</v>
      </c>
      <c r="I1821" t="s">
        <v>152</v>
      </c>
      <c r="J1821" t="s">
        <v>150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ref="S1821:S1827" si="1002">"14:53:34.117"</f>
        <v>14:53:34.117</v>
      </c>
      <c r="T1821" t="str">
        <f t="shared" ref="T1821:T1827" si="1003">"14:53:33.817"</f>
        <v>14:53:33.817</v>
      </c>
      <c r="U1821" t="str">
        <f t="shared" si="987"/>
        <v>ACC530</v>
      </c>
      <c r="V1821">
        <v>0</v>
      </c>
      <c r="W1821">
        <v>0</v>
      </c>
      <c r="X1821">
        <v>1</v>
      </c>
      <c r="Z1821">
        <v>0</v>
      </c>
      <c r="AA1821">
        <v>9</v>
      </c>
      <c r="AB1821">
        <v>3</v>
      </c>
      <c r="AC1821">
        <v>0</v>
      </c>
      <c r="AD1821">
        <v>9</v>
      </c>
      <c r="AE1821">
        <v>0</v>
      </c>
      <c r="AF1821">
        <v>3</v>
      </c>
      <c r="AG1821">
        <v>1</v>
      </c>
      <c r="AH1821">
        <v>0</v>
      </c>
      <c r="AI1821" t="s">
        <v>690</v>
      </c>
      <c r="AJ1821">
        <v>34.182822999999999</v>
      </c>
      <c r="AK1821" t="s">
        <v>691</v>
      </c>
      <c r="AL1821">
        <v>-117.008364</v>
      </c>
      <c r="AM1821">
        <v>100</v>
      </c>
      <c r="AN1821">
        <v>8300</v>
      </c>
      <c r="AO1821" t="s">
        <v>118</v>
      </c>
      <c r="AP1821">
        <v>-104</v>
      </c>
      <c r="AQ1821">
        <v>-69</v>
      </c>
      <c r="AR1821">
        <v>-576</v>
      </c>
      <c r="AZ1821">
        <v>1200</v>
      </c>
      <c r="BA1821">
        <v>1</v>
      </c>
      <c r="BB1821" t="str">
        <f t="shared" si="989"/>
        <v xml:space="preserve">N9217B  </v>
      </c>
      <c r="BC1821">
        <v>1</v>
      </c>
      <c r="BE1821">
        <v>0</v>
      </c>
      <c r="BF1821">
        <v>0</v>
      </c>
      <c r="BG1821">
        <v>0</v>
      </c>
      <c r="BH1821">
        <v>8250</v>
      </c>
      <c r="BI1821">
        <v>1</v>
      </c>
      <c r="BJ1821">
        <v>0</v>
      </c>
      <c r="BK1821">
        <v>0</v>
      </c>
      <c r="BL1821">
        <v>0</v>
      </c>
      <c r="BO1821">
        <v>0</v>
      </c>
      <c r="BP1821">
        <v>0</v>
      </c>
      <c r="BW1821" t="str">
        <f t="shared" ref="BW1821:BW1827" si="1004">"14:53:34.121"</f>
        <v>14:53:34.121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293</v>
      </c>
      <c r="CR1821">
        <v>1</v>
      </c>
      <c r="CW1821">
        <v>15293684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25">
      <c r="A1822" t="str">
        <f t="shared" si="1001"/>
        <v>06/05/2020 14:53:28.462</v>
      </c>
      <c r="C1822" t="str">
        <f t="shared" si="970"/>
        <v>FFDFD3C0</v>
      </c>
      <c r="D1822" t="s">
        <v>113</v>
      </c>
      <c r="E1822">
        <v>3</v>
      </c>
      <c r="H1822">
        <v>166</v>
      </c>
      <c r="I1822" t="s">
        <v>114</v>
      </c>
      <c r="J1822" t="s">
        <v>115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1002"/>
        <v>14:53:34.117</v>
      </c>
      <c r="T1822" t="str">
        <f t="shared" si="1003"/>
        <v>14:53:33.817</v>
      </c>
      <c r="U1822" t="str">
        <f t="shared" si="987"/>
        <v>ACC530</v>
      </c>
      <c r="V1822">
        <v>0</v>
      </c>
      <c r="W1822">
        <v>0</v>
      </c>
      <c r="X1822">
        <v>1</v>
      </c>
      <c r="Z1822">
        <v>0</v>
      </c>
      <c r="AA1822">
        <v>9</v>
      </c>
      <c r="AB1822">
        <v>3</v>
      </c>
      <c r="AC1822">
        <v>0</v>
      </c>
      <c r="AD1822">
        <v>9</v>
      </c>
      <c r="AE1822">
        <v>0</v>
      </c>
      <c r="AF1822">
        <v>3</v>
      </c>
      <c r="AG1822">
        <v>1</v>
      </c>
      <c r="AH1822">
        <v>0</v>
      </c>
      <c r="AI1822" t="s">
        <v>690</v>
      </c>
      <c r="AJ1822">
        <v>34.182822999999999</v>
      </c>
      <c r="AK1822" t="s">
        <v>691</v>
      </c>
      <c r="AL1822">
        <v>-117.008364</v>
      </c>
      <c r="AM1822">
        <v>100</v>
      </c>
      <c r="AN1822">
        <v>8300</v>
      </c>
      <c r="AO1822" t="s">
        <v>118</v>
      </c>
      <c r="AP1822">
        <v>-104</v>
      </c>
      <c r="AQ1822">
        <v>-69</v>
      </c>
      <c r="AR1822">
        <v>-576</v>
      </c>
      <c r="AZ1822">
        <v>1200</v>
      </c>
      <c r="BA1822">
        <v>1</v>
      </c>
      <c r="BB1822" t="str">
        <f t="shared" si="989"/>
        <v xml:space="preserve">N9217B  </v>
      </c>
      <c r="BC1822">
        <v>1</v>
      </c>
      <c r="BE1822">
        <v>0</v>
      </c>
      <c r="BF1822">
        <v>0</v>
      </c>
      <c r="BG1822">
        <v>0</v>
      </c>
      <c r="BH1822">
        <v>8250</v>
      </c>
      <c r="BI1822">
        <v>1</v>
      </c>
      <c r="BJ1822">
        <v>0</v>
      </c>
      <c r="BK1822">
        <v>0</v>
      </c>
      <c r="BL1822">
        <v>0</v>
      </c>
      <c r="BO1822">
        <v>0</v>
      </c>
      <c r="BP1822">
        <v>0</v>
      </c>
      <c r="BW1822" t="str">
        <f t="shared" si="1004"/>
        <v>14:53:34.121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293</v>
      </c>
      <c r="CR1822">
        <v>1</v>
      </c>
      <c r="CW1822">
        <v>15293684</v>
      </c>
      <c r="CY1822">
        <v>0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25">
      <c r="A1823" t="str">
        <f t="shared" si="1001"/>
        <v>06/05/2020 14:53:28.462</v>
      </c>
      <c r="C1823" t="str">
        <f t="shared" si="970"/>
        <v>FFDFD3C0</v>
      </c>
      <c r="D1823" t="s">
        <v>148</v>
      </c>
      <c r="E1823">
        <v>8</v>
      </c>
      <c r="H1823">
        <v>50</v>
      </c>
      <c r="I1823" t="s">
        <v>149</v>
      </c>
      <c r="J1823" t="s">
        <v>150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1002"/>
        <v>14:53:34.117</v>
      </c>
      <c r="T1823" t="str">
        <f t="shared" si="1003"/>
        <v>14:53:33.817</v>
      </c>
      <c r="U1823" t="str">
        <f t="shared" si="987"/>
        <v>ACC530</v>
      </c>
      <c r="V1823">
        <v>0</v>
      </c>
      <c r="W1823">
        <v>0</v>
      </c>
      <c r="X1823">
        <v>1</v>
      </c>
      <c r="Z1823">
        <v>0</v>
      </c>
      <c r="AA1823">
        <v>9</v>
      </c>
      <c r="AB1823">
        <v>3</v>
      </c>
      <c r="AC1823">
        <v>0</v>
      </c>
      <c r="AD1823">
        <v>9</v>
      </c>
      <c r="AE1823">
        <v>0</v>
      </c>
      <c r="AF1823">
        <v>3</v>
      </c>
      <c r="AG1823">
        <v>1</v>
      </c>
      <c r="AH1823">
        <v>0</v>
      </c>
      <c r="AI1823" t="s">
        <v>690</v>
      </c>
      <c r="AJ1823">
        <v>34.182822999999999</v>
      </c>
      <c r="AK1823" t="s">
        <v>691</v>
      </c>
      <c r="AL1823">
        <v>-117.008364</v>
      </c>
      <c r="AM1823">
        <v>100</v>
      </c>
      <c r="AN1823">
        <v>8300</v>
      </c>
      <c r="AO1823" t="s">
        <v>118</v>
      </c>
      <c r="AP1823">
        <v>-104</v>
      </c>
      <c r="AQ1823">
        <v>-69</v>
      </c>
      <c r="AR1823">
        <v>-576</v>
      </c>
      <c r="AZ1823">
        <v>1200</v>
      </c>
      <c r="BA1823">
        <v>1</v>
      </c>
      <c r="BB1823" t="str">
        <f t="shared" si="989"/>
        <v xml:space="preserve">N9217B  </v>
      </c>
      <c r="BC1823">
        <v>1</v>
      </c>
      <c r="BE1823">
        <v>0</v>
      </c>
      <c r="BF1823">
        <v>0</v>
      </c>
      <c r="BG1823">
        <v>0</v>
      </c>
      <c r="BH1823">
        <v>8250</v>
      </c>
      <c r="BI1823">
        <v>1</v>
      </c>
      <c r="BJ1823">
        <v>0</v>
      </c>
      <c r="BK1823">
        <v>0</v>
      </c>
      <c r="BL1823">
        <v>0</v>
      </c>
      <c r="BO1823">
        <v>0</v>
      </c>
      <c r="BP1823">
        <v>0</v>
      </c>
      <c r="BW1823" t="str">
        <f t="shared" si="1004"/>
        <v>14:53:34.121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293</v>
      </c>
      <c r="CR1823">
        <v>1</v>
      </c>
      <c r="CW1823">
        <v>15293684</v>
      </c>
      <c r="CY1823">
        <v>0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25">
      <c r="A1824" t="str">
        <f t="shared" si="1001"/>
        <v>06/05/2020 14:53:28.462</v>
      </c>
      <c r="C1824" t="str">
        <f t="shared" si="970"/>
        <v>FFDFD3C0</v>
      </c>
      <c r="D1824" t="s">
        <v>141</v>
      </c>
      <c r="E1824">
        <v>20</v>
      </c>
      <c r="F1824">
        <v>1020</v>
      </c>
      <c r="G1824" t="s">
        <v>114</v>
      </c>
      <c r="J1824" t="s">
        <v>142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1002"/>
        <v>14:53:34.117</v>
      </c>
      <c r="T1824" t="str">
        <f t="shared" si="1003"/>
        <v>14:53:33.817</v>
      </c>
      <c r="U1824" t="str">
        <f t="shared" si="987"/>
        <v>ACC530</v>
      </c>
      <c r="V1824">
        <v>0</v>
      </c>
      <c r="W1824">
        <v>0</v>
      </c>
      <c r="X1824">
        <v>1</v>
      </c>
      <c r="Z1824">
        <v>0</v>
      </c>
      <c r="AA1824">
        <v>9</v>
      </c>
      <c r="AB1824">
        <v>3</v>
      </c>
      <c r="AC1824">
        <v>0</v>
      </c>
      <c r="AD1824">
        <v>9</v>
      </c>
      <c r="AE1824">
        <v>0</v>
      </c>
      <c r="AF1824">
        <v>3</v>
      </c>
      <c r="AG1824">
        <v>1</v>
      </c>
      <c r="AH1824">
        <v>0</v>
      </c>
      <c r="AI1824" t="s">
        <v>690</v>
      </c>
      <c r="AJ1824">
        <v>34.182822999999999</v>
      </c>
      <c r="AK1824" t="s">
        <v>691</v>
      </c>
      <c r="AL1824">
        <v>-117.008364</v>
      </c>
      <c r="AM1824">
        <v>100</v>
      </c>
      <c r="AN1824">
        <v>8300</v>
      </c>
      <c r="AO1824" t="s">
        <v>118</v>
      </c>
      <c r="AP1824">
        <v>-104</v>
      </c>
      <c r="AQ1824">
        <v>-69</v>
      </c>
      <c r="AR1824">
        <v>-576</v>
      </c>
      <c r="AZ1824">
        <v>1200</v>
      </c>
      <c r="BA1824">
        <v>1</v>
      </c>
      <c r="BB1824" t="str">
        <f t="shared" si="989"/>
        <v xml:space="preserve">N9217B  </v>
      </c>
      <c r="BC1824">
        <v>1</v>
      </c>
      <c r="BE1824">
        <v>0</v>
      </c>
      <c r="BF1824">
        <v>0</v>
      </c>
      <c r="BG1824">
        <v>0</v>
      </c>
      <c r="BH1824">
        <v>8250</v>
      </c>
      <c r="BI1824">
        <v>1</v>
      </c>
      <c r="BJ1824">
        <v>0</v>
      </c>
      <c r="BK1824">
        <v>0</v>
      </c>
      <c r="BL1824">
        <v>0</v>
      </c>
      <c r="BO1824">
        <v>0</v>
      </c>
      <c r="BP1824">
        <v>0</v>
      </c>
      <c r="BW1824" t="str">
        <f t="shared" si="1004"/>
        <v>14:53:34.121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293</v>
      </c>
      <c r="CR1824">
        <v>1</v>
      </c>
      <c r="CW1824">
        <v>15293684</v>
      </c>
      <c r="CY1824">
        <v>0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25">
      <c r="A1825" t="str">
        <f t="shared" si="1001"/>
        <v>06/05/2020 14:53:28.462</v>
      </c>
      <c r="C1825" t="str">
        <f t="shared" si="970"/>
        <v>FFDFD3C0</v>
      </c>
      <c r="D1825" t="s">
        <v>148</v>
      </c>
      <c r="E1825">
        <v>11</v>
      </c>
      <c r="H1825">
        <v>53</v>
      </c>
      <c r="I1825" t="s">
        <v>364</v>
      </c>
      <c r="J1825" t="s">
        <v>150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1002"/>
        <v>14:53:34.117</v>
      </c>
      <c r="T1825" t="str">
        <f t="shared" si="1003"/>
        <v>14:53:33.817</v>
      </c>
      <c r="U1825" t="str">
        <f t="shared" si="987"/>
        <v>ACC530</v>
      </c>
      <c r="V1825">
        <v>0</v>
      </c>
      <c r="W1825">
        <v>0</v>
      </c>
      <c r="X1825">
        <v>1</v>
      </c>
      <c r="Z1825">
        <v>0</v>
      </c>
      <c r="AA1825">
        <v>9</v>
      </c>
      <c r="AB1825">
        <v>3</v>
      </c>
      <c r="AC1825">
        <v>0</v>
      </c>
      <c r="AD1825">
        <v>9</v>
      </c>
      <c r="AE1825">
        <v>0</v>
      </c>
      <c r="AF1825">
        <v>3</v>
      </c>
      <c r="AG1825">
        <v>1</v>
      </c>
      <c r="AH1825">
        <v>0</v>
      </c>
      <c r="AI1825" t="s">
        <v>690</v>
      </c>
      <c r="AJ1825">
        <v>34.182822999999999</v>
      </c>
      <c r="AK1825" t="s">
        <v>691</v>
      </c>
      <c r="AL1825">
        <v>-117.008364</v>
      </c>
      <c r="AM1825">
        <v>100</v>
      </c>
      <c r="AN1825">
        <v>8300</v>
      </c>
      <c r="AO1825" t="s">
        <v>118</v>
      </c>
      <c r="AP1825">
        <v>-104</v>
      </c>
      <c r="AQ1825">
        <v>-69</v>
      </c>
      <c r="AR1825">
        <v>-576</v>
      </c>
      <c r="AZ1825">
        <v>1200</v>
      </c>
      <c r="BA1825">
        <v>1</v>
      </c>
      <c r="BB1825" t="str">
        <f t="shared" si="989"/>
        <v xml:space="preserve">N9217B  </v>
      </c>
      <c r="BC1825">
        <v>1</v>
      </c>
      <c r="BE1825">
        <v>0</v>
      </c>
      <c r="BF1825">
        <v>0</v>
      </c>
      <c r="BG1825">
        <v>0</v>
      </c>
      <c r="BH1825">
        <v>8250</v>
      </c>
      <c r="BI1825">
        <v>1</v>
      </c>
      <c r="BJ1825">
        <v>0</v>
      </c>
      <c r="BK1825">
        <v>0</v>
      </c>
      <c r="BL1825">
        <v>0</v>
      </c>
      <c r="BO1825">
        <v>0</v>
      </c>
      <c r="BP1825">
        <v>0</v>
      </c>
      <c r="BW1825" t="str">
        <f t="shared" si="1004"/>
        <v>14:53:34.121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293</v>
      </c>
      <c r="CR1825">
        <v>1</v>
      </c>
      <c r="CW1825">
        <v>15293684</v>
      </c>
      <c r="CY1825">
        <v>0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25">
      <c r="A1826" t="str">
        <f t="shared" si="1001"/>
        <v>06/05/2020 14:53:28.462</v>
      </c>
      <c r="C1826" t="str">
        <f t="shared" si="970"/>
        <v>FFDFD3C0</v>
      </c>
      <c r="D1826" t="s">
        <v>134</v>
      </c>
      <c r="E1826">
        <v>7</v>
      </c>
      <c r="F1826">
        <v>2007</v>
      </c>
      <c r="G1826" t="s">
        <v>135</v>
      </c>
      <c r="J1826" t="s">
        <v>136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1002"/>
        <v>14:53:34.117</v>
      </c>
      <c r="T1826" t="str">
        <f t="shared" si="1003"/>
        <v>14:53:33.817</v>
      </c>
      <c r="U1826" t="str">
        <f t="shared" si="987"/>
        <v>ACC530</v>
      </c>
      <c r="V1826">
        <v>0</v>
      </c>
      <c r="W1826">
        <v>0</v>
      </c>
      <c r="X1826">
        <v>1</v>
      </c>
      <c r="Z1826">
        <v>0</v>
      </c>
      <c r="AA1826">
        <v>9</v>
      </c>
      <c r="AB1826">
        <v>3</v>
      </c>
      <c r="AC1826">
        <v>0</v>
      </c>
      <c r="AD1826">
        <v>9</v>
      </c>
      <c r="AE1826">
        <v>0</v>
      </c>
      <c r="AF1826">
        <v>3</v>
      </c>
      <c r="AG1826">
        <v>1</v>
      </c>
      <c r="AH1826">
        <v>0</v>
      </c>
      <c r="AI1826" t="s">
        <v>690</v>
      </c>
      <c r="AJ1826">
        <v>34.182822999999999</v>
      </c>
      <c r="AK1826" t="s">
        <v>691</v>
      </c>
      <c r="AL1826">
        <v>-117.008364</v>
      </c>
      <c r="AM1826">
        <v>100</v>
      </c>
      <c r="AN1826">
        <v>8300</v>
      </c>
      <c r="AO1826" t="s">
        <v>118</v>
      </c>
      <c r="AP1826">
        <v>-104</v>
      </c>
      <c r="AQ1826">
        <v>-69</v>
      </c>
      <c r="AR1826">
        <v>-576</v>
      </c>
      <c r="AZ1826">
        <v>1200</v>
      </c>
      <c r="BA1826">
        <v>1</v>
      </c>
      <c r="BB1826" t="str">
        <f t="shared" si="989"/>
        <v xml:space="preserve">N9217B  </v>
      </c>
      <c r="BC1826">
        <v>1</v>
      </c>
      <c r="BE1826">
        <v>0</v>
      </c>
      <c r="BF1826">
        <v>0</v>
      </c>
      <c r="BG1826">
        <v>0</v>
      </c>
      <c r="BH1826">
        <v>8250</v>
      </c>
      <c r="BI1826">
        <v>1</v>
      </c>
      <c r="BJ1826">
        <v>0</v>
      </c>
      <c r="BK1826">
        <v>0</v>
      </c>
      <c r="BL1826">
        <v>0</v>
      </c>
      <c r="BO1826">
        <v>0</v>
      </c>
      <c r="BP1826">
        <v>0</v>
      </c>
      <c r="BW1826" t="str">
        <f t="shared" si="1004"/>
        <v>14:53:34.121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293</v>
      </c>
      <c r="CR1826">
        <v>1</v>
      </c>
      <c r="CW1826">
        <v>15293684</v>
      </c>
      <c r="CY1826">
        <v>0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25">
      <c r="A1827" t="str">
        <f t="shared" si="1001"/>
        <v>06/05/2020 14:53:28.462</v>
      </c>
      <c r="C1827" t="str">
        <f t="shared" ref="C1827:C1890" si="1005">"FFDFD3C0"</f>
        <v>FFDFD3C0</v>
      </c>
      <c r="D1827" t="s">
        <v>151</v>
      </c>
      <c r="E1827">
        <v>8</v>
      </c>
      <c r="H1827">
        <v>225</v>
      </c>
      <c r="I1827" t="s">
        <v>353</v>
      </c>
      <c r="J1827" t="s">
        <v>150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1002"/>
        <v>14:53:34.117</v>
      </c>
      <c r="T1827" t="str">
        <f t="shared" si="1003"/>
        <v>14:53:33.817</v>
      </c>
      <c r="U1827" t="str">
        <f t="shared" si="987"/>
        <v>ACC530</v>
      </c>
      <c r="V1827">
        <v>0</v>
      </c>
      <c r="W1827">
        <v>0</v>
      </c>
      <c r="X1827">
        <v>1</v>
      </c>
      <c r="Z1827">
        <v>0</v>
      </c>
      <c r="AA1827">
        <v>9</v>
      </c>
      <c r="AB1827">
        <v>3</v>
      </c>
      <c r="AC1827">
        <v>0</v>
      </c>
      <c r="AD1827">
        <v>9</v>
      </c>
      <c r="AE1827">
        <v>0</v>
      </c>
      <c r="AF1827">
        <v>3</v>
      </c>
      <c r="AG1827">
        <v>1</v>
      </c>
      <c r="AH1827">
        <v>0</v>
      </c>
      <c r="AI1827" t="s">
        <v>690</v>
      </c>
      <c r="AJ1827">
        <v>34.182822999999999</v>
      </c>
      <c r="AK1827" t="s">
        <v>691</v>
      </c>
      <c r="AL1827">
        <v>-117.008364</v>
      </c>
      <c r="AM1827">
        <v>100</v>
      </c>
      <c r="AN1827">
        <v>8300</v>
      </c>
      <c r="AO1827" t="s">
        <v>118</v>
      </c>
      <c r="AP1827">
        <v>-104</v>
      </c>
      <c r="AQ1827">
        <v>-69</v>
      </c>
      <c r="AR1827">
        <v>-576</v>
      </c>
      <c r="AZ1827">
        <v>1200</v>
      </c>
      <c r="BA1827">
        <v>1</v>
      </c>
      <c r="BB1827" t="str">
        <f t="shared" si="989"/>
        <v xml:space="preserve">N9217B  </v>
      </c>
      <c r="BC1827">
        <v>1</v>
      </c>
      <c r="BE1827">
        <v>0</v>
      </c>
      <c r="BF1827">
        <v>0</v>
      </c>
      <c r="BG1827">
        <v>0</v>
      </c>
      <c r="BH1827">
        <v>8250</v>
      </c>
      <c r="BI1827">
        <v>1</v>
      </c>
      <c r="BJ1827">
        <v>0</v>
      </c>
      <c r="BK1827">
        <v>0</v>
      </c>
      <c r="BL1827">
        <v>0</v>
      </c>
      <c r="BO1827">
        <v>0</v>
      </c>
      <c r="BP1827">
        <v>0</v>
      </c>
      <c r="BW1827" t="str">
        <f t="shared" si="1004"/>
        <v>14:53:34.121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6</v>
      </c>
      <c r="CP1827" t="s">
        <v>119</v>
      </c>
      <c r="CQ1827">
        <v>285</v>
      </c>
      <c r="CR1827">
        <v>0</v>
      </c>
      <c r="CW1827">
        <v>8858170</v>
      </c>
      <c r="CY1827">
        <v>0</v>
      </c>
      <c r="CZ1827">
        <v>0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25">
      <c r="A1828" t="str">
        <f t="shared" ref="A1828:A1834" si="1006">"06/05/2020 14:53:29.557"</f>
        <v>06/05/2020 14:53:29.557</v>
      </c>
      <c r="C1828" t="str">
        <f t="shared" si="1005"/>
        <v>FFDFD3C0</v>
      </c>
      <c r="D1828" t="s">
        <v>134</v>
      </c>
      <c r="E1828">
        <v>7</v>
      </c>
      <c r="F1828">
        <v>2007</v>
      </c>
      <c r="G1828" t="s">
        <v>135</v>
      </c>
      <c r="J1828" t="s">
        <v>136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ref="S1828:S1834" si="1007">"14:53:35.195"</f>
        <v>14:53:35.195</v>
      </c>
      <c r="T1828" t="str">
        <f t="shared" ref="T1828:T1834" si="1008">"14:53:34.795"</f>
        <v>14:53:34.795</v>
      </c>
      <c r="U1828" t="str">
        <f t="shared" si="987"/>
        <v>ACC530</v>
      </c>
      <c r="V1828">
        <v>0</v>
      </c>
      <c r="W1828">
        <v>0</v>
      </c>
      <c r="X1828">
        <v>1</v>
      </c>
      <c r="Z1828">
        <v>0</v>
      </c>
      <c r="AA1828">
        <v>9</v>
      </c>
      <c r="AB1828">
        <v>3</v>
      </c>
      <c r="AC1828">
        <v>0</v>
      </c>
      <c r="AD1828">
        <v>9</v>
      </c>
      <c r="AE1828">
        <v>0</v>
      </c>
      <c r="AF1828">
        <v>3</v>
      </c>
      <c r="AG1828">
        <v>1</v>
      </c>
      <c r="AH1828">
        <v>0</v>
      </c>
      <c r="AI1828" t="s">
        <v>692</v>
      </c>
      <c r="AJ1828">
        <v>34.182457999999997</v>
      </c>
      <c r="AK1828" t="s">
        <v>693</v>
      </c>
      <c r="AL1828">
        <v>-117.00898599999999</v>
      </c>
      <c r="AM1828">
        <v>100</v>
      </c>
      <c r="AN1828">
        <v>8300</v>
      </c>
      <c r="AO1828" t="s">
        <v>118</v>
      </c>
      <c r="AP1828">
        <v>-104</v>
      </c>
      <c r="AQ1828">
        <v>-69</v>
      </c>
      <c r="AR1828">
        <v>-576</v>
      </c>
      <c r="AZ1828">
        <v>1200</v>
      </c>
      <c r="BA1828">
        <v>1</v>
      </c>
      <c r="BB1828" t="str">
        <f t="shared" si="989"/>
        <v xml:space="preserve">N9217B  </v>
      </c>
      <c r="BC1828">
        <v>1</v>
      </c>
      <c r="BE1828">
        <v>0</v>
      </c>
      <c r="BF1828">
        <v>0</v>
      </c>
      <c r="BG1828">
        <v>0</v>
      </c>
      <c r="BH1828">
        <v>8250</v>
      </c>
      <c r="BI1828">
        <v>1</v>
      </c>
      <c r="BJ1828">
        <v>0</v>
      </c>
      <c r="BK1828">
        <v>0</v>
      </c>
      <c r="BL1828">
        <v>0</v>
      </c>
      <c r="BO1828">
        <v>0</v>
      </c>
      <c r="BP1828">
        <v>0</v>
      </c>
      <c r="BW1828" t="str">
        <f t="shared" ref="BW1828:BW1834" si="1009">"14:53:35.201"</f>
        <v>14:53:35.201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6</v>
      </c>
      <c r="CP1828" t="s">
        <v>119</v>
      </c>
      <c r="CQ1828">
        <v>293</v>
      </c>
      <c r="CR1828">
        <v>1</v>
      </c>
      <c r="CW1828">
        <v>15293805</v>
      </c>
      <c r="CY1828">
        <v>0</v>
      </c>
      <c r="CZ1828">
        <v>0</v>
      </c>
      <c r="DA1828">
        <v>0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25">
      <c r="A1829" t="str">
        <f t="shared" si="1006"/>
        <v>06/05/2020 14:53:29.557</v>
      </c>
      <c r="C1829" t="str">
        <f t="shared" si="1005"/>
        <v>FFDFD3C0</v>
      </c>
      <c r="D1829" t="s">
        <v>148</v>
      </c>
      <c r="E1829">
        <v>11</v>
      </c>
      <c r="H1829">
        <v>53</v>
      </c>
      <c r="I1829" t="s">
        <v>364</v>
      </c>
      <c r="J1829" t="s">
        <v>150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1007"/>
        <v>14:53:35.195</v>
      </c>
      <c r="T1829" t="str">
        <f t="shared" si="1008"/>
        <v>14:53:34.795</v>
      </c>
      <c r="U1829" t="str">
        <f t="shared" si="987"/>
        <v>ACC530</v>
      </c>
      <c r="V1829">
        <v>0</v>
      </c>
      <c r="W1829">
        <v>0</v>
      </c>
      <c r="X1829">
        <v>1</v>
      </c>
      <c r="Z1829">
        <v>0</v>
      </c>
      <c r="AA1829">
        <v>9</v>
      </c>
      <c r="AB1829">
        <v>3</v>
      </c>
      <c r="AC1829">
        <v>0</v>
      </c>
      <c r="AD1829">
        <v>9</v>
      </c>
      <c r="AE1829">
        <v>0</v>
      </c>
      <c r="AF1829">
        <v>3</v>
      </c>
      <c r="AG1829">
        <v>1</v>
      </c>
      <c r="AH1829">
        <v>0</v>
      </c>
      <c r="AI1829" t="s">
        <v>692</v>
      </c>
      <c r="AJ1829">
        <v>34.182457999999997</v>
      </c>
      <c r="AK1829" t="s">
        <v>693</v>
      </c>
      <c r="AL1829">
        <v>-117.00898599999999</v>
      </c>
      <c r="AM1829">
        <v>100</v>
      </c>
      <c r="AN1829">
        <v>8300</v>
      </c>
      <c r="AO1829" t="s">
        <v>118</v>
      </c>
      <c r="AP1829">
        <v>-104</v>
      </c>
      <c r="AQ1829">
        <v>-69</v>
      </c>
      <c r="AR1829">
        <v>-576</v>
      </c>
      <c r="AZ1829">
        <v>1200</v>
      </c>
      <c r="BA1829">
        <v>1</v>
      </c>
      <c r="BB1829" t="str">
        <f t="shared" si="989"/>
        <v xml:space="preserve">N9217B  </v>
      </c>
      <c r="BC1829">
        <v>1</v>
      </c>
      <c r="BE1829">
        <v>0</v>
      </c>
      <c r="BF1829">
        <v>0</v>
      </c>
      <c r="BG1829">
        <v>0</v>
      </c>
      <c r="BH1829">
        <v>8250</v>
      </c>
      <c r="BI1829">
        <v>1</v>
      </c>
      <c r="BJ1829">
        <v>0</v>
      </c>
      <c r="BK1829">
        <v>0</v>
      </c>
      <c r="BL1829">
        <v>0</v>
      </c>
      <c r="BO1829">
        <v>0</v>
      </c>
      <c r="BP1829">
        <v>0</v>
      </c>
      <c r="BW1829" t="str">
        <f t="shared" si="1009"/>
        <v>14:53:35.201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6</v>
      </c>
      <c r="CP1829" t="s">
        <v>119</v>
      </c>
      <c r="CQ1829">
        <v>293</v>
      </c>
      <c r="CR1829">
        <v>1</v>
      </c>
      <c r="CW1829">
        <v>15293805</v>
      </c>
      <c r="CY1829">
        <v>0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25">
      <c r="A1830" t="str">
        <f t="shared" si="1006"/>
        <v>06/05/2020 14:53:29.557</v>
      </c>
      <c r="C1830" t="str">
        <f t="shared" si="1005"/>
        <v>FFDFD3C0</v>
      </c>
      <c r="D1830" t="s">
        <v>151</v>
      </c>
      <c r="E1830">
        <v>8</v>
      </c>
      <c r="H1830">
        <v>225</v>
      </c>
      <c r="I1830" t="s">
        <v>353</v>
      </c>
      <c r="J1830" t="s">
        <v>150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1007"/>
        <v>14:53:35.195</v>
      </c>
      <c r="T1830" t="str">
        <f t="shared" si="1008"/>
        <v>14:53:34.795</v>
      </c>
      <c r="U1830" t="str">
        <f t="shared" si="987"/>
        <v>ACC530</v>
      </c>
      <c r="V1830">
        <v>0</v>
      </c>
      <c r="W1830">
        <v>0</v>
      </c>
      <c r="X1830">
        <v>1</v>
      </c>
      <c r="Z1830">
        <v>0</v>
      </c>
      <c r="AA1830">
        <v>9</v>
      </c>
      <c r="AB1830">
        <v>3</v>
      </c>
      <c r="AC1830">
        <v>0</v>
      </c>
      <c r="AD1830">
        <v>9</v>
      </c>
      <c r="AE1830">
        <v>0</v>
      </c>
      <c r="AF1830">
        <v>3</v>
      </c>
      <c r="AG1830">
        <v>1</v>
      </c>
      <c r="AH1830">
        <v>0</v>
      </c>
      <c r="AI1830" t="s">
        <v>692</v>
      </c>
      <c r="AJ1830">
        <v>34.182457999999997</v>
      </c>
      <c r="AK1830" t="s">
        <v>693</v>
      </c>
      <c r="AL1830">
        <v>-117.00898599999999</v>
      </c>
      <c r="AM1830">
        <v>100</v>
      </c>
      <c r="AN1830">
        <v>8300</v>
      </c>
      <c r="AO1830" t="s">
        <v>118</v>
      </c>
      <c r="AP1830">
        <v>-104</v>
      </c>
      <c r="AQ1830">
        <v>-69</v>
      </c>
      <c r="AR1830">
        <v>-576</v>
      </c>
      <c r="AZ1830">
        <v>1200</v>
      </c>
      <c r="BA1830">
        <v>1</v>
      </c>
      <c r="BB1830" t="str">
        <f t="shared" si="989"/>
        <v xml:space="preserve">N9217B  </v>
      </c>
      <c r="BC1830">
        <v>1</v>
      </c>
      <c r="BE1830">
        <v>0</v>
      </c>
      <c r="BF1830">
        <v>0</v>
      </c>
      <c r="BG1830">
        <v>0</v>
      </c>
      <c r="BH1830">
        <v>8250</v>
      </c>
      <c r="BI1830">
        <v>1</v>
      </c>
      <c r="BJ1830">
        <v>0</v>
      </c>
      <c r="BK1830">
        <v>0</v>
      </c>
      <c r="BL1830">
        <v>0</v>
      </c>
      <c r="BO1830">
        <v>0</v>
      </c>
      <c r="BP1830">
        <v>0</v>
      </c>
      <c r="BW1830" t="str">
        <f t="shared" si="1009"/>
        <v>14:53:35.201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6</v>
      </c>
      <c r="CP1830" t="s">
        <v>119</v>
      </c>
      <c r="CQ1830">
        <v>285</v>
      </c>
      <c r="CR1830">
        <v>0</v>
      </c>
      <c r="CW1830">
        <v>8858262</v>
      </c>
      <c r="CY1830">
        <v>0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25">
      <c r="A1831" t="str">
        <f t="shared" si="1006"/>
        <v>06/05/2020 14:53:29.557</v>
      </c>
      <c r="C1831" t="str">
        <f t="shared" si="1005"/>
        <v>FFDFD3C0</v>
      </c>
      <c r="D1831" t="s">
        <v>151</v>
      </c>
      <c r="E1831">
        <v>9</v>
      </c>
      <c r="H1831">
        <v>226</v>
      </c>
      <c r="I1831" t="s">
        <v>152</v>
      </c>
      <c r="J1831" t="s">
        <v>150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1007"/>
        <v>14:53:35.195</v>
      </c>
      <c r="T1831" t="str">
        <f t="shared" si="1008"/>
        <v>14:53:34.795</v>
      </c>
      <c r="U1831" t="str">
        <f t="shared" si="987"/>
        <v>ACC530</v>
      </c>
      <c r="V1831">
        <v>0</v>
      </c>
      <c r="W1831">
        <v>0</v>
      </c>
      <c r="X1831">
        <v>1</v>
      </c>
      <c r="Z1831">
        <v>0</v>
      </c>
      <c r="AA1831">
        <v>9</v>
      </c>
      <c r="AB1831">
        <v>3</v>
      </c>
      <c r="AC1831">
        <v>0</v>
      </c>
      <c r="AD1831">
        <v>9</v>
      </c>
      <c r="AE1831">
        <v>0</v>
      </c>
      <c r="AF1831">
        <v>3</v>
      </c>
      <c r="AG1831">
        <v>1</v>
      </c>
      <c r="AH1831">
        <v>0</v>
      </c>
      <c r="AI1831" t="s">
        <v>692</v>
      </c>
      <c r="AJ1831">
        <v>34.182457999999997</v>
      </c>
      <c r="AK1831" t="s">
        <v>693</v>
      </c>
      <c r="AL1831">
        <v>-117.00898599999999</v>
      </c>
      <c r="AM1831">
        <v>100</v>
      </c>
      <c r="AN1831">
        <v>8300</v>
      </c>
      <c r="AO1831" t="s">
        <v>118</v>
      </c>
      <c r="AP1831">
        <v>-104</v>
      </c>
      <c r="AQ1831">
        <v>-69</v>
      </c>
      <c r="AR1831">
        <v>-576</v>
      </c>
      <c r="AZ1831">
        <v>1200</v>
      </c>
      <c r="BA1831">
        <v>1</v>
      </c>
      <c r="BB1831" t="str">
        <f t="shared" si="989"/>
        <v xml:space="preserve">N9217B  </v>
      </c>
      <c r="BC1831">
        <v>1</v>
      </c>
      <c r="BE1831">
        <v>0</v>
      </c>
      <c r="BF1831">
        <v>0</v>
      </c>
      <c r="BG1831">
        <v>0</v>
      </c>
      <c r="BH1831">
        <v>8250</v>
      </c>
      <c r="BI1831">
        <v>1</v>
      </c>
      <c r="BJ1831">
        <v>0</v>
      </c>
      <c r="BK1831">
        <v>0</v>
      </c>
      <c r="BL1831">
        <v>0</v>
      </c>
      <c r="BO1831">
        <v>0</v>
      </c>
      <c r="BP1831">
        <v>0</v>
      </c>
      <c r="BW1831" t="str">
        <f t="shared" si="1009"/>
        <v>14:53:35.201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6</v>
      </c>
      <c r="CP1831" t="s">
        <v>119</v>
      </c>
      <c r="CQ1831">
        <v>293</v>
      </c>
      <c r="CR1831">
        <v>1</v>
      </c>
      <c r="CW1831">
        <v>15293805</v>
      </c>
      <c r="CY1831">
        <v>0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25">
      <c r="A1832" t="str">
        <f t="shared" si="1006"/>
        <v>06/05/2020 14:53:29.557</v>
      </c>
      <c r="C1832" t="str">
        <f t="shared" si="1005"/>
        <v>FFDFD3C0</v>
      </c>
      <c r="D1832" t="s">
        <v>113</v>
      </c>
      <c r="E1832">
        <v>3</v>
      </c>
      <c r="H1832">
        <v>166</v>
      </c>
      <c r="I1832" t="s">
        <v>114</v>
      </c>
      <c r="J1832" t="s">
        <v>115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1007"/>
        <v>14:53:35.195</v>
      </c>
      <c r="T1832" t="str">
        <f t="shared" si="1008"/>
        <v>14:53:34.795</v>
      </c>
      <c r="U1832" t="str">
        <f t="shared" si="987"/>
        <v>ACC530</v>
      </c>
      <c r="V1832">
        <v>0</v>
      </c>
      <c r="W1832">
        <v>0</v>
      </c>
      <c r="X1832">
        <v>1</v>
      </c>
      <c r="Z1832">
        <v>0</v>
      </c>
      <c r="AA1832">
        <v>9</v>
      </c>
      <c r="AB1832">
        <v>3</v>
      </c>
      <c r="AC1832">
        <v>0</v>
      </c>
      <c r="AD1832">
        <v>9</v>
      </c>
      <c r="AE1832">
        <v>0</v>
      </c>
      <c r="AF1832">
        <v>3</v>
      </c>
      <c r="AG1832">
        <v>1</v>
      </c>
      <c r="AH1832">
        <v>0</v>
      </c>
      <c r="AI1832" t="s">
        <v>692</v>
      </c>
      <c r="AJ1832">
        <v>34.182457999999997</v>
      </c>
      <c r="AK1832" t="s">
        <v>693</v>
      </c>
      <c r="AL1832">
        <v>-117.00898599999999</v>
      </c>
      <c r="AM1832">
        <v>100</v>
      </c>
      <c r="AN1832">
        <v>8300</v>
      </c>
      <c r="AO1832" t="s">
        <v>118</v>
      </c>
      <c r="AP1832">
        <v>-104</v>
      </c>
      <c r="AQ1832">
        <v>-69</v>
      </c>
      <c r="AR1832">
        <v>-576</v>
      </c>
      <c r="AZ1832">
        <v>1200</v>
      </c>
      <c r="BA1832">
        <v>1</v>
      </c>
      <c r="BB1832" t="str">
        <f t="shared" si="989"/>
        <v xml:space="preserve">N9217B  </v>
      </c>
      <c r="BC1832">
        <v>1</v>
      </c>
      <c r="BE1832">
        <v>0</v>
      </c>
      <c r="BF1832">
        <v>0</v>
      </c>
      <c r="BG1832">
        <v>0</v>
      </c>
      <c r="BH1832">
        <v>8250</v>
      </c>
      <c r="BI1832">
        <v>1</v>
      </c>
      <c r="BJ1832">
        <v>0</v>
      </c>
      <c r="BK1832">
        <v>0</v>
      </c>
      <c r="BL1832">
        <v>0</v>
      </c>
      <c r="BO1832">
        <v>0</v>
      </c>
      <c r="BP1832">
        <v>0</v>
      </c>
      <c r="BW1832" t="str">
        <f t="shared" si="1009"/>
        <v>14:53:35.201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6</v>
      </c>
      <c r="CP1832" t="s">
        <v>119</v>
      </c>
      <c r="CQ1832">
        <v>293</v>
      </c>
      <c r="CR1832">
        <v>1</v>
      </c>
      <c r="CW1832">
        <v>15293805</v>
      </c>
      <c r="CY1832">
        <v>0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25">
      <c r="A1833" t="str">
        <f t="shared" si="1006"/>
        <v>06/05/2020 14:53:29.557</v>
      </c>
      <c r="C1833" t="str">
        <f t="shared" si="1005"/>
        <v>FFDFD3C0</v>
      </c>
      <c r="D1833" t="s">
        <v>148</v>
      </c>
      <c r="E1833">
        <v>8</v>
      </c>
      <c r="H1833">
        <v>50</v>
      </c>
      <c r="I1833" t="s">
        <v>149</v>
      </c>
      <c r="J1833" t="s">
        <v>150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1007"/>
        <v>14:53:35.195</v>
      </c>
      <c r="T1833" t="str">
        <f t="shared" si="1008"/>
        <v>14:53:34.795</v>
      </c>
      <c r="U1833" t="str">
        <f t="shared" si="987"/>
        <v>ACC530</v>
      </c>
      <c r="V1833">
        <v>0</v>
      </c>
      <c r="W1833">
        <v>0</v>
      </c>
      <c r="X1833">
        <v>1</v>
      </c>
      <c r="Z1833">
        <v>0</v>
      </c>
      <c r="AA1833">
        <v>9</v>
      </c>
      <c r="AB1833">
        <v>3</v>
      </c>
      <c r="AC1833">
        <v>0</v>
      </c>
      <c r="AD1833">
        <v>9</v>
      </c>
      <c r="AE1833">
        <v>0</v>
      </c>
      <c r="AF1833">
        <v>3</v>
      </c>
      <c r="AG1833">
        <v>1</v>
      </c>
      <c r="AH1833">
        <v>0</v>
      </c>
      <c r="AI1833" t="s">
        <v>692</v>
      </c>
      <c r="AJ1833">
        <v>34.182457999999997</v>
      </c>
      <c r="AK1833" t="s">
        <v>693</v>
      </c>
      <c r="AL1833">
        <v>-117.00898599999999</v>
      </c>
      <c r="AM1833">
        <v>100</v>
      </c>
      <c r="AN1833">
        <v>8300</v>
      </c>
      <c r="AO1833" t="s">
        <v>118</v>
      </c>
      <c r="AP1833">
        <v>-104</v>
      </c>
      <c r="AQ1833">
        <v>-69</v>
      </c>
      <c r="AR1833">
        <v>-576</v>
      </c>
      <c r="AZ1833">
        <v>1200</v>
      </c>
      <c r="BA1833">
        <v>1</v>
      </c>
      <c r="BB1833" t="str">
        <f t="shared" si="989"/>
        <v xml:space="preserve">N9217B  </v>
      </c>
      <c r="BC1833">
        <v>1</v>
      </c>
      <c r="BE1833">
        <v>0</v>
      </c>
      <c r="BF1833">
        <v>0</v>
      </c>
      <c r="BG1833">
        <v>0</v>
      </c>
      <c r="BH1833">
        <v>8250</v>
      </c>
      <c r="BI1833">
        <v>1</v>
      </c>
      <c r="BJ1833">
        <v>0</v>
      </c>
      <c r="BK1833">
        <v>0</v>
      </c>
      <c r="BL1833">
        <v>0</v>
      </c>
      <c r="BO1833">
        <v>0</v>
      </c>
      <c r="BP1833">
        <v>0</v>
      </c>
      <c r="BW1833" t="str">
        <f t="shared" si="1009"/>
        <v>14:53:35.201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6</v>
      </c>
      <c r="CP1833" t="s">
        <v>119</v>
      </c>
      <c r="CQ1833">
        <v>293</v>
      </c>
      <c r="CR1833">
        <v>1</v>
      </c>
      <c r="CW1833">
        <v>15293805</v>
      </c>
      <c r="CY1833">
        <v>0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25">
      <c r="A1834" t="str">
        <f t="shared" si="1006"/>
        <v>06/05/2020 14:53:29.557</v>
      </c>
      <c r="C1834" t="str">
        <f t="shared" si="1005"/>
        <v>FFDFD3C0</v>
      </c>
      <c r="D1834" t="s">
        <v>141</v>
      </c>
      <c r="E1834">
        <v>20</v>
      </c>
      <c r="F1834">
        <v>1020</v>
      </c>
      <c r="G1834" t="s">
        <v>114</v>
      </c>
      <c r="J1834" t="s">
        <v>142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1007"/>
        <v>14:53:35.195</v>
      </c>
      <c r="T1834" t="str">
        <f t="shared" si="1008"/>
        <v>14:53:34.795</v>
      </c>
      <c r="U1834" t="str">
        <f t="shared" si="987"/>
        <v>ACC530</v>
      </c>
      <c r="V1834">
        <v>0</v>
      </c>
      <c r="W1834">
        <v>0</v>
      </c>
      <c r="X1834">
        <v>1</v>
      </c>
      <c r="Z1834">
        <v>0</v>
      </c>
      <c r="AA1834">
        <v>9</v>
      </c>
      <c r="AB1834">
        <v>3</v>
      </c>
      <c r="AC1834">
        <v>0</v>
      </c>
      <c r="AD1834">
        <v>9</v>
      </c>
      <c r="AE1834">
        <v>0</v>
      </c>
      <c r="AF1834">
        <v>3</v>
      </c>
      <c r="AG1834">
        <v>1</v>
      </c>
      <c r="AH1834">
        <v>0</v>
      </c>
      <c r="AI1834" t="s">
        <v>692</v>
      </c>
      <c r="AJ1834">
        <v>34.182457999999997</v>
      </c>
      <c r="AK1834" t="s">
        <v>693</v>
      </c>
      <c r="AL1834">
        <v>-117.00898599999999</v>
      </c>
      <c r="AM1834">
        <v>100</v>
      </c>
      <c r="AN1834">
        <v>8300</v>
      </c>
      <c r="AO1834" t="s">
        <v>118</v>
      </c>
      <c r="AP1834">
        <v>-104</v>
      </c>
      <c r="AQ1834">
        <v>-69</v>
      </c>
      <c r="AR1834">
        <v>-576</v>
      </c>
      <c r="AZ1834">
        <v>1200</v>
      </c>
      <c r="BA1834">
        <v>1</v>
      </c>
      <c r="BB1834" t="str">
        <f t="shared" si="989"/>
        <v xml:space="preserve">N9217B  </v>
      </c>
      <c r="BC1834">
        <v>1</v>
      </c>
      <c r="BE1834">
        <v>0</v>
      </c>
      <c r="BF1834">
        <v>0</v>
      </c>
      <c r="BG1834">
        <v>0</v>
      </c>
      <c r="BH1834">
        <v>8250</v>
      </c>
      <c r="BI1834">
        <v>1</v>
      </c>
      <c r="BJ1834">
        <v>0</v>
      </c>
      <c r="BK1834">
        <v>0</v>
      </c>
      <c r="BL1834">
        <v>0</v>
      </c>
      <c r="BO1834">
        <v>0</v>
      </c>
      <c r="BP1834">
        <v>0</v>
      </c>
      <c r="BW1834" t="str">
        <f t="shared" si="1009"/>
        <v>14:53:35.201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293</v>
      </c>
      <c r="CR1834">
        <v>1</v>
      </c>
      <c r="CW1834">
        <v>15293805</v>
      </c>
      <c r="CY1834">
        <v>0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25">
      <c r="A1835" t="str">
        <f t="shared" ref="A1835:A1841" si="1010">"06/05/2020 14:53:30.591"</f>
        <v>06/05/2020 14:53:30.591</v>
      </c>
      <c r="C1835" t="str">
        <f t="shared" si="1005"/>
        <v>FFDFD3C0</v>
      </c>
      <c r="D1835" t="s">
        <v>148</v>
      </c>
      <c r="E1835">
        <v>8</v>
      </c>
      <c r="H1835">
        <v>50</v>
      </c>
      <c r="I1835" t="s">
        <v>149</v>
      </c>
      <c r="J1835" t="s">
        <v>150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ref="S1835:S1841" si="1011">"14:53:36.273"</f>
        <v>14:53:36.273</v>
      </c>
      <c r="T1835" t="str">
        <f t="shared" ref="T1835:T1841" si="1012">"14:53:35.773"</f>
        <v>14:53:35.773</v>
      </c>
      <c r="U1835" t="str">
        <f t="shared" si="987"/>
        <v>ACC530</v>
      </c>
      <c r="V1835">
        <v>0</v>
      </c>
      <c r="W1835">
        <v>0</v>
      </c>
      <c r="X1835">
        <v>1</v>
      </c>
      <c r="Z1835">
        <v>0</v>
      </c>
      <c r="AA1835">
        <v>9</v>
      </c>
      <c r="AB1835">
        <v>3</v>
      </c>
      <c r="AC1835">
        <v>0</v>
      </c>
      <c r="AD1835">
        <v>9</v>
      </c>
      <c r="AE1835">
        <v>0</v>
      </c>
      <c r="AF1835">
        <v>3</v>
      </c>
      <c r="AG1835">
        <v>1</v>
      </c>
      <c r="AH1835">
        <v>0</v>
      </c>
      <c r="AI1835" t="s">
        <v>694</v>
      </c>
      <c r="AJ1835">
        <v>34.182136</v>
      </c>
      <c r="AK1835" t="s">
        <v>695</v>
      </c>
      <c r="AL1835">
        <v>-117.009609</v>
      </c>
      <c r="AM1835">
        <v>100</v>
      </c>
      <c r="AN1835">
        <v>8200</v>
      </c>
      <c r="AO1835" t="s">
        <v>118</v>
      </c>
      <c r="AP1835">
        <v>-103</v>
      </c>
      <c r="AQ1835">
        <v>-69</v>
      </c>
      <c r="AR1835">
        <v>-640</v>
      </c>
      <c r="AZ1835">
        <v>1200</v>
      </c>
      <c r="BA1835">
        <v>1</v>
      </c>
      <c r="BB1835" t="str">
        <f t="shared" si="989"/>
        <v xml:space="preserve">N9217B  </v>
      </c>
      <c r="BC1835">
        <v>1</v>
      </c>
      <c r="BE1835">
        <v>0</v>
      </c>
      <c r="BF1835">
        <v>0</v>
      </c>
      <c r="BG1835">
        <v>0</v>
      </c>
      <c r="BH1835">
        <v>8250</v>
      </c>
      <c r="BI1835">
        <v>1</v>
      </c>
      <c r="BJ1835">
        <v>0</v>
      </c>
      <c r="BK1835">
        <v>0</v>
      </c>
      <c r="BL1835">
        <v>0</v>
      </c>
      <c r="BO1835">
        <v>0</v>
      </c>
      <c r="BP1835">
        <v>0</v>
      </c>
      <c r="BW1835" t="str">
        <f t="shared" ref="BW1835:BW1841" si="1013">"14:53:36.281"</f>
        <v>14:53:36.281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293</v>
      </c>
      <c r="CR1835">
        <v>2</v>
      </c>
      <c r="CW1835">
        <v>15293927</v>
      </c>
      <c r="CY1835">
        <v>0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25">
      <c r="A1836" t="str">
        <f t="shared" si="1010"/>
        <v>06/05/2020 14:53:30.591</v>
      </c>
      <c r="C1836" t="str">
        <f t="shared" si="1005"/>
        <v>FFDFD3C0</v>
      </c>
      <c r="D1836" t="s">
        <v>141</v>
      </c>
      <c r="E1836">
        <v>20</v>
      </c>
      <c r="F1836">
        <v>1020</v>
      </c>
      <c r="G1836" t="s">
        <v>114</v>
      </c>
      <c r="J1836" t="s">
        <v>142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1011"/>
        <v>14:53:36.273</v>
      </c>
      <c r="T1836" t="str">
        <f t="shared" si="1012"/>
        <v>14:53:35.773</v>
      </c>
      <c r="U1836" t="str">
        <f t="shared" si="987"/>
        <v>ACC530</v>
      </c>
      <c r="V1836">
        <v>0</v>
      </c>
      <c r="W1836">
        <v>0</v>
      </c>
      <c r="X1836">
        <v>1</v>
      </c>
      <c r="Z1836">
        <v>0</v>
      </c>
      <c r="AA1836">
        <v>9</v>
      </c>
      <c r="AB1836">
        <v>3</v>
      </c>
      <c r="AC1836">
        <v>0</v>
      </c>
      <c r="AD1836">
        <v>9</v>
      </c>
      <c r="AE1836">
        <v>0</v>
      </c>
      <c r="AF1836">
        <v>3</v>
      </c>
      <c r="AG1836">
        <v>1</v>
      </c>
      <c r="AH1836">
        <v>0</v>
      </c>
      <c r="AI1836" t="s">
        <v>694</v>
      </c>
      <c r="AJ1836">
        <v>34.182136</v>
      </c>
      <c r="AK1836" t="s">
        <v>695</v>
      </c>
      <c r="AL1836">
        <v>-117.009609</v>
      </c>
      <c r="AM1836">
        <v>100</v>
      </c>
      <c r="AN1836">
        <v>8200</v>
      </c>
      <c r="AO1836" t="s">
        <v>118</v>
      </c>
      <c r="AP1836">
        <v>-103</v>
      </c>
      <c r="AQ1836">
        <v>-69</v>
      </c>
      <c r="AR1836">
        <v>-640</v>
      </c>
      <c r="AZ1836">
        <v>1200</v>
      </c>
      <c r="BA1836">
        <v>1</v>
      </c>
      <c r="BB1836" t="str">
        <f t="shared" si="989"/>
        <v xml:space="preserve">N9217B  </v>
      </c>
      <c r="BC1836">
        <v>1</v>
      </c>
      <c r="BE1836">
        <v>0</v>
      </c>
      <c r="BF1836">
        <v>0</v>
      </c>
      <c r="BG1836">
        <v>0</v>
      </c>
      <c r="BH1836">
        <v>8250</v>
      </c>
      <c r="BI1836">
        <v>1</v>
      </c>
      <c r="BJ1836">
        <v>0</v>
      </c>
      <c r="BK1836">
        <v>0</v>
      </c>
      <c r="BL1836">
        <v>0</v>
      </c>
      <c r="BO1836">
        <v>0</v>
      </c>
      <c r="BP1836">
        <v>0</v>
      </c>
      <c r="BW1836" t="str">
        <f t="shared" si="1013"/>
        <v>14:53:36.281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293</v>
      </c>
      <c r="CR1836">
        <v>2</v>
      </c>
      <c r="CW1836">
        <v>15293927</v>
      </c>
      <c r="CY1836">
        <v>0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25">
      <c r="A1837" t="str">
        <f t="shared" si="1010"/>
        <v>06/05/2020 14:53:30.591</v>
      </c>
      <c r="C1837" t="str">
        <f t="shared" si="1005"/>
        <v>FFDFD3C0</v>
      </c>
      <c r="D1837" t="s">
        <v>134</v>
      </c>
      <c r="E1837">
        <v>7</v>
      </c>
      <c r="F1837">
        <v>2007</v>
      </c>
      <c r="G1837" t="s">
        <v>135</v>
      </c>
      <c r="J1837" t="s">
        <v>136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1011"/>
        <v>14:53:36.273</v>
      </c>
      <c r="T1837" t="str">
        <f t="shared" si="1012"/>
        <v>14:53:35.773</v>
      </c>
      <c r="U1837" t="str">
        <f t="shared" si="987"/>
        <v>ACC530</v>
      </c>
      <c r="V1837">
        <v>0</v>
      </c>
      <c r="W1837">
        <v>0</v>
      </c>
      <c r="X1837">
        <v>1</v>
      </c>
      <c r="Z1837">
        <v>0</v>
      </c>
      <c r="AA1837">
        <v>9</v>
      </c>
      <c r="AB1837">
        <v>3</v>
      </c>
      <c r="AC1837">
        <v>0</v>
      </c>
      <c r="AD1837">
        <v>9</v>
      </c>
      <c r="AE1837">
        <v>0</v>
      </c>
      <c r="AF1837">
        <v>3</v>
      </c>
      <c r="AG1837">
        <v>1</v>
      </c>
      <c r="AH1837">
        <v>0</v>
      </c>
      <c r="AI1837" t="s">
        <v>694</v>
      </c>
      <c r="AJ1837">
        <v>34.182136</v>
      </c>
      <c r="AK1837" t="s">
        <v>695</v>
      </c>
      <c r="AL1837">
        <v>-117.009609</v>
      </c>
      <c r="AM1837">
        <v>100</v>
      </c>
      <c r="AN1837">
        <v>8200</v>
      </c>
      <c r="AO1837" t="s">
        <v>118</v>
      </c>
      <c r="AP1837">
        <v>-103</v>
      </c>
      <c r="AQ1837">
        <v>-69</v>
      </c>
      <c r="AR1837">
        <v>-640</v>
      </c>
      <c r="AZ1837">
        <v>1200</v>
      </c>
      <c r="BA1837">
        <v>1</v>
      </c>
      <c r="BB1837" t="str">
        <f t="shared" si="989"/>
        <v xml:space="preserve">N9217B  </v>
      </c>
      <c r="BC1837">
        <v>1</v>
      </c>
      <c r="BE1837">
        <v>0</v>
      </c>
      <c r="BF1837">
        <v>0</v>
      </c>
      <c r="BG1837">
        <v>0</v>
      </c>
      <c r="BH1837">
        <v>8250</v>
      </c>
      <c r="BI1837">
        <v>1</v>
      </c>
      <c r="BJ1837">
        <v>0</v>
      </c>
      <c r="BK1837">
        <v>0</v>
      </c>
      <c r="BL1837">
        <v>0</v>
      </c>
      <c r="BO1837">
        <v>0</v>
      </c>
      <c r="BP1837">
        <v>0</v>
      </c>
      <c r="BW1837" t="str">
        <f t="shared" si="1013"/>
        <v>14:53:36.281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293</v>
      </c>
      <c r="CR1837">
        <v>2</v>
      </c>
      <c r="CW1837">
        <v>15293927</v>
      </c>
      <c r="CY1837">
        <v>0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25">
      <c r="A1838" t="str">
        <f t="shared" si="1010"/>
        <v>06/05/2020 14:53:30.591</v>
      </c>
      <c r="C1838" t="str">
        <f t="shared" si="1005"/>
        <v>FFDFD3C0</v>
      </c>
      <c r="D1838" t="s">
        <v>148</v>
      </c>
      <c r="E1838">
        <v>11</v>
      </c>
      <c r="H1838">
        <v>53</v>
      </c>
      <c r="I1838" t="s">
        <v>364</v>
      </c>
      <c r="J1838" t="s">
        <v>150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1011"/>
        <v>14:53:36.273</v>
      </c>
      <c r="T1838" t="str">
        <f t="shared" si="1012"/>
        <v>14:53:35.773</v>
      </c>
      <c r="U1838" t="str">
        <f t="shared" si="987"/>
        <v>ACC530</v>
      </c>
      <c r="V1838">
        <v>0</v>
      </c>
      <c r="W1838">
        <v>0</v>
      </c>
      <c r="X1838">
        <v>1</v>
      </c>
      <c r="Z1838">
        <v>0</v>
      </c>
      <c r="AA1838">
        <v>9</v>
      </c>
      <c r="AB1838">
        <v>3</v>
      </c>
      <c r="AC1838">
        <v>0</v>
      </c>
      <c r="AD1838">
        <v>9</v>
      </c>
      <c r="AE1838">
        <v>0</v>
      </c>
      <c r="AF1838">
        <v>3</v>
      </c>
      <c r="AG1838">
        <v>1</v>
      </c>
      <c r="AH1838">
        <v>0</v>
      </c>
      <c r="AI1838" t="s">
        <v>694</v>
      </c>
      <c r="AJ1838">
        <v>34.182136</v>
      </c>
      <c r="AK1838" t="s">
        <v>695</v>
      </c>
      <c r="AL1838">
        <v>-117.009609</v>
      </c>
      <c r="AM1838">
        <v>100</v>
      </c>
      <c r="AN1838">
        <v>8200</v>
      </c>
      <c r="AO1838" t="s">
        <v>118</v>
      </c>
      <c r="AP1838">
        <v>-103</v>
      </c>
      <c r="AQ1838">
        <v>-69</v>
      </c>
      <c r="AR1838">
        <v>-640</v>
      </c>
      <c r="AZ1838">
        <v>1200</v>
      </c>
      <c r="BA1838">
        <v>1</v>
      </c>
      <c r="BB1838" t="str">
        <f t="shared" si="989"/>
        <v xml:space="preserve">N9217B  </v>
      </c>
      <c r="BC1838">
        <v>1</v>
      </c>
      <c r="BE1838">
        <v>0</v>
      </c>
      <c r="BF1838">
        <v>0</v>
      </c>
      <c r="BG1838">
        <v>0</v>
      </c>
      <c r="BH1838">
        <v>8250</v>
      </c>
      <c r="BI1838">
        <v>1</v>
      </c>
      <c r="BJ1838">
        <v>0</v>
      </c>
      <c r="BK1838">
        <v>0</v>
      </c>
      <c r="BL1838">
        <v>0</v>
      </c>
      <c r="BO1838">
        <v>0</v>
      </c>
      <c r="BP1838">
        <v>0</v>
      </c>
      <c r="BW1838" t="str">
        <f t="shared" si="1013"/>
        <v>14:53:36.281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293</v>
      </c>
      <c r="CR1838">
        <v>2</v>
      </c>
      <c r="CW1838">
        <v>15293927</v>
      </c>
      <c r="CY1838">
        <v>0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25">
      <c r="A1839" t="str">
        <f t="shared" si="1010"/>
        <v>06/05/2020 14:53:30.591</v>
      </c>
      <c r="C1839" t="str">
        <f t="shared" si="1005"/>
        <v>FFDFD3C0</v>
      </c>
      <c r="D1839" t="s">
        <v>151</v>
      </c>
      <c r="E1839">
        <v>8</v>
      </c>
      <c r="H1839">
        <v>225</v>
      </c>
      <c r="I1839" t="s">
        <v>353</v>
      </c>
      <c r="J1839" t="s">
        <v>150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1011"/>
        <v>14:53:36.273</v>
      </c>
      <c r="T1839" t="str">
        <f t="shared" si="1012"/>
        <v>14:53:35.773</v>
      </c>
      <c r="U1839" t="str">
        <f t="shared" si="987"/>
        <v>ACC530</v>
      </c>
      <c r="V1839">
        <v>0</v>
      </c>
      <c r="W1839">
        <v>0</v>
      </c>
      <c r="X1839">
        <v>1</v>
      </c>
      <c r="Z1839">
        <v>0</v>
      </c>
      <c r="AA1839">
        <v>9</v>
      </c>
      <c r="AB1839">
        <v>3</v>
      </c>
      <c r="AC1839">
        <v>0</v>
      </c>
      <c r="AD1839">
        <v>9</v>
      </c>
      <c r="AE1839">
        <v>0</v>
      </c>
      <c r="AF1839">
        <v>3</v>
      </c>
      <c r="AG1839">
        <v>1</v>
      </c>
      <c r="AH1839">
        <v>0</v>
      </c>
      <c r="AI1839" t="s">
        <v>694</v>
      </c>
      <c r="AJ1839">
        <v>34.182136</v>
      </c>
      <c r="AK1839" t="s">
        <v>695</v>
      </c>
      <c r="AL1839">
        <v>-117.009609</v>
      </c>
      <c r="AM1839">
        <v>100</v>
      </c>
      <c r="AN1839">
        <v>8200</v>
      </c>
      <c r="AO1839" t="s">
        <v>118</v>
      </c>
      <c r="AP1839">
        <v>-103</v>
      </c>
      <c r="AQ1839">
        <v>-69</v>
      </c>
      <c r="AR1839">
        <v>-640</v>
      </c>
      <c r="AZ1839">
        <v>1200</v>
      </c>
      <c r="BA1839">
        <v>1</v>
      </c>
      <c r="BB1839" t="str">
        <f t="shared" si="989"/>
        <v xml:space="preserve">N9217B  </v>
      </c>
      <c r="BC1839">
        <v>1</v>
      </c>
      <c r="BE1839">
        <v>0</v>
      </c>
      <c r="BF1839">
        <v>0</v>
      </c>
      <c r="BG1839">
        <v>0</v>
      </c>
      <c r="BH1839">
        <v>8250</v>
      </c>
      <c r="BI1839">
        <v>1</v>
      </c>
      <c r="BJ1839">
        <v>0</v>
      </c>
      <c r="BK1839">
        <v>0</v>
      </c>
      <c r="BL1839">
        <v>0</v>
      </c>
      <c r="BO1839">
        <v>0</v>
      </c>
      <c r="BP1839">
        <v>0</v>
      </c>
      <c r="BW1839" t="str">
        <f t="shared" si="1013"/>
        <v>14:53:36.281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6</v>
      </c>
      <c r="CP1839" t="s">
        <v>119</v>
      </c>
      <c r="CQ1839">
        <v>285</v>
      </c>
      <c r="CR1839">
        <v>0</v>
      </c>
      <c r="CW1839">
        <v>8858352</v>
      </c>
      <c r="CY1839">
        <v>0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25">
      <c r="A1840" t="str">
        <f t="shared" si="1010"/>
        <v>06/05/2020 14:53:30.591</v>
      </c>
      <c r="C1840" t="str">
        <f t="shared" si="1005"/>
        <v>FFDFD3C0</v>
      </c>
      <c r="D1840" t="s">
        <v>113</v>
      </c>
      <c r="E1840">
        <v>3</v>
      </c>
      <c r="H1840">
        <v>166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1011"/>
        <v>14:53:36.273</v>
      </c>
      <c r="T1840" t="str">
        <f t="shared" si="1012"/>
        <v>14:53:35.773</v>
      </c>
      <c r="U1840" t="str">
        <f t="shared" si="987"/>
        <v>ACC530</v>
      </c>
      <c r="V1840">
        <v>0</v>
      </c>
      <c r="W1840">
        <v>0</v>
      </c>
      <c r="X1840">
        <v>1</v>
      </c>
      <c r="Z1840">
        <v>0</v>
      </c>
      <c r="AA1840">
        <v>9</v>
      </c>
      <c r="AB1840">
        <v>3</v>
      </c>
      <c r="AC1840">
        <v>0</v>
      </c>
      <c r="AD1840">
        <v>9</v>
      </c>
      <c r="AE1840">
        <v>0</v>
      </c>
      <c r="AF1840">
        <v>3</v>
      </c>
      <c r="AG1840">
        <v>1</v>
      </c>
      <c r="AH1840">
        <v>0</v>
      </c>
      <c r="AI1840" t="s">
        <v>694</v>
      </c>
      <c r="AJ1840">
        <v>34.182136</v>
      </c>
      <c r="AK1840" t="s">
        <v>695</v>
      </c>
      <c r="AL1840">
        <v>-117.009609</v>
      </c>
      <c r="AM1840">
        <v>100</v>
      </c>
      <c r="AN1840">
        <v>8200</v>
      </c>
      <c r="AO1840" t="s">
        <v>118</v>
      </c>
      <c r="AP1840">
        <v>-103</v>
      </c>
      <c r="AQ1840">
        <v>-69</v>
      </c>
      <c r="AR1840">
        <v>-640</v>
      </c>
      <c r="AZ1840">
        <v>1200</v>
      </c>
      <c r="BA1840">
        <v>1</v>
      </c>
      <c r="BB1840" t="str">
        <f t="shared" si="989"/>
        <v xml:space="preserve">N9217B  </v>
      </c>
      <c r="BC1840">
        <v>1</v>
      </c>
      <c r="BE1840">
        <v>0</v>
      </c>
      <c r="BF1840">
        <v>0</v>
      </c>
      <c r="BG1840">
        <v>0</v>
      </c>
      <c r="BH1840">
        <v>8250</v>
      </c>
      <c r="BI1840">
        <v>1</v>
      </c>
      <c r="BJ1840">
        <v>0</v>
      </c>
      <c r="BK1840">
        <v>0</v>
      </c>
      <c r="BL1840">
        <v>0</v>
      </c>
      <c r="BO1840">
        <v>0</v>
      </c>
      <c r="BP1840">
        <v>0</v>
      </c>
      <c r="BW1840" t="str">
        <f t="shared" si="1013"/>
        <v>14:53:36.281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293</v>
      </c>
      <c r="CR1840">
        <v>2</v>
      </c>
      <c r="CW1840">
        <v>15293927</v>
      </c>
      <c r="CY1840">
        <v>0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25">
      <c r="A1841" t="str">
        <f t="shared" si="1010"/>
        <v>06/05/2020 14:53:30.591</v>
      </c>
      <c r="C1841" t="str">
        <f t="shared" si="1005"/>
        <v>FFDFD3C0</v>
      </c>
      <c r="D1841" t="s">
        <v>151</v>
      </c>
      <c r="E1841">
        <v>9</v>
      </c>
      <c r="H1841">
        <v>226</v>
      </c>
      <c r="I1841" t="s">
        <v>152</v>
      </c>
      <c r="J1841" t="s">
        <v>150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1011"/>
        <v>14:53:36.273</v>
      </c>
      <c r="T1841" t="str">
        <f t="shared" si="1012"/>
        <v>14:53:35.773</v>
      </c>
      <c r="U1841" t="str">
        <f t="shared" si="987"/>
        <v>ACC530</v>
      </c>
      <c r="V1841">
        <v>0</v>
      </c>
      <c r="W1841">
        <v>0</v>
      </c>
      <c r="X1841">
        <v>1</v>
      </c>
      <c r="Z1841">
        <v>0</v>
      </c>
      <c r="AA1841">
        <v>9</v>
      </c>
      <c r="AB1841">
        <v>3</v>
      </c>
      <c r="AC1841">
        <v>0</v>
      </c>
      <c r="AD1841">
        <v>9</v>
      </c>
      <c r="AE1841">
        <v>0</v>
      </c>
      <c r="AF1841">
        <v>3</v>
      </c>
      <c r="AG1841">
        <v>1</v>
      </c>
      <c r="AH1841">
        <v>0</v>
      </c>
      <c r="AI1841" t="s">
        <v>694</v>
      </c>
      <c r="AJ1841">
        <v>34.182136</v>
      </c>
      <c r="AK1841" t="s">
        <v>695</v>
      </c>
      <c r="AL1841">
        <v>-117.009609</v>
      </c>
      <c r="AM1841">
        <v>100</v>
      </c>
      <c r="AN1841">
        <v>8200</v>
      </c>
      <c r="AO1841" t="s">
        <v>118</v>
      </c>
      <c r="AP1841">
        <v>-103</v>
      </c>
      <c r="AQ1841">
        <v>-69</v>
      </c>
      <c r="AR1841">
        <v>-640</v>
      </c>
      <c r="AZ1841">
        <v>1200</v>
      </c>
      <c r="BA1841">
        <v>1</v>
      </c>
      <c r="BB1841" t="str">
        <f t="shared" si="989"/>
        <v xml:space="preserve">N9217B  </v>
      </c>
      <c r="BC1841">
        <v>1</v>
      </c>
      <c r="BE1841">
        <v>0</v>
      </c>
      <c r="BF1841">
        <v>0</v>
      </c>
      <c r="BG1841">
        <v>0</v>
      </c>
      <c r="BH1841">
        <v>8250</v>
      </c>
      <c r="BI1841">
        <v>1</v>
      </c>
      <c r="BJ1841">
        <v>0</v>
      </c>
      <c r="BK1841">
        <v>0</v>
      </c>
      <c r="BL1841">
        <v>0</v>
      </c>
      <c r="BO1841">
        <v>0</v>
      </c>
      <c r="BP1841">
        <v>0</v>
      </c>
      <c r="BW1841" t="str">
        <f t="shared" si="1013"/>
        <v>14:53:36.281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293</v>
      </c>
      <c r="CR1841">
        <v>2</v>
      </c>
      <c r="CW1841">
        <v>15293927</v>
      </c>
      <c r="CY1841">
        <v>0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25">
      <c r="A1842" t="str">
        <f t="shared" ref="A1842:A1848" si="1014">"06/05/2020 14:53:31.747"</f>
        <v>06/05/2020 14:53:31.747</v>
      </c>
      <c r="C1842" t="str">
        <f t="shared" si="1005"/>
        <v>FFDFD3C0</v>
      </c>
      <c r="D1842" t="s">
        <v>113</v>
      </c>
      <c r="E1842">
        <v>3</v>
      </c>
      <c r="H1842">
        <v>166</v>
      </c>
      <c r="I1842" t="s">
        <v>114</v>
      </c>
      <c r="J1842" t="s">
        <v>115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ref="S1842:S1848" si="1015">"14:53:37.375"</f>
        <v>14:53:37.375</v>
      </c>
      <c r="T1842" t="str">
        <f t="shared" ref="T1842:T1848" si="1016">"14:53:37.275"</f>
        <v>14:53:37.275</v>
      </c>
      <c r="U1842" t="str">
        <f t="shared" si="987"/>
        <v>ACC530</v>
      </c>
      <c r="V1842">
        <v>0</v>
      </c>
      <c r="W1842">
        <v>0</v>
      </c>
      <c r="X1842">
        <v>1</v>
      </c>
      <c r="Z1842">
        <v>0</v>
      </c>
      <c r="AA1842">
        <v>9</v>
      </c>
      <c r="AB1842">
        <v>3</v>
      </c>
      <c r="AC1842">
        <v>0</v>
      </c>
      <c r="AD1842">
        <v>9</v>
      </c>
      <c r="AE1842">
        <v>0</v>
      </c>
      <c r="AF1842">
        <v>3</v>
      </c>
      <c r="AG1842">
        <v>1</v>
      </c>
      <c r="AH1842">
        <v>0</v>
      </c>
      <c r="AI1842" t="s">
        <v>696</v>
      </c>
      <c r="AJ1842">
        <v>34.181770999999998</v>
      </c>
      <c r="AK1842" t="s">
        <v>697</v>
      </c>
      <c r="AL1842">
        <v>-117.010231</v>
      </c>
      <c r="AM1842">
        <v>100</v>
      </c>
      <c r="AN1842">
        <v>8200</v>
      </c>
      <c r="AO1842" t="s">
        <v>118</v>
      </c>
      <c r="AP1842">
        <v>-102</v>
      </c>
      <c r="AQ1842">
        <v>-69</v>
      </c>
      <c r="AR1842">
        <v>-704</v>
      </c>
      <c r="AZ1842">
        <v>1200</v>
      </c>
      <c r="BA1842">
        <v>1</v>
      </c>
      <c r="BB1842" t="str">
        <f t="shared" si="989"/>
        <v xml:space="preserve">N9217B  </v>
      </c>
      <c r="BC1842">
        <v>1</v>
      </c>
      <c r="BE1842">
        <v>0</v>
      </c>
      <c r="BF1842">
        <v>0</v>
      </c>
      <c r="BG1842">
        <v>0</v>
      </c>
      <c r="BH1842">
        <v>8225</v>
      </c>
      <c r="BI1842">
        <v>1</v>
      </c>
      <c r="BJ1842">
        <v>0</v>
      </c>
      <c r="BK1842">
        <v>0</v>
      </c>
      <c r="BL1842">
        <v>0</v>
      </c>
      <c r="BO1842">
        <v>0</v>
      </c>
      <c r="BP1842">
        <v>0</v>
      </c>
      <c r="BW1842" t="str">
        <f t="shared" ref="BW1842:BW1848" si="1017">"14:53:37.376"</f>
        <v>14:53:37.376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293</v>
      </c>
      <c r="CR1842">
        <v>1</v>
      </c>
      <c r="CW1842">
        <v>15294056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25">
      <c r="A1843" t="str">
        <f t="shared" si="1014"/>
        <v>06/05/2020 14:53:31.747</v>
      </c>
      <c r="C1843" t="str">
        <f t="shared" si="1005"/>
        <v>FFDFD3C0</v>
      </c>
      <c r="D1843" t="s">
        <v>151</v>
      </c>
      <c r="E1843">
        <v>8</v>
      </c>
      <c r="H1843">
        <v>225</v>
      </c>
      <c r="I1843" t="s">
        <v>353</v>
      </c>
      <c r="J1843" t="s">
        <v>150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1015"/>
        <v>14:53:37.375</v>
      </c>
      <c r="T1843" t="str">
        <f t="shared" si="1016"/>
        <v>14:53:37.275</v>
      </c>
      <c r="U1843" t="str">
        <f t="shared" si="987"/>
        <v>ACC530</v>
      </c>
      <c r="V1843">
        <v>0</v>
      </c>
      <c r="W1843">
        <v>0</v>
      </c>
      <c r="X1843">
        <v>1</v>
      </c>
      <c r="Z1843">
        <v>0</v>
      </c>
      <c r="AA1843">
        <v>9</v>
      </c>
      <c r="AB1843">
        <v>3</v>
      </c>
      <c r="AC1843">
        <v>0</v>
      </c>
      <c r="AD1843">
        <v>9</v>
      </c>
      <c r="AE1843">
        <v>0</v>
      </c>
      <c r="AF1843">
        <v>3</v>
      </c>
      <c r="AG1843">
        <v>1</v>
      </c>
      <c r="AH1843">
        <v>0</v>
      </c>
      <c r="AI1843" t="s">
        <v>696</v>
      </c>
      <c r="AJ1843">
        <v>34.181770999999998</v>
      </c>
      <c r="AK1843" t="s">
        <v>697</v>
      </c>
      <c r="AL1843">
        <v>-117.010231</v>
      </c>
      <c r="AM1843">
        <v>100</v>
      </c>
      <c r="AN1843">
        <v>8200</v>
      </c>
      <c r="AO1843" t="s">
        <v>118</v>
      </c>
      <c r="AP1843">
        <v>-102</v>
      </c>
      <c r="AQ1843">
        <v>-69</v>
      </c>
      <c r="AR1843">
        <v>-704</v>
      </c>
      <c r="AZ1843">
        <v>1200</v>
      </c>
      <c r="BA1843">
        <v>1</v>
      </c>
      <c r="BB1843" t="str">
        <f t="shared" si="989"/>
        <v xml:space="preserve">N9217B  </v>
      </c>
      <c r="BC1843">
        <v>1</v>
      </c>
      <c r="BE1843">
        <v>0</v>
      </c>
      <c r="BF1843">
        <v>0</v>
      </c>
      <c r="BG1843">
        <v>0</v>
      </c>
      <c r="BH1843">
        <v>8225</v>
      </c>
      <c r="BI1843">
        <v>1</v>
      </c>
      <c r="BJ1843">
        <v>0</v>
      </c>
      <c r="BK1843">
        <v>0</v>
      </c>
      <c r="BL1843">
        <v>0</v>
      </c>
      <c r="BO1843">
        <v>0</v>
      </c>
      <c r="BP1843">
        <v>0</v>
      </c>
      <c r="BW1843" t="str">
        <f t="shared" si="1017"/>
        <v>14:53:37.376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285</v>
      </c>
      <c r="CR1843">
        <v>0</v>
      </c>
      <c r="CW1843">
        <v>8858444</v>
      </c>
      <c r="CY1843">
        <v>0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25">
      <c r="A1844" t="str">
        <f t="shared" si="1014"/>
        <v>06/05/2020 14:53:31.747</v>
      </c>
      <c r="C1844" t="str">
        <f t="shared" si="1005"/>
        <v>FFDFD3C0</v>
      </c>
      <c r="D1844" t="s">
        <v>151</v>
      </c>
      <c r="E1844">
        <v>9</v>
      </c>
      <c r="H1844">
        <v>226</v>
      </c>
      <c r="I1844" t="s">
        <v>152</v>
      </c>
      <c r="J1844" t="s">
        <v>150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1015"/>
        <v>14:53:37.375</v>
      </c>
      <c r="T1844" t="str">
        <f t="shared" si="1016"/>
        <v>14:53:37.275</v>
      </c>
      <c r="U1844" t="str">
        <f t="shared" si="987"/>
        <v>ACC530</v>
      </c>
      <c r="V1844">
        <v>0</v>
      </c>
      <c r="W1844">
        <v>0</v>
      </c>
      <c r="X1844">
        <v>1</v>
      </c>
      <c r="Z1844">
        <v>0</v>
      </c>
      <c r="AA1844">
        <v>9</v>
      </c>
      <c r="AB1844">
        <v>3</v>
      </c>
      <c r="AC1844">
        <v>0</v>
      </c>
      <c r="AD1844">
        <v>9</v>
      </c>
      <c r="AE1844">
        <v>0</v>
      </c>
      <c r="AF1844">
        <v>3</v>
      </c>
      <c r="AG1844">
        <v>1</v>
      </c>
      <c r="AH1844">
        <v>0</v>
      </c>
      <c r="AI1844" t="s">
        <v>696</v>
      </c>
      <c r="AJ1844">
        <v>34.181770999999998</v>
      </c>
      <c r="AK1844" t="s">
        <v>697</v>
      </c>
      <c r="AL1844">
        <v>-117.010231</v>
      </c>
      <c r="AM1844">
        <v>100</v>
      </c>
      <c r="AN1844">
        <v>8200</v>
      </c>
      <c r="AO1844" t="s">
        <v>118</v>
      </c>
      <c r="AP1844">
        <v>-102</v>
      </c>
      <c r="AQ1844">
        <v>-69</v>
      </c>
      <c r="AR1844">
        <v>-704</v>
      </c>
      <c r="AZ1844">
        <v>1200</v>
      </c>
      <c r="BA1844">
        <v>1</v>
      </c>
      <c r="BB1844" t="str">
        <f t="shared" si="989"/>
        <v xml:space="preserve">N9217B  </v>
      </c>
      <c r="BC1844">
        <v>1</v>
      </c>
      <c r="BE1844">
        <v>0</v>
      </c>
      <c r="BF1844">
        <v>0</v>
      </c>
      <c r="BG1844">
        <v>0</v>
      </c>
      <c r="BH1844">
        <v>8225</v>
      </c>
      <c r="BI1844">
        <v>1</v>
      </c>
      <c r="BJ1844">
        <v>0</v>
      </c>
      <c r="BK1844">
        <v>0</v>
      </c>
      <c r="BL1844">
        <v>0</v>
      </c>
      <c r="BO1844">
        <v>0</v>
      </c>
      <c r="BP1844">
        <v>0</v>
      </c>
      <c r="BW1844" t="str">
        <f t="shared" si="1017"/>
        <v>14:53:37.376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293</v>
      </c>
      <c r="CR1844">
        <v>1</v>
      </c>
      <c r="CW1844">
        <v>15294056</v>
      </c>
      <c r="CY1844">
        <v>0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25">
      <c r="A1845" t="str">
        <f t="shared" si="1014"/>
        <v>06/05/2020 14:53:31.747</v>
      </c>
      <c r="C1845" t="str">
        <f t="shared" si="1005"/>
        <v>FFDFD3C0</v>
      </c>
      <c r="D1845" t="s">
        <v>148</v>
      </c>
      <c r="E1845">
        <v>8</v>
      </c>
      <c r="H1845">
        <v>50</v>
      </c>
      <c r="I1845" t="s">
        <v>149</v>
      </c>
      <c r="J1845" t="s">
        <v>150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1015"/>
        <v>14:53:37.375</v>
      </c>
      <c r="T1845" t="str">
        <f t="shared" si="1016"/>
        <v>14:53:37.275</v>
      </c>
      <c r="U1845" t="str">
        <f t="shared" si="987"/>
        <v>ACC530</v>
      </c>
      <c r="V1845">
        <v>0</v>
      </c>
      <c r="W1845">
        <v>0</v>
      </c>
      <c r="X1845">
        <v>1</v>
      </c>
      <c r="Z1845">
        <v>0</v>
      </c>
      <c r="AA1845">
        <v>9</v>
      </c>
      <c r="AB1845">
        <v>3</v>
      </c>
      <c r="AC1845">
        <v>0</v>
      </c>
      <c r="AD1845">
        <v>9</v>
      </c>
      <c r="AE1845">
        <v>0</v>
      </c>
      <c r="AF1845">
        <v>3</v>
      </c>
      <c r="AG1845">
        <v>1</v>
      </c>
      <c r="AH1845">
        <v>0</v>
      </c>
      <c r="AI1845" t="s">
        <v>696</v>
      </c>
      <c r="AJ1845">
        <v>34.181770999999998</v>
      </c>
      <c r="AK1845" t="s">
        <v>697</v>
      </c>
      <c r="AL1845">
        <v>-117.010231</v>
      </c>
      <c r="AM1845">
        <v>100</v>
      </c>
      <c r="AN1845">
        <v>8200</v>
      </c>
      <c r="AO1845" t="s">
        <v>118</v>
      </c>
      <c r="AP1845">
        <v>-102</v>
      </c>
      <c r="AQ1845">
        <v>-69</v>
      </c>
      <c r="AR1845">
        <v>-704</v>
      </c>
      <c r="AZ1845">
        <v>1200</v>
      </c>
      <c r="BA1845">
        <v>1</v>
      </c>
      <c r="BB1845" t="str">
        <f t="shared" si="989"/>
        <v xml:space="preserve">N9217B  </v>
      </c>
      <c r="BC1845">
        <v>1</v>
      </c>
      <c r="BE1845">
        <v>0</v>
      </c>
      <c r="BF1845">
        <v>0</v>
      </c>
      <c r="BG1845">
        <v>0</v>
      </c>
      <c r="BH1845">
        <v>8225</v>
      </c>
      <c r="BI1845">
        <v>1</v>
      </c>
      <c r="BJ1845">
        <v>0</v>
      </c>
      <c r="BK1845">
        <v>0</v>
      </c>
      <c r="BL1845">
        <v>0</v>
      </c>
      <c r="BO1845">
        <v>0</v>
      </c>
      <c r="BP1845">
        <v>0</v>
      </c>
      <c r="BW1845" t="str">
        <f t="shared" si="1017"/>
        <v>14:53:37.376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293</v>
      </c>
      <c r="CR1845">
        <v>1</v>
      </c>
      <c r="CW1845">
        <v>15294056</v>
      </c>
      <c r="CY1845">
        <v>0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25">
      <c r="A1846" t="str">
        <f t="shared" si="1014"/>
        <v>06/05/2020 14:53:31.747</v>
      </c>
      <c r="C1846" t="str">
        <f t="shared" si="1005"/>
        <v>FFDFD3C0</v>
      </c>
      <c r="D1846" t="s">
        <v>141</v>
      </c>
      <c r="E1846">
        <v>20</v>
      </c>
      <c r="F1846">
        <v>1020</v>
      </c>
      <c r="G1846" t="s">
        <v>114</v>
      </c>
      <c r="J1846" t="s">
        <v>142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1015"/>
        <v>14:53:37.375</v>
      </c>
      <c r="T1846" t="str">
        <f t="shared" si="1016"/>
        <v>14:53:37.275</v>
      </c>
      <c r="U1846" t="str">
        <f t="shared" si="987"/>
        <v>ACC530</v>
      </c>
      <c r="V1846">
        <v>0</v>
      </c>
      <c r="W1846">
        <v>0</v>
      </c>
      <c r="X1846">
        <v>1</v>
      </c>
      <c r="Z1846">
        <v>0</v>
      </c>
      <c r="AA1846">
        <v>9</v>
      </c>
      <c r="AB1846">
        <v>3</v>
      </c>
      <c r="AC1846">
        <v>0</v>
      </c>
      <c r="AD1846">
        <v>9</v>
      </c>
      <c r="AE1846">
        <v>0</v>
      </c>
      <c r="AF1846">
        <v>3</v>
      </c>
      <c r="AG1846">
        <v>1</v>
      </c>
      <c r="AH1846">
        <v>0</v>
      </c>
      <c r="AI1846" t="s">
        <v>696</v>
      </c>
      <c r="AJ1846">
        <v>34.181770999999998</v>
      </c>
      <c r="AK1846" t="s">
        <v>697</v>
      </c>
      <c r="AL1846">
        <v>-117.010231</v>
      </c>
      <c r="AM1846">
        <v>100</v>
      </c>
      <c r="AN1846">
        <v>8200</v>
      </c>
      <c r="AO1846" t="s">
        <v>118</v>
      </c>
      <c r="AP1846">
        <v>-102</v>
      </c>
      <c r="AQ1846">
        <v>-69</v>
      </c>
      <c r="AR1846">
        <v>-704</v>
      </c>
      <c r="AZ1846">
        <v>1200</v>
      </c>
      <c r="BA1846">
        <v>1</v>
      </c>
      <c r="BB1846" t="str">
        <f t="shared" si="989"/>
        <v xml:space="preserve">N9217B  </v>
      </c>
      <c r="BC1846">
        <v>1</v>
      </c>
      <c r="BE1846">
        <v>0</v>
      </c>
      <c r="BF1846">
        <v>0</v>
      </c>
      <c r="BG1846">
        <v>0</v>
      </c>
      <c r="BH1846">
        <v>8225</v>
      </c>
      <c r="BI1846">
        <v>1</v>
      </c>
      <c r="BJ1846">
        <v>0</v>
      </c>
      <c r="BK1846">
        <v>0</v>
      </c>
      <c r="BL1846">
        <v>0</v>
      </c>
      <c r="BO1846">
        <v>0</v>
      </c>
      <c r="BP1846">
        <v>0</v>
      </c>
      <c r="BW1846" t="str">
        <f t="shared" si="1017"/>
        <v>14:53:37.376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293</v>
      </c>
      <c r="CR1846">
        <v>1</v>
      </c>
      <c r="CW1846">
        <v>15294056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25">
      <c r="A1847" t="str">
        <f t="shared" si="1014"/>
        <v>06/05/2020 14:53:31.747</v>
      </c>
      <c r="C1847" t="str">
        <f t="shared" si="1005"/>
        <v>FFDFD3C0</v>
      </c>
      <c r="D1847" t="s">
        <v>134</v>
      </c>
      <c r="E1847">
        <v>7</v>
      </c>
      <c r="F1847">
        <v>2007</v>
      </c>
      <c r="G1847" t="s">
        <v>135</v>
      </c>
      <c r="J1847" t="s">
        <v>136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1015"/>
        <v>14:53:37.375</v>
      </c>
      <c r="T1847" t="str">
        <f t="shared" si="1016"/>
        <v>14:53:37.275</v>
      </c>
      <c r="U1847" t="str">
        <f t="shared" si="987"/>
        <v>ACC530</v>
      </c>
      <c r="V1847">
        <v>0</v>
      </c>
      <c r="W1847">
        <v>0</v>
      </c>
      <c r="X1847">
        <v>1</v>
      </c>
      <c r="Z1847">
        <v>0</v>
      </c>
      <c r="AA1847">
        <v>9</v>
      </c>
      <c r="AB1847">
        <v>3</v>
      </c>
      <c r="AC1847">
        <v>0</v>
      </c>
      <c r="AD1847">
        <v>9</v>
      </c>
      <c r="AE1847">
        <v>0</v>
      </c>
      <c r="AF1847">
        <v>3</v>
      </c>
      <c r="AG1847">
        <v>1</v>
      </c>
      <c r="AH1847">
        <v>0</v>
      </c>
      <c r="AI1847" t="s">
        <v>696</v>
      </c>
      <c r="AJ1847">
        <v>34.181770999999998</v>
      </c>
      <c r="AK1847" t="s">
        <v>697</v>
      </c>
      <c r="AL1847">
        <v>-117.010231</v>
      </c>
      <c r="AM1847">
        <v>100</v>
      </c>
      <c r="AN1847">
        <v>8200</v>
      </c>
      <c r="AO1847" t="s">
        <v>118</v>
      </c>
      <c r="AP1847">
        <v>-102</v>
      </c>
      <c r="AQ1847">
        <v>-69</v>
      </c>
      <c r="AR1847">
        <v>-704</v>
      </c>
      <c r="AZ1847">
        <v>1200</v>
      </c>
      <c r="BA1847">
        <v>1</v>
      </c>
      <c r="BB1847" t="str">
        <f t="shared" si="989"/>
        <v xml:space="preserve">N9217B  </v>
      </c>
      <c r="BC1847">
        <v>1</v>
      </c>
      <c r="BE1847">
        <v>0</v>
      </c>
      <c r="BF1847">
        <v>0</v>
      </c>
      <c r="BG1847">
        <v>0</v>
      </c>
      <c r="BH1847">
        <v>8225</v>
      </c>
      <c r="BI1847">
        <v>1</v>
      </c>
      <c r="BJ1847">
        <v>0</v>
      </c>
      <c r="BK1847">
        <v>0</v>
      </c>
      <c r="BL1847">
        <v>0</v>
      </c>
      <c r="BO1847">
        <v>0</v>
      </c>
      <c r="BP1847">
        <v>0</v>
      </c>
      <c r="BW1847" t="str">
        <f t="shared" si="1017"/>
        <v>14:53:37.376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293</v>
      </c>
      <c r="CR1847">
        <v>1</v>
      </c>
      <c r="CW1847">
        <v>15294056</v>
      </c>
      <c r="CY1847">
        <v>0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25">
      <c r="A1848" t="str">
        <f t="shared" si="1014"/>
        <v>06/05/2020 14:53:31.747</v>
      </c>
      <c r="C1848" t="str">
        <f t="shared" si="1005"/>
        <v>FFDFD3C0</v>
      </c>
      <c r="D1848" t="s">
        <v>148</v>
      </c>
      <c r="E1848">
        <v>11</v>
      </c>
      <c r="H1848">
        <v>53</v>
      </c>
      <c r="I1848" t="s">
        <v>364</v>
      </c>
      <c r="J1848" t="s">
        <v>150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1015"/>
        <v>14:53:37.375</v>
      </c>
      <c r="T1848" t="str">
        <f t="shared" si="1016"/>
        <v>14:53:37.275</v>
      </c>
      <c r="U1848" t="str">
        <f t="shared" si="987"/>
        <v>ACC530</v>
      </c>
      <c r="V1848">
        <v>0</v>
      </c>
      <c r="W1848">
        <v>0</v>
      </c>
      <c r="X1848">
        <v>1</v>
      </c>
      <c r="Z1848">
        <v>0</v>
      </c>
      <c r="AA1848">
        <v>9</v>
      </c>
      <c r="AB1848">
        <v>3</v>
      </c>
      <c r="AC1848">
        <v>0</v>
      </c>
      <c r="AD1848">
        <v>9</v>
      </c>
      <c r="AE1848">
        <v>0</v>
      </c>
      <c r="AF1848">
        <v>3</v>
      </c>
      <c r="AG1848">
        <v>1</v>
      </c>
      <c r="AH1848">
        <v>0</v>
      </c>
      <c r="AI1848" t="s">
        <v>696</v>
      </c>
      <c r="AJ1848">
        <v>34.181770999999998</v>
      </c>
      <c r="AK1848" t="s">
        <v>697</v>
      </c>
      <c r="AL1848">
        <v>-117.010231</v>
      </c>
      <c r="AM1848">
        <v>100</v>
      </c>
      <c r="AN1848">
        <v>8200</v>
      </c>
      <c r="AO1848" t="s">
        <v>118</v>
      </c>
      <c r="AP1848">
        <v>-102</v>
      </c>
      <c r="AQ1848">
        <v>-69</v>
      </c>
      <c r="AR1848">
        <v>-704</v>
      </c>
      <c r="AZ1848">
        <v>1200</v>
      </c>
      <c r="BA1848">
        <v>1</v>
      </c>
      <c r="BB1848" t="str">
        <f t="shared" si="989"/>
        <v xml:space="preserve">N9217B  </v>
      </c>
      <c r="BC1848">
        <v>1</v>
      </c>
      <c r="BE1848">
        <v>0</v>
      </c>
      <c r="BF1848">
        <v>0</v>
      </c>
      <c r="BG1848">
        <v>0</v>
      </c>
      <c r="BH1848">
        <v>8225</v>
      </c>
      <c r="BI1848">
        <v>1</v>
      </c>
      <c r="BJ1848">
        <v>0</v>
      </c>
      <c r="BK1848">
        <v>0</v>
      </c>
      <c r="BL1848">
        <v>0</v>
      </c>
      <c r="BO1848">
        <v>0</v>
      </c>
      <c r="BP1848">
        <v>0</v>
      </c>
      <c r="BW1848" t="str">
        <f t="shared" si="1017"/>
        <v>14:53:37.376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293</v>
      </c>
      <c r="CR1848">
        <v>1</v>
      </c>
      <c r="CW1848">
        <v>15294056</v>
      </c>
      <c r="CY1848">
        <v>0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25">
      <c r="A1849" t="str">
        <f t="shared" ref="A1849:A1855" si="1018">"06/05/2020 14:53:32.696"</f>
        <v>06/05/2020 14:53:32.696</v>
      </c>
      <c r="C1849" t="str">
        <f t="shared" si="1005"/>
        <v>FFDFD3C0</v>
      </c>
      <c r="D1849" t="s">
        <v>148</v>
      </c>
      <c r="E1849">
        <v>11</v>
      </c>
      <c r="H1849">
        <v>53</v>
      </c>
      <c r="I1849" t="s">
        <v>364</v>
      </c>
      <c r="J1849" t="s">
        <v>150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ref="S1849:T1855" si="1019">"14:53:38.328"</f>
        <v>14:53:38.328</v>
      </c>
      <c r="T1849" t="str">
        <f t="shared" si="1019"/>
        <v>14:53:38.328</v>
      </c>
      <c r="U1849" t="str">
        <f t="shared" si="987"/>
        <v>ACC530</v>
      </c>
      <c r="V1849">
        <v>0</v>
      </c>
      <c r="W1849">
        <v>0</v>
      </c>
      <c r="X1849">
        <v>1</v>
      </c>
      <c r="Z1849">
        <v>0</v>
      </c>
      <c r="AA1849">
        <v>9</v>
      </c>
      <c r="AB1849">
        <v>3</v>
      </c>
      <c r="AC1849">
        <v>0</v>
      </c>
      <c r="AD1849">
        <v>9</v>
      </c>
      <c r="AE1849">
        <v>0</v>
      </c>
      <c r="AF1849">
        <v>3</v>
      </c>
      <c r="AG1849">
        <v>1</v>
      </c>
      <c r="AH1849">
        <v>0</v>
      </c>
      <c r="AI1849" t="s">
        <v>698</v>
      </c>
      <c r="AJ1849">
        <v>34.181491999999999</v>
      </c>
      <c r="AK1849" t="s">
        <v>699</v>
      </c>
      <c r="AL1849">
        <v>-117.010746</v>
      </c>
      <c r="AM1849">
        <v>100</v>
      </c>
      <c r="AN1849">
        <v>8200</v>
      </c>
      <c r="AO1849" t="s">
        <v>118</v>
      </c>
      <c r="AP1849">
        <v>-102</v>
      </c>
      <c r="AQ1849">
        <v>-69</v>
      </c>
      <c r="AR1849">
        <v>-640</v>
      </c>
      <c r="AZ1849">
        <v>1200</v>
      </c>
      <c r="BA1849">
        <v>1</v>
      </c>
      <c r="BB1849" t="str">
        <f t="shared" si="989"/>
        <v xml:space="preserve">N9217B  </v>
      </c>
      <c r="BC1849">
        <v>1</v>
      </c>
      <c r="BE1849">
        <v>0</v>
      </c>
      <c r="BF1849">
        <v>0</v>
      </c>
      <c r="BG1849">
        <v>0</v>
      </c>
      <c r="BH1849">
        <v>8200</v>
      </c>
      <c r="BI1849">
        <v>1</v>
      </c>
      <c r="BJ1849">
        <v>0</v>
      </c>
      <c r="BK1849">
        <v>0</v>
      </c>
      <c r="BL1849">
        <v>0</v>
      </c>
      <c r="BO1849">
        <v>0</v>
      </c>
      <c r="BP1849">
        <v>0</v>
      </c>
      <c r="BW1849" t="str">
        <f t="shared" ref="BW1849:BW1855" si="1020">"14:53:38.336"</f>
        <v>14:53:38.336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293</v>
      </c>
      <c r="CR1849">
        <v>1</v>
      </c>
      <c r="CW1849">
        <v>15294157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25">
      <c r="A1850" t="str">
        <f t="shared" si="1018"/>
        <v>06/05/2020 14:53:32.696</v>
      </c>
      <c r="C1850" t="str">
        <f t="shared" si="1005"/>
        <v>FFDFD3C0</v>
      </c>
      <c r="D1850" t="s">
        <v>151</v>
      </c>
      <c r="E1850">
        <v>8</v>
      </c>
      <c r="H1850">
        <v>225</v>
      </c>
      <c r="I1850" t="s">
        <v>353</v>
      </c>
      <c r="J1850" t="s">
        <v>150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1019"/>
        <v>14:53:38.328</v>
      </c>
      <c r="T1850" t="str">
        <f t="shared" si="1019"/>
        <v>14:53:38.328</v>
      </c>
      <c r="U1850" t="str">
        <f t="shared" si="987"/>
        <v>ACC530</v>
      </c>
      <c r="V1850">
        <v>0</v>
      </c>
      <c r="W1850">
        <v>0</v>
      </c>
      <c r="X1850">
        <v>1</v>
      </c>
      <c r="Z1850">
        <v>0</v>
      </c>
      <c r="AA1850">
        <v>9</v>
      </c>
      <c r="AB1850">
        <v>3</v>
      </c>
      <c r="AC1850">
        <v>0</v>
      </c>
      <c r="AD1850">
        <v>9</v>
      </c>
      <c r="AE1850">
        <v>0</v>
      </c>
      <c r="AF1850">
        <v>3</v>
      </c>
      <c r="AG1850">
        <v>1</v>
      </c>
      <c r="AH1850">
        <v>0</v>
      </c>
      <c r="AI1850" t="s">
        <v>698</v>
      </c>
      <c r="AJ1850">
        <v>34.181491999999999</v>
      </c>
      <c r="AK1850" t="s">
        <v>699</v>
      </c>
      <c r="AL1850">
        <v>-117.010746</v>
      </c>
      <c r="AM1850">
        <v>100</v>
      </c>
      <c r="AN1850">
        <v>8200</v>
      </c>
      <c r="AO1850" t="s">
        <v>118</v>
      </c>
      <c r="AP1850">
        <v>-102</v>
      </c>
      <c r="AQ1850">
        <v>-69</v>
      </c>
      <c r="AR1850">
        <v>-640</v>
      </c>
      <c r="AZ1850">
        <v>1200</v>
      </c>
      <c r="BA1850">
        <v>1</v>
      </c>
      <c r="BB1850" t="str">
        <f t="shared" si="989"/>
        <v xml:space="preserve">N9217B  </v>
      </c>
      <c r="BC1850">
        <v>1</v>
      </c>
      <c r="BE1850">
        <v>0</v>
      </c>
      <c r="BF1850">
        <v>0</v>
      </c>
      <c r="BG1850">
        <v>0</v>
      </c>
      <c r="BH1850">
        <v>8200</v>
      </c>
      <c r="BI1850">
        <v>1</v>
      </c>
      <c r="BJ1850">
        <v>0</v>
      </c>
      <c r="BK1850">
        <v>0</v>
      </c>
      <c r="BL1850">
        <v>0</v>
      </c>
      <c r="BO1850">
        <v>0</v>
      </c>
      <c r="BP1850">
        <v>0</v>
      </c>
      <c r="BW1850" t="str">
        <f t="shared" si="1020"/>
        <v>14:53:38.336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285</v>
      </c>
      <c r="CR1850">
        <v>0</v>
      </c>
      <c r="CW1850">
        <v>8858526</v>
      </c>
      <c r="CY1850">
        <v>0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25">
      <c r="A1851" t="str">
        <f t="shared" si="1018"/>
        <v>06/05/2020 14:53:32.696</v>
      </c>
      <c r="C1851" t="str">
        <f t="shared" si="1005"/>
        <v>FFDFD3C0</v>
      </c>
      <c r="D1851" t="s">
        <v>113</v>
      </c>
      <c r="E1851">
        <v>3</v>
      </c>
      <c r="H1851">
        <v>166</v>
      </c>
      <c r="I1851" t="s">
        <v>114</v>
      </c>
      <c r="J1851" t="s">
        <v>115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1019"/>
        <v>14:53:38.328</v>
      </c>
      <c r="T1851" t="str">
        <f t="shared" si="1019"/>
        <v>14:53:38.328</v>
      </c>
      <c r="U1851" t="str">
        <f t="shared" si="987"/>
        <v>ACC530</v>
      </c>
      <c r="V1851">
        <v>0</v>
      </c>
      <c r="W1851">
        <v>0</v>
      </c>
      <c r="X1851">
        <v>1</v>
      </c>
      <c r="Z1851">
        <v>0</v>
      </c>
      <c r="AA1851">
        <v>9</v>
      </c>
      <c r="AB1851">
        <v>3</v>
      </c>
      <c r="AC1851">
        <v>0</v>
      </c>
      <c r="AD1851">
        <v>9</v>
      </c>
      <c r="AE1851">
        <v>0</v>
      </c>
      <c r="AF1851">
        <v>3</v>
      </c>
      <c r="AG1851">
        <v>1</v>
      </c>
      <c r="AH1851">
        <v>0</v>
      </c>
      <c r="AI1851" t="s">
        <v>698</v>
      </c>
      <c r="AJ1851">
        <v>34.181491999999999</v>
      </c>
      <c r="AK1851" t="s">
        <v>699</v>
      </c>
      <c r="AL1851">
        <v>-117.010746</v>
      </c>
      <c r="AM1851">
        <v>100</v>
      </c>
      <c r="AN1851">
        <v>8200</v>
      </c>
      <c r="AO1851" t="s">
        <v>118</v>
      </c>
      <c r="AP1851">
        <v>-102</v>
      </c>
      <c r="AQ1851">
        <v>-69</v>
      </c>
      <c r="AR1851">
        <v>-640</v>
      </c>
      <c r="AZ1851">
        <v>1200</v>
      </c>
      <c r="BA1851">
        <v>1</v>
      </c>
      <c r="BB1851" t="str">
        <f t="shared" si="989"/>
        <v xml:space="preserve">N9217B  </v>
      </c>
      <c r="BC1851">
        <v>1</v>
      </c>
      <c r="BE1851">
        <v>0</v>
      </c>
      <c r="BF1851">
        <v>0</v>
      </c>
      <c r="BG1851">
        <v>0</v>
      </c>
      <c r="BH1851">
        <v>8200</v>
      </c>
      <c r="BI1851">
        <v>1</v>
      </c>
      <c r="BJ1851">
        <v>0</v>
      </c>
      <c r="BK1851">
        <v>0</v>
      </c>
      <c r="BL1851">
        <v>0</v>
      </c>
      <c r="BO1851">
        <v>0</v>
      </c>
      <c r="BP1851">
        <v>0</v>
      </c>
      <c r="BW1851" t="str">
        <f t="shared" si="1020"/>
        <v>14:53:38.336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293</v>
      </c>
      <c r="CR1851">
        <v>1</v>
      </c>
      <c r="CW1851">
        <v>15294157</v>
      </c>
      <c r="CY1851">
        <v>0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25">
      <c r="A1852" t="str">
        <f t="shared" si="1018"/>
        <v>06/05/2020 14:53:32.696</v>
      </c>
      <c r="C1852" t="str">
        <f t="shared" si="1005"/>
        <v>FFDFD3C0</v>
      </c>
      <c r="D1852" t="s">
        <v>151</v>
      </c>
      <c r="E1852">
        <v>9</v>
      </c>
      <c r="H1852">
        <v>226</v>
      </c>
      <c r="I1852" t="s">
        <v>152</v>
      </c>
      <c r="J1852" t="s">
        <v>150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1019"/>
        <v>14:53:38.328</v>
      </c>
      <c r="T1852" t="str">
        <f t="shared" si="1019"/>
        <v>14:53:38.328</v>
      </c>
      <c r="U1852" t="str">
        <f t="shared" si="987"/>
        <v>ACC530</v>
      </c>
      <c r="V1852">
        <v>0</v>
      </c>
      <c r="W1852">
        <v>0</v>
      </c>
      <c r="X1852">
        <v>1</v>
      </c>
      <c r="Z1852">
        <v>0</v>
      </c>
      <c r="AA1852">
        <v>9</v>
      </c>
      <c r="AB1852">
        <v>3</v>
      </c>
      <c r="AC1852">
        <v>0</v>
      </c>
      <c r="AD1852">
        <v>9</v>
      </c>
      <c r="AE1852">
        <v>0</v>
      </c>
      <c r="AF1852">
        <v>3</v>
      </c>
      <c r="AG1852">
        <v>1</v>
      </c>
      <c r="AH1852">
        <v>0</v>
      </c>
      <c r="AI1852" t="s">
        <v>698</v>
      </c>
      <c r="AJ1852">
        <v>34.181491999999999</v>
      </c>
      <c r="AK1852" t="s">
        <v>699</v>
      </c>
      <c r="AL1852">
        <v>-117.010746</v>
      </c>
      <c r="AM1852">
        <v>100</v>
      </c>
      <c r="AN1852">
        <v>8200</v>
      </c>
      <c r="AO1852" t="s">
        <v>118</v>
      </c>
      <c r="AP1852">
        <v>-102</v>
      </c>
      <c r="AQ1852">
        <v>-69</v>
      </c>
      <c r="AR1852">
        <v>-640</v>
      </c>
      <c r="AZ1852">
        <v>1200</v>
      </c>
      <c r="BA1852">
        <v>1</v>
      </c>
      <c r="BB1852" t="str">
        <f t="shared" si="989"/>
        <v xml:space="preserve">N9217B  </v>
      </c>
      <c r="BC1852">
        <v>1</v>
      </c>
      <c r="BE1852">
        <v>0</v>
      </c>
      <c r="BF1852">
        <v>0</v>
      </c>
      <c r="BG1852">
        <v>0</v>
      </c>
      <c r="BH1852">
        <v>8200</v>
      </c>
      <c r="BI1852">
        <v>1</v>
      </c>
      <c r="BJ1852">
        <v>0</v>
      </c>
      <c r="BK1852">
        <v>0</v>
      </c>
      <c r="BL1852">
        <v>0</v>
      </c>
      <c r="BO1852">
        <v>0</v>
      </c>
      <c r="BP1852">
        <v>0</v>
      </c>
      <c r="BW1852" t="str">
        <f t="shared" si="1020"/>
        <v>14:53:38.336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293</v>
      </c>
      <c r="CR1852">
        <v>1</v>
      </c>
      <c r="CW1852">
        <v>15294157</v>
      </c>
      <c r="CY1852">
        <v>0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25">
      <c r="A1853" t="str">
        <f t="shared" si="1018"/>
        <v>06/05/2020 14:53:32.696</v>
      </c>
      <c r="C1853" t="str">
        <f t="shared" si="1005"/>
        <v>FFDFD3C0</v>
      </c>
      <c r="D1853" t="s">
        <v>141</v>
      </c>
      <c r="E1853">
        <v>20</v>
      </c>
      <c r="F1853">
        <v>1020</v>
      </c>
      <c r="G1853" t="s">
        <v>114</v>
      </c>
      <c r="J1853" t="s">
        <v>142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1019"/>
        <v>14:53:38.328</v>
      </c>
      <c r="T1853" t="str">
        <f t="shared" si="1019"/>
        <v>14:53:38.328</v>
      </c>
      <c r="U1853" t="str">
        <f t="shared" si="987"/>
        <v>ACC530</v>
      </c>
      <c r="V1853">
        <v>0</v>
      </c>
      <c r="W1853">
        <v>0</v>
      </c>
      <c r="X1853">
        <v>1</v>
      </c>
      <c r="Z1853">
        <v>0</v>
      </c>
      <c r="AA1853">
        <v>9</v>
      </c>
      <c r="AB1853">
        <v>3</v>
      </c>
      <c r="AC1853">
        <v>0</v>
      </c>
      <c r="AD1853">
        <v>9</v>
      </c>
      <c r="AE1853">
        <v>0</v>
      </c>
      <c r="AF1853">
        <v>3</v>
      </c>
      <c r="AG1853">
        <v>1</v>
      </c>
      <c r="AH1853">
        <v>0</v>
      </c>
      <c r="AI1853" t="s">
        <v>698</v>
      </c>
      <c r="AJ1853">
        <v>34.181491999999999</v>
      </c>
      <c r="AK1853" t="s">
        <v>699</v>
      </c>
      <c r="AL1853">
        <v>-117.010746</v>
      </c>
      <c r="AM1853">
        <v>100</v>
      </c>
      <c r="AN1853">
        <v>8200</v>
      </c>
      <c r="AO1853" t="s">
        <v>118</v>
      </c>
      <c r="AP1853">
        <v>-102</v>
      </c>
      <c r="AQ1853">
        <v>-69</v>
      </c>
      <c r="AR1853">
        <v>-640</v>
      </c>
      <c r="AZ1853">
        <v>1200</v>
      </c>
      <c r="BA1853">
        <v>1</v>
      </c>
      <c r="BB1853" t="str">
        <f t="shared" si="989"/>
        <v xml:space="preserve">N9217B  </v>
      </c>
      <c r="BC1853">
        <v>1</v>
      </c>
      <c r="BE1853">
        <v>0</v>
      </c>
      <c r="BF1853">
        <v>0</v>
      </c>
      <c r="BG1853">
        <v>0</v>
      </c>
      <c r="BH1853">
        <v>8200</v>
      </c>
      <c r="BI1853">
        <v>1</v>
      </c>
      <c r="BJ1853">
        <v>0</v>
      </c>
      <c r="BK1853">
        <v>0</v>
      </c>
      <c r="BL1853">
        <v>0</v>
      </c>
      <c r="BO1853">
        <v>0</v>
      </c>
      <c r="BP1853">
        <v>0</v>
      </c>
      <c r="BW1853" t="str">
        <f t="shared" si="1020"/>
        <v>14:53:38.336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293</v>
      </c>
      <c r="CR1853">
        <v>1</v>
      </c>
      <c r="CW1853">
        <v>15294157</v>
      </c>
      <c r="CY1853">
        <v>0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25">
      <c r="A1854" t="str">
        <f t="shared" si="1018"/>
        <v>06/05/2020 14:53:32.696</v>
      </c>
      <c r="C1854" t="str">
        <f t="shared" si="1005"/>
        <v>FFDFD3C0</v>
      </c>
      <c r="D1854" t="s">
        <v>148</v>
      </c>
      <c r="E1854">
        <v>8</v>
      </c>
      <c r="H1854">
        <v>50</v>
      </c>
      <c r="I1854" t="s">
        <v>149</v>
      </c>
      <c r="J1854" t="s">
        <v>150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1019"/>
        <v>14:53:38.328</v>
      </c>
      <c r="T1854" t="str">
        <f t="shared" si="1019"/>
        <v>14:53:38.328</v>
      </c>
      <c r="U1854" t="str">
        <f t="shared" si="987"/>
        <v>ACC530</v>
      </c>
      <c r="V1854">
        <v>0</v>
      </c>
      <c r="W1854">
        <v>0</v>
      </c>
      <c r="X1854">
        <v>1</v>
      </c>
      <c r="Z1854">
        <v>0</v>
      </c>
      <c r="AA1854">
        <v>9</v>
      </c>
      <c r="AB1854">
        <v>3</v>
      </c>
      <c r="AC1854">
        <v>0</v>
      </c>
      <c r="AD1854">
        <v>9</v>
      </c>
      <c r="AE1854">
        <v>0</v>
      </c>
      <c r="AF1854">
        <v>3</v>
      </c>
      <c r="AG1854">
        <v>1</v>
      </c>
      <c r="AH1854">
        <v>0</v>
      </c>
      <c r="AI1854" t="s">
        <v>698</v>
      </c>
      <c r="AJ1854">
        <v>34.181491999999999</v>
      </c>
      <c r="AK1854" t="s">
        <v>699</v>
      </c>
      <c r="AL1854">
        <v>-117.010746</v>
      </c>
      <c r="AM1854">
        <v>100</v>
      </c>
      <c r="AN1854">
        <v>8200</v>
      </c>
      <c r="AO1854" t="s">
        <v>118</v>
      </c>
      <c r="AP1854">
        <v>-102</v>
      </c>
      <c r="AQ1854">
        <v>-69</v>
      </c>
      <c r="AR1854">
        <v>-640</v>
      </c>
      <c r="AZ1854">
        <v>1200</v>
      </c>
      <c r="BA1854">
        <v>1</v>
      </c>
      <c r="BB1854" t="str">
        <f t="shared" si="989"/>
        <v xml:space="preserve">N9217B  </v>
      </c>
      <c r="BC1854">
        <v>1</v>
      </c>
      <c r="BE1854">
        <v>0</v>
      </c>
      <c r="BF1854">
        <v>0</v>
      </c>
      <c r="BG1854">
        <v>0</v>
      </c>
      <c r="BH1854">
        <v>8200</v>
      </c>
      <c r="BI1854">
        <v>1</v>
      </c>
      <c r="BJ1854">
        <v>0</v>
      </c>
      <c r="BK1854">
        <v>0</v>
      </c>
      <c r="BL1854">
        <v>0</v>
      </c>
      <c r="BO1854">
        <v>0</v>
      </c>
      <c r="BP1854">
        <v>0</v>
      </c>
      <c r="BW1854" t="str">
        <f t="shared" si="1020"/>
        <v>14:53:38.336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293</v>
      </c>
      <c r="CR1854">
        <v>1</v>
      </c>
      <c r="CW1854">
        <v>15294157</v>
      </c>
      <c r="CY1854">
        <v>0</v>
      </c>
      <c r="CZ1854">
        <v>0</v>
      </c>
      <c r="DA1854">
        <v>1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25">
      <c r="A1855" t="str">
        <f t="shared" si="1018"/>
        <v>06/05/2020 14:53:32.696</v>
      </c>
      <c r="C1855" t="str">
        <f t="shared" si="1005"/>
        <v>FFDFD3C0</v>
      </c>
      <c r="D1855" t="s">
        <v>134</v>
      </c>
      <c r="E1855">
        <v>7</v>
      </c>
      <c r="F1855">
        <v>2007</v>
      </c>
      <c r="G1855" t="s">
        <v>135</v>
      </c>
      <c r="J1855" t="s">
        <v>136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1019"/>
        <v>14:53:38.328</v>
      </c>
      <c r="T1855" t="str">
        <f t="shared" si="1019"/>
        <v>14:53:38.328</v>
      </c>
      <c r="U1855" t="str">
        <f t="shared" si="987"/>
        <v>ACC530</v>
      </c>
      <c r="V1855">
        <v>0</v>
      </c>
      <c r="W1855">
        <v>0</v>
      </c>
      <c r="X1855">
        <v>1</v>
      </c>
      <c r="Z1855">
        <v>0</v>
      </c>
      <c r="AA1855">
        <v>9</v>
      </c>
      <c r="AB1855">
        <v>3</v>
      </c>
      <c r="AC1855">
        <v>0</v>
      </c>
      <c r="AD1855">
        <v>9</v>
      </c>
      <c r="AE1855">
        <v>0</v>
      </c>
      <c r="AF1855">
        <v>3</v>
      </c>
      <c r="AG1855">
        <v>1</v>
      </c>
      <c r="AH1855">
        <v>0</v>
      </c>
      <c r="AI1855" t="s">
        <v>698</v>
      </c>
      <c r="AJ1855">
        <v>34.181491999999999</v>
      </c>
      <c r="AK1855" t="s">
        <v>699</v>
      </c>
      <c r="AL1855">
        <v>-117.010746</v>
      </c>
      <c r="AM1855">
        <v>100</v>
      </c>
      <c r="AN1855">
        <v>8200</v>
      </c>
      <c r="AO1855" t="s">
        <v>118</v>
      </c>
      <c r="AP1855">
        <v>-102</v>
      </c>
      <c r="AQ1855">
        <v>-69</v>
      </c>
      <c r="AR1855">
        <v>-640</v>
      </c>
      <c r="AZ1855">
        <v>1200</v>
      </c>
      <c r="BA1855">
        <v>1</v>
      </c>
      <c r="BB1855" t="str">
        <f t="shared" si="989"/>
        <v xml:space="preserve">N9217B  </v>
      </c>
      <c r="BC1855">
        <v>1</v>
      </c>
      <c r="BE1855">
        <v>0</v>
      </c>
      <c r="BF1855">
        <v>0</v>
      </c>
      <c r="BG1855">
        <v>0</v>
      </c>
      <c r="BH1855">
        <v>8200</v>
      </c>
      <c r="BI1855">
        <v>1</v>
      </c>
      <c r="BJ1855">
        <v>0</v>
      </c>
      <c r="BK1855">
        <v>0</v>
      </c>
      <c r="BL1855">
        <v>0</v>
      </c>
      <c r="BO1855">
        <v>0</v>
      </c>
      <c r="BP1855">
        <v>0</v>
      </c>
      <c r="BW1855" t="str">
        <f t="shared" si="1020"/>
        <v>14:53:38.336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293</v>
      </c>
      <c r="CR1855">
        <v>1</v>
      </c>
      <c r="CW1855">
        <v>15294157</v>
      </c>
      <c r="CY1855">
        <v>0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25">
      <c r="A1856" t="str">
        <f t="shared" ref="A1856:A1862" si="1021">"06/05/2020 14:53:33.657"</f>
        <v>06/05/2020 14:53:33.657</v>
      </c>
      <c r="C1856" t="str">
        <f t="shared" si="1005"/>
        <v>FFDFD3C0</v>
      </c>
      <c r="D1856" t="s">
        <v>148</v>
      </c>
      <c r="E1856">
        <v>11</v>
      </c>
      <c r="H1856">
        <v>53</v>
      </c>
      <c r="I1856" t="s">
        <v>364</v>
      </c>
      <c r="J1856" t="s">
        <v>150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ref="S1856:T1862" si="1022">"14:53:39.320"</f>
        <v>14:53:39.320</v>
      </c>
      <c r="T1856" t="str">
        <f t="shared" si="1022"/>
        <v>14:53:39.320</v>
      </c>
      <c r="U1856" t="str">
        <f t="shared" si="987"/>
        <v>ACC530</v>
      </c>
      <c r="V1856">
        <v>0</v>
      </c>
      <c r="W1856">
        <v>0</v>
      </c>
      <c r="X1856">
        <v>1</v>
      </c>
      <c r="Z1856">
        <v>0</v>
      </c>
      <c r="AA1856">
        <v>9</v>
      </c>
      <c r="AB1856">
        <v>3</v>
      </c>
      <c r="AC1856">
        <v>0</v>
      </c>
      <c r="AD1856">
        <v>9</v>
      </c>
      <c r="AE1856">
        <v>0</v>
      </c>
      <c r="AF1856">
        <v>3</v>
      </c>
      <c r="AG1856">
        <v>1</v>
      </c>
      <c r="AH1856">
        <v>0</v>
      </c>
      <c r="AI1856" t="s">
        <v>700</v>
      </c>
      <c r="AJ1856">
        <v>34.181170000000002</v>
      </c>
      <c r="AK1856" t="s">
        <v>701</v>
      </c>
      <c r="AL1856">
        <v>-117.01128199999999</v>
      </c>
      <c r="AM1856">
        <v>100</v>
      </c>
      <c r="AN1856">
        <v>8200</v>
      </c>
      <c r="AO1856" t="s">
        <v>118</v>
      </c>
      <c r="AP1856">
        <v>-101</v>
      </c>
      <c r="AQ1856">
        <v>-69</v>
      </c>
      <c r="AR1856">
        <v>-576</v>
      </c>
      <c r="AZ1856">
        <v>1200</v>
      </c>
      <c r="BA1856">
        <v>1</v>
      </c>
      <c r="BB1856" t="str">
        <f t="shared" si="989"/>
        <v xml:space="preserve">N9217B  </v>
      </c>
      <c r="BC1856">
        <v>1</v>
      </c>
      <c r="BE1856">
        <v>0</v>
      </c>
      <c r="BF1856">
        <v>0</v>
      </c>
      <c r="BG1856">
        <v>0</v>
      </c>
      <c r="BH1856">
        <v>8200</v>
      </c>
      <c r="BI1856">
        <v>1</v>
      </c>
      <c r="BJ1856">
        <v>0</v>
      </c>
      <c r="BK1856">
        <v>0</v>
      </c>
      <c r="BL1856">
        <v>0</v>
      </c>
      <c r="BO1856">
        <v>0</v>
      </c>
      <c r="BP1856">
        <v>0</v>
      </c>
      <c r="BW1856" t="str">
        <f t="shared" ref="BW1856:BW1862" si="1023">"14:53:39.326"</f>
        <v>14:53:39.326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293</v>
      </c>
      <c r="CR1856">
        <v>1</v>
      </c>
      <c r="CW1856">
        <v>15294278</v>
      </c>
      <c r="CY1856">
        <v>0</v>
      </c>
      <c r="CZ1856">
        <v>0</v>
      </c>
      <c r="DA1856">
        <v>0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25">
      <c r="A1857" t="str">
        <f t="shared" si="1021"/>
        <v>06/05/2020 14:53:33.657</v>
      </c>
      <c r="C1857" t="str">
        <f t="shared" si="1005"/>
        <v>FFDFD3C0</v>
      </c>
      <c r="D1857" t="s">
        <v>151</v>
      </c>
      <c r="E1857">
        <v>8</v>
      </c>
      <c r="H1857">
        <v>225</v>
      </c>
      <c r="I1857" t="s">
        <v>353</v>
      </c>
      <c r="J1857" t="s">
        <v>150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1022"/>
        <v>14:53:39.320</v>
      </c>
      <c r="T1857" t="str">
        <f t="shared" si="1022"/>
        <v>14:53:39.320</v>
      </c>
      <c r="U1857" t="str">
        <f t="shared" si="987"/>
        <v>ACC530</v>
      </c>
      <c r="V1857">
        <v>0</v>
      </c>
      <c r="W1857">
        <v>0</v>
      </c>
      <c r="X1857">
        <v>1</v>
      </c>
      <c r="Z1857">
        <v>0</v>
      </c>
      <c r="AA1857">
        <v>9</v>
      </c>
      <c r="AB1857">
        <v>3</v>
      </c>
      <c r="AC1857">
        <v>0</v>
      </c>
      <c r="AD1857">
        <v>9</v>
      </c>
      <c r="AE1857">
        <v>0</v>
      </c>
      <c r="AF1857">
        <v>3</v>
      </c>
      <c r="AG1857">
        <v>1</v>
      </c>
      <c r="AH1857">
        <v>0</v>
      </c>
      <c r="AI1857" t="s">
        <v>700</v>
      </c>
      <c r="AJ1857">
        <v>34.181170000000002</v>
      </c>
      <c r="AK1857" t="s">
        <v>701</v>
      </c>
      <c r="AL1857">
        <v>-117.01128199999999</v>
      </c>
      <c r="AM1857">
        <v>100</v>
      </c>
      <c r="AN1857">
        <v>8200</v>
      </c>
      <c r="AO1857" t="s">
        <v>118</v>
      </c>
      <c r="AP1857">
        <v>-101</v>
      </c>
      <c r="AQ1857">
        <v>-69</v>
      </c>
      <c r="AR1857">
        <v>-576</v>
      </c>
      <c r="AZ1857">
        <v>1200</v>
      </c>
      <c r="BA1857">
        <v>1</v>
      </c>
      <c r="BB1857" t="str">
        <f t="shared" si="989"/>
        <v xml:space="preserve">N9217B  </v>
      </c>
      <c r="BC1857">
        <v>1</v>
      </c>
      <c r="BE1857">
        <v>0</v>
      </c>
      <c r="BF1857">
        <v>0</v>
      </c>
      <c r="BG1857">
        <v>0</v>
      </c>
      <c r="BH1857">
        <v>8200</v>
      </c>
      <c r="BI1857">
        <v>1</v>
      </c>
      <c r="BJ1857">
        <v>0</v>
      </c>
      <c r="BK1857">
        <v>0</v>
      </c>
      <c r="BL1857">
        <v>0</v>
      </c>
      <c r="BO1857">
        <v>0</v>
      </c>
      <c r="BP1857">
        <v>0</v>
      </c>
      <c r="BW1857" t="str">
        <f t="shared" si="1023"/>
        <v>14:53:39.326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6</v>
      </c>
      <c r="CP1857" t="s">
        <v>119</v>
      </c>
      <c r="CQ1857">
        <v>285</v>
      </c>
      <c r="CR1857">
        <v>0</v>
      </c>
      <c r="CW1857">
        <v>8858609</v>
      </c>
      <c r="CY1857">
        <v>0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25">
      <c r="A1858" t="str">
        <f t="shared" si="1021"/>
        <v>06/05/2020 14:53:33.657</v>
      </c>
      <c r="C1858" t="str">
        <f t="shared" si="1005"/>
        <v>FFDFD3C0</v>
      </c>
      <c r="D1858" t="s">
        <v>113</v>
      </c>
      <c r="E1858">
        <v>3</v>
      </c>
      <c r="H1858">
        <v>166</v>
      </c>
      <c r="I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1022"/>
        <v>14:53:39.320</v>
      </c>
      <c r="T1858" t="str">
        <f t="shared" si="1022"/>
        <v>14:53:39.320</v>
      </c>
      <c r="U1858" t="str">
        <f t="shared" ref="U1858:U1921" si="1024">"ACC530"</f>
        <v>ACC530</v>
      </c>
      <c r="V1858">
        <v>0</v>
      </c>
      <c r="W1858">
        <v>0</v>
      </c>
      <c r="X1858">
        <v>1</v>
      </c>
      <c r="Z1858">
        <v>0</v>
      </c>
      <c r="AA1858">
        <v>9</v>
      </c>
      <c r="AB1858">
        <v>3</v>
      </c>
      <c r="AC1858">
        <v>0</v>
      </c>
      <c r="AD1858">
        <v>9</v>
      </c>
      <c r="AE1858">
        <v>0</v>
      </c>
      <c r="AF1858">
        <v>3</v>
      </c>
      <c r="AG1858">
        <v>1</v>
      </c>
      <c r="AH1858">
        <v>0</v>
      </c>
      <c r="AI1858" t="s">
        <v>700</v>
      </c>
      <c r="AJ1858">
        <v>34.181170000000002</v>
      </c>
      <c r="AK1858" t="s">
        <v>701</v>
      </c>
      <c r="AL1858">
        <v>-117.01128199999999</v>
      </c>
      <c r="AM1858">
        <v>100</v>
      </c>
      <c r="AN1858">
        <v>8200</v>
      </c>
      <c r="AO1858" t="s">
        <v>118</v>
      </c>
      <c r="AP1858">
        <v>-101</v>
      </c>
      <c r="AQ1858">
        <v>-69</v>
      </c>
      <c r="AR1858">
        <v>-576</v>
      </c>
      <c r="AZ1858">
        <v>1200</v>
      </c>
      <c r="BA1858">
        <v>1</v>
      </c>
      <c r="BB1858" t="str">
        <f t="shared" si="989"/>
        <v xml:space="preserve">N9217B  </v>
      </c>
      <c r="BC1858">
        <v>1</v>
      </c>
      <c r="BE1858">
        <v>0</v>
      </c>
      <c r="BF1858">
        <v>0</v>
      </c>
      <c r="BG1858">
        <v>0</v>
      </c>
      <c r="BH1858">
        <v>8200</v>
      </c>
      <c r="BI1858">
        <v>1</v>
      </c>
      <c r="BJ1858">
        <v>0</v>
      </c>
      <c r="BK1858">
        <v>0</v>
      </c>
      <c r="BL1858">
        <v>0</v>
      </c>
      <c r="BO1858">
        <v>0</v>
      </c>
      <c r="BP1858">
        <v>0</v>
      </c>
      <c r="BW1858" t="str">
        <f t="shared" si="1023"/>
        <v>14:53:39.326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293</v>
      </c>
      <c r="CR1858">
        <v>1</v>
      </c>
      <c r="CW1858">
        <v>15294278</v>
      </c>
      <c r="CY1858">
        <v>0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25">
      <c r="A1859" t="str">
        <f t="shared" si="1021"/>
        <v>06/05/2020 14:53:33.657</v>
      </c>
      <c r="C1859" t="str">
        <f t="shared" si="1005"/>
        <v>FFDFD3C0</v>
      </c>
      <c r="D1859" t="s">
        <v>141</v>
      </c>
      <c r="E1859">
        <v>20</v>
      </c>
      <c r="F1859">
        <v>1020</v>
      </c>
      <c r="G1859" t="s">
        <v>114</v>
      </c>
      <c r="J1859" t="s">
        <v>142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1022"/>
        <v>14:53:39.320</v>
      </c>
      <c r="T1859" t="str">
        <f t="shared" si="1022"/>
        <v>14:53:39.320</v>
      </c>
      <c r="U1859" t="str">
        <f t="shared" si="1024"/>
        <v>ACC530</v>
      </c>
      <c r="V1859">
        <v>0</v>
      </c>
      <c r="W1859">
        <v>0</v>
      </c>
      <c r="X1859">
        <v>1</v>
      </c>
      <c r="Z1859">
        <v>0</v>
      </c>
      <c r="AA1859">
        <v>9</v>
      </c>
      <c r="AB1859">
        <v>3</v>
      </c>
      <c r="AC1859">
        <v>0</v>
      </c>
      <c r="AD1859">
        <v>9</v>
      </c>
      <c r="AE1859">
        <v>0</v>
      </c>
      <c r="AF1859">
        <v>3</v>
      </c>
      <c r="AG1859">
        <v>1</v>
      </c>
      <c r="AH1859">
        <v>0</v>
      </c>
      <c r="AI1859" t="s">
        <v>700</v>
      </c>
      <c r="AJ1859">
        <v>34.181170000000002</v>
      </c>
      <c r="AK1859" t="s">
        <v>701</v>
      </c>
      <c r="AL1859">
        <v>-117.01128199999999</v>
      </c>
      <c r="AM1859">
        <v>100</v>
      </c>
      <c r="AN1859">
        <v>8200</v>
      </c>
      <c r="AO1859" t="s">
        <v>118</v>
      </c>
      <c r="AP1859">
        <v>-101</v>
      </c>
      <c r="AQ1859">
        <v>-69</v>
      </c>
      <c r="AR1859">
        <v>-576</v>
      </c>
      <c r="AZ1859">
        <v>1200</v>
      </c>
      <c r="BA1859">
        <v>1</v>
      </c>
      <c r="BB1859" t="str">
        <f t="shared" si="989"/>
        <v xml:space="preserve">N9217B  </v>
      </c>
      <c r="BC1859">
        <v>1</v>
      </c>
      <c r="BE1859">
        <v>0</v>
      </c>
      <c r="BF1859">
        <v>0</v>
      </c>
      <c r="BG1859">
        <v>0</v>
      </c>
      <c r="BH1859">
        <v>8200</v>
      </c>
      <c r="BI1859">
        <v>1</v>
      </c>
      <c r="BJ1859">
        <v>0</v>
      </c>
      <c r="BK1859">
        <v>0</v>
      </c>
      <c r="BL1859">
        <v>0</v>
      </c>
      <c r="BO1859">
        <v>0</v>
      </c>
      <c r="BP1859">
        <v>0</v>
      </c>
      <c r="BW1859" t="str">
        <f t="shared" si="1023"/>
        <v>14:53:39.326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293</v>
      </c>
      <c r="CR1859">
        <v>1</v>
      </c>
      <c r="CW1859">
        <v>15294278</v>
      </c>
      <c r="CY1859">
        <v>0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25">
      <c r="A1860" t="str">
        <f t="shared" si="1021"/>
        <v>06/05/2020 14:53:33.657</v>
      </c>
      <c r="C1860" t="str">
        <f t="shared" si="1005"/>
        <v>FFDFD3C0</v>
      </c>
      <c r="D1860" t="s">
        <v>151</v>
      </c>
      <c r="E1860">
        <v>9</v>
      </c>
      <c r="H1860">
        <v>226</v>
      </c>
      <c r="I1860" t="s">
        <v>152</v>
      </c>
      <c r="J1860" t="s">
        <v>150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1022"/>
        <v>14:53:39.320</v>
      </c>
      <c r="T1860" t="str">
        <f t="shared" si="1022"/>
        <v>14:53:39.320</v>
      </c>
      <c r="U1860" t="str">
        <f t="shared" si="1024"/>
        <v>ACC530</v>
      </c>
      <c r="V1860">
        <v>0</v>
      </c>
      <c r="W1860">
        <v>0</v>
      </c>
      <c r="X1860">
        <v>1</v>
      </c>
      <c r="Z1860">
        <v>0</v>
      </c>
      <c r="AA1860">
        <v>9</v>
      </c>
      <c r="AB1860">
        <v>3</v>
      </c>
      <c r="AC1860">
        <v>0</v>
      </c>
      <c r="AD1860">
        <v>9</v>
      </c>
      <c r="AE1860">
        <v>0</v>
      </c>
      <c r="AF1860">
        <v>3</v>
      </c>
      <c r="AG1860">
        <v>1</v>
      </c>
      <c r="AH1860">
        <v>0</v>
      </c>
      <c r="AI1860" t="s">
        <v>700</v>
      </c>
      <c r="AJ1860">
        <v>34.181170000000002</v>
      </c>
      <c r="AK1860" t="s">
        <v>701</v>
      </c>
      <c r="AL1860">
        <v>-117.01128199999999</v>
      </c>
      <c r="AM1860">
        <v>100</v>
      </c>
      <c r="AN1860">
        <v>8200</v>
      </c>
      <c r="AO1860" t="s">
        <v>118</v>
      </c>
      <c r="AP1860">
        <v>-101</v>
      </c>
      <c r="AQ1860">
        <v>-69</v>
      </c>
      <c r="AR1860">
        <v>-576</v>
      </c>
      <c r="AZ1860">
        <v>1200</v>
      </c>
      <c r="BA1860">
        <v>1</v>
      </c>
      <c r="BB1860" t="str">
        <f t="shared" si="989"/>
        <v xml:space="preserve">N9217B  </v>
      </c>
      <c r="BC1860">
        <v>1</v>
      </c>
      <c r="BE1860">
        <v>0</v>
      </c>
      <c r="BF1860">
        <v>0</v>
      </c>
      <c r="BG1860">
        <v>0</v>
      </c>
      <c r="BH1860">
        <v>8200</v>
      </c>
      <c r="BI1860">
        <v>1</v>
      </c>
      <c r="BJ1860">
        <v>0</v>
      </c>
      <c r="BK1860">
        <v>0</v>
      </c>
      <c r="BL1860">
        <v>0</v>
      </c>
      <c r="BO1860">
        <v>0</v>
      </c>
      <c r="BP1860">
        <v>0</v>
      </c>
      <c r="BW1860" t="str">
        <f t="shared" si="1023"/>
        <v>14:53:39.326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293</v>
      </c>
      <c r="CR1860">
        <v>1</v>
      </c>
      <c r="CW1860">
        <v>15294278</v>
      </c>
      <c r="CY1860">
        <v>0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25">
      <c r="A1861" t="str">
        <f t="shared" si="1021"/>
        <v>06/05/2020 14:53:33.657</v>
      </c>
      <c r="C1861" t="str">
        <f t="shared" si="1005"/>
        <v>FFDFD3C0</v>
      </c>
      <c r="D1861" t="s">
        <v>148</v>
      </c>
      <c r="E1861">
        <v>8</v>
      </c>
      <c r="H1861">
        <v>50</v>
      </c>
      <c r="I1861" t="s">
        <v>149</v>
      </c>
      <c r="J1861" t="s">
        <v>150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1022"/>
        <v>14:53:39.320</v>
      </c>
      <c r="T1861" t="str">
        <f t="shared" si="1022"/>
        <v>14:53:39.320</v>
      </c>
      <c r="U1861" t="str">
        <f t="shared" si="1024"/>
        <v>ACC530</v>
      </c>
      <c r="V1861">
        <v>0</v>
      </c>
      <c r="W1861">
        <v>0</v>
      </c>
      <c r="X1861">
        <v>1</v>
      </c>
      <c r="Z1861">
        <v>0</v>
      </c>
      <c r="AA1861">
        <v>9</v>
      </c>
      <c r="AB1861">
        <v>3</v>
      </c>
      <c r="AC1861">
        <v>0</v>
      </c>
      <c r="AD1861">
        <v>9</v>
      </c>
      <c r="AE1861">
        <v>0</v>
      </c>
      <c r="AF1861">
        <v>3</v>
      </c>
      <c r="AG1861">
        <v>1</v>
      </c>
      <c r="AH1861">
        <v>0</v>
      </c>
      <c r="AI1861" t="s">
        <v>700</v>
      </c>
      <c r="AJ1861">
        <v>34.181170000000002</v>
      </c>
      <c r="AK1861" t="s">
        <v>701</v>
      </c>
      <c r="AL1861">
        <v>-117.01128199999999</v>
      </c>
      <c r="AM1861">
        <v>100</v>
      </c>
      <c r="AN1861">
        <v>8200</v>
      </c>
      <c r="AO1861" t="s">
        <v>118</v>
      </c>
      <c r="AP1861">
        <v>-101</v>
      </c>
      <c r="AQ1861">
        <v>-69</v>
      </c>
      <c r="AR1861">
        <v>-576</v>
      </c>
      <c r="AZ1861">
        <v>1200</v>
      </c>
      <c r="BA1861">
        <v>1</v>
      </c>
      <c r="BB1861" t="str">
        <f t="shared" ref="BB1861:BB1924" si="1025">"N9217B  "</f>
        <v xml:space="preserve">N9217B  </v>
      </c>
      <c r="BC1861">
        <v>1</v>
      </c>
      <c r="BE1861">
        <v>0</v>
      </c>
      <c r="BF1861">
        <v>0</v>
      </c>
      <c r="BG1861">
        <v>0</v>
      </c>
      <c r="BH1861">
        <v>8200</v>
      </c>
      <c r="BI1861">
        <v>1</v>
      </c>
      <c r="BJ1861">
        <v>0</v>
      </c>
      <c r="BK1861">
        <v>0</v>
      </c>
      <c r="BL1861">
        <v>0</v>
      </c>
      <c r="BO1861">
        <v>0</v>
      </c>
      <c r="BP1861">
        <v>0</v>
      </c>
      <c r="BW1861" t="str">
        <f t="shared" si="1023"/>
        <v>14:53:39.326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293</v>
      </c>
      <c r="CR1861">
        <v>1</v>
      </c>
      <c r="CW1861">
        <v>15294278</v>
      </c>
      <c r="CY1861">
        <v>0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25">
      <c r="A1862" t="str">
        <f t="shared" si="1021"/>
        <v>06/05/2020 14:53:33.657</v>
      </c>
      <c r="C1862" t="str">
        <f t="shared" si="1005"/>
        <v>FFDFD3C0</v>
      </c>
      <c r="D1862" t="s">
        <v>134</v>
      </c>
      <c r="E1862">
        <v>7</v>
      </c>
      <c r="F1862">
        <v>2007</v>
      </c>
      <c r="G1862" t="s">
        <v>135</v>
      </c>
      <c r="J1862" t="s">
        <v>136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1022"/>
        <v>14:53:39.320</v>
      </c>
      <c r="T1862" t="str">
        <f t="shared" si="1022"/>
        <v>14:53:39.320</v>
      </c>
      <c r="U1862" t="str">
        <f t="shared" si="1024"/>
        <v>ACC530</v>
      </c>
      <c r="V1862">
        <v>0</v>
      </c>
      <c r="W1862">
        <v>0</v>
      </c>
      <c r="X1862">
        <v>1</v>
      </c>
      <c r="Z1862">
        <v>0</v>
      </c>
      <c r="AA1862">
        <v>9</v>
      </c>
      <c r="AB1862">
        <v>3</v>
      </c>
      <c r="AC1862">
        <v>0</v>
      </c>
      <c r="AD1862">
        <v>9</v>
      </c>
      <c r="AE1862">
        <v>0</v>
      </c>
      <c r="AF1862">
        <v>3</v>
      </c>
      <c r="AG1862">
        <v>1</v>
      </c>
      <c r="AH1862">
        <v>0</v>
      </c>
      <c r="AI1862" t="s">
        <v>700</v>
      </c>
      <c r="AJ1862">
        <v>34.181170000000002</v>
      </c>
      <c r="AK1862" t="s">
        <v>701</v>
      </c>
      <c r="AL1862">
        <v>-117.01128199999999</v>
      </c>
      <c r="AM1862">
        <v>100</v>
      </c>
      <c r="AN1862">
        <v>8200</v>
      </c>
      <c r="AO1862" t="s">
        <v>118</v>
      </c>
      <c r="AP1862">
        <v>-101</v>
      </c>
      <c r="AQ1862">
        <v>-69</v>
      </c>
      <c r="AR1862">
        <v>-576</v>
      </c>
      <c r="AZ1862">
        <v>1200</v>
      </c>
      <c r="BA1862">
        <v>1</v>
      </c>
      <c r="BB1862" t="str">
        <f t="shared" si="1025"/>
        <v xml:space="preserve">N9217B  </v>
      </c>
      <c r="BC1862">
        <v>1</v>
      </c>
      <c r="BE1862">
        <v>0</v>
      </c>
      <c r="BF1862">
        <v>0</v>
      </c>
      <c r="BG1862">
        <v>0</v>
      </c>
      <c r="BH1862">
        <v>8200</v>
      </c>
      <c r="BI1862">
        <v>1</v>
      </c>
      <c r="BJ1862">
        <v>0</v>
      </c>
      <c r="BK1862">
        <v>0</v>
      </c>
      <c r="BL1862">
        <v>0</v>
      </c>
      <c r="BO1862">
        <v>0</v>
      </c>
      <c r="BP1862">
        <v>0</v>
      </c>
      <c r="BW1862" t="str">
        <f t="shared" si="1023"/>
        <v>14:53:39.326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293</v>
      </c>
      <c r="CR1862">
        <v>1</v>
      </c>
      <c r="CW1862">
        <v>15294278</v>
      </c>
      <c r="CY1862">
        <v>0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25">
      <c r="A1863" t="str">
        <f t="shared" ref="A1863:A1869" si="1026">"06/05/2020 14:53:34.704"</f>
        <v>06/05/2020 14:53:34.704</v>
      </c>
      <c r="C1863" t="str">
        <f t="shared" si="1005"/>
        <v>FFDFD3C0</v>
      </c>
      <c r="D1863" t="s">
        <v>134</v>
      </c>
      <c r="E1863">
        <v>7</v>
      </c>
      <c r="F1863">
        <v>2007</v>
      </c>
      <c r="G1863" t="s">
        <v>135</v>
      </c>
      <c r="J1863" t="s">
        <v>136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ref="S1863:S1869" si="1027">"14:53:40.359"</f>
        <v>14:53:40.359</v>
      </c>
      <c r="T1863" t="str">
        <f t="shared" ref="T1863:T1869" si="1028">"14:53:39.959"</f>
        <v>14:53:39.959</v>
      </c>
      <c r="U1863" t="str">
        <f t="shared" si="1024"/>
        <v>ACC530</v>
      </c>
      <c r="V1863">
        <v>0</v>
      </c>
      <c r="W1863">
        <v>0</v>
      </c>
      <c r="X1863">
        <v>1</v>
      </c>
      <c r="Z1863">
        <v>0</v>
      </c>
      <c r="AA1863">
        <v>9</v>
      </c>
      <c r="AB1863">
        <v>3</v>
      </c>
      <c r="AC1863">
        <v>0</v>
      </c>
      <c r="AD1863">
        <v>9</v>
      </c>
      <c r="AE1863">
        <v>0</v>
      </c>
      <c r="AF1863">
        <v>3</v>
      </c>
      <c r="AG1863">
        <v>1</v>
      </c>
      <c r="AH1863">
        <v>0</v>
      </c>
      <c r="AI1863" t="s">
        <v>702</v>
      </c>
      <c r="AJ1863">
        <v>34.180805999999997</v>
      </c>
      <c r="AK1863" t="s">
        <v>703</v>
      </c>
      <c r="AL1863">
        <v>-117.011905</v>
      </c>
      <c r="AM1863">
        <v>100</v>
      </c>
      <c r="AN1863">
        <v>8200</v>
      </c>
      <c r="AO1863" t="s">
        <v>118</v>
      </c>
      <c r="AP1863">
        <v>-101</v>
      </c>
      <c r="AQ1863">
        <v>-69</v>
      </c>
      <c r="AR1863">
        <v>-640</v>
      </c>
      <c r="AZ1863">
        <v>1200</v>
      </c>
      <c r="BA1863">
        <v>1</v>
      </c>
      <c r="BB1863" t="str">
        <f t="shared" si="1025"/>
        <v xml:space="preserve">N9217B  </v>
      </c>
      <c r="BC1863">
        <v>1</v>
      </c>
      <c r="BE1863">
        <v>0</v>
      </c>
      <c r="BF1863">
        <v>0</v>
      </c>
      <c r="BG1863">
        <v>0</v>
      </c>
      <c r="BH1863">
        <v>8200</v>
      </c>
      <c r="BI1863">
        <v>1</v>
      </c>
      <c r="BJ1863">
        <v>0</v>
      </c>
      <c r="BK1863">
        <v>0</v>
      </c>
      <c r="BL1863">
        <v>0</v>
      </c>
      <c r="BO1863">
        <v>0</v>
      </c>
      <c r="BP1863">
        <v>0</v>
      </c>
      <c r="BW1863" t="str">
        <f t="shared" ref="BW1863:BW1869" si="1029">"14:53:40.361"</f>
        <v>14:53:40.361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293</v>
      </c>
      <c r="CR1863">
        <v>1</v>
      </c>
      <c r="CW1863">
        <v>15294396</v>
      </c>
      <c r="CY1863">
        <v>0</v>
      </c>
      <c r="CZ1863">
        <v>0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25">
      <c r="A1864" t="str">
        <f t="shared" si="1026"/>
        <v>06/05/2020 14:53:34.704</v>
      </c>
      <c r="C1864" t="str">
        <f t="shared" si="1005"/>
        <v>FFDFD3C0</v>
      </c>
      <c r="D1864" t="s">
        <v>148</v>
      </c>
      <c r="E1864">
        <v>11</v>
      </c>
      <c r="H1864">
        <v>53</v>
      </c>
      <c r="I1864" t="s">
        <v>364</v>
      </c>
      <c r="J1864" t="s">
        <v>150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1027"/>
        <v>14:53:40.359</v>
      </c>
      <c r="T1864" t="str">
        <f t="shared" si="1028"/>
        <v>14:53:39.959</v>
      </c>
      <c r="U1864" t="str">
        <f t="shared" si="1024"/>
        <v>ACC530</v>
      </c>
      <c r="V1864">
        <v>0</v>
      </c>
      <c r="W1864">
        <v>0</v>
      </c>
      <c r="X1864">
        <v>1</v>
      </c>
      <c r="Z1864">
        <v>0</v>
      </c>
      <c r="AA1864">
        <v>9</v>
      </c>
      <c r="AB1864">
        <v>3</v>
      </c>
      <c r="AC1864">
        <v>0</v>
      </c>
      <c r="AD1864">
        <v>9</v>
      </c>
      <c r="AE1864">
        <v>0</v>
      </c>
      <c r="AF1864">
        <v>3</v>
      </c>
      <c r="AG1864">
        <v>1</v>
      </c>
      <c r="AH1864">
        <v>0</v>
      </c>
      <c r="AI1864" t="s">
        <v>702</v>
      </c>
      <c r="AJ1864">
        <v>34.180805999999997</v>
      </c>
      <c r="AK1864" t="s">
        <v>703</v>
      </c>
      <c r="AL1864">
        <v>-117.011905</v>
      </c>
      <c r="AM1864">
        <v>100</v>
      </c>
      <c r="AN1864">
        <v>8200</v>
      </c>
      <c r="AO1864" t="s">
        <v>118</v>
      </c>
      <c r="AP1864">
        <v>-101</v>
      </c>
      <c r="AQ1864">
        <v>-69</v>
      </c>
      <c r="AR1864">
        <v>-640</v>
      </c>
      <c r="AZ1864">
        <v>1200</v>
      </c>
      <c r="BA1864">
        <v>1</v>
      </c>
      <c r="BB1864" t="str">
        <f t="shared" si="1025"/>
        <v xml:space="preserve">N9217B  </v>
      </c>
      <c r="BC1864">
        <v>1</v>
      </c>
      <c r="BE1864">
        <v>0</v>
      </c>
      <c r="BF1864">
        <v>0</v>
      </c>
      <c r="BG1864">
        <v>0</v>
      </c>
      <c r="BH1864">
        <v>8200</v>
      </c>
      <c r="BI1864">
        <v>1</v>
      </c>
      <c r="BJ1864">
        <v>0</v>
      </c>
      <c r="BK1864">
        <v>0</v>
      </c>
      <c r="BL1864">
        <v>0</v>
      </c>
      <c r="BO1864">
        <v>0</v>
      </c>
      <c r="BP1864">
        <v>0</v>
      </c>
      <c r="BW1864" t="str">
        <f t="shared" si="1029"/>
        <v>14:53:40.361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293</v>
      </c>
      <c r="CR1864">
        <v>1</v>
      </c>
      <c r="CW1864">
        <v>15294396</v>
      </c>
      <c r="CY1864">
        <v>0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25">
      <c r="A1865" t="str">
        <f t="shared" si="1026"/>
        <v>06/05/2020 14:53:34.704</v>
      </c>
      <c r="C1865" t="str">
        <f t="shared" si="1005"/>
        <v>FFDFD3C0</v>
      </c>
      <c r="D1865" t="s">
        <v>113</v>
      </c>
      <c r="E1865">
        <v>3</v>
      </c>
      <c r="H1865">
        <v>166</v>
      </c>
      <c r="I1865" t="s">
        <v>114</v>
      </c>
      <c r="J1865" t="s">
        <v>115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1027"/>
        <v>14:53:40.359</v>
      </c>
      <c r="T1865" t="str">
        <f t="shared" si="1028"/>
        <v>14:53:39.959</v>
      </c>
      <c r="U1865" t="str">
        <f t="shared" si="1024"/>
        <v>ACC530</v>
      </c>
      <c r="V1865">
        <v>0</v>
      </c>
      <c r="W1865">
        <v>0</v>
      </c>
      <c r="X1865">
        <v>1</v>
      </c>
      <c r="Z1865">
        <v>0</v>
      </c>
      <c r="AA1865">
        <v>9</v>
      </c>
      <c r="AB1865">
        <v>3</v>
      </c>
      <c r="AC1865">
        <v>0</v>
      </c>
      <c r="AD1865">
        <v>9</v>
      </c>
      <c r="AE1865">
        <v>0</v>
      </c>
      <c r="AF1865">
        <v>3</v>
      </c>
      <c r="AG1865">
        <v>1</v>
      </c>
      <c r="AH1865">
        <v>0</v>
      </c>
      <c r="AI1865" t="s">
        <v>702</v>
      </c>
      <c r="AJ1865">
        <v>34.180805999999997</v>
      </c>
      <c r="AK1865" t="s">
        <v>703</v>
      </c>
      <c r="AL1865">
        <v>-117.011905</v>
      </c>
      <c r="AM1865">
        <v>100</v>
      </c>
      <c r="AN1865">
        <v>8200</v>
      </c>
      <c r="AO1865" t="s">
        <v>118</v>
      </c>
      <c r="AP1865">
        <v>-101</v>
      </c>
      <c r="AQ1865">
        <v>-69</v>
      </c>
      <c r="AR1865">
        <v>-640</v>
      </c>
      <c r="AZ1865">
        <v>1200</v>
      </c>
      <c r="BA1865">
        <v>1</v>
      </c>
      <c r="BB1865" t="str">
        <f t="shared" si="1025"/>
        <v xml:space="preserve">N9217B  </v>
      </c>
      <c r="BC1865">
        <v>1</v>
      </c>
      <c r="BE1865">
        <v>0</v>
      </c>
      <c r="BF1865">
        <v>0</v>
      </c>
      <c r="BG1865">
        <v>0</v>
      </c>
      <c r="BH1865">
        <v>8200</v>
      </c>
      <c r="BI1865">
        <v>1</v>
      </c>
      <c r="BJ1865">
        <v>0</v>
      </c>
      <c r="BK1865">
        <v>0</v>
      </c>
      <c r="BL1865">
        <v>0</v>
      </c>
      <c r="BO1865">
        <v>0</v>
      </c>
      <c r="BP1865">
        <v>0</v>
      </c>
      <c r="BW1865" t="str">
        <f t="shared" si="1029"/>
        <v>14:53:40.361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293</v>
      </c>
      <c r="CR1865">
        <v>1</v>
      </c>
      <c r="CW1865">
        <v>15294396</v>
      </c>
      <c r="CY1865">
        <v>0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25">
      <c r="A1866" t="str">
        <f t="shared" si="1026"/>
        <v>06/05/2020 14:53:34.704</v>
      </c>
      <c r="C1866" t="str">
        <f t="shared" si="1005"/>
        <v>FFDFD3C0</v>
      </c>
      <c r="D1866" t="s">
        <v>141</v>
      </c>
      <c r="E1866">
        <v>20</v>
      </c>
      <c r="F1866">
        <v>1020</v>
      </c>
      <c r="G1866" t="s">
        <v>114</v>
      </c>
      <c r="J1866" t="s">
        <v>142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1027"/>
        <v>14:53:40.359</v>
      </c>
      <c r="T1866" t="str">
        <f t="shared" si="1028"/>
        <v>14:53:39.959</v>
      </c>
      <c r="U1866" t="str">
        <f t="shared" si="1024"/>
        <v>ACC530</v>
      </c>
      <c r="V1866">
        <v>0</v>
      </c>
      <c r="W1866">
        <v>0</v>
      </c>
      <c r="X1866">
        <v>1</v>
      </c>
      <c r="Z1866">
        <v>0</v>
      </c>
      <c r="AA1866">
        <v>9</v>
      </c>
      <c r="AB1866">
        <v>3</v>
      </c>
      <c r="AC1866">
        <v>0</v>
      </c>
      <c r="AD1866">
        <v>9</v>
      </c>
      <c r="AE1866">
        <v>0</v>
      </c>
      <c r="AF1866">
        <v>3</v>
      </c>
      <c r="AG1866">
        <v>1</v>
      </c>
      <c r="AH1866">
        <v>0</v>
      </c>
      <c r="AI1866" t="s">
        <v>702</v>
      </c>
      <c r="AJ1866">
        <v>34.180805999999997</v>
      </c>
      <c r="AK1866" t="s">
        <v>703</v>
      </c>
      <c r="AL1866">
        <v>-117.011905</v>
      </c>
      <c r="AM1866">
        <v>100</v>
      </c>
      <c r="AN1866">
        <v>8200</v>
      </c>
      <c r="AO1866" t="s">
        <v>118</v>
      </c>
      <c r="AP1866">
        <v>-101</v>
      </c>
      <c r="AQ1866">
        <v>-69</v>
      </c>
      <c r="AR1866">
        <v>-640</v>
      </c>
      <c r="AZ1866">
        <v>1200</v>
      </c>
      <c r="BA1866">
        <v>1</v>
      </c>
      <c r="BB1866" t="str">
        <f t="shared" si="1025"/>
        <v xml:space="preserve">N9217B  </v>
      </c>
      <c r="BC1866">
        <v>1</v>
      </c>
      <c r="BE1866">
        <v>0</v>
      </c>
      <c r="BF1866">
        <v>0</v>
      </c>
      <c r="BG1866">
        <v>0</v>
      </c>
      <c r="BH1866">
        <v>8200</v>
      </c>
      <c r="BI1866">
        <v>1</v>
      </c>
      <c r="BJ1866">
        <v>0</v>
      </c>
      <c r="BK1866">
        <v>0</v>
      </c>
      <c r="BL1866">
        <v>0</v>
      </c>
      <c r="BO1866">
        <v>0</v>
      </c>
      <c r="BP1866">
        <v>0</v>
      </c>
      <c r="BW1866" t="str">
        <f t="shared" si="1029"/>
        <v>14:53:40.361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293</v>
      </c>
      <c r="CR1866">
        <v>1</v>
      </c>
      <c r="CW1866">
        <v>15294396</v>
      </c>
      <c r="CY1866">
        <v>0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25">
      <c r="A1867" t="str">
        <f t="shared" si="1026"/>
        <v>06/05/2020 14:53:34.704</v>
      </c>
      <c r="C1867" t="str">
        <f t="shared" si="1005"/>
        <v>FFDFD3C0</v>
      </c>
      <c r="D1867" t="s">
        <v>151</v>
      </c>
      <c r="E1867">
        <v>8</v>
      </c>
      <c r="H1867">
        <v>225</v>
      </c>
      <c r="I1867" t="s">
        <v>353</v>
      </c>
      <c r="J1867" t="s">
        <v>150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1027"/>
        <v>14:53:40.359</v>
      </c>
      <c r="T1867" t="str">
        <f t="shared" si="1028"/>
        <v>14:53:39.959</v>
      </c>
      <c r="U1867" t="str">
        <f t="shared" si="1024"/>
        <v>ACC530</v>
      </c>
      <c r="V1867">
        <v>0</v>
      </c>
      <c r="W1867">
        <v>0</v>
      </c>
      <c r="X1867">
        <v>1</v>
      </c>
      <c r="Z1867">
        <v>0</v>
      </c>
      <c r="AA1867">
        <v>9</v>
      </c>
      <c r="AB1867">
        <v>3</v>
      </c>
      <c r="AC1867">
        <v>0</v>
      </c>
      <c r="AD1867">
        <v>9</v>
      </c>
      <c r="AE1867">
        <v>0</v>
      </c>
      <c r="AF1867">
        <v>3</v>
      </c>
      <c r="AG1867">
        <v>1</v>
      </c>
      <c r="AH1867">
        <v>0</v>
      </c>
      <c r="AI1867" t="s">
        <v>702</v>
      </c>
      <c r="AJ1867">
        <v>34.180805999999997</v>
      </c>
      <c r="AK1867" t="s">
        <v>703</v>
      </c>
      <c r="AL1867">
        <v>-117.011905</v>
      </c>
      <c r="AM1867">
        <v>100</v>
      </c>
      <c r="AN1867">
        <v>8200</v>
      </c>
      <c r="AO1867" t="s">
        <v>118</v>
      </c>
      <c r="AP1867">
        <v>-101</v>
      </c>
      <c r="AQ1867">
        <v>-69</v>
      </c>
      <c r="AR1867">
        <v>-640</v>
      </c>
      <c r="AZ1867">
        <v>1200</v>
      </c>
      <c r="BA1867">
        <v>1</v>
      </c>
      <c r="BB1867" t="str">
        <f t="shared" si="1025"/>
        <v xml:space="preserve">N9217B  </v>
      </c>
      <c r="BC1867">
        <v>1</v>
      </c>
      <c r="BE1867">
        <v>0</v>
      </c>
      <c r="BF1867">
        <v>0</v>
      </c>
      <c r="BG1867">
        <v>0</v>
      </c>
      <c r="BH1867">
        <v>8200</v>
      </c>
      <c r="BI1867">
        <v>1</v>
      </c>
      <c r="BJ1867">
        <v>0</v>
      </c>
      <c r="BK1867">
        <v>0</v>
      </c>
      <c r="BL1867">
        <v>0</v>
      </c>
      <c r="BO1867">
        <v>0</v>
      </c>
      <c r="BP1867">
        <v>0</v>
      </c>
      <c r="BW1867" t="str">
        <f t="shared" si="1029"/>
        <v>14:53:40.361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6</v>
      </c>
      <c r="CP1867" t="s">
        <v>119</v>
      </c>
      <c r="CQ1867">
        <v>285</v>
      </c>
      <c r="CR1867">
        <v>0</v>
      </c>
      <c r="CW1867">
        <v>8858698</v>
      </c>
      <c r="CY1867">
        <v>0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25">
      <c r="A1868" t="str">
        <f t="shared" si="1026"/>
        <v>06/05/2020 14:53:34.704</v>
      </c>
      <c r="C1868" t="str">
        <f t="shared" si="1005"/>
        <v>FFDFD3C0</v>
      </c>
      <c r="D1868" t="s">
        <v>151</v>
      </c>
      <c r="E1868">
        <v>9</v>
      </c>
      <c r="H1868">
        <v>226</v>
      </c>
      <c r="I1868" t="s">
        <v>152</v>
      </c>
      <c r="J1868" t="s">
        <v>150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1027"/>
        <v>14:53:40.359</v>
      </c>
      <c r="T1868" t="str">
        <f t="shared" si="1028"/>
        <v>14:53:39.959</v>
      </c>
      <c r="U1868" t="str">
        <f t="shared" si="1024"/>
        <v>ACC530</v>
      </c>
      <c r="V1868">
        <v>0</v>
      </c>
      <c r="W1868">
        <v>0</v>
      </c>
      <c r="X1868">
        <v>1</v>
      </c>
      <c r="Z1868">
        <v>0</v>
      </c>
      <c r="AA1868">
        <v>9</v>
      </c>
      <c r="AB1868">
        <v>3</v>
      </c>
      <c r="AC1868">
        <v>0</v>
      </c>
      <c r="AD1868">
        <v>9</v>
      </c>
      <c r="AE1868">
        <v>0</v>
      </c>
      <c r="AF1868">
        <v>3</v>
      </c>
      <c r="AG1868">
        <v>1</v>
      </c>
      <c r="AH1868">
        <v>0</v>
      </c>
      <c r="AI1868" t="s">
        <v>702</v>
      </c>
      <c r="AJ1868">
        <v>34.180805999999997</v>
      </c>
      <c r="AK1868" t="s">
        <v>703</v>
      </c>
      <c r="AL1868">
        <v>-117.011905</v>
      </c>
      <c r="AM1868">
        <v>100</v>
      </c>
      <c r="AN1868">
        <v>8200</v>
      </c>
      <c r="AO1868" t="s">
        <v>118</v>
      </c>
      <c r="AP1868">
        <v>-101</v>
      </c>
      <c r="AQ1868">
        <v>-69</v>
      </c>
      <c r="AR1868">
        <v>-640</v>
      </c>
      <c r="AZ1868">
        <v>1200</v>
      </c>
      <c r="BA1868">
        <v>1</v>
      </c>
      <c r="BB1868" t="str">
        <f t="shared" si="1025"/>
        <v xml:space="preserve">N9217B  </v>
      </c>
      <c r="BC1868">
        <v>1</v>
      </c>
      <c r="BE1868">
        <v>0</v>
      </c>
      <c r="BF1868">
        <v>0</v>
      </c>
      <c r="BG1868">
        <v>0</v>
      </c>
      <c r="BH1868">
        <v>8200</v>
      </c>
      <c r="BI1868">
        <v>1</v>
      </c>
      <c r="BJ1868">
        <v>0</v>
      </c>
      <c r="BK1868">
        <v>0</v>
      </c>
      <c r="BL1868">
        <v>0</v>
      </c>
      <c r="BO1868">
        <v>0</v>
      </c>
      <c r="BP1868">
        <v>0</v>
      </c>
      <c r="BW1868" t="str">
        <f t="shared" si="1029"/>
        <v>14:53:40.361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293</v>
      </c>
      <c r="CR1868">
        <v>1</v>
      </c>
      <c r="CW1868">
        <v>15294396</v>
      </c>
      <c r="CY1868">
        <v>0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25">
      <c r="A1869" t="str">
        <f t="shared" si="1026"/>
        <v>06/05/2020 14:53:34.704</v>
      </c>
      <c r="C1869" t="str">
        <f t="shared" si="1005"/>
        <v>FFDFD3C0</v>
      </c>
      <c r="D1869" t="s">
        <v>148</v>
      </c>
      <c r="E1869">
        <v>8</v>
      </c>
      <c r="H1869">
        <v>50</v>
      </c>
      <c r="I1869" t="s">
        <v>149</v>
      </c>
      <c r="J1869" t="s">
        <v>150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1027"/>
        <v>14:53:40.359</v>
      </c>
      <c r="T1869" t="str">
        <f t="shared" si="1028"/>
        <v>14:53:39.959</v>
      </c>
      <c r="U1869" t="str">
        <f t="shared" si="1024"/>
        <v>ACC530</v>
      </c>
      <c r="V1869">
        <v>0</v>
      </c>
      <c r="W1869">
        <v>0</v>
      </c>
      <c r="X1869">
        <v>1</v>
      </c>
      <c r="Z1869">
        <v>0</v>
      </c>
      <c r="AA1869">
        <v>9</v>
      </c>
      <c r="AB1869">
        <v>3</v>
      </c>
      <c r="AC1869">
        <v>0</v>
      </c>
      <c r="AD1869">
        <v>9</v>
      </c>
      <c r="AE1869">
        <v>0</v>
      </c>
      <c r="AF1869">
        <v>3</v>
      </c>
      <c r="AG1869">
        <v>1</v>
      </c>
      <c r="AH1869">
        <v>0</v>
      </c>
      <c r="AI1869" t="s">
        <v>702</v>
      </c>
      <c r="AJ1869">
        <v>34.180805999999997</v>
      </c>
      <c r="AK1869" t="s">
        <v>703</v>
      </c>
      <c r="AL1869">
        <v>-117.011905</v>
      </c>
      <c r="AM1869">
        <v>100</v>
      </c>
      <c r="AN1869">
        <v>8200</v>
      </c>
      <c r="AO1869" t="s">
        <v>118</v>
      </c>
      <c r="AP1869">
        <v>-101</v>
      </c>
      <c r="AQ1869">
        <v>-69</v>
      </c>
      <c r="AR1869">
        <v>-640</v>
      </c>
      <c r="AZ1869">
        <v>1200</v>
      </c>
      <c r="BA1869">
        <v>1</v>
      </c>
      <c r="BB1869" t="str">
        <f t="shared" si="1025"/>
        <v xml:space="preserve">N9217B  </v>
      </c>
      <c r="BC1869">
        <v>1</v>
      </c>
      <c r="BE1869">
        <v>0</v>
      </c>
      <c r="BF1869">
        <v>0</v>
      </c>
      <c r="BG1869">
        <v>0</v>
      </c>
      <c r="BH1869">
        <v>8200</v>
      </c>
      <c r="BI1869">
        <v>1</v>
      </c>
      <c r="BJ1869">
        <v>0</v>
      </c>
      <c r="BK1869">
        <v>0</v>
      </c>
      <c r="BL1869">
        <v>0</v>
      </c>
      <c r="BO1869">
        <v>0</v>
      </c>
      <c r="BP1869">
        <v>0</v>
      </c>
      <c r="BW1869" t="str">
        <f t="shared" si="1029"/>
        <v>14:53:40.361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293</v>
      </c>
      <c r="CR1869">
        <v>1</v>
      </c>
      <c r="CW1869">
        <v>15294396</v>
      </c>
      <c r="CY1869">
        <v>0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25">
      <c r="A1870" t="str">
        <f t="shared" ref="A1870:A1876" si="1030">"06/05/2020 14:53:35.782"</f>
        <v>06/05/2020 14:53:35.782</v>
      </c>
      <c r="C1870" t="str">
        <f t="shared" si="1005"/>
        <v>FFDFD3C0</v>
      </c>
      <c r="D1870" t="s">
        <v>148</v>
      </c>
      <c r="E1870">
        <v>11</v>
      </c>
      <c r="H1870">
        <v>53</v>
      </c>
      <c r="I1870" t="s">
        <v>364</v>
      </c>
      <c r="J1870" t="s">
        <v>150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ref="S1870:S1876" si="1031">"14:53:41.438"</f>
        <v>14:53:41.438</v>
      </c>
      <c r="T1870" t="str">
        <f t="shared" ref="T1870:T1876" si="1032">"14:53:41.038"</f>
        <v>14:53:41.038</v>
      </c>
      <c r="U1870" t="str">
        <f t="shared" si="1024"/>
        <v>ACC530</v>
      </c>
      <c r="V1870">
        <v>0</v>
      </c>
      <c r="W1870">
        <v>0</v>
      </c>
      <c r="X1870">
        <v>1</v>
      </c>
      <c r="Z1870">
        <v>0</v>
      </c>
      <c r="AA1870">
        <v>9</v>
      </c>
      <c r="AB1870">
        <v>3</v>
      </c>
      <c r="AC1870">
        <v>0</v>
      </c>
      <c r="AD1870">
        <v>9</v>
      </c>
      <c r="AE1870">
        <v>0</v>
      </c>
      <c r="AF1870">
        <v>3</v>
      </c>
      <c r="AG1870">
        <v>1</v>
      </c>
      <c r="AH1870">
        <v>0</v>
      </c>
      <c r="AI1870" t="s">
        <v>704</v>
      </c>
      <c r="AJ1870">
        <v>34.180461999999999</v>
      </c>
      <c r="AK1870" t="s">
        <v>705</v>
      </c>
      <c r="AL1870">
        <v>-117.01252700000001</v>
      </c>
      <c r="AM1870">
        <v>100</v>
      </c>
      <c r="AN1870">
        <v>8200</v>
      </c>
      <c r="AO1870" t="s">
        <v>118</v>
      </c>
      <c r="AP1870">
        <v>-101</v>
      </c>
      <c r="AQ1870">
        <v>-69</v>
      </c>
      <c r="AR1870">
        <v>-640</v>
      </c>
      <c r="AZ1870">
        <v>1200</v>
      </c>
      <c r="BA1870">
        <v>1</v>
      </c>
      <c r="BB1870" t="str">
        <f t="shared" si="1025"/>
        <v xml:space="preserve">N9217B  </v>
      </c>
      <c r="BC1870">
        <v>1</v>
      </c>
      <c r="BE1870">
        <v>0</v>
      </c>
      <c r="BF1870">
        <v>0</v>
      </c>
      <c r="BG1870">
        <v>0</v>
      </c>
      <c r="BH1870">
        <v>8175</v>
      </c>
      <c r="BI1870">
        <v>1</v>
      </c>
      <c r="BJ1870">
        <v>0</v>
      </c>
      <c r="BK1870">
        <v>0</v>
      </c>
      <c r="BL1870">
        <v>0</v>
      </c>
      <c r="BO1870">
        <v>0</v>
      </c>
      <c r="BP1870">
        <v>0</v>
      </c>
      <c r="BW1870" t="str">
        <f t="shared" ref="BW1870:BW1876" si="1033">"14:53:41.440"</f>
        <v>14:53:41.440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293</v>
      </c>
      <c r="CR1870">
        <v>1</v>
      </c>
      <c r="CW1870">
        <v>15294522</v>
      </c>
      <c r="CY1870">
        <v>0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25">
      <c r="A1871" t="str">
        <f t="shared" si="1030"/>
        <v>06/05/2020 14:53:35.782</v>
      </c>
      <c r="C1871" t="str">
        <f t="shared" si="1005"/>
        <v>FFDFD3C0</v>
      </c>
      <c r="D1871" t="s">
        <v>141</v>
      </c>
      <c r="E1871">
        <v>20</v>
      </c>
      <c r="F1871">
        <v>1020</v>
      </c>
      <c r="G1871" t="s">
        <v>114</v>
      </c>
      <c r="J1871" t="s">
        <v>142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1031"/>
        <v>14:53:41.438</v>
      </c>
      <c r="T1871" t="str">
        <f t="shared" si="1032"/>
        <v>14:53:41.038</v>
      </c>
      <c r="U1871" t="str">
        <f t="shared" si="1024"/>
        <v>ACC530</v>
      </c>
      <c r="V1871">
        <v>0</v>
      </c>
      <c r="W1871">
        <v>0</v>
      </c>
      <c r="X1871">
        <v>1</v>
      </c>
      <c r="Z1871">
        <v>0</v>
      </c>
      <c r="AA1871">
        <v>9</v>
      </c>
      <c r="AB1871">
        <v>3</v>
      </c>
      <c r="AC1871">
        <v>0</v>
      </c>
      <c r="AD1871">
        <v>9</v>
      </c>
      <c r="AE1871">
        <v>0</v>
      </c>
      <c r="AF1871">
        <v>3</v>
      </c>
      <c r="AG1871">
        <v>1</v>
      </c>
      <c r="AH1871">
        <v>0</v>
      </c>
      <c r="AI1871" t="s">
        <v>704</v>
      </c>
      <c r="AJ1871">
        <v>34.180461999999999</v>
      </c>
      <c r="AK1871" t="s">
        <v>705</v>
      </c>
      <c r="AL1871">
        <v>-117.01252700000001</v>
      </c>
      <c r="AM1871">
        <v>100</v>
      </c>
      <c r="AN1871">
        <v>8200</v>
      </c>
      <c r="AO1871" t="s">
        <v>118</v>
      </c>
      <c r="AP1871">
        <v>-101</v>
      </c>
      <c r="AQ1871">
        <v>-69</v>
      </c>
      <c r="AR1871">
        <v>-640</v>
      </c>
      <c r="AZ1871">
        <v>1200</v>
      </c>
      <c r="BA1871">
        <v>1</v>
      </c>
      <c r="BB1871" t="str">
        <f t="shared" si="1025"/>
        <v xml:space="preserve">N9217B  </v>
      </c>
      <c r="BC1871">
        <v>1</v>
      </c>
      <c r="BE1871">
        <v>0</v>
      </c>
      <c r="BF1871">
        <v>0</v>
      </c>
      <c r="BG1871">
        <v>0</v>
      </c>
      <c r="BH1871">
        <v>8175</v>
      </c>
      <c r="BI1871">
        <v>1</v>
      </c>
      <c r="BJ1871">
        <v>0</v>
      </c>
      <c r="BK1871">
        <v>0</v>
      </c>
      <c r="BL1871">
        <v>0</v>
      </c>
      <c r="BO1871">
        <v>0</v>
      </c>
      <c r="BP1871">
        <v>0</v>
      </c>
      <c r="BW1871" t="str">
        <f t="shared" si="1033"/>
        <v>14:53:41.440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293</v>
      </c>
      <c r="CR1871">
        <v>1</v>
      </c>
      <c r="CW1871">
        <v>15294522</v>
      </c>
      <c r="CY1871">
        <v>0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25">
      <c r="A1872" t="str">
        <f t="shared" si="1030"/>
        <v>06/05/2020 14:53:35.782</v>
      </c>
      <c r="C1872" t="str">
        <f t="shared" si="1005"/>
        <v>FFDFD3C0</v>
      </c>
      <c r="D1872" t="s">
        <v>113</v>
      </c>
      <c r="E1872">
        <v>3</v>
      </c>
      <c r="H1872">
        <v>166</v>
      </c>
      <c r="I1872" t="s">
        <v>114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1031"/>
        <v>14:53:41.438</v>
      </c>
      <c r="T1872" t="str">
        <f t="shared" si="1032"/>
        <v>14:53:41.038</v>
      </c>
      <c r="U1872" t="str">
        <f t="shared" si="1024"/>
        <v>ACC530</v>
      </c>
      <c r="V1872">
        <v>0</v>
      </c>
      <c r="W1872">
        <v>0</v>
      </c>
      <c r="X1872">
        <v>1</v>
      </c>
      <c r="Z1872">
        <v>0</v>
      </c>
      <c r="AA1872">
        <v>9</v>
      </c>
      <c r="AB1872">
        <v>3</v>
      </c>
      <c r="AC1872">
        <v>0</v>
      </c>
      <c r="AD1872">
        <v>9</v>
      </c>
      <c r="AE1872">
        <v>0</v>
      </c>
      <c r="AF1872">
        <v>3</v>
      </c>
      <c r="AG1872">
        <v>1</v>
      </c>
      <c r="AH1872">
        <v>0</v>
      </c>
      <c r="AI1872" t="s">
        <v>704</v>
      </c>
      <c r="AJ1872">
        <v>34.180461999999999</v>
      </c>
      <c r="AK1872" t="s">
        <v>705</v>
      </c>
      <c r="AL1872">
        <v>-117.01252700000001</v>
      </c>
      <c r="AM1872">
        <v>100</v>
      </c>
      <c r="AN1872">
        <v>8200</v>
      </c>
      <c r="AO1872" t="s">
        <v>118</v>
      </c>
      <c r="AP1872">
        <v>-101</v>
      </c>
      <c r="AQ1872">
        <v>-69</v>
      </c>
      <c r="AR1872">
        <v>-640</v>
      </c>
      <c r="AZ1872">
        <v>1200</v>
      </c>
      <c r="BA1872">
        <v>1</v>
      </c>
      <c r="BB1872" t="str">
        <f t="shared" si="1025"/>
        <v xml:space="preserve">N9217B  </v>
      </c>
      <c r="BC1872">
        <v>1</v>
      </c>
      <c r="BE1872">
        <v>0</v>
      </c>
      <c r="BF1872">
        <v>0</v>
      </c>
      <c r="BG1872">
        <v>0</v>
      </c>
      <c r="BH1872">
        <v>8175</v>
      </c>
      <c r="BI1872">
        <v>1</v>
      </c>
      <c r="BJ1872">
        <v>0</v>
      </c>
      <c r="BK1872">
        <v>0</v>
      </c>
      <c r="BL1872">
        <v>0</v>
      </c>
      <c r="BO1872">
        <v>0</v>
      </c>
      <c r="BP1872">
        <v>0</v>
      </c>
      <c r="BW1872" t="str">
        <f t="shared" si="1033"/>
        <v>14:53:41.440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293</v>
      </c>
      <c r="CR1872">
        <v>1</v>
      </c>
      <c r="CW1872">
        <v>15294522</v>
      </c>
      <c r="CY1872">
        <v>0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25">
      <c r="A1873" t="str">
        <f t="shared" si="1030"/>
        <v>06/05/2020 14:53:35.782</v>
      </c>
      <c r="C1873" t="str">
        <f t="shared" si="1005"/>
        <v>FFDFD3C0</v>
      </c>
      <c r="D1873" t="s">
        <v>151</v>
      </c>
      <c r="E1873">
        <v>8</v>
      </c>
      <c r="H1873">
        <v>225</v>
      </c>
      <c r="I1873" t="s">
        <v>353</v>
      </c>
      <c r="J1873" t="s">
        <v>150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1031"/>
        <v>14:53:41.438</v>
      </c>
      <c r="T1873" t="str">
        <f t="shared" si="1032"/>
        <v>14:53:41.038</v>
      </c>
      <c r="U1873" t="str">
        <f t="shared" si="1024"/>
        <v>ACC530</v>
      </c>
      <c r="V1873">
        <v>0</v>
      </c>
      <c r="W1873">
        <v>0</v>
      </c>
      <c r="X1873">
        <v>1</v>
      </c>
      <c r="Z1873">
        <v>0</v>
      </c>
      <c r="AA1873">
        <v>9</v>
      </c>
      <c r="AB1873">
        <v>3</v>
      </c>
      <c r="AC1873">
        <v>0</v>
      </c>
      <c r="AD1873">
        <v>9</v>
      </c>
      <c r="AE1873">
        <v>0</v>
      </c>
      <c r="AF1873">
        <v>3</v>
      </c>
      <c r="AG1873">
        <v>1</v>
      </c>
      <c r="AH1873">
        <v>0</v>
      </c>
      <c r="AI1873" t="s">
        <v>704</v>
      </c>
      <c r="AJ1873">
        <v>34.180461999999999</v>
      </c>
      <c r="AK1873" t="s">
        <v>705</v>
      </c>
      <c r="AL1873">
        <v>-117.01252700000001</v>
      </c>
      <c r="AM1873">
        <v>100</v>
      </c>
      <c r="AN1873">
        <v>8200</v>
      </c>
      <c r="AO1873" t="s">
        <v>118</v>
      </c>
      <c r="AP1873">
        <v>-101</v>
      </c>
      <c r="AQ1873">
        <v>-69</v>
      </c>
      <c r="AR1873">
        <v>-640</v>
      </c>
      <c r="AZ1873">
        <v>1200</v>
      </c>
      <c r="BA1873">
        <v>1</v>
      </c>
      <c r="BB1873" t="str">
        <f t="shared" si="1025"/>
        <v xml:space="preserve">N9217B  </v>
      </c>
      <c r="BC1873">
        <v>1</v>
      </c>
      <c r="BE1873">
        <v>0</v>
      </c>
      <c r="BF1873">
        <v>0</v>
      </c>
      <c r="BG1873">
        <v>0</v>
      </c>
      <c r="BH1873">
        <v>8175</v>
      </c>
      <c r="BI1873">
        <v>1</v>
      </c>
      <c r="BJ1873">
        <v>0</v>
      </c>
      <c r="BK1873">
        <v>0</v>
      </c>
      <c r="BL1873">
        <v>0</v>
      </c>
      <c r="BO1873">
        <v>0</v>
      </c>
      <c r="BP1873">
        <v>0</v>
      </c>
      <c r="BW1873" t="str">
        <f t="shared" si="1033"/>
        <v>14:53:41.440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6</v>
      </c>
      <c r="CP1873" t="s">
        <v>119</v>
      </c>
      <c r="CQ1873">
        <v>285</v>
      </c>
      <c r="CR1873">
        <v>0</v>
      </c>
      <c r="CW1873">
        <v>8858788</v>
      </c>
      <c r="CY1873">
        <v>0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25">
      <c r="A1874" t="str">
        <f t="shared" si="1030"/>
        <v>06/05/2020 14:53:35.782</v>
      </c>
      <c r="C1874" t="str">
        <f t="shared" si="1005"/>
        <v>FFDFD3C0</v>
      </c>
      <c r="D1874" t="s">
        <v>151</v>
      </c>
      <c r="E1874">
        <v>9</v>
      </c>
      <c r="H1874">
        <v>226</v>
      </c>
      <c r="I1874" t="s">
        <v>152</v>
      </c>
      <c r="J1874" t="s">
        <v>150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1031"/>
        <v>14:53:41.438</v>
      </c>
      <c r="T1874" t="str">
        <f t="shared" si="1032"/>
        <v>14:53:41.038</v>
      </c>
      <c r="U1874" t="str">
        <f t="shared" si="1024"/>
        <v>ACC530</v>
      </c>
      <c r="V1874">
        <v>0</v>
      </c>
      <c r="W1874">
        <v>0</v>
      </c>
      <c r="X1874">
        <v>1</v>
      </c>
      <c r="Z1874">
        <v>0</v>
      </c>
      <c r="AA1874">
        <v>9</v>
      </c>
      <c r="AB1874">
        <v>3</v>
      </c>
      <c r="AC1874">
        <v>0</v>
      </c>
      <c r="AD1874">
        <v>9</v>
      </c>
      <c r="AE1874">
        <v>0</v>
      </c>
      <c r="AF1874">
        <v>3</v>
      </c>
      <c r="AG1874">
        <v>1</v>
      </c>
      <c r="AH1874">
        <v>0</v>
      </c>
      <c r="AI1874" t="s">
        <v>704</v>
      </c>
      <c r="AJ1874">
        <v>34.180461999999999</v>
      </c>
      <c r="AK1874" t="s">
        <v>705</v>
      </c>
      <c r="AL1874">
        <v>-117.01252700000001</v>
      </c>
      <c r="AM1874">
        <v>100</v>
      </c>
      <c r="AN1874">
        <v>8200</v>
      </c>
      <c r="AO1874" t="s">
        <v>118</v>
      </c>
      <c r="AP1874">
        <v>-101</v>
      </c>
      <c r="AQ1874">
        <v>-69</v>
      </c>
      <c r="AR1874">
        <v>-640</v>
      </c>
      <c r="AZ1874">
        <v>1200</v>
      </c>
      <c r="BA1874">
        <v>1</v>
      </c>
      <c r="BB1874" t="str">
        <f t="shared" si="1025"/>
        <v xml:space="preserve">N9217B  </v>
      </c>
      <c r="BC1874">
        <v>1</v>
      </c>
      <c r="BE1874">
        <v>0</v>
      </c>
      <c r="BF1874">
        <v>0</v>
      </c>
      <c r="BG1874">
        <v>0</v>
      </c>
      <c r="BH1874">
        <v>8175</v>
      </c>
      <c r="BI1874">
        <v>1</v>
      </c>
      <c r="BJ1874">
        <v>0</v>
      </c>
      <c r="BK1874">
        <v>0</v>
      </c>
      <c r="BL1874">
        <v>0</v>
      </c>
      <c r="BO1874">
        <v>0</v>
      </c>
      <c r="BP1874">
        <v>0</v>
      </c>
      <c r="BW1874" t="str">
        <f t="shared" si="1033"/>
        <v>14:53:41.440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293</v>
      </c>
      <c r="CR1874">
        <v>1</v>
      </c>
      <c r="CW1874">
        <v>15294522</v>
      </c>
      <c r="CY1874">
        <v>0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25">
      <c r="A1875" t="str">
        <f t="shared" si="1030"/>
        <v>06/05/2020 14:53:35.782</v>
      </c>
      <c r="C1875" t="str">
        <f t="shared" si="1005"/>
        <v>FFDFD3C0</v>
      </c>
      <c r="D1875" t="s">
        <v>148</v>
      </c>
      <c r="E1875">
        <v>8</v>
      </c>
      <c r="H1875">
        <v>50</v>
      </c>
      <c r="I1875" t="s">
        <v>149</v>
      </c>
      <c r="J1875" t="s">
        <v>150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1031"/>
        <v>14:53:41.438</v>
      </c>
      <c r="T1875" t="str">
        <f t="shared" si="1032"/>
        <v>14:53:41.038</v>
      </c>
      <c r="U1875" t="str">
        <f t="shared" si="1024"/>
        <v>ACC530</v>
      </c>
      <c r="V1875">
        <v>0</v>
      </c>
      <c r="W1875">
        <v>0</v>
      </c>
      <c r="X1875">
        <v>1</v>
      </c>
      <c r="Z1875">
        <v>0</v>
      </c>
      <c r="AA1875">
        <v>9</v>
      </c>
      <c r="AB1875">
        <v>3</v>
      </c>
      <c r="AC1875">
        <v>0</v>
      </c>
      <c r="AD1875">
        <v>9</v>
      </c>
      <c r="AE1875">
        <v>0</v>
      </c>
      <c r="AF1875">
        <v>3</v>
      </c>
      <c r="AG1875">
        <v>1</v>
      </c>
      <c r="AH1875">
        <v>0</v>
      </c>
      <c r="AI1875" t="s">
        <v>704</v>
      </c>
      <c r="AJ1875">
        <v>34.180461999999999</v>
      </c>
      <c r="AK1875" t="s">
        <v>705</v>
      </c>
      <c r="AL1875">
        <v>-117.01252700000001</v>
      </c>
      <c r="AM1875">
        <v>100</v>
      </c>
      <c r="AN1875">
        <v>8200</v>
      </c>
      <c r="AO1875" t="s">
        <v>118</v>
      </c>
      <c r="AP1875">
        <v>-101</v>
      </c>
      <c r="AQ1875">
        <v>-69</v>
      </c>
      <c r="AR1875">
        <v>-640</v>
      </c>
      <c r="AZ1875">
        <v>1200</v>
      </c>
      <c r="BA1875">
        <v>1</v>
      </c>
      <c r="BB1875" t="str">
        <f t="shared" si="1025"/>
        <v xml:space="preserve">N9217B  </v>
      </c>
      <c r="BC1875">
        <v>1</v>
      </c>
      <c r="BE1875">
        <v>0</v>
      </c>
      <c r="BF1875">
        <v>0</v>
      </c>
      <c r="BG1875">
        <v>0</v>
      </c>
      <c r="BH1875">
        <v>8175</v>
      </c>
      <c r="BI1875">
        <v>1</v>
      </c>
      <c r="BJ1875">
        <v>0</v>
      </c>
      <c r="BK1875">
        <v>0</v>
      </c>
      <c r="BL1875">
        <v>0</v>
      </c>
      <c r="BO1875">
        <v>0</v>
      </c>
      <c r="BP1875">
        <v>0</v>
      </c>
      <c r="BW1875" t="str">
        <f t="shared" si="1033"/>
        <v>14:53:41.440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293</v>
      </c>
      <c r="CR1875">
        <v>1</v>
      </c>
      <c r="CW1875">
        <v>15294522</v>
      </c>
      <c r="CY1875">
        <v>0</v>
      </c>
      <c r="CZ1875">
        <v>0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25">
      <c r="A1876" t="str">
        <f t="shared" si="1030"/>
        <v>06/05/2020 14:53:35.782</v>
      </c>
      <c r="C1876" t="str">
        <f t="shared" si="1005"/>
        <v>FFDFD3C0</v>
      </c>
      <c r="D1876" t="s">
        <v>134</v>
      </c>
      <c r="E1876">
        <v>7</v>
      </c>
      <c r="F1876">
        <v>2007</v>
      </c>
      <c r="G1876" t="s">
        <v>135</v>
      </c>
      <c r="J1876" t="s">
        <v>136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1031"/>
        <v>14:53:41.438</v>
      </c>
      <c r="T1876" t="str">
        <f t="shared" si="1032"/>
        <v>14:53:41.038</v>
      </c>
      <c r="U1876" t="str">
        <f t="shared" si="1024"/>
        <v>ACC530</v>
      </c>
      <c r="V1876">
        <v>0</v>
      </c>
      <c r="W1876">
        <v>0</v>
      </c>
      <c r="X1876">
        <v>1</v>
      </c>
      <c r="Z1876">
        <v>0</v>
      </c>
      <c r="AA1876">
        <v>9</v>
      </c>
      <c r="AB1876">
        <v>3</v>
      </c>
      <c r="AC1876">
        <v>0</v>
      </c>
      <c r="AD1876">
        <v>9</v>
      </c>
      <c r="AE1876">
        <v>0</v>
      </c>
      <c r="AF1876">
        <v>3</v>
      </c>
      <c r="AG1876">
        <v>1</v>
      </c>
      <c r="AH1876">
        <v>0</v>
      </c>
      <c r="AI1876" t="s">
        <v>704</v>
      </c>
      <c r="AJ1876">
        <v>34.180461999999999</v>
      </c>
      <c r="AK1876" t="s">
        <v>705</v>
      </c>
      <c r="AL1876">
        <v>-117.01252700000001</v>
      </c>
      <c r="AM1876">
        <v>100</v>
      </c>
      <c r="AN1876">
        <v>8200</v>
      </c>
      <c r="AO1876" t="s">
        <v>118</v>
      </c>
      <c r="AP1876">
        <v>-101</v>
      </c>
      <c r="AQ1876">
        <v>-69</v>
      </c>
      <c r="AR1876">
        <v>-640</v>
      </c>
      <c r="AZ1876">
        <v>1200</v>
      </c>
      <c r="BA1876">
        <v>1</v>
      </c>
      <c r="BB1876" t="str">
        <f t="shared" si="1025"/>
        <v xml:space="preserve">N9217B  </v>
      </c>
      <c r="BC1876">
        <v>1</v>
      </c>
      <c r="BE1876">
        <v>0</v>
      </c>
      <c r="BF1876">
        <v>0</v>
      </c>
      <c r="BG1876">
        <v>0</v>
      </c>
      <c r="BH1876">
        <v>8175</v>
      </c>
      <c r="BI1876">
        <v>1</v>
      </c>
      <c r="BJ1876">
        <v>0</v>
      </c>
      <c r="BK1876">
        <v>0</v>
      </c>
      <c r="BL1876">
        <v>0</v>
      </c>
      <c r="BO1876">
        <v>0</v>
      </c>
      <c r="BP1876">
        <v>0</v>
      </c>
      <c r="BW1876" t="str">
        <f t="shared" si="1033"/>
        <v>14:53:41.440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293</v>
      </c>
      <c r="CR1876">
        <v>1</v>
      </c>
      <c r="CW1876">
        <v>15294522</v>
      </c>
      <c r="CY1876">
        <v>0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25">
      <c r="A1877" t="str">
        <f t="shared" ref="A1877:A1883" si="1034">"06/05/2020 14:53:36.812"</f>
        <v>06/05/2020 14:53:36.812</v>
      </c>
      <c r="C1877" t="str">
        <f t="shared" si="1005"/>
        <v>FFDFD3C0</v>
      </c>
      <c r="D1877" t="s">
        <v>148</v>
      </c>
      <c r="E1877">
        <v>8</v>
      </c>
      <c r="H1877">
        <v>50</v>
      </c>
      <c r="I1877" t="s">
        <v>149</v>
      </c>
      <c r="J1877" t="s">
        <v>150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ref="S1877:T1883" si="1035">"14:53:42.453"</f>
        <v>14:53:42.453</v>
      </c>
      <c r="T1877" t="str">
        <f t="shared" si="1035"/>
        <v>14:53:42.453</v>
      </c>
      <c r="U1877" t="str">
        <f t="shared" si="1024"/>
        <v>ACC530</v>
      </c>
      <c r="V1877">
        <v>0</v>
      </c>
      <c r="W1877">
        <v>0</v>
      </c>
      <c r="X1877">
        <v>1</v>
      </c>
      <c r="Z1877">
        <v>0</v>
      </c>
      <c r="AA1877">
        <v>9</v>
      </c>
      <c r="AB1877">
        <v>3</v>
      </c>
      <c r="AC1877">
        <v>0</v>
      </c>
      <c r="AD1877">
        <v>9</v>
      </c>
      <c r="AE1877">
        <v>0</v>
      </c>
      <c r="AF1877">
        <v>3</v>
      </c>
      <c r="AG1877">
        <v>1</v>
      </c>
      <c r="AH1877">
        <v>0</v>
      </c>
      <c r="AI1877" t="s">
        <v>706</v>
      </c>
      <c r="AJ1877">
        <v>34.180162000000003</v>
      </c>
      <c r="AK1877" t="s">
        <v>707</v>
      </c>
      <c r="AL1877">
        <v>-117.013085</v>
      </c>
      <c r="AM1877">
        <v>100</v>
      </c>
      <c r="AN1877">
        <v>8200</v>
      </c>
      <c r="AO1877" t="s">
        <v>118</v>
      </c>
      <c r="AP1877">
        <v>-99</v>
      </c>
      <c r="AQ1877">
        <v>-70</v>
      </c>
      <c r="AR1877">
        <v>-640</v>
      </c>
      <c r="AZ1877">
        <v>1200</v>
      </c>
      <c r="BA1877">
        <v>1</v>
      </c>
      <c r="BB1877" t="str">
        <f t="shared" si="1025"/>
        <v xml:space="preserve">N9217B  </v>
      </c>
      <c r="BC1877">
        <v>1</v>
      </c>
      <c r="BE1877">
        <v>0</v>
      </c>
      <c r="BF1877">
        <v>0</v>
      </c>
      <c r="BG1877">
        <v>0</v>
      </c>
      <c r="BH1877">
        <v>8175</v>
      </c>
      <c r="BI1877">
        <v>1</v>
      </c>
      <c r="BJ1877">
        <v>0</v>
      </c>
      <c r="BK1877">
        <v>0</v>
      </c>
      <c r="BL1877">
        <v>0</v>
      </c>
      <c r="BO1877">
        <v>0</v>
      </c>
      <c r="BP1877">
        <v>0</v>
      </c>
      <c r="BW1877" t="str">
        <f t="shared" ref="BW1877:BW1883" si="1036">"14:53:42.460"</f>
        <v>14:53:42.460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293</v>
      </c>
      <c r="CR1877">
        <v>1</v>
      </c>
      <c r="CW1877">
        <v>15294643</v>
      </c>
      <c r="CY1877">
        <v>0</v>
      </c>
      <c r="CZ1877">
        <v>0</v>
      </c>
      <c r="DA1877">
        <v>0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25">
      <c r="A1878" t="str">
        <f t="shared" si="1034"/>
        <v>06/05/2020 14:53:36.812</v>
      </c>
      <c r="C1878" t="str">
        <f t="shared" si="1005"/>
        <v>FFDFD3C0</v>
      </c>
      <c r="D1878" t="s">
        <v>134</v>
      </c>
      <c r="E1878">
        <v>7</v>
      </c>
      <c r="F1878">
        <v>2007</v>
      </c>
      <c r="G1878" t="s">
        <v>135</v>
      </c>
      <c r="J1878" t="s">
        <v>136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1035"/>
        <v>14:53:42.453</v>
      </c>
      <c r="T1878" t="str">
        <f t="shared" si="1035"/>
        <v>14:53:42.453</v>
      </c>
      <c r="U1878" t="str">
        <f t="shared" si="1024"/>
        <v>ACC530</v>
      </c>
      <c r="V1878">
        <v>0</v>
      </c>
      <c r="W1878">
        <v>0</v>
      </c>
      <c r="X1878">
        <v>1</v>
      </c>
      <c r="Z1878">
        <v>0</v>
      </c>
      <c r="AA1878">
        <v>9</v>
      </c>
      <c r="AB1878">
        <v>3</v>
      </c>
      <c r="AC1878">
        <v>0</v>
      </c>
      <c r="AD1878">
        <v>9</v>
      </c>
      <c r="AE1878">
        <v>0</v>
      </c>
      <c r="AF1878">
        <v>3</v>
      </c>
      <c r="AG1878">
        <v>1</v>
      </c>
      <c r="AH1878">
        <v>0</v>
      </c>
      <c r="AI1878" t="s">
        <v>706</v>
      </c>
      <c r="AJ1878">
        <v>34.180162000000003</v>
      </c>
      <c r="AK1878" t="s">
        <v>707</v>
      </c>
      <c r="AL1878">
        <v>-117.013085</v>
      </c>
      <c r="AM1878">
        <v>100</v>
      </c>
      <c r="AN1878">
        <v>8200</v>
      </c>
      <c r="AO1878" t="s">
        <v>118</v>
      </c>
      <c r="AP1878">
        <v>-99</v>
      </c>
      <c r="AQ1878">
        <v>-70</v>
      </c>
      <c r="AR1878">
        <v>-640</v>
      </c>
      <c r="AZ1878">
        <v>1200</v>
      </c>
      <c r="BA1878">
        <v>1</v>
      </c>
      <c r="BB1878" t="str">
        <f t="shared" si="1025"/>
        <v xml:space="preserve">N9217B  </v>
      </c>
      <c r="BC1878">
        <v>1</v>
      </c>
      <c r="BE1878">
        <v>0</v>
      </c>
      <c r="BF1878">
        <v>0</v>
      </c>
      <c r="BG1878">
        <v>0</v>
      </c>
      <c r="BH1878">
        <v>8175</v>
      </c>
      <c r="BI1878">
        <v>1</v>
      </c>
      <c r="BJ1878">
        <v>0</v>
      </c>
      <c r="BK1878">
        <v>0</v>
      </c>
      <c r="BL1878">
        <v>0</v>
      </c>
      <c r="BO1878">
        <v>0</v>
      </c>
      <c r="BP1878">
        <v>0</v>
      </c>
      <c r="BW1878" t="str">
        <f t="shared" si="1036"/>
        <v>14:53:42.460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293</v>
      </c>
      <c r="CR1878">
        <v>1</v>
      </c>
      <c r="CW1878">
        <v>15294643</v>
      </c>
      <c r="CY1878">
        <v>0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25">
      <c r="A1879" t="str">
        <f t="shared" si="1034"/>
        <v>06/05/2020 14:53:36.812</v>
      </c>
      <c r="C1879" t="str">
        <f t="shared" si="1005"/>
        <v>FFDFD3C0</v>
      </c>
      <c r="D1879" t="s">
        <v>141</v>
      </c>
      <c r="E1879">
        <v>20</v>
      </c>
      <c r="F1879">
        <v>1020</v>
      </c>
      <c r="G1879" t="s">
        <v>114</v>
      </c>
      <c r="J1879" t="s">
        <v>142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1035"/>
        <v>14:53:42.453</v>
      </c>
      <c r="T1879" t="str">
        <f t="shared" si="1035"/>
        <v>14:53:42.453</v>
      </c>
      <c r="U1879" t="str">
        <f t="shared" si="1024"/>
        <v>ACC530</v>
      </c>
      <c r="V1879">
        <v>0</v>
      </c>
      <c r="W1879">
        <v>0</v>
      </c>
      <c r="X1879">
        <v>1</v>
      </c>
      <c r="Z1879">
        <v>0</v>
      </c>
      <c r="AA1879">
        <v>9</v>
      </c>
      <c r="AB1879">
        <v>3</v>
      </c>
      <c r="AC1879">
        <v>0</v>
      </c>
      <c r="AD1879">
        <v>9</v>
      </c>
      <c r="AE1879">
        <v>0</v>
      </c>
      <c r="AF1879">
        <v>3</v>
      </c>
      <c r="AG1879">
        <v>1</v>
      </c>
      <c r="AH1879">
        <v>0</v>
      </c>
      <c r="AI1879" t="s">
        <v>706</v>
      </c>
      <c r="AJ1879">
        <v>34.180162000000003</v>
      </c>
      <c r="AK1879" t="s">
        <v>707</v>
      </c>
      <c r="AL1879">
        <v>-117.013085</v>
      </c>
      <c r="AM1879">
        <v>100</v>
      </c>
      <c r="AN1879">
        <v>8200</v>
      </c>
      <c r="AO1879" t="s">
        <v>118</v>
      </c>
      <c r="AP1879">
        <v>-99</v>
      </c>
      <c r="AQ1879">
        <v>-70</v>
      </c>
      <c r="AR1879">
        <v>-640</v>
      </c>
      <c r="AZ1879">
        <v>1200</v>
      </c>
      <c r="BA1879">
        <v>1</v>
      </c>
      <c r="BB1879" t="str">
        <f t="shared" si="1025"/>
        <v xml:space="preserve">N9217B  </v>
      </c>
      <c r="BC1879">
        <v>1</v>
      </c>
      <c r="BE1879">
        <v>0</v>
      </c>
      <c r="BF1879">
        <v>0</v>
      </c>
      <c r="BG1879">
        <v>0</v>
      </c>
      <c r="BH1879">
        <v>8175</v>
      </c>
      <c r="BI1879">
        <v>1</v>
      </c>
      <c r="BJ1879">
        <v>0</v>
      </c>
      <c r="BK1879">
        <v>0</v>
      </c>
      <c r="BL1879">
        <v>0</v>
      </c>
      <c r="BO1879">
        <v>0</v>
      </c>
      <c r="BP1879">
        <v>0</v>
      </c>
      <c r="BW1879" t="str">
        <f t="shared" si="1036"/>
        <v>14:53:42.460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293</v>
      </c>
      <c r="CR1879">
        <v>1</v>
      </c>
      <c r="CW1879">
        <v>15294643</v>
      </c>
      <c r="CY1879">
        <v>0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25">
      <c r="A1880" t="str">
        <f t="shared" si="1034"/>
        <v>06/05/2020 14:53:36.812</v>
      </c>
      <c r="C1880" t="str">
        <f t="shared" si="1005"/>
        <v>FFDFD3C0</v>
      </c>
      <c r="D1880" t="s">
        <v>148</v>
      </c>
      <c r="E1880">
        <v>11</v>
      </c>
      <c r="H1880">
        <v>53</v>
      </c>
      <c r="I1880" t="s">
        <v>364</v>
      </c>
      <c r="J1880" t="s">
        <v>150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1035"/>
        <v>14:53:42.453</v>
      </c>
      <c r="T1880" t="str">
        <f t="shared" si="1035"/>
        <v>14:53:42.453</v>
      </c>
      <c r="U1880" t="str">
        <f t="shared" si="1024"/>
        <v>ACC530</v>
      </c>
      <c r="V1880">
        <v>0</v>
      </c>
      <c r="W1880">
        <v>0</v>
      </c>
      <c r="X1880">
        <v>1</v>
      </c>
      <c r="Z1880">
        <v>0</v>
      </c>
      <c r="AA1880">
        <v>9</v>
      </c>
      <c r="AB1880">
        <v>3</v>
      </c>
      <c r="AC1880">
        <v>0</v>
      </c>
      <c r="AD1880">
        <v>9</v>
      </c>
      <c r="AE1880">
        <v>0</v>
      </c>
      <c r="AF1880">
        <v>3</v>
      </c>
      <c r="AG1880">
        <v>1</v>
      </c>
      <c r="AH1880">
        <v>0</v>
      </c>
      <c r="AI1880" t="s">
        <v>706</v>
      </c>
      <c r="AJ1880">
        <v>34.180162000000003</v>
      </c>
      <c r="AK1880" t="s">
        <v>707</v>
      </c>
      <c r="AL1880">
        <v>-117.013085</v>
      </c>
      <c r="AM1880">
        <v>100</v>
      </c>
      <c r="AN1880">
        <v>8200</v>
      </c>
      <c r="AO1880" t="s">
        <v>118</v>
      </c>
      <c r="AP1880">
        <v>-99</v>
      </c>
      <c r="AQ1880">
        <v>-70</v>
      </c>
      <c r="AR1880">
        <v>-640</v>
      </c>
      <c r="AZ1880">
        <v>1200</v>
      </c>
      <c r="BA1880">
        <v>1</v>
      </c>
      <c r="BB1880" t="str">
        <f t="shared" si="1025"/>
        <v xml:space="preserve">N9217B  </v>
      </c>
      <c r="BC1880">
        <v>1</v>
      </c>
      <c r="BE1880">
        <v>0</v>
      </c>
      <c r="BF1880">
        <v>0</v>
      </c>
      <c r="BG1880">
        <v>0</v>
      </c>
      <c r="BH1880">
        <v>8175</v>
      </c>
      <c r="BI1880">
        <v>1</v>
      </c>
      <c r="BJ1880">
        <v>0</v>
      </c>
      <c r="BK1880">
        <v>0</v>
      </c>
      <c r="BL1880">
        <v>0</v>
      </c>
      <c r="BO1880">
        <v>0</v>
      </c>
      <c r="BP1880">
        <v>0</v>
      </c>
      <c r="BW1880" t="str">
        <f t="shared" si="1036"/>
        <v>14:53:42.460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293</v>
      </c>
      <c r="CR1880">
        <v>1</v>
      </c>
      <c r="CW1880">
        <v>15294643</v>
      </c>
      <c r="CY1880">
        <v>0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25">
      <c r="A1881" t="str">
        <f t="shared" si="1034"/>
        <v>06/05/2020 14:53:36.812</v>
      </c>
      <c r="C1881" t="str">
        <f t="shared" si="1005"/>
        <v>FFDFD3C0</v>
      </c>
      <c r="D1881" t="s">
        <v>113</v>
      </c>
      <c r="E1881">
        <v>3</v>
      </c>
      <c r="H1881">
        <v>166</v>
      </c>
      <c r="I1881" t="s">
        <v>114</v>
      </c>
      <c r="J1881" t="s">
        <v>115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1035"/>
        <v>14:53:42.453</v>
      </c>
      <c r="T1881" t="str">
        <f t="shared" si="1035"/>
        <v>14:53:42.453</v>
      </c>
      <c r="U1881" t="str">
        <f t="shared" si="1024"/>
        <v>ACC530</v>
      </c>
      <c r="V1881">
        <v>0</v>
      </c>
      <c r="W1881">
        <v>0</v>
      </c>
      <c r="X1881">
        <v>1</v>
      </c>
      <c r="Z1881">
        <v>0</v>
      </c>
      <c r="AA1881">
        <v>9</v>
      </c>
      <c r="AB1881">
        <v>3</v>
      </c>
      <c r="AC1881">
        <v>0</v>
      </c>
      <c r="AD1881">
        <v>9</v>
      </c>
      <c r="AE1881">
        <v>0</v>
      </c>
      <c r="AF1881">
        <v>3</v>
      </c>
      <c r="AG1881">
        <v>1</v>
      </c>
      <c r="AH1881">
        <v>0</v>
      </c>
      <c r="AI1881" t="s">
        <v>706</v>
      </c>
      <c r="AJ1881">
        <v>34.180162000000003</v>
      </c>
      <c r="AK1881" t="s">
        <v>707</v>
      </c>
      <c r="AL1881">
        <v>-117.013085</v>
      </c>
      <c r="AM1881">
        <v>100</v>
      </c>
      <c r="AN1881">
        <v>8200</v>
      </c>
      <c r="AO1881" t="s">
        <v>118</v>
      </c>
      <c r="AP1881">
        <v>-99</v>
      </c>
      <c r="AQ1881">
        <v>-70</v>
      </c>
      <c r="AR1881">
        <v>-640</v>
      </c>
      <c r="AZ1881">
        <v>1200</v>
      </c>
      <c r="BA1881">
        <v>1</v>
      </c>
      <c r="BB1881" t="str">
        <f t="shared" si="1025"/>
        <v xml:space="preserve">N9217B  </v>
      </c>
      <c r="BC1881">
        <v>1</v>
      </c>
      <c r="BE1881">
        <v>0</v>
      </c>
      <c r="BF1881">
        <v>0</v>
      </c>
      <c r="BG1881">
        <v>0</v>
      </c>
      <c r="BH1881">
        <v>8175</v>
      </c>
      <c r="BI1881">
        <v>1</v>
      </c>
      <c r="BJ1881">
        <v>0</v>
      </c>
      <c r="BK1881">
        <v>0</v>
      </c>
      <c r="BL1881">
        <v>0</v>
      </c>
      <c r="BO1881">
        <v>0</v>
      </c>
      <c r="BP1881">
        <v>0</v>
      </c>
      <c r="BW1881" t="str">
        <f t="shared" si="1036"/>
        <v>14:53:42.460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293</v>
      </c>
      <c r="CR1881">
        <v>1</v>
      </c>
      <c r="CW1881">
        <v>15294643</v>
      </c>
      <c r="CY1881">
        <v>0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25">
      <c r="A1882" t="str">
        <f t="shared" si="1034"/>
        <v>06/05/2020 14:53:36.812</v>
      </c>
      <c r="C1882" t="str">
        <f t="shared" si="1005"/>
        <v>FFDFD3C0</v>
      </c>
      <c r="D1882" t="s">
        <v>151</v>
      </c>
      <c r="E1882">
        <v>8</v>
      </c>
      <c r="H1882">
        <v>225</v>
      </c>
      <c r="I1882" t="s">
        <v>353</v>
      </c>
      <c r="J1882" t="s">
        <v>150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1035"/>
        <v>14:53:42.453</v>
      </c>
      <c r="T1882" t="str">
        <f t="shared" si="1035"/>
        <v>14:53:42.453</v>
      </c>
      <c r="U1882" t="str">
        <f t="shared" si="1024"/>
        <v>ACC530</v>
      </c>
      <c r="V1882">
        <v>0</v>
      </c>
      <c r="W1882">
        <v>0</v>
      </c>
      <c r="X1882">
        <v>1</v>
      </c>
      <c r="Z1882">
        <v>0</v>
      </c>
      <c r="AA1882">
        <v>9</v>
      </c>
      <c r="AB1882">
        <v>3</v>
      </c>
      <c r="AC1882">
        <v>0</v>
      </c>
      <c r="AD1882">
        <v>9</v>
      </c>
      <c r="AE1882">
        <v>0</v>
      </c>
      <c r="AF1882">
        <v>3</v>
      </c>
      <c r="AG1882">
        <v>1</v>
      </c>
      <c r="AH1882">
        <v>0</v>
      </c>
      <c r="AI1882" t="s">
        <v>706</v>
      </c>
      <c r="AJ1882">
        <v>34.180162000000003</v>
      </c>
      <c r="AK1882" t="s">
        <v>707</v>
      </c>
      <c r="AL1882">
        <v>-117.013085</v>
      </c>
      <c r="AM1882">
        <v>100</v>
      </c>
      <c r="AN1882">
        <v>8200</v>
      </c>
      <c r="AO1882" t="s">
        <v>118</v>
      </c>
      <c r="AP1882">
        <v>-99</v>
      </c>
      <c r="AQ1882">
        <v>-70</v>
      </c>
      <c r="AR1882">
        <v>-640</v>
      </c>
      <c r="AZ1882">
        <v>1200</v>
      </c>
      <c r="BA1882">
        <v>1</v>
      </c>
      <c r="BB1882" t="str">
        <f t="shared" si="1025"/>
        <v xml:space="preserve">N9217B  </v>
      </c>
      <c r="BC1882">
        <v>1</v>
      </c>
      <c r="BE1882">
        <v>0</v>
      </c>
      <c r="BF1882">
        <v>0</v>
      </c>
      <c r="BG1882">
        <v>0</v>
      </c>
      <c r="BH1882">
        <v>8175</v>
      </c>
      <c r="BI1882">
        <v>1</v>
      </c>
      <c r="BJ1882">
        <v>0</v>
      </c>
      <c r="BK1882">
        <v>0</v>
      </c>
      <c r="BL1882">
        <v>0</v>
      </c>
      <c r="BO1882">
        <v>0</v>
      </c>
      <c r="BP1882">
        <v>0</v>
      </c>
      <c r="BW1882" t="str">
        <f t="shared" si="1036"/>
        <v>14:53:42.460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285</v>
      </c>
      <c r="CR1882">
        <v>0</v>
      </c>
      <c r="CW1882">
        <v>8858877</v>
      </c>
      <c r="CY1882">
        <v>0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25">
      <c r="A1883" t="str">
        <f t="shared" si="1034"/>
        <v>06/05/2020 14:53:36.812</v>
      </c>
      <c r="C1883" t="str">
        <f t="shared" si="1005"/>
        <v>FFDFD3C0</v>
      </c>
      <c r="D1883" t="s">
        <v>151</v>
      </c>
      <c r="E1883">
        <v>9</v>
      </c>
      <c r="H1883">
        <v>226</v>
      </c>
      <c r="I1883" t="s">
        <v>152</v>
      </c>
      <c r="J1883" t="s">
        <v>150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1035"/>
        <v>14:53:42.453</v>
      </c>
      <c r="T1883" t="str">
        <f t="shared" si="1035"/>
        <v>14:53:42.453</v>
      </c>
      <c r="U1883" t="str">
        <f t="shared" si="1024"/>
        <v>ACC530</v>
      </c>
      <c r="V1883">
        <v>0</v>
      </c>
      <c r="W1883">
        <v>0</v>
      </c>
      <c r="X1883">
        <v>1</v>
      </c>
      <c r="Z1883">
        <v>0</v>
      </c>
      <c r="AA1883">
        <v>9</v>
      </c>
      <c r="AB1883">
        <v>3</v>
      </c>
      <c r="AC1883">
        <v>0</v>
      </c>
      <c r="AD1883">
        <v>9</v>
      </c>
      <c r="AE1883">
        <v>0</v>
      </c>
      <c r="AF1883">
        <v>3</v>
      </c>
      <c r="AG1883">
        <v>1</v>
      </c>
      <c r="AH1883">
        <v>0</v>
      </c>
      <c r="AI1883" t="s">
        <v>706</v>
      </c>
      <c r="AJ1883">
        <v>34.180162000000003</v>
      </c>
      <c r="AK1883" t="s">
        <v>707</v>
      </c>
      <c r="AL1883">
        <v>-117.013085</v>
      </c>
      <c r="AM1883">
        <v>100</v>
      </c>
      <c r="AN1883">
        <v>8200</v>
      </c>
      <c r="AO1883" t="s">
        <v>118</v>
      </c>
      <c r="AP1883">
        <v>-99</v>
      </c>
      <c r="AQ1883">
        <v>-70</v>
      </c>
      <c r="AR1883">
        <v>-640</v>
      </c>
      <c r="AZ1883">
        <v>1200</v>
      </c>
      <c r="BA1883">
        <v>1</v>
      </c>
      <c r="BB1883" t="str">
        <f t="shared" si="1025"/>
        <v xml:space="preserve">N9217B  </v>
      </c>
      <c r="BC1883">
        <v>1</v>
      </c>
      <c r="BE1883">
        <v>0</v>
      </c>
      <c r="BF1883">
        <v>0</v>
      </c>
      <c r="BG1883">
        <v>0</v>
      </c>
      <c r="BH1883">
        <v>8175</v>
      </c>
      <c r="BI1883">
        <v>1</v>
      </c>
      <c r="BJ1883">
        <v>0</v>
      </c>
      <c r="BK1883">
        <v>0</v>
      </c>
      <c r="BL1883">
        <v>0</v>
      </c>
      <c r="BO1883">
        <v>0</v>
      </c>
      <c r="BP1883">
        <v>0</v>
      </c>
      <c r="BW1883" t="str">
        <f t="shared" si="1036"/>
        <v>14:53:42.460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293</v>
      </c>
      <c r="CR1883">
        <v>1</v>
      </c>
      <c r="CW1883">
        <v>15294643</v>
      </c>
      <c r="CY1883">
        <v>0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25">
      <c r="A1884" t="str">
        <f t="shared" ref="A1884:A1890" si="1037">"06/05/2020 14:53:37.806"</f>
        <v>06/05/2020 14:53:37.806</v>
      </c>
      <c r="C1884" t="str">
        <f t="shared" si="1005"/>
        <v>FFDFD3C0</v>
      </c>
      <c r="D1884" t="s">
        <v>148</v>
      </c>
      <c r="E1884">
        <v>11</v>
      </c>
      <c r="H1884">
        <v>53</v>
      </c>
      <c r="I1884" t="s">
        <v>364</v>
      </c>
      <c r="J1884" t="s">
        <v>150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ref="S1884:T1890" si="1038">"14:53:43.445"</f>
        <v>14:53:43.445</v>
      </c>
      <c r="T1884" t="str">
        <f t="shared" si="1038"/>
        <v>14:53:43.445</v>
      </c>
      <c r="U1884" t="str">
        <f t="shared" si="1024"/>
        <v>ACC530</v>
      </c>
      <c r="V1884">
        <v>0</v>
      </c>
      <c r="W1884">
        <v>0</v>
      </c>
      <c r="X1884">
        <v>1</v>
      </c>
      <c r="Z1884">
        <v>0</v>
      </c>
      <c r="AA1884">
        <v>9</v>
      </c>
      <c r="AB1884">
        <v>3</v>
      </c>
      <c r="AC1884">
        <v>0</v>
      </c>
      <c r="AD1884">
        <v>9</v>
      </c>
      <c r="AE1884">
        <v>0</v>
      </c>
      <c r="AF1884">
        <v>3</v>
      </c>
      <c r="AG1884">
        <v>1</v>
      </c>
      <c r="AH1884">
        <v>0</v>
      </c>
      <c r="AI1884" t="s">
        <v>708</v>
      </c>
      <c r="AJ1884">
        <v>34.179819000000002</v>
      </c>
      <c r="AK1884" t="s">
        <v>709</v>
      </c>
      <c r="AL1884">
        <v>-117.01366400000001</v>
      </c>
      <c r="AM1884">
        <v>100</v>
      </c>
      <c r="AN1884">
        <v>8200</v>
      </c>
      <c r="AO1884" t="s">
        <v>118</v>
      </c>
      <c r="AP1884">
        <v>-98</v>
      </c>
      <c r="AQ1884">
        <v>-71</v>
      </c>
      <c r="AR1884">
        <v>-640</v>
      </c>
      <c r="AZ1884">
        <v>1200</v>
      </c>
      <c r="BA1884">
        <v>1</v>
      </c>
      <c r="BB1884" t="str">
        <f t="shared" si="1025"/>
        <v xml:space="preserve">N9217B  </v>
      </c>
      <c r="BC1884">
        <v>1</v>
      </c>
      <c r="BE1884">
        <v>0</v>
      </c>
      <c r="BF1884">
        <v>0</v>
      </c>
      <c r="BG1884">
        <v>0</v>
      </c>
      <c r="BH1884">
        <v>8150</v>
      </c>
      <c r="BI1884">
        <v>1</v>
      </c>
      <c r="BJ1884">
        <v>0</v>
      </c>
      <c r="BK1884">
        <v>0</v>
      </c>
      <c r="BL1884">
        <v>0</v>
      </c>
      <c r="BO1884">
        <v>0</v>
      </c>
      <c r="BP1884">
        <v>0</v>
      </c>
      <c r="BW1884" t="str">
        <f t="shared" ref="BW1884:BW1890" si="1039">"14:53:43.450"</f>
        <v>14:53:43.450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285</v>
      </c>
      <c r="CR1884">
        <v>0</v>
      </c>
      <c r="CW1884">
        <v>8858965</v>
      </c>
      <c r="CY1884">
        <v>0</v>
      </c>
      <c r="CZ1884">
        <v>0</v>
      </c>
      <c r="DA1884">
        <v>0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25">
      <c r="A1885" t="str">
        <f t="shared" si="1037"/>
        <v>06/05/2020 14:53:37.806</v>
      </c>
      <c r="C1885" t="str">
        <f t="shared" si="1005"/>
        <v>FFDFD3C0</v>
      </c>
      <c r="D1885" t="s">
        <v>113</v>
      </c>
      <c r="E1885">
        <v>3</v>
      </c>
      <c r="H1885">
        <v>166</v>
      </c>
      <c r="I1885" t="s">
        <v>114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1038"/>
        <v>14:53:43.445</v>
      </c>
      <c r="T1885" t="str">
        <f t="shared" si="1038"/>
        <v>14:53:43.445</v>
      </c>
      <c r="U1885" t="str">
        <f t="shared" si="1024"/>
        <v>ACC530</v>
      </c>
      <c r="V1885">
        <v>0</v>
      </c>
      <c r="W1885">
        <v>0</v>
      </c>
      <c r="X1885">
        <v>1</v>
      </c>
      <c r="Z1885">
        <v>0</v>
      </c>
      <c r="AA1885">
        <v>9</v>
      </c>
      <c r="AB1885">
        <v>3</v>
      </c>
      <c r="AC1885">
        <v>0</v>
      </c>
      <c r="AD1885">
        <v>9</v>
      </c>
      <c r="AE1885">
        <v>0</v>
      </c>
      <c r="AF1885">
        <v>3</v>
      </c>
      <c r="AG1885">
        <v>1</v>
      </c>
      <c r="AH1885">
        <v>0</v>
      </c>
      <c r="AI1885" t="s">
        <v>708</v>
      </c>
      <c r="AJ1885">
        <v>34.179819000000002</v>
      </c>
      <c r="AK1885" t="s">
        <v>709</v>
      </c>
      <c r="AL1885">
        <v>-117.01366400000001</v>
      </c>
      <c r="AM1885">
        <v>100</v>
      </c>
      <c r="AN1885">
        <v>8200</v>
      </c>
      <c r="AO1885" t="s">
        <v>118</v>
      </c>
      <c r="AP1885">
        <v>-98</v>
      </c>
      <c r="AQ1885">
        <v>-71</v>
      </c>
      <c r="AR1885">
        <v>-640</v>
      </c>
      <c r="AZ1885">
        <v>1200</v>
      </c>
      <c r="BA1885">
        <v>1</v>
      </c>
      <c r="BB1885" t="str">
        <f t="shared" si="1025"/>
        <v xml:space="preserve">N9217B  </v>
      </c>
      <c r="BC1885">
        <v>1</v>
      </c>
      <c r="BE1885">
        <v>0</v>
      </c>
      <c r="BF1885">
        <v>0</v>
      </c>
      <c r="BG1885">
        <v>0</v>
      </c>
      <c r="BH1885">
        <v>8150</v>
      </c>
      <c r="BI1885">
        <v>1</v>
      </c>
      <c r="BJ1885">
        <v>0</v>
      </c>
      <c r="BK1885">
        <v>0</v>
      </c>
      <c r="BL1885">
        <v>0</v>
      </c>
      <c r="BO1885">
        <v>0</v>
      </c>
      <c r="BP1885">
        <v>0</v>
      </c>
      <c r="BW1885" t="str">
        <f t="shared" si="1039"/>
        <v>14:53:43.450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285</v>
      </c>
      <c r="CR1885">
        <v>0</v>
      </c>
      <c r="CW1885">
        <v>8858965</v>
      </c>
      <c r="CY1885">
        <v>0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25">
      <c r="A1886" t="str">
        <f t="shared" si="1037"/>
        <v>06/05/2020 14:53:37.806</v>
      </c>
      <c r="C1886" t="str">
        <f t="shared" si="1005"/>
        <v>FFDFD3C0</v>
      </c>
      <c r="D1886" t="s">
        <v>151</v>
      </c>
      <c r="E1886">
        <v>8</v>
      </c>
      <c r="H1886">
        <v>225</v>
      </c>
      <c r="I1886" t="s">
        <v>353</v>
      </c>
      <c r="J1886" t="s">
        <v>150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1038"/>
        <v>14:53:43.445</v>
      </c>
      <c r="T1886" t="str">
        <f t="shared" si="1038"/>
        <v>14:53:43.445</v>
      </c>
      <c r="U1886" t="str">
        <f t="shared" si="1024"/>
        <v>ACC530</v>
      </c>
      <c r="V1886">
        <v>0</v>
      </c>
      <c r="W1886">
        <v>0</v>
      </c>
      <c r="X1886">
        <v>1</v>
      </c>
      <c r="Z1886">
        <v>0</v>
      </c>
      <c r="AA1886">
        <v>9</v>
      </c>
      <c r="AB1886">
        <v>3</v>
      </c>
      <c r="AC1886">
        <v>0</v>
      </c>
      <c r="AD1886">
        <v>9</v>
      </c>
      <c r="AE1886">
        <v>0</v>
      </c>
      <c r="AF1886">
        <v>3</v>
      </c>
      <c r="AG1886">
        <v>1</v>
      </c>
      <c r="AH1886">
        <v>0</v>
      </c>
      <c r="AI1886" t="s">
        <v>708</v>
      </c>
      <c r="AJ1886">
        <v>34.179819000000002</v>
      </c>
      <c r="AK1886" t="s">
        <v>709</v>
      </c>
      <c r="AL1886">
        <v>-117.01366400000001</v>
      </c>
      <c r="AM1886">
        <v>100</v>
      </c>
      <c r="AN1886">
        <v>8200</v>
      </c>
      <c r="AO1886" t="s">
        <v>118</v>
      </c>
      <c r="AP1886">
        <v>-98</v>
      </c>
      <c r="AQ1886">
        <v>-71</v>
      </c>
      <c r="AR1886">
        <v>-640</v>
      </c>
      <c r="AZ1886">
        <v>1200</v>
      </c>
      <c r="BA1886">
        <v>1</v>
      </c>
      <c r="BB1886" t="str">
        <f t="shared" si="1025"/>
        <v xml:space="preserve">N9217B  </v>
      </c>
      <c r="BC1886">
        <v>1</v>
      </c>
      <c r="BE1886">
        <v>0</v>
      </c>
      <c r="BF1886">
        <v>0</v>
      </c>
      <c r="BG1886">
        <v>0</v>
      </c>
      <c r="BH1886">
        <v>8150</v>
      </c>
      <c r="BI1886">
        <v>1</v>
      </c>
      <c r="BJ1886">
        <v>0</v>
      </c>
      <c r="BK1886">
        <v>0</v>
      </c>
      <c r="BL1886">
        <v>0</v>
      </c>
      <c r="BO1886">
        <v>0</v>
      </c>
      <c r="BP1886">
        <v>0</v>
      </c>
      <c r="BW1886" t="str">
        <f t="shared" si="1039"/>
        <v>14:53:43.450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285</v>
      </c>
      <c r="CR1886">
        <v>0</v>
      </c>
      <c r="CW1886">
        <v>8858965</v>
      </c>
      <c r="CY1886">
        <v>0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25">
      <c r="A1887" t="str">
        <f t="shared" si="1037"/>
        <v>06/05/2020 14:53:37.806</v>
      </c>
      <c r="C1887" t="str">
        <f t="shared" si="1005"/>
        <v>FFDFD3C0</v>
      </c>
      <c r="D1887" t="s">
        <v>151</v>
      </c>
      <c r="E1887">
        <v>9</v>
      </c>
      <c r="H1887">
        <v>226</v>
      </c>
      <c r="I1887" t="s">
        <v>152</v>
      </c>
      <c r="J1887" t="s">
        <v>150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1038"/>
        <v>14:53:43.445</v>
      </c>
      <c r="T1887" t="str">
        <f t="shared" si="1038"/>
        <v>14:53:43.445</v>
      </c>
      <c r="U1887" t="str">
        <f t="shared" si="1024"/>
        <v>ACC530</v>
      </c>
      <c r="V1887">
        <v>0</v>
      </c>
      <c r="W1887">
        <v>0</v>
      </c>
      <c r="X1887">
        <v>1</v>
      </c>
      <c r="Z1887">
        <v>0</v>
      </c>
      <c r="AA1887">
        <v>9</v>
      </c>
      <c r="AB1887">
        <v>3</v>
      </c>
      <c r="AC1887">
        <v>0</v>
      </c>
      <c r="AD1887">
        <v>9</v>
      </c>
      <c r="AE1887">
        <v>0</v>
      </c>
      <c r="AF1887">
        <v>3</v>
      </c>
      <c r="AG1887">
        <v>1</v>
      </c>
      <c r="AH1887">
        <v>0</v>
      </c>
      <c r="AI1887" t="s">
        <v>708</v>
      </c>
      <c r="AJ1887">
        <v>34.179819000000002</v>
      </c>
      <c r="AK1887" t="s">
        <v>709</v>
      </c>
      <c r="AL1887">
        <v>-117.01366400000001</v>
      </c>
      <c r="AM1887">
        <v>100</v>
      </c>
      <c r="AN1887">
        <v>8200</v>
      </c>
      <c r="AO1887" t="s">
        <v>118</v>
      </c>
      <c r="AP1887">
        <v>-98</v>
      </c>
      <c r="AQ1887">
        <v>-71</v>
      </c>
      <c r="AR1887">
        <v>-640</v>
      </c>
      <c r="AZ1887">
        <v>1200</v>
      </c>
      <c r="BA1887">
        <v>1</v>
      </c>
      <c r="BB1887" t="str">
        <f t="shared" si="1025"/>
        <v xml:space="preserve">N9217B  </v>
      </c>
      <c r="BC1887">
        <v>1</v>
      </c>
      <c r="BE1887">
        <v>0</v>
      </c>
      <c r="BF1887">
        <v>0</v>
      </c>
      <c r="BG1887">
        <v>0</v>
      </c>
      <c r="BH1887">
        <v>8150</v>
      </c>
      <c r="BI1887">
        <v>1</v>
      </c>
      <c r="BJ1887">
        <v>0</v>
      </c>
      <c r="BK1887">
        <v>0</v>
      </c>
      <c r="BL1887">
        <v>0</v>
      </c>
      <c r="BO1887">
        <v>0</v>
      </c>
      <c r="BP1887">
        <v>0</v>
      </c>
      <c r="BW1887" t="str">
        <f t="shared" si="1039"/>
        <v>14:53:43.450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285</v>
      </c>
      <c r="CR1887">
        <v>0</v>
      </c>
      <c r="CW1887">
        <v>8858965</v>
      </c>
      <c r="CY1887">
        <v>0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25">
      <c r="A1888" t="str">
        <f t="shared" si="1037"/>
        <v>06/05/2020 14:53:37.806</v>
      </c>
      <c r="C1888" t="str">
        <f t="shared" si="1005"/>
        <v>FFDFD3C0</v>
      </c>
      <c r="D1888" t="s">
        <v>148</v>
      </c>
      <c r="E1888">
        <v>8</v>
      </c>
      <c r="H1888">
        <v>50</v>
      </c>
      <c r="I1888" t="s">
        <v>149</v>
      </c>
      <c r="J1888" t="s">
        <v>150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1038"/>
        <v>14:53:43.445</v>
      </c>
      <c r="T1888" t="str">
        <f t="shared" si="1038"/>
        <v>14:53:43.445</v>
      </c>
      <c r="U1888" t="str">
        <f t="shared" si="1024"/>
        <v>ACC530</v>
      </c>
      <c r="V1888">
        <v>0</v>
      </c>
      <c r="W1888">
        <v>0</v>
      </c>
      <c r="X1888">
        <v>1</v>
      </c>
      <c r="Z1888">
        <v>0</v>
      </c>
      <c r="AA1888">
        <v>9</v>
      </c>
      <c r="AB1888">
        <v>3</v>
      </c>
      <c r="AC1888">
        <v>0</v>
      </c>
      <c r="AD1888">
        <v>9</v>
      </c>
      <c r="AE1888">
        <v>0</v>
      </c>
      <c r="AF1888">
        <v>3</v>
      </c>
      <c r="AG1888">
        <v>1</v>
      </c>
      <c r="AH1888">
        <v>0</v>
      </c>
      <c r="AI1888" t="s">
        <v>708</v>
      </c>
      <c r="AJ1888">
        <v>34.179819000000002</v>
      </c>
      <c r="AK1888" t="s">
        <v>709</v>
      </c>
      <c r="AL1888">
        <v>-117.01366400000001</v>
      </c>
      <c r="AM1888">
        <v>100</v>
      </c>
      <c r="AN1888">
        <v>8200</v>
      </c>
      <c r="AO1888" t="s">
        <v>118</v>
      </c>
      <c r="AP1888">
        <v>-98</v>
      </c>
      <c r="AQ1888">
        <v>-71</v>
      </c>
      <c r="AR1888">
        <v>-640</v>
      </c>
      <c r="AZ1888">
        <v>1200</v>
      </c>
      <c r="BA1888">
        <v>1</v>
      </c>
      <c r="BB1888" t="str">
        <f t="shared" si="1025"/>
        <v xml:space="preserve">N9217B  </v>
      </c>
      <c r="BC1888">
        <v>1</v>
      </c>
      <c r="BE1888">
        <v>0</v>
      </c>
      <c r="BF1888">
        <v>0</v>
      </c>
      <c r="BG1888">
        <v>0</v>
      </c>
      <c r="BH1888">
        <v>8150</v>
      </c>
      <c r="BI1888">
        <v>1</v>
      </c>
      <c r="BJ1888">
        <v>0</v>
      </c>
      <c r="BK1888">
        <v>0</v>
      </c>
      <c r="BL1888">
        <v>0</v>
      </c>
      <c r="BO1888">
        <v>0</v>
      </c>
      <c r="BP1888">
        <v>0</v>
      </c>
      <c r="BW1888" t="str">
        <f t="shared" si="1039"/>
        <v>14:53:43.450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285</v>
      </c>
      <c r="CR1888">
        <v>0</v>
      </c>
      <c r="CW1888">
        <v>8858965</v>
      </c>
      <c r="CY1888">
        <v>0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25">
      <c r="A1889" t="str">
        <f t="shared" si="1037"/>
        <v>06/05/2020 14:53:37.806</v>
      </c>
      <c r="C1889" t="str">
        <f t="shared" si="1005"/>
        <v>FFDFD3C0</v>
      </c>
      <c r="D1889" t="s">
        <v>134</v>
      </c>
      <c r="E1889">
        <v>7</v>
      </c>
      <c r="F1889">
        <v>2007</v>
      </c>
      <c r="G1889" t="s">
        <v>135</v>
      </c>
      <c r="J1889" t="s">
        <v>136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1038"/>
        <v>14:53:43.445</v>
      </c>
      <c r="T1889" t="str">
        <f t="shared" si="1038"/>
        <v>14:53:43.445</v>
      </c>
      <c r="U1889" t="str">
        <f t="shared" si="1024"/>
        <v>ACC530</v>
      </c>
      <c r="V1889">
        <v>0</v>
      </c>
      <c r="W1889">
        <v>0</v>
      </c>
      <c r="X1889">
        <v>1</v>
      </c>
      <c r="Z1889">
        <v>0</v>
      </c>
      <c r="AA1889">
        <v>9</v>
      </c>
      <c r="AB1889">
        <v>3</v>
      </c>
      <c r="AC1889">
        <v>0</v>
      </c>
      <c r="AD1889">
        <v>9</v>
      </c>
      <c r="AE1889">
        <v>0</v>
      </c>
      <c r="AF1889">
        <v>3</v>
      </c>
      <c r="AG1889">
        <v>1</v>
      </c>
      <c r="AH1889">
        <v>0</v>
      </c>
      <c r="AI1889" t="s">
        <v>708</v>
      </c>
      <c r="AJ1889">
        <v>34.179819000000002</v>
      </c>
      <c r="AK1889" t="s">
        <v>709</v>
      </c>
      <c r="AL1889">
        <v>-117.01366400000001</v>
      </c>
      <c r="AM1889">
        <v>100</v>
      </c>
      <c r="AN1889">
        <v>8200</v>
      </c>
      <c r="AO1889" t="s">
        <v>118</v>
      </c>
      <c r="AP1889">
        <v>-98</v>
      </c>
      <c r="AQ1889">
        <v>-71</v>
      </c>
      <c r="AR1889">
        <v>-640</v>
      </c>
      <c r="AZ1889">
        <v>1200</v>
      </c>
      <c r="BA1889">
        <v>1</v>
      </c>
      <c r="BB1889" t="str">
        <f t="shared" si="1025"/>
        <v xml:space="preserve">N9217B  </v>
      </c>
      <c r="BC1889">
        <v>1</v>
      </c>
      <c r="BE1889">
        <v>0</v>
      </c>
      <c r="BF1889">
        <v>0</v>
      </c>
      <c r="BG1889">
        <v>0</v>
      </c>
      <c r="BH1889">
        <v>8150</v>
      </c>
      <c r="BI1889">
        <v>1</v>
      </c>
      <c r="BJ1889">
        <v>0</v>
      </c>
      <c r="BK1889">
        <v>0</v>
      </c>
      <c r="BL1889">
        <v>0</v>
      </c>
      <c r="BO1889">
        <v>0</v>
      </c>
      <c r="BP1889">
        <v>0</v>
      </c>
      <c r="BW1889" t="str">
        <f t="shared" si="1039"/>
        <v>14:53:43.450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285</v>
      </c>
      <c r="CR1889">
        <v>0</v>
      </c>
      <c r="CW1889">
        <v>8858965</v>
      </c>
      <c r="CY1889">
        <v>0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25">
      <c r="A1890" t="str">
        <f t="shared" si="1037"/>
        <v>06/05/2020 14:53:37.806</v>
      </c>
      <c r="C1890" t="str">
        <f t="shared" si="1005"/>
        <v>FFDFD3C0</v>
      </c>
      <c r="D1890" t="s">
        <v>141</v>
      </c>
      <c r="E1890">
        <v>20</v>
      </c>
      <c r="F1890">
        <v>1020</v>
      </c>
      <c r="G1890" t="s">
        <v>114</v>
      </c>
      <c r="J1890" t="s">
        <v>142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1038"/>
        <v>14:53:43.445</v>
      </c>
      <c r="T1890" t="str">
        <f t="shared" si="1038"/>
        <v>14:53:43.445</v>
      </c>
      <c r="U1890" t="str">
        <f t="shared" si="1024"/>
        <v>ACC530</v>
      </c>
      <c r="V1890">
        <v>0</v>
      </c>
      <c r="W1890">
        <v>0</v>
      </c>
      <c r="X1890">
        <v>1</v>
      </c>
      <c r="Z1890">
        <v>0</v>
      </c>
      <c r="AA1890">
        <v>9</v>
      </c>
      <c r="AB1890">
        <v>3</v>
      </c>
      <c r="AC1890">
        <v>0</v>
      </c>
      <c r="AD1890">
        <v>9</v>
      </c>
      <c r="AE1890">
        <v>0</v>
      </c>
      <c r="AF1890">
        <v>3</v>
      </c>
      <c r="AG1890">
        <v>1</v>
      </c>
      <c r="AH1890">
        <v>0</v>
      </c>
      <c r="AI1890" t="s">
        <v>708</v>
      </c>
      <c r="AJ1890">
        <v>34.179819000000002</v>
      </c>
      <c r="AK1890" t="s">
        <v>709</v>
      </c>
      <c r="AL1890">
        <v>-117.01366400000001</v>
      </c>
      <c r="AM1890">
        <v>100</v>
      </c>
      <c r="AN1890">
        <v>8200</v>
      </c>
      <c r="AO1890" t="s">
        <v>118</v>
      </c>
      <c r="AP1890">
        <v>-98</v>
      </c>
      <c r="AQ1890">
        <v>-71</v>
      </c>
      <c r="AR1890">
        <v>-640</v>
      </c>
      <c r="AZ1890">
        <v>1200</v>
      </c>
      <c r="BA1890">
        <v>1</v>
      </c>
      <c r="BB1890" t="str">
        <f t="shared" si="1025"/>
        <v xml:space="preserve">N9217B  </v>
      </c>
      <c r="BC1890">
        <v>1</v>
      </c>
      <c r="BE1890">
        <v>0</v>
      </c>
      <c r="BF1890">
        <v>0</v>
      </c>
      <c r="BG1890">
        <v>0</v>
      </c>
      <c r="BH1890">
        <v>8150</v>
      </c>
      <c r="BI1890">
        <v>1</v>
      </c>
      <c r="BJ1890">
        <v>0</v>
      </c>
      <c r="BK1890">
        <v>0</v>
      </c>
      <c r="BL1890">
        <v>0</v>
      </c>
      <c r="BO1890">
        <v>0</v>
      </c>
      <c r="BP1890">
        <v>0</v>
      </c>
      <c r="BW1890" t="str">
        <f t="shared" si="1039"/>
        <v>14:53:43.450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285</v>
      </c>
      <c r="CR1890">
        <v>0</v>
      </c>
      <c r="CW1890">
        <v>8858965</v>
      </c>
      <c r="CY1890">
        <v>0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25">
      <c r="A1891" t="str">
        <f t="shared" ref="A1891:A1897" si="1040">"06/05/2020 14:53:38.767"</f>
        <v>06/05/2020 14:53:38.767</v>
      </c>
      <c r="C1891" t="str">
        <f t="shared" ref="C1891:C1954" si="1041">"FFDFD3C0"</f>
        <v>FFDFD3C0</v>
      </c>
      <c r="D1891" t="s">
        <v>113</v>
      </c>
      <c r="E1891">
        <v>3</v>
      </c>
      <c r="H1891">
        <v>166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"14:53:44.406"</f>
        <v>14:53:44.406</v>
      </c>
      <c r="T1891" t="str">
        <f>"14:53:44.406"</f>
        <v>14:53:44.406</v>
      </c>
      <c r="U1891" t="str">
        <f t="shared" si="1024"/>
        <v>ACC530</v>
      </c>
      <c r="V1891">
        <v>0</v>
      </c>
      <c r="W1891">
        <v>0</v>
      </c>
      <c r="X1891">
        <v>1</v>
      </c>
      <c r="Z1891">
        <v>0</v>
      </c>
      <c r="AA1891">
        <v>9</v>
      </c>
      <c r="AB1891">
        <v>3</v>
      </c>
      <c r="AC1891">
        <v>0</v>
      </c>
      <c r="AD1891">
        <v>9</v>
      </c>
      <c r="AE1891">
        <v>0</v>
      </c>
      <c r="AF1891">
        <v>3</v>
      </c>
      <c r="AG1891">
        <v>1</v>
      </c>
      <c r="AH1891">
        <v>0</v>
      </c>
      <c r="AI1891" t="s">
        <v>710</v>
      </c>
      <c r="AJ1891">
        <v>34.179518000000002</v>
      </c>
      <c r="AK1891" t="s">
        <v>711</v>
      </c>
      <c r="AL1891">
        <v>-117.01415799999999</v>
      </c>
      <c r="AM1891">
        <v>100</v>
      </c>
      <c r="AN1891">
        <v>8200</v>
      </c>
      <c r="AO1891" t="s">
        <v>118</v>
      </c>
      <c r="AP1891">
        <v>-97</v>
      </c>
      <c r="AQ1891">
        <v>-72</v>
      </c>
      <c r="AR1891">
        <v>-640</v>
      </c>
      <c r="AZ1891">
        <v>1200</v>
      </c>
      <c r="BA1891">
        <v>1</v>
      </c>
      <c r="BB1891" t="str">
        <f t="shared" si="1025"/>
        <v xml:space="preserve">N9217B  </v>
      </c>
      <c r="BC1891">
        <v>1</v>
      </c>
      <c r="BE1891">
        <v>0</v>
      </c>
      <c r="BF1891">
        <v>0</v>
      </c>
      <c r="BG1891">
        <v>0</v>
      </c>
      <c r="BH1891">
        <v>8150</v>
      </c>
      <c r="BI1891">
        <v>1</v>
      </c>
      <c r="BJ1891">
        <v>0</v>
      </c>
      <c r="BK1891">
        <v>0</v>
      </c>
      <c r="BL1891">
        <v>0</v>
      </c>
      <c r="BO1891">
        <v>0</v>
      </c>
      <c r="BP1891">
        <v>0</v>
      </c>
      <c r="BW1891" t="str">
        <f t="shared" ref="BW1891:BW1897" si="1042">"14:53:44.410"</f>
        <v>14:53:44.410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293</v>
      </c>
      <c r="CR1891">
        <v>1</v>
      </c>
      <c r="CW1891">
        <v>15294862</v>
      </c>
      <c r="CY1891">
        <v>0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25">
      <c r="A1892" t="str">
        <f t="shared" si="1040"/>
        <v>06/05/2020 14:53:38.767</v>
      </c>
      <c r="C1892" t="str">
        <f t="shared" si="1041"/>
        <v>FFDFD3C0</v>
      </c>
      <c r="D1892" t="s">
        <v>148</v>
      </c>
      <c r="E1892">
        <v>11</v>
      </c>
      <c r="H1892">
        <v>53</v>
      </c>
      <c r="I1892" t="s">
        <v>364</v>
      </c>
      <c r="J1892" t="s">
        <v>150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"14:53:44.406"</f>
        <v>14:53:44.406</v>
      </c>
      <c r="T1892" t="str">
        <f>"14:53:44.406"</f>
        <v>14:53:44.406</v>
      </c>
      <c r="U1892" t="str">
        <f t="shared" si="1024"/>
        <v>ACC530</v>
      </c>
      <c r="V1892">
        <v>0</v>
      </c>
      <c r="W1892">
        <v>0</v>
      </c>
      <c r="X1892">
        <v>1</v>
      </c>
      <c r="Z1892">
        <v>0</v>
      </c>
      <c r="AA1892">
        <v>9</v>
      </c>
      <c r="AB1892">
        <v>3</v>
      </c>
      <c r="AC1892">
        <v>0</v>
      </c>
      <c r="AD1892">
        <v>9</v>
      </c>
      <c r="AE1892">
        <v>0</v>
      </c>
      <c r="AF1892">
        <v>3</v>
      </c>
      <c r="AG1892">
        <v>1</v>
      </c>
      <c r="AH1892">
        <v>0</v>
      </c>
      <c r="AI1892" t="s">
        <v>710</v>
      </c>
      <c r="AJ1892">
        <v>34.179518000000002</v>
      </c>
      <c r="AK1892" t="s">
        <v>711</v>
      </c>
      <c r="AL1892">
        <v>-117.01415799999999</v>
      </c>
      <c r="AM1892">
        <v>100</v>
      </c>
      <c r="AN1892">
        <v>8200</v>
      </c>
      <c r="AO1892" t="s">
        <v>118</v>
      </c>
      <c r="AP1892">
        <v>-97</v>
      </c>
      <c r="AQ1892">
        <v>-72</v>
      </c>
      <c r="AR1892">
        <v>-640</v>
      </c>
      <c r="AZ1892">
        <v>1200</v>
      </c>
      <c r="BA1892">
        <v>1</v>
      </c>
      <c r="BB1892" t="str">
        <f t="shared" si="1025"/>
        <v xml:space="preserve">N9217B  </v>
      </c>
      <c r="BC1892">
        <v>1</v>
      </c>
      <c r="BE1892">
        <v>0</v>
      </c>
      <c r="BF1892">
        <v>0</v>
      </c>
      <c r="BG1892">
        <v>0</v>
      </c>
      <c r="BH1892">
        <v>8150</v>
      </c>
      <c r="BI1892">
        <v>1</v>
      </c>
      <c r="BJ1892">
        <v>0</v>
      </c>
      <c r="BK1892">
        <v>0</v>
      </c>
      <c r="BL1892">
        <v>0</v>
      </c>
      <c r="BO1892">
        <v>0</v>
      </c>
      <c r="BP1892">
        <v>0</v>
      </c>
      <c r="BW1892" t="str">
        <f t="shared" si="1042"/>
        <v>14:53:44.410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293</v>
      </c>
      <c r="CR1892">
        <v>1</v>
      </c>
      <c r="CW1892">
        <v>15294862</v>
      </c>
      <c r="CY1892">
        <v>0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25">
      <c r="A1893" t="str">
        <f t="shared" si="1040"/>
        <v>06/05/2020 14:53:38.767</v>
      </c>
      <c r="C1893" t="str">
        <f t="shared" si="1041"/>
        <v>FFDFD3C0</v>
      </c>
      <c r="D1893" t="s">
        <v>151</v>
      </c>
      <c r="E1893">
        <v>8</v>
      </c>
      <c r="H1893">
        <v>225</v>
      </c>
      <c r="I1893" t="s">
        <v>353</v>
      </c>
      <c r="J1893" t="s">
        <v>150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"14:53:44.406"</f>
        <v>14:53:44.406</v>
      </c>
      <c r="T1893" t="str">
        <f>"14:53:43.906"</f>
        <v>14:53:43.906</v>
      </c>
      <c r="U1893" t="str">
        <f t="shared" si="1024"/>
        <v>ACC530</v>
      </c>
      <c r="V1893">
        <v>0</v>
      </c>
      <c r="W1893">
        <v>0</v>
      </c>
      <c r="X1893">
        <v>1</v>
      </c>
      <c r="Z1893">
        <v>0</v>
      </c>
      <c r="AA1893">
        <v>9</v>
      </c>
      <c r="AB1893">
        <v>3</v>
      </c>
      <c r="AC1893">
        <v>0</v>
      </c>
      <c r="AD1893">
        <v>9</v>
      </c>
      <c r="AE1893">
        <v>0</v>
      </c>
      <c r="AF1893">
        <v>3</v>
      </c>
      <c r="AG1893">
        <v>1</v>
      </c>
      <c r="AH1893">
        <v>0</v>
      </c>
      <c r="AI1893" t="s">
        <v>710</v>
      </c>
      <c r="AJ1893">
        <v>34.179518000000002</v>
      </c>
      <c r="AK1893" t="s">
        <v>711</v>
      </c>
      <c r="AL1893">
        <v>-117.01415799999999</v>
      </c>
      <c r="AM1893">
        <v>100</v>
      </c>
      <c r="AN1893">
        <v>8200</v>
      </c>
      <c r="AO1893" t="s">
        <v>118</v>
      </c>
      <c r="AP1893">
        <v>-98</v>
      </c>
      <c r="AQ1893">
        <v>-72</v>
      </c>
      <c r="AR1893">
        <v>-640</v>
      </c>
      <c r="AZ1893">
        <v>1200</v>
      </c>
      <c r="BA1893">
        <v>1</v>
      </c>
      <c r="BB1893" t="str">
        <f t="shared" si="1025"/>
        <v xml:space="preserve">N9217B  </v>
      </c>
      <c r="BC1893">
        <v>1</v>
      </c>
      <c r="BE1893">
        <v>0</v>
      </c>
      <c r="BF1893">
        <v>0</v>
      </c>
      <c r="BG1893">
        <v>0</v>
      </c>
      <c r="BH1893">
        <v>8150</v>
      </c>
      <c r="BI1893">
        <v>1</v>
      </c>
      <c r="BJ1893">
        <v>0</v>
      </c>
      <c r="BK1893">
        <v>0</v>
      </c>
      <c r="BL1893">
        <v>0</v>
      </c>
      <c r="BO1893">
        <v>0</v>
      </c>
      <c r="BP1893">
        <v>0</v>
      </c>
      <c r="BW1893" t="str">
        <f t="shared" si="1042"/>
        <v>14:53:44.410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285</v>
      </c>
      <c r="CR1893">
        <v>0</v>
      </c>
      <c r="CW1893">
        <v>8859044</v>
      </c>
      <c r="CY1893">
        <v>0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25">
      <c r="A1894" t="str">
        <f t="shared" si="1040"/>
        <v>06/05/2020 14:53:38.767</v>
      </c>
      <c r="C1894" t="str">
        <f t="shared" si="1041"/>
        <v>FFDFD3C0</v>
      </c>
      <c r="D1894" t="s">
        <v>151</v>
      </c>
      <c r="E1894">
        <v>9</v>
      </c>
      <c r="H1894">
        <v>226</v>
      </c>
      <c r="I1894" t="s">
        <v>152</v>
      </c>
      <c r="J1894" t="s">
        <v>150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"14:53:44.406"</f>
        <v>14:53:44.406</v>
      </c>
      <c r="T1894" t="str">
        <f>"14:53:44.406"</f>
        <v>14:53:44.406</v>
      </c>
      <c r="U1894" t="str">
        <f t="shared" si="1024"/>
        <v>ACC530</v>
      </c>
      <c r="V1894">
        <v>0</v>
      </c>
      <c r="W1894">
        <v>0</v>
      </c>
      <c r="X1894">
        <v>1</v>
      </c>
      <c r="Z1894">
        <v>0</v>
      </c>
      <c r="AA1894">
        <v>9</v>
      </c>
      <c r="AB1894">
        <v>3</v>
      </c>
      <c r="AC1894">
        <v>0</v>
      </c>
      <c r="AD1894">
        <v>9</v>
      </c>
      <c r="AE1894">
        <v>0</v>
      </c>
      <c r="AF1894">
        <v>3</v>
      </c>
      <c r="AG1894">
        <v>1</v>
      </c>
      <c r="AH1894">
        <v>0</v>
      </c>
      <c r="AI1894" t="s">
        <v>710</v>
      </c>
      <c r="AJ1894">
        <v>34.179518000000002</v>
      </c>
      <c r="AK1894" t="s">
        <v>711</v>
      </c>
      <c r="AL1894">
        <v>-117.01415799999999</v>
      </c>
      <c r="AM1894">
        <v>100</v>
      </c>
      <c r="AN1894">
        <v>8200</v>
      </c>
      <c r="AO1894" t="s">
        <v>118</v>
      </c>
      <c r="AP1894">
        <v>-97</v>
      </c>
      <c r="AQ1894">
        <v>-72</v>
      </c>
      <c r="AR1894">
        <v>-640</v>
      </c>
      <c r="AZ1894">
        <v>1200</v>
      </c>
      <c r="BA1894">
        <v>1</v>
      </c>
      <c r="BB1894" t="str">
        <f t="shared" si="1025"/>
        <v xml:space="preserve">N9217B  </v>
      </c>
      <c r="BC1894">
        <v>1</v>
      </c>
      <c r="BE1894">
        <v>0</v>
      </c>
      <c r="BF1894">
        <v>0</v>
      </c>
      <c r="BG1894">
        <v>0</v>
      </c>
      <c r="BH1894">
        <v>8150</v>
      </c>
      <c r="BI1894">
        <v>1</v>
      </c>
      <c r="BJ1894">
        <v>0</v>
      </c>
      <c r="BK1894">
        <v>0</v>
      </c>
      <c r="BL1894">
        <v>0</v>
      </c>
      <c r="BO1894">
        <v>0</v>
      </c>
      <c r="BP1894">
        <v>0</v>
      </c>
      <c r="BW1894" t="str">
        <f t="shared" si="1042"/>
        <v>14:53:44.410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293</v>
      </c>
      <c r="CR1894">
        <v>1</v>
      </c>
      <c r="CW1894">
        <v>15294862</v>
      </c>
      <c r="CY1894">
        <v>0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25">
      <c r="A1895" t="str">
        <f t="shared" si="1040"/>
        <v>06/05/2020 14:53:38.767</v>
      </c>
      <c r="C1895" t="str">
        <f t="shared" si="1041"/>
        <v>FFDFD3C0</v>
      </c>
      <c r="D1895" t="s">
        <v>134</v>
      </c>
      <c r="E1895">
        <v>7</v>
      </c>
      <c r="F1895">
        <v>2007</v>
      </c>
      <c r="G1895" t="s">
        <v>135</v>
      </c>
      <c r="J1895" t="s">
        <v>136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"14:53:44.406"</f>
        <v>14:53:44.406</v>
      </c>
      <c r="T1895" t="str">
        <f>"14:53:44.406"</f>
        <v>14:53:44.406</v>
      </c>
      <c r="U1895" t="str">
        <f t="shared" si="1024"/>
        <v>ACC530</v>
      </c>
      <c r="V1895">
        <v>0</v>
      </c>
      <c r="W1895">
        <v>0</v>
      </c>
      <c r="X1895">
        <v>1</v>
      </c>
      <c r="Z1895">
        <v>0</v>
      </c>
      <c r="AA1895">
        <v>9</v>
      </c>
      <c r="AB1895">
        <v>3</v>
      </c>
      <c r="AC1895">
        <v>0</v>
      </c>
      <c r="AD1895">
        <v>9</v>
      </c>
      <c r="AE1895">
        <v>0</v>
      </c>
      <c r="AF1895">
        <v>3</v>
      </c>
      <c r="AG1895">
        <v>1</v>
      </c>
      <c r="AH1895">
        <v>0</v>
      </c>
      <c r="AI1895" t="s">
        <v>710</v>
      </c>
      <c r="AJ1895">
        <v>34.179518000000002</v>
      </c>
      <c r="AK1895" t="s">
        <v>711</v>
      </c>
      <c r="AL1895">
        <v>-117.01415799999999</v>
      </c>
      <c r="AM1895">
        <v>100</v>
      </c>
      <c r="AN1895">
        <v>8200</v>
      </c>
      <c r="AO1895" t="s">
        <v>118</v>
      </c>
      <c r="AP1895">
        <v>-97</v>
      </c>
      <c r="AQ1895">
        <v>-72</v>
      </c>
      <c r="AR1895">
        <v>-640</v>
      </c>
      <c r="AZ1895">
        <v>1200</v>
      </c>
      <c r="BA1895">
        <v>1</v>
      </c>
      <c r="BB1895" t="str">
        <f t="shared" si="1025"/>
        <v xml:space="preserve">N9217B  </v>
      </c>
      <c r="BC1895">
        <v>1</v>
      </c>
      <c r="BE1895">
        <v>0</v>
      </c>
      <c r="BF1895">
        <v>0</v>
      </c>
      <c r="BG1895">
        <v>0</v>
      </c>
      <c r="BH1895">
        <v>8150</v>
      </c>
      <c r="BI1895">
        <v>1</v>
      </c>
      <c r="BJ1895">
        <v>0</v>
      </c>
      <c r="BK1895">
        <v>0</v>
      </c>
      <c r="BL1895">
        <v>0</v>
      </c>
      <c r="BO1895">
        <v>0</v>
      </c>
      <c r="BP1895">
        <v>0</v>
      </c>
      <c r="BW1895" t="str">
        <f t="shared" si="1042"/>
        <v>14:53:44.410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293</v>
      </c>
      <c r="CR1895">
        <v>1</v>
      </c>
      <c r="CW1895">
        <v>15294862</v>
      </c>
      <c r="CY1895">
        <v>0</v>
      </c>
      <c r="CZ1895">
        <v>0</v>
      </c>
      <c r="DA1895">
        <v>1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25">
      <c r="A1896" t="str">
        <f t="shared" si="1040"/>
        <v>06/05/2020 14:53:38.767</v>
      </c>
      <c r="C1896" t="str">
        <f t="shared" si="1041"/>
        <v>FFDFD3C0</v>
      </c>
      <c r="D1896" t="s">
        <v>148</v>
      </c>
      <c r="E1896">
        <v>8</v>
      </c>
      <c r="H1896">
        <v>50</v>
      </c>
      <c r="I1896" t="s">
        <v>149</v>
      </c>
      <c r="J1896" t="s">
        <v>150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"14:53:44.406"</f>
        <v>14:53:44.406</v>
      </c>
      <c r="T1896" t="str">
        <f>"14:53:44.406"</f>
        <v>14:53:44.406</v>
      </c>
      <c r="U1896" t="str">
        <f t="shared" si="1024"/>
        <v>ACC530</v>
      </c>
      <c r="V1896">
        <v>0</v>
      </c>
      <c r="W1896">
        <v>0</v>
      </c>
      <c r="X1896">
        <v>1</v>
      </c>
      <c r="Z1896">
        <v>0</v>
      </c>
      <c r="AA1896">
        <v>9</v>
      </c>
      <c r="AB1896">
        <v>3</v>
      </c>
      <c r="AC1896">
        <v>0</v>
      </c>
      <c r="AD1896">
        <v>9</v>
      </c>
      <c r="AE1896">
        <v>0</v>
      </c>
      <c r="AF1896">
        <v>3</v>
      </c>
      <c r="AG1896">
        <v>1</v>
      </c>
      <c r="AH1896">
        <v>0</v>
      </c>
      <c r="AI1896" t="s">
        <v>710</v>
      </c>
      <c r="AJ1896">
        <v>34.179518000000002</v>
      </c>
      <c r="AK1896" t="s">
        <v>711</v>
      </c>
      <c r="AL1896">
        <v>-117.01415799999999</v>
      </c>
      <c r="AM1896">
        <v>100</v>
      </c>
      <c r="AN1896">
        <v>8200</v>
      </c>
      <c r="AO1896" t="s">
        <v>118</v>
      </c>
      <c r="AP1896">
        <v>-97</v>
      </c>
      <c r="AQ1896">
        <v>-72</v>
      </c>
      <c r="AR1896">
        <v>-640</v>
      </c>
      <c r="AZ1896">
        <v>1200</v>
      </c>
      <c r="BA1896">
        <v>1</v>
      </c>
      <c r="BB1896" t="str">
        <f t="shared" si="1025"/>
        <v xml:space="preserve">N9217B  </v>
      </c>
      <c r="BC1896">
        <v>1</v>
      </c>
      <c r="BE1896">
        <v>0</v>
      </c>
      <c r="BF1896">
        <v>0</v>
      </c>
      <c r="BG1896">
        <v>0</v>
      </c>
      <c r="BH1896">
        <v>8150</v>
      </c>
      <c r="BI1896">
        <v>1</v>
      </c>
      <c r="BJ1896">
        <v>0</v>
      </c>
      <c r="BK1896">
        <v>0</v>
      </c>
      <c r="BL1896">
        <v>0</v>
      </c>
      <c r="BO1896">
        <v>0</v>
      </c>
      <c r="BP1896">
        <v>0</v>
      </c>
      <c r="BW1896" t="str">
        <f t="shared" si="1042"/>
        <v>14:53:44.410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293</v>
      </c>
      <c r="CR1896">
        <v>1</v>
      </c>
      <c r="CW1896">
        <v>15294862</v>
      </c>
      <c r="CY1896">
        <v>0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25">
      <c r="A1897" t="str">
        <f t="shared" si="1040"/>
        <v>06/05/2020 14:53:38.767</v>
      </c>
      <c r="C1897" t="str">
        <f t="shared" si="1041"/>
        <v>FFDFD3C0</v>
      </c>
      <c r="D1897" t="s">
        <v>141</v>
      </c>
      <c r="E1897">
        <v>20</v>
      </c>
      <c r="F1897">
        <v>1020</v>
      </c>
      <c r="G1897" t="s">
        <v>114</v>
      </c>
      <c r="J1897" t="s">
        <v>142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"14:53:44.406"</f>
        <v>14:53:44.406</v>
      </c>
      <c r="T1897" t="str">
        <f>"14:53:44.406"</f>
        <v>14:53:44.406</v>
      </c>
      <c r="U1897" t="str">
        <f t="shared" si="1024"/>
        <v>ACC530</v>
      </c>
      <c r="V1897">
        <v>0</v>
      </c>
      <c r="W1897">
        <v>0</v>
      </c>
      <c r="X1897">
        <v>1</v>
      </c>
      <c r="Z1897">
        <v>0</v>
      </c>
      <c r="AA1897">
        <v>9</v>
      </c>
      <c r="AB1897">
        <v>3</v>
      </c>
      <c r="AC1897">
        <v>0</v>
      </c>
      <c r="AD1897">
        <v>9</v>
      </c>
      <c r="AE1897">
        <v>0</v>
      </c>
      <c r="AF1897">
        <v>3</v>
      </c>
      <c r="AG1897">
        <v>1</v>
      </c>
      <c r="AH1897">
        <v>0</v>
      </c>
      <c r="AI1897" t="s">
        <v>710</v>
      </c>
      <c r="AJ1897">
        <v>34.179518000000002</v>
      </c>
      <c r="AK1897" t="s">
        <v>711</v>
      </c>
      <c r="AL1897">
        <v>-117.01415799999999</v>
      </c>
      <c r="AM1897">
        <v>100</v>
      </c>
      <c r="AN1897">
        <v>8200</v>
      </c>
      <c r="AO1897" t="s">
        <v>118</v>
      </c>
      <c r="AP1897">
        <v>-97</v>
      </c>
      <c r="AQ1897">
        <v>-72</v>
      </c>
      <c r="AR1897">
        <v>-640</v>
      </c>
      <c r="AZ1897">
        <v>1200</v>
      </c>
      <c r="BA1897">
        <v>1</v>
      </c>
      <c r="BB1897" t="str">
        <f t="shared" si="1025"/>
        <v xml:space="preserve">N9217B  </v>
      </c>
      <c r="BC1897">
        <v>1</v>
      </c>
      <c r="BE1897">
        <v>0</v>
      </c>
      <c r="BF1897">
        <v>0</v>
      </c>
      <c r="BG1897">
        <v>0</v>
      </c>
      <c r="BH1897">
        <v>8150</v>
      </c>
      <c r="BI1897">
        <v>1</v>
      </c>
      <c r="BJ1897">
        <v>0</v>
      </c>
      <c r="BK1897">
        <v>0</v>
      </c>
      <c r="BL1897">
        <v>0</v>
      </c>
      <c r="BO1897">
        <v>0</v>
      </c>
      <c r="BP1897">
        <v>0</v>
      </c>
      <c r="BW1897" t="str">
        <f t="shared" si="1042"/>
        <v>14:53:44.410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293</v>
      </c>
      <c r="CR1897">
        <v>1</v>
      </c>
      <c r="CW1897">
        <v>15294862</v>
      </c>
      <c r="CY1897">
        <v>0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25">
      <c r="A1898" t="str">
        <f t="shared" ref="A1898:A1904" si="1043">"06/05/2020 14:53:39.661"</f>
        <v>06/05/2020 14:53:39.661</v>
      </c>
      <c r="C1898" t="str">
        <f t="shared" si="1041"/>
        <v>FFDFD3C0</v>
      </c>
      <c r="D1898" t="s">
        <v>141</v>
      </c>
      <c r="E1898">
        <v>20</v>
      </c>
      <c r="F1898">
        <v>1020</v>
      </c>
      <c r="G1898" t="s">
        <v>114</v>
      </c>
      <c r="J1898" t="s">
        <v>142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ref="S1898:T1904" si="1044">"14:53:45.289"</f>
        <v>14:53:45.289</v>
      </c>
      <c r="T1898" t="str">
        <f t="shared" si="1044"/>
        <v>14:53:45.289</v>
      </c>
      <c r="U1898" t="str">
        <f t="shared" si="1024"/>
        <v>ACC530</v>
      </c>
      <c r="V1898">
        <v>0</v>
      </c>
      <c r="W1898">
        <v>0</v>
      </c>
      <c r="X1898">
        <v>1</v>
      </c>
      <c r="Z1898">
        <v>0</v>
      </c>
      <c r="AA1898">
        <v>9</v>
      </c>
      <c r="AB1898">
        <v>3</v>
      </c>
      <c r="AC1898">
        <v>0</v>
      </c>
      <c r="AD1898">
        <v>9</v>
      </c>
      <c r="AE1898">
        <v>0</v>
      </c>
      <c r="AF1898">
        <v>3</v>
      </c>
      <c r="AG1898">
        <v>1</v>
      </c>
      <c r="AH1898">
        <v>0</v>
      </c>
      <c r="AI1898" t="s">
        <v>712</v>
      </c>
      <c r="AJ1898">
        <v>34.179195999999997</v>
      </c>
      <c r="AK1898" t="s">
        <v>713</v>
      </c>
      <c r="AL1898">
        <v>-117.01458700000001</v>
      </c>
      <c r="AM1898">
        <v>100</v>
      </c>
      <c r="AN1898">
        <v>8100</v>
      </c>
      <c r="AO1898" t="s">
        <v>118</v>
      </c>
      <c r="AP1898">
        <v>-97</v>
      </c>
      <c r="AQ1898">
        <v>-72</v>
      </c>
      <c r="AR1898">
        <v>-640</v>
      </c>
      <c r="AZ1898">
        <v>1200</v>
      </c>
      <c r="BA1898">
        <v>1</v>
      </c>
      <c r="BB1898" t="str">
        <f t="shared" si="1025"/>
        <v xml:space="preserve">N9217B  </v>
      </c>
      <c r="BC1898">
        <v>1</v>
      </c>
      <c r="BE1898">
        <v>0</v>
      </c>
      <c r="BF1898">
        <v>0</v>
      </c>
      <c r="BG1898">
        <v>0</v>
      </c>
      <c r="BH1898">
        <v>8150</v>
      </c>
      <c r="BI1898">
        <v>1</v>
      </c>
      <c r="BJ1898">
        <v>0</v>
      </c>
      <c r="BK1898">
        <v>0</v>
      </c>
      <c r="BL1898">
        <v>0</v>
      </c>
      <c r="BO1898">
        <v>0</v>
      </c>
      <c r="BP1898">
        <v>0</v>
      </c>
      <c r="BW1898" t="str">
        <f t="shared" ref="BW1898:BW1904" si="1045">"14:53:45.295"</f>
        <v>14:53:45.295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293</v>
      </c>
      <c r="CR1898">
        <v>1</v>
      </c>
      <c r="CW1898">
        <v>15294958</v>
      </c>
      <c r="CY1898">
        <v>0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25">
      <c r="A1899" t="str">
        <f t="shared" si="1043"/>
        <v>06/05/2020 14:53:39.661</v>
      </c>
      <c r="C1899" t="str">
        <f t="shared" si="1041"/>
        <v>FFDFD3C0</v>
      </c>
      <c r="D1899" t="s">
        <v>113</v>
      </c>
      <c r="E1899">
        <v>3</v>
      </c>
      <c r="H1899">
        <v>166</v>
      </c>
      <c r="I1899" t="s">
        <v>114</v>
      </c>
      <c r="J1899" t="s">
        <v>115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1044"/>
        <v>14:53:45.289</v>
      </c>
      <c r="T1899" t="str">
        <f t="shared" si="1044"/>
        <v>14:53:45.289</v>
      </c>
      <c r="U1899" t="str">
        <f t="shared" si="1024"/>
        <v>ACC530</v>
      </c>
      <c r="V1899">
        <v>0</v>
      </c>
      <c r="W1899">
        <v>0</v>
      </c>
      <c r="X1899">
        <v>1</v>
      </c>
      <c r="Z1899">
        <v>0</v>
      </c>
      <c r="AA1899">
        <v>9</v>
      </c>
      <c r="AB1899">
        <v>3</v>
      </c>
      <c r="AC1899">
        <v>0</v>
      </c>
      <c r="AD1899">
        <v>9</v>
      </c>
      <c r="AE1899">
        <v>0</v>
      </c>
      <c r="AF1899">
        <v>3</v>
      </c>
      <c r="AG1899">
        <v>1</v>
      </c>
      <c r="AH1899">
        <v>0</v>
      </c>
      <c r="AI1899" t="s">
        <v>712</v>
      </c>
      <c r="AJ1899">
        <v>34.179195999999997</v>
      </c>
      <c r="AK1899" t="s">
        <v>713</v>
      </c>
      <c r="AL1899">
        <v>-117.01458700000001</v>
      </c>
      <c r="AM1899">
        <v>100</v>
      </c>
      <c r="AN1899">
        <v>8100</v>
      </c>
      <c r="AO1899" t="s">
        <v>118</v>
      </c>
      <c r="AP1899">
        <v>-97</v>
      </c>
      <c r="AQ1899">
        <v>-72</v>
      </c>
      <c r="AR1899">
        <v>-640</v>
      </c>
      <c r="AZ1899">
        <v>1200</v>
      </c>
      <c r="BA1899">
        <v>1</v>
      </c>
      <c r="BB1899" t="str">
        <f t="shared" si="1025"/>
        <v xml:space="preserve">N9217B  </v>
      </c>
      <c r="BC1899">
        <v>1</v>
      </c>
      <c r="BE1899">
        <v>0</v>
      </c>
      <c r="BF1899">
        <v>0</v>
      </c>
      <c r="BG1899">
        <v>0</v>
      </c>
      <c r="BH1899">
        <v>8150</v>
      </c>
      <c r="BI1899">
        <v>1</v>
      </c>
      <c r="BJ1899">
        <v>0</v>
      </c>
      <c r="BK1899">
        <v>0</v>
      </c>
      <c r="BL1899">
        <v>0</v>
      </c>
      <c r="BO1899">
        <v>0</v>
      </c>
      <c r="BP1899">
        <v>0</v>
      </c>
      <c r="BW1899" t="str">
        <f t="shared" si="1045"/>
        <v>14:53:45.295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293</v>
      </c>
      <c r="CR1899">
        <v>1</v>
      </c>
      <c r="CW1899">
        <v>15294958</v>
      </c>
      <c r="CY1899">
        <v>0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25">
      <c r="A1900" t="str">
        <f t="shared" si="1043"/>
        <v>06/05/2020 14:53:39.661</v>
      </c>
      <c r="C1900" t="str">
        <f t="shared" si="1041"/>
        <v>FFDFD3C0</v>
      </c>
      <c r="D1900" t="s">
        <v>148</v>
      </c>
      <c r="E1900">
        <v>11</v>
      </c>
      <c r="H1900">
        <v>53</v>
      </c>
      <c r="I1900" t="s">
        <v>364</v>
      </c>
      <c r="J1900" t="s">
        <v>150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1044"/>
        <v>14:53:45.289</v>
      </c>
      <c r="T1900" t="str">
        <f t="shared" si="1044"/>
        <v>14:53:45.289</v>
      </c>
      <c r="U1900" t="str">
        <f t="shared" si="1024"/>
        <v>ACC530</v>
      </c>
      <c r="V1900">
        <v>0</v>
      </c>
      <c r="W1900">
        <v>0</v>
      </c>
      <c r="X1900">
        <v>1</v>
      </c>
      <c r="Z1900">
        <v>0</v>
      </c>
      <c r="AA1900">
        <v>9</v>
      </c>
      <c r="AB1900">
        <v>3</v>
      </c>
      <c r="AC1900">
        <v>0</v>
      </c>
      <c r="AD1900">
        <v>9</v>
      </c>
      <c r="AE1900">
        <v>0</v>
      </c>
      <c r="AF1900">
        <v>3</v>
      </c>
      <c r="AG1900">
        <v>1</v>
      </c>
      <c r="AH1900">
        <v>0</v>
      </c>
      <c r="AI1900" t="s">
        <v>712</v>
      </c>
      <c r="AJ1900">
        <v>34.179195999999997</v>
      </c>
      <c r="AK1900" t="s">
        <v>713</v>
      </c>
      <c r="AL1900">
        <v>-117.01458700000001</v>
      </c>
      <c r="AM1900">
        <v>100</v>
      </c>
      <c r="AN1900">
        <v>8100</v>
      </c>
      <c r="AO1900" t="s">
        <v>118</v>
      </c>
      <c r="AP1900">
        <v>-97</v>
      </c>
      <c r="AQ1900">
        <v>-72</v>
      </c>
      <c r="AR1900">
        <v>-640</v>
      </c>
      <c r="AZ1900">
        <v>1200</v>
      </c>
      <c r="BA1900">
        <v>1</v>
      </c>
      <c r="BB1900" t="str">
        <f t="shared" si="1025"/>
        <v xml:space="preserve">N9217B  </v>
      </c>
      <c r="BC1900">
        <v>1</v>
      </c>
      <c r="BE1900">
        <v>0</v>
      </c>
      <c r="BF1900">
        <v>0</v>
      </c>
      <c r="BG1900">
        <v>0</v>
      </c>
      <c r="BH1900">
        <v>8150</v>
      </c>
      <c r="BI1900">
        <v>1</v>
      </c>
      <c r="BJ1900">
        <v>0</v>
      </c>
      <c r="BK1900">
        <v>0</v>
      </c>
      <c r="BL1900">
        <v>0</v>
      </c>
      <c r="BO1900">
        <v>0</v>
      </c>
      <c r="BP1900">
        <v>0</v>
      </c>
      <c r="BW1900" t="str">
        <f t="shared" si="1045"/>
        <v>14:53:45.295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293</v>
      </c>
      <c r="CR1900">
        <v>1</v>
      </c>
      <c r="CW1900">
        <v>15294958</v>
      </c>
      <c r="CY1900">
        <v>0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25">
      <c r="A1901" t="str">
        <f t="shared" si="1043"/>
        <v>06/05/2020 14:53:39.661</v>
      </c>
      <c r="C1901" t="str">
        <f t="shared" si="1041"/>
        <v>FFDFD3C0</v>
      </c>
      <c r="D1901" t="s">
        <v>151</v>
      </c>
      <c r="E1901">
        <v>8</v>
      </c>
      <c r="H1901">
        <v>225</v>
      </c>
      <c r="I1901" t="s">
        <v>353</v>
      </c>
      <c r="J1901" t="s">
        <v>150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1044"/>
        <v>14:53:45.289</v>
      </c>
      <c r="T1901" t="str">
        <f t="shared" si="1044"/>
        <v>14:53:45.289</v>
      </c>
      <c r="U1901" t="str">
        <f t="shared" si="1024"/>
        <v>ACC530</v>
      </c>
      <c r="V1901">
        <v>0</v>
      </c>
      <c r="W1901">
        <v>0</v>
      </c>
      <c r="X1901">
        <v>1</v>
      </c>
      <c r="Z1901">
        <v>0</v>
      </c>
      <c r="AA1901">
        <v>9</v>
      </c>
      <c r="AB1901">
        <v>3</v>
      </c>
      <c r="AC1901">
        <v>0</v>
      </c>
      <c r="AD1901">
        <v>9</v>
      </c>
      <c r="AE1901">
        <v>0</v>
      </c>
      <c r="AF1901">
        <v>3</v>
      </c>
      <c r="AG1901">
        <v>1</v>
      </c>
      <c r="AH1901">
        <v>0</v>
      </c>
      <c r="AI1901" t="s">
        <v>712</v>
      </c>
      <c r="AJ1901">
        <v>34.179195999999997</v>
      </c>
      <c r="AK1901" t="s">
        <v>713</v>
      </c>
      <c r="AL1901">
        <v>-117.01458700000001</v>
      </c>
      <c r="AM1901">
        <v>100</v>
      </c>
      <c r="AN1901">
        <v>8100</v>
      </c>
      <c r="AO1901" t="s">
        <v>118</v>
      </c>
      <c r="AP1901">
        <v>-97</v>
      </c>
      <c r="AQ1901">
        <v>-72</v>
      </c>
      <c r="AR1901">
        <v>-640</v>
      </c>
      <c r="AZ1901">
        <v>1200</v>
      </c>
      <c r="BA1901">
        <v>1</v>
      </c>
      <c r="BB1901" t="str">
        <f t="shared" si="1025"/>
        <v xml:space="preserve">N9217B  </v>
      </c>
      <c r="BC1901">
        <v>1</v>
      </c>
      <c r="BE1901">
        <v>0</v>
      </c>
      <c r="BF1901">
        <v>0</v>
      </c>
      <c r="BG1901">
        <v>0</v>
      </c>
      <c r="BH1901">
        <v>8150</v>
      </c>
      <c r="BI1901">
        <v>1</v>
      </c>
      <c r="BJ1901">
        <v>0</v>
      </c>
      <c r="BK1901">
        <v>0</v>
      </c>
      <c r="BL1901">
        <v>0</v>
      </c>
      <c r="BO1901">
        <v>0</v>
      </c>
      <c r="BP1901">
        <v>0</v>
      </c>
      <c r="BW1901" t="str">
        <f t="shared" si="1045"/>
        <v>14:53:45.295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285</v>
      </c>
      <c r="CR1901">
        <v>0</v>
      </c>
      <c r="CW1901">
        <v>8859118</v>
      </c>
      <c r="CY1901">
        <v>0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25">
      <c r="A1902" t="str">
        <f t="shared" si="1043"/>
        <v>06/05/2020 14:53:39.661</v>
      </c>
      <c r="C1902" t="str">
        <f t="shared" si="1041"/>
        <v>FFDFD3C0</v>
      </c>
      <c r="D1902" t="s">
        <v>134</v>
      </c>
      <c r="E1902">
        <v>7</v>
      </c>
      <c r="F1902">
        <v>2007</v>
      </c>
      <c r="G1902" t="s">
        <v>135</v>
      </c>
      <c r="J1902" t="s">
        <v>136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1044"/>
        <v>14:53:45.289</v>
      </c>
      <c r="T1902" t="str">
        <f t="shared" si="1044"/>
        <v>14:53:45.289</v>
      </c>
      <c r="U1902" t="str">
        <f t="shared" si="1024"/>
        <v>ACC530</v>
      </c>
      <c r="V1902">
        <v>0</v>
      </c>
      <c r="W1902">
        <v>0</v>
      </c>
      <c r="X1902">
        <v>1</v>
      </c>
      <c r="Z1902">
        <v>0</v>
      </c>
      <c r="AA1902">
        <v>9</v>
      </c>
      <c r="AB1902">
        <v>3</v>
      </c>
      <c r="AC1902">
        <v>0</v>
      </c>
      <c r="AD1902">
        <v>9</v>
      </c>
      <c r="AE1902">
        <v>0</v>
      </c>
      <c r="AF1902">
        <v>3</v>
      </c>
      <c r="AG1902">
        <v>1</v>
      </c>
      <c r="AH1902">
        <v>0</v>
      </c>
      <c r="AI1902" t="s">
        <v>712</v>
      </c>
      <c r="AJ1902">
        <v>34.179195999999997</v>
      </c>
      <c r="AK1902" t="s">
        <v>713</v>
      </c>
      <c r="AL1902">
        <v>-117.01458700000001</v>
      </c>
      <c r="AM1902">
        <v>100</v>
      </c>
      <c r="AN1902">
        <v>8100</v>
      </c>
      <c r="AO1902" t="s">
        <v>118</v>
      </c>
      <c r="AP1902">
        <v>-97</v>
      </c>
      <c r="AQ1902">
        <v>-72</v>
      </c>
      <c r="AR1902">
        <v>-640</v>
      </c>
      <c r="AZ1902">
        <v>1200</v>
      </c>
      <c r="BA1902">
        <v>1</v>
      </c>
      <c r="BB1902" t="str">
        <f t="shared" si="1025"/>
        <v xml:space="preserve">N9217B  </v>
      </c>
      <c r="BC1902">
        <v>1</v>
      </c>
      <c r="BE1902">
        <v>0</v>
      </c>
      <c r="BF1902">
        <v>0</v>
      </c>
      <c r="BG1902">
        <v>0</v>
      </c>
      <c r="BH1902">
        <v>8150</v>
      </c>
      <c r="BI1902">
        <v>1</v>
      </c>
      <c r="BJ1902">
        <v>0</v>
      </c>
      <c r="BK1902">
        <v>0</v>
      </c>
      <c r="BL1902">
        <v>0</v>
      </c>
      <c r="BO1902">
        <v>0</v>
      </c>
      <c r="BP1902">
        <v>0</v>
      </c>
      <c r="BW1902" t="str">
        <f t="shared" si="1045"/>
        <v>14:53:45.295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293</v>
      </c>
      <c r="CR1902">
        <v>1</v>
      </c>
      <c r="CW1902">
        <v>15294958</v>
      </c>
      <c r="CY1902">
        <v>0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25">
      <c r="A1903" t="str">
        <f t="shared" si="1043"/>
        <v>06/05/2020 14:53:39.661</v>
      </c>
      <c r="C1903" t="str">
        <f t="shared" si="1041"/>
        <v>FFDFD3C0</v>
      </c>
      <c r="D1903" t="s">
        <v>151</v>
      </c>
      <c r="E1903">
        <v>9</v>
      </c>
      <c r="H1903">
        <v>226</v>
      </c>
      <c r="I1903" t="s">
        <v>152</v>
      </c>
      <c r="J1903" t="s">
        <v>150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1044"/>
        <v>14:53:45.289</v>
      </c>
      <c r="T1903" t="str">
        <f t="shared" si="1044"/>
        <v>14:53:45.289</v>
      </c>
      <c r="U1903" t="str">
        <f t="shared" si="1024"/>
        <v>ACC530</v>
      </c>
      <c r="V1903">
        <v>0</v>
      </c>
      <c r="W1903">
        <v>0</v>
      </c>
      <c r="X1903">
        <v>1</v>
      </c>
      <c r="Z1903">
        <v>0</v>
      </c>
      <c r="AA1903">
        <v>9</v>
      </c>
      <c r="AB1903">
        <v>3</v>
      </c>
      <c r="AC1903">
        <v>0</v>
      </c>
      <c r="AD1903">
        <v>9</v>
      </c>
      <c r="AE1903">
        <v>0</v>
      </c>
      <c r="AF1903">
        <v>3</v>
      </c>
      <c r="AG1903">
        <v>1</v>
      </c>
      <c r="AH1903">
        <v>0</v>
      </c>
      <c r="AI1903" t="s">
        <v>712</v>
      </c>
      <c r="AJ1903">
        <v>34.179195999999997</v>
      </c>
      <c r="AK1903" t="s">
        <v>713</v>
      </c>
      <c r="AL1903">
        <v>-117.01458700000001</v>
      </c>
      <c r="AM1903">
        <v>100</v>
      </c>
      <c r="AN1903">
        <v>8100</v>
      </c>
      <c r="AO1903" t="s">
        <v>118</v>
      </c>
      <c r="AP1903">
        <v>-97</v>
      </c>
      <c r="AQ1903">
        <v>-72</v>
      </c>
      <c r="AR1903">
        <v>-640</v>
      </c>
      <c r="AZ1903">
        <v>1200</v>
      </c>
      <c r="BA1903">
        <v>1</v>
      </c>
      <c r="BB1903" t="str">
        <f t="shared" si="1025"/>
        <v xml:space="preserve">N9217B  </v>
      </c>
      <c r="BC1903">
        <v>1</v>
      </c>
      <c r="BE1903">
        <v>0</v>
      </c>
      <c r="BF1903">
        <v>0</v>
      </c>
      <c r="BG1903">
        <v>0</v>
      </c>
      <c r="BH1903">
        <v>8150</v>
      </c>
      <c r="BI1903">
        <v>1</v>
      </c>
      <c r="BJ1903">
        <v>0</v>
      </c>
      <c r="BK1903">
        <v>0</v>
      </c>
      <c r="BL1903">
        <v>0</v>
      </c>
      <c r="BO1903">
        <v>0</v>
      </c>
      <c r="BP1903">
        <v>0</v>
      </c>
      <c r="BW1903" t="str">
        <f t="shared" si="1045"/>
        <v>14:53:45.295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293</v>
      </c>
      <c r="CR1903">
        <v>1</v>
      </c>
      <c r="CW1903">
        <v>15294958</v>
      </c>
      <c r="CY1903">
        <v>0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25">
      <c r="A1904" t="str">
        <f t="shared" si="1043"/>
        <v>06/05/2020 14:53:39.661</v>
      </c>
      <c r="C1904" t="str">
        <f t="shared" si="1041"/>
        <v>FFDFD3C0</v>
      </c>
      <c r="D1904" t="s">
        <v>148</v>
      </c>
      <c r="E1904">
        <v>8</v>
      </c>
      <c r="H1904">
        <v>50</v>
      </c>
      <c r="I1904" t="s">
        <v>149</v>
      </c>
      <c r="J1904" t="s">
        <v>150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1044"/>
        <v>14:53:45.289</v>
      </c>
      <c r="T1904" t="str">
        <f t="shared" si="1044"/>
        <v>14:53:45.289</v>
      </c>
      <c r="U1904" t="str">
        <f t="shared" si="1024"/>
        <v>ACC530</v>
      </c>
      <c r="V1904">
        <v>0</v>
      </c>
      <c r="W1904">
        <v>0</v>
      </c>
      <c r="X1904">
        <v>1</v>
      </c>
      <c r="Z1904">
        <v>0</v>
      </c>
      <c r="AA1904">
        <v>9</v>
      </c>
      <c r="AB1904">
        <v>3</v>
      </c>
      <c r="AC1904">
        <v>0</v>
      </c>
      <c r="AD1904">
        <v>9</v>
      </c>
      <c r="AE1904">
        <v>0</v>
      </c>
      <c r="AF1904">
        <v>3</v>
      </c>
      <c r="AG1904">
        <v>1</v>
      </c>
      <c r="AH1904">
        <v>0</v>
      </c>
      <c r="AI1904" t="s">
        <v>712</v>
      </c>
      <c r="AJ1904">
        <v>34.179195999999997</v>
      </c>
      <c r="AK1904" t="s">
        <v>713</v>
      </c>
      <c r="AL1904">
        <v>-117.01458700000001</v>
      </c>
      <c r="AM1904">
        <v>100</v>
      </c>
      <c r="AN1904">
        <v>8100</v>
      </c>
      <c r="AO1904" t="s">
        <v>118</v>
      </c>
      <c r="AP1904">
        <v>-97</v>
      </c>
      <c r="AQ1904">
        <v>-72</v>
      </c>
      <c r="AR1904">
        <v>-640</v>
      </c>
      <c r="AZ1904">
        <v>1200</v>
      </c>
      <c r="BA1904">
        <v>1</v>
      </c>
      <c r="BB1904" t="str">
        <f t="shared" si="1025"/>
        <v xml:space="preserve">N9217B  </v>
      </c>
      <c r="BC1904">
        <v>1</v>
      </c>
      <c r="BE1904">
        <v>0</v>
      </c>
      <c r="BF1904">
        <v>0</v>
      </c>
      <c r="BG1904">
        <v>0</v>
      </c>
      <c r="BH1904">
        <v>8150</v>
      </c>
      <c r="BI1904">
        <v>1</v>
      </c>
      <c r="BJ1904">
        <v>0</v>
      </c>
      <c r="BK1904">
        <v>0</v>
      </c>
      <c r="BL1904">
        <v>0</v>
      </c>
      <c r="BO1904">
        <v>0</v>
      </c>
      <c r="BP1904">
        <v>0</v>
      </c>
      <c r="BW1904" t="str">
        <f t="shared" si="1045"/>
        <v>14:53:45.295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293</v>
      </c>
      <c r="CR1904">
        <v>1</v>
      </c>
      <c r="CW1904">
        <v>15294958</v>
      </c>
      <c r="CY1904">
        <v>0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25">
      <c r="A1905" t="str">
        <f t="shared" ref="A1905:A1911" si="1046">"06/05/2020 14:53:40.693"</f>
        <v>06/05/2020 14:53:40.693</v>
      </c>
      <c r="C1905" t="str">
        <f t="shared" si="1041"/>
        <v>FFDFD3C0</v>
      </c>
      <c r="D1905" t="s">
        <v>151</v>
      </c>
      <c r="E1905">
        <v>8</v>
      </c>
      <c r="H1905">
        <v>225</v>
      </c>
      <c r="I1905" t="s">
        <v>353</v>
      </c>
      <c r="J1905" t="s">
        <v>150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ref="S1905:T1911" si="1047">"14:53:46.359"</f>
        <v>14:53:46.359</v>
      </c>
      <c r="T1905" t="str">
        <f t="shared" si="1047"/>
        <v>14:53:46.359</v>
      </c>
      <c r="U1905" t="str">
        <f t="shared" si="1024"/>
        <v>ACC530</v>
      </c>
      <c r="V1905">
        <v>0</v>
      </c>
      <c r="W1905">
        <v>0</v>
      </c>
      <c r="X1905">
        <v>1</v>
      </c>
      <c r="Z1905">
        <v>0</v>
      </c>
      <c r="AA1905">
        <v>9</v>
      </c>
      <c r="AB1905">
        <v>3</v>
      </c>
      <c r="AC1905">
        <v>0</v>
      </c>
      <c r="AD1905">
        <v>9</v>
      </c>
      <c r="AE1905">
        <v>0</v>
      </c>
      <c r="AF1905">
        <v>3</v>
      </c>
      <c r="AG1905">
        <v>1</v>
      </c>
      <c r="AH1905">
        <v>0</v>
      </c>
      <c r="AI1905" t="s">
        <v>714</v>
      </c>
      <c r="AJ1905">
        <v>34.178832</v>
      </c>
      <c r="AK1905" t="s">
        <v>715</v>
      </c>
      <c r="AL1905">
        <v>-117.015209</v>
      </c>
      <c r="AM1905">
        <v>100</v>
      </c>
      <c r="AN1905">
        <v>8100</v>
      </c>
      <c r="AO1905" t="s">
        <v>118</v>
      </c>
      <c r="AP1905">
        <v>-96</v>
      </c>
      <c r="AQ1905">
        <v>-73</v>
      </c>
      <c r="AR1905">
        <v>-576</v>
      </c>
      <c r="AZ1905">
        <v>1200</v>
      </c>
      <c r="BA1905">
        <v>1</v>
      </c>
      <c r="BB1905" t="str">
        <f t="shared" si="1025"/>
        <v xml:space="preserve">N9217B  </v>
      </c>
      <c r="BC1905">
        <v>1</v>
      </c>
      <c r="BE1905">
        <v>0</v>
      </c>
      <c r="BF1905">
        <v>0</v>
      </c>
      <c r="BG1905">
        <v>0</v>
      </c>
      <c r="BH1905">
        <v>8125</v>
      </c>
      <c r="BI1905">
        <v>1</v>
      </c>
      <c r="BJ1905">
        <v>0</v>
      </c>
      <c r="BK1905">
        <v>0</v>
      </c>
      <c r="BL1905">
        <v>0</v>
      </c>
      <c r="BO1905">
        <v>0</v>
      </c>
      <c r="BP1905">
        <v>0</v>
      </c>
      <c r="BW1905" t="str">
        <f t="shared" ref="BW1905:BW1911" si="1048">"14:53:46.360"</f>
        <v>14:53:46.360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285</v>
      </c>
      <c r="CR1905">
        <v>0</v>
      </c>
      <c r="CW1905">
        <v>8859220</v>
      </c>
      <c r="CY1905">
        <v>0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25">
      <c r="A1906" t="str">
        <f t="shared" si="1046"/>
        <v>06/05/2020 14:53:40.693</v>
      </c>
      <c r="C1906" t="str">
        <f t="shared" si="1041"/>
        <v>FFDFD3C0</v>
      </c>
      <c r="D1906" t="s">
        <v>134</v>
      </c>
      <c r="E1906">
        <v>7</v>
      </c>
      <c r="F1906">
        <v>2007</v>
      </c>
      <c r="G1906" t="s">
        <v>135</v>
      </c>
      <c r="J1906" t="s">
        <v>136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1047"/>
        <v>14:53:46.359</v>
      </c>
      <c r="T1906" t="str">
        <f t="shared" si="1047"/>
        <v>14:53:46.359</v>
      </c>
      <c r="U1906" t="str">
        <f t="shared" si="1024"/>
        <v>ACC530</v>
      </c>
      <c r="V1906">
        <v>0</v>
      </c>
      <c r="W1906">
        <v>0</v>
      </c>
      <c r="X1906">
        <v>1</v>
      </c>
      <c r="Z1906">
        <v>0</v>
      </c>
      <c r="AA1906">
        <v>9</v>
      </c>
      <c r="AB1906">
        <v>3</v>
      </c>
      <c r="AC1906">
        <v>0</v>
      </c>
      <c r="AD1906">
        <v>9</v>
      </c>
      <c r="AE1906">
        <v>0</v>
      </c>
      <c r="AF1906">
        <v>3</v>
      </c>
      <c r="AG1906">
        <v>1</v>
      </c>
      <c r="AH1906">
        <v>0</v>
      </c>
      <c r="AI1906" t="s">
        <v>714</v>
      </c>
      <c r="AJ1906">
        <v>34.178832</v>
      </c>
      <c r="AK1906" t="s">
        <v>715</v>
      </c>
      <c r="AL1906">
        <v>-117.015209</v>
      </c>
      <c r="AM1906">
        <v>100</v>
      </c>
      <c r="AN1906">
        <v>8100</v>
      </c>
      <c r="AO1906" t="s">
        <v>118</v>
      </c>
      <c r="AP1906">
        <v>-96</v>
      </c>
      <c r="AQ1906">
        <v>-73</v>
      </c>
      <c r="AR1906">
        <v>-576</v>
      </c>
      <c r="AZ1906">
        <v>1200</v>
      </c>
      <c r="BA1906">
        <v>1</v>
      </c>
      <c r="BB1906" t="str">
        <f t="shared" si="1025"/>
        <v xml:space="preserve">N9217B  </v>
      </c>
      <c r="BC1906">
        <v>1</v>
      </c>
      <c r="BE1906">
        <v>0</v>
      </c>
      <c r="BF1906">
        <v>0</v>
      </c>
      <c r="BG1906">
        <v>0</v>
      </c>
      <c r="BH1906">
        <v>8125</v>
      </c>
      <c r="BI1906">
        <v>1</v>
      </c>
      <c r="BJ1906">
        <v>0</v>
      </c>
      <c r="BK1906">
        <v>0</v>
      </c>
      <c r="BL1906">
        <v>0</v>
      </c>
      <c r="BO1906">
        <v>0</v>
      </c>
      <c r="BP1906">
        <v>0</v>
      </c>
      <c r="BW1906" t="str">
        <f t="shared" si="1048"/>
        <v>14:53:46.360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293</v>
      </c>
      <c r="CR1906">
        <v>1</v>
      </c>
      <c r="CW1906">
        <v>15295082</v>
      </c>
      <c r="CY1906">
        <v>0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25">
      <c r="A1907" t="str">
        <f t="shared" si="1046"/>
        <v>06/05/2020 14:53:40.693</v>
      </c>
      <c r="C1907" t="str">
        <f t="shared" si="1041"/>
        <v>FFDFD3C0</v>
      </c>
      <c r="D1907" t="s">
        <v>151</v>
      </c>
      <c r="E1907">
        <v>9</v>
      </c>
      <c r="H1907">
        <v>226</v>
      </c>
      <c r="I1907" t="s">
        <v>152</v>
      </c>
      <c r="J1907" t="s">
        <v>150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1047"/>
        <v>14:53:46.359</v>
      </c>
      <c r="T1907" t="str">
        <f t="shared" si="1047"/>
        <v>14:53:46.359</v>
      </c>
      <c r="U1907" t="str">
        <f t="shared" si="1024"/>
        <v>ACC530</v>
      </c>
      <c r="V1907">
        <v>0</v>
      </c>
      <c r="W1907">
        <v>0</v>
      </c>
      <c r="X1907">
        <v>1</v>
      </c>
      <c r="Z1907">
        <v>0</v>
      </c>
      <c r="AA1907">
        <v>9</v>
      </c>
      <c r="AB1907">
        <v>3</v>
      </c>
      <c r="AC1907">
        <v>0</v>
      </c>
      <c r="AD1907">
        <v>9</v>
      </c>
      <c r="AE1907">
        <v>0</v>
      </c>
      <c r="AF1907">
        <v>3</v>
      </c>
      <c r="AG1907">
        <v>1</v>
      </c>
      <c r="AH1907">
        <v>0</v>
      </c>
      <c r="AI1907" t="s">
        <v>714</v>
      </c>
      <c r="AJ1907">
        <v>34.178832</v>
      </c>
      <c r="AK1907" t="s">
        <v>715</v>
      </c>
      <c r="AL1907">
        <v>-117.015209</v>
      </c>
      <c r="AM1907">
        <v>100</v>
      </c>
      <c r="AN1907">
        <v>8100</v>
      </c>
      <c r="AO1907" t="s">
        <v>118</v>
      </c>
      <c r="AP1907">
        <v>-96</v>
      </c>
      <c r="AQ1907">
        <v>-73</v>
      </c>
      <c r="AR1907">
        <v>-576</v>
      </c>
      <c r="AZ1907">
        <v>1200</v>
      </c>
      <c r="BA1907">
        <v>1</v>
      </c>
      <c r="BB1907" t="str">
        <f t="shared" si="1025"/>
        <v xml:space="preserve">N9217B  </v>
      </c>
      <c r="BC1907">
        <v>1</v>
      </c>
      <c r="BE1907">
        <v>0</v>
      </c>
      <c r="BF1907">
        <v>0</v>
      </c>
      <c r="BG1907">
        <v>0</v>
      </c>
      <c r="BH1907">
        <v>8125</v>
      </c>
      <c r="BI1907">
        <v>1</v>
      </c>
      <c r="BJ1907">
        <v>0</v>
      </c>
      <c r="BK1907">
        <v>0</v>
      </c>
      <c r="BL1907">
        <v>0</v>
      </c>
      <c r="BO1907">
        <v>0</v>
      </c>
      <c r="BP1907">
        <v>0</v>
      </c>
      <c r="BW1907" t="str">
        <f t="shared" si="1048"/>
        <v>14:53:46.360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6</v>
      </c>
      <c r="CP1907" t="s">
        <v>119</v>
      </c>
      <c r="CQ1907">
        <v>293</v>
      </c>
      <c r="CR1907">
        <v>1</v>
      </c>
      <c r="CW1907">
        <v>15295082</v>
      </c>
      <c r="CY1907">
        <v>0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25">
      <c r="A1908" t="str">
        <f t="shared" si="1046"/>
        <v>06/05/2020 14:53:40.693</v>
      </c>
      <c r="C1908" t="str">
        <f t="shared" si="1041"/>
        <v>FFDFD3C0</v>
      </c>
      <c r="D1908" t="s">
        <v>148</v>
      </c>
      <c r="E1908">
        <v>8</v>
      </c>
      <c r="H1908">
        <v>50</v>
      </c>
      <c r="I1908" t="s">
        <v>149</v>
      </c>
      <c r="J1908" t="s">
        <v>150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1047"/>
        <v>14:53:46.359</v>
      </c>
      <c r="T1908" t="str">
        <f t="shared" si="1047"/>
        <v>14:53:46.359</v>
      </c>
      <c r="U1908" t="str">
        <f t="shared" si="1024"/>
        <v>ACC530</v>
      </c>
      <c r="V1908">
        <v>0</v>
      </c>
      <c r="W1908">
        <v>0</v>
      </c>
      <c r="X1908">
        <v>1</v>
      </c>
      <c r="Z1908">
        <v>0</v>
      </c>
      <c r="AA1908">
        <v>9</v>
      </c>
      <c r="AB1908">
        <v>3</v>
      </c>
      <c r="AC1908">
        <v>0</v>
      </c>
      <c r="AD1908">
        <v>9</v>
      </c>
      <c r="AE1908">
        <v>0</v>
      </c>
      <c r="AF1908">
        <v>3</v>
      </c>
      <c r="AG1908">
        <v>1</v>
      </c>
      <c r="AH1908">
        <v>0</v>
      </c>
      <c r="AI1908" t="s">
        <v>714</v>
      </c>
      <c r="AJ1908">
        <v>34.178832</v>
      </c>
      <c r="AK1908" t="s">
        <v>715</v>
      </c>
      <c r="AL1908">
        <v>-117.015209</v>
      </c>
      <c r="AM1908">
        <v>100</v>
      </c>
      <c r="AN1908">
        <v>8100</v>
      </c>
      <c r="AO1908" t="s">
        <v>118</v>
      </c>
      <c r="AP1908">
        <v>-96</v>
      </c>
      <c r="AQ1908">
        <v>-73</v>
      </c>
      <c r="AR1908">
        <v>-576</v>
      </c>
      <c r="AZ1908">
        <v>1200</v>
      </c>
      <c r="BA1908">
        <v>1</v>
      </c>
      <c r="BB1908" t="str">
        <f t="shared" si="1025"/>
        <v xml:space="preserve">N9217B  </v>
      </c>
      <c r="BC1908">
        <v>1</v>
      </c>
      <c r="BE1908">
        <v>0</v>
      </c>
      <c r="BF1908">
        <v>0</v>
      </c>
      <c r="BG1908">
        <v>0</v>
      </c>
      <c r="BH1908">
        <v>8125</v>
      </c>
      <c r="BI1908">
        <v>1</v>
      </c>
      <c r="BJ1908">
        <v>0</v>
      </c>
      <c r="BK1908">
        <v>0</v>
      </c>
      <c r="BL1908">
        <v>0</v>
      </c>
      <c r="BO1908">
        <v>0</v>
      </c>
      <c r="BP1908">
        <v>0</v>
      </c>
      <c r="BW1908" t="str">
        <f t="shared" si="1048"/>
        <v>14:53:46.360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293</v>
      </c>
      <c r="CR1908">
        <v>1</v>
      </c>
      <c r="CW1908">
        <v>15295082</v>
      </c>
      <c r="CY1908">
        <v>0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25">
      <c r="A1909" t="str">
        <f t="shared" si="1046"/>
        <v>06/05/2020 14:53:40.693</v>
      </c>
      <c r="C1909" t="str">
        <f t="shared" si="1041"/>
        <v>FFDFD3C0</v>
      </c>
      <c r="D1909" t="s">
        <v>141</v>
      </c>
      <c r="E1909">
        <v>20</v>
      </c>
      <c r="F1909">
        <v>1020</v>
      </c>
      <c r="G1909" t="s">
        <v>114</v>
      </c>
      <c r="J1909" t="s">
        <v>142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1047"/>
        <v>14:53:46.359</v>
      </c>
      <c r="T1909" t="str">
        <f t="shared" si="1047"/>
        <v>14:53:46.359</v>
      </c>
      <c r="U1909" t="str">
        <f t="shared" si="1024"/>
        <v>ACC530</v>
      </c>
      <c r="V1909">
        <v>0</v>
      </c>
      <c r="W1909">
        <v>0</v>
      </c>
      <c r="X1909">
        <v>1</v>
      </c>
      <c r="Z1909">
        <v>0</v>
      </c>
      <c r="AA1909">
        <v>9</v>
      </c>
      <c r="AB1909">
        <v>3</v>
      </c>
      <c r="AC1909">
        <v>0</v>
      </c>
      <c r="AD1909">
        <v>9</v>
      </c>
      <c r="AE1909">
        <v>0</v>
      </c>
      <c r="AF1909">
        <v>3</v>
      </c>
      <c r="AG1909">
        <v>1</v>
      </c>
      <c r="AH1909">
        <v>0</v>
      </c>
      <c r="AI1909" t="s">
        <v>714</v>
      </c>
      <c r="AJ1909">
        <v>34.178832</v>
      </c>
      <c r="AK1909" t="s">
        <v>715</v>
      </c>
      <c r="AL1909">
        <v>-117.015209</v>
      </c>
      <c r="AM1909">
        <v>100</v>
      </c>
      <c r="AN1909">
        <v>8100</v>
      </c>
      <c r="AO1909" t="s">
        <v>118</v>
      </c>
      <c r="AP1909">
        <v>-96</v>
      </c>
      <c r="AQ1909">
        <v>-73</v>
      </c>
      <c r="AR1909">
        <v>-576</v>
      </c>
      <c r="AZ1909">
        <v>1200</v>
      </c>
      <c r="BA1909">
        <v>1</v>
      </c>
      <c r="BB1909" t="str">
        <f t="shared" si="1025"/>
        <v xml:space="preserve">N9217B  </v>
      </c>
      <c r="BC1909">
        <v>1</v>
      </c>
      <c r="BE1909">
        <v>0</v>
      </c>
      <c r="BF1909">
        <v>0</v>
      </c>
      <c r="BG1909">
        <v>0</v>
      </c>
      <c r="BH1909">
        <v>8125</v>
      </c>
      <c r="BI1909">
        <v>1</v>
      </c>
      <c r="BJ1909">
        <v>0</v>
      </c>
      <c r="BK1909">
        <v>0</v>
      </c>
      <c r="BL1909">
        <v>0</v>
      </c>
      <c r="BO1909">
        <v>0</v>
      </c>
      <c r="BP1909">
        <v>0</v>
      </c>
      <c r="BW1909" t="str">
        <f t="shared" si="1048"/>
        <v>14:53:46.360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6</v>
      </c>
      <c r="CP1909" t="s">
        <v>119</v>
      </c>
      <c r="CQ1909">
        <v>293</v>
      </c>
      <c r="CR1909">
        <v>1</v>
      </c>
      <c r="CW1909">
        <v>15295082</v>
      </c>
      <c r="CY1909">
        <v>0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25">
      <c r="A1910" t="str">
        <f t="shared" si="1046"/>
        <v>06/05/2020 14:53:40.693</v>
      </c>
      <c r="C1910" t="str">
        <f t="shared" si="1041"/>
        <v>FFDFD3C0</v>
      </c>
      <c r="D1910" t="s">
        <v>113</v>
      </c>
      <c r="E1910">
        <v>3</v>
      </c>
      <c r="H1910">
        <v>166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1047"/>
        <v>14:53:46.359</v>
      </c>
      <c r="T1910" t="str">
        <f t="shared" si="1047"/>
        <v>14:53:46.359</v>
      </c>
      <c r="U1910" t="str">
        <f t="shared" si="1024"/>
        <v>ACC530</v>
      </c>
      <c r="V1910">
        <v>0</v>
      </c>
      <c r="W1910">
        <v>0</v>
      </c>
      <c r="X1910">
        <v>1</v>
      </c>
      <c r="Z1910">
        <v>0</v>
      </c>
      <c r="AA1910">
        <v>9</v>
      </c>
      <c r="AB1910">
        <v>3</v>
      </c>
      <c r="AC1910">
        <v>0</v>
      </c>
      <c r="AD1910">
        <v>9</v>
      </c>
      <c r="AE1910">
        <v>0</v>
      </c>
      <c r="AF1910">
        <v>3</v>
      </c>
      <c r="AG1910">
        <v>1</v>
      </c>
      <c r="AH1910">
        <v>0</v>
      </c>
      <c r="AI1910" t="s">
        <v>714</v>
      </c>
      <c r="AJ1910">
        <v>34.178832</v>
      </c>
      <c r="AK1910" t="s">
        <v>715</v>
      </c>
      <c r="AL1910">
        <v>-117.015209</v>
      </c>
      <c r="AM1910">
        <v>100</v>
      </c>
      <c r="AN1910">
        <v>8100</v>
      </c>
      <c r="AO1910" t="s">
        <v>118</v>
      </c>
      <c r="AP1910">
        <v>-96</v>
      </c>
      <c r="AQ1910">
        <v>-73</v>
      </c>
      <c r="AR1910">
        <v>-576</v>
      </c>
      <c r="AZ1910">
        <v>1200</v>
      </c>
      <c r="BA1910">
        <v>1</v>
      </c>
      <c r="BB1910" t="str">
        <f t="shared" si="1025"/>
        <v xml:space="preserve">N9217B  </v>
      </c>
      <c r="BC1910">
        <v>1</v>
      </c>
      <c r="BE1910">
        <v>0</v>
      </c>
      <c r="BF1910">
        <v>0</v>
      </c>
      <c r="BG1910">
        <v>0</v>
      </c>
      <c r="BH1910">
        <v>8125</v>
      </c>
      <c r="BI1910">
        <v>1</v>
      </c>
      <c r="BJ1910">
        <v>0</v>
      </c>
      <c r="BK1910">
        <v>0</v>
      </c>
      <c r="BL1910">
        <v>0</v>
      </c>
      <c r="BO1910">
        <v>0</v>
      </c>
      <c r="BP1910">
        <v>0</v>
      </c>
      <c r="BW1910" t="str">
        <f t="shared" si="1048"/>
        <v>14:53:46.360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293</v>
      </c>
      <c r="CR1910">
        <v>1</v>
      </c>
      <c r="CW1910">
        <v>15295082</v>
      </c>
      <c r="CY1910">
        <v>0</v>
      </c>
      <c r="CZ1910">
        <v>0</v>
      </c>
      <c r="DA1910">
        <v>1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25">
      <c r="A1911" t="str">
        <f t="shared" si="1046"/>
        <v>06/05/2020 14:53:40.693</v>
      </c>
      <c r="C1911" t="str">
        <f t="shared" si="1041"/>
        <v>FFDFD3C0</v>
      </c>
      <c r="D1911" t="s">
        <v>148</v>
      </c>
      <c r="E1911">
        <v>11</v>
      </c>
      <c r="H1911">
        <v>53</v>
      </c>
      <c r="I1911" t="s">
        <v>364</v>
      </c>
      <c r="J1911" t="s">
        <v>150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1047"/>
        <v>14:53:46.359</v>
      </c>
      <c r="T1911" t="str">
        <f t="shared" si="1047"/>
        <v>14:53:46.359</v>
      </c>
      <c r="U1911" t="str">
        <f t="shared" si="1024"/>
        <v>ACC530</v>
      </c>
      <c r="V1911">
        <v>0</v>
      </c>
      <c r="W1911">
        <v>0</v>
      </c>
      <c r="X1911">
        <v>1</v>
      </c>
      <c r="Z1911">
        <v>0</v>
      </c>
      <c r="AA1911">
        <v>9</v>
      </c>
      <c r="AB1911">
        <v>3</v>
      </c>
      <c r="AC1911">
        <v>0</v>
      </c>
      <c r="AD1911">
        <v>9</v>
      </c>
      <c r="AE1911">
        <v>0</v>
      </c>
      <c r="AF1911">
        <v>3</v>
      </c>
      <c r="AG1911">
        <v>1</v>
      </c>
      <c r="AH1911">
        <v>0</v>
      </c>
      <c r="AI1911" t="s">
        <v>714</v>
      </c>
      <c r="AJ1911">
        <v>34.178832</v>
      </c>
      <c r="AK1911" t="s">
        <v>715</v>
      </c>
      <c r="AL1911">
        <v>-117.015209</v>
      </c>
      <c r="AM1911">
        <v>100</v>
      </c>
      <c r="AN1911">
        <v>8100</v>
      </c>
      <c r="AO1911" t="s">
        <v>118</v>
      </c>
      <c r="AP1911">
        <v>-96</v>
      </c>
      <c r="AQ1911">
        <v>-73</v>
      </c>
      <c r="AR1911">
        <v>-576</v>
      </c>
      <c r="AZ1911">
        <v>1200</v>
      </c>
      <c r="BA1911">
        <v>1</v>
      </c>
      <c r="BB1911" t="str">
        <f t="shared" si="1025"/>
        <v xml:space="preserve">N9217B  </v>
      </c>
      <c r="BC1911">
        <v>1</v>
      </c>
      <c r="BE1911">
        <v>0</v>
      </c>
      <c r="BF1911">
        <v>0</v>
      </c>
      <c r="BG1911">
        <v>0</v>
      </c>
      <c r="BH1911">
        <v>8125</v>
      </c>
      <c r="BI1911">
        <v>1</v>
      </c>
      <c r="BJ1911">
        <v>0</v>
      </c>
      <c r="BK1911">
        <v>0</v>
      </c>
      <c r="BL1911">
        <v>0</v>
      </c>
      <c r="BO1911">
        <v>0</v>
      </c>
      <c r="BP1911">
        <v>0</v>
      </c>
      <c r="BW1911" t="str">
        <f t="shared" si="1048"/>
        <v>14:53:46.360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6</v>
      </c>
      <c r="CP1911" t="s">
        <v>119</v>
      </c>
      <c r="CQ1911">
        <v>293</v>
      </c>
      <c r="CR1911">
        <v>1</v>
      </c>
      <c r="CW1911">
        <v>15295082</v>
      </c>
      <c r="CY1911">
        <v>0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25">
      <c r="A1912" t="str">
        <f t="shared" ref="A1912:A1918" si="1049">"06/05/2020 14:53:41.648"</f>
        <v>06/05/2020 14:53:41.648</v>
      </c>
      <c r="C1912" t="str">
        <f t="shared" si="1041"/>
        <v>FFDFD3C0</v>
      </c>
      <c r="D1912" t="s">
        <v>113</v>
      </c>
      <c r="E1912">
        <v>3</v>
      </c>
      <c r="H1912">
        <v>166</v>
      </c>
      <c r="I1912" t="s">
        <v>114</v>
      </c>
      <c r="J1912" t="s">
        <v>115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ref="S1912:S1918" si="1050">"14:53:47.273"</f>
        <v>14:53:47.273</v>
      </c>
      <c r="T1912" t="str">
        <f t="shared" ref="T1912:T1918" si="1051">"14:53:46.873"</f>
        <v>14:53:46.873</v>
      </c>
      <c r="U1912" t="str">
        <f t="shared" si="1024"/>
        <v>ACC530</v>
      </c>
      <c r="V1912">
        <v>0</v>
      </c>
      <c r="W1912">
        <v>0</v>
      </c>
      <c r="X1912">
        <v>1</v>
      </c>
      <c r="Z1912">
        <v>0</v>
      </c>
      <c r="AA1912">
        <v>9</v>
      </c>
      <c r="AB1912">
        <v>3</v>
      </c>
      <c r="AC1912">
        <v>0</v>
      </c>
      <c r="AD1912">
        <v>9</v>
      </c>
      <c r="AE1912">
        <v>0</v>
      </c>
      <c r="AF1912">
        <v>3</v>
      </c>
      <c r="AG1912">
        <v>1</v>
      </c>
      <c r="AH1912">
        <v>0</v>
      </c>
      <c r="AI1912" t="s">
        <v>716</v>
      </c>
      <c r="AJ1912">
        <v>34.178510000000003</v>
      </c>
      <c r="AK1912" t="s">
        <v>717</v>
      </c>
      <c r="AL1912">
        <v>-117.01566</v>
      </c>
      <c r="AM1912">
        <v>100</v>
      </c>
      <c r="AN1912">
        <v>8100</v>
      </c>
      <c r="AO1912" t="s">
        <v>118</v>
      </c>
      <c r="AP1912">
        <v>-96</v>
      </c>
      <c r="AQ1912">
        <v>-74</v>
      </c>
      <c r="AR1912">
        <v>-704</v>
      </c>
      <c r="AZ1912">
        <v>1200</v>
      </c>
      <c r="BA1912">
        <v>1</v>
      </c>
      <c r="BB1912" t="str">
        <f t="shared" si="1025"/>
        <v xml:space="preserve">N9217B  </v>
      </c>
      <c r="BC1912">
        <v>1</v>
      </c>
      <c r="BE1912">
        <v>0</v>
      </c>
      <c r="BF1912">
        <v>0</v>
      </c>
      <c r="BG1912">
        <v>0</v>
      </c>
      <c r="BH1912">
        <v>8125</v>
      </c>
      <c r="BI1912">
        <v>1</v>
      </c>
      <c r="BJ1912">
        <v>0</v>
      </c>
      <c r="BK1912">
        <v>0</v>
      </c>
      <c r="BL1912">
        <v>0</v>
      </c>
      <c r="BO1912">
        <v>0</v>
      </c>
      <c r="BP1912">
        <v>0</v>
      </c>
      <c r="BW1912" t="str">
        <f t="shared" ref="BW1912:BW1918" si="1052">"14:53:47.275"</f>
        <v>14:53:47.275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6</v>
      </c>
      <c r="CP1912" t="s">
        <v>119</v>
      </c>
      <c r="CQ1912">
        <v>293</v>
      </c>
      <c r="CR1912">
        <v>2</v>
      </c>
      <c r="CW1912">
        <v>15295176</v>
      </c>
      <c r="CY1912">
        <v>0</v>
      </c>
      <c r="CZ1912">
        <v>0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25">
      <c r="A1913" t="str">
        <f t="shared" si="1049"/>
        <v>06/05/2020 14:53:41.648</v>
      </c>
      <c r="C1913" t="str">
        <f t="shared" si="1041"/>
        <v>FFDFD3C0</v>
      </c>
      <c r="D1913" t="s">
        <v>148</v>
      </c>
      <c r="E1913">
        <v>11</v>
      </c>
      <c r="H1913">
        <v>53</v>
      </c>
      <c r="I1913" t="s">
        <v>364</v>
      </c>
      <c r="J1913" t="s">
        <v>150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1050"/>
        <v>14:53:47.273</v>
      </c>
      <c r="T1913" t="str">
        <f t="shared" si="1051"/>
        <v>14:53:46.873</v>
      </c>
      <c r="U1913" t="str">
        <f t="shared" si="1024"/>
        <v>ACC530</v>
      </c>
      <c r="V1913">
        <v>0</v>
      </c>
      <c r="W1913">
        <v>0</v>
      </c>
      <c r="X1913">
        <v>1</v>
      </c>
      <c r="Z1913">
        <v>0</v>
      </c>
      <c r="AA1913">
        <v>9</v>
      </c>
      <c r="AB1913">
        <v>3</v>
      </c>
      <c r="AC1913">
        <v>0</v>
      </c>
      <c r="AD1913">
        <v>9</v>
      </c>
      <c r="AE1913">
        <v>0</v>
      </c>
      <c r="AF1913">
        <v>3</v>
      </c>
      <c r="AG1913">
        <v>1</v>
      </c>
      <c r="AH1913">
        <v>0</v>
      </c>
      <c r="AI1913" t="s">
        <v>716</v>
      </c>
      <c r="AJ1913">
        <v>34.178510000000003</v>
      </c>
      <c r="AK1913" t="s">
        <v>717</v>
      </c>
      <c r="AL1913">
        <v>-117.01566</v>
      </c>
      <c r="AM1913">
        <v>100</v>
      </c>
      <c r="AN1913">
        <v>8100</v>
      </c>
      <c r="AO1913" t="s">
        <v>118</v>
      </c>
      <c r="AP1913">
        <v>-96</v>
      </c>
      <c r="AQ1913">
        <v>-74</v>
      </c>
      <c r="AR1913">
        <v>-704</v>
      </c>
      <c r="AZ1913">
        <v>1200</v>
      </c>
      <c r="BA1913">
        <v>1</v>
      </c>
      <c r="BB1913" t="str">
        <f t="shared" si="1025"/>
        <v xml:space="preserve">N9217B  </v>
      </c>
      <c r="BC1913">
        <v>1</v>
      </c>
      <c r="BE1913">
        <v>0</v>
      </c>
      <c r="BF1913">
        <v>0</v>
      </c>
      <c r="BG1913">
        <v>0</v>
      </c>
      <c r="BH1913">
        <v>8125</v>
      </c>
      <c r="BI1913">
        <v>1</v>
      </c>
      <c r="BJ1913">
        <v>0</v>
      </c>
      <c r="BK1913">
        <v>0</v>
      </c>
      <c r="BL1913">
        <v>0</v>
      </c>
      <c r="BO1913">
        <v>0</v>
      </c>
      <c r="BP1913">
        <v>0</v>
      </c>
      <c r="BW1913" t="str">
        <f t="shared" si="1052"/>
        <v>14:53:47.275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293</v>
      </c>
      <c r="CR1913">
        <v>2</v>
      </c>
      <c r="CW1913">
        <v>15295176</v>
      </c>
      <c r="CY1913">
        <v>0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25">
      <c r="A1914" t="str">
        <f t="shared" si="1049"/>
        <v>06/05/2020 14:53:41.648</v>
      </c>
      <c r="C1914" t="str">
        <f t="shared" si="1041"/>
        <v>FFDFD3C0</v>
      </c>
      <c r="D1914" t="s">
        <v>134</v>
      </c>
      <c r="E1914">
        <v>7</v>
      </c>
      <c r="F1914">
        <v>2007</v>
      </c>
      <c r="G1914" t="s">
        <v>135</v>
      </c>
      <c r="J1914" t="s">
        <v>136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1050"/>
        <v>14:53:47.273</v>
      </c>
      <c r="T1914" t="str">
        <f t="shared" si="1051"/>
        <v>14:53:46.873</v>
      </c>
      <c r="U1914" t="str">
        <f t="shared" si="1024"/>
        <v>ACC530</v>
      </c>
      <c r="V1914">
        <v>0</v>
      </c>
      <c r="W1914">
        <v>0</v>
      </c>
      <c r="X1914">
        <v>1</v>
      </c>
      <c r="Z1914">
        <v>0</v>
      </c>
      <c r="AA1914">
        <v>9</v>
      </c>
      <c r="AB1914">
        <v>3</v>
      </c>
      <c r="AC1914">
        <v>0</v>
      </c>
      <c r="AD1914">
        <v>9</v>
      </c>
      <c r="AE1914">
        <v>0</v>
      </c>
      <c r="AF1914">
        <v>3</v>
      </c>
      <c r="AG1914">
        <v>1</v>
      </c>
      <c r="AH1914">
        <v>0</v>
      </c>
      <c r="AI1914" t="s">
        <v>716</v>
      </c>
      <c r="AJ1914">
        <v>34.178510000000003</v>
      </c>
      <c r="AK1914" t="s">
        <v>717</v>
      </c>
      <c r="AL1914">
        <v>-117.01566</v>
      </c>
      <c r="AM1914">
        <v>100</v>
      </c>
      <c r="AN1914">
        <v>8100</v>
      </c>
      <c r="AO1914" t="s">
        <v>118</v>
      </c>
      <c r="AP1914">
        <v>-96</v>
      </c>
      <c r="AQ1914">
        <v>-74</v>
      </c>
      <c r="AR1914">
        <v>-704</v>
      </c>
      <c r="AZ1914">
        <v>1200</v>
      </c>
      <c r="BA1914">
        <v>1</v>
      </c>
      <c r="BB1914" t="str">
        <f t="shared" si="1025"/>
        <v xml:space="preserve">N9217B  </v>
      </c>
      <c r="BC1914">
        <v>1</v>
      </c>
      <c r="BE1914">
        <v>0</v>
      </c>
      <c r="BF1914">
        <v>0</v>
      </c>
      <c r="BG1914">
        <v>0</v>
      </c>
      <c r="BH1914">
        <v>8125</v>
      </c>
      <c r="BI1914">
        <v>1</v>
      </c>
      <c r="BJ1914">
        <v>0</v>
      </c>
      <c r="BK1914">
        <v>0</v>
      </c>
      <c r="BL1914">
        <v>0</v>
      </c>
      <c r="BO1914">
        <v>0</v>
      </c>
      <c r="BP1914">
        <v>0</v>
      </c>
      <c r="BW1914" t="str">
        <f t="shared" si="1052"/>
        <v>14:53:47.275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6</v>
      </c>
      <c r="CP1914" t="s">
        <v>119</v>
      </c>
      <c r="CQ1914">
        <v>293</v>
      </c>
      <c r="CR1914">
        <v>2</v>
      </c>
      <c r="CW1914">
        <v>15295176</v>
      </c>
      <c r="CY1914">
        <v>0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25">
      <c r="A1915" t="str">
        <f t="shared" si="1049"/>
        <v>06/05/2020 14:53:41.648</v>
      </c>
      <c r="C1915" t="str">
        <f t="shared" si="1041"/>
        <v>FFDFD3C0</v>
      </c>
      <c r="D1915" t="s">
        <v>151</v>
      </c>
      <c r="E1915">
        <v>8</v>
      </c>
      <c r="H1915">
        <v>225</v>
      </c>
      <c r="I1915" t="s">
        <v>353</v>
      </c>
      <c r="J1915" t="s">
        <v>150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1050"/>
        <v>14:53:47.273</v>
      </c>
      <c r="T1915" t="str">
        <f t="shared" si="1051"/>
        <v>14:53:46.873</v>
      </c>
      <c r="U1915" t="str">
        <f t="shared" si="1024"/>
        <v>ACC530</v>
      </c>
      <c r="V1915">
        <v>0</v>
      </c>
      <c r="W1915">
        <v>0</v>
      </c>
      <c r="X1915">
        <v>1</v>
      </c>
      <c r="Z1915">
        <v>0</v>
      </c>
      <c r="AA1915">
        <v>9</v>
      </c>
      <c r="AB1915">
        <v>3</v>
      </c>
      <c r="AC1915">
        <v>0</v>
      </c>
      <c r="AD1915">
        <v>9</v>
      </c>
      <c r="AE1915">
        <v>0</v>
      </c>
      <c r="AF1915">
        <v>3</v>
      </c>
      <c r="AG1915">
        <v>1</v>
      </c>
      <c r="AH1915">
        <v>0</v>
      </c>
      <c r="AI1915" t="s">
        <v>716</v>
      </c>
      <c r="AJ1915">
        <v>34.178510000000003</v>
      </c>
      <c r="AK1915" t="s">
        <v>717</v>
      </c>
      <c r="AL1915">
        <v>-117.01566</v>
      </c>
      <c r="AM1915">
        <v>100</v>
      </c>
      <c r="AN1915">
        <v>8100</v>
      </c>
      <c r="AO1915" t="s">
        <v>118</v>
      </c>
      <c r="AP1915">
        <v>-96</v>
      </c>
      <c r="AQ1915">
        <v>-74</v>
      </c>
      <c r="AR1915">
        <v>-704</v>
      </c>
      <c r="AZ1915">
        <v>1200</v>
      </c>
      <c r="BA1915">
        <v>1</v>
      </c>
      <c r="BB1915" t="str">
        <f t="shared" si="1025"/>
        <v xml:space="preserve">N9217B  </v>
      </c>
      <c r="BC1915">
        <v>1</v>
      </c>
      <c r="BE1915">
        <v>0</v>
      </c>
      <c r="BF1915">
        <v>0</v>
      </c>
      <c r="BG1915">
        <v>0</v>
      </c>
      <c r="BH1915">
        <v>8125</v>
      </c>
      <c r="BI1915">
        <v>1</v>
      </c>
      <c r="BJ1915">
        <v>0</v>
      </c>
      <c r="BK1915">
        <v>0</v>
      </c>
      <c r="BL1915">
        <v>0</v>
      </c>
      <c r="BO1915">
        <v>0</v>
      </c>
      <c r="BP1915">
        <v>0</v>
      </c>
      <c r="BW1915" t="str">
        <f t="shared" si="1052"/>
        <v>14:53:47.275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285</v>
      </c>
      <c r="CR1915">
        <v>0</v>
      </c>
      <c r="CW1915">
        <v>8859293</v>
      </c>
      <c r="CY1915">
        <v>0</v>
      </c>
      <c r="CZ1915">
        <v>0</v>
      </c>
      <c r="DA1915">
        <v>1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25">
      <c r="A1916" t="str">
        <f t="shared" si="1049"/>
        <v>06/05/2020 14:53:41.648</v>
      </c>
      <c r="C1916" t="str">
        <f t="shared" si="1041"/>
        <v>FFDFD3C0</v>
      </c>
      <c r="D1916" t="s">
        <v>151</v>
      </c>
      <c r="E1916">
        <v>9</v>
      </c>
      <c r="H1916">
        <v>226</v>
      </c>
      <c r="I1916" t="s">
        <v>152</v>
      </c>
      <c r="J1916" t="s">
        <v>150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1050"/>
        <v>14:53:47.273</v>
      </c>
      <c r="T1916" t="str">
        <f t="shared" si="1051"/>
        <v>14:53:46.873</v>
      </c>
      <c r="U1916" t="str">
        <f t="shared" si="1024"/>
        <v>ACC530</v>
      </c>
      <c r="V1916">
        <v>0</v>
      </c>
      <c r="W1916">
        <v>0</v>
      </c>
      <c r="X1916">
        <v>1</v>
      </c>
      <c r="Z1916">
        <v>0</v>
      </c>
      <c r="AA1916">
        <v>9</v>
      </c>
      <c r="AB1916">
        <v>3</v>
      </c>
      <c r="AC1916">
        <v>0</v>
      </c>
      <c r="AD1916">
        <v>9</v>
      </c>
      <c r="AE1916">
        <v>0</v>
      </c>
      <c r="AF1916">
        <v>3</v>
      </c>
      <c r="AG1916">
        <v>1</v>
      </c>
      <c r="AH1916">
        <v>0</v>
      </c>
      <c r="AI1916" t="s">
        <v>716</v>
      </c>
      <c r="AJ1916">
        <v>34.178510000000003</v>
      </c>
      <c r="AK1916" t="s">
        <v>717</v>
      </c>
      <c r="AL1916">
        <v>-117.01566</v>
      </c>
      <c r="AM1916">
        <v>100</v>
      </c>
      <c r="AN1916">
        <v>8100</v>
      </c>
      <c r="AO1916" t="s">
        <v>118</v>
      </c>
      <c r="AP1916">
        <v>-96</v>
      </c>
      <c r="AQ1916">
        <v>-74</v>
      </c>
      <c r="AR1916">
        <v>-704</v>
      </c>
      <c r="AZ1916">
        <v>1200</v>
      </c>
      <c r="BA1916">
        <v>1</v>
      </c>
      <c r="BB1916" t="str">
        <f t="shared" si="1025"/>
        <v xml:space="preserve">N9217B  </v>
      </c>
      <c r="BC1916">
        <v>1</v>
      </c>
      <c r="BE1916">
        <v>0</v>
      </c>
      <c r="BF1916">
        <v>0</v>
      </c>
      <c r="BG1916">
        <v>0</v>
      </c>
      <c r="BH1916">
        <v>8125</v>
      </c>
      <c r="BI1916">
        <v>1</v>
      </c>
      <c r="BJ1916">
        <v>0</v>
      </c>
      <c r="BK1916">
        <v>0</v>
      </c>
      <c r="BL1916">
        <v>0</v>
      </c>
      <c r="BO1916">
        <v>0</v>
      </c>
      <c r="BP1916">
        <v>0</v>
      </c>
      <c r="BW1916" t="str">
        <f t="shared" si="1052"/>
        <v>14:53:47.275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6</v>
      </c>
      <c r="CP1916" t="s">
        <v>119</v>
      </c>
      <c r="CQ1916">
        <v>293</v>
      </c>
      <c r="CR1916">
        <v>2</v>
      </c>
      <c r="CW1916">
        <v>15295176</v>
      </c>
      <c r="CY1916">
        <v>0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25">
      <c r="A1917" t="str">
        <f t="shared" si="1049"/>
        <v>06/05/2020 14:53:41.648</v>
      </c>
      <c r="C1917" t="str">
        <f t="shared" si="1041"/>
        <v>FFDFD3C0</v>
      </c>
      <c r="D1917" t="s">
        <v>148</v>
      </c>
      <c r="E1917">
        <v>8</v>
      </c>
      <c r="H1917">
        <v>50</v>
      </c>
      <c r="I1917" t="s">
        <v>149</v>
      </c>
      <c r="J1917" t="s">
        <v>150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1050"/>
        <v>14:53:47.273</v>
      </c>
      <c r="T1917" t="str">
        <f t="shared" si="1051"/>
        <v>14:53:46.873</v>
      </c>
      <c r="U1917" t="str">
        <f t="shared" si="1024"/>
        <v>ACC530</v>
      </c>
      <c r="V1917">
        <v>0</v>
      </c>
      <c r="W1917">
        <v>0</v>
      </c>
      <c r="X1917">
        <v>1</v>
      </c>
      <c r="Z1917">
        <v>0</v>
      </c>
      <c r="AA1917">
        <v>9</v>
      </c>
      <c r="AB1917">
        <v>3</v>
      </c>
      <c r="AC1917">
        <v>0</v>
      </c>
      <c r="AD1917">
        <v>9</v>
      </c>
      <c r="AE1917">
        <v>0</v>
      </c>
      <c r="AF1917">
        <v>3</v>
      </c>
      <c r="AG1917">
        <v>1</v>
      </c>
      <c r="AH1917">
        <v>0</v>
      </c>
      <c r="AI1917" t="s">
        <v>716</v>
      </c>
      <c r="AJ1917">
        <v>34.178510000000003</v>
      </c>
      <c r="AK1917" t="s">
        <v>717</v>
      </c>
      <c r="AL1917">
        <v>-117.01566</v>
      </c>
      <c r="AM1917">
        <v>100</v>
      </c>
      <c r="AN1917">
        <v>8100</v>
      </c>
      <c r="AO1917" t="s">
        <v>118</v>
      </c>
      <c r="AP1917">
        <v>-96</v>
      </c>
      <c r="AQ1917">
        <v>-74</v>
      </c>
      <c r="AR1917">
        <v>-704</v>
      </c>
      <c r="AZ1917">
        <v>1200</v>
      </c>
      <c r="BA1917">
        <v>1</v>
      </c>
      <c r="BB1917" t="str">
        <f t="shared" si="1025"/>
        <v xml:space="preserve">N9217B  </v>
      </c>
      <c r="BC1917">
        <v>1</v>
      </c>
      <c r="BE1917">
        <v>0</v>
      </c>
      <c r="BF1917">
        <v>0</v>
      </c>
      <c r="BG1917">
        <v>0</v>
      </c>
      <c r="BH1917">
        <v>8125</v>
      </c>
      <c r="BI1917">
        <v>1</v>
      </c>
      <c r="BJ1917">
        <v>0</v>
      </c>
      <c r="BK1917">
        <v>0</v>
      </c>
      <c r="BL1917">
        <v>0</v>
      </c>
      <c r="BO1917">
        <v>0</v>
      </c>
      <c r="BP1917">
        <v>0</v>
      </c>
      <c r="BW1917" t="str">
        <f t="shared" si="1052"/>
        <v>14:53:47.275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6</v>
      </c>
      <c r="CP1917" t="s">
        <v>119</v>
      </c>
      <c r="CQ1917">
        <v>293</v>
      </c>
      <c r="CR1917">
        <v>2</v>
      </c>
      <c r="CW1917">
        <v>15295176</v>
      </c>
      <c r="CY1917">
        <v>0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25">
      <c r="A1918" t="str">
        <f t="shared" si="1049"/>
        <v>06/05/2020 14:53:41.648</v>
      </c>
      <c r="C1918" t="str">
        <f t="shared" si="1041"/>
        <v>FFDFD3C0</v>
      </c>
      <c r="D1918" t="s">
        <v>141</v>
      </c>
      <c r="E1918">
        <v>20</v>
      </c>
      <c r="F1918">
        <v>1020</v>
      </c>
      <c r="G1918" t="s">
        <v>114</v>
      </c>
      <c r="J1918" t="s">
        <v>142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1050"/>
        <v>14:53:47.273</v>
      </c>
      <c r="T1918" t="str">
        <f t="shared" si="1051"/>
        <v>14:53:46.873</v>
      </c>
      <c r="U1918" t="str">
        <f t="shared" si="1024"/>
        <v>ACC530</v>
      </c>
      <c r="V1918">
        <v>0</v>
      </c>
      <c r="W1918">
        <v>0</v>
      </c>
      <c r="X1918">
        <v>1</v>
      </c>
      <c r="Z1918">
        <v>0</v>
      </c>
      <c r="AA1918">
        <v>9</v>
      </c>
      <c r="AB1918">
        <v>3</v>
      </c>
      <c r="AC1918">
        <v>0</v>
      </c>
      <c r="AD1918">
        <v>9</v>
      </c>
      <c r="AE1918">
        <v>0</v>
      </c>
      <c r="AF1918">
        <v>3</v>
      </c>
      <c r="AG1918">
        <v>1</v>
      </c>
      <c r="AH1918">
        <v>0</v>
      </c>
      <c r="AI1918" t="s">
        <v>716</v>
      </c>
      <c r="AJ1918">
        <v>34.178510000000003</v>
      </c>
      <c r="AK1918" t="s">
        <v>717</v>
      </c>
      <c r="AL1918">
        <v>-117.01566</v>
      </c>
      <c r="AM1918">
        <v>100</v>
      </c>
      <c r="AN1918">
        <v>8100</v>
      </c>
      <c r="AO1918" t="s">
        <v>118</v>
      </c>
      <c r="AP1918">
        <v>-96</v>
      </c>
      <c r="AQ1918">
        <v>-74</v>
      </c>
      <c r="AR1918">
        <v>-704</v>
      </c>
      <c r="AZ1918">
        <v>1200</v>
      </c>
      <c r="BA1918">
        <v>1</v>
      </c>
      <c r="BB1918" t="str">
        <f t="shared" si="1025"/>
        <v xml:space="preserve">N9217B  </v>
      </c>
      <c r="BC1918">
        <v>1</v>
      </c>
      <c r="BE1918">
        <v>0</v>
      </c>
      <c r="BF1918">
        <v>0</v>
      </c>
      <c r="BG1918">
        <v>0</v>
      </c>
      <c r="BH1918">
        <v>8125</v>
      </c>
      <c r="BI1918">
        <v>1</v>
      </c>
      <c r="BJ1918">
        <v>0</v>
      </c>
      <c r="BK1918">
        <v>0</v>
      </c>
      <c r="BL1918">
        <v>0</v>
      </c>
      <c r="BO1918">
        <v>0</v>
      </c>
      <c r="BP1918">
        <v>0</v>
      </c>
      <c r="BW1918" t="str">
        <f t="shared" si="1052"/>
        <v>14:53:47.275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6</v>
      </c>
      <c r="CP1918" t="s">
        <v>119</v>
      </c>
      <c r="CQ1918">
        <v>293</v>
      </c>
      <c r="CR1918">
        <v>2</v>
      </c>
      <c r="CW1918">
        <v>15295176</v>
      </c>
      <c r="CY1918">
        <v>0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25">
      <c r="A1919" t="str">
        <f t="shared" ref="A1919:A1925" si="1053">"06/05/2020 14:53:42.457"</f>
        <v>06/05/2020 14:53:42.457</v>
      </c>
      <c r="C1919" t="str">
        <f t="shared" si="1041"/>
        <v>FFDFD3C0</v>
      </c>
      <c r="D1919" t="s">
        <v>113</v>
      </c>
      <c r="E1919">
        <v>3</v>
      </c>
      <c r="H1919">
        <v>166</v>
      </c>
      <c r="I1919" t="s">
        <v>114</v>
      </c>
      <c r="J1919" t="s">
        <v>115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ref="S1919:S1925" si="1054">"14:53:48.094"</f>
        <v>14:53:48.094</v>
      </c>
      <c r="T1919" t="str">
        <f t="shared" ref="T1919:T1925" si="1055">"14:53:47.894"</f>
        <v>14:53:47.894</v>
      </c>
      <c r="U1919" t="str">
        <f t="shared" si="1024"/>
        <v>ACC530</v>
      </c>
      <c r="V1919">
        <v>0</v>
      </c>
      <c r="W1919">
        <v>0</v>
      </c>
      <c r="X1919">
        <v>1</v>
      </c>
      <c r="Z1919">
        <v>0</v>
      </c>
      <c r="AA1919">
        <v>9</v>
      </c>
      <c r="AB1919">
        <v>3</v>
      </c>
      <c r="AC1919">
        <v>0</v>
      </c>
      <c r="AD1919">
        <v>9</v>
      </c>
      <c r="AE1919">
        <v>0</v>
      </c>
      <c r="AF1919">
        <v>3</v>
      </c>
      <c r="AG1919">
        <v>1</v>
      </c>
      <c r="AH1919">
        <v>0</v>
      </c>
      <c r="AI1919" t="s">
        <v>718</v>
      </c>
      <c r="AJ1919">
        <v>34.178230999999997</v>
      </c>
      <c r="AK1919" t="s">
        <v>719</v>
      </c>
      <c r="AL1919">
        <v>-117.016175</v>
      </c>
      <c r="AM1919">
        <v>100</v>
      </c>
      <c r="AN1919">
        <v>8100</v>
      </c>
      <c r="AO1919" t="s">
        <v>118</v>
      </c>
      <c r="AP1919">
        <v>-95</v>
      </c>
      <c r="AQ1919">
        <v>-75</v>
      </c>
      <c r="AR1919">
        <v>-640</v>
      </c>
      <c r="AZ1919">
        <v>1200</v>
      </c>
      <c r="BA1919">
        <v>1</v>
      </c>
      <c r="BB1919" t="str">
        <f t="shared" si="1025"/>
        <v xml:space="preserve">N9217B  </v>
      </c>
      <c r="BC1919">
        <v>1</v>
      </c>
      <c r="BE1919">
        <v>0</v>
      </c>
      <c r="BF1919">
        <v>0</v>
      </c>
      <c r="BG1919">
        <v>0</v>
      </c>
      <c r="BH1919">
        <v>8100</v>
      </c>
      <c r="BI1919">
        <v>1</v>
      </c>
      <c r="BJ1919">
        <v>0</v>
      </c>
      <c r="BK1919">
        <v>0</v>
      </c>
      <c r="BL1919">
        <v>0</v>
      </c>
      <c r="BO1919">
        <v>0</v>
      </c>
      <c r="BP1919">
        <v>0</v>
      </c>
      <c r="BW1919" t="str">
        <f t="shared" ref="BW1919:BW1925" si="1056">"14:53:48.100"</f>
        <v>14:53:48.100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285</v>
      </c>
      <c r="CR1919">
        <v>0</v>
      </c>
      <c r="CW1919">
        <v>8859364</v>
      </c>
      <c r="CY1919">
        <v>0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25">
      <c r="A1920" t="str">
        <f t="shared" si="1053"/>
        <v>06/05/2020 14:53:42.457</v>
      </c>
      <c r="C1920" t="str">
        <f t="shared" si="1041"/>
        <v>FFDFD3C0</v>
      </c>
      <c r="D1920" t="s">
        <v>148</v>
      </c>
      <c r="E1920">
        <v>11</v>
      </c>
      <c r="H1920">
        <v>53</v>
      </c>
      <c r="I1920" t="s">
        <v>364</v>
      </c>
      <c r="J1920" t="s">
        <v>150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1054"/>
        <v>14:53:48.094</v>
      </c>
      <c r="T1920" t="str">
        <f t="shared" si="1055"/>
        <v>14:53:47.894</v>
      </c>
      <c r="U1920" t="str">
        <f t="shared" si="1024"/>
        <v>ACC530</v>
      </c>
      <c r="V1920">
        <v>0</v>
      </c>
      <c r="W1920">
        <v>0</v>
      </c>
      <c r="X1920">
        <v>1</v>
      </c>
      <c r="Z1920">
        <v>0</v>
      </c>
      <c r="AA1920">
        <v>9</v>
      </c>
      <c r="AB1920">
        <v>3</v>
      </c>
      <c r="AC1920">
        <v>0</v>
      </c>
      <c r="AD1920">
        <v>9</v>
      </c>
      <c r="AE1920">
        <v>0</v>
      </c>
      <c r="AF1920">
        <v>3</v>
      </c>
      <c r="AG1920">
        <v>1</v>
      </c>
      <c r="AH1920">
        <v>0</v>
      </c>
      <c r="AI1920" t="s">
        <v>718</v>
      </c>
      <c r="AJ1920">
        <v>34.178230999999997</v>
      </c>
      <c r="AK1920" t="s">
        <v>719</v>
      </c>
      <c r="AL1920">
        <v>-117.016175</v>
      </c>
      <c r="AM1920">
        <v>100</v>
      </c>
      <c r="AN1920">
        <v>8100</v>
      </c>
      <c r="AO1920" t="s">
        <v>118</v>
      </c>
      <c r="AP1920">
        <v>-95</v>
      </c>
      <c r="AQ1920">
        <v>-75</v>
      </c>
      <c r="AR1920">
        <v>-640</v>
      </c>
      <c r="AZ1920">
        <v>1200</v>
      </c>
      <c r="BA1920">
        <v>1</v>
      </c>
      <c r="BB1920" t="str">
        <f t="shared" si="1025"/>
        <v xml:space="preserve">N9217B  </v>
      </c>
      <c r="BC1920">
        <v>1</v>
      </c>
      <c r="BE1920">
        <v>0</v>
      </c>
      <c r="BF1920">
        <v>0</v>
      </c>
      <c r="BG1920">
        <v>0</v>
      </c>
      <c r="BH1920">
        <v>8100</v>
      </c>
      <c r="BI1920">
        <v>1</v>
      </c>
      <c r="BJ1920">
        <v>0</v>
      </c>
      <c r="BK1920">
        <v>0</v>
      </c>
      <c r="BL1920">
        <v>0</v>
      </c>
      <c r="BO1920">
        <v>0</v>
      </c>
      <c r="BP1920">
        <v>0</v>
      </c>
      <c r="BW1920" t="str">
        <f t="shared" si="1056"/>
        <v>14:53:48.100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6</v>
      </c>
      <c r="CP1920" t="s">
        <v>119</v>
      </c>
      <c r="CQ1920">
        <v>285</v>
      </c>
      <c r="CR1920">
        <v>0</v>
      </c>
      <c r="CW1920">
        <v>8859364</v>
      </c>
      <c r="CY1920">
        <v>0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25">
      <c r="A1921" t="str">
        <f t="shared" si="1053"/>
        <v>06/05/2020 14:53:42.457</v>
      </c>
      <c r="C1921" t="str">
        <f t="shared" si="1041"/>
        <v>FFDFD3C0</v>
      </c>
      <c r="D1921" t="s">
        <v>134</v>
      </c>
      <c r="E1921">
        <v>7</v>
      </c>
      <c r="F1921">
        <v>2007</v>
      </c>
      <c r="G1921" t="s">
        <v>135</v>
      </c>
      <c r="J1921" t="s">
        <v>136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1054"/>
        <v>14:53:48.094</v>
      </c>
      <c r="T1921" t="str">
        <f t="shared" si="1055"/>
        <v>14:53:47.894</v>
      </c>
      <c r="U1921" t="str">
        <f t="shared" si="1024"/>
        <v>ACC530</v>
      </c>
      <c r="V1921">
        <v>0</v>
      </c>
      <c r="W1921">
        <v>0</v>
      </c>
      <c r="X1921">
        <v>1</v>
      </c>
      <c r="Z1921">
        <v>0</v>
      </c>
      <c r="AA1921">
        <v>9</v>
      </c>
      <c r="AB1921">
        <v>3</v>
      </c>
      <c r="AC1921">
        <v>0</v>
      </c>
      <c r="AD1921">
        <v>9</v>
      </c>
      <c r="AE1921">
        <v>0</v>
      </c>
      <c r="AF1921">
        <v>3</v>
      </c>
      <c r="AG1921">
        <v>1</v>
      </c>
      <c r="AH1921">
        <v>0</v>
      </c>
      <c r="AI1921" t="s">
        <v>718</v>
      </c>
      <c r="AJ1921">
        <v>34.178230999999997</v>
      </c>
      <c r="AK1921" t="s">
        <v>719</v>
      </c>
      <c r="AL1921">
        <v>-117.016175</v>
      </c>
      <c r="AM1921">
        <v>100</v>
      </c>
      <c r="AN1921">
        <v>8100</v>
      </c>
      <c r="AO1921" t="s">
        <v>118</v>
      </c>
      <c r="AP1921">
        <v>-95</v>
      </c>
      <c r="AQ1921">
        <v>-75</v>
      </c>
      <c r="AR1921">
        <v>-640</v>
      </c>
      <c r="AZ1921">
        <v>1200</v>
      </c>
      <c r="BA1921">
        <v>1</v>
      </c>
      <c r="BB1921" t="str">
        <f t="shared" si="1025"/>
        <v xml:space="preserve">N9217B  </v>
      </c>
      <c r="BC1921">
        <v>1</v>
      </c>
      <c r="BE1921">
        <v>0</v>
      </c>
      <c r="BF1921">
        <v>0</v>
      </c>
      <c r="BG1921">
        <v>0</v>
      </c>
      <c r="BH1921">
        <v>8100</v>
      </c>
      <c r="BI1921">
        <v>1</v>
      </c>
      <c r="BJ1921">
        <v>0</v>
      </c>
      <c r="BK1921">
        <v>0</v>
      </c>
      <c r="BL1921">
        <v>0</v>
      </c>
      <c r="BO1921">
        <v>0</v>
      </c>
      <c r="BP1921">
        <v>0</v>
      </c>
      <c r="BW1921" t="str">
        <f t="shared" si="1056"/>
        <v>14:53:48.100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285</v>
      </c>
      <c r="CR1921">
        <v>0</v>
      </c>
      <c r="CW1921">
        <v>8859364</v>
      </c>
      <c r="CY1921">
        <v>0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25">
      <c r="A1922" t="str">
        <f t="shared" si="1053"/>
        <v>06/05/2020 14:53:42.457</v>
      </c>
      <c r="C1922" t="str">
        <f t="shared" si="1041"/>
        <v>FFDFD3C0</v>
      </c>
      <c r="D1922" t="s">
        <v>151</v>
      </c>
      <c r="E1922">
        <v>8</v>
      </c>
      <c r="H1922">
        <v>225</v>
      </c>
      <c r="I1922" t="s">
        <v>353</v>
      </c>
      <c r="J1922" t="s">
        <v>150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1054"/>
        <v>14:53:48.094</v>
      </c>
      <c r="T1922" t="str">
        <f t="shared" si="1055"/>
        <v>14:53:47.894</v>
      </c>
      <c r="U1922" t="str">
        <f t="shared" ref="U1922:U1985" si="1057">"ACC530"</f>
        <v>ACC530</v>
      </c>
      <c r="V1922">
        <v>0</v>
      </c>
      <c r="W1922">
        <v>0</v>
      </c>
      <c r="X1922">
        <v>1</v>
      </c>
      <c r="Z1922">
        <v>0</v>
      </c>
      <c r="AA1922">
        <v>9</v>
      </c>
      <c r="AB1922">
        <v>3</v>
      </c>
      <c r="AC1922">
        <v>0</v>
      </c>
      <c r="AD1922">
        <v>9</v>
      </c>
      <c r="AE1922">
        <v>0</v>
      </c>
      <c r="AF1922">
        <v>3</v>
      </c>
      <c r="AG1922">
        <v>1</v>
      </c>
      <c r="AH1922">
        <v>0</v>
      </c>
      <c r="AI1922" t="s">
        <v>718</v>
      </c>
      <c r="AJ1922">
        <v>34.178230999999997</v>
      </c>
      <c r="AK1922" t="s">
        <v>719</v>
      </c>
      <c r="AL1922">
        <v>-117.016175</v>
      </c>
      <c r="AM1922">
        <v>100</v>
      </c>
      <c r="AN1922">
        <v>8100</v>
      </c>
      <c r="AO1922" t="s">
        <v>118</v>
      </c>
      <c r="AP1922">
        <v>-95</v>
      </c>
      <c r="AQ1922">
        <v>-75</v>
      </c>
      <c r="AR1922">
        <v>-640</v>
      </c>
      <c r="AZ1922">
        <v>1200</v>
      </c>
      <c r="BA1922">
        <v>1</v>
      </c>
      <c r="BB1922" t="str">
        <f t="shared" si="1025"/>
        <v xml:space="preserve">N9217B  </v>
      </c>
      <c r="BC1922">
        <v>1</v>
      </c>
      <c r="BE1922">
        <v>0</v>
      </c>
      <c r="BF1922">
        <v>0</v>
      </c>
      <c r="BG1922">
        <v>0</v>
      </c>
      <c r="BH1922">
        <v>8100</v>
      </c>
      <c r="BI1922">
        <v>1</v>
      </c>
      <c r="BJ1922">
        <v>0</v>
      </c>
      <c r="BK1922">
        <v>0</v>
      </c>
      <c r="BL1922">
        <v>0</v>
      </c>
      <c r="BO1922">
        <v>0</v>
      </c>
      <c r="BP1922">
        <v>0</v>
      </c>
      <c r="BW1922" t="str">
        <f t="shared" si="1056"/>
        <v>14:53:48.100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6</v>
      </c>
      <c r="CP1922" t="s">
        <v>119</v>
      </c>
      <c r="CQ1922">
        <v>285</v>
      </c>
      <c r="CR1922">
        <v>0</v>
      </c>
      <c r="CW1922">
        <v>8859364</v>
      </c>
      <c r="CY1922">
        <v>0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25">
      <c r="A1923" t="str">
        <f t="shared" si="1053"/>
        <v>06/05/2020 14:53:42.457</v>
      </c>
      <c r="C1923" t="str">
        <f t="shared" si="1041"/>
        <v>FFDFD3C0</v>
      </c>
      <c r="D1923" t="s">
        <v>151</v>
      </c>
      <c r="E1923">
        <v>9</v>
      </c>
      <c r="H1923">
        <v>226</v>
      </c>
      <c r="I1923" t="s">
        <v>152</v>
      </c>
      <c r="J1923" t="s">
        <v>150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1054"/>
        <v>14:53:48.094</v>
      </c>
      <c r="T1923" t="str">
        <f t="shared" si="1055"/>
        <v>14:53:47.894</v>
      </c>
      <c r="U1923" t="str">
        <f t="shared" si="1057"/>
        <v>ACC530</v>
      </c>
      <c r="V1923">
        <v>0</v>
      </c>
      <c r="W1923">
        <v>0</v>
      </c>
      <c r="X1923">
        <v>1</v>
      </c>
      <c r="Z1923">
        <v>0</v>
      </c>
      <c r="AA1923">
        <v>9</v>
      </c>
      <c r="AB1923">
        <v>3</v>
      </c>
      <c r="AC1923">
        <v>0</v>
      </c>
      <c r="AD1923">
        <v>9</v>
      </c>
      <c r="AE1923">
        <v>0</v>
      </c>
      <c r="AF1923">
        <v>3</v>
      </c>
      <c r="AG1923">
        <v>1</v>
      </c>
      <c r="AH1923">
        <v>0</v>
      </c>
      <c r="AI1923" t="s">
        <v>718</v>
      </c>
      <c r="AJ1923">
        <v>34.178230999999997</v>
      </c>
      <c r="AK1923" t="s">
        <v>719</v>
      </c>
      <c r="AL1923">
        <v>-117.016175</v>
      </c>
      <c r="AM1923">
        <v>100</v>
      </c>
      <c r="AN1923">
        <v>8100</v>
      </c>
      <c r="AO1923" t="s">
        <v>118</v>
      </c>
      <c r="AP1923">
        <v>-95</v>
      </c>
      <c r="AQ1923">
        <v>-75</v>
      </c>
      <c r="AR1923">
        <v>-640</v>
      </c>
      <c r="AZ1923">
        <v>1200</v>
      </c>
      <c r="BA1923">
        <v>1</v>
      </c>
      <c r="BB1923" t="str">
        <f t="shared" si="1025"/>
        <v xml:space="preserve">N9217B  </v>
      </c>
      <c r="BC1923">
        <v>1</v>
      </c>
      <c r="BE1923">
        <v>0</v>
      </c>
      <c r="BF1923">
        <v>0</v>
      </c>
      <c r="BG1923">
        <v>0</v>
      </c>
      <c r="BH1923">
        <v>8100</v>
      </c>
      <c r="BI1923">
        <v>1</v>
      </c>
      <c r="BJ1923">
        <v>0</v>
      </c>
      <c r="BK1923">
        <v>0</v>
      </c>
      <c r="BL1923">
        <v>0</v>
      </c>
      <c r="BO1923">
        <v>0</v>
      </c>
      <c r="BP1923">
        <v>0</v>
      </c>
      <c r="BW1923" t="str">
        <f t="shared" si="1056"/>
        <v>14:53:48.100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119</v>
      </c>
      <c r="CQ1923">
        <v>285</v>
      </c>
      <c r="CR1923">
        <v>0</v>
      </c>
      <c r="CW1923">
        <v>8859364</v>
      </c>
      <c r="CY1923">
        <v>0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25">
      <c r="A1924" t="str">
        <f t="shared" si="1053"/>
        <v>06/05/2020 14:53:42.457</v>
      </c>
      <c r="C1924" t="str">
        <f t="shared" si="1041"/>
        <v>FFDFD3C0</v>
      </c>
      <c r="D1924" t="s">
        <v>148</v>
      </c>
      <c r="E1924">
        <v>8</v>
      </c>
      <c r="H1924">
        <v>50</v>
      </c>
      <c r="I1924" t="s">
        <v>149</v>
      </c>
      <c r="J1924" t="s">
        <v>150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1054"/>
        <v>14:53:48.094</v>
      </c>
      <c r="T1924" t="str">
        <f t="shared" si="1055"/>
        <v>14:53:47.894</v>
      </c>
      <c r="U1924" t="str">
        <f t="shared" si="1057"/>
        <v>ACC530</v>
      </c>
      <c r="V1924">
        <v>0</v>
      </c>
      <c r="W1924">
        <v>0</v>
      </c>
      <c r="X1924">
        <v>1</v>
      </c>
      <c r="Z1924">
        <v>0</v>
      </c>
      <c r="AA1924">
        <v>9</v>
      </c>
      <c r="AB1924">
        <v>3</v>
      </c>
      <c r="AC1924">
        <v>0</v>
      </c>
      <c r="AD1924">
        <v>9</v>
      </c>
      <c r="AE1924">
        <v>0</v>
      </c>
      <c r="AF1924">
        <v>3</v>
      </c>
      <c r="AG1924">
        <v>1</v>
      </c>
      <c r="AH1924">
        <v>0</v>
      </c>
      <c r="AI1924" t="s">
        <v>718</v>
      </c>
      <c r="AJ1924">
        <v>34.178230999999997</v>
      </c>
      <c r="AK1924" t="s">
        <v>719</v>
      </c>
      <c r="AL1924">
        <v>-117.016175</v>
      </c>
      <c r="AM1924">
        <v>100</v>
      </c>
      <c r="AN1924">
        <v>8100</v>
      </c>
      <c r="AO1924" t="s">
        <v>118</v>
      </c>
      <c r="AP1924">
        <v>-95</v>
      </c>
      <c r="AQ1924">
        <v>-75</v>
      </c>
      <c r="AR1924">
        <v>-640</v>
      </c>
      <c r="AZ1924">
        <v>1200</v>
      </c>
      <c r="BA1924">
        <v>1</v>
      </c>
      <c r="BB1924" t="str">
        <f t="shared" si="1025"/>
        <v xml:space="preserve">N9217B  </v>
      </c>
      <c r="BC1924">
        <v>1</v>
      </c>
      <c r="BE1924">
        <v>0</v>
      </c>
      <c r="BF1924">
        <v>0</v>
      </c>
      <c r="BG1924">
        <v>0</v>
      </c>
      <c r="BH1924">
        <v>8100</v>
      </c>
      <c r="BI1924">
        <v>1</v>
      </c>
      <c r="BJ1924">
        <v>0</v>
      </c>
      <c r="BK1924">
        <v>0</v>
      </c>
      <c r="BL1924">
        <v>0</v>
      </c>
      <c r="BO1924">
        <v>0</v>
      </c>
      <c r="BP1924">
        <v>0</v>
      </c>
      <c r="BW1924" t="str">
        <f t="shared" si="1056"/>
        <v>14:53:48.100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119</v>
      </c>
      <c r="CQ1924">
        <v>285</v>
      </c>
      <c r="CR1924">
        <v>0</v>
      </c>
      <c r="CW1924">
        <v>8859364</v>
      </c>
      <c r="CY1924">
        <v>0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25">
      <c r="A1925" t="str">
        <f t="shared" si="1053"/>
        <v>06/05/2020 14:53:42.457</v>
      </c>
      <c r="C1925" t="str">
        <f t="shared" si="1041"/>
        <v>FFDFD3C0</v>
      </c>
      <c r="D1925" t="s">
        <v>141</v>
      </c>
      <c r="E1925">
        <v>20</v>
      </c>
      <c r="F1925">
        <v>1020</v>
      </c>
      <c r="G1925" t="s">
        <v>114</v>
      </c>
      <c r="J1925" t="s">
        <v>142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1054"/>
        <v>14:53:48.094</v>
      </c>
      <c r="T1925" t="str">
        <f t="shared" si="1055"/>
        <v>14:53:47.894</v>
      </c>
      <c r="U1925" t="str">
        <f t="shared" si="1057"/>
        <v>ACC530</v>
      </c>
      <c r="V1925">
        <v>0</v>
      </c>
      <c r="W1925">
        <v>0</v>
      </c>
      <c r="X1925">
        <v>1</v>
      </c>
      <c r="Z1925">
        <v>0</v>
      </c>
      <c r="AA1925">
        <v>9</v>
      </c>
      <c r="AB1925">
        <v>3</v>
      </c>
      <c r="AC1925">
        <v>0</v>
      </c>
      <c r="AD1925">
        <v>9</v>
      </c>
      <c r="AE1925">
        <v>0</v>
      </c>
      <c r="AF1925">
        <v>3</v>
      </c>
      <c r="AG1925">
        <v>1</v>
      </c>
      <c r="AH1925">
        <v>0</v>
      </c>
      <c r="AI1925" t="s">
        <v>718</v>
      </c>
      <c r="AJ1925">
        <v>34.178230999999997</v>
      </c>
      <c r="AK1925" t="s">
        <v>719</v>
      </c>
      <c r="AL1925">
        <v>-117.016175</v>
      </c>
      <c r="AM1925">
        <v>100</v>
      </c>
      <c r="AN1925">
        <v>8100</v>
      </c>
      <c r="AO1925" t="s">
        <v>118</v>
      </c>
      <c r="AP1925">
        <v>-95</v>
      </c>
      <c r="AQ1925">
        <v>-75</v>
      </c>
      <c r="AR1925">
        <v>-640</v>
      </c>
      <c r="AZ1925">
        <v>1200</v>
      </c>
      <c r="BA1925">
        <v>1</v>
      </c>
      <c r="BB1925" t="str">
        <f t="shared" ref="BB1925:BB1988" si="1058">"N9217B  "</f>
        <v xml:space="preserve">N9217B  </v>
      </c>
      <c r="BC1925">
        <v>1</v>
      </c>
      <c r="BE1925">
        <v>0</v>
      </c>
      <c r="BF1925">
        <v>0</v>
      </c>
      <c r="BG1925">
        <v>0</v>
      </c>
      <c r="BH1925">
        <v>8100</v>
      </c>
      <c r="BI1925">
        <v>1</v>
      </c>
      <c r="BJ1925">
        <v>0</v>
      </c>
      <c r="BK1925">
        <v>0</v>
      </c>
      <c r="BL1925">
        <v>0</v>
      </c>
      <c r="BO1925">
        <v>0</v>
      </c>
      <c r="BP1925">
        <v>0</v>
      </c>
      <c r="BW1925" t="str">
        <f t="shared" si="1056"/>
        <v>14:53:48.100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6</v>
      </c>
      <c r="CP1925" t="s">
        <v>119</v>
      </c>
      <c r="CQ1925">
        <v>285</v>
      </c>
      <c r="CR1925">
        <v>0</v>
      </c>
      <c r="CW1925">
        <v>8859364</v>
      </c>
      <c r="CY1925">
        <v>0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25">
      <c r="A1926" t="str">
        <f t="shared" ref="A1926:A1932" si="1059">"06/05/2020 14:53:43.526"</f>
        <v>06/05/2020 14:53:43.526</v>
      </c>
      <c r="C1926" t="str">
        <f t="shared" si="1041"/>
        <v>FFDFD3C0</v>
      </c>
      <c r="D1926" t="s">
        <v>151</v>
      </c>
      <c r="E1926">
        <v>8</v>
      </c>
      <c r="H1926">
        <v>225</v>
      </c>
      <c r="I1926" t="s">
        <v>353</v>
      </c>
      <c r="J1926" t="s">
        <v>150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ref="S1926:S1932" si="1060">"14:53:49.164"</f>
        <v>14:53:49.164</v>
      </c>
      <c r="T1926" t="str">
        <f t="shared" ref="T1926:T1932" si="1061">"14:53:48.864"</f>
        <v>14:53:48.864</v>
      </c>
      <c r="U1926" t="str">
        <f t="shared" si="1057"/>
        <v>ACC530</v>
      </c>
      <c r="V1926">
        <v>0</v>
      </c>
      <c r="W1926">
        <v>0</v>
      </c>
      <c r="X1926">
        <v>1</v>
      </c>
      <c r="Z1926">
        <v>0</v>
      </c>
      <c r="AA1926">
        <v>9</v>
      </c>
      <c r="AB1926">
        <v>3</v>
      </c>
      <c r="AC1926">
        <v>0</v>
      </c>
      <c r="AD1926">
        <v>9</v>
      </c>
      <c r="AE1926">
        <v>0</v>
      </c>
      <c r="AF1926">
        <v>3</v>
      </c>
      <c r="AG1926">
        <v>1</v>
      </c>
      <c r="AH1926">
        <v>0</v>
      </c>
      <c r="AI1926" t="s">
        <v>720</v>
      </c>
      <c r="AJ1926">
        <v>34.177866000000002</v>
      </c>
      <c r="AK1926" t="s">
        <v>721</v>
      </c>
      <c r="AL1926">
        <v>-117.016668</v>
      </c>
      <c r="AM1926">
        <v>100</v>
      </c>
      <c r="AN1926">
        <v>8100</v>
      </c>
      <c r="AO1926" t="s">
        <v>118</v>
      </c>
      <c r="AP1926">
        <v>-94</v>
      </c>
      <c r="AQ1926">
        <v>-76</v>
      </c>
      <c r="AR1926">
        <v>-704</v>
      </c>
      <c r="AZ1926">
        <v>1200</v>
      </c>
      <c r="BA1926">
        <v>1</v>
      </c>
      <c r="BB1926" t="str">
        <f t="shared" si="1058"/>
        <v xml:space="preserve">N9217B  </v>
      </c>
      <c r="BC1926">
        <v>1</v>
      </c>
      <c r="BE1926">
        <v>0</v>
      </c>
      <c r="BF1926">
        <v>0</v>
      </c>
      <c r="BG1926">
        <v>0</v>
      </c>
      <c r="BH1926">
        <v>8100</v>
      </c>
      <c r="BI1926">
        <v>1</v>
      </c>
      <c r="BJ1926">
        <v>0</v>
      </c>
      <c r="BK1926">
        <v>0</v>
      </c>
      <c r="BL1926">
        <v>0</v>
      </c>
      <c r="BO1926">
        <v>0</v>
      </c>
      <c r="BP1926">
        <v>0</v>
      </c>
      <c r="BW1926" t="str">
        <f t="shared" ref="BW1926:BW1932" si="1062">"14:53:49.165"</f>
        <v>14:53:49.165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6</v>
      </c>
      <c r="CP1926" t="s">
        <v>119</v>
      </c>
      <c r="CQ1926">
        <v>285</v>
      </c>
      <c r="CR1926">
        <v>0</v>
      </c>
      <c r="CW1926">
        <v>8859464</v>
      </c>
      <c r="CY1926">
        <v>0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25">
      <c r="A1927" t="str">
        <f t="shared" si="1059"/>
        <v>06/05/2020 14:53:43.526</v>
      </c>
      <c r="C1927" t="str">
        <f t="shared" si="1041"/>
        <v>FFDFD3C0</v>
      </c>
      <c r="D1927" t="s">
        <v>151</v>
      </c>
      <c r="E1927">
        <v>9</v>
      </c>
      <c r="H1927">
        <v>226</v>
      </c>
      <c r="I1927" t="s">
        <v>152</v>
      </c>
      <c r="J1927" t="s">
        <v>150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1060"/>
        <v>14:53:49.164</v>
      </c>
      <c r="T1927" t="str">
        <f t="shared" si="1061"/>
        <v>14:53:48.864</v>
      </c>
      <c r="U1927" t="str">
        <f t="shared" si="1057"/>
        <v>ACC530</v>
      </c>
      <c r="V1927">
        <v>0</v>
      </c>
      <c r="W1927">
        <v>0</v>
      </c>
      <c r="X1927">
        <v>1</v>
      </c>
      <c r="Z1927">
        <v>0</v>
      </c>
      <c r="AA1927">
        <v>9</v>
      </c>
      <c r="AB1927">
        <v>3</v>
      </c>
      <c r="AC1927">
        <v>0</v>
      </c>
      <c r="AD1927">
        <v>9</v>
      </c>
      <c r="AE1927">
        <v>0</v>
      </c>
      <c r="AF1927">
        <v>3</v>
      </c>
      <c r="AG1927">
        <v>1</v>
      </c>
      <c r="AH1927">
        <v>0</v>
      </c>
      <c r="AI1927" t="s">
        <v>720</v>
      </c>
      <c r="AJ1927">
        <v>34.177866000000002</v>
      </c>
      <c r="AK1927" t="s">
        <v>721</v>
      </c>
      <c r="AL1927">
        <v>-117.016668</v>
      </c>
      <c r="AM1927">
        <v>100</v>
      </c>
      <c r="AN1927">
        <v>8100</v>
      </c>
      <c r="AO1927" t="s">
        <v>118</v>
      </c>
      <c r="AP1927">
        <v>-94</v>
      </c>
      <c r="AQ1927">
        <v>-76</v>
      </c>
      <c r="AR1927">
        <v>-704</v>
      </c>
      <c r="AZ1927">
        <v>1200</v>
      </c>
      <c r="BA1927">
        <v>1</v>
      </c>
      <c r="BB1927" t="str">
        <f t="shared" si="1058"/>
        <v xml:space="preserve">N9217B  </v>
      </c>
      <c r="BC1927">
        <v>1</v>
      </c>
      <c r="BE1927">
        <v>0</v>
      </c>
      <c r="BF1927">
        <v>0</v>
      </c>
      <c r="BG1927">
        <v>0</v>
      </c>
      <c r="BH1927">
        <v>8100</v>
      </c>
      <c r="BI1927">
        <v>1</v>
      </c>
      <c r="BJ1927">
        <v>0</v>
      </c>
      <c r="BK1927">
        <v>0</v>
      </c>
      <c r="BL1927">
        <v>0</v>
      </c>
      <c r="BO1927">
        <v>0</v>
      </c>
      <c r="BP1927">
        <v>0</v>
      </c>
      <c r="BW1927" t="str">
        <f t="shared" si="1062"/>
        <v>14:53:49.165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6</v>
      </c>
      <c r="CP1927" t="s">
        <v>119</v>
      </c>
      <c r="CQ1927">
        <v>285</v>
      </c>
      <c r="CR1927">
        <v>0</v>
      </c>
      <c r="CW1927">
        <v>8859464</v>
      </c>
      <c r="CY1927">
        <v>0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25">
      <c r="A1928" t="str">
        <f t="shared" si="1059"/>
        <v>06/05/2020 14:53:43.526</v>
      </c>
      <c r="C1928" t="str">
        <f t="shared" si="1041"/>
        <v>FFDFD3C0</v>
      </c>
      <c r="D1928" t="s">
        <v>148</v>
      </c>
      <c r="E1928">
        <v>8</v>
      </c>
      <c r="H1928">
        <v>50</v>
      </c>
      <c r="I1928" t="s">
        <v>149</v>
      </c>
      <c r="J1928" t="s">
        <v>150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1060"/>
        <v>14:53:49.164</v>
      </c>
      <c r="T1928" t="str">
        <f t="shared" si="1061"/>
        <v>14:53:48.864</v>
      </c>
      <c r="U1928" t="str">
        <f t="shared" si="1057"/>
        <v>ACC530</v>
      </c>
      <c r="V1928">
        <v>0</v>
      </c>
      <c r="W1928">
        <v>0</v>
      </c>
      <c r="X1928">
        <v>1</v>
      </c>
      <c r="Z1928">
        <v>0</v>
      </c>
      <c r="AA1928">
        <v>9</v>
      </c>
      <c r="AB1928">
        <v>3</v>
      </c>
      <c r="AC1928">
        <v>0</v>
      </c>
      <c r="AD1928">
        <v>9</v>
      </c>
      <c r="AE1928">
        <v>0</v>
      </c>
      <c r="AF1928">
        <v>3</v>
      </c>
      <c r="AG1928">
        <v>1</v>
      </c>
      <c r="AH1928">
        <v>0</v>
      </c>
      <c r="AI1928" t="s">
        <v>720</v>
      </c>
      <c r="AJ1928">
        <v>34.177866000000002</v>
      </c>
      <c r="AK1928" t="s">
        <v>721</v>
      </c>
      <c r="AL1928">
        <v>-117.016668</v>
      </c>
      <c r="AM1928">
        <v>100</v>
      </c>
      <c r="AN1928">
        <v>8100</v>
      </c>
      <c r="AO1928" t="s">
        <v>118</v>
      </c>
      <c r="AP1928">
        <v>-94</v>
      </c>
      <c r="AQ1928">
        <v>-76</v>
      </c>
      <c r="AR1928">
        <v>-704</v>
      </c>
      <c r="AZ1928">
        <v>1200</v>
      </c>
      <c r="BA1928">
        <v>1</v>
      </c>
      <c r="BB1928" t="str">
        <f t="shared" si="1058"/>
        <v xml:space="preserve">N9217B  </v>
      </c>
      <c r="BC1928">
        <v>1</v>
      </c>
      <c r="BE1928">
        <v>0</v>
      </c>
      <c r="BF1928">
        <v>0</v>
      </c>
      <c r="BG1928">
        <v>0</v>
      </c>
      <c r="BH1928">
        <v>8100</v>
      </c>
      <c r="BI1928">
        <v>1</v>
      </c>
      <c r="BJ1928">
        <v>0</v>
      </c>
      <c r="BK1928">
        <v>0</v>
      </c>
      <c r="BL1928">
        <v>0</v>
      </c>
      <c r="BO1928">
        <v>0</v>
      </c>
      <c r="BP1928">
        <v>0</v>
      </c>
      <c r="BW1928" t="str">
        <f t="shared" si="1062"/>
        <v>14:53:49.165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6</v>
      </c>
      <c r="CP1928" t="s">
        <v>119</v>
      </c>
      <c r="CQ1928">
        <v>285</v>
      </c>
      <c r="CR1928">
        <v>0</v>
      </c>
      <c r="CW1928">
        <v>8859464</v>
      </c>
      <c r="CY1928">
        <v>0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25">
      <c r="A1929" t="str">
        <f t="shared" si="1059"/>
        <v>06/05/2020 14:53:43.526</v>
      </c>
      <c r="C1929" t="str">
        <f t="shared" si="1041"/>
        <v>FFDFD3C0</v>
      </c>
      <c r="D1929" t="s">
        <v>141</v>
      </c>
      <c r="E1929">
        <v>20</v>
      </c>
      <c r="F1929">
        <v>1020</v>
      </c>
      <c r="G1929" t="s">
        <v>114</v>
      </c>
      <c r="J1929" t="s">
        <v>142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1060"/>
        <v>14:53:49.164</v>
      </c>
      <c r="T1929" t="str">
        <f t="shared" si="1061"/>
        <v>14:53:48.864</v>
      </c>
      <c r="U1929" t="str">
        <f t="shared" si="1057"/>
        <v>ACC530</v>
      </c>
      <c r="V1929">
        <v>0</v>
      </c>
      <c r="W1929">
        <v>0</v>
      </c>
      <c r="X1929">
        <v>1</v>
      </c>
      <c r="Z1929">
        <v>0</v>
      </c>
      <c r="AA1929">
        <v>9</v>
      </c>
      <c r="AB1929">
        <v>3</v>
      </c>
      <c r="AC1929">
        <v>0</v>
      </c>
      <c r="AD1929">
        <v>9</v>
      </c>
      <c r="AE1929">
        <v>0</v>
      </c>
      <c r="AF1929">
        <v>3</v>
      </c>
      <c r="AG1929">
        <v>1</v>
      </c>
      <c r="AH1929">
        <v>0</v>
      </c>
      <c r="AI1929" t="s">
        <v>720</v>
      </c>
      <c r="AJ1929">
        <v>34.177866000000002</v>
      </c>
      <c r="AK1929" t="s">
        <v>721</v>
      </c>
      <c r="AL1929">
        <v>-117.016668</v>
      </c>
      <c r="AM1929">
        <v>100</v>
      </c>
      <c r="AN1929">
        <v>8100</v>
      </c>
      <c r="AO1929" t="s">
        <v>118</v>
      </c>
      <c r="AP1929">
        <v>-94</v>
      </c>
      <c r="AQ1929">
        <v>-76</v>
      </c>
      <c r="AR1929">
        <v>-704</v>
      </c>
      <c r="AZ1929">
        <v>1200</v>
      </c>
      <c r="BA1929">
        <v>1</v>
      </c>
      <c r="BB1929" t="str">
        <f t="shared" si="1058"/>
        <v xml:space="preserve">N9217B  </v>
      </c>
      <c r="BC1929">
        <v>1</v>
      </c>
      <c r="BE1929">
        <v>0</v>
      </c>
      <c r="BF1929">
        <v>0</v>
      </c>
      <c r="BG1929">
        <v>0</v>
      </c>
      <c r="BH1929">
        <v>8100</v>
      </c>
      <c r="BI1929">
        <v>1</v>
      </c>
      <c r="BJ1929">
        <v>0</v>
      </c>
      <c r="BK1929">
        <v>0</v>
      </c>
      <c r="BL1929">
        <v>0</v>
      </c>
      <c r="BO1929">
        <v>0</v>
      </c>
      <c r="BP1929">
        <v>0</v>
      </c>
      <c r="BW1929" t="str">
        <f t="shared" si="1062"/>
        <v>14:53:49.165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6</v>
      </c>
      <c r="CP1929" t="s">
        <v>119</v>
      </c>
      <c r="CQ1929">
        <v>285</v>
      </c>
      <c r="CR1929">
        <v>0</v>
      </c>
      <c r="CW1929">
        <v>8859464</v>
      </c>
      <c r="CY1929">
        <v>0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25">
      <c r="A1930" t="str">
        <f t="shared" si="1059"/>
        <v>06/05/2020 14:53:43.526</v>
      </c>
      <c r="C1930" t="str">
        <f t="shared" si="1041"/>
        <v>FFDFD3C0</v>
      </c>
      <c r="D1930" t="s">
        <v>134</v>
      </c>
      <c r="E1930">
        <v>7</v>
      </c>
      <c r="F1930">
        <v>2007</v>
      </c>
      <c r="G1930" t="s">
        <v>135</v>
      </c>
      <c r="J1930" t="s">
        <v>136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1060"/>
        <v>14:53:49.164</v>
      </c>
      <c r="T1930" t="str">
        <f t="shared" si="1061"/>
        <v>14:53:48.864</v>
      </c>
      <c r="U1930" t="str">
        <f t="shared" si="1057"/>
        <v>ACC530</v>
      </c>
      <c r="V1930">
        <v>0</v>
      </c>
      <c r="W1930">
        <v>0</v>
      </c>
      <c r="X1930">
        <v>1</v>
      </c>
      <c r="Z1930">
        <v>0</v>
      </c>
      <c r="AA1930">
        <v>9</v>
      </c>
      <c r="AB1930">
        <v>3</v>
      </c>
      <c r="AC1930">
        <v>0</v>
      </c>
      <c r="AD1930">
        <v>9</v>
      </c>
      <c r="AE1930">
        <v>0</v>
      </c>
      <c r="AF1930">
        <v>3</v>
      </c>
      <c r="AG1930">
        <v>1</v>
      </c>
      <c r="AH1930">
        <v>0</v>
      </c>
      <c r="AI1930" t="s">
        <v>720</v>
      </c>
      <c r="AJ1930">
        <v>34.177866000000002</v>
      </c>
      <c r="AK1930" t="s">
        <v>721</v>
      </c>
      <c r="AL1930">
        <v>-117.016668</v>
      </c>
      <c r="AM1930">
        <v>100</v>
      </c>
      <c r="AN1930">
        <v>8100</v>
      </c>
      <c r="AO1930" t="s">
        <v>118</v>
      </c>
      <c r="AP1930">
        <v>-94</v>
      </c>
      <c r="AQ1930">
        <v>-76</v>
      </c>
      <c r="AR1930">
        <v>-704</v>
      </c>
      <c r="AZ1930">
        <v>1200</v>
      </c>
      <c r="BA1930">
        <v>1</v>
      </c>
      <c r="BB1930" t="str">
        <f t="shared" si="1058"/>
        <v xml:space="preserve">N9217B  </v>
      </c>
      <c r="BC1930">
        <v>1</v>
      </c>
      <c r="BE1930">
        <v>0</v>
      </c>
      <c r="BF1930">
        <v>0</v>
      </c>
      <c r="BG1930">
        <v>0</v>
      </c>
      <c r="BH1930">
        <v>8100</v>
      </c>
      <c r="BI1930">
        <v>1</v>
      </c>
      <c r="BJ1930">
        <v>0</v>
      </c>
      <c r="BK1930">
        <v>0</v>
      </c>
      <c r="BL1930">
        <v>0</v>
      </c>
      <c r="BO1930">
        <v>0</v>
      </c>
      <c r="BP1930">
        <v>0</v>
      </c>
      <c r="BW1930" t="str">
        <f t="shared" si="1062"/>
        <v>14:53:49.165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6</v>
      </c>
      <c r="CP1930" t="s">
        <v>119</v>
      </c>
      <c r="CQ1930">
        <v>285</v>
      </c>
      <c r="CR1930">
        <v>0</v>
      </c>
      <c r="CW1930">
        <v>8859464</v>
      </c>
      <c r="CY1930">
        <v>0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25">
      <c r="A1931" t="str">
        <f t="shared" si="1059"/>
        <v>06/05/2020 14:53:43.526</v>
      </c>
      <c r="C1931" t="str">
        <f t="shared" si="1041"/>
        <v>FFDFD3C0</v>
      </c>
      <c r="D1931" t="s">
        <v>113</v>
      </c>
      <c r="E1931">
        <v>3</v>
      </c>
      <c r="H1931">
        <v>166</v>
      </c>
      <c r="I1931" t="s">
        <v>114</v>
      </c>
      <c r="J1931" t="s">
        <v>115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1060"/>
        <v>14:53:49.164</v>
      </c>
      <c r="T1931" t="str">
        <f t="shared" si="1061"/>
        <v>14:53:48.864</v>
      </c>
      <c r="U1931" t="str">
        <f t="shared" si="1057"/>
        <v>ACC530</v>
      </c>
      <c r="V1931">
        <v>0</v>
      </c>
      <c r="W1931">
        <v>0</v>
      </c>
      <c r="X1931">
        <v>1</v>
      </c>
      <c r="Z1931">
        <v>0</v>
      </c>
      <c r="AA1931">
        <v>9</v>
      </c>
      <c r="AB1931">
        <v>3</v>
      </c>
      <c r="AC1931">
        <v>0</v>
      </c>
      <c r="AD1931">
        <v>9</v>
      </c>
      <c r="AE1931">
        <v>0</v>
      </c>
      <c r="AF1931">
        <v>3</v>
      </c>
      <c r="AG1931">
        <v>1</v>
      </c>
      <c r="AH1931">
        <v>0</v>
      </c>
      <c r="AI1931" t="s">
        <v>720</v>
      </c>
      <c r="AJ1931">
        <v>34.177866000000002</v>
      </c>
      <c r="AK1931" t="s">
        <v>721</v>
      </c>
      <c r="AL1931">
        <v>-117.016668</v>
      </c>
      <c r="AM1931">
        <v>100</v>
      </c>
      <c r="AN1931">
        <v>8100</v>
      </c>
      <c r="AO1931" t="s">
        <v>118</v>
      </c>
      <c r="AP1931">
        <v>-94</v>
      </c>
      <c r="AQ1931">
        <v>-76</v>
      </c>
      <c r="AR1931">
        <v>-704</v>
      </c>
      <c r="AZ1931">
        <v>1200</v>
      </c>
      <c r="BA1931">
        <v>1</v>
      </c>
      <c r="BB1931" t="str">
        <f t="shared" si="1058"/>
        <v xml:space="preserve">N9217B  </v>
      </c>
      <c r="BC1931">
        <v>1</v>
      </c>
      <c r="BE1931">
        <v>0</v>
      </c>
      <c r="BF1931">
        <v>0</v>
      </c>
      <c r="BG1931">
        <v>0</v>
      </c>
      <c r="BH1931">
        <v>8100</v>
      </c>
      <c r="BI1931">
        <v>1</v>
      </c>
      <c r="BJ1931">
        <v>0</v>
      </c>
      <c r="BK1931">
        <v>0</v>
      </c>
      <c r="BL1931">
        <v>0</v>
      </c>
      <c r="BO1931">
        <v>0</v>
      </c>
      <c r="BP1931">
        <v>0</v>
      </c>
      <c r="BW1931" t="str">
        <f t="shared" si="1062"/>
        <v>14:53:49.165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6</v>
      </c>
      <c r="CP1931" t="s">
        <v>119</v>
      </c>
      <c r="CQ1931">
        <v>285</v>
      </c>
      <c r="CR1931">
        <v>0</v>
      </c>
      <c r="CW1931">
        <v>8859464</v>
      </c>
      <c r="CY1931">
        <v>0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25">
      <c r="A1932" t="str">
        <f t="shared" si="1059"/>
        <v>06/05/2020 14:53:43.526</v>
      </c>
      <c r="C1932" t="str">
        <f t="shared" si="1041"/>
        <v>FFDFD3C0</v>
      </c>
      <c r="D1932" t="s">
        <v>148</v>
      </c>
      <c r="E1932">
        <v>11</v>
      </c>
      <c r="H1932">
        <v>53</v>
      </c>
      <c r="I1932" t="s">
        <v>364</v>
      </c>
      <c r="J1932" t="s">
        <v>150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1060"/>
        <v>14:53:49.164</v>
      </c>
      <c r="T1932" t="str">
        <f t="shared" si="1061"/>
        <v>14:53:48.864</v>
      </c>
      <c r="U1932" t="str">
        <f t="shared" si="1057"/>
        <v>ACC530</v>
      </c>
      <c r="V1932">
        <v>0</v>
      </c>
      <c r="W1932">
        <v>0</v>
      </c>
      <c r="X1932">
        <v>1</v>
      </c>
      <c r="Z1932">
        <v>0</v>
      </c>
      <c r="AA1932">
        <v>9</v>
      </c>
      <c r="AB1932">
        <v>3</v>
      </c>
      <c r="AC1932">
        <v>0</v>
      </c>
      <c r="AD1932">
        <v>9</v>
      </c>
      <c r="AE1932">
        <v>0</v>
      </c>
      <c r="AF1932">
        <v>3</v>
      </c>
      <c r="AG1932">
        <v>1</v>
      </c>
      <c r="AH1932">
        <v>0</v>
      </c>
      <c r="AI1932" t="s">
        <v>720</v>
      </c>
      <c r="AJ1932">
        <v>34.177866000000002</v>
      </c>
      <c r="AK1932" t="s">
        <v>721</v>
      </c>
      <c r="AL1932">
        <v>-117.016668</v>
      </c>
      <c r="AM1932">
        <v>100</v>
      </c>
      <c r="AN1932">
        <v>8100</v>
      </c>
      <c r="AO1932" t="s">
        <v>118</v>
      </c>
      <c r="AP1932">
        <v>-94</v>
      </c>
      <c r="AQ1932">
        <v>-76</v>
      </c>
      <c r="AR1932">
        <v>-704</v>
      </c>
      <c r="AZ1932">
        <v>1200</v>
      </c>
      <c r="BA1932">
        <v>1</v>
      </c>
      <c r="BB1932" t="str">
        <f t="shared" si="1058"/>
        <v xml:space="preserve">N9217B  </v>
      </c>
      <c r="BC1932">
        <v>1</v>
      </c>
      <c r="BE1932">
        <v>0</v>
      </c>
      <c r="BF1932">
        <v>0</v>
      </c>
      <c r="BG1932">
        <v>0</v>
      </c>
      <c r="BH1932">
        <v>8100</v>
      </c>
      <c r="BI1932">
        <v>1</v>
      </c>
      <c r="BJ1932">
        <v>0</v>
      </c>
      <c r="BK1932">
        <v>0</v>
      </c>
      <c r="BL1932">
        <v>0</v>
      </c>
      <c r="BO1932">
        <v>0</v>
      </c>
      <c r="BP1932">
        <v>0</v>
      </c>
      <c r="BW1932" t="str">
        <f t="shared" si="1062"/>
        <v>14:53:49.165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6</v>
      </c>
      <c r="CP1932" t="s">
        <v>119</v>
      </c>
      <c r="CQ1932">
        <v>285</v>
      </c>
      <c r="CR1932">
        <v>0</v>
      </c>
      <c r="CW1932">
        <v>8859464</v>
      </c>
      <c r="CY1932">
        <v>0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25">
      <c r="A1933" t="str">
        <f t="shared" ref="A1933:A1939" si="1063">"06/05/2020 14:53:44.523"</f>
        <v>06/05/2020 14:53:44.523</v>
      </c>
      <c r="C1933" t="str">
        <f t="shared" si="1041"/>
        <v>FFDFD3C0</v>
      </c>
      <c r="D1933" t="s">
        <v>134</v>
      </c>
      <c r="E1933">
        <v>7</v>
      </c>
      <c r="F1933">
        <v>2007</v>
      </c>
      <c r="G1933" t="s">
        <v>135</v>
      </c>
      <c r="J1933" t="s">
        <v>136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S1939" si="1064">"14:53:50.180"</f>
        <v>14:53:50.180</v>
      </c>
      <c r="T1933" t="str">
        <f t="shared" ref="T1933:T1939" si="1065">"14:53:49.880"</f>
        <v>14:53:49.880</v>
      </c>
      <c r="U1933" t="str">
        <f t="shared" si="1057"/>
        <v>ACC530</v>
      </c>
      <c r="V1933">
        <v>0</v>
      </c>
      <c r="W1933">
        <v>0</v>
      </c>
      <c r="X1933">
        <v>1</v>
      </c>
      <c r="Z1933">
        <v>0</v>
      </c>
      <c r="AA1933">
        <v>9</v>
      </c>
      <c r="AB1933">
        <v>3</v>
      </c>
      <c r="AC1933">
        <v>0</v>
      </c>
      <c r="AD1933">
        <v>9</v>
      </c>
      <c r="AE1933">
        <v>0</v>
      </c>
      <c r="AF1933">
        <v>3</v>
      </c>
      <c r="AG1933">
        <v>1</v>
      </c>
      <c r="AH1933">
        <v>0</v>
      </c>
      <c r="AI1933" t="s">
        <v>722</v>
      </c>
      <c r="AJ1933">
        <v>34.177480000000003</v>
      </c>
      <c r="AK1933" t="s">
        <v>723</v>
      </c>
      <c r="AL1933">
        <v>-117.017205</v>
      </c>
      <c r="AM1933">
        <v>100</v>
      </c>
      <c r="AN1933">
        <v>8100</v>
      </c>
      <c r="AO1933" t="s">
        <v>118</v>
      </c>
      <c r="AP1933">
        <v>-93</v>
      </c>
      <c r="AQ1933">
        <v>-77</v>
      </c>
      <c r="AR1933">
        <v>-704</v>
      </c>
      <c r="AZ1933">
        <v>1200</v>
      </c>
      <c r="BA1933">
        <v>1</v>
      </c>
      <c r="BB1933" t="str">
        <f t="shared" si="1058"/>
        <v xml:space="preserve">N9217B  </v>
      </c>
      <c r="BC1933">
        <v>1</v>
      </c>
      <c r="BE1933">
        <v>0</v>
      </c>
      <c r="BF1933">
        <v>0</v>
      </c>
      <c r="BG1933">
        <v>0</v>
      </c>
      <c r="BH1933">
        <v>8075</v>
      </c>
      <c r="BI1933">
        <v>1</v>
      </c>
      <c r="BJ1933">
        <v>0</v>
      </c>
      <c r="BK1933">
        <v>0</v>
      </c>
      <c r="BL1933">
        <v>0</v>
      </c>
      <c r="BO1933">
        <v>0</v>
      </c>
      <c r="BP1933">
        <v>0</v>
      </c>
      <c r="BW1933" t="str">
        <f t="shared" ref="BW1933:BW1939" si="1066">"14:53:50.185"</f>
        <v>14:53:50.185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6</v>
      </c>
      <c r="CP1933" t="s">
        <v>119</v>
      </c>
      <c r="CQ1933">
        <v>293</v>
      </c>
      <c r="CR1933">
        <v>1</v>
      </c>
      <c r="CW1933">
        <v>15295513</v>
      </c>
      <c r="CY1933">
        <v>0</v>
      </c>
      <c r="CZ1933">
        <v>0</v>
      </c>
      <c r="DA1933">
        <v>0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25">
      <c r="A1934" t="str">
        <f t="shared" si="1063"/>
        <v>06/05/2020 14:53:44.523</v>
      </c>
      <c r="C1934" t="str">
        <f t="shared" si="1041"/>
        <v>FFDFD3C0</v>
      </c>
      <c r="D1934" t="s">
        <v>113</v>
      </c>
      <c r="E1934">
        <v>3</v>
      </c>
      <c r="H1934">
        <v>166</v>
      </c>
      <c r="I1934" t="s">
        <v>114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1064"/>
        <v>14:53:50.180</v>
      </c>
      <c r="T1934" t="str">
        <f t="shared" si="1065"/>
        <v>14:53:49.880</v>
      </c>
      <c r="U1934" t="str">
        <f t="shared" si="1057"/>
        <v>ACC530</v>
      </c>
      <c r="V1934">
        <v>0</v>
      </c>
      <c r="W1934">
        <v>0</v>
      </c>
      <c r="X1934">
        <v>1</v>
      </c>
      <c r="Z1934">
        <v>0</v>
      </c>
      <c r="AA1934">
        <v>9</v>
      </c>
      <c r="AB1934">
        <v>3</v>
      </c>
      <c r="AC1934">
        <v>0</v>
      </c>
      <c r="AD1934">
        <v>9</v>
      </c>
      <c r="AE1934">
        <v>0</v>
      </c>
      <c r="AF1934">
        <v>3</v>
      </c>
      <c r="AG1934">
        <v>1</v>
      </c>
      <c r="AH1934">
        <v>0</v>
      </c>
      <c r="AI1934" t="s">
        <v>722</v>
      </c>
      <c r="AJ1934">
        <v>34.177480000000003</v>
      </c>
      <c r="AK1934" t="s">
        <v>723</v>
      </c>
      <c r="AL1934">
        <v>-117.017205</v>
      </c>
      <c r="AM1934">
        <v>100</v>
      </c>
      <c r="AN1934">
        <v>8100</v>
      </c>
      <c r="AO1934" t="s">
        <v>118</v>
      </c>
      <c r="AP1934">
        <v>-93</v>
      </c>
      <c r="AQ1934">
        <v>-77</v>
      </c>
      <c r="AR1934">
        <v>-704</v>
      </c>
      <c r="AZ1934">
        <v>1200</v>
      </c>
      <c r="BA1934">
        <v>1</v>
      </c>
      <c r="BB1934" t="str">
        <f t="shared" si="1058"/>
        <v xml:space="preserve">N9217B  </v>
      </c>
      <c r="BC1934">
        <v>1</v>
      </c>
      <c r="BE1934">
        <v>0</v>
      </c>
      <c r="BF1934">
        <v>0</v>
      </c>
      <c r="BG1934">
        <v>0</v>
      </c>
      <c r="BH1934">
        <v>8075</v>
      </c>
      <c r="BI1934">
        <v>1</v>
      </c>
      <c r="BJ1934">
        <v>0</v>
      </c>
      <c r="BK1934">
        <v>0</v>
      </c>
      <c r="BL1934">
        <v>0</v>
      </c>
      <c r="BO1934">
        <v>0</v>
      </c>
      <c r="BP1934">
        <v>0</v>
      </c>
      <c r="BW1934" t="str">
        <f t="shared" si="1066"/>
        <v>14:53:50.185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6</v>
      </c>
      <c r="CP1934" t="s">
        <v>119</v>
      </c>
      <c r="CQ1934">
        <v>293</v>
      </c>
      <c r="CR1934">
        <v>1</v>
      </c>
      <c r="CW1934">
        <v>15295513</v>
      </c>
      <c r="CY1934">
        <v>0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25">
      <c r="A1935" t="str">
        <f t="shared" si="1063"/>
        <v>06/05/2020 14:53:44.523</v>
      </c>
      <c r="C1935" t="str">
        <f t="shared" si="1041"/>
        <v>FFDFD3C0</v>
      </c>
      <c r="D1935" t="s">
        <v>148</v>
      </c>
      <c r="E1935">
        <v>11</v>
      </c>
      <c r="H1935">
        <v>53</v>
      </c>
      <c r="I1935" t="s">
        <v>364</v>
      </c>
      <c r="J1935" t="s">
        <v>150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1064"/>
        <v>14:53:50.180</v>
      </c>
      <c r="T1935" t="str">
        <f t="shared" si="1065"/>
        <v>14:53:49.880</v>
      </c>
      <c r="U1935" t="str">
        <f t="shared" si="1057"/>
        <v>ACC530</v>
      </c>
      <c r="V1935">
        <v>0</v>
      </c>
      <c r="W1935">
        <v>0</v>
      </c>
      <c r="X1935">
        <v>1</v>
      </c>
      <c r="Z1935">
        <v>0</v>
      </c>
      <c r="AA1935">
        <v>9</v>
      </c>
      <c r="AB1935">
        <v>3</v>
      </c>
      <c r="AC1935">
        <v>0</v>
      </c>
      <c r="AD1935">
        <v>9</v>
      </c>
      <c r="AE1935">
        <v>0</v>
      </c>
      <c r="AF1935">
        <v>3</v>
      </c>
      <c r="AG1935">
        <v>1</v>
      </c>
      <c r="AH1935">
        <v>0</v>
      </c>
      <c r="AI1935" t="s">
        <v>722</v>
      </c>
      <c r="AJ1935">
        <v>34.177480000000003</v>
      </c>
      <c r="AK1935" t="s">
        <v>723</v>
      </c>
      <c r="AL1935">
        <v>-117.017205</v>
      </c>
      <c r="AM1935">
        <v>100</v>
      </c>
      <c r="AN1935">
        <v>8100</v>
      </c>
      <c r="AO1935" t="s">
        <v>118</v>
      </c>
      <c r="AP1935">
        <v>-93</v>
      </c>
      <c r="AQ1935">
        <v>-77</v>
      </c>
      <c r="AR1935">
        <v>-704</v>
      </c>
      <c r="AZ1935">
        <v>1200</v>
      </c>
      <c r="BA1935">
        <v>1</v>
      </c>
      <c r="BB1935" t="str">
        <f t="shared" si="1058"/>
        <v xml:space="preserve">N9217B  </v>
      </c>
      <c r="BC1935">
        <v>1</v>
      </c>
      <c r="BE1935">
        <v>0</v>
      </c>
      <c r="BF1935">
        <v>0</v>
      </c>
      <c r="BG1935">
        <v>0</v>
      </c>
      <c r="BH1935">
        <v>8075</v>
      </c>
      <c r="BI1935">
        <v>1</v>
      </c>
      <c r="BJ1935">
        <v>0</v>
      </c>
      <c r="BK1935">
        <v>0</v>
      </c>
      <c r="BL1935">
        <v>0</v>
      </c>
      <c r="BO1935">
        <v>0</v>
      </c>
      <c r="BP1935">
        <v>0</v>
      </c>
      <c r="BW1935" t="str">
        <f t="shared" si="1066"/>
        <v>14:53:50.185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6</v>
      </c>
      <c r="CP1935" t="s">
        <v>119</v>
      </c>
      <c r="CQ1935">
        <v>293</v>
      </c>
      <c r="CR1935">
        <v>1</v>
      </c>
      <c r="CW1935">
        <v>15295513</v>
      </c>
      <c r="CY1935">
        <v>0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25">
      <c r="A1936" t="str">
        <f t="shared" si="1063"/>
        <v>06/05/2020 14:53:44.523</v>
      </c>
      <c r="C1936" t="str">
        <f t="shared" si="1041"/>
        <v>FFDFD3C0</v>
      </c>
      <c r="D1936" t="s">
        <v>151</v>
      </c>
      <c r="E1936">
        <v>8</v>
      </c>
      <c r="H1936">
        <v>225</v>
      </c>
      <c r="I1936" t="s">
        <v>353</v>
      </c>
      <c r="J1936" t="s">
        <v>150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064"/>
        <v>14:53:50.180</v>
      </c>
      <c r="T1936" t="str">
        <f t="shared" si="1065"/>
        <v>14:53:49.880</v>
      </c>
      <c r="U1936" t="str">
        <f t="shared" si="1057"/>
        <v>ACC530</v>
      </c>
      <c r="V1936">
        <v>0</v>
      </c>
      <c r="W1936">
        <v>0</v>
      </c>
      <c r="X1936">
        <v>1</v>
      </c>
      <c r="Z1936">
        <v>0</v>
      </c>
      <c r="AA1936">
        <v>9</v>
      </c>
      <c r="AB1936">
        <v>3</v>
      </c>
      <c r="AC1936">
        <v>0</v>
      </c>
      <c r="AD1936">
        <v>9</v>
      </c>
      <c r="AE1936">
        <v>0</v>
      </c>
      <c r="AF1936">
        <v>3</v>
      </c>
      <c r="AG1936">
        <v>1</v>
      </c>
      <c r="AH1936">
        <v>0</v>
      </c>
      <c r="AI1936" t="s">
        <v>722</v>
      </c>
      <c r="AJ1936">
        <v>34.177480000000003</v>
      </c>
      <c r="AK1936" t="s">
        <v>723</v>
      </c>
      <c r="AL1936">
        <v>-117.017205</v>
      </c>
      <c r="AM1936">
        <v>100</v>
      </c>
      <c r="AN1936">
        <v>8100</v>
      </c>
      <c r="AO1936" t="s">
        <v>118</v>
      </c>
      <c r="AP1936">
        <v>-93</v>
      </c>
      <c r="AQ1936">
        <v>-77</v>
      </c>
      <c r="AR1936">
        <v>-704</v>
      </c>
      <c r="AZ1936">
        <v>1200</v>
      </c>
      <c r="BA1936">
        <v>1</v>
      </c>
      <c r="BB1936" t="str">
        <f t="shared" si="1058"/>
        <v xml:space="preserve">N9217B  </v>
      </c>
      <c r="BC1936">
        <v>1</v>
      </c>
      <c r="BE1936">
        <v>0</v>
      </c>
      <c r="BF1936">
        <v>0</v>
      </c>
      <c r="BG1936">
        <v>0</v>
      </c>
      <c r="BH1936">
        <v>8075</v>
      </c>
      <c r="BI1936">
        <v>1</v>
      </c>
      <c r="BJ1936">
        <v>0</v>
      </c>
      <c r="BK1936">
        <v>0</v>
      </c>
      <c r="BL1936">
        <v>0</v>
      </c>
      <c r="BO1936">
        <v>0</v>
      </c>
      <c r="BP1936">
        <v>0</v>
      </c>
      <c r="BW1936" t="str">
        <f t="shared" si="1066"/>
        <v>14:53:50.185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6</v>
      </c>
      <c r="CP1936" t="s">
        <v>119</v>
      </c>
      <c r="CQ1936">
        <v>285</v>
      </c>
      <c r="CR1936">
        <v>0</v>
      </c>
      <c r="CW1936">
        <v>8859555</v>
      </c>
      <c r="CY1936">
        <v>0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25">
      <c r="A1937" t="str">
        <f t="shared" si="1063"/>
        <v>06/05/2020 14:53:44.523</v>
      </c>
      <c r="C1937" t="str">
        <f t="shared" si="1041"/>
        <v>FFDFD3C0</v>
      </c>
      <c r="D1937" t="s">
        <v>151</v>
      </c>
      <c r="E1937">
        <v>9</v>
      </c>
      <c r="H1937">
        <v>226</v>
      </c>
      <c r="I1937" t="s">
        <v>152</v>
      </c>
      <c r="J1937" t="s">
        <v>150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1064"/>
        <v>14:53:50.180</v>
      </c>
      <c r="T1937" t="str">
        <f t="shared" si="1065"/>
        <v>14:53:49.880</v>
      </c>
      <c r="U1937" t="str">
        <f t="shared" si="1057"/>
        <v>ACC530</v>
      </c>
      <c r="V1937">
        <v>0</v>
      </c>
      <c r="W1937">
        <v>0</v>
      </c>
      <c r="X1937">
        <v>1</v>
      </c>
      <c r="Z1937">
        <v>0</v>
      </c>
      <c r="AA1937">
        <v>9</v>
      </c>
      <c r="AB1937">
        <v>3</v>
      </c>
      <c r="AC1937">
        <v>0</v>
      </c>
      <c r="AD1937">
        <v>9</v>
      </c>
      <c r="AE1937">
        <v>0</v>
      </c>
      <c r="AF1937">
        <v>3</v>
      </c>
      <c r="AG1937">
        <v>1</v>
      </c>
      <c r="AH1937">
        <v>0</v>
      </c>
      <c r="AI1937" t="s">
        <v>722</v>
      </c>
      <c r="AJ1937">
        <v>34.177480000000003</v>
      </c>
      <c r="AK1937" t="s">
        <v>723</v>
      </c>
      <c r="AL1937">
        <v>-117.017205</v>
      </c>
      <c r="AM1937">
        <v>100</v>
      </c>
      <c r="AN1937">
        <v>8100</v>
      </c>
      <c r="AO1937" t="s">
        <v>118</v>
      </c>
      <c r="AP1937">
        <v>-93</v>
      </c>
      <c r="AQ1937">
        <v>-77</v>
      </c>
      <c r="AR1937">
        <v>-704</v>
      </c>
      <c r="AZ1937">
        <v>1200</v>
      </c>
      <c r="BA1937">
        <v>1</v>
      </c>
      <c r="BB1937" t="str">
        <f t="shared" si="1058"/>
        <v xml:space="preserve">N9217B  </v>
      </c>
      <c r="BC1937">
        <v>1</v>
      </c>
      <c r="BE1937">
        <v>0</v>
      </c>
      <c r="BF1937">
        <v>0</v>
      </c>
      <c r="BG1937">
        <v>0</v>
      </c>
      <c r="BH1937">
        <v>8075</v>
      </c>
      <c r="BI1937">
        <v>1</v>
      </c>
      <c r="BJ1937">
        <v>0</v>
      </c>
      <c r="BK1937">
        <v>0</v>
      </c>
      <c r="BL1937">
        <v>0</v>
      </c>
      <c r="BO1937">
        <v>0</v>
      </c>
      <c r="BP1937">
        <v>0</v>
      </c>
      <c r="BW1937" t="str">
        <f t="shared" si="1066"/>
        <v>14:53:50.185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119</v>
      </c>
      <c r="CQ1937">
        <v>293</v>
      </c>
      <c r="CR1937">
        <v>1</v>
      </c>
      <c r="CW1937">
        <v>15295513</v>
      </c>
      <c r="CY1937">
        <v>0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25">
      <c r="A1938" t="str">
        <f t="shared" si="1063"/>
        <v>06/05/2020 14:53:44.523</v>
      </c>
      <c r="C1938" t="str">
        <f t="shared" si="1041"/>
        <v>FFDFD3C0</v>
      </c>
      <c r="D1938" t="s">
        <v>141</v>
      </c>
      <c r="E1938">
        <v>20</v>
      </c>
      <c r="F1938">
        <v>1020</v>
      </c>
      <c r="G1938" t="s">
        <v>114</v>
      </c>
      <c r="J1938" t="s">
        <v>142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064"/>
        <v>14:53:50.180</v>
      </c>
      <c r="T1938" t="str">
        <f t="shared" si="1065"/>
        <v>14:53:49.880</v>
      </c>
      <c r="U1938" t="str">
        <f t="shared" si="1057"/>
        <v>ACC530</v>
      </c>
      <c r="V1938">
        <v>0</v>
      </c>
      <c r="W1938">
        <v>0</v>
      </c>
      <c r="X1938">
        <v>1</v>
      </c>
      <c r="Z1938">
        <v>0</v>
      </c>
      <c r="AA1938">
        <v>9</v>
      </c>
      <c r="AB1938">
        <v>3</v>
      </c>
      <c r="AC1938">
        <v>0</v>
      </c>
      <c r="AD1938">
        <v>9</v>
      </c>
      <c r="AE1938">
        <v>0</v>
      </c>
      <c r="AF1938">
        <v>3</v>
      </c>
      <c r="AG1938">
        <v>1</v>
      </c>
      <c r="AH1938">
        <v>0</v>
      </c>
      <c r="AI1938" t="s">
        <v>722</v>
      </c>
      <c r="AJ1938">
        <v>34.177480000000003</v>
      </c>
      <c r="AK1938" t="s">
        <v>723</v>
      </c>
      <c r="AL1938">
        <v>-117.017205</v>
      </c>
      <c r="AM1938">
        <v>100</v>
      </c>
      <c r="AN1938">
        <v>8100</v>
      </c>
      <c r="AO1938" t="s">
        <v>118</v>
      </c>
      <c r="AP1938">
        <v>-93</v>
      </c>
      <c r="AQ1938">
        <v>-77</v>
      </c>
      <c r="AR1938">
        <v>-704</v>
      </c>
      <c r="AZ1938">
        <v>1200</v>
      </c>
      <c r="BA1938">
        <v>1</v>
      </c>
      <c r="BB1938" t="str">
        <f t="shared" si="1058"/>
        <v xml:space="preserve">N9217B  </v>
      </c>
      <c r="BC1938">
        <v>1</v>
      </c>
      <c r="BE1938">
        <v>0</v>
      </c>
      <c r="BF1938">
        <v>0</v>
      </c>
      <c r="BG1938">
        <v>0</v>
      </c>
      <c r="BH1938">
        <v>8075</v>
      </c>
      <c r="BI1938">
        <v>1</v>
      </c>
      <c r="BJ1938">
        <v>0</v>
      </c>
      <c r="BK1938">
        <v>0</v>
      </c>
      <c r="BL1938">
        <v>0</v>
      </c>
      <c r="BO1938">
        <v>0</v>
      </c>
      <c r="BP1938">
        <v>0</v>
      </c>
      <c r="BW1938" t="str">
        <f t="shared" si="1066"/>
        <v>14:53:50.185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119</v>
      </c>
      <c r="CQ1938">
        <v>293</v>
      </c>
      <c r="CR1938">
        <v>1</v>
      </c>
      <c r="CW1938">
        <v>15295513</v>
      </c>
      <c r="CY1938">
        <v>0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25">
      <c r="A1939" t="str">
        <f t="shared" si="1063"/>
        <v>06/05/2020 14:53:44.523</v>
      </c>
      <c r="C1939" t="str">
        <f t="shared" si="1041"/>
        <v>FFDFD3C0</v>
      </c>
      <c r="D1939" t="s">
        <v>148</v>
      </c>
      <c r="E1939">
        <v>8</v>
      </c>
      <c r="H1939">
        <v>50</v>
      </c>
      <c r="I1939" t="s">
        <v>149</v>
      </c>
      <c r="J1939" t="s">
        <v>150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064"/>
        <v>14:53:50.180</v>
      </c>
      <c r="T1939" t="str">
        <f t="shared" si="1065"/>
        <v>14:53:49.880</v>
      </c>
      <c r="U1939" t="str">
        <f t="shared" si="1057"/>
        <v>ACC530</v>
      </c>
      <c r="V1939">
        <v>0</v>
      </c>
      <c r="W1939">
        <v>0</v>
      </c>
      <c r="X1939">
        <v>1</v>
      </c>
      <c r="Z1939">
        <v>0</v>
      </c>
      <c r="AA1939">
        <v>9</v>
      </c>
      <c r="AB1939">
        <v>3</v>
      </c>
      <c r="AC1939">
        <v>0</v>
      </c>
      <c r="AD1939">
        <v>9</v>
      </c>
      <c r="AE1939">
        <v>0</v>
      </c>
      <c r="AF1939">
        <v>3</v>
      </c>
      <c r="AG1939">
        <v>1</v>
      </c>
      <c r="AH1939">
        <v>0</v>
      </c>
      <c r="AI1939" t="s">
        <v>722</v>
      </c>
      <c r="AJ1939">
        <v>34.177480000000003</v>
      </c>
      <c r="AK1939" t="s">
        <v>723</v>
      </c>
      <c r="AL1939">
        <v>-117.017205</v>
      </c>
      <c r="AM1939">
        <v>100</v>
      </c>
      <c r="AN1939">
        <v>8100</v>
      </c>
      <c r="AO1939" t="s">
        <v>118</v>
      </c>
      <c r="AP1939">
        <v>-93</v>
      </c>
      <c r="AQ1939">
        <v>-77</v>
      </c>
      <c r="AR1939">
        <v>-704</v>
      </c>
      <c r="AZ1939">
        <v>1200</v>
      </c>
      <c r="BA1939">
        <v>1</v>
      </c>
      <c r="BB1939" t="str">
        <f t="shared" si="1058"/>
        <v xml:space="preserve">N9217B  </v>
      </c>
      <c r="BC1939">
        <v>1</v>
      </c>
      <c r="BE1939">
        <v>0</v>
      </c>
      <c r="BF1939">
        <v>0</v>
      </c>
      <c r="BG1939">
        <v>0</v>
      </c>
      <c r="BH1939">
        <v>8075</v>
      </c>
      <c r="BI1939">
        <v>1</v>
      </c>
      <c r="BJ1939">
        <v>0</v>
      </c>
      <c r="BK1939">
        <v>0</v>
      </c>
      <c r="BL1939">
        <v>0</v>
      </c>
      <c r="BO1939">
        <v>0</v>
      </c>
      <c r="BP1939">
        <v>0</v>
      </c>
      <c r="BW1939" t="str">
        <f t="shared" si="1066"/>
        <v>14:53:50.185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6</v>
      </c>
      <c r="CP1939" t="s">
        <v>119</v>
      </c>
      <c r="CQ1939">
        <v>293</v>
      </c>
      <c r="CR1939">
        <v>1</v>
      </c>
      <c r="CW1939">
        <v>15295513</v>
      </c>
      <c r="CY1939">
        <v>0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25">
      <c r="A1940" t="str">
        <f t="shared" ref="A1940:A1946" si="1067">"06/05/2020 14:53:45.643"</f>
        <v>06/05/2020 14:53:45.643</v>
      </c>
      <c r="C1940" t="str">
        <f t="shared" si="1041"/>
        <v>FFDFD3C0</v>
      </c>
      <c r="D1940" t="s">
        <v>148</v>
      </c>
      <c r="E1940">
        <v>11</v>
      </c>
      <c r="H1940">
        <v>53</v>
      </c>
      <c r="I1940" t="s">
        <v>364</v>
      </c>
      <c r="J1940" t="s">
        <v>150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ref="S1940:T1946" si="1068">"14:53:51.289"</f>
        <v>14:53:51.289</v>
      </c>
      <c r="T1940" t="str">
        <f t="shared" si="1068"/>
        <v>14:53:51.289</v>
      </c>
      <c r="U1940" t="str">
        <f t="shared" si="1057"/>
        <v>ACC530</v>
      </c>
      <c r="V1940">
        <v>0</v>
      </c>
      <c r="W1940">
        <v>0</v>
      </c>
      <c r="X1940">
        <v>1</v>
      </c>
      <c r="Z1940">
        <v>0</v>
      </c>
      <c r="AA1940">
        <v>9</v>
      </c>
      <c r="AB1940">
        <v>3</v>
      </c>
      <c r="AC1940">
        <v>0</v>
      </c>
      <c r="AD1940">
        <v>9</v>
      </c>
      <c r="AE1940">
        <v>0</v>
      </c>
      <c r="AF1940">
        <v>3</v>
      </c>
      <c r="AG1940">
        <v>1</v>
      </c>
      <c r="AH1940">
        <v>0</v>
      </c>
      <c r="AI1940" t="s">
        <v>724</v>
      </c>
      <c r="AJ1940">
        <v>34.177093999999997</v>
      </c>
      <c r="AK1940" t="s">
        <v>725</v>
      </c>
      <c r="AL1940">
        <v>-117.01778400000001</v>
      </c>
      <c r="AM1940">
        <v>100</v>
      </c>
      <c r="AN1940">
        <v>8100</v>
      </c>
      <c r="AO1940" t="s">
        <v>118</v>
      </c>
      <c r="AP1940">
        <v>-93</v>
      </c>
      <c r="AQ1940">
        <v>-78</v>
      </c>
      <c r="AR1940">
        <v>-768</v>
      </c>
      <c r="AZ1940">
        <v>1200</v>
      </c>
      <c r="BA1940">
        <v>1</v>
      </c>
      <c r="BB1940" t="str">
        <f t="shared" si="1058"/>
        <v xml:space="preserve">N9217B  </v>
      </c>
      <c r="BC1940">
        <v>1</v>
      </c>
      <c r="BE1940">
        <v>0</v>
      </c>
      <c r="BF1940">
        <v>0</v>
      </c>
      <c r="BG1940">
        <v>0</v>
      </c>
      <c r="BH1940">
        <v>8075</v>
      </c>
      <c r="BI1940">
        <v>1</v>
      </c>
      <c r="BJ1940">
        <v>0</v>
      </c>
      <c r="BK1940">
        <v>0</v>
      </c>
      <c r="BL1940">
        <v>0</v>
      </c>
      <c r="BO1940">
        <v>0</v>
      </c>
      <c r="BP1940">
        <v>0</v>
      </c>
      <c r="BW1940" t="str">
        <f t="shared" ref="BW1940:BW1946" si="1069">"14:53:51.294"</f>
        <v>14:53:51.294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6</v>
      </c>
      <c r="CP1940" t="s">
        <v>119</v>
      </c>
      <c r="CQ1940">
        <v>293</v>
      </c>
      <c r="CR1940">
        <v>1</v>
      </c>
      <c r="CW1940">
        <v>15295645</v>
      </c>
      <c r="CY1940">
        <v>0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25">
      <c r="A1941" t="str">
        <f t="shared" si="1067"/>
        <v>06/05/2020 14:53:45.643</v>
      </c>
      <c r="C1941" t="str">
        <f t="shared" si="1041"/>
        <v>FFDFD3C0</v>
      </c>
      <c r="D1941" t="s">
        <v>151</v>
      </c>
      <c r="E1941">
        <v>8</v>
      </c>
      <c r="H1941">
        <v>225</v>
      </c>
      <c r="I1941" t="s">
        <v>353</v>
      </c>
      <c r="J1941" t="s">
        <v>150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1068"/>
        <v>14:53:51.289</v>
      </c>
      <c r="T1941" t="str">
        <f t="shared" si="1068"/>
        <v>14:53:51.289</v>
      </c>
      <c r="U1941" t="str">
        <f t="shared" si="1057"/>
        <v>ACC530</v>
      </c>
      <c r="V1941">
        <v>0</v>
      </c>
      <c r="W1941">
        <v>0</v>
      </c>
      <c r="X1941">
        <v>1</v>
      </c>
      <c r="Z1941">
        <v>0</v>
      </c>
      <c r="AA1941">
        <v>9</v>
      </c>
      <c r="AB1941">
        <v>3</v>
      </c>
      <c r="AC1941">
        <v>0</v>
      </c>
      <c r="AD1941">
        <v>9</v>
      </c>
      <c r="AE1941">
        <v>0</v>
      </c>
      <c r="AF1941">
        <v>3</v>
      </c>
      <c r="AG1941">
        <v>1</v>
      </c>
      <c r="AH1941">
        <v>0</v>
      </c>
      <c r="AI1941" t="s">
        <v>724</v>
      </c>
      <c r="AJ1941">
        <v>34.177093999999997</v>
      </c>
      <c r="AK1941" t="s">
        <v>725</v>
      </c>
      <c r="AL1941">
        <v>-117.01778400000001</v>
      </c>
      <c r="AM1941">
        <v>100</v>
      </c>
      <c r="AN1941">
        <v>8100</v>
      </c>
      <c r="AO1941" t="s">
        <v>118</v>
      </c>
      <c r="AP1941">
        <v>-93</v>
      </c>
      <c r="AQ1941">
        <v>-78</v>
      </c>
      <c r="AR1941">
        <v>-768</v>
      </c>
      <c r="AZ1941">
        <v>1200</v>
      </c>
      <c r="BA1941">
        <v>1</v>
      </c>
      <c r="BB1941" t="str">
        <f t="shared" si="1058"/>
        <v xml:space="preserve">N9217B  </v>
      </c>
      <c r="BC1941">
        <v>1</v>
      </c>
      <c r="BE1941">
        <v>0</v>
      </c>
      <c r="BF1941">
        <v>0</v>
      </c>
      <c r="BG1941">
        <v>0</v>
      </c>
      <c r="BH1941">
        <v>8075</v>
      </c>
      <c r="BI1941">
        <v>1</v>
      </c>
      <c r="BJ1941">
        <v>0</v>
      </c>
      <c r="BK1941">
        <v>0</v>
      </c>
      <c r="BL1941">
        <v>0</v>
      </c>
      <c r="BO1941">
        <v>0</v>
      </c>
      <c r="BP1941">
        <v>0</v>
      </c>
      <c r="BW1941" t="str">
        <f t="shared" si="1069"/>
        <v>14:53:51.294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6</v>
      </c>
      <c r="CP1941" t="s">
        <v>119</v>
      </c>
      <c r="CQ1941">
        <v>285</v>
      </c>
      <c r="CR1941">
        <v>0</v>
      </c>
      <c r="CW1941">
        <v>8859652</v>
      </c>
      <c r="CY1941">
        <v>0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25">
      <c r="A1942" t="str">
        <f t="shared" si="1067"/>
        <v>06/05/2020 14:53:45.643</v>
      </c>
      <c r="C1942" t="str">
        <f t="shared" si="1041"/>
        <v>FFDFD3C0</v>
      </c>
      <c r="D1942" t="s">
        <v>141</v>
      </c>
      <c r="E1942">
        <v>20</v>
      </c>
      <c r="F1942">
        <v>1020</v>
      </c>
      <c r="G1942" t="s">
        <v>114</v>
      </c>
      <c r="J1942" t="s">
        <v>142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1068"/>
        <v>14:53:51.289</v>
      </c>
      <c r="T1942" t="str">
        <f t="shared" si="1068"/>
        <v>14:53:51.289</v>
      </c>
      <c r="U1942" t="str">
        <f t="shared" si="1057"/>
        <v>ACC530</v>
      </c>
      <c r="V1942">
        <v>0</v>
      </c>
      <c r="W1942">
        <v>0</v>
      </c>
      <c r="X1942">
        <v>1</v>
      </c>
      <c r="Z1942">
        <v>0</v>
      </c>
      <c r="AA1942">
        <v>9</v>
      </c>
      <c r="AB1942">
        <v>3</v>
      </c>
      <c r="AC1942">
        <v>0</v>
      </c>
      <c r="AD1942">
        <v>9</v>
      </c>
      <c r="AE1942">
        <v>0</v>
      </c>
      <c r="AF1942">
        <v>3</v>
      </c>
      <c r="AG1942">
        <v>1</v>
      </c>
      <c r="AH1942">
        <v>0</v>
      </c>
      <c r="AI1942" t="s">
        <v>724</v>
      </c>
      <c r="AJ1942">
        <v>34.177093999999997</v>
      </c>
      <c r="AK1942" t="s">
        <v>725</v>
      </c>
      <c r="AL1942">
        <v>-117.01778400000001</v>
      </c>
      <c r="AM1942">
        <v>100</v>
      </c>
      <c r="AN1942">
        <v>8100</v>
      </c>
      <c r="AO1942" t="s">
        <v>118</v>
      </c>
      <c r="AP1942">
        <v>-93</v>
      </c>
      <c r="AQ1942">
        <v>-78</v>
      </c>
      <c r="AR1942">
        <v>-768</v>
      </c>
      <c r="AZ1942">
        <v>1200</v>
      </c>
      <c r="BA1942">
        <v>1</v>
      </c>
      <c r="BB1942" t="str">
        <f t="shared" si="1058"/>
        <v xml:space="preserve">N9217B  </v>
      </c>
      <c r="BC1942">
        <v>1</v>
      </c>
      <c r="BE1942">
        <v>0</v>
      </c>
      <c r="BF1942">
        <v>0</v>
      </c>
      <c r="BG1942">
        <v>0</v>
      </c>
      <c r="BH1942">
        <v>8075</v>
      </c>
      <c r="BI1942">
        <v>1</v>
      </c>
      <c r="BJ1942">
        <v>0</v>
      </c>
      <c r="BK1942">
        <v>0</v>
      </c>
      <c r="BL1942">
        <v>0</v>
      </c>
      <c r="BO1942">
        <v>0</v>
      </c>
      <c r="BP1942">
        <v>0</v>
      </c>
      <c r="BW1942" t="str">
        <f t="shared" si="1069"/>
        <v>14:53:51.294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6</v>
      </c>
      <c r="CP1942" t="s">
        <v>119</v>
      </c>
      <c r="CQ1942">
        <v>293</v>
      </c>
      <c r="CR1942">
        <v>1</v>
      </c>
      <c r="CW1942">
        <v>15295645</v>
      </c>
      <c r="CY1942">
        <v>0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25">
      <c r="A1943" t="str">
        <f t="shared" si="1067"/>
        <v>06/05/2020 14:53:45.643</v>
      </c>
      <c r="C1943" t="str">
        <f t="shared" si="1041"/>
        <v>FFDFD3C0</v>
      </c>
      <c r="D1943" t="s">
        <v>151</v>
      </c>
      <c r="E1943">
        <v>9</v>
      </c>
      <c r="H1943">
        <v>226</v>
      </c>
      <c r="I1943" t="s">
        <v>152</v>
      </c>
      <c r="J1943" t="s">
        <v>150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1068"/>
        <v>14:53:51.289</v>
      </c>
      <c r="T1943" t="str">
        <f t="shared" si="1068"/>
        <v>14:53:51.289</v>
      </c>
      <c r="U1943" t="str">
        <f t="shared" si="1057"/>
        <v>ACC530</v>
      </c>
      <c r="V1943">
        <v>0</v>
      </c>
      <c r="W1943">
        <v>0</v>
      </c>
      <c r="X1943">
        <v>1</v>
      </c>
      <c r="Z1943">
        <v>0</v>
      </c>
      <c r="AA1943">
        <v>9</v>
      </c>
      <c r="AB1943">
        <v>3</v>
      </c>
      <c r="AC1943">
        <v>0</v>
      </c>
      <c r="AD1943">
        <v>9</v>
      </c>
      <c r="AE1943">
        <v>0</v>
      </c>
      <c r="AF1943">
        <v>3</v>
      </c>
      <c r="AG1943">
        <v>1</v>
      </c>
      <c r="AH1943">
        <v>0</v>
      </c>
      <c r="AI1943" t="s">
        <v>724</v>
      </c>
      <c r="AJ1943">
        <v>34.177093999999997</v>
      </c>
      <c r="AK1943" t="s">
        <v>725</v>
      </c>
      <c r="AL1943">
        <v>-117.01778400000001</v>
      </c>
      <c r="AM1943">
        <v>100</v>
      </c>
      <c r="AN1943">
        <v>8100</v>
      </c>
      <c r="AO1943" t="s">
        <v>118</v>
      </c>
      <c r="AP1943">
        <v>-93</v>
      </c>
      <c r="AQ1943">
        <v>-78</v>
      </c>
      <c r="AR1943">
        <v>-768</v>
      </c>
      <c r="AZ1943">
        <v>1200</v>
      </c>
      <c r="BA1943">
        <v>1</v>
      </c>
      <c r="BB1943" t="str">
        <f t="shared" si="1058"/>
        <v xml:space="preserve">N9217B  </v>
      </c>
      <c r="BC1943">
        <v>1</v>
      </c>
      <c r="BE1943">
        <v>0</v>
      </c>
      <c r="BF1943">
        <v>0</v>
      </c>
      <c r="BG1943">
        <v>0</v>
      </c>
      <c r="BH1943">
        <v>8075</v>
      </c>
      <c r="BI1943">
        <v>1</v>
      </c>
      <c r="BJ1943">
        <v>0</v>
      </c>
      <c r="BK1943">
        <v>0</v>
      </c>
      <c r="BL1943">
        <v>0</v>
      </c>
      <c r="BO1943">
        <v>0</v>
      </c>
      <c r="BP1943">
        <v>0</v>
      </c>
      <c r="BW1943" t="str">
        <f t="shared" si="1069"/>
        <v>14:53:51.294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6</v>
      </c>
      <c r="CP1943" t="s">
        <v>119</v>
      </c>
      <c r="CQ1943">
        <v>293</v>
      </c>
      <c r="CR1943">
        <v>1</v>
      </c>
      <c r="CW1943">
        <v>15295645</v>
      </c>
      <c r="CY1943">
        <v>0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25">
      <c r="A1944" t="str">
        <f t="shared" si="1067"/>
        <v>06/05/2020 14:53:45.643</v>
      </c>
      <c r="C1944" t="str">
        <f t="shared" si="1041"/>
        <v>FFDFD3C0</v>
      </c>
      <c r="D1944" t="s">
        <v>148</v>
      </c>
      <c r="E1944">
        <v>8</v>
      </c>
      <c r="H1944">
        <v>50</v>
      </c>
      <c r="I1944" t="s">
        <v>149</v>
      </c>
      <c r="J1944" t="s">
        <v>150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1068"/>
        <v>14:53:51.289</v>
      </c>
      <c r="T1944" t="str">
        <f t="shared" si="1068"/>
        <v>14:53:51.289</v>
      </c>
      <c r="U1944" t="str">
        <f t="shared" si="1057"/>
        <v>ACC530</v>
      </c>
      <c r="V1944">
        <v>0</v>
      </c>
      <c r="W1944">
        <v>0</v>
      </c>
      <c r="X1944">
        <v>1</v>
      </c>
      <c r="Z1944">
        <v>0</v>
      </c>
      <c r="AA1944">
        <v>9</v>
      </c>
      <c r="AB1944">
        <v>3</v>
      </c>
      <c r="AC1944">
        <v>0</v>
      </c>
      <c r="AD1944">
        <v>9</v>
      </c>
      <c r="AE1944">
        <v>0</v>
      </c>
      <c r="AF1944">
        <v>3</v>
      </c>
      <c r="AG1944">
        <v>1</v>
      </c>
      <c r="AH1944">
        <v>0</v>
      </c>
      <c r="AI1944" t="s">
        <v>724</v>
      </c>
      <c r="AJ1944">
        <v>34.177093999999997</v>
      </c>
      <c r="AK1944" t="s">
        <v>725</v>
      </c>
      <c r="AL1944">
        <v>-117.01778400000001</v>
      </c>
      <c r="AM1944">
        <v>100</v>
      </c>
      <c r="AN1944">
        <v>8100</v>
      </c>
      <c r="AO1944" t="s">
        <v>118</v>
      </c>
      <c r="AP1944">
        <v>-93</v>
      </c>
      <c r="AQ1944">
        <v>-78</v>
      </c>
      <c r="AR1944">
        <v>-768</v>
      </c>
      <c r="AZ1944">
        <v>1200</v>
      </c>
      <c r="BA1944">
        <v>1</v>
      </c>
      <c r="BB1944" t="str">
        <f t="shared" si="1058"/>
        <v xml:space="preserve">N9217B  </v>
      </c>
      <c r="BC1944">
        <v>1</v>
      </c>
      <c r="BE1944">
        <v>0</v>
      </c>
      <c r="BF1944">
        <v>0</v>
      </c>
      <c r="BG1944">
        <v>0</v>
      </c>
      <c r="BH1944">
        <v>8075</v>
      </c>
      <c r="BI1944">
        <v>1</v>
      </c>
      <c r="BJ1944">
        <v>0</v>
      </c>
      <c r="BK1944">
        <v>0</v>
      </c>
      <c r="BL1944">
        <v>0</v>
      </c>
      <c r="BO1944">
        <v>0</v>
      </c>
      <c r="BP1944">
        <v>0</v>
      </c>
      <c r="BW1944" t="str">
        <f t="shared" si="1069"/>
        <v>14:53:51.294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6</v>
      </c>
      <c r="CP1944" t="s">
        <v>119</v>
      </c>
      <c r="CQ1944">
        <v>293</v>
      </c>
      <c r="CR1944">
        <v>1</v>
      </c>
      <c r="CW1944">
        <v>15295645</v>
      </c>
      <c r="CY1944">
        <v>0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25">
      <c r="A1945" t="str">
        <f t="shared" si="1067"/>
        <v>06/05/2020 14:53:45.643</v>
      </c>
      <c r="C1945" t="str">
        <f t="shared" si="1041"/>
        <v>FFDFD3C0</v>
      </c>
      <c r="D1945" t="s">
        <v>134</v>
      </c>
      <c r="E1945">
        <v>7</v>
      </c>
      <c r="F1945">
        <v>2007</v>
      </c>
      <c r="G1945" t="s">
        <v>135</v>
      </c>
      <c r="J1945" t="s">
        <v>136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1068"/>
        <v>14:53:51.289</v>
      </c>
      <c r="T1945" t="str">
        <f t="shared" si="1068"/>
        <v>14:53:51.289</v>
      </c>
      <c r="U1945" t="str">
        <f t="shared" si="1057"/>
        <v>ACC530</v>
      </c>
      <c r="V1945">
        <v>0</v>
      </c>
      <c r="W1945">
        <v>0</v>
      </c>
      <c r="X1945">
        <v>1</v>
      </c>
      <c r="Z1945">
        <v>0</v>
      </c>
      <c r="AA1945">
        <v>9</v>
      </c>
      <c r="AB1945">
        <v>3</v>
      </c>
      <c r="AC1945">
        <v>0</v>
      </c>
      <c r="AD1945">
        <v>9</v>
      </c>
      <c r="AE1945">
        <v>0</v>
      </c>
      <c r="AF1945">
        <v>3</v>
      </c>
      <c r="AG1945">
        <v>1</v>
      </c>
      <c r="AH1945">
        <v>0</v>
      </c>
      <c r="AI1945" t="s">
        <v>724</v>
      </c>
      <c r="AJ1945">
        <v>34.177093999999997</v>
      </c>
      <c r="AK1945" t="s">
        <v>725</v>
      </c>
      <c r="AL1945">
        <v>-117.01778400000001</v>
      </c>
      <c r="AM1945">
        <v>100</v>
      </c>
      <c r="AN1945">
        <v>8100</v>
      </c>
      <c r="AO1945" t="s">
        <v>118</v>
      </c>
      <c r="AP1945">
        <v>-93</v>
      </c>
      <c r="AQ1945">
        <v>-78</v>
      </c>
      <c r="AR1945">
        <v>-768</v>
      </c>
      <c r="AZ1945">
        <v>1200</v>
      </c>
      <c r="BA1945">
        <v>1</v>
      </c>
      <c r="BB1945" t="str">
        <f t="shared" si="1058"/>
        <v xml:space="preserve">N9217B  </v>
      </c>
      <c r="BC1945">
        <v>1</v>
      </c>
      <c r="BE1945">
        <v>0</v>
      </c>
      <c r="BF1945">
        <v>0</v>
      </c>
      <c r="BG1945">
        <v>0</v>
      </c>
      <c r="BH1945">
        <v>8075</v>
      </c>
      <c r="BI1945">
        <v>1</v>
      </c>
      <c r="BJ1945">
        <v>0</v>
      </c>
      <c r="BK1945">
        <v>0</v>
      </c>
      <c r="BL1945">
        <v>0</v>
      </c>
      <c r="BO1945">
        <v>0</v>
      </c>
      <c r="BP1945">
        <v>0</v>
      </c>
      <c r="BW1945" t="str">
        <f t="shared" si="1069"/>
        <v>14:53:51.294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6</v>
      </c>
      <c r="CP1945" t="s">
        <v>119</v>
      </c>
      <c r="CQ1945">
        <v>293</v>
      </c>
      <c r="CR1945">
        <v>1</v>
      </c>
      <c r="CW1945">
        <v>15295645</v>
      </c>
      <c r="CY1945">
        <v>0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25">
      <c r="A1946" t="str">
        <f t="shared" si="1067"/>
        <v>06/05/2020 14:53:45.643</v>
      </c>
      <c r="C1946" t="str">
        <f t="shared" si="1041"/>
        <v>FFDFD3C0</v>
      </c>
      <c r="D1946" t="s">
        <v>113</v>
      </c>
      <c r="E1946">
        <v>3</v>
      </c>
      <c r="H1946">
        <v>166</v>
      </c>
      <c r="I1946" t="s">
        <v>114</v>
      </c>
      <c r="J1946" t="s">
        <v>115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1068"/>
        <v>14:53:51.289</v>
      </c>
      <c r="T1946" t="str">
        <f t="shared" si="1068"/>
        <v>14:53:51.289</v>
      </c>
      <c r="U1946" t="str">
        <f t="shared" si="1057"/>
        <v>ACC530</v>
      </c>
      <c r="V1946">
        <v>0</v>
      </c>
      <c r="W1946">
        <v>0</v>
      </c>
      <c r="X1946">
        <v>1</v>
      </c>
      <c r="Z1946">
        <v>0</v>
      </c>
      <c r="AA1946">
        <v>9</v>
      </c>
      <c r="AB1946">
        <v>3</v>
      </c>
      <c r="AC1946">
        <v>0</v>
      </c>
      <c r="AD1946">
        <v>9</v>
      </c>
      <c r="AE1946">
        <v>0</v>
      </c>
      <c r="AF1946">
        <v>3</v>
      </c>
      <c r="AG1946">
        <v>1</v>
      </c>
      <c r="AH1946">
        <v>0</v>
      </c>
      <c r="AI1946" t="s">
        <v>724</v>
      </c>
      <c r="AJ1946">
        <v>34.177093999999997</v>
      </c>
      <c r="AK1946" t="s">
        <v>725</v>
      </c>
      <c r="AL1946">
        <v>-117.01778400000001</v>
      </c>
      <c r="AM1946">
        <v>100</v>
      </c>
      <c r="AN1946">
        <v>8100</v>
      </c>
      <c r="AO1946" t="s">
        <v>118</v>
      </c>
      <c r="AP1946">
        <v>-93</v>
      </c>
      <c r="AQ1946">
        <v>-78</v>
      </c>
      <c r="AR1946">
        <v>-768</v>
      </c>
      <c r="AZ1946">
        <v>1200</v>
      </c>
      <c r="BA1946">
        <v>1</v>
      </c>
      <c r="BB1946" t="str">
        <f t="shared" si="1058"/>
        <v xml:space="preserve">N9217B  </v>
      </c>
      <c r="BC1946">
        <v>1</v>
      </c>
      <c r="BE1946">
        <v>0</v>
      </c>
      <c r="BF1946">
        <v>0</v>
      </c>
      <c r="BG1946">
        <v>0</v>
      </c>
      <c r="BH1946">
        <v>8075</v>
      </c>
      <c r="BI1946">
        <v>1</v>
      </c>
      <c r="BJ1946">
        <v>0</v>
      </c>
      <c r="BK1946">
        <v>0</v>
      </c>
      <c r="BL1946">
        <v>0</v>
      </c>
      <c r="BO1946">
        <v>0</v>
      </c>
      <c r="BP1946">
        <v>0</v>
      </c>
      <c r="BW1946" t="str">
        <f t="shared" si="1069"/>
        <v>14:53:51.294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6</v>
      </c>
      <c r="CP1946" t="s">
        <v>119</v>
      </c>
      <c r="CQ1946">
        <v>293</v>
      </c>
      <c r="CR1946">
        <v>1</v>
      </c>
      <c r="CW1946">
        <v>15295645</v>
      </c>
      <c r="CY1946">
        <v>0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25">
      <c r="A1947" t="str">
        <f t="shared" ref="A1947:A1953" si="1070">"06/05/2020 14:53:46.599"</f>
        <v>06/05/2020 14:53:46.599</v>
      </c>
      <c r="C1947" t="str">
        <f t="shared" si="1041"/>
        <v>FFDFD3C0</v>
      </c>
      <c r="D1947" t="s">
        <v>113</v>
      </c>
      <c r="E1947">
        <v>3</v>
      </c>
      <c r="H1947">
        <v>166</v>
      </c>
      <c r="I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ref="S1947:S1953" si="1071">"14:53:52.250"</f>
        <v>14:53:52.250</v>
      </c>
      <c r="T1947" t="str">
        <f t="shared" ref="T1947:T1953" si="1072">"14:53:51.750"</f>
        <v>14:53:51.750</v>
      </c>
      <c r="U1947" t="str">
        <f t="shared" si="1057"/>
        <v>ACC530</v>
      </c>
      <c r="V1947">
        <v>0</v>
      </c>
      <c r="W1947">
        <v>0</v>
      </c>
      <c r="X1947">
        <v>1</v>
      </c>
      <c r="Z1947">
        <v>0</v>
      </c>
      <c r="AA1947">
        <v>9</v>
      </c>
      <c r="AB1947">
        <v>3</v>
      </c>
      <c r="AC1947">
        <v>0</v>
      </c>
      <c r="AD1947">
        <v>9</v>
      </c>
      <c r="AE1947">
        <v>0</v>
      </c>
      <c r="AF1947">
        <v>3</v>
      </c>
      <c r="AG1947">
        <v>1</v>
      </c>
      <c r="AH1947">
        <v>0</v>
      </c>
      <c r="AI1947" t="s">
        <v>726</v>
      </c>
      <c r="AJ1947">
        <v>34.176749999999998</v>
      </c>
      <c r="AK1947" t="s">
        <v>727</v>
      </c>
      <c r="AL1947">
        <v>-117.018299</v>
      </c>
      <c r="AM1947">
        <v>100</v>
      </c>
      <c r="AN1947">
        <v>8100</v>
      </c>
      <c r="AO1947" t="s">
        <v>118</v>
      </c>
      <c r="AP1947">
        <v>-93</v>
      </c>
      <c r="AQ1947">
        <v>-78</v>
      </c>
      <c r="AR1947">
        <v>-704</v>
      </c>
      <c r="AZ1947">
        <v>1200</v>
      </c>
      <c r="BA1947">
        <v>1</v>
      </c>
      <c r="BB1947" t="str">
        <f t="shared" si="1058"/>
        <v xml:space="preserve">N9217B  </v>
      </c>
      <c r="BC1947">
        <v>1</v>
      </c>
      <c r="BE1947">
        <v>0</v>
      </c>
      <c r="BF1947">
        <v>0</v>
      </c>
      <c r="BG1947">
        <v>0</v>
      </c>
      <c r="BH1947">
        <v>8075</v>
      </c>
      <c r="BI1947">
        <v>1</v>
      </c>
      <c r="BJ1947">
        <v>0</v>
      </c>
      <c r="BK1947">
        <v>0</v>
      </c>
      <c r="BL1947">
        <v>0</v>
      </c>
      <c r="BO1947">
        <v>0</v>
      </c>
      <c r="BP1947">
        <v>0</v>
      </c>
      <c r="BW1947" t="str">
        <f t="shared" ref="BW1947:BW1953" si="1073">"14:53:52.254"</f>
        <v>14:53:52.254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6</v>
      </c>
      <c r="CP1947" t="s">
        <v>119</v>
      </c>
      <c r="CQ1947">
        <v>285</v>
      </c>
      <c r="CR1947">
        <v>0</v>
      </c>
      <c r="CW1947">
        <v>8859738</v>
      </c>
      <c r="CY1947">
        <v>0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25">
      <c r="A1948" t="str">
        <f t="shared" si="1070"/>
        <v>06/05/2020 14:53:46.599</v>
      </c>
      <c r="C1948" t="str">
        <f t="shared" si="1041"/>
        <v>FFDFD3C0</v>
      </c>
      <c r="D1948" t="s">
        <v>148</v>
      </c>
      <c r="E1948">
        <v>11</v>
      </c>
      <c r="H1948">
        <v>53</v>
      </c>
      <c r="I1948" t="s">
        <v>364</v>
      </c>
      <c r="J1948" t="s">
        <v>150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1071"/>
        <v>14:53:52.250</v>
      </c>
      <c r="T1948" t="str">
        <f t="shared" si="1072"/>
        <v>14:53:51.750</v>
      </c>
      <c r="U1948" t="str">
        <f t="shared" si="1057"/>
        <v>ACC530</v>
      </c>
      <c r="V1948">
        <v>0</v>
      </c>
      <c r="W1948">
        <v>0</v>
      </c>
      <c r="X1948">
        <v>1</v>
      </c>
      <c r="Z1948">
        <v>0</v>
      </c>
      <c r="AA1948">
        <v>9</v>
      </c>
      <c r="AB1948">
        <v>3</v>
      </c>
      <c r="AC1948">
        <v>0</v>
      </c>
      <c r="AD1948">
        <v>9</v>
      </c>
      <c r="AE1948">
        <v>0</v>
      </c>
      <c r="AF1948">
        <v>3</v>
      </c>
      <c r="AG1948">
        <v>1</v>
      </c>
      <c r="AH1948">
        <v>0</v>
      </c>
      <c r="AI1948" t="s">
        <v>726</v>
      </c>
      <c r="AJ1948">
        <v>34.176749999999998</v>
      </c>
      <c r="AK1948" t="s">
        <v>727</v>
      </c>
      <c r="AL1948">
        <v>-117.018299</v>
      </c>
      <c r="AM1948">
        <v>100</v>
      </c>
      <c r="AN1948">
        <v>8100</v>
      </c>
      <c r="AO1948" t="s">
        <v>118</v>
      </c>
      <c r="AP1948">
        <v>-93</v>
      </c>
      <c r="AQ1948">
        <v>-78</v>
      </c>
      <c r="AR1948">
        <v>-704</v>
      </c>
      <c r="AZ1948">
        <v>1200</v>
      </c>
      <c r="BA1948">
        <v>1</v>
      </c>
      <c r="BB1948" t="str">
        <f t="shared" si="1058"/>
        <v xml:space="preserve">N9217B  </v>
      </c>
      <c r="BC1948">
        <v>1</v>
      </c>
      <c r="BE1948">
        <v>0</v>
      </c>
      <c r="BF1948">
        <v>0</v>
      </c>
      <c r="BG1948">
        <v>0</v>
      </c>
      <c r="BH1948">
        <v>8075</v>
      </c>
      <c r="BI1948">
        <v>1</v>
      </c>
      <c r="BJ1948">
        <v>0</v>
      </c>
      <c r="BK1948">
        <v>0</v>
      </c>
      <c r="BL1948">
        <v>0</v>
      </c>
      <c r="BO1948">
        <v>0</v>
      </c>
      <c r="BP1948">
        <v>0</v>
      </c>
      <c r="BW1948" t="str">
        <f t="shared" si="1073"/>
        <v>14:53:52.254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6</v>
      </c>
      <c r="CP1948" t="s">
        <v>119</v>
      </c>
      <c r="CQ1948">
        <v>285</v>
      </c>
      <c r="CR1948">
        <v>0</v>
      </c>
      <c r="CW1948">
        <v>8859738</v>
      </c>
      <c r="CY1948">
        <v>0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25">
      <c r="A1949" t="str">
        <f t="shared" si="1070"/>
        <v>06/05/2020 14:53:46.599</v>
      </c>
      <c r="C1949" t="str">
        <f t="shared" si="1041"/>
        <v>FFDFD3C0</v>
      </c>
      <c r="D1949" t="s">
        <v>151</v>
      </c>
      <c r="E1949">
        <v>8</v>
      </c>
      <c r="H1949">
        <v>225</v>
      </c>
      <c r="I1949" t="s">
        <v>353</v>
      </c>
      <c r="J1949" t="s">
        <v>150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1071"/>
        <v>14:53:52.250</v>
      </c>
      <c r="T1949" t="str">
        <f t="shared" si="1072"/>
        <v>14:53:51.750</v>
      </c>
      <c r="U1949" t="str">
        <f t="shared" si="1057"/>
        <v>ACC530</v>
      </c>
      <c r="V1949">
        <v>0</v>
      </c>
      <c r="W1949">
        <v>0</v>
      </c>
      <c r="X1949">
        <v>1</v>
      </c>
      <c r="Z1949">
        <v>0</v>
      </c>
      <c r="AA1949">
        <v>9</v>
      </c>
      <c r="AB1949">
        <v>3</v>
      </c>
      <c r="AC1949">
        <v>0</v>
      </c>
      <c r="AD1949">
        <v>9</v>
      </c>
      <c r="AE1949">
        <v>0</v>
      </c>
      <c r="AF1949">
        <v>3</v>
      </c>
      <c r="AG1949">
        <v>1</v>
      </c>
      <c r="AH1949">
        <v>0</v>
      </c>
      <c r="AI1949" t="s">
        <v>726</v>
      </c>
      <c r="AJ1949">
        <v>34.176749999999998</v>
      </c>
      <c r="AK1949" t="s">
        <v>727</v>
      </c>
      <c r="AL1949">
        <v>-117.018299</v>
      </c>
      <c r="AM1949">
        <v>100</v>
      </c>
      <c r="AN1949">
        <v>8100</v>
      </c>
      <c r="AO1949" t="s">
        <v>118</v>
      </c>
      <c r="AP1949">
        <v>-93</v>
      </c>
      <c r="AQ1949">
        <v>-78</v>
      </c>
      <c r="AR1949">
        <v>-704</v>
      </c>
      <c r="AZ1949">
        <v>1200</v>
      </c>
      <c r="BA1949">
        <v>1</v>
      </c>
      <c r="BB1949" t="str">
        <f t="shared" si="1058"/>
        <v xml:space="preserve">N9217B  </v>
      </c>
      <c r="BC1949">
        <v>1</v>
      </c>
      <c r="BE1949">
        <v>0</v>
      </c>
      <c r="BF1949">
        <v>0</v>
      </c>
      <c r="BG1949">
        <v>0</v>
      </c>
      <c r="BH1949">
        <v>8075</v>
      </c>
      <c r="BI1949">
        <v>1</v>
      </c>
      <c r="BJ1949">
        <v>0</v>
      </c>
      <c r="BK1949">
        <v>0</v>
      </c>
      <c r="BL1949">
        <v>0</v>
      </c>
      <c r="BO1949">
        <v>0</v>
      </c>
      <c r="BP1949">
        <v>0</v>
      </c>
      <c r="BW1949" t="str">
        <f t="shared" si="1073"/>
        <v>14:53:52.254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6</v>
      </c>
      <c r="CP1949" t="s">
        <v>119</v>
      </c>
      <c r="CQ1949">
        <v>285</v>
      </c>
      <c r="CR1949">
        <v>0</v>
      </c>
      <c r="CW1949">
        <v>8859738</v>
      </c>
      <c r="CY1949">
        <v>0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25">
      <c r="A1950" t="str">
        <f t="shared" si="1070"/>
        <v>06/05/2020 14:53:46.599</v>
      </c>
      <c r="C1950" t="str">
        <f t="shared" si="1041"/>
        <v>FFDFD3C0</v>
      </c>
      <c r="D1950" t="s">
        <v>141</v>
      </c>
      <c r="E1950">
        <v>20</v>
      </c>
      <c r="F1950">
        <v>1020</v>
      </c>
      <c r="G1950" t="s">
        <v>114</v>
      </c>
      <c r="J1950" t="s">
        <v>142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1071"/>
        <v>14:53:52.250</v>
      </c>
      <c r="T1950" t="str">
        <f t="shared" si="1072"/>
        <v>14:53:51.750</v>
      </c>
      <c r="U1950" t="str">
        <f t="shared" si="1057"/>
        <v>ACC530</v>
      </c>
      <c r="V1950">
        <v>0</v>
      </c>
      <c r="W1950">
        <v>0</v>
      </c>
      <c r="X1950">
        <v>1</v>
      </c>
      <c r="Z1950">
        <v>0</v>
      </c>
      <c r="AA1950">
        <v>9</v>
      </c>
      <c r="AB1950">
        <v>3</v>
      </c>
      <c r="AC1950">
        <v>0</v>
      </c>
      <c r="AD1950">
        <v>9</v>
      </c>
      <c r="AE1950">
        <v>0</v>
      </c>
      <c r="AF1950">
        <v>3</v>
      </c>
      <c r="AG1950">
        <v>1</v>
      </c>
      <c r="AH1950">
        <v>0</v>
      </c>
      <c r="AI1950" t="s">
        <v>726</v>
      </c>
      <c r="AJ1950">
        <v>34.176749999999998</v>
      </c>
      <c r="AK1950" t="s">
        <v>727</v>
      </c>
      <c r="AL1950">
        <v>-117.018299</v>
      </c>
      <c r="AM1950">
        <v>100</v>
      </c>
      <c r="AN1950">
        <v>8100</v>
      </c>
      <c r="AO1950" t="s">
        <v>118</v>
      </c>
      <c r="AP1950">
        <v>-93</v>
      </c>
      <c r="AQ1950">
        <v>-78</v>
      </c>
      <c r="AR1950">
        <v>-704</v>
      </c>
      <c r="AZ1950">
        <v>1200</v>
      </c>
      <c r="BA1950">
        <v>1</v>
      </c>
      <c r="BB1950" t="str">
        <f t="shared" si="1058"/>
        <v xml:space="preserve">N9217B  </v>
      </c>
      <c r="BC1950">
        <v>1</v>
      </c>
      <c r="BE1950">
        <v>0</v>
      </c>
      <c r="BF1950">
        <v>0</v>
      </c>
      <c r="BG1950">
        <v>0</v>
      </c>
      <c r="BH1950">
        <v>8075</v>
      </c>
      <c r="BI1950">
        <v>1</v>
      </c>
      <c r="BJ1950">
        <v>0</v>
      </c>
      <c r="BK1950">
        <v>0</v>
      </c>
      <c r="BL1950">
        <v>0</v>
      </c>
      <c r="BO1950">
        <v>0</v>
      </c>
      <c r="BP1950">
        <v>0</v>
      </c>
      <c r="BW1950" t="str">
        <f t="shared" si="1073"/>
        <v>14:53:52.254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6</v>
      </c>
      <c r="CP1950" t="s">
        <v>119</v>
      </c>
      <c r="CQ1950">
        <v>285</v>
      </c>
      <c r="CR1950">
        <v>0</v>
      </c>
      <c r="CW1950">
        <v>8859738</v>
      </c>
      <c r="CY1950">
        <v>0</v>
      </c>
      <c r="CZ1950">
        <v>0</v>
      </c>
      <c r="DA1950">
        <v>1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25">
      <c r="A1951" t="str">
        <f t="shared" si="1070"/>
        <v>06/05/2020 14:53:46.599</v>
      </c>
      <c r="C1951" t="str">
        <f t="shared" si="1041"/>
        <v>FFDFD3C0</v>
      </c>
      <c r="D1951" t="s">
        <v>151</v>
      </c>
      <c r="E1951">
        <v>9</v>
      </c>
      <c r="H1951">
        <v>226</v>
      </c>
      <c r="I1951" t="s">
        <v>152</v>
      </c>
      <c r="J1951" t="s">
        <v>150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1071"/>
        <v>14:53:52.250</v>
      </c>
      <c r="T1951" t="str">
        <f t="shared" si="1072"/>
        <v>14:53:51.750</v>
      </c>
      <c r="U1951" t="str">
        <f t="shared" si="1057"/>
        <v>ACC530</v>
      </c>
      <c r="V1951">
        <v>0</v>
      </c>
      <c r="W1951">
        <v>0</v>
      </c>
      <c r="X1951">
        <v>1</v>
      </c>
      <c r="Z1951">
        <v>0</v>
      </c>
      <c r="AA1951">
        <v>9</v>
      </c>
      <c r="AB1951">
        <v>3</v>
      </c>
      <c r="AC1951">
        <v>0</v>
      </c>
      <c r="AD1951">
        <v>9</v>
      </c>
      <c r="AE1951">
        <v>0</v>
      </c>
      <c r="AF1951">
        <v>3</v>
      </c>
      <c r="AG1951">
        <v>1</v>
      </c>
      <c r="AH1951">
        <v>0</v>
      </c>
      <c r="AI1951" t="s">
        <v>726</v>
      </c>
      <c r="AJ1951">
        <v>34.176749999999998</v>
      </c>
      <c r="AK1951" t="s">
        <v>727</v>
      </c>
      <c r="AL1951">
        <v>-117.018299</v>
      </c>
      <c r="AM1951">
        <v>100</v>
      </c>
      <c r="AN1951">
        <v>8100</v>
      </c>
      <c r="AO1951" t="s">
        <v>118</v>
      </c>
      <c r="AP1951">
        <v>-93</v>
      </c>
      <c r="AQ1951">
        <v>-78</v>
      </c>
      <c r="AR1951">
        <v>-704</v>
      </c>
      <c r="AZ1951">
        <v>1200</v>
      </c>
      <c r="BA1951">
        <v>1</v>
      </c>
      <c r="BB1951" t="str">
        <f t="shared" si="1058"/>
        <v xml:space="preserve">N9217B  </v>
      </c>
      <c r="BC1951">
        <v>1</v>
      </c>
      <c r="BE1951">
        <v>0</v>
      </c>
      <c r="BF1951">
        <v>0</v>
      </c>
      <c r="BG1951">
        <v>0</v>
      </c>
      <c r="BH1951">
        <v>8075</v>
      </c>
      <c r="BI1951">
        <v>1</v>
      </c>
      <c r="BJ1951">
        <v>0</v>
      </c>
      <c r="BK1951">
        <v>0</v>
      </c>
      <c r="BL1951">
        <v>0</v>
      </c>
      <c r="BO1951">
        <v>0</v>
      </c>
      <c r="BP1951">
        <v>0</v>
      </c>
      <c r="BW1951" t="str">
        <f t="shared" si="1073"/>
        <v>14:53:52.254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6</v>
      </c>
      <c r="CP1951" t="s">
        <v>119</v>
      </c>
      <c r="CQ1951">
        <v>285</v>
      </c>
      <c r="CR1951">
        <v>0</v>
      </c>
      <c r="CW1951">
        <v>8859738</v>
      </c>
      <c r="CY1951">
        <v>0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25">
      <c r="A1952" t="str">
        <f t="shared" si="1070"/>
        <v>06/05/2020 14:53:46.599</v>
      </c>
      <c r="C1952" t="str">
        <f t="shared" si="1041"/>
        <v>FFDFD3C0</v>
      </c>
      <c r="D1952" t="s">
        <v>148</v>
      </c>
      <c r="E1952">
        <v>8</v>
      </c>
      <c r="H1952">
        <v>50</v>
      </c>
      <c r="I1952" t="s">
        <v>149</v>
      </c>
      <c r="J1952" t="s">
        <v>150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1071"/>
        <v>14:53:52.250</v>
      </c>
      <c r="T1952" t="str">
        <f t="shared" si="1072"/>
        <v>14:53:51.750</v>
      </c>
      <c r="U1952" t="str">
        <f t="shared" si="1057"/>
        <v>ACC530</v>
      </c>
      <c r="V1952">
        <v>0</v>
      </c>
      <c r="W1952">
        <v>0</v>
      </c>
      <c r="X1952">
        <v>1</v>
      </c>
      <c r="Z1952">
        <v>0</v>
      </c>
      <c r="AA1952">
        <v>9</v>
      </c>
      <c r="AB1952">
        <v>3</v>
      </c>
      <c r="AC1952">
        <v>0</v>
      </c>
      <c r="AD1952">
        <v>9</v>
      </c>
      <c r="AE1952">
        <v>0</v>
      </c>
      <c r="AF1952">
        <v>3</v>
      </c>
      <c r="AG1952">
        <v>1</v>
      </c>
      <c r="AH1952">
        <v>0</v>
      </c>
      <c r="AI1952" t="s">
        <v>726</v>
      </c>
      <c r="AJ1952">
        <v>34.176749999999998</v>
      </c>
      <c r="AK1952" t="s">
        <v>727</v>
      </c>
      <c r="AL1952">
        <v>-117.018299</v>
      </c>
      <c r="AM1952">
        <v>100</v>
      </c>
      <c r="AN1952">
        <v>8100</v>
      </c>
      <c r="AO1952" t="s">
        <v>118</v>
      </c>
      <c r="AP1952">
        <v>-93</v>
      </c>
      <c r="AQ1952">
        <v>-78</v>
      </c>
      <c r="AR1952">
        <v>-704</v>
      </c>
      <c r="AZ1952">
        <v>1200</v>
      </c>
      <c r="BA1952">
        <v>1</v>
      </c>
      <c r="BB1952" t="str">
        <f t="shared" si="1058"/>
        <v xml:space="preserve">N9217B  </v>
      </c>
      <c r="BC1952">
        <v>1</v>
      </c>
      <c r="BE1952">
        <v>0</v>
      </c>
      <c r="BF1952">
        <v>0</v>
      </c>
      <c r="BG1952">
        <v>0</v>
      </c>
      <c r="BH1952">
        <v>8075</v>
      </c>
      <c r="BI1952">
        <v>1</v>
      </c>
      <c r="BJ1952">
        <v>0</v>
      </c>
      <c r="BK1952">
        <v>0</v>
      </c>
      <c r="BL1952">
        <v>0</v>
      </c>
      <c r="BO1952">
        <v>0</v>
      </c>
      <c r="BP1952">
        <v>0</v>
      </c>
      <c r="BW1952" t="str">
        <f t="shared" si="1073"/>
        <v>14:53:52.254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6</v>
      </c>
      <c r="CP1952" t="s">
        <v>119</v>
      </c>
      <c r="CQ1952">
        <v>285</v>
      </c>
      <c r="CR1952">
        <v>0</v>
      </c>
      <c r="CW1952">
        <v>8859738</v>
      </c>
      <c r="CY1952">
        <v>0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25">
      <c r="A1953" t="str">
        <f t="shared" si="1070"/>
        <v>06/05/2020 14:53:46.599</v>
      </c>
      <c r="C1953" t="str">
        <f t="shared" si="1041"/>
        <v>FFDFD3C0</v>
      </c>
      <c r="D1953" t="s">
        <v>134</v>
      </c>
      <c r="E1953">
        <v>7</v>
      </c>
      <c r="F1953">
        <v>2007</v>
      </c>
      <c r="G1953" t="s">
        <v>135</v>
      </c>
      <c r="J1953" t="s">
        <v>136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1071"/>
        <v>14:53:52.250</v>
      </c>
      <c r="T1953" t="str">
        <f t="shared" si="1072"/>
        <v>14:53:51.750</v>
      </c>
      <c r="U1953" t="str">
        <f t="shared" si="1057"/>
        <v>ACC530</v>
      </c>
      <c r="V1953">
        <v>0</v>
      </c>
      <c r="W1953">
        <v>0</v>
      </c>
      <c r="X1953">
        <v>1</v>
      </c>
      <c r="Z1953">
        <v>0</v>
      </c>
      <c r="AA1953">
        <v>9</v>
      </c>
      <c r="AB1953">
        <v>3</v>
      </c>
      <c r="AC1953">
        <v>0</v>
      </c>
      <c r="AD1953">
        <v>9</v>
      </c>
      <c r="AE1953">
        <v>0</v>
      </c>
      <c r="AF1953">
        <v>3</v>
      </c>
      <c r="AG1953">
        <v>1</v>
      </c>
      <c r="AH1953">
        <v>0</v>
      </c>
      <c r="AI1953" t="s">
        <v>726</v>
      </c>
      <c r="AJ1953">
        <v>34.176749999999998</v>
      </c>
      <c r="AK1953" t="s">
        <v>727</v>
      </c>
      <c r="AL1953">
        <v>-117.018299</v>
      </c>
      <c r="AM1953">
        <v>100</v>
      </c>
      <c r="AN1953">
        <v>8100</v>
      </c>
      <c r="AO1953" t="s">
        <v>118</v>
      </c>
      <c r="AP1953">
        <v>-93</v>
      </c>
      <c r="AQ1953">
        <v>-78</v>
      </c>
      <c r="AR1953">
        <v>-704</v>
      </c>
      <c r="AZ1953">
        <v>1200</v>
      </c>
      <c r="BA1953">
        <v>1</v>
      </c>
      <c r="BB1953" t="str">
        <f t="shared" si="1058"/>
        <v xml:space="preserve">N9217B  </v>
      </c>
      <c r="BC1953">
        <v>1</v>
      </c>
      <c r="BE1953">
        <v>0</v>
      </c>
      <c r="BF1953">
        <v>0</v>
      </c>
      <c r="BG1953">
        <v>0</v>
      </c>
      <c r="BH1953">
        <v>8075</v>
      </c>
      <c r="BI1953">
        <v>1</v>
      </c>
      <c r="BJ1953">
        <v>0</v>
      </c>
      <c r="BK1953">
        <v>0</v>
      </c>
      <c r="BL1953">
        <v>0</v>
      </c>
      <c r="BO1953">
        <v>0</v>
      </c>
      <c r="BP1953">
        <v>0</v>
      </c>
      <c r="BW1953" t="str">
        <f t="shared" si="1073"/>
        <v>14:53:52.254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6</v>
      </c>
      <c r="CP1953" t="s">
        <v>119</v>
      </c>
      <c r="CQ1953">
        <v>285</v>
      </c>
      <c r="CR1953">
        <v>0</v>
      </c>
      <c r="CW1953">
        <v>8859738</v>
      </c>
      <c r="CY1953">
        <v>0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25">
      <c r="A1954" t="str">
        <f t="shared" ref="A1954:A1960" si="1074">"06/05/2020 14:53:47.751"</f>
        <v>06/05/2020 14:53:47.751</v>
      </c>
      <c r="C1954" t="str">
        <f t="shared" si="1041"/>
        <v>FFDFD3C0</v>
      </c>
      <c r="D1954" t="s">
        <v>134</v>
      </c>
      <c r="E1954">
        <v>7</v>
      </c>
      <c r="F1954">
        <v>2007</v>
      </c>
      <c r="G1954" t="s">
        <v>135</v>
      </c>
      <c r="J1954" t="s">
        <v>136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ref="S1954:T1960" si="1075">"14:53:53.391"</f>
        <v>14:53:53.391</v>
      </c>
      <c r="T1954" t="str">
        <f t="shared" si="1075"/>
        <v>14:53:53.391</v>
      </c>
      <c r="U1954" t="str">
        <f t="shared" si="1057"/>
        <v>ACC530</v>
      </c>
      <c r="V1954">
        <v>0</v>
      </c>
      <c r="W1954">
        <v>0</v>
      </c>
      <c r="X1954">
        <v>1</v>
      </c>
      <c r="Z1954">
        <v>0</v>
      </c>
      <c r="AA1954">
        <v>9</v>
      </c>
      <c r="AB1954">
        <v>3</v>
      </c>
      <c r="AC1954">
        <v>0</v>
      </c>
      <c r="AD1954">
        <v>9</v>
      </c>
      <c r="AE1954">
        <v>0</v>
      </c>
      <c r="AF1954">
        <v>3</v>
      </c>
      <c r="AG1954">
        <v>1</v>
      </c>
      <c r="AH1954">
        <v>0</v>
      </c>
      <c r="AI1954" t="s">
        <v>728</v>
      </c>
      <c r="AJ1954">
        <v>34.176321000000002</v>
      </c>
      <c r="AK1954" t="s">
        <v>729</v>
      </c>
      <c r="AL1954">
        <v>-117.018878</v>
      </c>
      <c r="AM1954">
        <v>100</v>
      </c>
      <c r="AN1954">
        <v>8000</v>
      </c>
      <c r="AO1954" t="s">
        <v>118</v>
      </c>
      <c r="AP1954">
        <v>-92</v>
      </c>
      <c r="AQ1954">
        <v>-79</v>
      </c>
      <c r="AR1954">
        <v>-832</v>
      </c>
      <c r="AZ1954">
        <v>1200</v>
      </c>
      <c r="BA1954">
        <v>1</v>
      </c>
      <c r="BB1954" t="str">
        <f t="shared" si="1058"/>
        <v xml:space="preserve">N9217B  </v>
      </c>
      <c r="BC1954">
        <v>1</v>
      </c>
      <c r="BE1954">
        <v>0</v>
      </c>
      <c r="BF1954">
        <v>0</v>
      </c>
      <c r="BG1954">
        <v>0</v>
      </c>
      <c r="BH1954">
        <v>8050</v>
      </c>
      <c r="BI1954">
        <v>1</v>
      </c>
      <c r="BJ1954">
        <v>0</v>
      </c>
      <c r="BK1954">
        <v>0</v>
      </c>
      <c r="BL1954">
        <v>0</v>
      </c>
      <c r="BO1954">
        <v>0</v>
      </c>
      <c r="BP1954">
        <v>0</v>
      </c>
      <c r="BW1954" t="str">
        <f t="shared" ref="BW1954:BW1960" si="1076">"14:53:53.394"</f>
        <v>14:53:53.394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6</v>
      </c>
      <c r="CP1954" t="s">
        <v>119</v>
      </c>
      <c r="CQ1954">
        <v>285</v>
      </c>
      <c r="CR1954">
        <v>0</v>
      </c>
      <c r="CW1954">
        <v>8859837</v>
      </c>
      <c r="CY1954">
        <v>0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25">
      <c r="A1955" t="str">
        <f t="shared" si="1074"/>
        <v>06/05/2020 14:53:47.751</v>
      </c>
      <c r="C1955" t="str">
        <f t="shared" ref="C1955:C2018" si="1077">"FFDFD3C0"</f>
        <v>FFDFD3C0</v>
      </c>
      <c r="D1955" t="s">
        <v>113</v>
      </c>
      <c r="E1955">
        <v>3</v>
      </c>
      <c r="H1955">
        <v>166</v>
      </c>
      <c r="I1955" t="s">
        <v>114</v>
      </c>
      <c r="J1955" t="s">
        <v>115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1075"/>
        <v>14:53:53.391</v>
      </c>
      <c r="T1955" t="str">
        <f t="shared" si="1075"/>
        <v>14:53:53.391</v>
      </c>
      <c r="U1955" t="str">
        <f t="shared" si="1057"/>
        <v>ACC530</v>
      </c>
      <c r="V1955">
        <v>0</v>
      </c>
      <c r="W1955">
        <v>0</v>
      </c>
      <c r="X1955">
        <v>1</v>
      </c>
      <c r="Z1955">
        <v>0</v>
      </c>
      <c r="AA1955">
        <v>9</v>
      </c>
      <c r="AB1955">
        <v>3</v>
      </c>
      <c r="AC1955">
        <v>0</v>
      </c>
      <c r="AD1955">
        <v>9</v>
      </c>
      <c r="AE1955">
        <v>0</v>
      </c>
      <c r="AF1955">
        <v>3</v>
      </c>
      <c r="AG1955">
        <v>1</v>
      </c>
      <c r="AH1955">
        <v>0</v>
      </c>
      <c r="AI1955" t="s">
        <v>728</v>
      </c>
      <c r="AJ1955">
        <v>34.176321000000002</v>
      </c>
      <c r="AK1955" t="s">
        <v>729</v>
      </c>
      <c r="AL1955">
        <v>-117.018878</v>
      </c>
      <c r="AM1955">
        <v>100</v>
      </c>
      <c r="AN1955">
        <v>8000</v>
      </c>
      <c r="AO1955" t="s">
        <v>118</v>
      </c>
      <c r="AP1955">
        <v>-92</v>
      </c>
      <c r="AQ1955">
        <v>-79</v>
      </c>
      <c r="AR1955">
        <v>-832</v>
      </c>
      <c r="AZ1955">
        <v>1200</v>
      </c>
      <c r="BA1955">
        <v>1</v>
      </c>
      <c r="BB1955" t="str">
        <f t="shared" si="1058"/>
        <v xml:space="preserve">N9217B  </v>
      </c>
      <c r="BC1955">
        <v>1</v>
      </c>
      <c r="BE1955">
        <v>0</v>
      </c>
      <c r="BF1955">
        <v>0</v>
      </c>
      <c r="BG1955">
        <v>0</v>
      </c>
      <c r="BH1955">
        <v>8050</v>
      </c>
      <c r="BI1955">
        <v>1</v>
      </c>
      <c r="BJ1955">
        <v>0</v>
      </c>
      <c r="BK1955">
        <v>0</v>
      </c>
      <c r="BL1955">
        <v>0</v>
      </c>
      <c r="BO1955">
        <v>0</v>
      </c>
      <c r="BP1955">
        <v>0</v>
      </c>
      <c r="BW1955" t="str">
        <f t="shared" si="1076"/>
        <v>14:53:53.394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6</v>
      </c>
      <c r="CP1955" t="s">
        <v>119</v>
      </c>
      <c r="CQ1955">
        <v>285</v>
      </c>
      <c r="CR1955">
        <v>0</v>
      </c>
      <c r="CW1955">
        <v>8859837</v>
      </c>
      <c r="CY1955">
        <v>0</v>
      </c>
      <c r="CZ1955">
        <v>0</v>
      </c>
      <c r="DA1955">
        <v>1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25">
      <c r="A1956" t="str">
        <f t="shared" si="1074"/>
        <v>06/05/2020 14:53:47.751</v>
      </c>
      <c r="C1956" t="str">
        <f t="shared" si="1077"/>
        <v>FFDFD3C0</v>
      </c>
      <c r="D1956" t="s">
        <v>148</v>
      </c>
      <c r="E1956">
        <v>11</v>
      </c>
      <c r="H1956">
        <v>53</v>
      </c>
      <c r="I1956" t="s">
        <v>364</v>
      </c>
      <c r="J1956" t="s">
        <v>150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1075"/>
        <v>14:53:53.391</v>
      </c>
      <c r="T1956" t="str">
        <f t="shared" si="1075"/>
        <v>14:53:53.391</v>
      </c>
      <c r="U1956" t="str">
        <f t="shared" si="1057"/>
        <v>ACC530</v>
      </c>
      <c r="V1956">
        <v>0</v>
      </c>
      <c r="W1956">
        <v>0</v>
      </c>
      <c r="X1956">
        <v>1</v>
      </c>
      <c r="Z1956">
        <v>0</v>
      </c>
      <c r="AA1956">
        <v>9</v>
      </c>
      <c r="AB1956">
        <v>3</v>
      </c>
      <c r="AC1956">
        <v>0</v>
      </c>
      <c r="AD1956">
        <v>9</v>
      </c>
      <c r="AE1956">
        <v>0</v>
      </c>
      <c r="AF1956">
        <v>3</v>
      </c>
      <c r="AG1956">
        <v>1</v>
      </c>
      <c r="AH1956">
        <v>0</v>
      </c>
      <c r="AI1956" t="s">
        <v>728</v>
      </c>
      <c r="AJ1956">
        <v>34.176321000000002</v>
      </c>
      <c r="AK1956" t="s">
        <v>729</v>
      </c>
      <c r="AL1956">
        <v>-117.018878</v>
      </c>
      <c r="AM1956">
        <v>100</v>
      </c>
      <c r="AN1956">
        <v>8000</v>
      </c>
      <c r="AO1956" t="s">
        <v>118</v>
      </c>
      <c r="AP1956">
        <v>-92</v>
      </c>
      <c r="AQ1956">
        <v>-79</v>
      </c>
      <c r="AR1956">
        <v>-832</v>
      </c>
      <c r="AZ1956">
        <v>1200</v>
      </c>
      <c r="BA1956">
        <v>1</v>
      </c>
      <c r="BB1956" t="str">
        <f t="shared" si="1058"/>
        <v xml:space="preserve">N9217B  </v>
      </c>
      <c r="BC1956">
        <v>1</v>
      </c>
      <c r="BE1956">
        <v>0</v>
      </c>
      <c r="BF1956">
        <v>0</v>
      </c>
      <c r="BG1956">
        <v>0</v>
      </c>
      <c r="BH1956">
        <v>8050</v>
      </c>
      <c r="BI1956">
        <v>1</v>
      </c>
      <c r="BJ1956">
        <v>0</v>
      </c>
      <c r="BK1956">
        <v>0</v>
      </c>
      <c r="BL1956">
        <v>0</v>
      </c>
      <c r="BO1956">
        <v>0</v>
      </c>
      <c r="BP1956">
        <v>0</v>
      </c>
      <c r="BW1956" t="str">
        <f t="shared" si="1076"/>
        <v>14:53:53.394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6</v>
      </c>
      <c r="CP1956" t="s">
        <v>119</v>
      </c>
      <c r="CQ1956">
        <v>285</v>
      </c>
      <c r="CR1956">
        <v>0</v>
      </c>
      <c r="CW1956">
        <v>8859837</v>
      </c>
      <c r="CY1956">
        <v>0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25">
      <c r="A1957" t="str">
        <f t="shared" si="1074"/>
        <v>06/05/2020 14:53:47.751</v>
      </c>
      <c r="C1957" t="str">
        <f t="shared" si="1077"/>
        <v>FFDFD3C0</v>
      </c>
      <c r="D1957" t="s">
        <v>141</v>
      </c>
      <c r="E1957">
        <v>20</v>
      </c>
      <c r="F1957">
        <v>1020</v>
      </c>
      <c r="G1957" t="s">
        <v>114</v>
      </c>
      <c r="J1957" t="s">
        <v>142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1075"/>
        <v>14:53:53.391</v>
      </c>
      <c r="T1957" t="str">
        <f t="shared" si="1075"/>
        <v>14:53:53.391</v>
      </c>
      <c r="U1957" t="str">
        <f t="shared" si="1057"/>
        <v>ACC530</v>
      </c>
      <c r="V1957">
        <v>0</v>
      </c>
      <c r="W1957">
        <v>0</v>
      </c>
      <c r="X1957">
        <v>1</v>
      </c>
      <c r="Z1957">
        <v>0</v>
      </c>
      <c r="AA1957">
        <v>9</v>
      </c>
      <c r="AB1957">
        <v>3</v>
      </c>
      <c r="AC1957">
        <v>0</v>
      </c>
      <c r="AD1957">
        <v>9</v>
      </c>
      <c r="AE1957">
        <v>0</v>
      </c>
      <c r="AF1957">
        <v>3</v>
      </c>
      <c r="AG1957">
        <v>1</v>
      </c>
      <c r="AH1957">
        <v>0</v>
      </c>
      <c r="AI1957" t="s">
        <v>728</v>
      </c>
      <c r="AJ1957">
        <v>34.176321000000002</v>
      </c>
      <c r="AK1957" t="s">
        <v>729</v>
      </c>
      <c r="AL1957">
        <v>-117.018878</v>
      </c>
      <c r="AM1957">
        <v>100</v>
      </c>
      <c r="AN1957">
        <v>8000</v>
      </c>
      <c r="AO1957" t="s">
        <v>118</v>
      </c>
      <c r="AP1957">
        <v>-92</v>
      </c>
      <c r="AQ1957">
        <v>-79</v>
      </c>
      <c r="AR1957">
        <v>-832</v>
      </c>
      <c r="AZ1957">
        <v>1200</v>
      </c>
      <c r="BA1957">
        <v>1</v>
      </c>
      <c r="BB1957" t="str">
        <f t="shared" si="1058"/>
        <v xml:space="preserve">N9217B  </v>
      </c>
      <c r="BC1957">
        <v>1</v>
      </c>
      <c r="BE1957">
        <v>0</v>
      </c>
      <c r="BF1957">
        <v>0</v>
      </c>
      <c r="BG1957">
        <v>0</v>
      </c>
      <c r="BH1957">
        <v>8050</v>
      </c>
      <c r="BI1957">
        <v>1</v>
      </c>
      <c r="BJ1957">
        <v>0</v>
      </c>
      <c r="BK1957">
        <v>0</v>
      </c>
      <c r="BL1957">
        <v>0</v>
      </c>
      <c r="BO1957">
        <v>0</v>
      </c>
      <c r="BP1957">
        <v>0</v>
      </c>
      <c r="BW1957" t="str">
        <f t="shared" si="1076"/>
        <v>14:53:53.394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6</v>
      </c>
      <c r="CP1957" t="s">
        <v>119</v>
      </c>
      <c r="CQ1957">
        <v>285</v>
      </c>
      <c r="CR1957">
        <v>0</v>
      </c>
      <c r="CW1957">
        <v>8859837</v>
      </c>
      <c r="CY1957">
        <v>0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25">
      <c r="A1958" t="str">
        <f t="shared" si="1074"/>
        <v>06/05/2020 14:53:47.751</v>
      </c>
      <c r="C1958" t="str">
        <f t="shared" si="1077"/>
        <v>FFDFD3C0</v>
      </c>
      <c r="D1958" t="s">
        <v>151</v>
      </c>
      <c r="E1958">
        <v>8</v>
      </c>
      <c r="H1958">
        <v>225</v>
      </c>
      <c r="I1958" t="s">
        <v>353</v>
      </c>
      <c r="J1958" t="s">
        <v>150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075"/>
        <v>14:53:53.391</v>
      </c>
      <c r="T1958" t="str">
        <f t="shared" si="1075"/>
        <v>14:53:53.391</v>
      </c>
      <c r="U1958" t="str">
        <f t="shared" si="1057"/>
        <v>ACC530</v>
      </c>
      <c r="V1958">
        <v>0</v>
      </c>
      <c r="W1958">
        <v>0</v>
      </c>
      <c r="X1958">
        <v>1</v>
      </c>
      <c r="Z1958">
        <v>0</v>
      </c>
      <c r="AA1958">
        <v>9</v>
      </c>
      <c r="AB1958">
        <v>3</v>
      </c>
      <c r="AC1958">
        <v>0</v>
      </c>
      <c r="AD1958">
        <v>9</v>
      </c>
      <c r="AE1958">
        <v>0</v>
      </c>
      <c r="AF1958">
        <v>3</v>
      </c>
      <c r="AG1958">
        <v>1</v>
      </c>
      <c r="AH1958">
        <v>0</v>
      </c>
      <c r="AI1958" t="s">
        <v>728</v>
      </c>
      <c r="AJ1958">
        <v>34.176321000000002</v>
      </c>
      <c r="AK1958" t="s">
        <v>729</v>
      </c>
      <c r="AL1958">
        <v>-117.018878</v>
      </c>
      <c r="AM1958">
        <v>100</v>
      </c>
      <c r="AN1958">
        <v>8000</v>
      </c>
      <c r="AO1958" t="s">
        <v>118</v>
      </c>
      <c r="AP1958">
        <v>-92</v>
      </c>
      <c r="AQ1958">
        <v>-79</v>
      </c>
      <c r="AR1958">
        <v>-832</v>
      </c>
      <c r="AZ1958">
        <v>1200</v>
      </c>
      <c r="BA1958">
        <v>1</v>
      </c>
      <c r="BB1958" t="str">
        <f t="shared" si="1058"/>
        <v xml:space="preserve">N9217B  </v>
      </c>
      <c r="BC1958">
        <v>1</v>
      </c>
      <c r="BE1958">
        <v>0</v>
      </c>
      <c r="BF1958">
        <v>0</v>
      </c>
      <c r="BG1958">
        <v>0</v>
      </c>
      <c r="BH1958">
        <v>8050</v>
      </c>
      <c r="BI1958">
        <v>1</v>
      </c>
      <c r="BJ1958">
        <v>0</v>
      </c>
      <c r="BK1958">
        <v>0</v>
      </c>
      <c r="BL1958">
        <v>0</v>
      </c>
      <c r="BO1958">
        <v>0</v>
      </c>
      <c r="BP1958">
        <v>0</v>
      </c>
      <c r="BW1958" t="str">
        <f t="shared" si="1076"/>
        <v>14:53:53.394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6</v>
      </c>
      <c r="CP1958" t="s">
        <v>119</v>
      </c>
      <c r="CQ1958">
        <v>285</v>
      </c>
      <c r="CR1958">
        <v>0</v>
      </c>
      <c r="CW1958">
        <v>8859837</v>
      </c>
      <c r="CY1958">
        <v>0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25">
      <c r="A1959" t="str">
        <f t="shared" si="1074"/>
        <v>06/05/2020 14:53:47.751</v>
      </c>
      <c r="C1959" t="str">
        <f t="shared" si="1077"/>
        <v>FFDFD3C0</v>
      </c>
      <c r="D1959" t="s">
        <v>151</v>
      </c>
      <c r="E1959">
        <v>9</v>
      </c>
      <c r="H1959">
        <v>226</v>
      </c>
      <c r="I1959" t="s">
        <v>152</v>
      </c>
      <c r="J1959" t="s">
        <v>150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075"/>
        <v>14:53:53.391</v>
      </c>
      <c r="T1959" t="str">
        <f t="shared" si="1075"/>
        <v>14:53:53.391</v>
      </c>
      <c r="U1959" t="str">
        <f t="shared" si="1057"/>
        <v>ACC530</v>
      </c>
      <c r="V1959">
        <v>0</v>
      </c>
      <c r="W1959">
        <v>0</v>
      </c>
      <c r="X1959">
        <v>1</v>
      </c>
      <c r="Z1959">
        <v>0</v>
      </c>
      <c r="AA1959">
        <v>9</v>
      </c>
      <c r="AB1959">
        <v>3</v>
      </c>
      <c r="AC1959">
        <v>0</v>
      </c>
      <c r="AD1959">
        <v>9</v>
      </c>
      <c r="AE1959">
        <v>0</v>
      </c>
      <c r="AF1959">
        <v>3</v>
      </c>
      <c r="AG1959">
        <v>1</v>
      </c>
      <c r="AH1959">
        <v>0</v>
      </c>
      <c r="AI1959" t="s">
        <v>728</v>
      </c>
      <c r="AJ1959">
        <v>34.176321000000002</v>
      </c>
      <c r="AK1959" t="s">
        <v>729</v>
      </c>
      <c r="AL1959">
        <v>-117.018878</v>
      </c>
      <c r="AM1959">
        <v>100</v>
      </c>
      <c r="AN1959">
        <v>8000</v>
      </c>
      <c r="AO1959" t="s">
        <v>118</v>
      </c>
      <c r="AP1959">
        <v>-92</v>
      </c>
      <c r="AQ1959">
        <v>-79</v>
      </c>
      <c r="AR1959">
        <v>-832</v>
      </c>
      <c r="AZ1959">
        <v>1200</v>
      </c>
      <c r="BA1959">
        <v>1</v>
      </c>
      <c r="BB1959" t="str">
        <f t="shared" si="1058"/>
        <v xml:space="preserve">N9217B  </v>
      </c>
      <c r="BC1959">
        <v>1</v>
      </c>
      <c r="BE1959">
        <v>0</v>
      </c>
      <c r="BF1959">
        <v>0</v>
      </c>
      <c r="BG1959">
        <v>0</v>
      </c>
      <c r="BH1959">
        <v>8050</v>
      </c>
      <c r="BI1959">
        <v>1</v>
      </c>
      <c r="BJ1959">
        <v>0</v>
      </c>
      <c r="BK1959">
        <v>0</v>
      </c>
      <c r="BL1959">
        <v>0</v>
      </c>
      <c r="BO1959">
        <v>0</v>
      </c>
      <c r="BP1959">
        <v>0</v>
      </c>
      <c r="BW1959" t="str">
        <f t="shared" si="1076"/>
        <v>14:53:53.394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6</v>
      </c>
      <c r="CP1959" t="s">
        <v>119</v>
      </c>
      <c r="CQ1959">
        <v>285</v>
      </c>
      <c r="CR1959">
        <v>0</v>
      </c>
      <c r="CW1959">
        <v>8859837</v>
      </c>
      <c r="CY1959">
        <v>0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25">
      <c r="A1960" t="str">
        <f t="shared" si="1074"/>
        <v>06/05/2020 14:53:47.751</v>
      </c>
      <c r="C1960" t="str">
        <f t="shared" si="1077"/>
        <v>FFDFD3C0</v>
      </c>
      <c r="D1960" t="s">
        <v>148</v>
      </c>
      <c r="E1960">
        <v>8</v>
      </c>
      <c r="H1960">
        <v>50</v>
      </c>
      <c r="I1960" t="s">
        <v>149</v>
      </c>
      <c r="J1960" t="s">
        <v>150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075"/>
        <v>14:53:53.391</v>
      </c>
      <c r="T1960" t="str">
        <f t="shared" si="1075"/>
        <v>14:53:53.391</v>
      </c>
      <c r="U1960" t="str">
        <f t="shared" si="1057"/>
        <v>ACC530</v>
      </c>
      <c r="V1960">
        <v>0</v>
      </c>
      <c r="W1960">
        <v>0</v>
      </c>
      <c r="X1960">
        <v>1</v>
      </c>
      <c r="Z1960">
        <v>0</v>
      </c>
      <c r="AA1960">
        <v>9</v>
      </c>
      <c r="AB1960">
        <v>3</v>
      </c>
      <c r="AC1960">
        <v>0</v>
      </c>
      <c r="AD1960">
        <v>9</v>
      </c>
      <c r="AE1960">
        <v>0</v>
      </c>
      <c r="AF1960">
        <v>3</v>
      </c>
      <c r="AG1960">
        <v>1</v>
      </c>
      <c r="AH1960">
        <v>0</v>
      </c>
      <c r="AI1960" t="s">
        <v>728</v>
      </c>
      <c r="AJ1960">
        <v>34.176321000000002</v>
      </c>
      <c r="AK1960" t="s">
        <v>729</v>
      </c>
      <c r="AL1960">
        <v>-117.018878</v>
      </c>
      <c r="AM1960">
        <v>100</v>
      </c>
      <c r="AN1960">
        <v>8000</v>
      </c>
      <c r="AO1960" t="s">
        <v>118</v>
      </c>
      <c r="AP1960">
        <v>-92</v>
      </c>
      <c r="AQ1960">
        <v>-79</v>
      </c>
      <c r="AR1960">
        <v>-832</v>
      </c>
      <c r="AZ1960">
        <v>1200</v>
      </c>
      <c r="BA1960">
        <v>1</v>
      </c>
      <c r="BB1960" t="str">
        <f t="shared" si="1058"/>
        <v xml:space="preserve">N9217B  </v>
      </c>
      <c r="BC1960">
        <v>1</v>
      </c>
      <c r="BE1960">
        <v>0</v>
      </c>
      <c r="BF1960">
        <v>0</v>
      </c>
      <c r="BG1960">
        <v>0</v>
      </c>
      <c r="BH1960">
        <v>8050</v>
      </c>
      <c r="BI1960">
        <v>1</v>
      </c>
      <c r="BJ1960">
        <v>0</v>
      </c>
      <c r="BK1960">
        <v>0</v>
      </c>
      <c r="BL1960">
        <v>0</v>
      </c>
      <c r="BO1960">
        <v>0</v>
      </c>
      <c r="BP1960">
        <v>0</v>
      </c>
      <c r="BW1960" t="str">
        <f t="shared" si="1076"/>
        <v>14:53:53.394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285</v>
      </c>
      <c r="CR1960">
        <v>0</v>
      </c>
      <c r="CW1960">
        <v>8859837</v>
      </c>
      <c r="CY1960">
        <v>0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25">
      <c r="A1961" t="str">
        <f t="shared" ref="A1961:A1967" si="1078">"06/05/2020 14:53:48.644"</f>
        <v>06/05/2020 14:53:48.644</v>
      </c>
      <c r="C1961" t="str">
        <f t="shared" si="1077"/>
        <v>FFDFD3C0</v>
      </c>
      <c r="D1961" t="s">
        <v>151</v>
      </c>
      <c r="E1961">
        <v>9</v>
      </c>
      <c r="H1961">
        <v>226</v>
      </c>
      <c r="I1961" t="s">
        <v>152</v>
      </c>
      <c r="J1961" t="s">
        <v>150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ref="S1961:T1967" si="1079">"14:53:54.305"</f>
        <v>14:53:54.305</v>
      </c>
      <c r="T1961" t="str">
        <f t="shared" si="1079"/>
        <v>14:53:54.305</v>
      </c>
      <c r="U1961" t="str">
        <f t="shared" si="1057"/>
        <v>ACC530</v>
      </c>
      <c r="V1961">
        <v>0</v>
      </c>
      <c r="W1961">
        <v>0</v>
      </c>
      <c r="X1961">
        <v>1</v>
      </c>
      <c r="Z1961">
        <v>0</v>
      </c>
      <c r="AA1961">
        <v>9</v>
      </c>
      <c r="AB1961">
        <v>3</v>
      </c>
      <c r="AC1961">
        <v>0</v>
      </c>
      <c r="AD1961">
        <v>9</v>
      </c>
      <c r="AE1961">
        <v>0</v>
      </c>
      <c r="AF1961">
        <v>3</v>
      </c>
      <c r="AG1961">
        <v>1</v>
      </c>
      <c r="AH1961">
        <v>0</v>
      </c>
      <c r="AI1961" t="s">
        <v>730</v>
      </c>
      <c r="AJ1961">
        <v>34.175998999999997</v>
      </c>
      <c r="AK1961" t="s">
        <v>731</v>
      </c>
      <c r="AL1961">
        <v>-117.019329</v>
      </c>
      <c r="AM1961">
        <v>100</v>
      </c>
      <c r="AN1961">
        <v>8000</v>
      </c>
      <c r="AO1961" t="s">
        <v>118</v>
      </c>
      <c r="AP1961">
        <v>-92</v>
      </c>
      <c r="AQ1961">
        <v>-80</v>
      </c>
      <c r="AR1961">
        <v>-832</v>
      </c>
      <c r="AZ1961">
        <v>1200</v>
      </c>
      <c r="BA1961">
        <v>1</v>
      </c>
      <c r="BB1961" t="str">
        <f t="shared" si="1058"/>
        <v xml:space="preserve">N9217B  </v>
      </c>
      <c r="BC1961">
        <v>1</v>
      </c>
      <c r="BE1961">
        <v>0</v>
      </c>
      <c r="BF1961">
        <v>0</v>
      </c>
      <c r="BG1961">
        <v>0</v>
      </c>
      <c r="BH1961">
        <v>8025</v>
      </c>
      <c r="BI1961">
        <v>1</v>
      </c>
      <c r="BJ1961">
        <v>0</v>
      </c>
      <c r="BK1961">
        <v>0</v>
      </c>
      <c r="BL1961">
        <v>0</v>
      </c>
      <c r="BO1961">
        <v>0</v>
      </c>
      <c r="BP1961">
        <v>0</v>
      </c>
      <c r="BW1961" t="str">
        <f t="shared" ref="BW1961:BW1967" si="1080">"14:53:54.309"</f>
        <v>14:53:54.309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119</v>
      </c>
      <c r="CQ1961">
        <v>285</v>
      </c>
      <c r="CR1961">
        <v>0</v>
      </c>
      <c r="CW1961">
        <v>8859911</v>
      </c>
      <c r="CY1961">
        <v>0</v>
      </c>
      <c r="CZ1961">
        <v>0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25">
      <c r="A1962" t="str">
        <f t="shared" si="1078"/>
        <v>06/05/2020 14:53:48.644</v>
      </c>
      <c r="C1962" t="str">
        <f t="shared" si="1077"/>
        <v>FFDFD3C0</v>
      </c>
      <c r="D1962" t="s">
        <v>148</v>
      </c>
      <c r="E1962">
        <v>8</v>
      </c>
      <c r="H1962">
        <v>50</v>
      </c>
      <c r="I1962" t="s">
        <v>149</v>
      </c>
      <c r="J1962" t="s">
        <v>150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79"/>
        <v>14:53:54.305</v>
      </c>
      <c r="T1962" t="str">
        <f t="shared" si="1079"/>
        <v>14:53:54.305</v>
      </c>
      <c r="U1962" t="str">
        <f t="shared" si="1057"/>
        <v>ACC530</v>
      </c>
      <c r="V1962">
        <v>0</v>
      </c>
      <c r="W1962">
        <v>0</v>
      </c>
      <c r="X1962">
        <v>1</v>
      </c>
      <c r="Z1962">
        <v>0</v>
      </c>
      <c r="AA1962">
        <v>9</v>
      </c>
      <c r="AB1962">
        <v>3</v>
      </c>
      <c r="AC1962">
        <v>0</v>
      </c>
      <c r="AD1962">
        <v>9</v>
      </c>
      <c r="AE1962">
        <v>0</v>
      </c>
      <c r="AF1962">
        <v>3</v>
      </c>
      <c r="AG1962">
        <v>1</v>
      </c>
      <c r="AH1962">
        <v>0</v>
      </c>
      <c r="AI1962" t="s">
        <v>730</v>
      </c>
      <c r="AJ1962">
        <v>34.175998999999997</v>
      </c>
      <c r="AK1962" t="s">
        <v>731</v>
      </c>
      <c r="AL1962">
        <v>-117.019329</v>
      </c>
      <c r="AM1962">
        <v>100</v>
      </c>
      <c r="AN1962">
        <v>8000</v>
      </c>
      <c r="AO1962" t="s">
        <v>118</v>
      </c>
      <c r="AP1962">
        <v>-92</v>
      </c>
      <c r="AQ1962">
        <v>-80</v>
      </c>
      <c r="AR1962">
        <v>-832</v>
      </c>
      <c r="AZ1962">
        <v>1200</v>
      </c>
      <c r="BA1962">
        <v>1</v>
      </c>
      <c r="BB1962" t="str">
        <f t="shared" si="1058"/>
        <v xml:space="preserve">N9217B  </v>
      </c>
      <c r="BC1962">
        <v>1</v>
      </c>
      <c r="BE1962">
        <v>0</v>
      </c>
      <c r="BF1962">
        <v>0</v>
      </c>
      <c r="BG1962">
        <v>0</v>
      </c>
      <c r="BH1962">
        <v>8025</v>
      </c>
      <c r="BI1962">
        <v>1</v>
      </c>
      <c r="BJ1962">
        <v>0</v>
      </c>
      <c r="BK1962">
        <v>0</v>
      </c>
      <c r="BL1962">
        <v>0</v>
      </c>
      <c r="BO1962">
        <v>0</v>
      </c>
      <c r="BP1962">
        <v>0</v>
      </c>
      <c r="BW1962" t="str">
        <f t="shared" si="1080"/>
        <v>14:53:54.309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6</v>
      </c>
      <c r="CP1962" t="s">
        <v>119</v>
      </c>
      <c r="CQ1962">
        <v>285</v>
      </c>
      <c r="CR1962">
        <v>0</v>
      </c>
      <c r="CW1962">
        <v>8859911</v>
      </c>
      <c r="CY1962">
        <v>0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25">
      <c r="A1963" t="str">
        <f t="shared" si="1078"/>
        <v>06/05/2020 14:53:48.644</v>
      </c>
      <c r="C1963" t="str">
        <f t="shared" si="1077"/>
        <v>FFDFD3C0</v>
      </c>
      <c r="D1963" t="s">
        <v>134</v>
      </c>
      <c r="E1963">
        <v>7</v>
      </c>
      <c r="F1963">
        <v>2007</v>
      </c>
      <c r="G1963" t="s">
        <v>135</v>
      </c>
      <c r="J1963" t="s">
        <v>136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079"/>
        <v>14:53:54.305</v>
      </c>
      <c r="T1963" t="str">
        <f t="shared" si="1079"/>
        <v>14:53:54.305</v>
      </c>
      <c r="U1963" t="str">
        <f t="shared" si="1057"/>
        <v>ACC530</v>
      </c>
      <c r="V1963">
        <v>0</v>
      </c>
      <c r="W1963">
        <v>0</v>
      </c>
      <c r="X1963">
        <v>1</v>
      </c>
      <c r="Z1963">
        <v>0</v>
      </c>
      <c r="AA1963">
        <v>9</v>
      </c>
      <c r="AB1963">
        <v>3</v>
      </c>
      <c r="AC1963">
        <v>0</v>
      </c>
      <c r="AD1963">
        <v>9</v>
      </c>
      <c r="AE1963">
        <v>0</v>
      </c>
      <c r="AF1963">
        <v>3</v>
      </c>
      <c r="AG1963">
        <v>1</v>
      </c>
      <c r="AH1963">
        <v>0</v>
      </c>
      <c r="AI1963" t="s">
        <v>730</v>
      </c>
      <c r="AJ1963">
        <v>34.175998999999997</v>
      </c>
      <c r="AK1963" t="s">
        <v>731</v>
      </c>
      <c r="AL1963">
        <v>-117.019329</v>
      </c>
      <c r="AM1963">
        <v>100</v>
      </c>
      <c r="AN1963">
        <v>8000</v>
      </c>
      <c r="AO1963" t="s">
        <v>118</v>
      </c>
      <c r="AP1963">
        <v>-92</v>
      </c>
      <c r="AQ1963">
        <v>-80</v>
      </c>
      <c r="AR1963">
        <v>-832</v>
      </c>
      <c r="AZ1963">
        <v>1200</v>
      </c>
      <c r="BA1963">
        <v>1</v>
      </c>
      <c r="BB1963" t="str">
        <f t="shared" si="1058"/>
        <v xml:space="preserve">N9217B  </v>
      </c>
      <c r="BC1963">
        <v>1</v>
      </c>
      <c r="BE1963">
        <v>0</v>
      </c>
      <c r="BF1963">
        <v>0</v>
      </c>
      <c r="BG1963">
        <v>0</v>
      </c>
      <c r="BH1963">
        <v>8025</v>
      </c>
      <c r="BI1963">
        <v>1</v>
      </c>
      <c r="BJ1963">
        <v>0</v>
      </c>
      <c r="BK1963">
        <v>0</v>
      </c>
      <c r="BL1963">
        <v>0</v>
      </c>
      <c r="BO1963">
        <v>0</v>
      </c>
      <c r="BP1963">
        <v>0</v>
      </c>
      <c r="BW1963" t="str">
        <f t="shared" si="1080"/>
        <v>14:53:54.309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6</v>
      </c>
      <c r="CP1963" t="s">
        <v>119</v>
      </c>
      <c r="CQ1963">
        <v>285</v>
      </c>
      <c r="CR1963">
        <v>0</v>
      </c>
      <c r="CW1963">
        <v>8859911</v>
      </c>
      <c r="CY1963">
        <v>0</v>
      </c>
      <c r="CZ1963">
        <v>0</v>
      </c>
      <c r="DA1963">
        <v>1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25">
      <c r="A1964" t="str">
        <f t="shared" si="1078"/>
        <v>06/05/2020 14:53:48.644</v>
      </c>
      <c r="C1964" t="str">
        <f t="shared" si="1077"/>
        <v>FFDFD3C0</v>
      </c>
      <c r="D1964" t="s">
        <v>113</v>
      </c>
      <c r="E1964">
        <v>3</v>
      </c>
      <c r="H1964">
        <v>166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079"/>
        <v>14:53:54.305</v>
      </c>
      <c r="T1964" t="str">
        <f t="shared" si="1079"/>
        <v>14:53:54.305</v>
      </c>
      <c r="U1964" t="str">
        <f t="shared" si="1057"/>
        <v>ACC530</v>
      </c>
      <c r="V1964">
        <v>0</v>
      </c>
      <c r="W1964">
        <v>0</v>
      </c>
      <c r="X1964">
        <v>1</v>
      </c>
      <c r="Z1964">
        <v>0</v>
      </c>
      <c r="AA1964">
        <v>9</v>
      </c>
      <c r="AB1964">
        <v>3</v>
      </c>
      <c r="AC1964">
        <v>0</v>
      </c>
      <c r="AD1964">
        <v>9</v>
      </c>
      <c r="AE1964">
        <v>0</v>
      </c>
      <c r="AF1964">
        <v>3</v>
      </c>
      <c r="AG1964">
        <v>1</v>
      </c>
      <c r="AH1964">
        <v>0</v>
      </c>
      <c r="AI1964" t="s">
        <v>730</v>
      </c>
      <c r="AJ1964">
        <v>34.175998999999997</v>
      </c>
      <c r="AK1964" t="s">
        <v>731</v>
      </c>
      <c r="AL1964">
        <v>-117.019329</v>
      </c>
      <c r="AM1964">
        <v>100</v>
      </c>
      <c r="AN1964">
        <v>8000</v>
      </c>
      <c r="AO1964" t="s">
        <v>118</v>
      </c>
      <c r="AP1964">
        <v>-92</v>
      </c>
      <c r="AQ1964">
        <v>-80</v>
      </c>
      <c r="AR1964">
        <v>-832</v>
      </c>
      <c r="AZ1964">
        <v>1200</v>
      </c>
      <c r="BA1964">
        <v>1</v>
      </c>
      <c r="BB1964" t="str">
        <f t="shared" si="1058"/>
        <v xml:space="preserve">N9217B  </v>
      </c>
      <c r="BC1964">
        <v>1</v>
      </c>
      <c r="BE1964">
        <v>0</v>
      </c>
      <c r="BF1964">
        <v>0</v>
      </c>
      <c r="BG1964">
        <v>0</v>
      </c>
      <c r="BH1964">
        <v>8025</v>
      </c>
      <c r="BI1964">
        <v>1</v>
      </c>
      <c r="BJ1964">
        <v>0</v>
      </c>
      <c r="BK1964">
        <v>0</v>
      </c>
      <c r="BL1964">
        <v>0</v>
      </c>
      <c r="BO1964">
        <v>0</v>
      </c>
      <c r="BP1964">
        <v>0</v>
      </c>
      <c r="BW1964" t="str">
        <f t="shared" si="1080"/>
        <v>14:53:54.309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119</v>
      </c>
      <c r="CQ1964">
        <v>285</v>
      </c>
      <c r="CR1964">
        <v>0</v>
      </c>
      <c r="CW1964">
        <v>8859911</v>
      </c>
      <c r="CY1964">
        <v>0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25">
      <c r="A1965" t="str">
        <f t="shared" si="1078"/>
        <v>06/05/2020 14:53:48.644</v>
      </c>
      <c r="C1965" t="str">
        <f t="shared" si="1077"/>
        <v>FFDFD3C0</v>
      </c>
      <c r="D1965" t="s">
        <v>148</v>
      </c>
      <c r="E1965">
        <v>11</v>
      </c>
      <c r="H1965">
        <v>53</v>
      </c>
      <c r="I1965" t="s">
        <v>364</v>
      </c>
      <c r="J1965" t="s">
        <v>150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079"/>
        <v>14:53:54.305</v>
      </c>
      <c r="T1965" t="str">
        <f t="shared" si="1079"/>
        <v>14:53:54.305</v>
      </c>
      <c r="U1965" t="str">
        <f t="shared" si="1057"/>
        <v>ACC530</v>
      </c>
      <c r="V1965">
        <v>0</v>
      </c>
      <c r="W1965">
        <v>0</v>
      </c>
      <c r="X1965">
        <v>1</v>
      </c>
      <c r="Z1965">
        <v>0</v>
      </c>
      <c r="AA1965">
        <v>9</v>
      </c>
      <c r="AB1965">
        <v>3</v>
      </c>
      <c r="AC1965">
        <v>0</v>
      </c>
      <c r="AD1965">
        <v>9</v>
      </c>
      <c r="AE1965">
        <v>0</v>
      </c>
      <c r="AF1965">
        <v>3</v>
      </c>
      <c r="AG1965">
        <v>1</v>
      </c>
      <c r="AH1965">
        <v>0</v>
      </c>
      <c r="AI1965" t="s">
        <v>730</v>
      </c>
      <c r="AJ1965">
        <v>34.175998999999997</v>
      </c>
      <c r="AK1965" t="s">
        <v>731</v>
      </c>
      <c r="AL1965">
        <v>-117.019329</v>
      </c>
      <c r="AM1965">
        <v>100</v>
      </c>
      <c r="AN1965">
        <v>8000</v>
      </c>
      <c r="AO1965" t="s">
        <v>118</v>
      </c>
      <c r="AP1965">
        <v>-92</v>
      </c>
      <c r="AQ1965">
        <v>-80</v>
      </c>
      <c r="AR1965">
        <v>-832</v>
      </c>
      <c r="AZ1965">
        <v>1200</v>
      </c>
      <c r="BA1965">
        <v>1</v>
      </c>
      <c r="BB1965" t="str">
        <f t="shared" si="1058"/>
        <v xml:space="preserve">N9217B  </v>
      </c>
      <c r="BC1965">
        <v>1</v>
      </c>
      <c r="BE1965">
        <v>0</v>
      </c>
      <c r="BF1965">
        <v>0</v>
      </c>
      <c r="BG1965">
        <v>0</v>
      </c>
      <c r="BH1965">
        <v>8025</v>
      </c>
      <c r="BI1965">
        <v>1</v>
      </c>
      <c r="BJ1965">
        <v>0</v>
      </c>
      <c r="BK1965">
        <v>0</v>
      </c>
      <c r="BL1965">
        <v>0</v>
      </c>
      <c r="BO1965">
        <v>0</v>
      </c>
      <c r="BP1965">
        <v>0</v>
      </c>
      <c r="BW1965" t="str">
        <f t="shared" si="1080"/>
        <v>14:53:54.309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6</v>
      </c>
      <c r="CP1965" t="s">
        <v>119</v>
      </c>
      <c r="CQ1965">
        <v>285</v>
      </c>
      <c r="CR1965">
        <v>0</v>
      </c>
      <c r="CW1965">
        <v>8859911</v>
      </c>
      <c r="CY1965">
        <v>0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25">
      <c r="A1966" t="str">
        <f t="shared" si="1078"/>
        <v>06/05/2020 14:53:48.644</v>
      </c>
      <c r="C1966" t="str">
        <f t="shared" si="1077"/>
        <v>FFDFD3C0</v>
      </c>
      <c r="D1966" t="s">
        <v>141</v>
      </c>
      <c r="E1966">
        <v>20</v>
      </c>
      <c r="F1966">
        <v>1020</v>
      </c>
      <c r="G1966" t="s">
        <v>114</v>
      </c>
      <c r="J1966" t="s">
        <v>142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079"/>
        <v>14:53:54.305</v>
      </c>
      <c r="T1966" t="str">
        <f t="shared" si="1079"/>
        <v>14:53:54.305</v>
      </c>
      <c r="U1966" t="str">
        <f t="shared" si="1057"/>
        <v>ACC530</v>
      </c>
      <c r="V1966">
        <v>0</v>
      </c>
      <c r="W1966">
        <v>0</v>
      </c>
      <c r="X1966">
        <v>1</v>
      </c>
      <c r="Z1966">
        <v>0</v>
      </c>
      <c r="AA1966">
        <v>9</v>
      </c>
      <c r="AB1966">
        <v>3</v>
      </c>
      <c r="AC1966">
        <v>0</v>
      </c>
      <c r="AD1966">
        <v>9</v>
      </c>
      <c r="AE1966">
        <v>0</v>
      </c>
      <c r="AF1966">
        <v>3</v>
      </c>
      <c r="AG1966">
        <v>1</v>
      </c>
      <c r="AH1966">
        <v>0</v>
      </c>
      <c r="AI1966" t="s">
        <v>730</v>
      </c>
      <c r="AJ1966">
        <v>34.175998999999997</v>
      </c>
      <c r="AK1966" t="s">
        <v>731</v>
      </c>
      <c r="AL1966">
        <v>-117.019329</v>
      </c>
      <c r="AM1966">
        <v>100</v>
      </c>
      <c r="AN1966">
        <v>8000</v>
      </c>
      <c r="AO1966" t="s">
        <v>118</v>
      </c>
      <c r="AP1966">
        <v>-92</v>
      </c>
      <c r="AQ1966">
        <v>-80</v>
      </c>
      <c r="AR1966">
        <v>-832</v>
      </c>
      <c r="AZ1966">
        <v>1200</v>
      </c>
      <c r="BA1966">
        <v>1</v>
      </c>
      <c r="BB1966" t="str">
        <f t="shared" si="1058"/>
        <v xml:space="preserve">N9217B  </v>
      </c>
      <c r="BC1966">
        <v>1</v>
      </c>
      <c r="BE1966">
        <v>0</v>
      </c>
      <c r="BF1966">
        <v>0</v>
      </c>
      <c r="BG1966">
        <v>0</v>
      </c>
      <c r="BH1966">
        <v>8025</v>
      </c>
      <c r="BI1966">
        <v>1</v>
      </c>
      <c r="BJ1966">
        <v>0</v>
      </c>
      <c r="BK1966">
        <v>0</v>
      </c>
      <c r="BL1966">
        <v>0</v>
      </c>
      <c r="BO1966">
        <v>0</v>
      </c>
      <c r="BP1966">
        <v>0</v>
      </c>
      <c r="BW1966" t="str">
        <f t="shared" si="1080"/>
        <v>14:53:54.309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285</v>
      </c>
      <c r="CR1966">
        <v>0</v>
      </c>
      <c r="CW1966">
        <v>8859911</v>
      </c>
      <c r="CY1966">
        <v>0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25">
      <c r="A1967" t="str">
        <f t="shared" si="1078"/>
        <v>06/05/2020 14:53:48.644</v>
      </c>
      <c r="C1967" t="str">
        <f t="shared" si="1077"/>
        <v>FFDFD3C0</v>
      </c>
      <c r="D1967" t="s">
        <v>151</v>
      </c>
      <c r="E1967">
        <v>8</v>
      </c>
      <c r="H1967">
        <v>225</v>
      </c>
      <c r="I1967" t="s">
        <v>353</v>
      </c>
      <c r="J1967" t="s">
        <v>150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1079"/>
        <v>14:53:54.305</v>
      </c>
      <c r="T1967" t="str">
        <f t="shared" si="1079"/>
        <v>14:53:54.305</v>
      </c>
      <c r="U1967" t="str">
        <f t="shared" si="1057"/>
        <v>ACC530</v>
      </c>
      <c r="V1967">
        <v>0</v>
      </c>
      <c r="W1967">
        <v>0</v>
      </c>
      <c r="X1967">
        <v>1</v>
      </c>
      <c r="Z1967">
        <v>0</v>
      </c>
      <c r="AA1967">
        <v>9</v>
      </c>
      <c r="AB1967">
        <v>3</v>
      </c>
      <c r="AC1967">
        <v>0</v>
      </c>
      <c r="AD1967">
        <v>9</v>
      </c>
      <c r="AE1967">
        <v>0</v>
      </c>
      <c r="AF1967">
        <v>3</v>
      </c>
      <c r="AG1967">
        <v>1</v>
      </c>
      <c r="AH1967">
        <v>0</v>
      </c>
      <c r="AI1967" t="s">
        <v>730</v>
      </c>
      <c r="AJ1967">
        <v>34.175998999999997</v>
      </c>
      <c r="AK1967" t="s">
        <v>731</v>
      </c>
      <c r="AL1967">
        <v>-117.019329</v>
      </c>
      <c r="AM1967">
        <v>100</v>
      </c>
      <c r="AN1967">
        <v>8000</v>
      </c>
      <c r="AO1967" t="s">
        <v>118</v>
      </c>
      <c r="AP1967">
        <v>-92</v>
      </c>
      <c r="AQ1967">
        <v>-80</v>
      </c>
      <c r="AR1967">
        <v>-832</v>
      </c>
      <c r="AZ1967">
        <v>1200</v>
      </c>
      <c r="BA1967">
        <v>1</v>
      </c>
      <c r="BB1967" t="str">
        <f t="shared" si="1058"/>
        <v xml:space="preserve">N9217B  </v>
      </c>
      <c r="BC1967">
        <v>1</v>
      </c>
      <c r="BE1967">
        <v>0</v>
      </c>
      <c r="BF1967">
        <v>0</v>
      </c>
      <c r="BG1967">
        <v>0</v>
      </c>
      <c r="BH1967">
        <v>8025</v>
      </c>
      <c r="BI1967">
        <v>1</v>
      </c>
      <c r="BJ1967">
        <v>0</v>
      </c>
      <c r="BK1967">
        <v>0</v>
      </c>
      <c r="BL1967">
        <v>0</v>
      </c>
      <c r="BO1967">
        <v>0</v>
      </c>
      <c r="BP1967">
        <v>0</v>
      </c>
      <c r="BW1967" t="str">
        <f t="shared" si="1080"/>
        <v>14:53:54.309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285</v>
      </c>
      <c r="CR1967">
        <v>0</v>
      </c>
      <c r="CW1967">
        <v>8859911</v>
      </c>
      <c r="CY1967">
        <v>0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25">
      <c r="A1968" t="str">
        <f t="shared" ref="A1968:A1974" si="1081">"06/05/2020 14:53:49.779"</f>
        <v>06/05/2020 14:53:49.779</v>
      </c>
      <c r="C1968" t="str">
        <f t="shared" si="1077"/>
        <v>FFDFD3C0</v>
      </c>
      <c r="D1968" t="s">
        <v>113</v>
      </c>
      <c r="E1968">
        <v>3</v>
      </c>
      <c r="H1968">
        <v>166</v>
      </c>
      <c r="I1968" t="s">
        <v>114</v>
      </c>
      <c r="J1968" t="s">
        <v>115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ref="S1968:S1974" si="1082">"14:53:55.414"</f>
        <v>14:53:55.414</v>
      </c>
      <c r="T1968" t="str">
        <f t="shared" ref="T1968:T1974" si="1083">"14:53:55.314"</f>
        <v>14:53:55.314</v>
      </c>
      <c r="U1968" t="str">
        <f t="shared" si="1057"/>
        <v>ACC530</v>
      </c>
      <c r="V1968">
        <v>0</v>
      </c>
      <c r="W1968">
        <v>0</v>
      </c>
      <c r="X1968">
        <v>1</v>
      </c>
      <c r="Z1968">
        <v>0</v>
      </c>
      <c r="AA1968">
        <v>9</v>
      </c>
      <c r="AB1968">
        <v>3</v>
      </c>
      <c r="AC1968">
        <v>0</v>
      </c>
      <c r="AD1968">
        <v>9</v>
      </c>
      <c r="AE1968">
        <v>0</v>
      </c>
      <c r="AF1968">
        <v>3</v>
      </c>
      <c r="AG1968">
        <v>1</v>
      </c>
      <c r="AH1968">
        <v>0</v>
      </c>
      <c r="AI1968" t="s">
        <v>732</v>
      </c>
      <c r="AJ1968">
        <v>34.17557</v>
      </c>
      <c r="AK1968" t="s">
        <v>733</v>
      </c>
      <c r="AL1968">
        <v>-117.019908</v>
      </c>
      <c r="AM1968">
        <v>100</v>
      </c>
      <c r="AN1968">
        <v>8000</v>
      </c>
      <c r="AO1968" t="s">
        <v>118</v>
      </c>
      <c r="AP1968">
        <v>-91</v>
      </c>
      <c r="AQ1968">
        <v>-81</v>
      </c>
      <c r="AR1968">
        <v>-896</v>
      </c>
      <c r="AZ1968">
        <v>1200</v>
      </c>
      <c r="BA1968">
        <v>1</v>
      </c>
      <c r="BB1968" t="str">
        <f t="shared" si="1058"/>
        <v xml:space="preserve">N9217B  </v>
      </c>
      <c r="BC1968">
        <v>1</v>
      </c>
      <c r="BE1968">
        <v>0</v>
      </c>
      <c r="BF1968">
        <v>0</v>
      </c>
      <c r="BG1968">
        <v>0</v>
      </c>
      <c r="BH1968">
        <v>8025</v>
      </c>
      <c r="BI1968">
        <v>1</v>
      </c>
      <c r="BJ1968">
        <v>0</v>
      </c>
      <c r="BK1968">
        <v>0</v>
      </c>
      <c r="BL1968">
        <v>0</v>
      </c>
      <c r="BO1968">
        <v>0</v>
      </c>
      <c r="BP1968">
        <v>0</v>
      </c>
      <c r="BW1968" t="str">
        <f t="shared" ref="BW1968:BW1974" si="1084">"14:53:55.419"</f>
        <v>14:53:55.419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6</v>
      </c>
      <c r="CP1968" t="s">
        <v>119</v>
      </c>
      <c r="CQ1968">
        <v>285</v>
      </c>
      <c r="CR1968">
        <v>0</v>
      </c>
      <c r="CW1968">
        <v>8860015</v>
      </c>
      <c r="CY1968">
        <v>0</v>
      </c>
      <c r="CZ1968">
        <v>0</v>
      </c>
      <c r="DA1968">
        <v>0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25">
      <c r="A1969" t="str">
        <f t="shared" si="1081"/>
        <v>06/05/2020 14:53:49.779</v>
      </c>
      <c r="C1969" t="str">
        <f t="shared" si="1077"/>
        <v>FFDFD3C0</v>
      </c>
      <c r="D1969" t="s">
        <v>141</v>
      </c>
      <c r="E1969">
        <v>20</v>
      </c>
      <c r="F1969">
        <v>1020</v>
      </c>
      <c r="G1969" t="s">
        <v>114</v>
      </c>
      <c r="J1969" t="s">
        <v>142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082"/>
        <v>14:53:55.414</v>
      </c>
      <c r="T1969" t="str">
        <f t="shared" si="1083"/>
        <v>14:53:55.314</v>
      </c>
      <c r="U1969" t="str">
        <f t="shared" si="1057"/>
        <v>ACC530</v>
      </c>
      <c r="V1969">
        <v>0</v>
      </c>
      <c r="W1969">
        <v>0</v>
      </c>
      <c r="X1969">
        <v>1</v>
      </c>
      <c r="Z1969">
        <v>0</v>
      </c>
      <c r="AA1969">
        <v>9</v>
      </c>
      <c r="AB1969">
        <v>3</v>
      </c>
      <c r="AC1969">
        <v>0</v>
      </c>
      <c r="AD1969">
        <v>9</v>
      </c>
      <c r="AE1969">
        <v>0</v>
      </c>
      <c r="AF1969">
        <v>3</v>
      </c>
      <c r="AG1969">
        <v>1</v>
      </c>
      <c r="AH1969">
        <v>0</v>
      </c>
      <c r="AI1969" t="s">
        <v>732</v>
      </c>
      <c r="AJ1969">
        <v>34.17557</v>
      </c>
      <c r="AK1969" t="s">
        <v>733</v>
      </c>
      <c r="AL1969">
        <v>-117.019908</v>
      </c>
      <c r="AM1969">
        <v>100</v>
      </c>
      <c r="AN1969">
        <v>8000</v>
      </c>
      <c r="AO1969" t="s">
        <v>118</v>
      </c>
      <c r="AP1969">
        <v>-91</v>
      </c>
      <c r="AQ1969">
        <v>-81</v>
      </c>
      <c r="AR1969">
        <v>-896</v>
      </c>
      <c r="AZ1969">
        <v>1200</v>
      </c>
      <c r="BA1969">
        <v>1</v>
      </c>
      <c r="BB1969" t="str">
        <f t="shared" si="1058"/>
        <v xml:space="preserve">N9217B  </v>
      </c>
      <c r="BC1969">
        <v>1</v>
      </c>
      <c r="BE1969">
        <v>0</v>
      </c>
      <c r="BF1969">
        <v>0</v>
      </c>
      <c r="BG1969">
        <v>0</v>
      </c>
      <c r="BH1969">
        <v>8025</v>
      </c>
      <c r="BI1969">
        <v>1</v>
      </c>
      <c r="BJ1969">
        <v>0</v>
      </c>
      <c r="BK1969">
        <v>0</v>
      </c>
      <c r="BL1969">
        <v>0</v>
      </c>
      <c r="BO1969">
        <v>0</v>
      </c>
      <c r="BP1969">
        <v>0</v>
      </c>
      <c r="BW1969" t="str">
        <f t="shared" si="1084"/>
        <v>14:53:55.419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285</v>
      </c>
      <c r="CR1969">
        <v>0</v>
      </c>
      <c r="CW1969">
        <v>8860015</v>
      </c>
      <c r="CY1969">
        <v>0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25">
      <c r="A1970" t="str">
        <f t="shared" si="1081"/>
        <v>06/05/2020 14:53:49.779</v>
      </c>
      <c r="C1970" t="str">
        <f t="shared" si="1077"/>
        <v>FFDFD3C0</v>
      </c>
      <c r="D1970" t="s">
        <v>148</v>
      </c>
      <c r="E1970">
        <v>11</v>
      </c>
      <c r="H1970">
        <v>53</v>
      </c>
      <c r="I1970" t="s">
        <v>364</v>
      </c>
      <c r="J1970" t="s">
        <v>150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082"/>
        <v>14:53:55.414</v>
      </c>
      <c r="T1970" t="str">
        <f t="shared" si="1083"/>
        <v>14:53:55.314</v>
      </c>
      <c r="U1970" t="str">
        <f t="shared" si="1057"/>
        <v>ACC530</v>
      </c>
      <c r="V1970">
        <v>0</v>
      </c>
      <c r="W1970">
        <v>0</v>
      </c>
      <c r="X1970">
        <v>1</v>
      </c>
      <c r="Z1970">
        <v>0</v>
      </c>
      <c r="AA1970">
        <v>9</v>
      </c>
      <c r="AB1970">
        <v>3</v>
      </c>
      <c r="AC1970">
        <v>0</v>
      </c>
      <c r="AD1970">
        <v>9</v>
      </c>
      <c r="AE1970">
        <v>0</v>
      </c>
      <c r="AF1970">
        <v>3</v>
      </c>
      <c r="AG1970">
        <v>1</v>
      </c>
      <c r="AH1970">
        <v>0</v>
      </c>
      <c r="AI1970" t="s">
        <v>732</v>
      </c>
      <c r="AJ1970">
        <v>34.17557</v>
      </c>
      <c r="AK1970" t="s">
        <v>733</v>
      </c>
      <c r="AL1970">
        <v>-117.019908</v>
      </c>
      <c r="AM1970">
        <v>100</v>
      </c>
      <c r="AN1970">
        <v>8000</v>
      </c>
      <c r="AO1970" t="s">
        <v>118</v>
      </c>
      <c r="AP1970">
        <v>-91</v>
      </c>
      <c r="AQ1970">
        <v>-81</v>
      </c>
      <c r="AR1970">
        <v>-896</v>
      </c>
      <c r="AZ1970">
        <v>1200</v>
      </c>
      <c r="BA1970">
        <v>1</v>
      </c>
      <c r="BB1970" t="str">
        <f t="shared" si="1058"/>
        <v xml:space="preserve">N9217B  </v>
      </c>
      <c r="BC1970">
        <v>1</v>
      </c>
      <c r="BE1970">
        <v>0</v>
      </c>
      <c r="BF1970">
        <v>0</v>
      </c>
      <c r="BG1970">
        <v>0</v>
      </c>
      <c r="BH1970">
        <v>8025</v>
      </c>
      <c r="BI1970">
        <v>1</v>
      </c>
      <c r="BJ1970">
        <v>0</v>
      </c>
      <c r="BK1970">
        <v>0</v>
      </c>
      <c r="BL1970">
        <v>0</v>
      </c>
      <c r="BO1970">
        <v>0</v>
      </c>
      <c r="BP1970">
        <v>0</v>
      </c>
      <c r="BW1970" t="str">
        <f t="shared" si="1084"/>
        <v>14:53:55.419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6</v>
      </c>
      <c r="CP1970" t="s">
        <v>119</v>
      </c>
      <c r="CQ1970">
        <v>285</v>
      </c>
      <c r="CR1970">
        <v>0</v>
      </c>
      <c r="CW1970">
        <v>8860015</v>
      </c>
      <c r="CY1970">
        <v>0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25">
      <c r="A1971" t="str">
        <f t="shared" si="1081"/>
        <v>06/05/2020 14:53:49.779</v>
      </c>
      <c r="C1971" t="str">
        <f t="shared" si="1077"/>
        <v>FFDFD3C0</v>
      </c>
      <c r="D1971" t="s">
        <v>151</v>
      </c>
      <c r="E1971">
        <v>8</v>
      </c>
      <c r="H1971">
        <v>225</v>
      </c>
      <c r="I1971" t="s">
        <v>353</v>
      </c>
      <c r="J1971" t="s">
        <v>150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082"/>
        <v>14:53:55.414</v>
      </c>
      <c r="T1971" t="str">
        <f t="shared" si="1083"/>
        <v>14:53:55.314</v>
      </c>
      <c r="U1971" t="str">
        <f t="shared" si="1057"/>
        <v>ACC530</v>
      </c>
      <c r="V1971">
        <v>0</v>
      </c>
      <c r="W1971">
        <v>0</v>
      </c>
      <c r="X1971">
        <v>1</v>
      </c>
      <c r="Z1971">
        <v>0</v>
      </c>
      <c r="AA1971">
        <v>9</v>
      </c>
      <c r="AB1971">
        <v>3</v>
      </c>
      <c r="AC1971">
        <v>0</v>
      </c>
      <c r="AD1971">
        <v>9</v>
      </c>
      <c r="AE1971">
        <v>0</v>
      </c>
      <c r="AF1971">
        <v>3</v>
      </c>
      <c r="AG1971">
        <v>1</v>
      </c>
      <c r="AH1971">
        <v>0</v>
      </c>
      <c r="AI1971" t="s">
        <v>732</v>
      </c>
      <c r="AJ1971">
        <v>34.17557</v>
      </c>
      <c r="AK1971" t="s">
        <v>733</v>
      </c>
      <c r="AL1971">
        <v>-117.019908</v>
      </c>
      <c r="AM1971">
        <v>100</v>
      </c>
      <c r="AN1971">
        <v>8000</v>
      </c>
      <c r="AO1971" t="s">
        <v>118</v>
      </c>
      <c r="AP1971">
        <v>-91</v>
      </c>
      <c r="AQ1971">
        <v>-81</v>
      </c>
      <c r="AR1971">
        <v>-896</v>
      </c>
      <c r="AZ1971">
        <v>1200</v>
      </c>
      <c r="BA1971">
        <v>1</v>
      </c>
      <c r="BB1971" t="str">
        <f t="shared" si="1058"/>
        <v xml:space="preserve">N9217B  </v>
      </c>
      <c r="BC1971">
        <v>1</v>
      </c>
      <c r="BE1971">
        <v>0</v>
      </c>
      <c r="BF1971">
        <v>0</v>
      </c>
      <c r="BG1971">
        <v>0</v>
      </c>
      <c r="BH1971">
        <v>8025</v>
      </c>
      <c r="BI1971">
        <v>1</v>
      </c>
      <c r="BJ1971">
        <v>0</v>
      </c>
      <c r="BK1971">
        <v>0</v>
      </c>
      <c r="BL1971">
        <v>0</v>
      </c>
      <c r="BO1971">
        <v>0</v>
      </c>
      <c r="BP1971">
        <v>0</v>
      </c>
      <c r="BW1971" t="str">
        <f t="shared" si="1084"/>
        <v>14:53:55.419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6</v>
      </c>
      <c r="CP1971" t="s">
        <v>119</v>
      </c>
      <c r="CQ1971">
        <v>285</v>
      </c>
      <c r="CR1971">
        <v>0</v>
      </c>
      <c r="CW1971">
        <v>8860015</v>
      </c>
      <c r="CY1971">
        <v>0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25">
      <c r="A1972" t="str">
        <f t="shared" si="1081"/>
        <v>06/05/2020 14:53:49.779</v>
      </c>
      <c r="C1972" t="str">
        <f t="shared" si="1077"/>
        <v>FFDFD3C0</v>
      </c>
      <c r="D1972" t="s">
        <v>151</v>
      </c>
      <c r="E1972">
        <v>9</v>
      </c>
      <c r="H1972">
        <v>226</v>
      </c>
      <c r="I1972" t="s">
        <v>152</v>
      </c>
      <c r="J1972" t="s">
        <v>150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82"/>
        <v>14:53:55.414</v>
      </c>
      <c r="T1972" t="str">
        <f t="shared" si="1083"/>
        <v>14:53:55.314</v>
      </c>
      <c r="U1972" t="str">
        <f t="shared" si="1057"/>
        <v>ACC530</v>
      </c>
      <c r="V1972">
        <v>0</v>
      </c>
      <c r="W1972">
        <v>0</v>
      </c>
      <c r="X1972">
        <v>1</v>
      </c>
      <c r="Z1972">
        <v>0</v>
      </c>
      <c r="AA1972">
        <v>9</v>
      </c>
      <c r="AB1972">
        <v>3</v>
      </c>
      <c r="AC1972">
        <v>0</v>
      </c>
      <c r="AD1972">
        <v>9</v>
      </c>
      <c r="AE1972">
        <v>0</v>
      </c>
      <c r="AF1972">
        <v>3</v>
      </c>
      <c r="AG1972">
        <v>1</v>
      </c>
      <c r="AH1972">
        <v>0</v>
      </c>
      <c r="AI1972" t="s">
        <v>732</v>
      </c>
      <c r="AJ1972">
        <v>34.17557</v>
      </c>
      <c r="AK1972" t="s">
        <v>733</v>
      </c>
      <c r="AL1972">
        <v>-117.019908</v>
      </c>
      <c r="AM1972">
        <v>100</v>
      </c>
      <c r="AN1972">
        <v>8000</v>
      </c>
      <c r="AO1972" t="s">
        <v>118</v>
      </c>
      <c r="AP1972">
        <v>-91</v>
      </c>
      <c r="AQ1972">
        <v>-81</v>
      </c>
      <c r="AR1972">
        <v>-896</v>
      </c>
      <c r="AZ1972">
        <v>1200</v>
      </c>
      <c r="BA1972">
        <v>1</v>
      </c>
      <c r="BB1972" t="str">
        <f t="shared" si="1058"/>
        <v xml:space="preserve">N9217B  </v>
      </c>
      <c r="BC1972">
        <v>1</v>
      </c>
      <c r="BE1972">
        <v>0</v>
      </c>
      <c r="BF1972">
        <v>0</v>
      </c>
      <c r="BG1972">
        <v>0</v>
      </c>
      <c r="BH1972">
        <v>8025</v>
      </c>
      <c r="BI1972">
        <v>1</v>
      </c>
      <c r="BJ1972">
        <v>0</v>
      </c>
      <c r="BK1972">
        <v>0</v>
      </c>
      <c r="BL1972">
        <v>0</v>
      </c>
      <c r="BO1972">
        <v>0</v>
      </c>
      <c r="BP1972">
        <v>0</v>
      </c>
      <c r="BW1972" t="str">
        <f t="shared" si="1084"/>
        <v>14:53:55.419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6</v>
      </c>
      <c r="CP1972" t="s">
        <v>119</v>
      </c>
      <c r="CQ1972">
        <v>285</v>
      </c>
      <c r="CR1972">
        <v>0</v>
      </c>
      <c r="CW1972">
        <v>8860015</v>
      </c>
      <c r="CY1972">
        <v>0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25">
      <c r="A1973" t="str">
        <f t="shared" si="1081"/>
        <v>06/05/2020 14:53:49.779</v>
      </c>
      <c r="C1973" t="str">
        <f t="shared" si="1077"/>
        <v>FFDFD3C0</v>
      </c>
      <c r="D1973" t="s">
        <v>148</v>
      </c>
      <c r="E1973">
        <v>8</v>
      </c>
      <c r="H1973">
        <v>50</v>
      </c>
      <c r="I1973" t="s">
        <v>149</v>
      </c>
      <c r="J1973" t="s">
        <v>150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82"/>
        <v>14:53:55.414</v>
      </c>
      <c r="T1973" t="str">
        <f t="shared" si="1083"/>
        <v>14:53:55.314</v>
      </c>
      <c r="U1973" t="str">
        <f t="shared" si="1057"/>
        <v>ACC530</v>
      </c>
      <c r="V1973">
        <v>0</v>
      </c>
      <c r="W1973">
        <v>0</v>
      </c>
      <c r="X1973">
        <v>1</v>
      </c>
      <c r="Z1973">
        <v>0</v>
      </c>
      <c r="AA1973">
        <v>9</v>
      </c>
      <c r="AB1973">
        <v>3</v>
      </c>
      <c r="AC1973">
        <v>0</v>
      </c>
      <c r="AD1973">
        <v>9</v>
      </c>
      <c r="AE1973">
        <v>0</v>
      </c>
      <c r="AF1973">
        <v>3</v>
      </c>
      <c r="AG1973">
        <v>1</v>
      </c>
      <c r="AH1973">
        <v>0</v>
      </c>
      <c r="AI1973" t="s">
        <v>732</v>
      </c>
      <c r="AJ1973">
        <v>34.17557</v>
      </c>
      <c r="AK1973" t="s">
        <v>733</v>
      </c>
      <c r="AL1973">
        <v>-117.019908</v>
      </c>
      <c r="AM1973">
        <v>100</v>
      </c>
      <c r="AN1973">
        <v>8000</v>
      </c>
      <c r="AO1973" t="s">
        <v>118</v>
      </c>
      <c r="AP1973">
        <v>-91</v>
      </c>
      <c r="AQ1973">
        <v>-81</v>
      </c>
      <c r="AR1973">
        <v>-896</v>
      </c>
      <c r="AZ1973">
        <v>1200</v>
      </c>
      <c r="BA1973">
        <v>1</v>
      </c>
      <c r="BB1973" t="str">
        <f t="shared" si="1058"/>
        <v xml:space="preserve">N9217B  </v>
      </c>
      <c r="BC1973">
        <v>1</v>
      </c>
      <c r="BE1973">
        <v>0</v>
      </c>
      <c r="BF1973">
        <v>0</v>
      </c>
      <c r="BG1973">
        <v>0</v>
      </c>
      <c r="BH1973">
        <v>8025</v>
      </c>
      <c r="BI1973">
        <v>1</v>
      </c>
      <c r="BJ1973">
        <v>0</v>
      </c>
      <c r="BK1973">
        <v>0</v>
      </c>
      <c r="BL1973">
        <v>0</v>
      </c>
      <c r="BO1973">
        <v>0</v>
      </c>
      <c r="BP1973">
        <v>0</v>
      </c>
      <c r="BW1973" t="str">
        <f t="shared" si="1084"/>
        <v>14:53:55.419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6</v>
      </c>
      <c r="CP1973" t="s">
        <v>119</v>
      </c>
      <c r="CQ1973">
        <v>285</v>
      </c>
      <c r="CR1973">
        <v>0</v>
      </c>
      <c r="CW1973">
        <v>8860015</v>
      </c>
      <c r="CY1973">
        <v>0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25">
      <c r="A1974" t="str">
        <f t="shared" si="1081"/>
        <v>06/05/2020 14:53:49.779</v>
      </c>
      <c r="C1974" t="str">
        <f t="shared" si="1077"/>
        <v>FFDFD3C0</v>
      </c>
      <c r="D1974" t="s">
        <v>134</v>
      </c>
      <c r="E1974">
        <v>7</v>
      </c>
      <c r="F1974">
        <v>2007</v>
      </c>
      <c r="G1974" t="s">
        <v>135</v>
      </c>
      <c r="J1974" t="s">
        <v>136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1082"/>
        <v>14:53:55.414</v>
      </c>
      <c r="T1974" t="str">
        <f t="shared" si="1083"/>
        <v>14:53:55.314</v>
      </c>
      <c r="U1974" t="str">
        <f t="shared" si="1057"/>
        <v>ACC530</v>
      </c>
      <c r="V1974">
        <v>0</v>
      </c>
      <c r="W1974">
        <v>0</v>
      </c>
      <c r="X1974">
        <v>1</v>
      </c>
      <c r="Z1974">
        <v>0</v>
      </c>
      <c r="AA1974">
        <v>9</v>
      </c>
      <c r="AB1974">
        <v>3</v>
      </c>
      <c r="AC1974">
        <v>0</v>
      </c>
      <c r="AD1974">
        <v>9</v>
      </c>
      <c r="AE1974">
        <v>0</v>
      </c>
      <c r="AF1974">
        <v>3</v>
      </c>
      <c r="AG1974">
        <v>1</v>
      </c>
      <c r="AH1974">
        <v>0</v>
      </c>
      <c r="AI1974" t="s">
        <v>732</v>
      </c>
      <c r="AJ1974">
        <v>34.17557</v>
      </c>
      <c r="AK1974" t="s">
        <v>733</v>
      </c>
      <c r="AL1974">
        <v>-117.019908</v>
      </c>
      <c r="AM1974">
        <v>100</v>
      </c>
      <c r="AN1974">
        <v>8000</v>
      </c>
      <c r="AO1974" t="s">
        <v>118</v>
      </c>
      <c r="AP1974">
        <v>-91</v>
      </c>
      <c r="AQ1974">
        <v>-81</v>
      </c>
      <c r="AR1974">
        <v>-896</v>
      </c>
      <c r="AZ1974">
        <v>1200</v>
      </c>
      <c r="BA1974">
        <v>1</v>
      </c>
      <c r="BB1974" t="str">
        <f t="shared" si="1058"/>
        <v xml:space="preserve">N9217B  </v>
      </c>
      <c r="BC1974">
        <v>1</v>
      </c>
      <c r="BE1974">
        <v>0</v>
      </c>
      <c r="BF1974">
        <v>0</v>
      </c>
      <c r="BG1974">
        <v>0</v>
      </c>
      <c r="BH1974">
        <v>8025</v>
      </c>
      <c r="BI1974">
        <v>1</v>
      </c>
      <c r="BJ1974">
        <v>0</v>
      </c>
      <c r="BK1974">
        <v>0</v>
      </c>
      <c r="BL1974">
        <v>0</v>
      </c>
      <c r="BO1974">
        <v>0</v>
      </c>
      <c r="BP1974">
        <v>0</v>
      </c>
      <c r="BW1974" t="str">
        <f t="shared" si="1084"/>
        <v>14:53:55.419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6</v>
      </c>
      <c r="CP1974" t="s">
        <v>119</v>
      </c>
      <c r="CQ1974">
        <v>285</v>
      </c>
      <c r="CR1974">
        <v>0</v>
      </c>
      <c r="CW1974">
        <v>8860015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25">
      <c r="A1975" t="str">
        <f t="shared" ref="A1975:A1981" si="1085">"06/05/2020 14:53:50.838"</f>
        <v>06/05/2020 14:53:50.838</v>
      </c>
      <c r="C1975" t="str">
        <f t="shared" si="1077"/>
        <v>FFDFD3C0</v>
      </c>
      <c r="D1975" t="s">
        <v>113</v>
      </c>
      <c r="E1975">
        <v>3</v>
      </c>
      <c r="H1975">
        <v>166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ref="S1975:S1981" si="1086">"14:53:56.492"</f>
        <v>14:53:56.492</v>
      </c>
      <c r="T1975" t="str">
        <f t="shared" ref="T1975:T1981" si="1087">"14:53:56.392"</f>
        <v>14:53:56.392</v>
      </c>
      <c r="U1975" t="str">
        <f t="shared" si="1057"/>
        <v>ACC530</v>
      </c>
      <c r="V1975">
        <v>0</v>
      </c>
      <c r="W1975">
        <v>0</v>
      </c>
      <c r="X1975">
        <v>1</v>
      </c>
      <c r="Z1975">
        <v>0</v>
      </c>
      <c r="AA1975">
        <v>9</v>
      </c>
      <c r="AB1975">
        <v>3</v>
      </c>
      <c r="AC1975">
        <v>0</v>
      </c>
      <c r="AD1975">
        <v>9</v>
      </c>
      <c r="AE1975">
        <v>0</v>
      </c>
      <c r="AF1975">
        <v>3</v>
      </c>
      <c r="AG1975">
        <v>1</v>
      </c>
      <c r="AH1975">
        <v>0</v>
      </c>
      <c r="AI1975" t="s">
        <v>734</v>
      </c>
      <c r="AJ1975">
        <v>34.175162</v>
      </c>
      <c r="AK1975" t="s">
        <v>735</v>
      </c>
      <c r="AL1975">
        <v>-117.02042299999999</v>
      </c>
      <c r="AM1975">
        <v>100</v>
      </c>
      <c r="AN1975">
        <v>8000</v>
      </c>
      <c r="AO1975" t="s">
        <v>118</v>
      </c>
      <c r="AP1975">
        <v>-91</v>
      </c>
      <c r="AQ1975">
        <v>-81</v>
      </c>
      <c r="AR1975">
        <v>-896</v>
      </c>
      <c r="AZ1975">
        <v>1200</v>
      </c>
      <c r="BA1975">
        <v>1</v>
      </c>
      <c r="BB1975" t="str">
        <f t="shared" si="1058"/>
        <v xml:space="preserve">N9217B  </v>
      </c>
      <c r="BC1975">
        <v>1</v>
      </c>
      <c r="BE1975">
        <v>0</v>
      </c>
      <c r="BF1975">
        <v>0</v>
      </c>
      <c r="BG1975">
        <v>0</v>
      </c>
      <c r="BH1975">
        <v>8000</v>
      </c>
      <c r="BI1975">
        <v>1</v>
      </c>
      <c r="BJ1975">
        <v>0</v>
      </c>
      <c r="BK1975">
        <v>0</v>
      </c>
      <c r="BL1975">
        <v>0</v>
      </c>
      <c r="BO1975">
        <v>0</v>
      </c>
      <c r="BP1975">
        <v>0</v>
      </c>
      <c r="BW1975" t="str">
        <f t="shared" ref="BW1975:BW1981" si="1088">"14:53:56.499"</f>
        <v>14:53:56.499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6</v>
      </c>
      <c r="CP1975" t="s">
        <v>119</v>
      </c>
      <c r="CQ1975">
        <v>285</v>
      </c>
      <c r="CR1975">
        <v>0</v>
      </c>
      <c r="CW1975">
        <v>8860104</v>
      </c>
      <c r="CY1975">
        <v>0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25">
      <c r="A1976" t="str">
        <f t="shared" si="1085"/>
        <v>06/05/2020 14:53:50.838</v>
      </c>
      <c r="C1976" t="str">
        <f t="shared" si="1077"/>
        <v>FFDFD3C0</v>
      </c>
      <c r="D1976" t="s">
        <v>141</v>
      </c>
      <c r="E1976">
        <v>20</v>
      </c>
      <c r="F1976">
        <v>1020</v>
      </c>
      <c r="G1976" t="s">
        <v>114</v>
      </c>
      <c r="J1976" t="s">
        <v>142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086"/>
        <v>14:53:56.492</v>
      </c>
      <c r="T1976" t="str">
        <f t="shared" si="1087"/>
        <v>14:53:56.392</v>
      </c>
      <c r="U1976" t="str">
        <f t="shared" si="1057"/>
        <v>ACC530</v>
      </c>
      <c r="V1976">
        <v>0</v>
      </c>
      <c r="W1976">
        <v>0</v>
      </c>
      <c r="X1976">
        <v>1</v>
      </c>
      <c r="Z1976">
        <v>0</v>
      </c>
      <c r="AA1976">
        <v>9</v>
      </c>
      <c r="AB1976">
        <v>3</v>
      </c>
      <c r="AC1976">
        <v>0</v>
      </c>
      <c r="AD1976">
        <v>9</v>
      </c>
      <c r="AE1976">
        <v>0</v>
      </c>
      <c r="AF1976">
        <v>3</v>
      </c>
      <c r="AG1976">
        <v>1</v>
      </c>
      <c r="AH1976">
        <v>0</v>
      </c>
      <c r="AI1976" t="s">
        <v>734</v>
      </c>
      <c r="AJ1976">
        <v>34.175162</v>
      </c>
      <c r="AK1976" t="s">
        <v>735</v>
      </c>
      <c r="AL1976">
        <v>-117.02042299999999</v>
      </c>
      <c r="AM1976">
        <v>100</v>
      </c>
      <c r="AN1976">
        <v>8000</v>
      </c>
      <c r="AO1976" t="s">
        <v>118</v>
      </c>
      <c r="AP1976">
        <v>-91</v>
      </c>
      <c r="AQ1976">
        <v>-81</v>
      </c>
      <c r="AR1976">
        <v>-896</v>
      </c>
      <c r="AZ1976">
        <v>1200</v>
      </c>
      <c r="BA1976">
        <v>1</v>
      </c>
      <c r="BB1976" t="str">
        <f t="shared" si="1058"/>
        <v xml:space="preserve">N9217B  </v>
      </c>
      <c r="BC1976">
        <v>1</v>
      </c>
      <c r="BE1976">
        <v>0</v>
      </c>
      <c r="BF1976">
        <v>0</v>
      </c>
      <c r="BG1976">
        <v>0</v>
      </c>
      <c r="BH1976">
        <v>8000</v>
      </c>
      <c r="BI1976">
        <v>1</v>
      </c>
      <c r="BJ1976">
        <v>0</v>
      </c>
      <c r="BK1976">
        <v>0</v>
      </c>
      <c r="BL1976">
        <v>0</v>
      </c>
      <c r="BO1976">
        <v>0</v>
      </c>
      <c r="BP1976">
        <v>0</v>
      </c>
      <c r="BW1976" t="str">
        <f t="shared" si="1088"/>
        <v>14:53:56.499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6</v>
      </c>
      <c r="CP1976" t="s">
        <v>119</v>
      </c>
      <c r="CQ1976">
        <v>285</v>
      </c>
      <c r="CR1976">
        <v>0</v>
      </c>
      <c r="CW1976">
        <v>8860104</v>
      </c>
      <c r="CY1976">
        <v>0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25">
      <c r="A1977" t="str">
        <f t="shared" si="1085"/>
        <v>06/05/2020 14:53:50.838</v>
      </c>
      <c r="C1977" t="str">
        <f t="shared" si="1077"/>
        <v>FFDFD3C0</v>
      </c>
      <c r="D1977" t="s">
        <v>148</v>
      </c>
      <c r="E1977">
        <v>11</v>
      </c>
      <c r="H1977">
        <v>53</v>
      </c>
      <c r="I1977" t="s">
        <v>364</v>
      </c>
      <c r="J1977" t="s">
        <v>150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086"/>
        <v>14:53:56.492</v>
      </c>
      <c r="T1977" t="str">
        <f t="shared" si="1087"/>
        <v>14:53:56.392</v>
      </c>
      <c r="U1977" t="str">
        <f t="shared" si="1057"/>
        <v>ACC530</v>
      </c>
      <c r="V1977">
        <v>0</v>
      </c>
      <c r="W1977">
        <v>0</v>
      </c>
      <c r="X1977">
        <v>1</v>
      </c>
      <c r="Z1977">
        <v>0</v>
      </c>
      <c r="AA1977">
        <v>9</v>
      </c>
      <c r="AB1977">
        <v>3</v>
      </c>
      <c r="AC1977">
        <v>0</v>
      </c>
      <c r="AD1977">
        <v>9</v>
      </c>
      <c r="AE1977">
        <v>0</v>
      </c>
      <c r="AF1977">
        <v>3</v>
      </c>
      <c r="AG1977">
        <v>1</v>
      </c>
      <c r="AH1977">
        <v>0</v>
      </c>
      <c r="AI1977" t="s">
        <v>734</v>
      </c>
      <c r="AJ1977">
        <v>34.175162</v>
      </c>
      <c r="AK1977" t="s">
        <v>735</v>
      </c>
      <c r="AL1977">
        <v>-117.02042299999999</v>
      </c>
      <c r="AM1977">
        <v>100</v>
      </c>
      <c r="AN1977">
        <v>8000</v>
      </c>
      <c r="AO1977" t="s">
        <v>118</v>
      </c>
      <c r="AP1977">
        <v>-91</v>
      </c>
      <c r="AQ1977">
        <v>-81</v>
      </c>
      <c r="AR1977">
        <v>-896</v>
      </c>
      <c r="AZ1977">
        <v>1200</v>
      </c>
      <c r="BA1977">
        <v>1</v>
      </c>
      <c r="BB1977" t="str">
        <f t="shared" si="1058"/>
        <v xml:space="preserve">N9217B  </v>
      </c>
      <c r="BC1977">
        <v>1</v>
      </c>
      <c r="BE1977">
        <v>0</v>
      </c>
      <c r="BF1977">
        <v>0</v>
      </c>
      <c r="BG1977">
        <v>0</v>
      </c>
      <c r="BH1977">
        <v>8000</v>
      </c>
      <c r="BI1977">
        <v>1</v>
      </c>
      <c r="BJ1977">
        <v>0</v>
      </c>
      <c r="BK1977">
        <v>0</v>
      </c>
      <c r="BL1977">
        <v>0</v>
      </c>
      <c r="BO1977">
        <v>0</v>
      </c>
      <c r="BP1977">
        <v>0</v>
      </c>
      <c r="BW1977" t="str">
        <f t="shared" si="1088"/>
        <v>14:53:56.499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6</v>
      </c>
      <c r="CP1977" t="s">
        <v>119</v>
      </c>
      <c r="CQ1977">
        <v>285</v>
      </c>
      <c r="CR1977">
        <v>0</v>
      </c>
      <c r="CW1977">
        <v>8860104</v>
      </c>
      <c r="CY1977">
        <v>0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25">
      <c r="A1978" t="str">
        <f t="shared" si="1085"/>
        <v>06/05/2020 14:53:50.838</v>
      </c>
      <c r="C1978" t="str">
        <f t="shared" si="1077"/>
        <v>FFDFD3C0</v>
      </c>
      <c r="D1978" t="s">
        <v>151</v>
      </c>
      <c r="E1978">
        <v>8</v>
      </c>
      <c r="H1978">
        <v>225</v>
      </c>
      <c r="I1978" t="s">
        <v>353</v>
      </c>
      <c r="J1978" t="s">
        <v>150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086"/>
        <v>14:53:56.492</v>
      </c>
      <c r="T1978" t="str">
        <f t="shared" si="1087"/>
        <v>14:53:56.392</v>
      </c>
      <c r="U1978" t="str">
        <f t="shared" si="1057"/>
        <v>ACC530</v>
      </c>
      <c r="V1978">
        <v>0</v>
      </c>
      <c r="W1978">
        <v>0</v>
      </c>
      <c r="X1978">
        <v>1</v>
      </c>
      <c r="Z1978">
        <v>0</v>
      </c>
      <c r="AA1978">
        <v>9</v>
      </c>
      <c r="AB1978">
        <v>3</v>
      </c>
      <c r="AC1978">
        <v>0</v>
      </c>
      <c r="AD1978">
        <v>9</v>
      </c>
      <c r="AE1978">
        <v>0</v>
      </c>
      <c r="AF1978">
        <v>3</v>
      </c>
      <c r="AG1978">
        <v>1</v>
      </c>
      <c r="AH1978">
        <v>0</v>
      </c>
      <c r="AI1978" t="s">
        <v>734</v>
      </c>
      <c r="AJ1978">
        <v>34.175162</v>
      </c>
      <c r="AK1978" t="s">
        <v>735</v>
      </c>
      <c r="AL1978">
        <v>-117.02042299999999</v>
      </c>
      <c r="AM1978">
        <v>100</v>
      </c>
      <c r="AN1978">
        <v>8000</v>
      </c>
      <c r="AO1978" t="s">
        <v>118</v>
      </c>
      <c r="AP1978">
        <v>-91</v>
      </c>
      <c r="AQ1978">
        <v>-81</v>
      </c>
      <c r="AR1978">
        <v>-896</v>
      </c>
      <c r="AZ1978">
        <v>1200</v>
      </c>
      <c r="BA1978">
        <v>1</v>
      </c>
      <c r="BB1978" t="str">
        <f t="shared" si="1058"/>
        <v xml:space="preserve">N9217B  </v>
      </c>
      <c r="BC1978">
        <v>1</v>
      </c>
      <c r="BE1978">
        <v>0</v>
      </c>
      <c r="BF1978">
        <v>0</v>
      </c>
      <c r="BG1978">
        <v>0</v>
      </c>
      <c r="BH1978">
        <v>8000</v>
      </c>
      <c r="BI1978">
        <v>1</v>
      </c>
      <c r="BJ1978">
        <v>0</v>
      </c>
      <c r="BK1978">
        <v>0</v>
      </c>
      <c r="BL1978">
        <v>0</v>
      </c>
      <c r="BO1978">
        <v>0</v>
      </c>
      <c r="BP1978">
        <v>0</v>
      </c>
      <c r="BW1978" t="str">
        <f t="shared" si="1088"/>
        <v>14:53:56.499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6</v>
      </c>
      <c r="CP1978" t="s">
        <v>119</v>
      </c>
      <c r="CQ1978">
        <v>285</v>
      </c>
      <c r="CR1978">
        <v>0</v>
      </c>
      <c r="CW1978">
        <v>8860104</v>
      </c>
      <c r="CY1978">
        <v>0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25">
      <c r="A1979" t="str">
        <f t="shared" si="1085"/>
        <v>06/05/2020 14:53:50.838</v>
      </c>
      <c r="C1979" t="str">
        <f t="shared" si="1077"/>
        <v>FFDFD3C0</v>
      </c>
      <c r="D1979" t="s">
        <v>151</v>
      </c>
      <c r="E1979">
        <v>9</v>
      </c>
      <c r="H1979">
        <v>226</v>
      </c>
      <c r="I1979" t="s">
        <v>152</v>
      </c>
      <c r="J1979" t="s">
        <v>150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086"/>
        <v>14:53:56.492</v>
      </c>
      <c r="T1979" t="str">
        <f t="shared" si="1087"/>
        <v>14:53:56.392</v>
      </c>
      <c r="U1979" t="str">
        <f t="shared" si="1057"/>
        <v>ACC530</v>
      </c>
      <c r="V1979">
        <v>0</v>
      </c>
      <c r="W1979">
        <v>0</v>
      </c>
      <c r="X1979">
        <v>1</v>
      </c>
      <c r="Z1979">
        <v>0</v>
      </c>
      <c r="AA1979">
        <v>9</v>
      </c>
      <c r="AB1979">
        <v>3</v>
      </c>
      <c r="AC1979">
        <v>0</v>
      </c>
      <c r="AD1979">
        <v>9</v>
      </c>
      <c r="AE1979">
        <v>0</v>
      </c>
      <c r="AF1979">
        <v>3</v>
      </c>
      <c r="AG1979">
        <v>1</v>
      </c>
      <c r="AH1979">
        <v>0</v>
      </c>
      <c r="AI1979" t="s">
        <v>734</v>
      </c>
      <c r="AJ1979">
        <v>34.175162</v>
      </c>
      <c r="AK1979" t="s">
        <v>735</v>
      </c>
      <c r="AL1979">
        <v>-117.02042299999999</v>
      </c>
      <c r="AM1979">
        <v>100</v>
      </c>
      <c r="AN1979">
        <v>8000</v>
      </c>
      <c r="AO1979" t="s">
        <v>118</v>
      </c>
      <c r="AP1979">
        <v>-91</v>
      </c>
      <c r="AQ1979">
        <v>-81</v>
      </c>
      <c r="AR1979">
        <v>-896</v>
      </c>
      <c r="AZ1979">
        <v>1200</v>
      </c>
      <c r="BA1979">
        <v>1</v>
      </c>
      <c r="BB1979" t="str">
        <f t="shared" si="1058"/>
        <v xml:space="preserve">N9217B  </v>
      </c>
      <c r="BC1979">
        <v>1</v>
      </c>
      <c r="BE1979">
        <v>0</v>
      </c>
      <c r="BF1979">
        <v>0</v>
      </c>
      <c r="BG1979">
        <v>0</v>
      </c>
      <c r="BH1979">
        <v>8000</v>
      </c>
      <c r="BI1979">
        <v>1</v>
      </c>
      <c r="BJ1979">
        <v>0</v>
      </c>
      <c r="BK1979">
        <v>0</v>
      </c>
      <c r="BL1979">
        <v>0</v>
      </c>
      <c r="BO1979">
        <v>0</v>
      </c>
      <c r="BP1979">
        <v>0</v>
      </c>
      <c r="BW1979" t="str">
        <f t="shared" si="1088"/>
        <v>14:53:56.499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285</v>
      </c>
      <c r="CR1979">
        <v>0</v>
      </c>
      <c r="CW1979">
        <v>8860104</v>
      </c>
      <c r="CY1979">
        <v>0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25">
      <c r="A1980" t="str">
        <f t="shared" si="1085"/>
        <v>06/05/2020 14:53:50.838</v>
      </c>
      <c r="C1980" t="str">
        <f t="shared" si="1077"/>
        <v>FFDFD3C0</v>
      </c>
      <c r="D1980" t="s">
        <v>148</v>
      </c>
      <c r="E1980">
        <v>8</v>
      </c>
      <c r="H1980">
        <v>50</v>
      </c>
      <c r="I1980" t="s">
        <v>149</v>
      </c>
      <c r="J1980" t="s">
        <v>150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086"/>
        <v>14:53:56.492</v>
      </c>
      <c r="T1980" t="str">
        <f t="shared" si="1087"/>
        <v>14:53:56.392</v>
      </c>
      <c r="U1980" t="str">
        <f t="shared" si="1057"/>
        <v>ACC530</v>
      </c>
      <c r="V1980">
        <v>0</v>
      </c>
      <c r="W1980">
        <v>0</v>
      </c>
      <c r="X1980">
        <v>1</v>
      </c>
      <c r="Z1980">
        <v>0</v>
      </c>
      <c r="AA1980">
        <v>9</v>
      </c>
      <c r="AB1980">
        <v>3</v>
      </c>
      <c r="AC1980">
        <v>0</v>
      </c>
      <c r="AD1980">
        <v>9</v>
      </c>
      <c r="AE1980">
        <v>0</v>
      </c>
      <c r="AF1980">
        <v>3</v>
      </c>
      <c r="AG1980">
        <v>1</v>
      </c>
      <c r="AH1980">
        <v>0</v>
      </c>
      <c r="AI1980" t="s">
        <v>734</v>
      </c>
      <c r="AJ1980">
        <v>34.175162</v>
      </c>
      <c r="AK1980" t="s">
        <v>735</v>
      </c>
      <c r="AL1980">
        <v>-117.02042299999999</v>
      </c>
      <c r="AM1980">
        <v>100</v>
      </c>
      <c r="AN1980">
        <v>8000</v>
      </c>
      <c r="AO1980" t="s">
        <v>118</v>
      </c>
      <c r="AP1980">
        <v>-91</v>
      </c>
      <c r="AQ1980">
        <v>-81</v>
      </c>
      <c r="AR1980">
        <v>-896</v>
      </c>
      <c r="AZ1980">
        <v>1200</v>
      </c>
      <c r="BA1980">
        <v>1</v>
      </c>
      <c r="BB1980" t="str">
        <f t="shared" si="1058"/>
        <v xml:space="preserve">N9217B  </v>
      </c>
      <c r="BC1980">
        <v>1</v>
      </c>
      <c r="BE1980">
        <v>0</v>
      </c>
      <c r="BF1980">
        <v>0</v>
      </c>
      <c r="BG1980">
        <v>0</v>
      </c>
      <c r="BH1980">
        <v>8000</v>
      </c>
      <c r="BI1980">
        <v>1</v>
      </c>
      <c r="BJ1980">
        <v>0</v>
      </c>
      <c r="BK1980">
        <v>0</v>
      </c>
      <c r="BL1980">
        <v>0</v>
      </c>
      <c r="BO1980">
        <v>0</v>
      </c>
      <c r="BP1980">
        <v>0</v>
      </c>
      <c r="BW1980" t="str">
        <f t="shared" si="1088"/>
        <v>14:53:56.499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285</v>
      </c>
      <c r="CR1980">
        <v>0</v>
      </c>
      <c r="CW1980">
        <v>8860104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25">
      <c r="A1981" t="str">
        <f t="shared" si="1085"/>
        <v>06/05/2020 14:53:50.838</v>
      </c>
      <c r="C1981" t="str">
        <f t="shared" si="1077"/>
        <v>FFDFD3C0</v>
      </c>
      <c r="D1981" t="s">
        <v>134</v>
      </c>
      <c r="E1981">
        <v>7</v>
      </c>
      <c r="F1981">
        <v>2007</v>
      </c>
      <c r="G1981" t="s">
        <v>135</v>
      </c>
      <c r="J1981" t="s">
        <v>136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1086"/>
        <v>14:53:56.492</v>
      </c>
      <c r="T1981" t="str">
        <f t="shared" si="1087"/>
        <v>14:53:56.392</v>
      </c>
      <c r="U1981" t="str">
        <f t="shared" si="1057"/>
        <v>ACC530</v>
      </c>
      <c r="V1981">
        <v>0</v>
      </c>
      <c r="W1981">
        <v>0</v>
      </c>
      <c r="X1981">
        <v>1</v>
      </c>
      <c r="Z1981">
        <v>0</v>
      </c>
      <c r="AA1981">
        <v>9</v>
      </c>
      <c r="AB1981">
        <v>3</v>
      </c>
      <c r="AC1981">
        <v>0</v>
      </c>
      <c r="AD1981">
        <v>9</v>
      </c>
      <c r="AE1981">
        <v>0</v>
      </c>
      <c r="AF1981">
        <v>3</v>
      </c>
      <c r="AG1981">
        <v>1</v>
      </c>
      <c r="AH1981">
        <v>0</v>
      </c>
      <c r="AI1981" t="s">
        <v>734</v>
      </c>
      <c r="AJ1981">
        <v>34.175162</v>
      </c>
      <c r="AK1981" t="s">
        <v>735</v>
      </c>
      <c r="AL1981">
        <v>-117.02042299999999</v>
      </c>
      <c r="AM1981">
        <v>100</v>
      </c>
      <c r="AN1981">
        <v>8000</v>
      </c>
      <c r="AO1981" t="s">
        <v>118</v>
      </c>
      <c r="AP1981">
        <v>-91</v>
      </c>
      <c r="AQ1981">
        <v>-81</v>
      </c>
      <c r="AR1981">
        <v>-896</v>
      </c>
      <c r="AZ1981">
        <v>1200</v>
      </c>
      <c r="BA1981">
        <v>1</v>
      </c>
      <c r="BB1981" t="str">
        <f t="shared" si="1058"/>
        <v xml:space="preserve">N9217B  </v>
      </c>
      <c r="BC1981">
        <v>1</v>
      </c>
      <c r="BE1981">
        <v>0</v>
      </c>
      <c r="BF1981">
        <v>0</v>
      </c>
      <c r="BG1981">
        <v>0</v>
      </c>
      <c r="BH1981">
        <v>8000</v>
      </c>
      <c r="BI1981">
        <v>1</v>
      </c>
      <c r="BJ1981">
        <v>0</v>
      </c>
      <c r="BK1981">
        <v>0</v>
      </c>
      <c r="BL1981">
        <v>0</v>
      </c>
      <c r="BO1981">
        <v>0</v>
      </c>
      <c r="BP1981">
        <v>0</v>
      </c>
      <c r="BW1981" t="str">
        <f t="shared" si="1088"/>
        <v>14:53:56.499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6</v>
      </c>
      <c r="CP1981" t="s">
        <v>119</v>
      </c>
      <c r="CQ1981">
        <v>285</v>
      </c>
      <c r="CR1981">
        <v>0</v>
      </c>
      <c r="CW1981">
        <v>8860104</v>
      </c>
      <c r="CY1981">
        <v>0</v>
      </c>
      <c r="CZ1981">
        <v>0</v>
      </c>
      <c r="DA1981">
        <v>1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25">
      <c r="A1982" t="str">
        <f t="shared" ref="A1982:A1988" si="1089">"06/05/2020 14:53:51.678"</f>
        <v>06/05/2020 14:53:51.678</v>
      </c>
      <c r="C1982" t="str">
        <f t="shared" si="1077"/>
        <v>FFDFD3C0</v>
      </c>
      <c r="D1982" t="s">
        <v>151</v>
      </c>
      <c r="E1982">
        <v>9</v>
      </c>
      <c r="H1982">
        <v>226</v>
      </c>
      <c r="I1982" t="s">
        <v>152</v>
      </c>
      <c r="J1982" t="s">
        <v>150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ref="S1982:S1988" si="1090">"14:53:57.352"</f>
        <v>14:53:57.352</v>
      </c>
      <c r="T1982" t="str">
        <f t="shared" ref="T1982:T1988" si="1091">"14:53:57.252"</f>
        <v>14:53:57.252</v>
      </c>
      <c r="U1982" t="str">
        <f t="shared" si="1057"/>
        <v>ACC530</v>
      </c>
      <c r="V1982">
        <v>0</v>
      </c>
      <c r="W1982">
        <v>0</v>
      </c>
      <c r="X1982">
        <v>1</v>
      </c>
      <c r="Z1982">
        <v>0</v>
      </c>
      <c r="AA1982">
        <v>9</v>
      </c>
      <c r="AB1982">
        <v>3</v>
      </c>
      <c r="AC1982">
        <v>0</v>
      </c>
      <c r="AD1982">
        <v>9</v>
      </c>
      <c r="AE1982">
        <v>0</v>
      </c>
      <c r="AF1982">
        <v>3</v>
      </c>
      <c r="AG1982">
        <v>1</v>
      </c>
      <c r="AH1982">
        <v>0</v>
      </c>
      <c r="AI1982" t="s">
        <v>736</v>
      </c>
      <c r="AJ1982">
        <v>34.174840000000003</v>
      </c>
      <c r="AK1982" t="s">
        <v>737</v>
      </c>
      <c r="AL1982">
        <v>-117.02087400000001</v>
      </c>
      <c r="AM1982">
        <v>100</v>
      </c>
      <c r="AN1982">
        <v>8000</v>
      </c>
      <c r="AO1982" t="s">
        <v>118</v>
      </c>
      <c r="AP1982">
        <v>-91</v>
      </c>
      <c r="AQ1982">
        <v>-82</v>
      </c>
      <c r="AR1982">
        <v>-896</v>
      </c>
      <c r="AZ1982">
        <v>1200</v>
      </c>
      <c r="BA1982">
        <v>1</v>
      </c>
      <c r="BB1982" t="str">
        <f t="shared" si="1058"/>
        <v xml:space="preserve">N9217B  </v>
      </c>
      <c r="BC1982">
        <v>1</v>
      </c>
      <c r="BE1982">
        <v>0</v>
      </c>
      <c r="BF1982">
        <v>0</v>
      </c>
      <c r="BG1982">
        <v>0</v>
      </c>
      <c r="BH1982">
        <v>7975</v>
      </c>
      <c r="BI1982">
        <v>1</v>
      </c>
      <c r="BJ1982">
        <v>0</v>
      </c>
      <c r="BK1982">
        <v>0</v>
      </c>
      <c r="BL1982">
        <v>0</v>
      </c>
      <c r="BO1982">
        <v>0</v>
      </c>
      <c r="BP1982">
        <v>0</v>
      </c>
      <c r="BW1982" t="str">
        <f t="shared" ref="BW1982:BW1988" si="1092">"14:53:57.354"</f>
        <v>14:53:57.354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6</v>
      </c>
      <c r="CP1982" t="s">
        <v>119</v>
      </c>
      <c r="CQ1982">
        <v>285</v>
      </c>
      <c r="CR1982">
        <v>0</v>
      </c>
      <c r="CW1982">
        <v>8860183</v>
      </c>
      <c r="CY1982">
        <v>0</v>
      </c>
      <c r="CZ1982">
        <v>0</v>
      </c>
      <c r="DA1982">
        <v>0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25">
      <c r="A1983" t="str">
        <f t="shared" si="1089"/>
        <v>06/05/2020 14:53:51.678</v>
      </c>
      <c r="C1983" t="str">
        <f t="shared" si="1077"/>
        <v>FFDFD3C0</v>
      </c>
      <c r="D1983" t="s">
        <v>134</v>
      </c>
      <c r="E1983">
        <v>7</v>
      </c>
      <c r="F1983">
        <v>2007</v>
      </c>
      <c r="G1983" t="s">
        <v>135</v>
      </c>
      <c r="J1983" t="s">
        <v>136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090"/>
        <v>14:53:57.352</v>
      </c>
      <c r="T1983" t="str">
        <f t="shared" si="1091"/>
        <v>14:53:57.252</v>
      </c>
      <c r="U1983" t="str">
        <f t="shared" si="1057"/>
        <v>ACC530</v>
      </c>
      <c r="V1983">
        <v>0</v>
      </c>
      <c r="W1983">
        <v>0</v>
      </c>
      <c r="X1983">
        <v>1</v>
      </c>
      <c r="Z1983">
        <v>0</v>
      </c>
      <c r="AA1983">
        <v>9</v>
      </c>
      <c r="AB1983">
        <v>3</v>
      </c>
      <c r="AC1983">
        <v>0</v>
      </c>
      <c r="AD1983">
        <v>9</v>
      </c>
      <c r="AE1983">
        <v>0</v>
      </c>
      <c r="AF1983">
        <v>3</v>
      </c>
      <c r="AG1983">
        <v>1</v>
      </c>
      <c r="AH1983">
        <v>0</v>
      </c>
      <c r="AI1983" t="s">
        <v>736</v>
      </c>
      <c r="AJ1983">
        <v>34.174840000000003</v>
      </c>
      <c r="AK1983" t="s">
        <v>737</v>
      </c>
      <c r="AL1983">
        <v>-117.02087400000001</v>
      </c>
      <c r="AM1983">
        <v>100</v>
      </c>
      <c r="AN1983">
        <v>8000</v>
      </c>
      <c r="AO1983" t="s">
        <v>118</v>
      </c>
      <c r="AP1983">
        <v>-91</v>
      </c>
      <c r="AQ1983">
        <v>-82</v>
      </c>
      <c r="AR1983">
        <v>-896</v>
      </c>
      <c r="AZ1983">
        <v>1200</v>
      </c>
      <c r="BA1983">
        <v>1</v>
      </c>
      <c r="BB1983" t="str">
        <f t="shared" si="1058"/>
        <v xml:space="preserve">N9217B  </v>
      </c>
      <c r="BC1983">
        <v>1</v>
      </c>
      <c r="BE1983">
        <v>0</v>
      </c>
      <c r="BF1983">
        <v>0</v>
      </c>
      <c r="BG1983">
        <v>0</v>
      </c>
      <c r="BH1983">
        <v>7975</v>
      </c>
      <c r="BI1983">
        <v>1</v>
      </c>
      <c r="BJ1983">
        <v>0</v>
      </c>
      <c r="BK1983">
        <v>0</v>
      </c>
      <c r="BL1983">
        <v>0</v>
      </c>
      <c r="BO1983">
        <v>0</v>
      </c>
      <c r="BP1983">
        <v>0</v>
      </c>
      <c r="BW1983" t="str">
        <f t="shared" si="1092"/>
        <v>14:53:57.354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6</v>
      </c>
      <c r="CP1983" t="s">
        <v>119</v>
      </c>
      <c r="CQ1983">
        <v>285</v>
      </c>
      <c r="CR1983">
        <v>0</v>
      </c>
      <c r="CW1983">
        <v>8860183</v>
      </c>
      <c r="CY1983">
        <v>0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25">
      <c r="A1984" t="str">
        <f t="shared" si="1089"/>
        <v>06/05/2020 14:53:51.678</v>
      </c>
      <c r="C1984" t="str">
        <f t="shared" si="1077"/>
        <v>FFDFD3C0</v>
      </c>
      <c r="D1984" t="s">
        <v>148</v>
      </c>
      <c r="E1984">
        <v>8</v>
      </c>
      <c r="H1984">
        <v>50</v>
      </c>
      <c r="I1984" t="s">
        <v>149</v>
      </c>
      <c r="J1984" t="s">
        <v>150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1090"/>
        <v>14:53:57.352</v>
      </c>
      <c r="T1984" t="str">
        <f t="shared" si="1091"/>
        <v>14:53:57.252</v>
      </c>
      <c r="U1984" t="str">
        <f t="shared" si="1057"/>
        <v>ACC530</v>
      </c>
      <c r="V1984">
        <v>0</v>
      </c>
      <c r="W1984">
        <v>0</v>
      </c>
      <c r="X1984">
        <v>1</v>
      </c>
      <c r="Z1984">
        <v>0</v>
      </c>
      <c r="AA1984">
        <v>9</v>
      </c>
      <c r="AB1984">
        <v>3</v>
      </c>
      <c r="AC1984">
        <v>0</v>
      </c>
      <c r="AD1984">
        <v>9</v>
      </c>
      <c r="AE1984">
        <v>0</v>
      </c>
      <c r="AF1984">
        <v>3</v>
      </c>
      <c r="AG1984">
        <v>1</v>
      </c>
      <c r="AH1984">
        <v>0</v>
      </c>
      <c r="AI1984" t="s">
        <v>736</v>
      </c>
      <c r="AJ1984">
        <v>34.174840000000003</v>
      </c>
      <c r="AK1984" t="s">
        <v>737</v>
      </c>
      <c r="AL1984">
        <v>-117.02087400000001</v>
      </c>
      <c r="AM1984">
        <v>100</v>
      </c>
      <c r="AN1984">
        <v>8000</v>
      </c>
      <c r="AO1984" t="s">
        <v>118</v>
      </c>
      <c r="AP1984">
        <v>-91</v>
      </c>
      <c r="AQ1984">
        <v>-82</v>
      </c>
      <c r="AR1984">
        <v>-896</v>
      </c>
      <c r="AZ1984">
        <v>1200</v>
      </c>
      <c r="BA1984">
        <v>1</v>
      </c>
      <c r="BB1984" t="str">
        <f t="shared" si="1058"/>
        <v xml:space="preserve">N9217B  </v>
      </c>
      <c r="BC1984">
        <v>1</v>
      </c>
      <c r="BE1984">
        <v>0</v>
      </c>
      <c r="BF1984">
        <v>0</v>
      </c>
      <c r="BG1984">
        <v>0</v>
      </c>
      <c r="BH1984">
        <v>7975</v>
      </c>
      <c r="BI1984">
        <v>1</v>
      </c>
      <c r="BJ1984">
        <v>0</v>
      </c>
      <c r="BK1984">
        <v>0</v>
      </c>
      <c r="BL1984">
        <v>0</v>
      </c>
      <c r="BO1984">
        <v>0</v>
      </c>
      <c r="BP1984">
        <v>0</v>
      </c>
      <c r="BW1984" t="str">
        <f t="shared" si="1092"/>
        <v>14:53:57.354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6</v>
      </c>
      <c r="CP1984" t="s">
        <v>119</v>
      </c>
      <c r="CQ1984">
        <v>285</v>
      </c>
      <c r="CR1984">
        <v>0</v>
      </c>
      <c r="CW1984">
        <v>8860183</v>
      </c>
      <c r="CY1984">
        <v>0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25">
      <c r="A1985" t="str">
        <f t="shared" si="1089"/>
        <v>06/05/2020 14:53:51.678</v>
      </c>
      <c r="C1985" t="str">
        <f t="shared" si="1077"/>
        <v>FFDFD3C0</v>
      </c>
      <c r="D1985" t="s">
        <v>113</v>
      </c>
      <c r="E1985">
        <v>3</v>
      </c>
      <c r="H1985">
        <v>166</v>
      </c>
      <c r="I1985" t="s">
        <v>114</v>
      </c>
      <c r="J1985" t="s">
        <v>115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1090"/>
        <v>14:53:57.352</v>
      </c>
      <c r="T1985" t="str">
        <f t="shared" si="1091"/>
        <v>14:53:57.252</v>
      </c>
      <c r="U1985" t="str">
        <f t="shared" si="1057"/>
        <v>ACC530</v>
      </c>
      <c r="V1985">
        <v>0</v>
      </c>
      <c r="W1985">
        <v>0</v>
      </c>
      <c r="X1985">
        <v>1</v>
      </c>
      <c r="Z1985">
        <v>0</v>
      </c>
      <c r="AA1985">
        <v>9</v>
      </c>
      <c r="AB1985">
        <v>3</v>
      </c>
      <c r="AC1985">
        <v>0</v>
      </c>
      <c r="AD1985">
        <v>9</v>
      </c>
      <c r="AE1985">
        <v>0</v>
      </c>
      <c r="AF1985">
        <v>3</v>
      </c>
      <c r="AG1985">
        <v>1</v>
      </c>
      <c r="AH1985">
        <v>0</v>
      </c>
      <c r="AI1985" t="s">
        <v>736</v>
      </c>
      <c r="AJ1985">
        <v>34.174840000000003</v>
      </c>
      <c r="AK1985" t="s">
        <v>737</v>
      </c>
      <c r="AL1985">
        <v>-117.02087400000001</v>
      </c>
      <c r="AM1985">
        <v>100</v>
      </c>
      <c r="AN1985">
        <v>8000</v>
      </c>
      <c r="AO1985" t="s">
        <v>118</v>
      </c>
      <c r="AP1985">
        <v>-91</v>
      </c>
      <c r="AQ1985">
        <v>-82</v>
      </c>
      <c r="AR1985">
        <v>-896</v>
      </c>
      <c r="AZ1985">
        <v>1200</v>
      </c>
      <c r="BA1985">
        <v>1</v>
      </c>
      <c r="BB1985" t="str">
        <f t="shared" si="1058"/>
        <v xml:space="preserve">N9217B  </v>
      </c>
      <c r="BC1985">
        <v>1</v>
      </c>
      <c r="BE1985">
        <v>0</v>
      </c>
      <c r="BF1985">
        <v>0</v>
      </c>
      <c r="BG1985">
        <v>0</v>
      </c>
      <c r="BH1985">
        <v>7975</v>
      </c>
      <c r="BI1985">
        <v>1</v>
      </c>
      <c r="BJ1985">
        <v>0</v>
      </c>
      <c r="BK1985">
        <v>0</v>
      </c>
      <c r="BL1985">
        <v>0</v>
      </c>
      <c r="BO1985">
        <v>0</v>
      </c>
      <c r="BP1985">
        <v>0</v>
      </c>
      <c r="BW1985" t="str">
        <f t="shared" si="1092"/>
        <v>14:53:57.354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6</v>
      </c>
      <c r="CP1985" t="s">
        <v>119</v>
      </c>
      <c r="CQ1985">
        <v>285</v>
      </c>
      <c r="CR1985">
        <v>0</v>
      </c>
      <c r="CW1985">
        <v>8860183</v>
      </c>
      <c r="CY1985">
        <v>0</v>
      </c>
      <c r="CZ1985">
        <v>0</v>
      </c>
      <c r="DA1985">
        <v>1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25">
      <c r="A1986" t="str">
        <f t="shared" si="1089"/>
        <v>06/05/2020 14:53:51.678</v>
      </c>
      <c r="C1986" t="str">
        <f t="shared" si="1077"/>
        <v>FFDFD3C0</v>
      </c>
      <c r="D1986" t="s">
        <v>141</v>
      </c>
      <c r="E1986">
        <v>20</v>
      </c>
      <c r="F1986">
        <v>1020</v>
      </c>
      <c r="G1986" t="s">
        <v>114</v>
      </c>
      <c r="J1986" t="s">
        <v>142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1090"/>
        <v>14:53:57.352</v>
      </c>
      <c r="T1986" t="str">
        <f t="shared" si="1091"/>
        <v>14:53:57.252</v>
      </c>
      <c r="U1986" t="str">
        <f t="shared" ref="U1986:U2049" si="1093">"ACC530"</f>
        <v>ACC530</v>
      </c>
      <c r="V1986">
        <v>0</v>
      </c>
      <c r="W1986">
        <v>0</v>
      </c>
      <c r="X1986">
        <v>1</v>
      </c>
      <c r="Z1986">
        <v>0</v>
      </c>
      <c r="AA1986">
        <v>9</v>
      </c>
      <c r="AB1986">
        <v>3</v>
      </c>
      <c r="AC1986">
        <v>0</v>
      </c>
      <c r="AD1986">
        <v>9</v>
      </c>
      <c r="AE1986">
        <v>0</v>
      </c>
      <c r="AF1986">
        <v>3</v>
      </c>
      <c r="AG1986">
        <v>1</v>
      </c>
      <c r="AH1986">
        <v>0</v>
      </c>
      <c r="AI1986" t="s">
        <v>736</v>
      </c>
      <c r="AJ1986">
        <v>34.174840000000003</v>
      </c>
      <c r="AK1986" t="s">
        <v>737</v>
      </c>
      <c r="AL1986">
        <v>-117.02087400000001</v>
      </c>
      <c r="AM1986">
        <v>100</v>
      </c>
      <c r="AN1986">
        <v>8000</v>
      </c>
      <c r="AO1986" t="s">
        <v>118</v>
      </c>
      <c r="AP1986">
        <v>-91</v>
      </c>
      <c r="AQ1986">
        <v>-82</v>
      </c>
      <c r="AR1986">
        <v>-896</v>
      </c>
      <c r="AZ1986">
        <v>1200</v>
      </c>
      <c r="BA1986">
        <v>1</v>
      </c>
      <c r="BB1986" t="str">
        <f t="shared" si="1058"/>
        <v xml:space="preserve">N9217B  </v>
      </c>
      <c r="BC1986">
        <v>1</v>
      </c>
      <c r="BE1986">
        <v>0</v>
      </c>
      <c r="BF1986">
        <v>0</v>
      </c>
      <c r="BG1986">
        <v>0</v>
      </c>
      <c r="BH1986">
        <v>7975</v>
      </c>
      <c r="BI1986">
        <v>1</v>
      </c>
      <c r="BJ1986">
        <v>0</v>
      </c>
      <c r="BK1986">
        <v>0</v>
      </c>
      <c r="BL1986">
        <v>0</v>
      </c>
      <c r="BO1986">
        <v>0</v>
      </c>
      <c r="BP1986">
        <v>0</v>
      </c>
      <c r="BW1986" t="str">
        <f t="shared" si="1092"/>
        <v>14:53:57.354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6</v>
      </c>
      <c r="CP1986" t="s">
        <v>119</v>
      </c>
      <c r="CQ1986">
        <v>285</v>
      </c>
      <c r="CR1986">
        <v>0</v>
      </c>
      <c r="CW1986">
        <v>8860183</v>
      </c>
      <c r="CY1986">
        <v>0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25">
      <c r="A1987" t="str">
        <f t="shared" si="1089"/>
        <v>06/05/2020 14:53:51.678</v>
      </c>
      <c r="C1987" t="str">
        <f t="shared" si="1077"/>
        <v>FFDFD3C0</v>
      </c>
      <c r="D1987" t="s">
        <v>148</v>
      </c>
      <c r="E1987">
        <v>11</v>
      </c>
      <c r="H1987">
        <v>53</v>
      </c>
      <c r="I1987" t="s">
        <v>364</v>
      </c>
      <c r="J1987" t="s">
        <v>150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090"/>
        <v>14:53:57.352</v>
      </c>
      <c r="T1987" t="str">
        <f t="shared" si="1091"/>
        <v>14:53:57.252</v>
      </c>
      <c r="U1987" t="str">
        <f t="shared" si="1093"/>
        <v>ACC530</v>
      </c>
      <c r="V1987">
        <v>0</v>
      </c>
      <c r="W1987">
        <v>0</v>
      </c>
      <c r="X1987">
        <v>1</v>
      </c>
      <c r="Z1987">
        <v>0</v>
      </c>
      <c r="AA1987">
        <v>9</v>
      </c>
      <c r="AB1987">
        <v>3</v>
      </c>
      <c r="AC1987">
        <v>0</v>
      </c>
      <c r="AD1987">
        <v>9</v>
      </c>
      <c r="AE1987">
        <v>0</v>
      </c>
      <c r="AF1987">
        <v>3</v>
      </c>
      <c r="AG1987">
        <v>1</v>
      </c>
      <c r="AH1987">
        <v>0</v>
      </c>
      <c r="AI1987" t="s">
        <v>736</v>
      </c>
      <c r="AJ1987">
        <v>34.174840000000003</v>
      </c>
      <c r="AK1987" t="s">
        <v>737</v>
      </c>
      <c r="AL1987">
        <v>-117.02087400000001</v>
      </c>
      <c r="AM1987">
        <v>100</v>
      </c>
      <c r="AN1987">
        <v>8000</v>
      </c>
      <c r="AO1987" t="s">
        <v>118</v>
      </c>
      <c r="AP1987">
        <v>-91</v>
      </c>
      <c r="AQ1987">
        <v>-82</v>
      </c>
      <c r="AR1987">
        <v>-896</v>
      </c>
      <c r="AZ1987">
        <v>1200</v>
      </c>
      <c r="BA1987">
        <v>1</v>
      </c>
      <c r="BB1987" t="str">
        <f t="shared" si="1058"/>
        <v xml:space="preserve">N9217B  </v>
      </c>
      <c r="BC1987">
        <v>1</v>
      </c>
      <c r="BE1987">
        <v>0</v>
      </c>
      <c r="BF1987">
        <v>0</v>
      </c>
      <c r="BG1987">
        <v>0</v>
      </c>
      <c r="BH1987">
        <v>7975</v>
      </c>
      <c r="BI1987">
        <v>1</v>
      </c>
      <c r="BJ1987">
        <v>0</v>
      </c>
      <c r="BK1987">
        <v>0</v>
      </c>
      <c r="BL1987">
        <v>0</v>
      </c>
      <c r="BO1987">
        <v>0</v>
      </c>
      <c r="BP1987">
        <v>0</v>
      </c>
      <c r="BW1987" t="str">
        <f t="shared" si="1092"/>
        <v>14:53:57.354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6</v>
      </c>
      <c r="CP1987" t="s">
        <v>119</v>
      </c>
      <c r="CQ1987">
        <v>285</v>
      </c>
      <c r="CR1987">
        <v>0</v>
      </c>
      <c r="CW1987">
        <v>8860183</v>
      </c>
      <c r="CY1987">
        <v>0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25">
      <c r="A1988" t="str">
        <f t="shared" si="1089"/>
        <v>06/05/2020 14:53:51.678</v>
      </c>
      <c r="C1988" t="str">
        <f t="shared" si="1077"/>
        <v>FFDFD3C0</v>
      </c>
      <c r="D1988" t="s">
        <v>151</v>
      </c>
      <c r="E1988">
        <v>8</v>
      </c>
      <c r="H1988">
        <v>225</v>
      </c>
      <c r="I1988" t="s">
        <v>353</v>
      </c>
      <c r="J1988" t="s">
        <v>150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090"/>
        <v>14:53:57.352</v>
      </c>
      <c r="T1988" t="str">
        <f t="shared" si="1091"/>
        <v>14:53:57.252</v>
      </c>
      <c r="U1988" t="str">
        <f t="shared" si="1093"/>
        <v>ACC530</v>
      </c>
      <c r="V1988">
        <v>0</v>
      </c>
      <c r="W1988">
        <v>0</v>
      </c>
      <c r="X1988">
        <v>1</v>
      </c>
      <c r="Z1988">
        <v>0</v>
      </c>
      <c r="AA1988">
        <v>9</v>
      </c>
      <c r="AB1988">
        <v>3</v>
      </c>
      <c r="AC1988">
        <v>0</v>
      </c>
      <c r="AD1988">
        <v>9</v>
      </c>
      <c r="AE1988">
        <v>0</v>
      </c>
      <c r="AF1988">
        <v>3</v>
      </c>
      <c r="AG1988">
        <v>1</v>
      </c>
      <c r="AH1988">
        <v>0</v>
      </c>
      <c r="AI1988" t="s">
        <v>736</v>
      </c>
      <c r="AJ1988">
        <v>34.174840000000003</v>
      </c>
      <c r="AK1988" t="s">
        <v>737</v>
      </c>
      <c r="AL1988">
        <v>-117.02087400000001</v>
      </c>
      <c r="AM1988">
        <v>100</v>
      </c>
      <c r="AN1988">
        <v>8000</v>
      </c>
      <c r="AO1988" t="s">
        <v>118</v>
      </c>
      <c r="AP1988">
        <v>-91</v>
      </c>
      <c r="AQ1988">
        <v>-82</v>
      </c>
      <c r="AR1988">
        <v>-896</v>
      </c>
      <c r="AZ1988">
        <v>1200</v>
      </c>
      <c r="BA1988">
        <v>1</v>
      </c>
      <c r="BB1988" t="str">
        <f t="shared" si="1058"/>
        <v xml:space="preserve">N9217B  </v>
      </c>
      <c r="BC1988">
        <v>1</v>
      </c>
      <c r="BE1988">
        <v>0</v>
      </c>
      <c r="BF1988">
        <v>0</v>
      </c>
      <c r="BG1988">
        <v>0</v>
      </c>
      <c r="BH1988">
        <v>7975</v>
      </c>
      <c r="BI1988">
        <v>1</v>
      </c>
      <c r="BJ1988">
        <v>0</v>
      </c>
      <c r="BK1988">
        <v>0</v>
      </c>
      <c r="BL1988">
        <v>0</v>
      </c>
      <c r="BO1988">
        <v>0</v>
      </c>
      <c r="BP1988">
        <v>0</v>
      </c>
      <c r="BW1988" t="str">
        <f t="shared" si="1092"/>
        <v>14:53:57.354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6</v>
      </c>
      <c r="CP1988" t="s">
        <v>119</v>
      </c>
      <c r="CQ1988">
        <v>285</v>
      </c>
      <c r="CR1988">
        <v>0</v>
      </c>
      <c r="CW1988">
        <v>8860183</v>
      </c>
      <c r="CY1988">
        <v>0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25">
      <c r="A1989" t="str">
        <f t="shared" ref="A1989:A1995" si="1094">"06/05/2020 14:53:52.608"</f>
        <v>06/05/2020 14:53:52.608</v>
      </c>
      <c r="C1989" t="str">
        <f t="shared" si="1077"/>
        <v>FFDFD3C0</v>
      </c>
      <c r="D1989" t="s">
        <v>141</v>
      </c>
      <c r="E1989">
        <v>20</v>
      </c>
      <c r="F1989">
        <v>1020</v>
      </c>
      <c r="G1989" t="s">
        <v>114</v>
      </c>
      <c r="J1989" t="s">
        <v>142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ref="S1989:T1995" si="1095">"14:53:58.266"</f>
        <v>14:53:58.266</v>
      </c>
      <c r="T1989" t="str">
        <f t="shared" si="1095"/>
        <v>14:53:58.266</v>
      </c>
      <c r="U1989" t="str">
        <f t="shared" si="1093"/>
        <v>ACC530</v>
      </c>
      <c r="V1989">
        <v>0</v>
      </c>
      <c r="W1989">
        <v>0</v>
      </c>
      <c r="X1989">
        <v>1</v>
      </c>
      <c r="Z1989">
        <v>0</v>
      </c>
      <c r="AA1989">
        <v>9</v>
      </c>
      <c r="AB1989">
        <v>3</v>
      </c>
      <c r="AC1989">
        <v>0</v>
      </c>
      <c r="AD1989">
        <v>9</v>
      </c>
      <c r="AE1989">
        <v>0</v>
      </c>
      <c r="AF1989">
        <v>3</v>
      </c>
      <c r="AG1989">
        <v>1</v>
      </c>
      <c r="AH1989">
        <v>0</v>
      </c>
      <c r="AI1989" t="s">
        <v>738</v>
      </c>
      <c r="AJ1989">
        <v>34.174518999999997</v>
      </c>
      <c r="AK1989" t="s">
        <v>739</v>
      </c>
      <c r="AL1989">
        <v>-117.021325</v>
      </c>
      <c r="AM1989">
        <v>100</v>
      </c>
      <c r="AN1989">
        <v>8000</v>
      </c>
      <c r="AO1989" t="s">
        <v>118</v>
      </c>
      <c r="AP1989">
        <v>-90</v>
      </c>
      <c r="AQ1989">
        <v>-82</v>
      </c>
      <c r="AR1989">
        <v>-896</v>
      </c>
      <c r="AZ1989">
        <v>1200</v>
      </c>
      <c r="BA1989">
        <v>1</v>
      </c>
      <c r="BB1989" t="str">
        <f t="shared" ref="BB1989:BB2052" si="1096">"N9217B  "</f>
        <v xml:space="preserve">N9217B  </v>
      </c>
      <c r="BC1989">
        <v>1</v>
      </c>
      <c r="BE1989">
        <v>0</v>
      </c>
      <c r="BF1989">
        <v>0</v>
      </c>
      <c r="BG1989">
        <v>0</v>
      </c>
      <c r="BH1989">
        <v>7975</v>
      </c>
      <c r="BI1989">
        <v>1</v>
      </c>
      <c r="BJ1989">
        <v>0</v>
      </c>
      <c r="BK1989">
        <v>0</v>
      </c>
      <c r="BL1989">
        <v>0</v>
      </c>
      <c r="BO1989">
        <v>0</v>
      </c>
      <c r="BP1989">
        <v>0</v>
      </c>
      <c r="BW1989" t="str">
        <f t="shared" ref="BW1989:BW1995" si="1097">"14:53:58.269"</f>
        <v>14:53:58.269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6</v>
      </c>
      <c r="CP1989" t="s">
        <v>119</v>
      </c>
      <c r="CQ1989">
        <v>285</v>
      </c>
      <c r="CR1989">
        <v>0</v>
      </c>
      <c r="CW1989">
        <v>8860257</v>
      </c>
      <c r="CY1989">
        <v>0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25">
      <c r="A1990" t="str">
        <f t="shared" si="1094"/>
        <v>06/05/2020 14:53:52.608</v>
      </c>
      <c r="C1990" t="str">
        <f t="shared" si="1077"/>
        <v>FFDFD3C0</v>
      </c>
      <c r="D1990" t="s">
        <v>148</v>
      </c>
      <c r="E1990">
        <v>11</v>
      </c>
      <c r="H1990">
        <v>53</v>
      </c>
      <c r="I1990" t="s">
        <v>364</v>
      </c>
      <c r="J1990" t="s">
        <v>150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095"/>
        <v>14:53:58.266</v>
      </c>
      <c r="T1990" t="str">
        <f t="shared" si="1095"/>
        <v>14:53:58.266</v>
      </c>
      <c r="U1990" t="str">
        <f t="shared" si="1093"/>
        <v>ACC530</v>
      </c>
      <c r="V1990">
        <v>0</v>
      </c>
      <c r="W1990">
        <v>0</v>
      </c>
      <c r="X1990">
        <v>1</v>
      </c>
      <c r="Z1990">
        <v>0</v>
      </c>
      <c r="AA1990">
        <v>9</v>
      </c>
      <c r="AB1990">
        <v>3</v>
      </c>
      <c r="AC1990">
        <v>0</v>
      </c>
      <c r="AD1990">
        <v>9</v>
      </c>
      <c r="AE1990">
        <v>0</v>
      </c>
      <c r="AF1990">
        <v>3</v>
      </c>
      <c r="AG1990">
        <v>1</v>
      </c>
      <c r="AH1990">
        <v>0</v>
      </c>
      <c r="AI1990" t="s">
        <v>738</v>
      </c>
      <c r="AJ1990">
        <v>34.174518999999997</v>
      </c>
      <c r="AK1990" t="s">
        <v>739</v>
      </c>
      <c r="AL1990">
        <v>-117.021325</v>
      </c>
      <c r="AM1990">
        <v>100</v>
      </c>
      <c r="AN1990">
        <v>8000</v>
      </c>
      <c r="AO1990" t="s">
        <v>118</v>
      </c>
      <c r="AP1990">
        <v>-90</v>
      </c>
      <c r="AQ1990">
        <v>-82</v>
      </c>
      <c r="AR1990">
        <v>-896</v>
      </c>
      <c r="AZ1990">
        <v>1200</v>
      </c>
      <c r="BA1990">
        <v>1</v>
      </c>
      <c r="BB1990" t="str">
        <f t="shared" si="1096"/>
        <v xml:space="preserve">N9217B  </v>
      </c>
      <c r="BC1990">
        <v>1</v>
      </c>
      <c r="BE1990">
        <v>0</v>
      </c>
      <c r="BF1990">
        <v>0</v>
      </c>
      <c r="BG1990">
        <v>0</v>
      </c>
      <c r="BH1990">
        <v>7975</v>
      </c>
      <c r="BI1990">
        <v>1</v>
      </c>
      <c r="BJ1990">
        <v>0</v>
      </c>
      <c r="BK1990">
        <v>0</v>
      </c>
      <c r="BL1990">
        <v>0</v>
      </c>
      <c r="BO1990">
        <v>0</v>
      </c>
      <c r="BP1990">
        <v>0</v>
      </c>
      <c r="BW1990" t="str">
        <f t="shared" si="1097"/>
        <v>14:53:58.269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6</v>
      </c>
      <c r="CP1990" t="s">
        <v>119</v>
      </c>
      <c r="CQ1990">
        <v>285</v>
      </c>
      <c r="CR1990">
        <v>0</v>
      </c>
      <c r="CW1990">
        <v>8860257</v>
      </c>
      <c r="CY1990">
        <v>0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25">
      <c r="A1991" t="str">
        <f t="shared" si="1094"/>
        <v>06/05/2020 14:53:52.608</v>
      </c>
      <c r="C1991" t="str">
        <f t="shared" si="1077"/>
        <v>FFDFD3C0</v>
      </c>
      <c r="D1991" t="s">
        <v>151</v>
      </c>
      <c r="E1991">
        <v>8</v>
      </c>
      <c r="H1991">
        <v>225</v>
      </c>
      <c r="I1991" t="s">
        <v>353</v>
      </c>
      <c r="J1991" t="s">
        <v>150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095"/>
        <v>14:53:58.266</v>
      </c>
      <c r="T1991" t="str">
        <f t="shared" si="1095"/>
        <v>14:53:58.266</v>
      </c>
      <c r="U1991" t="str">
        <f t="shared" si="1093"/>
        <v>ACC530</v>
      </c>
      <c r="V1991">
        <v>0</v>
      </c>
      <c r="W1991">
        <v>0</v>
      </c>
      <c r="X1991">
        <v>1</v>
      </c>
      <c r="Z1991">
        <v>0</v>
      </c>
      <c r="AA1991">
        <v>9</v>
      </c>
      <c r="AB1991">
        <v>3</v>
      </c>
      <c r="AC1991">
        <v>0</v>
      </c>
      <c r="AD1991">
        <v>9</v>
      </c>
      <c r="AE1991">
        <v>0</v>
      </c>
      <c r="AF1991">
        <v>3</v>
      </c>
      <c r="AG1991">
        <v>1</v>
      </c>
      <c r="AH1991">
        <v>0</v>
      </c>
      <c r="AI1991" t="s">
        <v>738</v>
      </c>
      <c r="AJ1991">
        <v>34.174518999999997</v>
      </c>
      <c r="AK1991" t="s">
        <v>739</v>
      </c>
      <c r="AL1991">
        <v>-117.021325</v>
      </c>
      <c r="AM1991">
        <v>100</v>
      </c>
      <c r="AN1991">
        <v>8000</v>
      </c>
      <c r="AO1991" t="s">
        <v>118</v>
      </c>
      <c r="AP1991">
        <v>-90</v>
      </c>
      <c r="AQ1991">
        <v>-82</v>
      </c>
      <c r="AR1991">
        <v>-896</v>
      </c>
      <c r="AZ1991">
        <v>1200</v>
      </c>
      <c r="BA1991">
        <v>1</v>
      </c>
      <c r="BB1991" t="str">
        <f t="shared" si="1096"/>
        <v xml:space="preserve">N9217B  </v>
      </c>
      <c r="BC1991">
        <v>1</v>
      </c>
      <c r="BE1991">
        <v>0</v>
      </c>
      <c r="BF1991">
        <v>0</v>
      </c>
      <c r="BG1991">
        <v>0</v>
      </c>
      <c r="BH1991">
        <v>7975</v>
      </c>
      <c r="BI1991">
        <v>1</v>
      </c>
      <c r="BJ1991">
        <v>0</v>
      </c>
      <c r="BK1991">
        <v>0</v>
      </c>
      <c r="BL1991">
        <v>0</v>
      </c>
      <c r="BO1991">
        <v>0</v>
      </c>
      <c r="BP1991">
        <v>0</v>
      </c>
      <c r="BW1991" t="str">
        <f t="shared" si="1097"/>
        <v>14:53:58.269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6</v>
      </c>
      <c r="CP1991" t="s">
        <v>119</v>
      </c>
      <c r="CQ1991">
        <v>285</v>
      </c>
      <c r="CR1991">
        <v>0</v>
      </c>
      <c r="CW1991">
        <v>8860257</v>
      </c>
      <c r="CY1991">
        <v>0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25">
      <c r="A1992" t="str">
        <f t="shared" si="1094"/>
        <v>06/05/2020 14:53:52.608</v>
      </c>
      <c r="C1992" t="str">
        <f t="shared" si="1077"/>
        <v>FFDFD3C0</v>
      </c>
      <c r="D1992" t="s">
        <v>151</v>
      </c>
      <c r="E1992">
        <v>9</v>
      </c>
      <c r="H1992">
        <v>226</v>
      </c>
      <c r="I1992" t="s">
        <v>152</v>
      </c>
      <c r="J1992" t="s">
        <v>150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1095"/>
        <v>14:53:58.266</v>
      </c>
      <c r="T1992" t="str">
        <f t="shared" si="1095"/>
        <v>14:53:58.266</v>
      </c>
      <c r="U1992" t="str">
        <f t="shared" si="1093"/>
        <v>ACC530</v>
      </c>
      <c r="V1992">
        <v>0</v>
      </c>
      <c r="W1992">
        <v>0</v>
      </c>
      <c r="X1992">
        <v>1</v>
      </c>
      <c r="Z1992">
        <v>0</v>
      </c>
      <c r="AA1992">
        <v>9</v>
      </c>
      <c r="AB1992">
        <v>3</v>
      </c>
      <c r="AC1992">
        <v>0</v>
      </c>
      <c r="AD1992">
        <v>9</v>
      </c>
      <c r="AE1992">
        <v>0</v>
      </c>
      <c r="AF1992">
        <v>3</v>
      </c>
      <c r="AG1992">
        <v>1</v>
      </c>
      <c r="AH1992">
        <v>0</v>
      </c>
      <c r="AI1992" t="s">
        <v>738</v>
      </c>
      <c r="AJ1992">
        <v>34.174518999999997</v>
      </c>
      <c r="AK1992" t="s">
        <v>739</v>
      </c>
      <c r="AL1992">
        <v>-117.021325</v>
      </c>
      <c r="AM1992">
        <v>100</v>
      </c>
      <c r="AN1992">
        <v>8000</v>
      </c>
      <c r="AO1992" t="s">
        <v>118</v>
      </c>
      <c r="AP1992">
        <v>-90</v>
      </c>
      <c r="AQ1992">
        <v>-82</v>
      </c>
      <c r="AR1992">
        <v>-896</v>
      </c>
      <c r="AZ1992">
        <v>1200</v>
      </c>
      <c r="BA1992">
        <v>1</v>
      </c>
      <c r="BB1992" t="str">
        <f t="shared" si="1096"/>
        <v xml:space="preserve">N9217B  </v>
      </c>
      <c r="BC1992">
        <v>1</v>
      </c>
      <c r="BE1992">
        <v>0</v>
      </c>
      <c r="BF1992">
        <v>0</v>
      </c>
      <c r="BG1992">
        <v>0</v>
      </c>
      <c r="BH1992">
        <v>7975</v>
      </c>
      <c r="BI1992">
        <v>1</v>
      </c>
      <c r="BJ1992">
        <v>0</v>
      </c>
      <c r="BK1992">
        <v>0</v>
      </c>
      <c r="BL1992">
        <v>0</v>
      </c>
      <c r="BO1992">
        <v>0</v>
      </c>
      <c r="BP1992">
        <v>0</v>
      </c>
      <c r="BW1992" t="str">
        <f t="shared" si="1097"/>
        <v>14:53:58.269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6</v>
      </c>
      <c r="CP1992" t="s">
        <v>119</v>
      </c>
      <c r="CQ1992">
        <v>285</v>
      </c>
      <c r="CR1992">
        <v>0</v>
      </c>
      <c r="CW1992">
        <v>8860257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25">
      <c r="A1993" t="str">
        <f t="shared" si="1094"/>
        <v>06/05/2020 14:53:52.608</v>
      </c>
      <c r="C1993" t="str">
        <f t="shared" si="1077"/>
        <v>FFDFD3C0</v>
      </c>
      <c r="D1993" t="s">
        <v>134</v>
      </c>
      <c r="E1993">
        <v>7</v>
      </c>
      <c r="F1993">
        <v>2007</v>
      </c>
      <c r="G1993" t="s">
        <v>135</v>
      </c>
      <c r="J1993" t="s">
        <v>136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095"/>
        <v>14:53:58.266</v>
      </c>
      <c r="T1993" t="str">
        <f t="shared" si="1095"/>
        <v>14:53:58.266</v>
      </c>
      <c r="U1993" t="str">
        <f t="shared" si="1093"/>
        <v>ACC530</v>
      </c>
      <c r="V1993">
        <v>0</v>
      </c>
      <c r="W1993">
        <v>0</v>
      </c>
      <c r="X1993">
        <v>1</v>
      </c>
      <c r="Z1993">
        <v>0</v>
      </c>
      <c r="AA1993">
        <v>9</v>
      </c>
      <c r="AB1993">
        <v>3</v>
      </c>
      <c r="AC1993">
        <v>0</v>
      </c>
      <c r="AD1993">
        <v>9</v>
      </c>
      <c r="AE1993">
        <v>0</v>
      </c>
      <c r="AF1993">
        <v>3</v>
      </c>
      <c r="AG1993">
        <v>1</v>
      </c>
      <c r="AH1993">
        <v>0</v>
      </c>
      <c r="AI1993" t="s">
        <v>738</v>
      </c>
      <c r="AJ1993">
        <v>34.174518999999997</v>
      </c>
      <c r="AK1993" t="s">
        <v>739</v>
      </c>
      <c r="AL1993">
        <v>-117.021325</v>
      </c>
      <c r="AM1993">
        <v>100</v>
      </c>
      <c r="AN1993">
        <v>8000</v>
      </c>
      <c r="AO1993" t="s">
        <v>118</v>
      </c>
      <c r="AP1993">
        <v>-90</v>
      </c>
      <c r="AQ1993">
        <v>-82</v>
      </c>
      <c r="AR1993">
        <v>-896</v>
      </c>
      <c r="AZ1993">
        <v>1200</v>
      </c>
      <c r="BA1993">
        <v>1</v>
      </c>
      <c r="BB1993" t="str">
        <f t="shared" si="1096"/>
        <v xml:space="preserve">N9217B  </v>
      </c>
      <c r="BC1993">
        <v>1</v>
      </c>
      <c r="BE1993">
        <v>0</v>
      </c>
      <c r="BF1993">
        <v>0</v>
      </c>
      <c r="BG1993">
        <v>0</v>
      </c>
      <c r="BH1993">
        <v>7975</v>
      </c>
      <c r="BI1993">
        <v>1</v>
      </c>
      <c r="BJ1993">
        <v>0</v>
      </c>
      <c r="BK1993">
        <v>0</v>
      </c>
      <c r="BL1993">
        <v>0</v>
      </c>
      <c r="BO1993">
        <v>0</v>
      </c>
      <c r="BP1993">
        <v>0</v>
      </c>
      <c r="BW1993" t="str">
        <f t="shared" si="1097"/>
        <v>14:53:58.269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6</v>
      </c>
      <c r="CP1993" t="s">
        <v>119</v>
      </c>
      <c r="CQ1993">
        <v>285</v>
      </c>
      <c r="CR1993">
        <v>0</v>
      </c>
      <c r="CW1993">
        <v>8860257</v>
      </c>
      <c r="CY1993">
        <v>0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25">
      <c r="A1994" t="str">
        <f t="shared" si="1094"/>
        <v>06/05/2020 14:53:52.608</v>
      </c>
      <c r="C1994" t="str">
        <f t="shared" si="1077"/>
        <v>FFDFD3C0</v>
      </c>
      <c r="D1994" t="s">
        <v>148</v>
      </c>
      <c r="E1994">
        <v>8</v>
      </c>
      <c r="H1994">
        <v>50</v>
      </c>
      <c r="I1994" t="s">
        <v>149</v>
      </c>
      <c r="J1994" t="s">
        <v>150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1095"/>
        <v>14:53:58.266</v>
      </c>
      <c r="T1994" t="str">
        <f t="shared" si="1095"/>
        <v>14:53:58.266</v>
      </c>
      <c r="U1994" t="str">
        <f t="shared" si="1093"/>
        <v>ACC530</v>
      </c>
      <c r="V1994">
        <v>0</v>
      </c>
      <c r="W1994">
        <v>0</v>
      </c>
      <c r="X1994">
        <v>1</v>
      </c>
      <c r="Z1994">
        <v>0</v>
      </c>
      <c r="AA1994">
        <v>9</v>
      </c>
      <c r="AB1994">
        <v>3</v>
      </c>
      <c r="AC1994">
        <v>0</v>
      </c>
      <c r="AD1994">
        <v>9</v>
      </c>
      <c r="AE1994">
        <v>0</v>
      </c>
      <c r="AF1994">
        <v>3</v>
      </c>
      <c r="AG1994">
        <v>1</v>
      </c>
      <c r="AH1994">
        <v>0</v>
      </c>
      <c r="AI1994" t="s">
        <v>738</v>
      </c>
      <c r="AJ1994">
        <v>34.174518999999997</v>
      </c>
      <c r="AK1994" t="s">
        <v>739</v>
      </c>
      <c r="AL1994">
        <v>-117.021325</v>
      </c>
      <c r="AM1994">
        <v>100</v>
      </c>
      <c r="AN1994">
        <v>8000</v>
      </c>
      <c r="AO1994" t="s">
        <v>118</v>
      </c>
      <c r="AP1994">
        <v>-90</v>
      </c>
      <c r="AQ1994">
        <v>-82</v>
      </c>
      <c r="AR1994">
        <v>-896</v>
      </c>
      <c r="AZ1994">
        <v>1200</v>
      </c>
      <c r="BA1994">
        <v>1</v>
      </c>
      <c r="BB1994" t="str">
        <f t="shared" si="1096"/>
        <v xml:space="preserve">N9217B  </v>
      </c>
      <c r="BC1994">
        <v>1</v>
      </c>
      <c r="BE1994">
        <v>0</v>
      </c>
      <c r="BF1994">
        <v>0</v>
      </c>
      <c r="BG1994">
        <v>0</v>
      </c>
      <c r="BH1994">
        <v>7975</v>
      </c>
      <c r="BI1994">
        <v>1</v>
      </c>
      <c r="BJ1994">
        <v>0</v>
      </c>
      <c r="BK1994">
        <v>0</v>
      </c>
      <c r="BL1994">
        <v>0</v>
      </c>
      <c r="BO1994">
        <v>0</v>
      </c>
      <c r="BP1994">
        <v>0</v>
      </c>
      <c r="BW1994" t="str">
        <f t="shared" si="1097"/>
        <v>14:53:58.269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6</v>
      </c>
      <c r="CP1994" t="s">
        <v>119</v>
      </c>
      <c r="CQ1994">
        <v>285</v>
      </c>
      <c r="CR1994">
        <v>0</v>
      </c>
      <c r="CW1994">
        <v>8860257</v>
      </c>
      <c r="CY1994">
        <v>0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25">
      <c r="A1995" t="str">
        <f t="shared" si="1094"/>
        <v>06/05/2020 14:53:52.608</v>
      </c>
      <c r="C1995" t="str">
        <f t="shared" si="1077"/>
        <v>FFDFD3C0</v>
      </c>
      <c r="D1995" t="s">
        <v>113</v>
      </c>
      <c r="E1995">
        <v>3</v>
      </c>
      <c r="H1995">
        <v>166</v>
      </c>
      <c r="I1995" t="s">
        <v>114</v>
      </c>
      <c r="J1995" t="s">
        <v>115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095"/>
        <v>14:53:58.266</v>
      </c>
      <c r="T1995" t="str">
        <f t="shared" si="1095"/>
        <v>14:53:58.266</v>
      </c>
      <c r="U1995" t="str">
        <f t="shared" si="1093"/>
        <v>ACC530</v>
      </c>
      <c r="V1995">
        <v>0</v>
      </c>
      <c r="W1995">
        <v>0</v>
      </c>
      <c r="X1995">
        <v>1</v>
      </c>
      <c r="Z1995">
        <v>0</v>
      </c>
      <c r="AA1995">
        <v>9</v>
      </c>
      <c r="AB1995">
        <v>3</v>
      </c>
      <c r="AC1995">
        <v>0</v>
      </c>
      <c r="AD1995">
        <v>9</v>
      </c>
      <c r="AE1995">
        <v>0</v>
      </c>
      <c r="AF1995">
        <v>3</v>
      </c>
      <c r="AG1995">
        <v>1</v>
      </c>
      <c r="AH1995">
        <v>0</v>
      </c>
      <c r="AI1995" t="s">
        <v>738</v>
      </c>
      <c r="AJ1995">
        <v>34.174518999999997</v>
      </c>
      <c r="AK1995" t="s">
        <v>739</v>
      </c>
      <c r="AL1995">
        <v>-117.021325</v>
      </c>
      <c r="AM1995">
        <v>100</v>
      </c>
      <c r="AN1995">
        <v>8000</v>
      </c>
      <c r="AO1995" t="s">
        <v>118</v>
      </c>
      <c r="AP1995">
        <v>-90</v>
      </c>
      <c r="AQ1995">
        <v>-82</v>
      </c>
      <c r="AR1995">
        <v>-896</v>
      </c>
      <c r="AZ1995">
        <v>1200</v>
      </c>
      <c r="BA1995">
        <v>1</v>
      </c>
      <c r="BB1995" t="str">
        <f t="shared" si="1096"/>
        <v xml:space="preserve">N9217B  </v>
      </c>
      <c r="BC1995">
        <v>1</v>
      </c>
      <c r="BE1995">
        <v>0</v>
      </c>
      <c r="BF1995">
        <v>0</v>
      </c>
      <c r="BG1995">
        <v>0</v>
      </c>
      <c r="BH1995">
        <v>7975</v>
      </c>
      <c r="BI1995">
        <v>1</v>
      </c>
      <c r="BJ1995">
        <v>0</v>
      </c>
      <c r="BK1995">
        <v>0</v>
      </c>
      <c r="BL1995">
        <v>0</v>
      </c>
      <c r="BO1995">
        <v>0</v>
      </c>
      <c r="BP1995">
        <v>0</v>
      </c>
      <c r="BW1995" t="str">
        <f t="shared" si="1097"/>
        <v>14:53:58.269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6</v>
      </c>
      <c r="CP1995" t="s">
        <v>119</v>
      </c>
      <c r="CQ1995">
        <v>285</v>
      </c>
      <c r="CR1995">
        <v>0</v>
      </c>
      <c r="CW1995">
        <v>8860257</v>
      </c>
      <c r="CY1995">
        <v>0</v>
      </c>
      <c r="CZ1995">
        <v>0</v>
      </c>
      <c r="DA1995">
        <v>1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25">
      <c r="A1996" t="str">
        <f t="shared" ref="A1996:A2002" si="1098">"06/05/2020 14:53:53.588"</f>
        <v>06/05/2020 14:53:53.588</v>
      </c>
      <c r="C1996" t="str">
        <f t="shared" si="1077"/>
        <v>FFDFD3C0</v>
      </c>
      <c r="D1996" t="s">
        <v>151</v>
      </c>
      <c r="E1996">
        <v>8</v>
      </c>
      <c r="H1996">
        <v>225</v>
      </c>
      <c r="I1996" t="s">
        <v>353</v>
      </c>
      <c r="J1996" t="s">
        <v>150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ref="S1996:S2002" si="1099">"14:53:59.242"</f>
        <v>14:53:59.242</v>
      </c>
      <c r="T1996" t="str">
        <f t="shared" ref="T1996:T2002" si="1100">"14:53:58.742"</f>
        <v>14:53:58.742</v>
      </c>
      <c r="U1996" t="str">
        <f t="shared" si="1093"/>
        <v>ACC530</v>
      </c>
      <c r="V1996">
        <v>0</v>
      </c>
      <c r="W1996">
        <v>0</v>
      </c>
      <c r="X1996">
        <v>1</v>
      </c>
      <c r="Z1996">
        <v>0</v>
      </c>
      <c r="AA1996">
        <v>9</v>
      </c>
      <c r="AB1996">
        <v>3</v>
      </c>
      <c r="AC1996">
        <v>0</v>
      </c>
      <c r="AD1996">
        <v>9</v>
      </c>
      <c r="AE1996">
        <v>0</v>
      </c>
      <c r="AF1996">
        <v>3</v>
      </c>
      <c r="AG1996">
        <v>1</v>
      </c>
      <c r="AH1996">
        <v>0</v>
      </c>
      <c r="AI1996" t="s">
        <v>740</v>
      </c>
      <c r="AJ1996">
        <v>34.174111000000003</v>
      </c>
      <c r="AK1996" t="s">
        <v>741</v>
      </c>
      <c r="AL1996">
        <v>-117.021818</v>
      </c>
      <c r="AM1996">
        <v>100</v>
      </c>
      <c r="AN1996">
        <v>8000</v>
      </c>
      <c r="AO1996" t="s">
        <v>118</v>
      </c>
      <c r="AP1996">
        <v>-90</v>
      </c>
      <c r="AQ1996">
        <v>-82</v>
      </c>
      <c r="AR1996">
        <v>-896</v>
      </c>
      <c r="AZ1996">
        <v>1200</v>
      </c>
      <c r="BA1996">
        <v>1</v>
      </c>
      <c r="BB1996" t="str">
        <f t="shared" si="1096"/>
        <v xml:space="preserve">N9217B  </v>
      </c>
      <c r="BC1996">
        <v>1</v>
      </c>
      <c r="BE1996">
        <v>0</v>
      </c>
      <c r="BF1996">
        <v>0</v>
      </c>
      <c r="BG1996">
        <v>0</v>
      </c>
      <c r="BH1996">
        <v>7975</v>
      </c>
      <c r="BI1996">
        <v>1</v>
      </c>
      <c r="BJ1996">
        <v>0</v>
      </c>
      <c r="BK1996">
        <v>0</v>
      </c>
      <c r="BL1996">
        <v>0</v>
      </c>
      <c r="BO1996">
        <v>0</v>
      </c>
      <c r="BP1996">
        <v>0</v>
      </c>
      <c r="BW1996" t="str">
        <f t="shared" ref="BW1996:BW2002" si="1101">"14:53:59.244"</f>
        <v>14:53:59.244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6</v>
      </c>
      <c r="CP1996" t="s">
        <v>119</v>
      </c>
      <c r="CQ1996">
        <v>285</v>
      </c>
      <c r="CR1996">
        <v>0</v>
      </c>
      <c r="CW1996">
        <v>8860347</v>
      </c>
      <c r="CY1996">
        <v>0</v>
      </c>
      <c r="CZ1996">
        <v>0</v>
      </c>
      <c r="DA1996">
        <v>0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25">
      <c r="A1997" t="str">
        <f t="shared" si="1098"/>
        <v>06/05/2020 14:53:53.588</v>
      </c>
      <c r="C1997" t="str">
        <f t="shared" si="1077"/>
        <v>FFDFD3C0</v>
      </c>
      <c r="D1997" t="s">
        <v>134</v>
      </c>
      <c r="E1997">
        <v>7</v>
      </c>
      <c r="F1997">
        <v>2007</v>
      </c>
      <c r="G1997" t="s">
        <v>135</v>
      </c>
      <c r="J1997" t="s">
        <v>136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99"/>
        <v>14:53:59.242</v>
      </c>
      <c r="T1997" t="str">
        <f t="shared" si="1100"/>
        <v>14:53:58.742</v>
      </c>
      <c r="U1997" t="str">
        <f t="shared" si="1093"/>
        <v>ACC530</v>
      </c>
      <c r="V1997">
        <v>0</v>
      </c>
      <c r="W1997">
        <v>0</v>
      </c>
      <c r="X1997">
        <v>1</v>
      </c>
      <c r="Z1997">
        <v>0</v>
      </c>
      <c r="AA1997">
        <v>9</v>
      </c>
      <c r="AB1997">
        <v>3</v>
      </c>
      <c r="AC1997">
        <v>0</v>
      </c>
      <c r="AD1997">
        <v>9</v>
      </c>
      <c r="AE1997">
        <v>0</v>
      </c>
      <c r="AF1997">
        <v>3</v>
      </c>
      <c r="AG1997">
        <v>1</v>
      </c>
      <c r="AH1997">
        <v>0</v>
      </c>
      <c r="AI1997" t="s">
        <v>740</v>
      </c>
      <c r="AJ1997">
        <v>34.174111000000003</v>
      </c>
      <c r="AK1997" t="s">
        <v>741</v>
      </c>
      <c r="AL1997">
        <v>-117.021818</v>
      </c>
      <c r="AM1997">
        <v>100</v>
      </c>
      <c r="AN1997">
        <v>8000</v>
      </c>
      <c r="AO1997" t="s">
        <v>118</v>
      </c>
      <c r="AP1997">
        <v>-90</v>
      </c>
      <c r="AQ1997">
        <v>-82</v>
      </c>
      <c r="AR1997">
        <v>-896</v>
      </c>
      <c r="AZ1997">
        <v>1200</v>
      </c>
      <c r="BA1997">
        <v>1</v>
      </c>
      <c r="BB1997" t="str">
        <f t="shared" si="1096"/>
        <v xml:space="preserve">N9217B  </v>
      </c>
      <c r="BC1997">
        <v>1</v>
      </c>
      <c r="BE1997">
        <v>0</v>
      </c>
      <c r="BF1997">
        <v>0</v>
      </c>
      <c r="BG1997">
        <v>0</v>
      </c>
      <c r="BH1997">
        <v>7975</v>
      </c>
      <c r="BI1997">
        <v>1</v>
      </c>
      <c r="BJ1997">
        <v>0</v>
      </c>
      <c r="BK1997">
        <v>0</v>
      </c>
      <c r="BL1997">
        <v>0</v>
      </c>
      <c r="BO1997">
        <v>0</v>
      </c>
      <c r="BP1997">
        <v>0</v>
      </c>
      <c r="BW1997" t="str">
        <f t="shared" si="1101"/>
        <v>14:53:59.244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6</v>
      </c>
      <c r="CP1997" t="s">
        <v>119</v>
      </c>
      <c r="CQ1997">
        <v>285</v>
      </c>
      <c r="CR1997">
        <v>0</v>
      </c>
      <c r="CW1997">
        <v>8860347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25">
      <c r="A1998" t="str">
        <f t="shared" si="1098"/>
        <v>06/05/2020 14:53:53.588</v>
      </c>
      <c r="C1998" t="str">
        <f t="shared" si="1077"/>
        <v>FFDFD3C0</v>
      </c>
      <c r="D1998" t="s">
        <v>151</v>
      </c>
      <c r="E1998">
        <v>9</v>
      </c>
      <c r="H1998">
        <v>226</v>
      </c>
      <c r="I1998" t="s">
        <v>152</v>
      </c>
      <c r="J1998" t="s">
        <v>150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099"/>
        <v>14:53:59.242</v>
      </c>
      <c r="T1998" t="str">
        <f t="shared" si="1100"/>
        <v>14:53:58.742</v>
      </c>
      <c r="U1998" t="str">
        <f t="shared" si="1093"/>
        <v>ACC530</v>
      </c>
      <c r="V1998">
        <v>0</v>
      </c>
      <c r="W1998">
        <v>0</v>
      </c>
      <c r="X1998">
        <v>1</v>
      </c>
      <c r="Z1998">
        <v>0</v>
      </c>
      <c r="AA1998">
        <v>9</v>
      </c>
      <c r="AB1998">
        <v>3</v>
      </c>
      <c r="AC1998">
        <v>0</v>
      </c>
      <c r="AD1998">
        <v>9</v>
      </c>
      <c r="AE1998">
        <v>0</v>
      </c>
      <c r="AF1998">
        <v>3</v>
      </c>
      <c r="AG1998">
        <v>1</v>
      </c>
      <c r="AH1998">
        <v>0</v>
      </c>
      <c r="AI1998" t="s">
        <v>740</v>
      </c>
      <c r="AJ1998">
        <v>34.174111000000003</v>
      </c>
      <c r="AK1998" t="s">
        <v>741</v>
      </c>
      <c r="AL1998">
        <v>-117.021818</v>
      </c>
      <c r="AM1998">
        <v>100</v>
      </c>
      <c r="AN1998">
        <v>8000</v>
      </c>
      <c r="AO1998" t="s">
        <v>118</v>
      </c>
      <c r="AP1998">
        <v>-90</v>
      </c>
      <c r="AQ1998">
        <v>-82</v>
      </c>
      <c r="AR1998">
        <v>-896</v>
      </c>
      <c r="AZ1998">
        <v>1200</v>
      </c>
      <c r="BA1998">
        <v>1</v>
      </c>
      <c r="BB1998" t="str">
        <f t="shared" si="1096"/>
        <v xml:space="preserve">N9217B  </v>
      </c>
      <c r="BC1998">
        <v>1</v>
      </c>
      <c r="BE1998">
        <v>0</v>
      </c>
      <c r="BF1998">
        <v>0</v>
      </c>
      <c r="BG1998">
        <v>0</v>
      </c>
      <c r="BH1998">
        <v>7975</v>
      </c>
      <c r="BI1998">
        <v>1</v>
      </c>
      <c r="BJ1998">
        <v>0</v>
      </c>
      <c r="BK1998">
        <v>0</v>
      </c>
      <c r="BL1998">
        <v>0</v>
      </c>
      <c r="BO1998">
        <v>0</v>
      </c>
      <c r="BP1998">
        <v>0</v>
      </c>
      <c r="BW1998" t="str">
        <f t="shared" si="1101"/>
        <v>14:53:59.244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6</v>
      </c>
      <c r="CP1998" t="s">
        <v>119</v>
      </c>
      <c r="CQ1998">
        <v>285</v>
      </c>
      <c r="CR1998">
        <v>0</v>
      </c>
      <c r="CW1998">
        <v>8860347</v>
      </c>
      <c r="CY1998">
        <v>0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25">
      <c r="A1999" t="str">
        <f t="shared" si="1098"/>
        <v>06/05/2020 14:53:53.588</v>
      </c>
      <c r="C1999" t="str">
        <f t="shared" si="1077"/>
        <v>FFDFD3C0</v>
      </c>
      <c r="D1999" t="s">
        <v>148</v>
      </c>
      <c r="E1999">
        <v>8</v>
      </c>
      <c r="H1999">
        <v>50</v>
      </c>
      <c r="I1999" t="s">
        <v>149</v>
      </c>
      <c r="J1999" t="s">
        <v>150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099"/>
        <v>14:53:59.242</v>
      </c>
      <c r="T1999" t="str">
        <f t="shared" si="1100"/>
        <v>14:53:58.742</v>
      </c>
      <c r="U1999" t="str">
        <f t="shared" si="1093"/>
        <v>ACC530</v>
      </c>
      <c r="V1999">
        <v>0</v>
      </c>
      <c r="W1999">
        <v>0</v>
      </c>
      <c r="X1999">
        <v>1</v>
      </c>
      <c r="Z1999">
        <v>0</v>
      </c>
      <c r="AA1999">
        <v>9</v>
      </c>
      <c r="AB1999">
        <v>3</v>
      </c>
      <c r="AC1999">
        <v>0</v>
      </c>
      <c r="AD1999">
        <v>9</v>
      </c>
      <c r="AE1999">
        <v>0</v>
      </c>
      <c r="AF1999">
        <v>3</v>
      </c>
      <c r="AG1999">
        <v>1</v>
      </c>
      <c r="AH1999">
        <v>0</v>
      </c>
      <c r="AI1999" t="s">
        <v>740</v>
      </c>
      <c r="AJ1999">
        <v>34.174111000000003</v>
      </c>
      <c r="AK1999" t="s">
        <v>741</v>
      </c>
      <c r="AL1999">
        <v>-117.021818</v>
      </c>
      <c r="AM1999">
        <v>100</v>
      </c>
      <c r="AN1999">
        <v>8000</v>
      </c>
      <c r="AO1999" t="s">
        <v>118</v>
      </c>
      <c r="AP1999">
        <v>-90</v>
      </c>
      <c r="AQ1999">
        <v>-82</v>
      </c>
      <c r="AR1999">
        <v>-896</v>
      </c>
      <c r="AZ1999">
        <v>1200</v>
      </c>
      <c r="BA1999">
        <v>1</v>
      </c>
      <c r="BB1999" t="str">
        <f t="shared" si="1096"/>
        <v xml:space="preserve">N9217B  </v>
      </c>
      <c r="BC1999">
        <v>1</v>
      </c>
      <c r="BE1999">
        <v>0</v>
      </c>
      <c r="BF1999">
        <v>0</v>
      </c>
      <c r="BG1999">
        <v>0</v>
      </c>
      <c r="BH1999">
        <v>7975</v>
      </c>
      <c r="BI1999">
        <v>1</v>
      </c>
      <c r="BJ1999">
        <v>0</v>
      </c>
      <c r="BK1999">
        <v>0</v>
      </c>
      <c r="BL1999">
        <v>0</v>
      </c>
      <c r="BO1999">
        <v>0</v>
      </c>
      <c r="BP1999">
        <v>0</v>
      </c>
      <c r="BW1999" t="str">
        <f t="shared" si="1101"/>
        <v>14:53:59.244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6</v>
      </c>
      <c r="CP1999" t="s">
        <v>119</v>
      </c>
      <c r="CQ1999">
        <v>285</v>
      </c>
      <c r="CR1999">
        <v>0</v>
      </c>
      <c r="CW1999">
        <v>8860347</v>
      </c>
      <c r="CY1999">
        <v>0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25">
      <c r="A2000" t="str">
        <f t="shared" si="1098"/>
        <v>06/05/2020 14:53:53.588</v>
      </c>
      <c r="C2000" t="str">
        <f t="shared" si="1077"/>
        <v>FFDFD3C0</v>
      </c>
      <c r="D2000" t="s">
        <v>141</v>
      </c>
      <c r="E2000">
        <v>20</v>
      </c>
      <c r="F2000">
        <v>1020</v>
      </c>
      <c r="G2000" t="s">
        <v>114</v>
      </c>
      <c r="J2000" t="s">
        <v>142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99"/>
        <v>14:53:59.242</v>
      </c>
      <c r="T2000" t="str">
        <f t="shared" si="1100"/>
        <v>14:53:58.742</v>
      </c>
      <c r="U2000" t="str">
        <f t="shared" si="1093"/>
        <v>ACC530</v>
      </c>
      <c r="V2000">
        <v>0</v>
      </c>
      <c r="W2000">
        <v>0</v>
      </c>
      <c r="X2000">
        <v>1</v>
      </c>
      <c r="Z2000">
        <v>0</v>
      </c>
      <c r="AA2000">
        <v>9</v>
      </c>
      <c r="AB2000">
        <v>3</v>
      </c>
      <c r="AC2000">
        <v>0</v>
      </c>
      <c r="AD2000">
        <v>9</v>
      </c>
      <c r="AE2000">
        <v>0</v>
      </c>
      <c r="AF2000">
        <v>3</v>
      </c>
      <c r="AG2000">
        <v>1</v>
      </c>
      <c r="AH2000">
        <v>0</v>
      </c>
      <c r="AI2000" t="s">
        <v>740</v>
      </c>
      <c r="AJ2000">
        <v>34.174111000000003</v>
      </c>
      <c r="AK2000" t="s">
        <v>741</v>
      </c>
      <c r="AL2000">
        <v>-117.021818</v>
      </c>
      <c r="AM2000">
        <v>100</v>
      </c>
      <c r="AN2000">
        <v>8000</v>
      </c>
      <c r="AO2000" t="s">
        <v>118</v>
      </c>
      <c r="AP2000">
        <v>-90</v>
      </c>
      <c r="AQ2000">
        <v>-82</v>
      </c>
      <c r="AR2000">
        <v>-896</v>
      </c>
      <c r="AZ2000">
        <v>1200</v>
      </c>
      <c r="BA2000">
        <v>1</v>
      </c>
      <c r="BB2000" t="str">
        <f t="shared" si="1096"/>
        <v xml:space="preserve">N9217B  </v>
      </c>
      <c r="BC2000">
        <v>1</v>
      </c>
      <c r="BE2000">
        <v>0</v>
      </c>
      <c r="BF2000">
        <v>0</v>
      </c>
      <c r="BG2000">
        <v>0</v>
      </c>
      <c r="BH2000">
        <v>7975</v>
      </c>
      <c r="BI2000">
        <v>1</v>
      </c>
      <c r="BJ2000">
        <v>0</v>
      </c>
      <c r="BK2000">
        <v>0</v>
      </c>
      <c r="BL2000">
        <v>0</v>
      </c>
      <c r="BO2000">
        <v>0</v>
      </c>
      <c r="BP2000">
        <v>0</v>
      </c>
      <c r="BW2000" t="str">
        <f t="shared" si="1101"/>
        <v>14:53:59.244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6</v>
      </c>
      <c r="CP2000" t="s">
        <v>119</v>
      </c>
      <c r="CQ2000">
        <v>285</v>
      </c>
      <c r="CR2000">
        <v>0</v>
      </c>
      <c r="CW2000">
        <v>8860347</v>
      </c>
      <c r="CY2000">
        <v>0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25">
      <c r="A2001" t="str">
        <f t="shared" si="1098"/>
        <v>06/05/2020 14:53:53.588</v>
      </c>
      <c r="C2001" t="str">
        <f t="shared" si="1077"/>
        <v>FFDFD3C0</v>
      </c>
      <c r="D2001" t="s">
        <v>113</v>
      </c>
      <c r="E2001">
        <v>3</v>
      </c>
      <c r="H2001">
        <v>166</v>
      </c>
      <c r="I2001" t="s">
        <v>114</v>
      </c>
      <c r="J2001" t="s">
        <v>115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1099"/>
        <v>14:53:59.242</v>
      </c>
      <c r="T2001" t="str">
        <f t="shared" si="1100"/>
        <v>14:53:58.742</v>
      </c>
      <c r="U2001" t="str">
        <f t="shared" si="1093"/>
        <v>ACC530</v>
      </c>
      <c r="V2001">
        <v>0</v>
      </c>
      <c r="W2001">
        <v>0</v>
      </c>
      <c r="X2001">
        <v>1</v>
      </c>
      <c r="Z2001">
        <v>0</v>
      </c>
      <c r="AA2001">
        <v>9</v>
      </c>
      <c r="AB2001">
        <v>3</v>
      </c>
      <c r="AC2001">
        <v>0</v>
      </c>
      <c r="AD2001">
        <v>9</v>
      </c>
      <c r="AE2001">
        <v>0</v>
      </c>
      <c r="AF2001">
        <v>3</v>
      </c>
      <c r="AG2001">
        <v>1</v>
      </c>
      <c r="AH2001">
        <v>0</v>
      </c>
      <c r="AI2001" t="s">
        <v>740</v>
      </c>
      <c r="AJ2001">
        <v>34.174111000000003</v>
      </c>
      <c r="AK2001" t="s">
        <v>741</v>
      </c>
      <c r="AL2001">
        <v>-117.021818</v>
      </c>
      <c r="AM2001">
        <v>100</v>
      </c>
      <c r="AN2001">
        <v>8000</v>
      </c>
      <c r="AO2001" t="s">
        <v>118</v>
      </c>
      <c r="AP2001">
        <v>-90</v>
      </c>
      <c r="AQ2001">
        <v>-82</v>
      </c>
      <c r="AR2001">
        <v>-896</v>
      </c>
      <c r="AZ2001">
        <v>1200</v>
      </c>
      <c r="BA2001">
        <v>1</v>
      </c>
      <c r="BB2001" t="str">
        <f t="shared" si="1096"/>
        <v xml:space="preserve">N9217B  </v>
      </c>
      <c r="BC2001">
        <v>1</v>
      </c>
      <c r="BE2001">
        <v>0</v>
      </c>
      <c r="BF2001">
        <v>0</v>
      </c>
      <c r="BG2001">
        <v>0</v>
      </c>
      <c r="BH2001">
        <v>7975</v>
      </c>
      <c r="BI2001">
        <v>1</v>
      </c>
      <c r="BJ2001">
        <v>0</v>
      </c>
      <c r="BK2001">
        <v>0</v>
      </c>
      <c r="BL2001">
        <v>0</v>
      </c>
      <c r="BO2001">
        <v>0</v>
      </c>
      <c r="BP2001">
        <v>0</v>
      </c>
      <c r="BW2001" t="str">
        <f t="shared" si="1101"/>
        <v>14:53:59.244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6</v>
      </c>
      <c r="CP2001" t="s">
        <v>119</v>
      </c>
      <c r="CQ2001">
        <v>285</v>
      </c>
      <c r="CR2001">
        <v>0</v>
      </c>
      <c r="CW2001">
        <v>8860347</v>
      </c>
      <c r="CY2001">
        <v>0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25">
      <c r="A2002" t="str">
        <f t="shared" si="1098"/>
        <v>06/05/2020 14:53:53.588</v>
      </c>
      <c r="C2002" t="str">
        <f t="shared" si="1077"/>
        <v>FFDFD3C0</v>
      </c>
      <c r="D2002" t="s">
        <v>148</v>
      </c>
      <c r="E2002">
        <v>11</v>
      </c>
      <c r="H2002">
        <v>53</v>
      </c>
      <c r="I2002" t="s">
        <v>364</v>
      </c>
      <c r="J2002" t="s">
        <v>150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099"/>
        <v>14:53:59.242</v>
      </c>
      <c r="T2002" t="str">
        <f t="shared" si="1100"/>
        <v>14:53:58.742</v>
      </c>
      <c r="U2002" t="str">
        <f t="shared" si="1093"/>
        <v>ACC530</v>
      </c>
      <c r="V2002">
        <v>0</v>
      </c>
      <c r="W2002">
        <v>0</v>
      </c>
      <c r="X2002">
        <v>1</v>
      </c>
      <c r="Z2002">
        <v>0</v>
      </c>
      <c r="AA2002">
        <v>9</v>
      </c>
      <c r="AB2002">
        <v>3</v>
      </c>
      <c r="AC2002">
        <v>0</v>
      </c>
      <c r="AD2002">
        <v>9</v>
      </c>
      <c r="AE2002">
        <v>0</v>
      </c>
      <c r="AF2002">
        <v>3</v>
      </c>
      <c r="AG2002">
        <v>1</v>
      </c>
      <c r="AH2002">
        <v>0</v>
      </c>
      <c r="AI2002" t="s">
        <v>740</v>
      </c>
      <c r="AJ2002">
        <v>34.174111000000003</v>
      </c>
      <c r="AK2002" t="s">
        <v>741</v>
      </c>
      <c r="AL2002">
        <v>-117.021818</v>
      </c>
      <c r="AM2002">
        <v>100</v>
      </c>
      <c r="AN2002">
        <v>8000</v>
      </c>
      <c r="AO2002" t="s">
        <v>118</v>
      </c>
      <c r="AP2002">
        <v>-90</v>
      </c>
      <c r="AQ2002">
        <v>-82</v>
      </c>
      <c r="AR2002">
        <v>-896</v>
      </c>
      <c r="AZ2002">
        <v>1200</v>
      </c>
      <c r="BA2002">
        <v>1</v>
      </c>
      <c r="BB2002" t="str">
        <f t="shared" si="1096"/>
        <v xml:space="preserve">N9217B  </v>
      </c>
      <c r="BC2002">
        <v>1</v>
      </c>
      <c r="BE2002">
        <v>0</v>
      </c>
      <c r="BF2002">
        <v>0</v>
      </c>
      <c r="BG2002">
        <v>0</v>
      </c>
      <c r="BH2002">
        <v>7975</v>
      </c>
      <c r="BI2002">
        <v>1</v>
      </c>
      <c r="BJ2002">
        <v>0</v>
      </c>
      <c r="BK2002">
        <v>0</v>
      </c>
      <c r="BL2002">
        <v>0</v>
      </c>
      <c r="BO2002">
        <v>0</v>
      </c>
      <c r="BP2002">
        <v>0</v>
      </c>
      <c r="BW2002" t="str">
        <f t="shared" si="1101"/>
        <v>14:53:59.244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6</v>
      </c>
      <c r="CP2002" t="s">
        <v>119</v>
      </c>
      <c r="CQ2002">
        <v>285</v>
      </c>
      <c r="CR2002">
        <v>0</v>
      </c>
      <c r="CW2002">
        <v>8860347</v>
      </c>
      <c r="CY2002">
        <v>0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25">
      <c r="A2003" t="str">
        <f t="shared" ref="A2003:A2009" si="1102">"06/05/2020 14:53:54.792"</f>
        <v>06/05/2020 14:53:54.792</v>
      </c>
      <c r="C2003" t="str">
        <f t="shared" si="1077"/>
        <v>FFDFD3C0</v>
      </c>
      <c r="D2003" t="s">
        <v>148</v>
      </c>
      <c r="E2003">
        <v>11</v>
      </c>
      <c r="H2003">
        <v>53</v>
      </c>
      <c r="I2003" t="s">
        <v>364</v>
      </c>
      <c r="J2003" t="s">
        <v>150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ref="S2003:T2009" si="1103">"14:54:00.422"</f>
        <v>14:54:00.422</v>
      </c>
      <c r="T2003" t="str">
        <f t="shared" si="1103"/>
        <v>14:54:00.422</v>
      </c>
      <c r="U2003" t="str">
        <f t="shared" si="1093"/>
        <v>ACC530</v>
      </c>
      <c r="V2003">
        <v>0</v>
      </c>
      <c r="W2003">
        <v>0</v>
      </c>
      <c r="X2003">
        <v>1</v>
      </c>
      <c r="Z2003">
        <v>0</v>
      </c>
      <c r="AA2003">
        <v>9</v>
      </c>
      <c r="AB2003">
        <v>3</v>
      </c>
      <c r="AC2003">
        <v>0</v>
      </c>
      <c r="AD2003">
        <v>9</v>
      </c>
      <c r="AE2003">
        <v>0</v>
      </c>
      <c r="AF2003">
        <v>3</v>
      </c>
      <c r="AG2003">
        <v>1</v>
      </c>
      <c r="AH2003">
        <v>0</v>
      </c>
      <c r="AI2003" t="s">
        <v>742</v>
      </c>
      <c r="AJ2003">
        <v>34.173659999999998</v>
      </c>
      <c r="AK2003" t="s">
        <v>743</v>
      </c>
      <c r="AL2003">
        <v>-117.02244</v>
      </c>
      <c r="AM2003">
        <v>100</v>
      </c>
      <c r="AN2003">
        <v>8000</v>
      </c>
      <c r="AO2003" t="s">
        <v>118</v>
      </c>
      <c r="AP2003">
        <v>-90</v>
      </c>
      <c r="AQ2003">
        <v>-83</v>
      </c>
      <c r="AR2003">
        <v>-832</v>
      </c>
      <c r="AZ2003">
        <v>1200</v>
      </c>
      <c r="BA2003">
        <v>1</v>
      </c>
      <c r="BB2003" t="str">
        <f t="shared" si="1096"/>
        <v xml:space="preserve">N9217B  </v>
      </c>
      <c r="BC2003">
        <v>1</v>
      </c>
      <c r="BE2003">
        <v>0</v>
      </c>
      <c r="BF2003">
        <v>0</v>
      </c>
      <c r="BG2003">
        <v>0</v>
      </c>
      <c r="BH2003">
        <v>7950</v>
      </c>
      <c r="BI2003">
        <v>1</v>
      </c>
      <c r="BJ2003">
        <v>0</v>
      </c>
      <c r="BK2003">
        <v>0</v>
      </c>
      <c r="BL2003">
        <v>0</v>
      </c>
      <c r="BO2003">
        <v>0</v>
      </c>
      <c r="BP2003">
        <v>0</v>
      </c>
      <c r="BW2003" t="str">
        <f t="shared" ref="BW2003:BW2009" si="1104">"14:54:00.429"</f>
        <v>14:54:00.429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285</v>
      </c>
      <c r="CR2003">
        <v>0</v>
      </c>
      <c r="CW2003">
        <v>8860450</v>
      </c>
      <c r="CY2003">
        <v>0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25">
      <c r="A2004" t="str">
        <f t="shared" si="1102"/>
        <v>06/05/2020 14:53:54.792</v>
      </c>
      <c r="C2004" t="str">
        <f t="shared" si="1077"/>
        <v>FFDFD3C0</v>
      </c>
      <c r="D2004" t="s">
        <v>151</v>
      </c>
      <c r="E2004">
        <v>8</v>
      </c>
      <c r="H2004">
        <v>225</v>
      </c>
      <c r="I2004" t="s">
        <v>353</v>
      </c>
      <c r="J2004" t="s">
        <v>150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103"/>
        <v>14:54:00.422</v>
      </c>
      <c r="T2004" t="str">
        <f t="shared" si="1103"/>
        <v>14:54:00.422</v>
      </c>
      <c r="U2004" t="str">
        <f t="shared" si="1093"/>
        <v>ACC530</v>
      </c>
      <c r="V2004">
        <v>0</v>
      </c>
      <c r="W2004">
        <v>0</v>
      </c>
      <c r="X2004">
        <v>1</v>
      </c>
      <c r="Z2004">
        <v>0</v>
      </c>
      <c r="AA2004">
        <v>9</v>
      </c>
      <c r="AB2004">
        <v>3</v>
      </c>
      <c r="AC2004">
        <v>0</v>
      </c>
      <c r="AD2004">
        <v>9</v>
      </c>
      <c r="AE2004">
        <v>0</v>
      </c>
      <c r="AF2004">
        <v>3</v>
      </c>
      <c r="AG2004">
        <v>1</v>
      </c>
      <c r="AH2004">
        <v>0</v>
      </c>
      <c r="AI2004" t="s">
        <v>742</v>
      </c>
      <c r="AJ2004">
        <v>34.173659999999998</v>
      </c>
      <c r="AK2004" t="s">
        <v>743</v>
      </c>
      <c r="AL2004">
        <v>-117.02244</v>
      </c>
      <c r="AM2004">
        <v>100</v>
      </c>
      <c r="AN2004">
        <v>8000</v>
      </c>
      <c r="AO2004" t="s">
        <v>118</v>
      </c>
      <c r="AP2004">
        <v>-90</v>
      </c>
      <c r="AQ2004">
        <v>-83</v>
      </c>
      <c r="AR2004">
        <v>-832</v>
      </c>
      <c r="AZ2004">
        <v>1200</v>
      </c>
      <c r="BA2004">
        <v>1</v>
      </c>
      <c r="BB2004" t="str">
        <f t="shared" si="1096"/>
        <v xml:space="preserve">N9217B  </v>
      </c>
      <c r="BC2004">
        <v>1</v>
      </c>
      <c r="BE2004">
        <v>0</v>
      </c>
      <c r="BF2004">
        <v>0</v>
      </c>
      <c r="BG2004">
        <v>0</v>
      </c>
      <c r="BH2004">
        <v>7950</v>
      </c>
      <c r="BI2004">
        <v>1</v>
      </c>
      <c r="BJ2004">
        <v>0</v>
      </c>
      <c r="BK2004">
        <v>0</v>
      </c>
      <c r="BL2004">
        <v>0</v>
      </c>
      <c r="BO2004">
        <v>0</v>
      </c>
      <c r="BP2004">
        <v>0</v>
      </c>
      <c r="BW2004" t="str">
        <f t="shared" si="1104"/>
        <v>14:54:00.429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6</v>
      </c>
      <c r="CP2004" t="s">
        <v>119</v>
      </c>
      <c r="CQ2004">
        <v>285</v>
      </c>
      <c r="CR2004">
        <v>0</v>
      </c>
      <c r="CW2004">
        <v>8860450</v>
      </c>
      <c r="CY2004">
        <v>0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25">
      <c r="A2005" t="str">
        <f t="shared" si="1102"/>
        <v>06/05/2020 14:53:54.792</v>
      </c>
      <c r="C2005" t="str">
        <f t="shared" si="1077"/>
        <v>FFDFD3C0</v>
      </c>
      <c r="D2005" t="s">
        <v>134</v>
      </c>
      <c r="E2005">
        <v>7</v>
      </c>
      <c r="F2005">
        <v>2007</v>
      </c>
      <c r="G2005" t="s">
        <v>135</v>
      </c>
      <c r="J2005" t="s">
        <v>136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103"/>
        <v>14:54:00.422</v>
      </c>
      <c r="T2005" t="str">
        <f t="shared" si="1103"/>
        <v>14:54:00.422</v>
      </c>
      <c r="U2005" t="str">
        <f t="shared" si="1093"/>
        <v>ACC530</v>
      </c>
      <c r="V2005">
        <v>0</v>
      </c>
      <c r="W2005">
        <v>0</v>
      </c>
      <c r="X2005">
        <v>1</v>
      </c>
      <c r="Z2005">
        <v>0</v>
      </c>
      <c r="AA2005">
        <v>9</v>
      </c>
      <c r="AB2005">
        <v>3</v>
      </c>
      <c r="AC2005">
        <v>0</v>
      </c>
      <c r="AD2005">
        <v>9</v>
      </c>
      <c r="AE2005">
        <v>0</v>
      </c>
      <c r="AF2005">
        <v>3</v>
      </c>
      <c r="AG2005">
        <v>1</v>
      </c>
      <c r="AH2005">
        <v>0</v>
      </c>
      <c r="AI2005" t="s">
        <v>742</v>
      </c>
      <c r="AJ2005">
        <v>34.173659999999998</v>
      </c>
      <c r="AK2005" t="s">
        <v>743</v>
      </c>
      <c r="AL2005">
        <v>-117.02244</v>
      </c>
      <c r="AM2005">
        <v>100</v>
      </c>
      <c r="AN2005">
        <v>8000</v>
      </c>
      <c r="AO2005" t="s">
        <v>118</v>
      </c>
      <c r="AP2005">
        <v>-90</v>
      </c>
      <c r="AQ2005">
        <v>-83</v>
      </c>
      <c r="AR2005">
        <v>-832</v>
      </c>
      <c r="AZ2005">
        <v>1200</v>
      </c>
      <c r="BA2005">
        <v>1</v>
      </c>
      <c r="BB2005" t="str">
        <f t="shared" si="1096"/>
        <v xml:space="preserve">N9217B  </v>
      </c>
      <c r="BC2005">
        <v>1</v>
      </c>
      <c r="BE2005">
        <v>0</v>
      </c>
      <c r="BF2005">
        <v>0</v>
      </c>
      <c r="BG2005">
        <v>0</v>
      </c>
      <c r="BH2005">
        <v>7950</v>
      </c>
      <c r="BI2005">
        <v>1</v>
      </c>
      <c r="BJ2005">
        <v>0</v>
      </c>
      <c r="BK2005">
        <v>0</v>
      </c>
      <c r="BL2005">
        <v>0</v>
      </c>
      <c r="BO2005">
        <v>0</v>
      </c>
      <c r="BP2005">
        <v>0</v>
      </c>
      <c r="BW2005" t="str">
        <f t="shared" si="1104"/>
        <v>14:54:00.429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6</v>
      </c>
      <c r="CP2005" t="s">
        <v>119</v>
      </c>
      <c r="CQ2005">
        <v>285</v>
      </c>
      <c r="CR2005">
        <v>0</v>
      </c>
      <c r="CW2005">
        <v>8860450</v>
      </c>
      <c r="CY2005">
        <v>0</v>
      </c>
      <c r="CZ2005">
        <v>0</v>
      </c>
      <c r="DA2005">
        <v>1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25">
      <c r="A2006" t="str">
        <f t="shared" si="1102"/>
        <v>06/05/2020 14:53:54.792</v>
      </c>
      <c r="C2006" t="str">
        <f t="shared" si="1077"/>
        <v>FFDFD3C0</v>
      </c>
      <c r="D2006" t="s">
        <v>151</v>
      </c>
      <c r="E2006">
        <v>9</v>
      </c>
      <c r="H2006">
        <v>226</v>
      </c>
      <c r="I2006" t="s">
        <v>152</v>
      </c>
      <c r="J2006" t="s">
        <v>150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1103"/>
        <v>14:54:00.422</v>
      </c>
      <c r="T2006" t="str">
        <f t="shared" si="1103"/>
        <v>14:54:00.422</v>
      </c>
      <c r="U2006" t="str">
        <f t="shared" si="1093"/>
        <v>ACC530</v>
      </c>
      <c r="V2006">
        <v>0</v>
      </c>
      <c r="W2006">
        <v>0</v>
      </c>
      <c r="X2006">
        <v>1</v>
      </c>
      <c r="Z2006">
        <v>0</v>
      </c>
      <c r="AA2006">
        <v>9</v>
      </c>
      <c r="AB2006">
        <v>3</v>
      </c>
      <c r="AC2006">
        <v>0</v>
      </c>
      <c r="AD2006">
        <v>9</v>
      </c>
      <c r="AE2006">
        <v>0</v>
      </c>
      <c r="AF2006">
        <v>3</v>
      </c>
      <c r="AG2006">
        <v>1</v>
      </c>
      <c r="AH2006">
        <v>0</v>
      </c>
      <c r="AI2006" t="s">
        <v>742</v>
      </c>
      <c r="AJ2006">
        <v>34.173659999999998</v>
      </c>
      <c r="AK2006" t="s">
        <v>743</v>
      </c>
      <c r="AL2006">
        <v>-117.02244</v>
      </c>
      <c r="AM2006">
        <v>100</v>
      </c>
      <c r="AN2006">
        <v>8000</v>
      </c>
      <c r="AO2006" t="s">
        <v>118</v>
      </c>
      <c r="AP2006">
        <v>-90</v>
      </c>
      <c r="AQ2006">
        <v>-83</v>
      </c>
      <c r="AR2006">
        <v>-832</v>
      </c>
      <c r="AZ2006">
        <v>1200</v>
      </c>
      <c r="BA2006">
        <v>1</v>
      </c>
      <c r="BB2006" t="str">
        <f t="shared" si="1096"/>
        <v xml:space="preserve">N9217B  </v>
      </c>
      <c r="BC2006">
        <v>1</v>
      </c>
      <c r="BE2006">
        <v>0</v>
      </c>
      <c r="BF2006">
        <v>0</v>
      </c>
      <c r="BG2006">
        <v>0</v>
      </c>
      <c r="BH2006">
        <v>7950</v>
      </c>
      <c r="BI2006">
        <v>1</v>
      </c>
      <c r="BJ2006">
        <v>0</v>
      </c>
      <c r="BK2006">
        <v>0</v>
      </c>
      <c r="BL2006">
        <v>0</v>
      </c>
      <c r="BO2006">
        <v>0</v>
      </c>
      <c r="BP2006">
        <v>0</v>
      </c>
      <c r="BW2006" t="str">
        <f t="shared" si="1104"/>
        <v>14:54:00.429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6</v>
      </c>
      <c r="CP2006" t="s">
        <v>119</v>
      </c>
      <c r="CQ2006">
        <v>285</v>
      </c>
      <c r="CR2006">
        <v>0</v>
      </c>
      <c r="CW2006">
        <v>8860450</v>
      </c>
      <c r="CY2006">
        <v>0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25">
      <c r="A2007" t="str">
        <f t="shared" si="1102"/>
        <v>06/05/2020 14:53:54.792</v>
      </c>
      <c r="C2007" t="str">
        <f t="shared" si="1077"/>
        <v>FFDFD3C0</v>
      </c>
      <c r="D2007" t="s">
        <v>148</v>
      </c>
      <c r="E2007">
        <v>8</v>
      </c>
      <c r="H2007">
        <v>50</v>
      </c>
      <c r="I2007" t="s">
        <v>149</v>
      </c>
      <c r="J2007" t="s">
        <v>150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103"/>
        <v>14:54:00.422</v>
      </c>
      <c r="T2007" t="str">
        <f t="shared" si="1103"/>
        <v>14:54:00.422</v>
      </c>
      <c r="U2007" t="str">
        <f t="shared" si="1093"/>
        <v>ACC530</v>
      </c>
      <c r="V2007">
        <v>0</v>
      </c>
      <c r="W2007">
        <v>0</v>
      </c>
      <c r="X2007">
        <v>1</v>
      </c>
      <c r="Z2007">
        <v>0</v>
      </c>
      <c r="AA2007">
        <v>9</v>
      </c>
      <c r="AB2007">
        <v>3</v>
      </c>
      <c r="AC2007">
        <v>0</v>
      </c>
      <c r="AD2007">
        <v>9</v>
      </c>
      <c r="AE2007">
        <v>0</v>
      </c>
      <c r="AF2007">
        <v>3</v>
      </c>
      <c r="AG2007">
        <v>1</v>
      </c>
      <c r="AH2007">
        <v>0</v>
      </c>
      <c r="AI2007" t="s">
        <v>742</v>
      </c>
      <c r="AJ2007">
        <v>34.173659999999998</v>
      </c>
      <c r="AK2007" t="s">
        <v>743</v>
      </c>
      <c r="AL2007">
        <v>-117.02244</v>
      </c>
      <c r="AM2007">
        <v>100</v>
      </c>
      <c r="AN2007">
        <v>8000</v>
      </c>
      <c r="AO2007" t="s">
        <v>118</v>
      </c>
      <c r="AP2007">
        <v>-90</v>
      </c>
      <c r="AQ2007">
        <v>-83</v>
      </c>
      <c r="AR2007">
        <v>-832</v>
      </c>
      <c r="AZ2007">
        <v>1200</v>
      </c>
      <c r="BA2007">
        <v>1</v>
      </c>
      <c r="BB2007" t="str">
        <f t="shared" si="1096"/>
        <v xml:space="preserve">N9217B  </v>
      </c>
      <c r="BC2007">
        <v>1</v>
      </c>
      <c r="BE2007">
        <v>0</v>
      </c>
      <c r="BF2007">
        <v>0</v>
      </c>
      <c r="BG2007">
        <v>0</v>
      </c>
      <c r="BH2007">
        <v>7950</v>
      </c>
      <c r="BI2007">
        <v>1</v>
      </c>
      <c r="BJ2007">
        <v>0</v>
      </c>
      <c r="BK2007">
        <v>0</v>
      </c>
      <c r="BL2007">
        <v>0</v>
      </c>
      <c r="BO2007">
        <v>0</v>
      </c>
      <c r="BP2007">
        <v>0</v>
      </c>
      <c r="BW2007" t="str">
        <f t="shared" si="1104"/>
        <v>14:54:00.429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6</v>
      </c>
      <c r="CP2007" t="s">
        <v>119</v>
      </c>
      <c r="CQ2007">
        <v>285</v>
      </c>
      <c r="CR2007">
        <v>0</v>
      </c>
      <c r="CW2007">
        <v>8860450</v>
      </c>
      <c r="CY2007">
        <v>0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25">
      <c r="A2008" t="str">
        <f t="shared" si="1102"/>
        <v>06/05/2020 14:53:54.792</v>
      </c>
      <c r="C2008" t="str">
        <f t="shared" si="1077"/>
        <v>FFDFD3C0</v>
      </c>
      <c r="D2008" t="s">
        <v>141</v>
      </c>
      <c r="E2008">
        <v>20</v>
      </c>
      <c r="F2008">
        <v>1020</v>
      </c>
      <c r="G2008" t="s">
        <v>114</v>
      </c>
      <c r="J2008" t="s">
        <v>142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1103"/>
        <v>14:54:00.422</v>
      </c>
      <c r="T2008" t="str">
        <f t="shared" si="1103"/>
        <v>14:54:00.422</v>
      </c>
      <c r="U2008" t="str">
        <f t="shared" si="1093"/>
        <v>ACC530</v>
      </c>
      <c r="V2008">
        <v>0</v>
      </c>
      <c r="W2008">
        <v>0</v>
      </c>
      <c r="X2008">
        <v>1</v>
      </c>
      <c r="Z2008">
        <v>0</v>
      </c>
      <c r="AA2008">
        <v>9</v>
      </c>
      <c r="AB2008">
        <v>3</v>
      </c>
      <c r="AC2008">
        <v>0</v>
      </c>
      <c r="AD2008">
        <v>9</v>
      </c>
      <c r="AE2008">
        <v>0</v>
      </c>
      <c r="AF2008">
        <v>3</v>
      </c>
      <c r="AG2008">
        <v>1</v>
      </c>
      <c r="AH2008">
        <v>0</v>
      </c>
      <c r="AI2008" t="s">
        <v>742</v>
      </c>
      <c r="AJ2008">
        <v>34.173659999999998</v>
      </c>
      <c r="AK2008" t="s">
        <v>743</v>
      </c>
      <c r="AL2008">
        <v>-117.02244</v>
      </c>
      <c r="AM2008">
        <v>100</v>
      </c>
      <c r="AN2008">
        <v>8000</v>
      </c>
      <c r="AO2008" t="s">
        <v>118</v>
      </c>
      <c r="AP2008">
        <v>-90</v>
      </c>
      <c r="AQ2008">
        <v>-83</v>
      </c>
      <c r="AR2008">
        <v>-832</v>
      </c>
      <c r="AZ2008">
        <v>1200</v>
      </c>
      <c r="BA2008">
        <v>1</v>
      </c>
      <c r="BB2008" t="str">
        <f t="shared" si="1096"/>
        <v xml:space="preserve">N9217B  </v>
      </c>
      <c r="BC2008">
        <v>1</v>
      </c>
      <c r="BE2008">
        <v>0</v>
      </c>
      <c r="BF2008">
        <v>0</v>
      </c>
      <c r="BG2008">
        <v>0</v>
      </c>
      <c r="BH2008">
        <v>7950</v>
      </c>
      <c r="BI2008">
        <v>1</v>
      </c>
      <c r="BJ2008">
        <v>0</v>
      </c>
      <c r="BK2008">
        <v>0</v>
      </c>
      <c r="BL2008">
        <v>0</v>
      </c>
      <c r="BO2008">
        <v>0</v>
      </c>
      <c r="BP2008">
        <v>0</v>
      </c>
      <c r="BW2008" t="str">
        <f t="shared" si="1104"/>
        <v>14:54:00.429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285</v>
      </c>
      <c r="CR2008">
        <v>0</v>
      </c>
      <c r="CW2008">
        <v>8860450</v>
      </c>
      <c r="CY2008">
        <v>0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25">
      <c r="A2009" t="str">
        <f t="shared" si="1102"/>
        <v>06/05/2020 14:53:54.792</v>
      </c>
      <c r="C2009" t="str">
        <f t="shared" si="1077"/>
        <v>FFDFD3C0</v>
      </c>
      <c r="D2009" t="s">
        <v>113</v>
      </c>
      <c r="E2009">
        <v>3</v>
      </c>
      <c r="H2009">
        <v>166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103"/>
        <v>14:54:00.422</v>
      </c>
      <c r="T2009" t="str">
        <f t="shared" si="1103"/>
        <v>14:54:00.422</v>
      </c>
      <c r="U2009" t="str">
        <f t="shared" si="1093"/>
        <v>ACC530</v>
      </c>
      <c r="V2009">
        <v>0</v>
      </c>
      <c r="W2009">
        <v>0</v>
      </c>
      <c r="X2009">
        <v>1</v>
      </c>
      <c r="Z2009">
        <v>0</v>
      </c>
      <c r="AA2009">
        <v>9</v>
      </c>
      <c r="AB2009">
        <v>3</v>
      </c>
      <c r="AC2009">
        <v>0</v>
      </c>
      <c r="AD2009">
        <v>9</v>
      </c>
      <c r="AE2009">
        <v>0</v>
      </c>
      <c r="AF2009">
        <v>3</v>
      </c>
      <c r="AG2009">
        <v>1</v>
      </c>
      <c r="AH2009">
        <v>0</v>
      </c>
      <c r="AI2009" t="s">
        <v>742</v>
      </c>
      <c r="AJ2009">
        <v>34.173659999999998</v>
      </c>
      <c r="AK2009" t="s">
        <v>743</v>
      </c>
      <c r="AL2009">
        <v>-117.02244</v>
      </c>
      <c r="AM2009">
        <v>100</v>
      </c>
      <c r="AN2009">
        <v>8000</v>
      </c>
      <c r="AO2009" t="s">
        <v>118</v>
      </c>
      <c r="AP2009">
        <v>-90</v>
      </c>
      <c r="AQ2009">
        <v>-83</v>
      </c>
      <c r="AR2009">
        <v>-832</v>
      </c>
      <c r="AZ2009">
        <v>1200</v>
      </c>
      <c r="BA2009">
        <v>1</v>
      </c>
      <c r="BB2009" t="str">
        <f t="shared" si="1096"/>
        <v xml:space="preserve">N9217B  </v>
      </c>
      <c r="BC2009">
        <v>1</v>
      </c>
      <c r="BE2009">
        <v>0</v>
      </c>
      <c r="BF2009">
        <v>0</v>
      </c>
      <c r="BG2009">
        <v>0</v>
      </c>
      <c r="BH2009">
        <v>7950</v>
      </c>
      <c r="BI2009">
        <v>1</v>
      </c>
      <c r="BJ2009">
        <v>0</v>
      </c>
      <c r="BK2009">
        <v>0</v>
      </c>
      <c r="BL2009">
        <v>0</v>
      </c>
      <c r="BO2009">
        <v>0</v>
      </c>
      <c r="BP2009">
        <v>0</v>
      </c>
      <c r="BW2009" t="str">
        <f t="shared" si="1104"/>
        <v>14:54:00.429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285</v>
      </c>
      <c r="CR2009">
        <v>0</v>
      </c>
      <c r="CW2009">
        <v>8860450</v>
      </c>
      <c r="CY2009">
        <v>0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25">
      <c r="A2010" t="str">
        <f t="shared" ref="A2010:A2016" si="1105">"06/05/2020 14:53:55.677"</f>
        <v>06/05/2020 14:53:55.677</v>
      </c>
      <c r="C2010" t="str">
        <f t="shared" si="1077"/>
        <v>FFDFD3C0</v>
      </c>
      <c r="D2010" t="s">
        <v>141</v>
      </c>
      <c r="E2010">
        <v>20</v>
      </c>
      <c r="F2010">
        <v>1020</v>
      </c>
      <c r="G2010" t="s">
        <v>114</v>
      </c>
      <c r="J2010" t="s">
        <v>142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ref="S2010:S2016" si="1106">"14:54:01.328"</f>
        <v>14:54:01.328</v>
      </c>
      <c r="T2010" t="str">
        <f t="shared" ref="T2010:T2016" si="1107">"14:54:00.928"</f>
        <v>14:54:00.928</v>
      </c>
      <c r="U2010" t="str">
        <f t="shared" si="1093"/>
        <v>ACC530</v>
      </c>
      <c r="V2010">
        <v>0</v>
      </c>
      <c r="W2010">
        <v>0</v>
      </c>
      <c r="X2010">
        <v>1</v>
      </c>
      <c r="Z2010">
        <v>0</v>
      </c>
      <c r="AA2010">
        <v>9</v>
      </c>
      <c r="AB2010">
        <v>3</v>
      </c>
      <c r="AC2010">
        <v>0</v>
      </c>
      <c r="AD2010">
        <v>9</v>
      </c>
      <c r="AE2010">
        <v>0</v>
      </c>
      <c r="AF2010">
        <v>3</v>
      </c>
      <c r="AG2010">
        <v>1</v>
      </c>
      <c r="AH2010">
        <v>0</v>
      </c>
      <c r="AI2010" t="s">
        <v>744</v>
      </c>
      <c r="AJ2010">
        <v>34.173338000000001</v>
      </c>
      <c r="AK2010" t="s">
        <v>745</v>
      </c>
      <c r="AL2010">
        <v>-117.02282700000001</v>
      </c>
      <c r="AM2010">
        <v>100</v>
      </c>
      <c r="AN2010">
        <v>7900</v>
      </c>
      <c r="AO2010" t="s">
        <v>118</v>
      </c>
      <c r="AP2010">
        <v>-89</v>
      </c>
      <c r="AQ2010">
        <v>-83</v>
      </c>
      <c r="AR2010">
        <v>-832</v>
      </c>
      <c r="AZ2010">
        <v>1200</v>
      </c>
      <c r="BA2010">
        <v>1</v>
      </c>
      <c r="BB2010" t="str">
        <f t="shared" si="1096"/>
        <v xml:space="preserve">N9217B  </v>
      </c>
      <c r="BC2010">
        <v>1</v>
      </c>
      <c r="BE2010">
        <v>0</v>
      </c>
      <c r="BF2010">
        <v>0</v>
      </c>
      <c r="BG2010">
        <v>0</v>
      </c>
      <c r="BH2010">
        <v>7850</v>
      </c>
      <c r="BI2010">
        <v>1</v>
      </c>
      <c r="BJ2010">
        <v>0</v>
      </c>
      <c r="BK2010">
        <v>0</v>
      </c>
      <c r="BL2010">
        <v>0</v>
      </c>
      <c r="BO2010">
        <v>0</v>
      </c>
      <c r="BP2010">
        <v>0</v>
      </c>
      <c r="BW2010" t="str">
        <f t="shared" ref="BW2010:BW2016" si="1108">"14:54:01.328"</f>
        <v>14:54:01.328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285</v>
      </c>
      <c r="CR2010">
        <v>0</v>
      </c>
      <c r="CW2010">
        <v>8860536</v>
      </c>
      <c r="CY2010">
        <v>0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25">
      <c r="A2011" t="str">
        <f t="shared" si="1105"/>
        <v>06/05/2020 14:53:55.677</v>
      </c>
      <c r="C2011" t="str">
        <f t="shared" si="1077"/>
        <v>FFDFD3C0</v>
      </c>
      <c r="D2011" t="s">
        <v>148</v>
      </c>
      <c r="E2011">
        <v>8</v>
      </c>
      <c r="H2011">
        <v>50</v>
      </c>
      <c r="I2011" t="s">
        <v>149</v>
      </c>
      <c r="J2011" t="s">
        <v>150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106"/>
        <v>14:54:01.328</v>
      </c>
      <c r="T2011" t="str">
        <f t="shared" si="1107"/>
        <v>14:54:00.928</v>
      </c>
      <c r="U2011" t="str">
        <f t="shared" si="1093"/>
        <v>ACC530</v>
      </c>
      <c r="V2011">
        <v>0</v>
      </c>
      <c r="W2011">
        <v>0</v>
      </c>
      <c r="X2011">
        <v>1</v>
      </c>
      <c r="Z2011">
        <v>0</v>
      </c>
      <c r="AA2011">
        <v>9</v>
      </c>
      <c r="AB2011">
        <v>3</v>
      </c>
      <c r="AC2011">
        <v>0</v>
      </c>
      <c r="AD2011">
        <v>9</v>
      </c>
      <c r="AE2011">
        <v>0</v>
      </c>
      <c r="AF2011">
        <v>3</v>
      </c>
      <c r="AG2011">
        <v>1</v>
      </c>
      <c r="AH2011">
        <v>0</v>
      </c>
      <c r="AI2011" t="s">
        <v>744</v>
      </c>
      <c r="AJ2011">
        <v>34.173338000000001</v>
      </c>
      <c r="AK2011" t="s">
        <v>745</v>
      </c>
      <c r="AL2011">
        <v>-117.02282700000001</v>
      </c>
      <c r="AM2011">
        <v>100</v>
      </c>
      <c r="AN2011">
        <v>7900</v>
      </c>
      <c r="AO2011" t="s">
        <v>118</v>
      </c>
      <c r="AP2011">
        <v>-89</v>
      </c>
      <c r="AQ2011">
        <v>-83</v>
      </c>
      <c r="AR2011">
        <v>-832</v>
      </c>
      <c r="AZ2011">
        <v>1200</v>
      </c>
      <c r="BA2011">
        <v>1</v>
      </c>
      <c r="BB2011" t="str">
        <f t="shared" si="1096"/>
        <v xml:space="preserve">N9217B  </v>
      </c>
      <c r="BC2011">
        <v>1</v>
      </c>
      <c r="BE2011">
        <v>0</v>
      </c>
      <c r="BF2011">
        <v>0</v>
      </c>
      <c r="BG2011">
        <v>0</v>
      </c>
      <c r="BH2011">
        <v>7850</v>
      </c>
      <c r="BI2011">
        <v>1</v>
      </c>
      <c r="BJ2011">
        <v>0</v>
      </c>
      <c r="BK2011">
        <v>0</v>
      </c>
      <c r="BL2011">
        <v>0</v>
      </c>
      <c r="BO2011">
        <v>0</v>
      </c>
      <c r="BP2011">
        <v>0</v>
      </c>
      <c r="BW2011" t="str">
        <f t="shared" si="1108"/>
        <v>14:54:01.328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285</v>
      </c>
      <c r="CR2011">
        <v>0</v>
      </c>
      <c r="CW2011">
        <v>8860536</v>
      </c>
      <c r="CY2011">
        <v>0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25">
      <c r="A2012" t="str">
        <f t="shared" si="1105"/>
        <v>06/05/2020 14:53:55.677</v>
      </c>
      <c r="C2012" t="str">
        <f t="shared" si="1077"/>
        <v>FFDFD3C0</v>
      </c>
      <c r="D2012" t="s">
        <v>113</v>
      </c>
      <c r="E2012">
        <v>3</v>
      </c>
      <c r="H2012">
        <v>166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106"/>
        <v>14:54:01.328</v>
      </c>
      <c r="T2012" t="str">
        <f t="shared" si="1107"/>
        <v>14:54:00.928</v>
      </c>
      <c r="U2012" t="str">
        <f t="shared" si="1093"/>
        <v>ACC530</v>
      </c>
      <c r="V2012">
        <v>0</v>
      </c>
      <c r="W2012">
        <v>0</v>
      </c>
      <c r="X2012">
        <v>1</v>
      </c>
      <c r="Z2012">
        <v>0</v>
      </c>
      <c r="AA2012">
        <v>9</v>
      </c>
      <c r="AB2012">
        <v>3</v>
      </c>
      <c r="AC2012">
        <v>0</v>
      </c>
      <c r="AD2012">
        <v>9</v>
      </c>
      <c r="AE2012">
        <v>0</v>
      </c>
      <c r="AF2012">
        <v>3</v>
      </c>
      <c r="AG2012">
        <v>1</v>
      </c>
      <c r="AH2012">
        <v>0</v>
      </c>
      <c r="AI2012" t="s">
        <v>744</v>
      </c>
      <c r="AJ2012">
        <v>34.173338000000001</v>
      </c>
      <c r="AK2012" t="s">
        <v>745</v>
      </c>
      <c r="AL2012">
        <v>-117.02282700000001</v>
      </c>
      <c r="AM2012">
        <v>100</v>
      </c>
      <c r="AN2012">
        <v>7900</v>
      </c>
      <c r="AO2012" t="s">
        <v>118</v>
      </c>
      <c r="AP2012">
        <v>-89</v>
      </c>
      <c r="AQ2012">
        <v>-83</v>
      </c>
      <c r="AR2012">
        <v>-832</v>
      </c>
      <c r="AZ2012">
        <v>1200</v>
      </c>
      <c r="BA2012">
        <v>1</v>
      </c>
      <c r="BB2012" t="str">
        <f t="shared" si="1096"/>
        <v xml:space="preserve">N9217B  </v>
      </c>
      <c r="BC2012">
        <v>1</v>
      </c>
      <c r="BE2012">
        <v>0</v>
      </c>
      <c r="BF2012">
        <v>0</v>
      </c>
      <c r="BG2012">
        <v>0</v>
      </c>
      <c r="BH2012">
        <v>7850</v>
      </c>
      <c r="BI2012">
        <v>1</v>
      </c>
      <c r="BJ2012">
        <v>0</v>
      </c>
      <c r="BK2012">
        <v>0</v>
      </c>
      <c r="BL2012">
        <v>0</v>
      </c>
      <c r="BO2012">
        <v>0</v>
      </c>
      <c r="BP2012">
        <v>0</v>
      </c>
      <c r="BW2012" t="str">
        <f t="shared" si="1108"/>
        <v>14:54:01.328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285</v>
      </c>
      <c r="CR2012">
        <v>0</v>
      </c>
      <c r="CW2012">
        <v>8860536</v>
      </c>
      <c r="CY2012">
        <v>0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25">
      <c r="A2013" t="str">
        <f t="shared" si="1105"/>
        <v>06/05/2020 14:53:55.677</v>
      </c>
      <c r="C2013" t="str">
        <f t="shared" si="1077"/>
        <v>FFDFD3C0</v>
      </c>
      <c r="D2013" t="s">
        <v>148</v>
      </c>
      <c r="E2013">
        <v>11</v>
      </c>
      <c r="H2013">
        <v>53</v>
      </c>
      <c r="I2013" t="s">
        <v>364</v>
      </c>
      <c r="J2013" t="s">
        <v>150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106"/>
        <v>14:54:01.328</v>
      </c>
      <c r="T2013" t="str">
        <f t="shared" si="1107"/>
        <v>14:54:00.928</v>
      </c>
      <c r="U2013" t="str">
        <f t="shared" si="1093"/>
        <v>ACC530</v>
      </c>
      <c r="V2013">
        <v>0</v>
      </c>
      <c r="W2013">
        <v>0</v>
      </c>
      <c r="X2013">
        <v>1</v>
      </c>
      <c r="Z2013">
        <v>0</v>
      </c>
      <c r="AA2013">
        <v>9</v>
      </c>
      <c r="AB2013">
        <v>3</v>
      </c>
      <c r="AC2013">
        <v>0</v>
      </c>
      <c r="AD2013">
        <v>9</v>
      </c>
      <c r="AE2013">
        <v>0</v>
      </c>
      <c r="AF2013">
        <v>3</v>
      </c>
      <c r="AG2013">
        <v>1</v>
      </c>
      <c r="AH2013">
        <v>0</v>
      </c>
      <c r="AI2013" t="s">
        <v>744</v>
      </c>
      <c r="AJ2013">
        <v>34.173338000000001</v>
      </c>
      <c r="AK2013" t="s">
        <v>745</v>
      </c>
      <c r="AL2013">
        <v>-117.02282700000001</v>
      </c>
      <c r="AM2013">
        <v>100</v>
      </c>
      <c r="AN2013">
        <v>7900</v>
      </c>
      <c r="AO2013" t="s">
        <v>118</v>
      </c>
      <c r="AP2013">
        <v>-89</v>
      </c>
      <c r="AQ2013">
        <v>-83</v>
      </c>
      <c r="AR2013">
        <v>-832</v>
      </c>
      <c r="AZ2013">
        <v>1200</v>
      </c>
      <c r="BA2013">
        <v>1</v>
      </c>
      <c r="BB2013" t="str">
        <f t="shared" si="1096"/>
        <v xml:space="preserve">N9217B  </v>
      </c>
      <c r="BC2013">
        <v>1</v>
      </c>
      <c r="BE2013">
        <v>0</v>
      </c>
      <c r="BF2013">
        <v>0</v>
      </c>
      <c r="BG2013">
        <v>0</v>
      </c>
      <c r="BH2013">
        <v>7850</v>
      </c>
      <c r="BI2013">
        <v>1</v>
      </c>
      <c r="BJ2013">
        <v>0</v>
      </c>
      <c r="BK2013">
        <v>0</v>
      </c>
      <c r="BL2013">
        <v>0</v>
      </c>
      <c r="BO2013">
        <v>0</v>
      </c>
      <c r="BP2013">
        <v>0</v>
      </c>
      <c r="BW2013" t="str">
        <f t="shared" si="1108"/>
        <v>14:54:01.328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6</v>
      </c>
      <c r="CP2013" t="s">
        <v>119</v>
      </c>
      <c r="CQ2013">
        <v>285</v>
      </c>
      <c r="CR2013">
        <v>0</v>
      </c>
      <c r="CW2013">
        <v>8860536</v>
      </c>
      <c r="CY2013">
        <v>0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25">
      <c r="A2014" t="str">
        <f t="shared" si="1105"/>
        <v>06/05/2020 14:53:55.677</v>
      </c>
      <c r="C2014" t="str">
        <f t="shared" si="1077"/>
        <v>FFDFD3C0</v>
      </c>
      <c r="D2014" t="s">
        <v>134</v>
      </c>
      <c r="E2014">
        <v>7</v>
      </c>
      <c r="F2014">
        <v>2007</v>
      </c>
      <c r="G2014" t="s">
        <v>135</v>
      </c>
      <c r="J2014" t="s">
        <v>136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106"/>
        <v>14:54:01.328</v>
      </c>
      <c r="T2014" t="str">
        <f t="shared" si="1107"/>
        <v>14:54:00.928</v>
      </c>
      <c r="U2014" t="str">
        <f t="shared" si="1093"/>
        <v>ACC530</v>
      </c>
      <c r="V2014">
        <v>0</v>
      </c>
      <c r="W2014">
        <v>0</v>
      </c>
      <c r="X2014">
        <v>1</v>
      </c>
      <c r="Z2014">
        <v>0</v>
      </c>
      <c r="AA2014">
        <v>9</v>
      </c>
      <c r="AB2014">
        <v>3</v>
      </c>
      <c r="AC2014">
        <v>0</v>
      </c>
      <c r="AD2014">
        <v>9</v>
      </c>
      <c r="AE2014">
        <v>0</v>
      </c>
      <c r="AF2014">
        <v>3</v>
      </c>
      <c r="AG2014">
        <v>1</v>
      </c>
      <c r="AH2014">
        <v>0</v>
      </c>
      <c r="AI2014" t="s">
        <v>744</v>
      </c>
      <c r="AJ2014">
        <v>34.173338000000001</v>
      </c>
      <c r="AK2014" t="s">
        <v>745</v>
      </c>
      <c r="AL2014">
        <v>-117.02282700000001</v>
      </c>
      <c r="AM2014">
        <v>100</v>
      </c>
      <c r="AN2014">
        <v>7900</v>
      </c>
      <c r="AO2014" t="s">
        <v>118</v>
      </c>
      <c r="AP2014">
        <v>-89</v>
      </c>
      <c r="AQ2014">
        <v>-83</v>
      </c>
      <c r="AR2014">
        <v>-832</v>
      </c>
      <c r="AZ2014">
        <v>1200</v>
      </c>
      <c r="BA2014">
        <v>1</v>
      </c>
      <c r="BB2014" t="str">
        <f t="shared" si="1096"/>
        <v xml:space="preserve">N9217B  </v>
      </c>
      <c r="BC2014">
        <v>1</v>
      </c>
      <c r="BE2014">
        <v>0</v>
      </c>
      <c r="BF2014">
        <v>0</v>
      </c>
      <c r="BG2014">
        <v>0</v>
      </c>
      <c r="BH2014">
        <v>7850</v>
      </c>
      <c r="BI2014">
        <v>1</v>
      </c>
      <c r="BJ2014">
        <v>0</v>
      </c>
      <c r="BK2014">
        <v>0</v>
      </c>
      <c r="BL2014">
        <v>0</v>
      </c>
      <c r="BO2014">
        <v>0</v>
      </c>
      <c r="BP2014">
        <v>0</v>
      </c>
      <c r="BW2014" t="str">
        <f t="shared" si="1108"/>
        <v>14:54:01.328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6</v>
      </c>
      <c r="CP2014" t="s">
        <v>119</v>
      </c>
      <c r="CQ2014">
        <v>285</v>
      </c>
      <c r="CR2014">
        <v>0</v>
      </c>
      <c r="CW2014">
        <v>8860536</v>
      </c>
      <c r="CY2014">
        <v>0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25">
      <c r="A2015" t="str">
        <f t="shared" si="1105"/>
        <v>06/05/2020 14:53:55.677</v>
      </c>
      <c r="C2015" t="str">
        <f t="shared" si="1077"/>
        <v>FFDFD3C0</v>
      </c>
      <c r="D2015" t="s">
        <v>151</v>
      </c>
      <c r="E2015">
        <v>8</v>
      </c>
      <c r="H2015">
        <v>225</v>
      </c>
      <c r="I2015" t="s">
        <v>353</v>
      </c>
      <c r="J2015" t="s">
        <v>150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1106"/>
        <v>14:54:01.328</v>
      </c>
      <c r="T2015" t="str">
        <f t="shared" si="1107"/>
        <v>14:54:00.928</v>
      </c>
      <c r="U2015" t="str">
        <f t="shared" si="1093"/>
        <v>ACC530</v>
      </c>
      <c r="V2015">
        <v>0</v>
      </c>
      <c r="W2015">
        <v>0</v>
      </c>
      <c r="X2015">
        <v>1</v>
      </c>
      <c r="Z2015">
        <v>0</v>
      </c>
      <c r="AA2015">
        <v>9</v>
      </c>
      <c r="AB2015">
        <v>3</v>
      </c>
      <c r="AC2015">
        <v>0</v>
      </c>
      <c r="AD2015">
        <v>9</v>
      </c>
      <c r="AE2015">
        <v>0</v>
      </c>
      <c r="AF2015">
        <v>3</v>
      </c>
      <c r="AG2015">
        <v>1</v>
      </c>
      <c r="AH2015">
        <v>0</v>
      </c>
      <c r="AI2015" t="s">
        <v>744</v>
      </c>
      <c r="AJ2015">
        <v>34.173338000000001</v>
      </c>
      <c r="AK2015" t="s">
        <v>745</v>
      </c>
      <c r="AL2015">
        <v>-117.02282700000001</v>
      </c>
      <c r="AM2015">
        <v>100</v>
      </c>
      <c r="AN2015">
        <v>7900</v>
      </c>
      <c r="AO2015" t="s">
        <v>118</v>
      </c>
      <c r="AP2015">
        <v>-89</v>
      </c>
      <c r="AQ2015">
        <v>-83</v>
      </c>
      <c r="AR2015">
        <v>-832</v>
      </c>
      <c r="AZ2015">
        <v>1200</v>
      </c>
      <c r="BA2015">
        <v>1</v>
      </c>
      <c r="BB2015" t="str">
        <f t="shared" si="1096"/>
        <v xml:space="preserve">N9217B  </v>
      </c>
      <c r="BC2015">
        <v>1</v>
      </c>
      <c r="BE2015">
        <v>0</v>
      </c>
      <c r="BF2015">
        <v>0</v>
      </c>
      <c r="BG2015">
        <v>0</v>
      </c>
      <c r="BH2015">
        <v>7850</v>
      </c>
      <c r="BI2015">
        <v>1</v>
      </c>
      <c r="BJ2015">
        <v>0</v>
      </c>
      <c r="BK2015">
        <v>0</v>
      </c>
      <c r="BL2015">
        <v>0</v>
      </c>
      <c r="BO2015">
        <v>0</v>
      </c>
      <c r="BP2015">
        <v>0</v>
      </c>
      <c r="BW2015" t="str">
        <f t="shared" si="1108"/>
        <v>14:54:01.328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6</v>
      </c>
      <c r="CP2015" t="s">
        <v>119</v>
      </c>
      <c r="CQ2015">
        <v>285</v>
      </c>
      <c r="CR2015">
        <v>0</v>
      </c>
      <c r="CW2015">
        <v>8860536</v>
      </c>
      <c r="CY2015">
        <v>0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25">
      <c r="A2016" t="str">
        <f t="shared" si="1105"/>
        <v>06/05/2020 14:53:55.677</v>
      </c>
      <c r="C2016" t="str">
        <f t="shared" si="1077"/>
        <v>FFDFD3C0</v>
      </c>
      <c r="D2016" t="s">
        <v>151</v>
      </c>
      <c r="E2016">
        <v>9</v>
      </c>
      <c r="H2016">
        <v>226</v>
      </c>
      <c r="I2016" t="s">
        <v>152</v>
      </c>
      <c r="J2016" t="s">
        <v>150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1106"/>
        <v>14:54:01.328</v>
      </c>
      <c r="T2016" t="str">
        <f t="shared" si="1107"/>
        <v>14:54:00.928</v>
      </c>
      <c r="U2016" t="str">
        <f t="shared" si="1093"/>
        <v>ACC530</v>
      </c>
      <c r="V2016">
        <v>0</v>
      </c>
      <c r="W2016">
        <v>0</v>
      </c>
      <c r="X2016">
        <v>1</v>
      </c>
      <c r="Z2016">
        <v>0</v>
      </c>
      <c r="AA2016">
        <v>9</v>
      </c>
      <c r="AB2016">
        <v>3</v>
      </c>
      <c r="AC2016">
        <v>0</v>
      </c>
      <c r="AD2016">
        <v>9</v>
      </c>
      <c r="AE2016">
        <v>0</v>
      </c>
      <c r="AF2016">
        <v>3</v>
      </c>
      <c r="AG2016">
        <v>1</v>
      </c>
      <c r="AH2016">
        <v>0</v>
      </c>
      <c r="AI2016" t="s">
        <v>744</v>
      </c>
      <c r="AJ2016">
        <v>34.173338000000001</v>
      </c>
      <c r="AK2016" t="s">
        <v>745</v>
      </c>
      <c r="AL2016">
        <v>-117.02282700000001</v>
      </c>
      <c r="AM2016">
        <v>100</v>
      </c>
      <c r="AN2016">
        <v>7900</v>
      </c>
      <c r="AO2016" t="s">
        <v>118</v>
      </c>
      <c r="AP2016">
        <v>-89</v>
      </c>
      <c r="AQ2016">
        <v>-83</v>
      </c>
      <c r="AR2016">
        <v>-832</v>
      </c>
      <c r="AZ2016">
        <v>1200</v>
      </c>
      <c r="BA2016">
        <v>1</v>
      </c>
      <c r="BB2016" t="str">
        <f t="shared" si="1096"/>
        <v xml:space="preserve">N9217B  </v>
      </c>
      <c r="BC2016">
        <v>1</v>
      </c>
      <c r="BE2016">
        <v>0</v>
      </c>
      <c r="BF2016">
        <v>0</v>
      </c>
      <c r="BG2016">
        <v>0</v>
      </c>
      <c r="BH2016">
        <v>7850</v>
      </c>
      <c r="BI2016">
        <v>1</v>
      </c>
      <c r="BJ2016">
        <v>0</v>
      </c>
      <c r="BK2016">
        <v>0</v>
      </c>
      <c r="BL2016">
        <v>0</v>
      </c>
      <c r="BO2016">
        <v>0</v>
      </c>
      <c r="BP2016">
        <v>0</v>
      </c>
      <c r="BW2016" t="str">
        <f t="shared" si="1108"/>
        <v>14:54:01.328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6</v>
      </c>
      <c r="CP2016" t="s">
        <v>119</v>
      </c>
      <c r="CQ2016">
        <v>285</v>
      </c>
      <c r="CR2016">
        <v>0</v>
      </c>
      <c r="CW2016">
        <v>8860536</v>
      </c>
      <c r="CY2016">
        <v>0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25">
      <c r="A2017" t="str">
        <f t="shared" ref="A2017:A2023" si="1109">"06/05/2020 14:53:56.634"</f>
        <v>06/05/2020 14:53:56.634</v>
      </c>
      <c r="C2017" t="str">
        <f t="shared" si="1077"/>
        <v>FFDFD3C0</v>
      </c>
      <c r="D2017" t="s">
        <v>151</v>
      </c>
      <c r="E2017">
        <v>9</v>
      </c>
      <c r="H2017">
        <v>226</v>
      </c>
      <c r="I2017" t="s">
        <v>152</v>
      </c>
      <c r="J2017" t="s">
        <v>150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ref="S2017:S2023" si="1110">"14:54:02.297"</f>
        <v>14:54:02.297</v>
      </c>
      <c r="T2017" t="str">
        <f t="shared" ref="T2017:T2023" si="1111">"14:54:01.997"</f>
        <v>14:54:01.997</v>
      </c>
      <c r="U2017" t="str">
        <f t="shared" si="1093"/>
        <v>ACC530</v>
      </c>
      <c r="V2017">
        <v>0</v>
      </c>
      <c r="W2017">
        <v>0</v>
      </c>
      <c r="X2017">
        <v>1</v>
      </c>
      <c r="Z2017">
        <v>0</v>
      </c>
      <c r="AA2017">
        <v>9</v>
      </c>
      <c r="AB2017">
        <v>3</v>
      </c>
      <c r="AC2017">
        <v>0</v>
      </c>
      <c r="AD2017">
        <v>9</v>
      </c>
      <c r="AE2017">
        <v>0</v>
      </c>
      <c r="AF2017">
        <v>3</v>
      </c>
      <c r="AG2017">
        <v>1</v>
      </c>
      <c r="AH2017">
        <v>0</v>
      </c>
      <c r="AI2017" t="s">
        <v>746</v>
      </c>
      <c r="AJ2017">
        <v>34.172974000000004</v>
      </c>
      <c r="AK2017" t="s">
        <v>747</v>
      </c>
      <c r="AL2017">
        <v>-117.023342</v>
      </c>
      <c r="AM2017">
        <v>100</v>
      </c>
      <c r="AN2017">
        <v>8000</v>
      </c>
      <c r="AO2017" t="s">
        <v>118</v>
      </c>
      <c r="AP2017">
        <v>-90</v>
      </c>
      <c r="AQ2017">
        <v>-83</v>
      </c>
      <c r="AR2017">
        <v>-768</v>
      </c>
      <c r="AZ2017">
        <v>1200</v>
      </c>
      <c r="BA2017">
        <v>1</v>
      </c>
      <c r="BB2017" t="str">
        <f t="shared" si="1096"/>
        <v xml:space="preserve">N9217B  </v>
      </c>
      <c r="BC2017">
        <v>1</v>
      </c>
      <c r="BE2017">
        <v>0</v>
      </c>
      <c r="BF2017">
        <v>0</v>
      </c>
      <c r="BG2017">
        <v>0</v>
      </c>
      <c r="BH2017">
        <v>7925</v>
      </c>
      <c r="BI2017">
        <v>1</v>
      </c>
      <c r="BJ2017">
        <v>0</v>
      </c>
      <c r="BK2017">
        <v>0</v>
      </c>
      <c r="BL2017">
        <v>0</v>
      </c>
      <c r="BO2017">
        <v>0</v>
      </c>
      <c r="BP2017">
        <v>0</v>
      </c>
      <c r="BW2017" t="str">
        <f t="shared" ref="BW2017:BW2023" si="1112">"14:54:02.303"</f>
        <v>14:54:02.303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285</v>
      </c>
      <c r="CR2017">
        <v>0</v>
      </c>
      <c r="CW2017">
        <v>8860621</v>
      </c>
      <c r="CY2017">
        <v>0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25">
      <c r="A2018" t="str">
        <f t="shared" si="1109"/>
        <v>06/05/2020 14:53:56.634</v>
      </c>
      <c r="C2018" t="str">
        <f t="shared" si="1077"/>
        <v>FFDFD3C0</v>
      </c>
      <c r="D2018" t="s">
        <v>141</v>
      </c>
      <c r="E2018">
        <v>20</v>
      </c>
      <c r="F2018">
        <v>1020</v>
      </c>
      <c r="G2018" t="s">
        <v>114</v>
      </c>
      <c r="J2018" t="s">
        <v>142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110"/>
        <v>14:54:02.297</v>
      </c>
      <c r="T2018" t="str">
        <f t="shared" si="1111"/>
        <v>14:54:01.997</v>
      </c>
      <c r="U2018" t="str">
        <f t="shared" si="1093"/>
        <v>ACC530</v>
      </c>
      <c r="V2018">
        <v>0</v>
      </c>
      <c r="W2018">
        <v>0</v>
      </c>
      <c r="X2018">
        <v>1</v>
      </c>
      <c r="Z2018">
        <v>0</v>
      </c>
      <c r="AA2018">
        <v>9</v>
      </c>
      <c r="AB2018">
        <v>3</v>
      </c>
      <c r="AC2018">
        <v>0</v>
      </c>
      <c r="AD2018">
        <v>9</v>
      </c>
      <c r="AE2018">
        <v>0</v>
      </c>
      <c r="AF2018">
        <v>3</v>
      </c>
      <c r="AG2018">
        <v>1</v>
      </c>
      <c r="AH2018">
        <v>0</v>
      </c>
      <c r="AI2018" t="s">
        <v>746</v>
      </c>
      <c r="AJ2018">
        <v>34.172974000000004</v>
      </c>
      <c r="AK2018" t="s">
        <v>747</v>
      </c>
      <c r="AL2018">
        <v>-117.023342</v>
      </c>
      <c r="AM2018">
        <v>100</v>
      </c>
      <c r="AN2018">
        <v>8000</v>
      </c>
      <c r="AO2018" t="s">
        <v>118</v>
      </c>
      <c r="AP2018">
        <v>-90</v>
      </c>
      <c r="AQ2018">
        <v>-83</v>
      </c>
      <c r="AR2018">
        <v>-768</v>
      </c>
      <c r="AZ2018">
        <v>1200</v>
      </c>
      <c r="BA2018">
        <v>1</v>
      </c>
      <c r="BB2018" t="str">
        <f t="shared" si="1096"/>
        <v xml:space="preserve">N9217B  </v>
      </c>
      <c r="BC2018">
        <v>1</v>
      </c>
      <c r="BE2018">
        <v>0</v>
      </c>
      <c r="BF2018">
        <v>0</v>
      </c>
      <c r="BG2018">
        <v>0</v>
      </c>
      <c r="BH2018">
        <v>7925</v>
      </c>
      <c r="BI2018">
        <v>1</v>
      </c>
      <c r="BJ2018">
        <v>0</v>
      </c>
      <c r="BK2018">
        <v>0</v>
      </c>
      <c r="BL2018">
        <v>0</v>
      </c>
      <c r="BO2018">
        <v>0</v>
      </c>
      <c r="BP2018">
        <v>0</v>
      </c>
      <c r="BW2018" t="str">
        <f t="shared" si="1112"/>
        <v>14:54:02.303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285</v>
      </c>
      <c r="CR2018">
        <v>0</v>
      </c>
      <c r="CW2018">
        <v>8860621</v>
      </c>
      <c r="CY2018">
        <v>0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25">
      <c r="A2019" t="str">
        <f t="shared" si="1109"/>
        <v>06/05/2020 14:53:56.634</v>
      </c>
      <c r="C2019" t="str">
        <f t="shared" ref="C2019:C2082" si="1113">"FFDFD3C0"</f>
        <v>FFDFD3C0</v>
      </c>
      <c r="D2019" t="s">
        <v>148</v>
      </c>
      <c r="E2019">
        <v>8</v>
      </c>
      <c r="H2019">
        <v>50</v>
      </c>
      <c r="I2019" t="s">
        <v>149</v>
      </c>
      <c r="J2019" t="s">
        <v>150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110"/>
        <v>14:54:02.297</v>
      </c>
      <c r="T2019" t="str">
        <f t="shared" si="1111"/>
        <v>14:54:01.997</v>
      </c>
      <c r="U2019" t="str">
        <f t="shared" si="1093"/>
        <v>ACC530</v>
      </c>
      <c r="V2019">
        <v>0</v>
      </c>
      <c r="W2019">
        <v>0</v>
      </c>
      <c r="X2019">
        <v>1</v>
      </c>
      <c r="Z2019">
        <v>0</v>
      </c>
      <c r="AA2019">
        <v>9</v>
      </c>
      <c r="AB2019">
        <v>3</v>
      </c>
      <c r="AC2019">
        <v>0</v>
      </c>
      <c r="AD2019">
        <v>9</v>
      </c>
      <c r="AE2019">
        <v>0</v>
      </c>
      <c r="AF2019">
        <v>3</v>
      </c>
      <c r="AG2019">
        <v>1</v>
      </c>
      <c r="AH2019">
        <v>0</v>
      </c>
      <c r="AI2019" t="s">
        <v>746</v>
      </c>
      <c r="AJ2019">
        <v>34.172974000000004</v>
      </c>
      <c r="AK2019" t="s">
        <v>747</v>
      </c>
      <c r="AL2019">
        <v>-117.023342</v>
      </c>
      <c r="AM2019">
        <v>100</v>
      </c>
      <c r="AN2019">
        <v>8000</v>
      </c>
      <c r="AO2019" t="s">
        <v>118</v>
      </c>
      <c r="AP2019">
        <v>-90</v>
      </c>
      <c r="AQ2019">
        <v>-83</v>
      </c>
      <c r="AR2019">
        <v>-768</v>
      </c>
      <c r="AZ2019">
        <v>1200</v>
      </c>
      <c r="BA2019">
        <v>1</v>
      </c>
      <c r="BB2019" t="str">
        <f t="shared" si="1096"/>
        <v xml:space="preserve">N9217B  </v>
      </c>
      <c r="BC2019">
        <v>1</v>
      </c>
      <c r="BE2019">
        <v>0</v>
      </c>
      <c r="BF2019">
        <v>0</v>
      </c>
      <c r="BG2019">
        <v>0</v>
      </c>
      <c r="BH2019">
        <v>7925</v>
      </c>
      <c r="BI2019">
        <v>1</v>
      </c>
      <c r="BJ2019">
        <v>0</v>
      </c>
      <c r="BK2019">
        <v>0</v>
      </c>
      <c r="BL2019">
        <v>0</v>
      </c>
      <c r="BO2019">
        <v>0</v>
      </c>
      <c r="BP2019">
        <v>0</v>
      </c>
      <c r="BW2019" t="str">
        <f t="shared" si="1112"/>
        <v>14:54:02.303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285</v>
      </c>
      <c r="CR2019">
        <v>0</v>
      </c>
      <c r="CW2019">
        <v>8860621</v>
      </c>
      <c r="CY2019">
        <v>0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25">
      <c r="A2020" t="str">
        <f t="shared" si="1109"/>
        <v>06/05/2020 14:53:56.634</v>
      </c>
      <c r="C2020" t="str">
        <f t="shared" si="1113"/>
        <v>FFDFD3C0</v>
      </c>
      <c r="D2020" t="s">
        <v>113</v>
      </c>
      <c r="E2020">
        <v>3</v>
      </c>
      <c r="H2020">
        <v>166</v>
      </c>
      <c r="I2020" t="s">
        <v>114</v>
      </c>
      <c r="J2020" t="s">
        <v>115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110"/>
        <v>14:54:02.297</v>
      </c>
      <c r="T2020" t="str">
        <f t="shared" si="1111"/>
        <v>14:54:01.997</v>
      </c>
      <c r="U2020" t="str">
        <f t="shared" si="1093"/>
        <v>ACC530</v>
      </c>
      <c r="V2020">
        <v>0</v>
      </c>
      <c r="W2020">
        <v>0</v>
      </c>
      <c r="X2020">
        <v>1</v>
      </c>
      <c r="Z2020">
        <v>0</v>
      </c>
      <c r="AA2020">
        <v>9</v>
      </c>
      <c r="AB2020">
        <v>3</v>
      </c>
      <c r="AC2020">
        <v>0</v>
      </c>
      <c r="AD2020">
        <v>9</v>
      </c>
      <c r="AE2020">
        <v>0</v>
      </c>
      <c r="AF2020">
        <v>3</v>
      </c>
      <c r="AG2020">
        <v>1</v>
      </c>
      <c r="AH2020">
        <v>0</v>
      </c>
      <c r="AI2020" t="s">
        <v>746</v>
      </c>
      <c r="AJ2020">
        <v>34.172974000000004</v>
      </c>
      <c r="AK2020" t="s">
        <v>747</v>
      </c>
      <c r="AL2020">
        <v>-117.023342</v>
      </c>
      <c r="AM2020">
        <v>100</v>
      </c>
      <c r="AN2020">
        <v>8000</v>
      </c>
      <c r="AO2020" t="s">
        <v>118</v>
      </c>
      <c r="AP2020">
        <v>-90</v>
      </c>
      <c r="AQ2020">
        <v>-83</v>
      </c>
      <c r="AR2020">
        <v>-768</v>
      </c>
      <c r="AZ2020">
        <v>1200</v>
      </c>
      <c r="BA2020">
        <v>1</v>
      </c>
      <c r="BB2020" t="str">
        <f t="shared" si="1096"/>
        <v xml:space="preserve">N9217B  </v>
      </c>
      <c r="BC2020">
        <v>1</v>
      </c>
      <c r="BE2020">
        <v>0</v>
      </c>
      <c r="BF2020">
        <v>0</v>
      </c>
      <c r="BG2020">
        <v>0</v>
      </c>
      <c r="BH2020">
        <v>7925</v>
      </c>
      <c r="BI2020">
        <v>1</v>
      </c>
      <c r="BJ2020">
        <v>0</v>
      </c>
      <c r="BK2020">
        <v>0</v>
      </c>
      <c r="BL2020">
        <v>0</v>
      </c>
      <c r="BO2020">
        <v>0</v>
      </c>
      <c r="BP2020">
        <v>0</v>
      </c>
      <c r="BW2020" t="str">
        <f t="shared" si="1112"/>
        <v>14:54:02.303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285</v>
      </c>
      <c r="CR2020">
        <v>0</v>
      </c>
      <c r="CW2020">
        <v>8860621</v>
      </c>
      <c r="CY2020">
        <v>0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25">
      <c r="A2021" t="str">
        <f t="shared" si="1109"/>
        <v>06/05/2020 14:53:56.634</v>
      </c>
      <c r="C2021" t="str">
        <f t="shared" si="1113"/>
        <v>FFDFD3C0</v>
      </c>
      <c r="D2021" t="s">
        <v>148</v>
      </c>
      <c r="E2021">
        <v>11</v>
      </c>
      <c r="H2021">
        <v>53</v>
      </c>
      <c r="I2021" t="s">
        <v>364</v>
      </c>
      <c r="J2021" t="s">
        <v>150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110"/>
        <v>14:54:02.297</v>
      </c>
      <c r="T2021" t="str">
        <f t="shared" si="1111"/>
        <v>14:54:01.997</v>
      </c>
      <c r="U2021" t="str">
        <f t="shared" si="1093"/>
        <v>ACC530</v>
      </c>
      <c r="V2021">
        <v>0</v>
      </c>
      <c r="W2021">
        <v>0</v>
      </c>
      <c r="X2021">
        <v>1</v>
      </c>
      <c r="Z2021">
        <v>0</v>
      </c>
      <c r="AA2021">
        <v>9</v>
      </c>
      <c r="AB2021">
        <v>3</v>
      </c>
      <c r="AC2021">
        <v>0</v>
      </c>
      <c r="AD2021">
        <v>9</v>
      </c>
      <c r="AE2021">
        <v>0</v>
      </c>
      <c r="AF2021">
        <v>3</v>
      </c>
      <c r="AG2021">
        <v>1</v>
      </c>
      <c r="AH2021">
        <v>0</v>
      </c>
      <c r="AI2021" t="s">
        <v>746</v>
      </c>
      <c r="AJ2021">
        <v>34.172974000000004</v>
      </c>
      <c r="AK2021" t="s">
        <v>747</v>
      </c>
      <c r="AL2021">
        <v>-117.023342</v>
      </c>
      <c r="AM2021">
        <v>100</v>
      </c>
      <c r="AN2021">
        <v>8000</v>
      </c>
      <c r="AO2021" t="s">
        <v>118</v>
      </c>
      <c r="AP2021">
        <v>-90</v>
      </c>
      <c r="AQ2021">
        <v>-83</v>
      </c>
      <c r="AR2021">
        <v>-768</v>
      </c>
      <c r="AZ2021">
        <v>1200</v>
      </c>
      <c r="BA2021">
        <v>1</v>
      </c>
      <c r="BB2021" t="str">
        <f t="shared" si="1096"/>
        <v xml:space="preserve">N9217B  </v>
      </c>
      <c r="BC2021">
        <v>1</v>
      </c>
      <c r="BE2021">
        <v>0</v>
      </c>
      <c r="BF2021">
        <v>0</v>
      </c>
      <c r="BG2021">
        <v>0</v>
      </c>
      <c r="BH2021">
        <v>7925</v>
      </c>
      <c r="BI2021">
        <v>1</v>
      </c>
      <c r="BJ2021">
        <v>0</v>
      </c>
      <c r="BK2021">
        <v>0</v>
      </c>
      <c r="BL2021">
        <v>0</v>
      </c>
      <c r="BO2021">
        <v>0</v>
      </c>
      <c r="BP2021">
        <v>0</v>
      </c>
      <c r="BW2021" t="str">
        <f t="shared" si="1112"/>
        <v>14:54:02.303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285</v>
      </c>
      <c r="CR2021">
        <v>0</v>
      </c>
      <c r="CW2021">
        <v>8860621</v>
      </c>
      <c r="CY2021">
        <v>0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25">
      <c r="A2022" t="str">
        <f t="shared" si="1109"/>
        <v>06/05/2020 14:53:56.634</v>
      </c>
      <c r="C2022" t="str">
        <f t="shared" si="1113"/>
        <v>FFDFD3C0</v>
      </c>
      <c r="D2022" t="s">
        <v>134</v>
      </c>
      <c r="E2022">
        <v>7</v>
      </c>
      <c r="F2022">
        <v>2007</v>
      </c>
      <c r="G2022" t="s">
        <v>135</v>
      </c>
      <c r="J2022" t="s">
        <v>136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1110"/>
        <v>14:54:02.297</v>
      </c>
      <c r="T2022" t="str">
        <f t="shared" si="1111"/>
        <v>14:54:01.997</v>
      </c>
      <c r="U2022" t="str">
        <f t="shared" si="1093"/>
        <v>ACC530</v>
      </c>
      <c r="V2022">
        <v>0</v>
      </c>
      <c r="W2022">
        <v>0</v>
      </c>
      <c r="X2022">
        <v>1</v>
      </c>
      <c r="Z2022">
        <v>0</v>
      </c>
      <c r="AA2022">
        <v>9</v>
      </c>
      <c r="AB2022">
        <v>3</v>
      </c>
      <c r="AC2022">
        <v>0</v>
      </c>
      <c r="AD2022">
        <v>9</v>
      </c>
      <c r="AE2022">
        <v>0</v>
      </c>
      <c r="AF2022">
        <v>3</v>
      </c>
      <c r="AG2022">
        <v>1</v>
      </c>
      <c r="AH2022">
        <v>0</v>
      </c>
      <c r="AI2022" t="s">
        <v>746</v>
      </c>
      <c r="AJ2022">
        <v>34.172974000000004</v>
      </c>
      <c r="AK2022" t="s">
        <v>747</v>
      </c>
      <c r="AL2022">
        <v>-117.023342</v>
      </c>
      <c r="AM2022">
        <v>100</v>
      </c>
      <c r="AN2022">
        <v>8000</v>
      </c>
      <c r="AO2022" t="s">
        <v>118</v>
      </c>
      <c r="AP2022">
        <v>-90</v>
      </c>
      <c r="AQ2022">
        <v>-83</v>
      </c>
      <c r="AR2022">
        <v>-768</v>
      </c>
      <c r="AZ2022">
        <v>1200</v>
      </c>
      <c r="BA2022">
        <v>1</v>
      </c>
      <c r="BB2022" t="str">
        <f t="shared" si="1096"/>
        <v xml:space="preserve">N9217B  </v>
      </c>
      <c r="BC2022">
        <v>1</v>
      </c>
      <c r="BE2022">
        <v>0</v>
      </c>
      <c r="BF2022">
        <v>0</v>
      </c>
      <c r="BG2022">
        <v>0</v>
      </c>
      <c r="BH2022">
        <v>7925</v>
      </c>
      <c r="BI2022">
        <v>1</v>
      </c>
      <c r="BJ2022">
        <v>0</v>
      </c>
      <c r="BK2022">
        <v>0</v>
      </c>
      <c r="BL2022">
        <v>0</v>
      </c>
      <c r="BO2022">
        <v>0</v>
      </c>
      <c r="BP2022">
        <v>0</v>
      </c>
      <c r="BW2022" t="str">
        <f t="shared" si="1112"/>
        <v>14:54:02.303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285</v>
      </c>
      <c r="CR2022">
        <v>0</v>
      </c>
      <c r="CW2022">
        <v>8860621</v>
      </c>
      <c r="CY2022">
        <v>0</v>
      </c>
      <c r="CZ2022">
        <v>0</v>
      </c>
      <c r="DA2022">
        <v>1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25">
      <c r="A2023" t="str">
        <f t="shared" si="1109"/>
        <v>06/05/2020 14:53:56.634</v>
      </c>
      <c r="C2023" t="str">
        <f t="shared" si="1113"/>
        <v>FFDFD3C0</v>
      </c>
      <c r="D2023" t="s">
        <v>151</v>
      </c>
      <c r="E2023">
        <v>8</v>
      </c>
      <c r="H2023">
        <v>225</v>
      </c>
      <c r="I2023" t="s">
        <v>353</v>
      </c>
      <c r="J2023" t="s">
        <v>150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110"/>
        <v>14:54:02.297</v>
      </c>
      <c r="T2023" t="str">
        <f t="shared" si="1111"/>
        <v>14:54:01.997</v>
      </c>
      <c r="U2023" t="str">
        <f t="shared" si="1093"/>
        <v>ACC530</v>
      </c>
      <c r="V2023">
        <v>0</v>
      </c>
      <c r="W2023">
        <v>0</v>
      </c>
      <c r="X2023">
        <v>1</v>
      </c>
      <c r="Z2023">
        <v>0</v>
      </c>
      <c r="AA2023">
        <v>9</v>
      </c>
      <c r="AB2023">
        <v>3</v>
      </c>
      <c r="AC2023">
        <v>0</v>
      </c>
      <c r="AD2023">
        <v>9</v>
      </c>
      <c r="AE2023">
        <v>0</v>
      </c>
      <c r="AF2023">
        <v>3</v>
      </c>
      <c r="AG2023">
        <v>1</v>
      </c>
      <c r="AH2023">
        <v>0</v>
      </c>
      <c r="AI2023" t="s">
        <v>746</v>
      </c>
      <c r="AJ2023">
        <v>34.172974000000004</v>
      </c>
      <c r="AK2023" t="s">
        <v>747</v>
      </c>
      <c r="AL2023">
        <v>-117.023342</v>
      </c>
      <c r="AM2023">
        <v>100</v>
      </c>
      <c r="AN2023">
        <v>8000</v>
      </c>
      <c r="AO2023" t="s">
        <v>118</v>
      </c>
      <c r="AP2023">
        <v>-90</v>
      </c>
      <c r="AQ2023">
        <v>-83</v>
      </c>
      <c r="AR2023">
        <v>-768</v>
      </c>
      <c r="AZ2023">
        <v>1200</v>
      </c>
      <c r="BA2023">
        <v>1</v>
      </c>
      <c r="BB2023" t="str">
        <f t="shared" si="1096"/>
        <v xml:space="preserve">N9217B  </v>
      </c>
      <c r="BC2023">
        <v>1</v>
      </c>
      <c r="BE2023">
        <v>0</v>
      </c>
      <c r="BF2023">
        <v>0</v>
      </c>
      <c r="BG2023">
        <v>0</v>
      </c>
      <c r="BH2023">
        <v>7925</v>
      </c>
      <c r="BI2023">
        <v>1</v>
      </c>
      <c r="BJ2023">
        <v>0</v>
      </c>
      <c r="BK2023">
        <v>0</v>
      </c>
      <c r="BL2023">
        <v>0</v>
      </c>
      <c r="BO2023">
        <v>0</v>
      </c>
      <c r="BP2023">
        <v>0</v>
      </c>
      <c r="BW2023" t="str">
        <f t="shared" si="1112"/>
        <v>14:54:02.303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285</v>
      </c>
      <c r="CR2023">
        <v>0</v>
      </c>
      <c r="CW2023">
        <v>8860621</v>
      </c>
      <c r="CY2023">
        <v>0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25">
      <c r="A2024" t="str">
        <f t="shared" ref="A2024:A2030" si="1114">"06/05/2020 14:53:57.630"</f>
        <v>06/05/2020 14:53:57.630</v>
      </c>
      <c r="C2024" t="str">
        <f t="shared" si="1113"/>
        <v>FFDFD3C0</v>
      </c>
      <c r="D2024" t="s">
        <v>151</v>
      </c>
      <c r="E2024">
        <v>8</v>
      </c>
      <c r="H2024">
        <v>225</v>
      </c>
      <c r="I2024" t="s">
        <v>353</v>
      </c>
      <c r="J2024" t="s">
        <v>150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ref="S2024:S2030" si="1115">"14:54:03.273"</f>
        <v>14:54:03.273</v>
      </c>
      <c r="T2024" t="str">
        <f t="shared" ref="T2024:T2030" si="1116">"14:54:03.073"</f>
        <v>14:54:03.073</v>
      </c>
      <c r="U2024" t="str">
        <f t="shared" si="1093"/>
        <v>ACC530</v>
      </c>
      <c r="V2024">
        <v>0</v>
      </c>
      <c r="W2024">
        <v>0</v>
      </c>
      <c r="X2024">
        <v>1</v>
      </c>
      <c r="Z2024">
        <v>0</v>
      </c>
      <c r="AA2024">
        <v>9</v>
      </c>
      <c r="AB2024">
        <v>3</v>
      </c>
      <c r="AC2024">
        <v>0</v>
      </c>
      <c r="AD2024">
        <v>9</v>
      </c>
      <c r="AE2024">
        <v>0</v>
      </c>
      <c r="AF2024">
        <v>3</v>
      </c>
      <c r="AG2024">
        <v>1</v>
      </c>
      <c r="AH2024">
        <v>0</v>
      </c>
      <c r="AI2024" t="s">
        <v>748</v>
      </c>
      <c r="AJ2024">
        <v>34.172609000000001</v>
      </c>
      <c r="AK2024" t="s">
        <v>749</v>
      </c>
      <c r="AL2024">
        <v>-117.02383500000001</v>
      </c>
      <c r="AM2024">
        <v>100</v>
      </c>
      <c r="AN2024">
        <v>7900</v>
      </c>
      <c r="AO2024" t="s">
        <v>118</v>
      </c>
      <c r="AP2024">
        <v>-89</v>
      </c>
      <c r="AQ2024">
        <v>-84</v>
      </c>
      <c r="AR2024">
        <v>-832</v>
      </c>
      <c r="AZ2024">
        <v>1200</v>
      </c>
      <c r="BA2024">
        <v>1</v>
      </c>
      <c r="BB2024" t="str">
        <f t="shared" si="1096"/>
        <v xml:space="preserve">N9217B  </v>
      </c>
      <c r="BC2024">
        <v>1</v>
      </c>
      <c r="BE2024">
        <v>0</v>
      </c>
      <c r="BF2024">
        <v>0</v>
      </c>
      <c r="BG2024">
        <v>0</v>
      </c>
      <c r="BH2024">
        <v>7900</v>
      </c>
      <c r="BI2024">
        <v>1</v>
      </c>
      <c r="BJ2024">
        <v>0</v>
      </c>
      <c r="BK2024">
        <v>0</v>
      </c>
      <c r="BL2024">
        <v>0</v>
      </c>
      <c r="BO2024">
        <v>0</v>
      </c>
      <c r="BP2024">
        <v>0</v>
      </c>
      <c r="BW2024" t="str">
        <f t="shared" ref="BW2024:BW2030" si="1117">"14:54:03.278"</f>
        <v>14:54:03.278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285</v>
      </c>
      <c r="CR2024">
        <v>0</v>
      </c>
      <c r="CW2024">
        <v>8860710</v>
      </c>
      <c r="CY2024">
        <v>0</v>
      </c>
      <c r="CZ2024">
        <v>0</v>
      </c>
      <c r="DA2024">
        <v>0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25">
      <c r="A2025" t="str">
        <f t="shared" si="1114"/>
        <v>06/05/2020 14:53:57.630</v>
      </c>
      <c r="C2025" t="str">
        <f t="shared" si="1113"/>
        <v>FFDFD3C0</v>
      </c>
      <c r="D2025" t="s">
        <v>141</v>
      </c>
      <c r="E2025">
        <v>20</v>
      </c>
      <c r="F2025">
        <v>1020</v>
      </c>
      <c r="G2025" t="s">
        <v>114</v>
      </c>
      <c r="J2025" t="s">
        <v>142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115"/>
        <v>14:54:03.273</v>
      </c>
      <c r="T2025" t="str">
        <f t="shared" si="1116"/>
        <v>14:54:03.073</v>
      </c>
      <c r="U2025" t="str">
        <f t="shared" si="1093"/>
        <v>ACC530</v>
      </c>
      <c r="V2025">
        <v>0</v>
      </c>
      <c r="W2025">
        <v>0</v>
      </c>
      <c r="X2025">
        <v>1</v>
      </c>
      <c r="Z2025">
        <v>0</v>
      </c>
      <c r="AA2025">
        <v>9</v>
      </c>
      <c r="AB2025">
        <v>3</v>
      </c>
      <c r="AC2025">
        <v>0</v>
      </c>
      <c r="AD2025">
        <v>9</v>
      </c>
      <c r="AE2025">
        <v>0</v>
      </c>
      <c r="AF2025">
        <v>3</v>
      </c>
      <c r="AG2025">
        <v>1</v>
      </c>
      <c r="AH2025">
        <v>0</v>
      </c>
      <c r="AI2025" t="s">
        <v>748</v>
      </c>
      <c r="AJ2025">
        <v>34.172609000000001</v>
      </c>
      <c r="AK2025" t="s">
        <v>749</v>
      </c>
      <c r="AL2025">
        <v>-117.02383500000001</v>
      </c>
      <c r="AM2025">
        <v>100</v>
      </c>
      <c r="AN2025">
        <v>7900</v>
      </c>
      <c r="AO2025" t="s">
        <v>118</v>
      </c>
      <c r="AP2025">
        <v>-89</v>
      </c>
      <c r="AQ2025">
        <v>-84</v>
      </c>
      <c r="AR2025">
        <v>-832</v>
      </c>
      <c r="AZ2025">
        <v>1200</v>
      </c>
      <c r="BA2025">
        <v>1</v>
      </c>
      <c r="BB2025" t="str">
        <f t="shared" si="1096"/>
        <v xml:space="preserve">N9217B  </v>
      </c>
      <c r="BC2025">
        <v>1</v>
      </c>
      <c r="BE2025">
        <v>0</v>
      </c>
      <c r="BF2025">
        <v>0</v>
      </c>
      <c r="BG2025">
        <v>0</v>
      </c>
      <c r="BH2025">
        <v>7900</v>
      </c>
      <c r="BI2025">
        <v>1</v>
      </c>
      <c r="BJ2025">
        <v>0</v>
      </c>
      <c r="BK2025">
        <v>0</v>
      </c>
      <c r="BL2025">
        <v>0</v>
      </c>
      <c r="BO2025">
        <v>0</v>
      </c>
      <c r="BP2025">
        <v>0</v>
      </c>
      <c r="BW2025" t="str">
        <f t="shared" si="1117"/>
        <v>14:54:03.278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285</v>
      </c>
      <c r="CR2025">
        <v>0</v>
      </c>
      <c r="CW2025">
        <v>8860710</v>
      </c>
      <c r="CY2025">
        <v>0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25">
      <c r="A2026" t="str">
        <f t="shared" si="1114"/>
        <v>06/05/2020 14:53:57.630</v>
      </c>
      <c r="C2026" t="str">
        <f t="shared" si="1113"/>
        <v>FFDFD3C0</v>
      </c>
      <c r="D2026" t="s">
        <v>151</v>
      </c>
      <c r="E2026">
        <v>9</v>
      </c>
      <c r="H2026">
        <v>226</v>
      </c>
      <c r="I2026" t="s">
        <v>152</v>
      </c>
      <c r="J2026" t="s">
        <v>150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115"/>
        <v>14:54:03.273</v>
      </c>
      <c r="T2026" t="str">
        <f t="shared" si="1116"/>
        <v>14:54:03.073</v>
      </c>
      <c r="U2026" t="str">
        <f t="shared" si="1093"/>
        <v>ACC530</v>
      </c>
      <c r="V2026">
        <v>0</v>
      </c>
      <c r="W2026">
        <v>0</v>
      </c>
      <c r="X2026">
        <v>1</v>
      </c>
      <c r="Z2026">
        <v>0</v>
      </c>
      <c r="AA2026">
        <v>9</v>
      </c>
      <c r="AB2026">
        <v>3</v>
      </c>
      <c r="AC2026">
        <v>0</v>
      </c>
      <c r="AD2026">
        <v>9</v>
      </c>
      <c r="AE2026">
        <v>0</v>
      </c>
      <c r="AF2026">
        <v>3</v>
      </c>
      <c r="AG2026">
        <v>1</v>
      </c>
      <c r="AH2026">
        <v>0</v>
      </c>
      <c r="AI2026" t="s">
        <v>748</v>
      </c>
      <c r="AJ2026">
        <v>34.172609000000001</v>
      </c>
      <c r="AK2026" t="s">
        <v>749</v>
      </c>
      <c r="AL2026">
        <v>-117.02383500000001</v>
      </c>
      <c r="AM2026">
        <v>100</v>
      </c>
      <c r="AN2026">
        <v>7900</v>
      </c>
      <c r="AO2026" t="s">
        <v>118</v>
      </c>
      <c r="AP2026">
        <v>-89</v>
      </c>
      <c r="AQ2026">
        <v>-84</v>
      </c>
      <c r="AR2026">
        <v>-832</v>
      </c>
      <c r="AZ2026">
        <v>1200</v>
      </c>
      <c r="BA2026">
        <v>1</v>
      </c>
      <c r="BB2026" t="str">
        <f t="shared" si="1096"/>
        <v xml:space="preserve">N9217B  </v>
      </c>
      <c r="BC2026">
        <v>1</v>
      </c>
      <c r="BE2026">
        <v>0</v>
      </c>
      <c r="BF2026">
        <v>0</v>
      </c>
      <c r="BG2026">
        <v>0</v>
      </c>
      <c r="BH2026">
        <v>7900</v>
      </c>
      <c r="BI2026">
        <v>1</v>
      </c>
      <c r="BJ2026">
        <v>0</v>
      </c>
      <c r="BK2026">
        <v>0</v>
      </c>
      <c r="BL2026">
        <v>0</v>
      </c>
      <c r="BO2026">
        <v>0</v>
      </c>
      <c r="BP2026">
        <v>0</v>
      </c>
      <c r="BW2026" t="str">
        <f t="shared" si="1117"/>
        <v>14:54:03.278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6</v>
      </c>
      <c r="CP2026" t="s">
        <v>119</v>
      </c>
      <c r="CQ2026">
        <v>285</v>
      </c>
      <c r="CR2026">
        <v>0</v>
      </c>
      <c r="CW2026">
        <v>8860710</v>
      </c>
      <c r="CY2026">
        <v>0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25">
      <c r="A2027" t="str">
        <f t="shared" si="1114"/>
        <v>06/05/2020 14:53:57.630</v>
      </c>
      <c r="C2027" t="str">
        <f t="shared" si="1113"/>
        <v>FFDFD3C0</v>
      </c>
      <c r="D2027" t="s">
        <v>113</v>
      </c>
      <c r="E2027">
        <v>3</v>
      </c>
      <c r="H2027">
        <v>166</v>
      </c>
      <c r="I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115"/>
        <v>14:54:03.273</v>
      </c>
      <c r="T2027" t="str">
        <f t="shared" si="1116"/>
        <v>14:54:03.073</v>
      </c>
      <c r="U2027" t="str">
        <f t="shared" si="1093"/>
        <v>ACC530</v>
      </c>
      <c r="V2027">
        <v>0</v>
      </c>
      <c r="W2027">
        <v>0</v>
      </c>
      <c r="X2027">
        <v>1</v>
      </c>
      <c r="Z2027">
        <v>0</v>
      </c>
      <c r="AA2027">
        <v>9</v>
      </c>
      <c r="AB2027">
        <v>3</v>
      </c>
      <c r="AC2027">
        <v>0</v>
      </c>
      <c r="AD2027">
        <v>9</v>
      </c>
      <c r="AE2027">
        <v>0</v>
      </c>
      <c r="AF2027">
        <v>3</v>
      </c>
      <c r="AG2027">
        <v>1</v>
      </c>
      <c r="AH2027">
        <v>0</v>
      </c>
      <c r="AI2027" t="s">
        <v>748</v>
      </c>
      <c r="AJ2027">
        <v>34.172609000000001</v>
      </c>
      <c r="AK2027" t="s">
        <v>749</v>
      </c>
      <c r="AL2027">
        <v>-117.02383500000001</v>
      </c>
      <c r="AM2027">
        <v>100</v>
      </c>
      <c r="AN2027">
        <v>7900</v>
      </c>
      <c r="AO2027" t="s">
        <v>118</v>
      </c>
      <c r="AP2027">
        <v>-89</v>
      </c>
      <c r="AQ2027">
        <v>-84</v>
      </c>
      <c r="AR2027">
        <v>-832</v>
      </c>
      <c r="AZ2027">
        <v>1200</v>
      </c>
      <c r="BA2027">
        <v>1</v>
      </c>
      <c r="BB2027" t="str">
        <f t="shared" si="1096"/>
        <v xml:space="preserve">N9217B  </v>
      </c>
      <c r="BC2027">
        <v>1</v>
      </c>
      <c r="BE2027">
        <v>0</v>
      </c>
      <c r="BF2027">
        <v>0</v>
      </c>
      <c r="BG2027">
        <v>0</v>
      </c>
      <c r="BH2027">
        <v>7900</v>
      </c>
      <c r="BI2027">
        <v>1</v>
      </c>
      <c r="BJ2027">
        <v>0</v>
      </c>
      <c r="BK2027">
        <v>0</v>
      </c>
      <c r="BL2027">
        <v>0</v>
      </c>
      <c r="BO2027">
        <v>0</v>
      </c>
      <c r="BP2027">
        <v>0</v>
      </c>
      <c r="BW2027" t="str">
        <f t="shared" si="1117"/>
        <v>14:54:03.278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285</v>
      </c>
      <c r="CR2027">
        <v>0</v>
      </c>
      <c r="CW2027">
        <v>8860710</v>
      </c>
      <c r="CY2027">
        <v>0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25">
      <c r="A2028" t="str">
        <f t="shared" si="1114"/>
        <v>06/05/2020 14:53:57.630</v>
      </c>
      <c r="C2028" t="str">
        <f t="shared" si="1113"/>
        <v>FFDFD3C0</v>
      </c>
      <c r="D2028" t="s">
        <v>148</v>
      </c>
      <c r="E2028">
        <v>8</v>
      </c>
      <c r="H2028">
        <v>50</v>
      </c>
      <c r="I2028" t="s">
        <v>149</v>
      </c>
      <c r="J2028" t="s">
        <v>150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115"/>
        <v>14:54:03.273</v>
      </c>
      <c r="T2028" t="str">
        <f t="shared" si="1116"/>
        <v>14:54:03.073</v>
      </c>
      <c r="U2028" t="str">
        <f t="shared" si="1093"/>
        <v>ACC530</v>
      </c>
      <c r="V2028">
        <v>0</v>
      </c>
      <c r="W2028">
        <v>0</v>
      </c>
      <c r="X2028">
        <v>1</v>
      </c>
      <c r="Z2028">
        <v>0</v>
      </c>
      <c r="AA2028">
        <v>9</v>
      </c>
      <c r="AB2028">
        <v>3</v>
      </c>
      <c r="AC2028">
        <v>0</v>
      </c>
      <c r="AD2028">
        <v>9</v>
      </c>
      <c r="AE2028">
        <v>0</v>
      </c>
      <c r="AF2028">
        <v>3</v>
      </c>
      <c r="AG2028">
        <v>1</v>
      </c>
      <c r="AH2028">
        <v>0</v>
      </c>
      <c r="AI2028" t="s">
        <v>748</v>
      </c>
      <c r="AJ2028">
        <v>34.172609000000001</v>
      </c>
      <c r="AK2028" t="s">
        <v>749</v>
      </c>
      <c r="AL2028">
        <v>-117.02383500000001</v>
      </c>
      <c r="AM2028">
        <v>100</v>
      </c>
      <c r="AN2028">
        <v>7900</v>
      </c>
      <c r="AO2028" t="s">
        <v>118</v>
      </c>
      <c r="AP2028">
        <v>-89</v>
      </c>
      <c r="AQ2028">
        <v>-84</v>
      </c>
      <c r="AR2028">
        <v>-832</v>
      </c>
      <c r="AZ2028">
        <v>1200</v>
      </c>
      <c r="BA2028">
        <v>1</v>
      </c>
      <c r="BB2028" t="str">
        <f t="shared" si="1096"/>
        <v xml:space="preserve">N9217B  </v>
      </c>
      <c r="BC2028">
        <v>1</v>
      </c>
      <c r="BE2028">
        <v>0</v>
      </c>
      <c r="BF2028">
        <v>0</v>
      </c>
      <c r="BG2028">
        <v>0</v>
      </c>
      <c r="BH2028">
        <v>7900</v>
      </c>
      <c r="BI2028">
        <v>1</v>
      </c>
      <c r="BJ2028">
        <v>0</v>
      </c>
      <c r="BK2028">
        <v>0</v>
      </c>
      <c r="BL2028">
        <v>0</v>
      </c>
      <c r="BO2028">
        <v>0</v>
      </c>
      <c r="BP2028">
        <v>0</v>
      </c>
      <c r="BW2028" t="str">
        <f t="shared" si="1117"/>
        <v>14:54:03.278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6</v>
      </c>
      <c r="CP2028" t="s">
        <v>119</v>
      </c>
      <c r="CQ2028">
        <v>285</v>
      </c>
      <c r="CR2028">
        <v>0</v>
      </c>
      <c r="CW2028">
        <v>8860710</v>
      </c>
      <c r="CY2028">
        <v>0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25">
      <c r="A2029" t="str">
        <f t="shared" si="1114"/>
        <v>06/05/2020 14:53:57.630</v>
      </c>
      <c r="C2029" t="str">
        <f t="shared" si="1113"/>
        <v>FFDFD3C0</v>
      </c>
      <c r="D2029" t="s">
        <v>134</v>
      </c>
      <c r="E2029">
        <v>7</v>
      </c>
      <c r="F2029">
        <v>2007</v>
      </c>
      <c r="G2029" t="s">
        <v>135</v>
      </c>
      <c r="J2029" t="s">
        <v>136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1115"/>
        <v>14:54:03.273</v>
      </c>
      <c r="T2029" t="str">
        <f t="shared" si="1116"/>
        <v>14:54:03.073</v>
      </c>
      <c r="U2029" t="str">
        <f t="shared" si="1093"/>
        <v>ACC530</v>
      </c>
      <c r="V2029">
        <v>0</v>
      </c>
      <c r="W2029">
        <v>0</v>
      </c>
      <c r="X2029">
        <v>1</v>
      </c>
      <c r="Z2029">
        <v>0</v>
      </c>
      <c r="AA2029">
        <v>9</v>
      </c>
      <c r="AB2029">
        <v>3</v>
      </c>
      <c r="AC2029">
        <v>0</v>
      </c>
      <c r="AD2029">
        <v>9</v>
      </c>
      <c r="AE2029">
        <v>0</v>
      </c>
      <c r="AF2029">
        <v>3</v>
      </c>
      <c r="AG2029">
        <v>1</v>
      </c>
      <c r="AH2029">
        <v>0</v>
      </c>
      <c r="AI2029" t="s">
        <v>748</v>
      </c>
      <c r="AJ2029">
        <v>34.172609000000001</v>
      </c>
      <c r="AK2029" t="s">
        <v>749</v>
      </c>
      <c r="AL2029">
        <v>-117.02383500000001</v>
      </c>
      <c r="AM2029">
        <v>100</v>
      </c>
      <c r="AN2029">
        <v>7900</v>
      </c>
      <c r="AO2029" t="s">
        <v>118</v>
      </c>
      <c r="AP2029">
        <v>-89</v>
      </c>
      <c r="AQ2029">
        <v>-84</v>
      </c>
      <c r="AR2029">
        <v>-832</v>
      </c>
      <c r="AZ2029">
        <v>1200</v>
      </c>
      <c r="BA2029">
        <v>1</v>
      </c>
      <c r="BB2029" t="str">
        <f t="shared" si="1096"/>
        <v xml:space="preserve">N9217B  </v>
      </c>
      <c r="BC2029">
        <v>1</v>
      </c>
      <c r="BE2029">
        <v>0</v>
      </c>
      <c r="BF2029">
        <v>0</v>
      </c>
      <c r="BG2029">
        <v>0</v>
      </c>
      <c r="BH2029">
        <v>7900</v>
      </c>
      <c r="BI2029">
        <v>1</v>
      </c>
      <c r="BJ2029">
        <v>0</v>
      </c>
      <c r="BK2029">
        <v>0</v>
      </c>
      <c r="BL2029">
        <v>0</v>
      </c>
      <c r="BO2029">
        <v>0</v>
      </c>
      <c r="BP2029">
        <v>0</v>
      </c>
      <c r="BW2029" t="str">
        <f t="shared" si="1117"/>
        <v>14:54:03.278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6</v>
      </c>
      <c r="CP2029" t="s">
        <v>119</v>
      </c>
      <c r="CQ2029">
        <v>285</v>
      </c>
      <c r="CR2029">
        <v>0</v>
      </c>
      <c r="CW2029">
        <v>8860710</v>
      </c>
      <c r="CY2029">
        <v>0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25">
      <c r="A2030" t="str">
        <f t="shared" si="1114"/>
        <v>06/05/2020 14:53:57.630</v>
      </c>
      <c r="C2030" t="str">
        <f t="shared" si="1113"/>
        <v>FFDFD3C0</v>
      </c>
      <c r="D2030" t="s">
        <v>148</v>
      </c>
      <c r="E2030">
        <v>11</v>
      </c>
      <c r="H2030">
        <v>53</v>
      </c>
      <c r="I2030" t="s">
        <v>364</v>
      </c>
      <c r="J2030" t="s">
        <v>150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1115"/>
        <v>14:54:03.273</v>
      </c>
      <c r="T2030" t="str">
        <f t="shared" si="1116"/>
        <v>14:54:03.073</v>
      </c>
      <c r="U2030" t="str">
        <f t="shared" si="1093"/>
        <v>ACC530</v>
      </c>
      <c r="V2030">
        <v>0</v>
      </c>
      <c r="W2030">
        <v>0</v>
      </c>
      <c r="X2030">
        <v>1</v>
      </c>
      <c r="Z2030">
        <v>0</v>
      </c>
      <c r="AA2030">
        <v>9</v>
      </c>
      <c r="AB2030">
        <v>3</v>
      </c>
      <c r="AC2030">
        <v>0</v>
      </c>
      <c r="AD2030">
        <v>9</v>
      </c>
      <c r="AE2030">
        <v>0</v>
      </c>
      <c r="AF2030">
        <v>3</v>
      </c>
      <c r="AG2030">
        <v>1</v>
      </c>
      <c r="AH2030">
        <v>0</v>
      </c>
      <c r="AI2030" t="s">
        <v>748</v>
      </c>
      <c r="AJ2030">
        <v>34.172609000000001</v>
      </c>
      <c r="AK2030" t="s">
        <v>749</v>
      </c>
      <c r="AL2030">
        <v>-117.02383500000001</v>
      </c>
      <c r="AM2030">
        <v>100</v>
      </c>
      <c r="AN2030">
        <v>7900</v>
      </c>
      <c r="AO2030" t="s">
        <v>118</v>
      </c>
      <c r="AP2030">
        <v>-89</v>
      </c>
      <c r="AQ2030">
        <v>-84</v>
      </c>
      <c r="AR2030">
        <v>-832</v>
      </c>
      <c r="AZ2030">
        <v>1200</v>
      </c>
      <c r="BA2030">
        <v>1</v>
      </c>
      <c r="BB2030" t="str">
        <f t="shared" si="1096"/>
        <v xml:space="preserve">N9217B  </v>
      </c>
      <c r="BC2030">
        <v>1</v>
      </c>
      <c r="BE2030">
        <v>0</v>
      </c>
      <c r="BF2030">
        <v>0</v>
      </c>
      <c r="BG2030">
        <v>0</v>
      </c>
      <c r="BH2030">
        <v>7900</v>
      </c>
      <c r="BI2030">
        <v>1</v>
      </c>
      <c r="BJ2030">
        <v>0</v>
      </c>
      <c r="BK2030">
        <v>0</v>
      </c>
      <c r="BL2030">
        <v>0</v>
      </c>
      <c r="BO2030">
        <v>0</v>
      </c>
      <c r="BP2030">
        <v>0</v>
      </c>
      <c r="BW2030" t="str">
        <f t="shared" si="1117"/>
        <v>14:54:03.278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6</v>
      </c>
      <c r="CP2030" t="s">
        <v>119</v>
      </c>
      <c r="CQ2030">
        <v>285</v>
      </c>
      <c r="CR2030">
        <v>0</v>
      </c>
      <c r="CW2030">
        <v>8860710</v>
      </c>
      <c r="CY2030">
        <v>0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25">
      <c r="A2031" t="str">
        <f t="shared" ref="A2031:A2037" si="1118">"06/05/2020 14:53:58.755"</f>
        <v>06/05/2020 14:53:58.755</v>
      </c>
      <c r="C2031" t="str">
        <f t="shared" si="1113"/>
        <v>FFDFD3C0</v>
      </c>
      <c r="D2031" t="s">
        <v>113</v>
      </c>
      <c r="E2031">
        <v>3</v>
      </c>
      <c r="H2031">
        <v>166</v>
      </c>
      <c r="I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ref="S2031:T2037" si="1119">"14:54:04.414"</f>
        <v>14:54:04.414</v>
      </c>
      <c r="T2031" t="str">
        <f t="shared" si="1119"/>
        <v>14:54:04.414</v>
      </c>
      <c r="U2031" t="str">
        <f t="shared" si="1093"/>
        <v>ACC530</v>
      </c>
      <c r="V2031">
        <v>0</v>
      </c>
      <c r="W2031">
        <v>0</v>
      </c>
      <c r="X2031">
        <v>1</v>
      </c>
      <c r="Z2031">
        <v>0</v>
      </c>
      <c r="AA2031">
        <v>9</v>
      </c>
      <c r="AB2031">
        <v>3</v>
      </c>
      <c r="AC2031">
        <v>0</v>
      </c>
      <c r="AD2031">
        <v>9</v>
      </c>
      <c r="AE2031">
        <v>0</v>
      </c>
      <c r="AF2031">
        <v>3</v>
      </c>
      <c r="AG2031">
        <v>1</v>
      </c>
      <c r="AH2031">
        <v>0</v>
      </c>
      <c r="AI2031" t="s">
        <v>750</v>
      </c>
      <c r="AJ2031">
        <v>34.172158000000003</v>
      </c>
      <c r="AK2031" t="s">
        <v>751</v>
      </c>
      <c r="AL2031">
        <v>-117.024415</v>
      </c>
      <c r="AM2031">
        <v>100</v>
      </c>
      <c r="AN2031">
        <v>7900</v>
      </c>
      <c r="AO2031" t="s">
        <v>118</v>
      </c>
      <c r="AP2031">
        <v>-89</v>
      </c>
      <c r="AQ2031">
        <v>-84</v>
      </c>
      <c r="AR2031">
        <v>-768</v>
      </c>
      <c r="AZ2031">
        <v>1200</v>
      </c>
      <c r="BA2031">
        <v>1</v>
      </c>
      <c r="BB2031" t="str">
        <f t="shared" si="1096"/>
        <v xml:space="preserve">N9217B  </v>
      </c>
      <c r="BC2031">
        <v>1</v>
      </c>
      <c r="BE2031">
        <v>0</v>
      </c>
      <c r="BF2031">
        <v>0</v>
      </c>
      <c r="BG2031">
        <v>0</v>
      </c>
      <c r="BH2031">
        <v>7900</v>
      </c>
      <c r="BI2031">
        <v>1</v>
      </c>
      <c r="BJ2031">
        <v>0</v>
      </c>
      <c r="BK2031">
        <v>0</v>
      </c>
      <c r="BL2031">
        <v>0</v>
      </c>
      <c r="BO2031">
        <v>0</v>
      </c>
      <c r="BP2031">
        <v>0</v>
      </c>
      <c r="BW2031" t="str">
        <f t="shared" ref="BW2031:BW2037" si="1120">"14:54:04.418"</f>
        <v>14:54:04.418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6</v>
      </c>
      <c r="CP2031" t="s">
        <v>119</v>
      </c>
      <c r="CQ2031">
        <v>285</v>
      </c>
      <c r="CR2031">
        <v>0</v>
      </c>
      <c r="CW2031">
        <v>8860812</v>
      </c>
      <c r="CY2031">
        <v>0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25">
      <c r="A2032" t="str">
        <f t="shared" si="1118"/>
        <v>06/05/2020 14:53:58.755</v>
      </c>
      <c r="C2032" t="str">
        <f t="shared" si="1113"/>
        <v>FFDFD3C0</v>
      </c>
      <c r="D2032" t="s">
        <v>151</v>
      </c>
      <c r="E2032">
        <v>9</v>
      </c>
      <c r="H2032">
        <v>226</v>
      </c>
      <c r="I2032" t="s">
        <v>152</v>
      </c>
      <c r="J2032" t="s">
        <v>150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119"/>
        <v>14:54:04.414</v>
      </c>
      <c r="T2032" t="str">
        <f t="shared" si="1119"/>
        <v>14:54:04.414</v>
      </c>
      <c r="U2032" t="str">
        <f t="shared" si="1093"/>
        <v>ACC530</v>
      </c>
      <c r="V2032">
        <v>0</v>
      </c>
      <c r="W2032">
        <v>0</v>
      </c>
      <c r="X2032">
        <v>1</v>
      </c>
      <c r="Z2032">
        <v>0</v>
      </c>
      <c r="AA2032">
        <v>9</v>
      </c>
      <c r="AB2032">
        <v>3</v>
      </c>
      <c r="AC2032">
        <v>0</v>
      </c>
      <c r="AD2032">
        <v>9</v>
      </c>
      <c r="AE2032">
        <v>0</v>
      </c>
      <c r="AF2032">
        <v>3</v>
      </c>
      <c r="AG2032">
        <v>1</v>
      </c>
      <c r="AH2032">
        <v>0</v>
      </c>
      <c r="AI2032" t="s">
        <v>750</v>
      </c>
      <c r="AJ2032">
        <v>34.172158000000003</v>
      </c>
      <c r="AK2032" t="s">
        <v>751</v>
      </c>
      <c r="AL2032">
        <v>-117.024415</v>
      </c>
      <c r="AM2032">
        <v>100</v>
      </c>
      <c r="AN2032">
        <v>7900</v>
      </c>
      <c r="AO2032" t="s">
        <v>118</v>
      </c>
      <c r="AP2032">
        <v>-89</v>
      </c>
      <c r="AQ2032">
        <v>-84</v>
      </c>
      <c r="AR2032">
        <v>-768</v>
      </c>
      <c r="AZ2032">
        <v>1200</v>
      </c>
      <c r="BA2032">
        <v>1</v>
      </c>
      <c r="BB2032" t="str">
        <f t="shared" si="1096"/>
        <v xml:space="preserve">N9217B  </v>
      </c>
      <c r="BC2032">
        <v>1</v>
      </c>
      <c r="BE2032">
        <v>0</v>
      </c>
      <c r="BF2032">
        <v>0</v>
      </c>
      <c r="BG2032">
        <v>0</v>
      </c>
      <c r="BH2032">
        <v>7900</v>
      </c>
      <c r="BI2032">
        <v>1</v>
      </c>
      <c r="BJ2032">
        <v>0</v>
      </c>
      <c r="BK2032">
        <v>0</v>
      </c>
      <c r="BL2032">
        <v>0</v>
      </c>
      <c r="BO2032">
        <v>0</v>
      </c>
      <c r="BP2032">
        <v>0</v>
      </c>
      <c r="BW2032" t="str">
        <f t="shared" si="1120"/>
        <v>14:54:04.418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6</v>
      </c>
      <c r="CP2032" t="s">
        <v>119</v>
      </c>
      <c r="CQ2032">
        <v>285</v>
      </c>
      <c r="CR2032">
        <v>0</v>
      </c>
      <c r="CW2032">
        <v>8860812</v>
      </c>
      <c r="CY2032">
        <v>0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25">
      <c r="A2033" t="str">
        <f t="shared" si="1118"/>
        <v>06/05/2020 14:53:58.755</v>
      </c>
      <c r="C2033" t="str">
        <f t="shared" si="1113"/>
        <v>FFDFD3C0</v>
      </c>
      <c r="D2033" t="s">
        <v>148</v>
      </c>
      <c r="E2033">
        <v>8</v>
      </c>
      <c r="H2033">
        <v>50</v>
      </c>
      <c r="I2033" t="s">
        <v>149</v>
      </c>
      <c r="J2033" t="s">
        <v>150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1119"/>
        <v>14:54:04.414</v>
      </c>
      <c r="T2033" t="str">
        <f t="shared" si="1119"/>
        <v>14:54:04.414</v>
      </c>
      <c r="U2033" t="str">
        <f t="shared" si="1093"/>
        <v>ACC530</v>
      </c>
      <c r="V2033">
        <v>0</v>
      </c>
      <c r="W2033">
        <v>0</v>
      </c>
      <c r="X2033">
        <v>1</v>
      </c>
      <c r="Z2033">
        <v>0</v>
      </c>
      <c r="AA2033">
        <v>9</v>
      </c>
      <c r="AB2033">
        <v>3</v>
      </c>
      <c r="AC2033">
        <v>0</v>
      </c>
      <c r="AD2033">
        <v>9</v>
      </c>
      <c r="AE2033">
        <v>0</v>
      </c>
      <c r="AF2033">
        <v>3</v>
      </c>
      <c r="AG2033">
        <v>1</v>
      </c>
      <c r="AH2033">
        <v>0</v>
      </c>
      <c r="AI2033" t="s">
        <v>750</v>
      </c>
      <c r="AJ2033">
        <v>34.172158000000003</v>
      </c>
      <c r="AK2033" t="s">
        <v>751</v>
      </c>
      <c r="AL2033">
        <v>-117.024415</v>
      </c>
      <c r="AM2033">
        <v>100</v>
      </c>
      <c r="AN2033">
        <v>7900</v>
      </c>
      <c r="AO2033" t="s">
        <v>118</v>
      </c>
      <c r="AP2033">
        <v>-89</v>
      </c>
      <c r="AQ2033">
        <v>-84</v>
      </c>
      <c r="AR2033">
        <v>-768</v>
      </c>
      <c r="AZ2033">
        <v>1200</v>
      </c>
      <c r="BA2033">
        <v>1</v>
      </c>
      <c r="BB2033" t="str">
        <f t="shared" si="1096"/>
        <v xml:space="preserve">N9217B  </v>
      </c>
      <c r="BC2033">
        <v>1</v>
      </c>
      <c r="BE2033">
        <v>0</v>
      </c>
      <c r="BF2033">
        <v>0</v>
      </c>
      <c r="BG2033">
        <v>0</v>
      </c>
      <c r="BH2033">
        <v>7900</v>
      </c>
      <c r="BI2033">
        <v>1</v>
      </c>
      <c r="BJ2033">
        <v>0</v>
      </c>
      <c r="BK2033">
        <v>0</v>
      </c>
      <c r="BL2033">
        <v>0</v>
      </c>
      <c r="BO2033">
        <v>0</v>
      </c>
      <c r="BP2033">
        <v>0</v>
      </c>
      <c r="BW2033" t="str">
        <f t="shared" si="1120"/>
        <v>14:54:04.418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6</v>
      </c>
      <c r="CP2033" t="s">
        <v>119</v>
      </c>
      <c r="CQ2033">
        <v>285</v>
      </c>
      <c r="CR2033">
        <v>0</v>
      </c>
      <c r="CW2033">
        <v>8860812</v>
      </c>
      <c r="CY2033">
        <v>0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25">
      <c r="A2034" t="str">
        <f t="shared" si="1118"/>
        <v>06/05/2020 14:53:58.755</v>
      </c>
      <c r="C2034" t="str">
        <f t="shared" si="1113"/>
        <v>FFDFD3C0</v>
      </c>
      <c r="D2034" t="s">
        <v>134</v>
      </c>
      <c r="E2034">
        <v>7</v>
      </c>
      <c r="F2034">
        <v>2007</v>
      </c>
      <c r="G2034" t="s">
        <v>135</v>
      </c>
      <c r="J2034" t="s">
        <v>136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1119"/>
        <v>14:54:04.414</v>
      </c>
      <c r="T2034" t="str">
        <f t="shared" si="1119"/>
        <v>14:54:04.414</v>
      </c>
      <c r="U2034" t="str">
        <f t="shared" si="1093"/>
        <v>ACC530</v>
      </c>
      <c r="V2034">
        <v>0</v>
      </c>
      <c r="W2034">
        <v>0</v>
      </c>
      <c r="X2034">
        <v>1</v>
      </c>
      <c r="Z2034">
        <v>0</v>
      </c>
      <c r="AA2034">
        <v>9</v>
      </c>
      <c r="AB2034">
        <v>3</v>
      </c>
      <c r="AC2034">
        <v>0</v>
      </c>
      <c r="AD2034">
        <v>9</v>
      </c>
      <c r="AE2034">
        <v>0</v>
      </c>
      <c r="AF2034">
        <v>3</v>
      </c>
      <c r="AG2034">
        <v>1</v>
      </c>
      <c r="AH2034">
        <v>0</v>
      </c>
      <c r="AI2034" t="s">
        <v>750</v>
      </c>
      <c r="AJ2034">
        <v>34.172158000000003</v>
      </c>
      <c r="AK2034" t="s">
        <v>751</v>
      </c>
      <c r="AL2034">
        <v>-117.024415</v>
      </c>
      <c r="AM2034">
        <v>100</v>
      </c>
      <c r="AN2034">
        <v>7900</v>
      </c>
      <c r="AO2034" t="s">
        <v>118</v>
      </c>
      <c r="AP2034">
        <v>-89</v>
      </c>
      <c r="AQ2034">
        <v>-84</v>
      </c>
      <c r="AR2034">
        <v>-768</v>
      </c>
      <c r="AZ2034">
        <v>1200</v>
      </c>
      <c r="BA2034">
        <v>1</v>
      </c>
      <c r="BB2034" t="str">
        <f t="shared" si="1096"/>
        <v xml:space="preserve">N9217B  </v>
      </c>
      <c r="BC2034">
        <v>1</v>
      </c>
      <c r="BE2034">
        <v>0</v>
      </c>
      <c r="BF2034">
        <v>0</v>
      </c>
      <c r="BG2034">
        <v>0</v>
      </c>
      <c r="BH2034">
        <v>7900</v>
      </c>
      <c r="BI2034">
        <v>1</v>
      </c>
      <c r="BJ2034">
        <v>0</v>
      </c>
      <c r="BK2034">
        <v>0</v>
      </c>
      <c r="BL2034">
        <v>0</v>
      </c>
      <c r="BO2034">
        <v>0</v>
      </c>
      <c r="BP2034">
        <v>0</v>
      </c>
      <c r="BW2034" t="str">
        <f t="shared" si="1120"/>
        <v>14:54:04.418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6</v>
      </c>
      <c r="CP2034" t="s">
        <v>119</v>
      </c>
      <c r="CQ2034">
        <v>285</v>
      </c>
      <c r="CR2034">
        <v>0</v>
      </c>
      <c r="CW2034">
        <v>8860812</v>
      </c>
      <c r="CY2034">
        <v>0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25">
      <c r="A2035" t="str">
        <f t="shared" si="1118"/>
        <v>06/05/2020 14:53:58.755</v>
      </c>
      <c r="C2035" t="str">
        <f t="shared" si="1113"/>
        <v>FFDFD3C0</v>
      </c>
      <c r="D2035" t="s">
        <v>148</v>
      </c>
      <c r="E2035">
        <v>11</v>
      </c>
      <c r="H2035">
        <v>53</v>
      </c>
      <c r="I2035" t="s">
        <v>364</v>
      </c>
      <c r="J2035" t="s">
        <v>150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119"/>
        <v>14:54:04.414</v>
      </c>
      <c r="T2035" t="str">
        <f t="shared" si="1119"/>
        <v>14:54:04.414</v>
      </c>
      <c r="U2035" t="str">
        <f t="shared" si="1093"/>
        <v>ACC530</v>
      </c>
      <c r="V2035">
        <v>0</v>
      </c>
      <c r="W2035">
        <v>0</v>
      </c>
      <c r="X2035">
        <v>1</v>
      </c>
      <c r="Z2035">
        <v>0</v>
      </c>
      <c r="AA2035">
        <v>9</v>
      </c>
      <c r="AB2035">
        <v>3</v>
      </c>
      <c r="AC2035">
        <v>0</v>
      </c>
      <c r="AD2035">
        <v>9</v>
      </c>
      <c r="AE2035">
        <v>0</v>
      </c>
      <c r="AF2035">
        <v>3</v>
      </c>
      <c r="AG2035">
        <v>1</v>
      </c>
      <c r="AH2035">
        <v>0</v>
      </c>
      <c r="AI2035" t="s">
        <v>750</v>
      </c>
      <c r="AJ2035">
        <v>34.172158000000003</v>
      </c>
      <c r="AK2035" t="s">
        <v>751</v>
      </c>
      <c r="AL2035">
        <v>-117.024415</v>
      </c>
      <c r="AM2035">
        <v>100</v>
      </c>
      <c r="AN2035">
        <v>7900</v>
      </c>
      <c r="AO2035" t="s">
        <v>118</v>
      </c>
      <c r="AP2035">
        <v>-89</v>
      </c>
      <c r="AQ2035">
        <v>-84</v>
      </c>
      <c r="AR2035">
        <v>-768</v>
      </c>
      <c r="AZ2035">
        <v>1200</v>
      </c>
      <c r="BA2035">
        <v>1</v>
      </c>
      <c r="BB2035" t="str">
        <f t="shared" si="1096"/>
        <v xml:space="preserve">N9217B  </v>
      </c>
      <c r="BC2035">
        <v>1</v>
      </c>
      <c r="BE2035">
        <v>0</v>
      </c>
      <c r="BF2035">
        <v>0</v>
      </c>
      <c r="BG2035">
        <v>0</v>
      </c>
      <c r="BH2035">
        <v>7900</v>
      </c>
      <c r="BI2035">
        <v>1</v>
      </c>
      <c r="BJ2035">
        <v>0</v>
      </c>
      <c r="BK2035">
        <v>0</v>
      </c>
      <c r="BL2035">
        <v>0</v>
      </c>
      <c r="BO2035">
        <v>0</v>
      </c>
      <c r="BP2035">
        <v>0</v>
      </c>
      <c r="BW2035" t="str">
        <f t="shared" si="1120"/>
        <v>14:54:04.418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6</v>
      </c>
      <c r="CP2035" t="s">
        <v>119</v>
      </c>
      <c r="CQ2035">
        <v>285</v>
      </c>
      <c r="CR2035">
        <v>0</v>
      </c>
      <c r="CW2035">
        <v>8860812</v>
      </c>
      <c r="CY2035">
        <v>0</v>
      </c>
      <c r="CZ2035">
        <v>0</v>
      </c>
      <c r="DA2035">
        <v>1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25">
      <c r="A2036" t="str">
        <f t="shared" si="1118"/>
        <v>06/05/2020 14:53:58.755</v>
      </c>
      <c r="C2036" t="str">
        <f t="shared" si="1113"/>
        <v>FFDFD3C0</v>
      </c>
      <c r="D2036" t="s">
        <v>151</v>
      </c>
      <c r="E2036">
        <v>8</v>
      </c>
      <c r="H2036">
        <v>225</v>
      </c>
      <c r="I2036" t="s">
        <v>353</v>
      </c>
      <c r="J2036" t="s">
        <v>150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1119"/>
        <v>14:54:04.414</v>
      </c>
      <c r="T2036" t="str">
        <f t="shared" si="1119"/>
        <v>14:54:04.414</v>
      </c>
      <c r="U2036" t="str">
        <f t="shared" si="1093"/>
        <v>ACC530</v>
      </c>
      <c r="V2036">
        <v>0</v>
      </c>
      <c r="W2036">
        <v>0</v>
      </c>
      <c r="X2036">
        <v>1</v>
      </c>
      <c r="Z2036">
        <v>0</v>
      </c>
      <c r="AA2036">
        <v>9</v>
      </c>
      <c r="AB2036">
        <v>3</v>
      </c>
      <c r="AC2036">
        <v>0</v>
      </c>
      <c r="AD2036">
        <v>9</v>
      </c>
      <c r="AE2036">
        <v>0</v>
      </c>
      <c r="AF2036">
        <v>3</v>
      </c>
      <c r="AG2036">
        <v>1</v>
      </c>
      <c r="AH2036">
        <v>0</v>
      </c>
      <c r="AI2036" t="s">
        <v>750</v>
      </c>
      <c r="AJ2036">
        <v>34.172158000000003</v>
      </c>
      <c r="AK2036" t="s">
        <v>751</v>
      </c>
      <c r="AL2036">
        <v>-117.024415</v>
      </c>
      <c r="AM2036">
        <v>100</v>
      </c>
      <c r="AN2036">
        <v>7900</v>
      </c>
      <c r="AO2036" t="s">
        <v>118</v>
      </c>
      <c r="AP2036">
        <v>-89</v>
      </c>
      <c r="AQ2036">
        <v>-84</v>
      </c>
      <c r="AR2036">
        <v>-768</v>
      </c>
      <c r="AZ2036">
        <v>1200</v>
      </c>
      <c r="BA2036">
        <v>1</v>
      </c>
      <c r="BB2036" t="str">
        <f t="shared" si="1096"/>
        <v xml:space="preserve">N9217B  </v>
      </c>
      <c r="BC2036">
        <v>1</v>
      </c>
      <c r="BE2036">
        <v>0</v>
      </c>
      <c r="BF2036">
        <v>0</v>
      </c>
      <c r="BG2036">
        <v>0</v>
      </c>
      <c r="BH2036">
        <v>7900</v>
      </c>
      <c r="BI2036">
        <v>1</v>
      </c>
      <c r="BJ2036">
        <v>0</v>
      </c>
      <c r="BK2036">
        <v>0</v>
      </c>
      <c r="BL2036">
        <v>0</v>
      </c>
      <c r="BO2036">
        <v>0</v>
      </c>
      <c r="BP2036">
        <v>0</v>
      </c>
      <c r="BW2036" t="str">
        <f t="shared" si="1120"/>
        <v>14:54:04.418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6</v>
      </c>
      <c r="CP2036" t="s">
        <v>119</v>
      </c>
      <c r="CQ2036">
        <v>285</v>
      </c>
      <c r="CR2036">
        <v>0</v>
      </c>
      <c r="CW2036">
        <v>8860812</v>
      </c>
      <c r="CY2036">
        <v>0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25">
      <c r="A2037" t="str">
        <f t="shared" si="1118"/>
        <v>06/05/2020 14:53:58.755</v>
      </c>
      <c r="C2037" t="str">
        <f t="shared" si="1113"/>
        <v>FFDFD3C0</v>
      </c>
      <c r="D2037" t="s">
        <v>141</v>
      </c>
      <c r="E2037">
        <v>20</v>
      </c>
      <c r="F2037">
        <v>1020</v>
      </c>
      <c r="G2037" t="s">
        <v>114</v>
      </c>
      <c r="J2037" t="s">
        <v>142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1119"/>
        <v>14:54:04.414</v>
      </c>
      <c r="T2037" t="str">
        <f t="shared" si="1119"/>
        <v>14:54:04.414</v>
      </c>
      <c r="U2037" t="str">
        <f t="shared" si="1093"/>
        <v>ACC530</v>
      </c>
      <c r="V2037">
        <v>0</v>
      </c>
      <c r="W2037">
        <v>0</v>
      </c>
      <c r="X2037">
        <v>1</v>
      </c>
      <c r="Z2037">
        <v>0</v>
      </c>
      <c r="AA2037">
        <v>9</v>
      </c>
      <c r="AB2037">
        <v>3</v>
      </c>
      <c r="AC2037">
        <v>0</v>
      </c>
      <c r="AD2037">
        <v>9</v>
      </c>
      <c r="AE2037">
        <v>0</v>
      </c>
      <c r="AF2037">
        <v>3</v>
      </c>
      <c r="AG2037">
        <v>1</v>
      </c>
      <c r="AH2037">
        <v>0</v>
      </c>
      <c r="AI2037" t="s">
        <v>750</v>
      </c>
      <c r="AJ2037">
        <v>34.172158000000003</v>
      </c>
      <c r="AK2037" t="s">
        <v>751</v>
      </c>
      <c r="AL2037">
        <v>-117.024415</v>
      </c>
      <c r="AM2037">
        <v>100</v>
      </c>
      <c r="AN2037">
        <v>7900</v>
      </c>
      <c r="AO2037" t="s">
        <v>118</v>
      </c>
      <c r="AP2037">
        <v>-89</v>
      </c>
      <c r="AQ2037">
        <v>-84</v>
      </c>
      <c r="AR2037">
        <v>-768</v>
      </c>
      <c r="AZ2037">
        <v>1200</v>
      </c>
      <c r="BA2037">
        <v>1</v>
      </c>
      <c r="BB2037" t="str">
        <f t="shared" si="1096"/>
        <v xml:space="preserve">N9217B  </v>
      </c>
      <c r="BC2037">
        <v>1</v>
      </c>
      <c r="BE2037">
        <v>0</v>
      </c>
      <c r="BF2037">
        <v>0</v>
      </c>
      <c r="BG2037">
        <v>0</v>
      </c>
      <c r="BH2037">
        <v>7900</v>
      </c>
      <c r="BI2037">
        <v>1</v>
      </c>
      <c r="BJ2037">
        <v>0</v>
      </c>
      <c r="BK2037">
        <v>0</v>
      </c>
      <c r="BL2037">
        <v>0</v>
      </c>
      <c r="BO2037">
        <v>0</v>
      </c>
      <c r="BP2037">
        <v>0</v>
      </c>
      <c r="BW2037" t="str">
        <f t="shared" si="1120"/>
        <v>14:54:04.418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6</v>
      </c>
      <c r="CP2037" t="s">
        <v>119</v>
      </c>
      <c r="CQ2037">
        <v>285</v>
      </c>
      <c r="CR2037">
        <v>0</v>
      </c>
      <c r="CW2037">
        <v>8860812</v>
      </c>
      <c r="CY2037">
        <v>0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25">
      <c r="A2038" t="str">
        <f t="shared" ref="A2038:A2044" si="1121">"06/05/2020 14:53:59.749"</f>
        <v>06/05/2020 14:53:59.749</v>
      </c>
      <c r="C2038" t="str">
        <f t="shared" si="1113"/>
        <v>FFDFD3C0</v>
      </c>
      <c r="D2038" t="s">
        <v>148</v>
      </c>
      <c r="E2038">
        <v>11</v>
      </c>
      <c r="H2038">
        <v>53</v>
      </c>
      <c r="I2038" t="s">
        <v>364</v>
      </c>
      <c r="J2038" t="s">
        <v>150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ref="S2038:S2044" si="1122">"14:54:05.391"</f>
        <v>14:54:05.391</v>
      </c>
      <c r="T2038" t="str">
        <f t="shared" ref="T2038:T2044" si="1123">"14:54:05.291"</f>
        <v>14:54:05.291</v>
      </c>
      <c r="U2038" t="str">
        <f t="shared" si="1093"/>
        <v>ACC530</v>
      </c>
      <c r="V2038">
        <v>0</v>
      </c>
      <c r="W2038">
        <v>0</v>
      </c>
      <c r="X2038">
        <v>1</v>
      </c>
      <c r="Z2038">
        <v>0</v>
      </c>
      <c r="AA2038">
        <v>9</v>
      </c>
      <c r="AB2038">
        <v>3</v>
      </c>
      <c r="AC2038">
        <v>0</v>
      </c>
      <c r="AD2038">
        <v>9</v>
      </c>
      <c r="AE2038">
        <v>0</v>
      </c>
      <c r="AF2038">
        <v>3</v>
      </c>
      <c r="AG2038">
        <v>1</v>
      </c>
      <c r="AH2038">
        <v>0</v>
      </c>
      <c r="AI2038" t="s">
        <v>752</v>
      </c>
      <c r="AJ2038">
        <v>34.171771999999997</v>
      </c>
      <c r="AK2038" t="s">
        <v>753</v>
      </c>
      <c r="AL2038">
        <v>-117.02488700000001</v>
      </c>
      <c r="AM2038">
        <v>100</v>
      </c>
      <c r="AN2038">
        <v>7900</v>
      </c>
      <c r="AO2038" t="s">
        <v>118</v>
      </c>
      <c r="AP2038">
        <v>-89</v>
      </c>
      <c r="AQ2038">
        <v>-84</v>
      </c>
      <c r="AR2038">
        <v>-768</v>
      </c>
      <c r="AZ2038">
        <v>1200</v>
      </c>
      <c r="BA2038">
        <v>1</v>
      </c>
      <c r="BB2038" t="str">
        <f t="shared" si="1096"/>
        <v xml:space="preserve">N9217B  </v>
      </c>
      <c r="BC2038">
        <v>1</v>
      </c>
      <c r="BE2038">
        <v>0</v>
      </c>
      <c r="BF2038">
        <v>0</v>
      </c>
      <c r="BG2038">
        <v>0</v>
      </c>
      <c r="BH2038">
        <v>7875</v>
      </c>
      <c r="BI2038">
        <v>1</v>
      </c>
      <c r="BJ2038">
        <v>0</v>
      </c>
      <c r="BK2038">
        <v>0</v>
      </c>
      <c r="BL2038">
        <v>0</v>
      </c>
      <c r="BO2038">
        <v>0</v>
      </c>
      <c r="BP2038">
        <v>0</v>
      </c>
      <c r="BW2038" t="str">
        <f t="shared" ref="BW2038:BW2044" si="1124">"14:54:05.393"</f>
        <v>14:54:05.393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6</v>
      </c>
      <c r="CP2038" t="s">
        <v>119</v>
      </c>
      <c r="CQ2038">
        <v>285</v>
      </c>
      <c r="CR2038">
        <v>0</v>
      </c>
      <c r="CW2038">
        <v>8860897</v>
      </c>
      <c r="CY2038">
        <v>0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25">
      <c r="A2039" t="str">
        <f t="shared" si="1121"/>
        <v>06/05/2020 14:53:59.749</v>
      </c>
      <c r="C2039" t="str">
        <f t="shared" si="1113"/>
        <v>FFDFD3C0</v>
      </c>
      <c r="D2039" t="s">
        <v>151</v>
      </c>
      <c r="E2039">
        <v>8</v>
      </c>
      <c r="H2039">
        <v>225</v>
      </c>
      <c r="I2039" t="s">
        <v>353</v>
      </c>
      <c r="J2039" t="s">
        <v>150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1122"/>
        <v>14:54:05.391</v>
      </c>
      <c r="T2039" t="str">
        <f t="shared" si="1123"/>
        <v>14:54:05.291</v>
      </c>
      <c r="U2039" t="str">
        <f t="shared" si="1093"/>
        <v>ACC530</v>
      </c>
      <c r="V2039">
        <v>0</v>
      </c>
      <c r="W2039">
        <v>0</v>
      </c>
      <c r="X2039">
        <v>1</v>
      </c>
      <c r="Z2039">
        <v>0</v>
      </c>
      <c r="AA2039">
        <v>9</v>
      </c>
      <c r="AB2039">
        <v>3</v>
      </c>
      <c r="AC2039">
        <v>0</v>
      </c>
      <c r="AD2039">
        <v>9</v>
      </c>
      <c r="AE2039">
        <v>0</v>
      </c>
      <c r="AF2039">
        <v>3</v>
      </c>
      <c r="AG2039">
        <v>1</v>
      </c>
      <c r="AH2039">
        <v>0</v>
      </c>
      <c r="AI2039" t="s">
        <v>752</v>
      </c>
      <c r="AJ2039">
        <v>34.171771999999997</v>
      </c>
      <c r="AK2039" t="s">
        <v>753</v>
      </c>
      <c r="AL2039">
        <v>-117.02488700000001</v>
      </c>
      <c r="AM2039">
        <v>100</v>
      </c>
      <c r="AN2039">
        <v>7900</v>
      </c>
      <c r="AO2039" t="s">
        <v>118</v>
      </c>
      <c r="AP2039">
        <v>-89</v>
      </c>
      <c r="AQ2039">
        <v>-84</v>
      </c>
      <c r="AR2039">
        <v>-768</v>
      </c>
      <c r="AZ2039">
        <v>1200</v>
      </c>
      <c r="BA2039">
        <v>1</v>
      </c>
      <c r="BB2039" t="str">
        <f t="shared" si="1096"/>
        <v xml:space="preserve">N9217B  </v>
      </c>
      <c r="BC2039">
        <v>1</v>
      </c>
      <c r="BE2039">
        <v>0</v>
      </c>
      <c r="BF2039">
        <v>0</v>
      </c>
      <c r="BG2039">
        <v>0</v>
      </c>
      <c r="BH2039">
        <v>7875</v>
      </c>
      <c r="BI2039">
        <v>1</v>
      </c>
      <c r="BJ2039">
        <v>0</v>
      </c>
      <c r="BK2039">
        <v>0</v>
      </c>
      <c r="BL2039">
        <v>0</v>
      </c>
      <c r="BO2039">
        <v>0</v>
      </c>
      <c r="BP2039">
        <v>0</v>
      </c>
      <c r="BW2039" t="str">
        <f t="shared" si="1124"/>
        <v>14:54:05.393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6</v>
      </c>
      <c r="CP2039" t="s">
        <v>119</v>
      </c>
      <c r="CQ2039">
        <v>285</v>
      </c>
      <c r="CR2039">
        <v>0</v>
      </c>
      <c r="CW2039">
        <v>8860897</v>
      </c>
      <c r="CY2039">
        <v>0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25">
      <c r="A2040" t="str">
        <f t="shared" si="1121"/>
        <v>06/05/2020 14:53:59.749</v>
      </c>
      <c r="C2040" t="str">
        <f t="shared" si="1113"/>
        <v>FFDFD3C0</v>
      </c>
      <c r="D2040" t="s">
        <v>141</v>
      </c>
      <c r="E2040">
        <v>20</v>
      </c>
      <c r="F2040">
        <v>1020</v>
      </c>
      <c r="G2040" t="s">
        <v>114</v>
      </c>
      <c r="J2040" t="s">
        <v>142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1122"/>
        <v>14:54:05.391</v>
      </c>
      <c r="T2040" t="str">
        <f t="shared" si="1123"/>
        <v>14:54:05.291</v>
      </c>
      <c r="U2040" t="str">
        <f t="shared" si="1093"/>
        <v>ACC530</v>
      </c>
      <c r="V2040">
        <v>0</v>
      </c>
      <c r="W2040">
        <v>0</v>
      </c>
      <c r="X2040">
        <v>1</v>
      </c>
      <c r="Z2040">
        <v>0</v>
      </c>
      <c r="AA2040">
        <v>9</v>
      </c>
      <c r="AB2040">
        <v>3</v>
      </c>
      <c r="AC2040">
        <v>0</v>
      </c>
      <c r="AD2040">
        <v>9</v>
      </c>
      <c r="AE2040">
        <v>0</v>
      </c>
      <c r="AF2040">
        <v>3</v>
      </c>
      <c r="AG2040">
        <v>1</v>
      </c>
      <c r="AH2040">
        <v>0</v>
      </c>
      <c r="AI2040" t="s">
        <v>752</v>
      </c>
      <c r="AJ2040">
        <v>34.171771999999997</v>
      </c>
      <c r="AK2040" t="s">
        <v>753</v>
      </c>
      <c r="AL2040">
        <v>-117.02488700000001</v>
      </c>
      <c r="AM2040">
        <v>100</v>
      </c>
      <c r="AN2040">
        <v>7900</v>
      </c>
      <c r="AO2040" t="s">
        <v>118</v>
      </c>
      <c r="AP2040">
        <v>-89</v>
      </c>
      <c r="AQ2040">
        <v>-84</v>
      </c>
      <c r="AR2040">
        <v>-768</v>
      </c>
      <c r="AZ2040">
        <v>1200</v>
      </c>
      <c r="BA2040">
        <v>1</v>
      </c>
      <c r="BB2040" t="str">
        <f t="shared" si="1096"/>
        <v xml:space="preserve">N9217B  </v>
      </c>
      <c r="BC2040">
        <v>1</v>
      </c>
      <c r="BE2040">
        <v>0</v>
      </c>
      <c r="BF2040">
        <v>0</v>
      </c>
      <c r="BG2040">
        <v>0</v>
      </c>
      <c r="BH2040">
        <v>7875</v>
      </c>
      <c r="BI2040">
        <v>1</v>
      </c>
      <c r="BJ2040">
        <v>0</v>
      </c>
      <c r="BK2040">
        <v>0</v>
      </c>
      <c r="BL2040">
        <v>0</v>
      </c>
      <c r="BO2040">
        <v>0</v>
      </c>
      <c r="BP2040">
        <v>0</v>
      </c>
      <c r="BW2040" t="str">
        <f t="shared" si="1124"/>
        <v>14:54:05.393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6</v>
      </c>
      <c r="CP2040" t="s">
        <v>119</v>
      </c>
      <c r="CQ2040">
        <v>285</v>
      </c>
      <c r="CR2040">
        <v>0</v>
      </c>
      <c r="CW2040">
        <v>8860897</v>
      </c>
      <c r="CY2040">
        <v>0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25">
      <c r="A2041" t="str">
        <f t="shared" si="1121"/>
        <v>06/05/2020 14:53:59.749</v>
      </c>
      <c r="C2041" t="str">
        <f t="shared" si="1113"/>
        <v>FFDFD3C0</v>
      </c>
      <c r="D2041" t="s">
        <v>113</v>
      </c>
      <c r="E2041">
        <v>3</v>
      </c>
      <c r="H2041">
        <v>166</v>
      </c>
      <c r="I2041" t="s">
        <v>114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122"/>
        <v>14:54:05.391</v>
      </c>
      <c r="T2041" t="str">
        <f t="shared" si="1123"/>
        <v>14:54:05.291</v>
      </c>
      <c r="U2041" t="str">
        <f t="shared" si="1093"/>
        <v>ACC530</v>
      </c>
      <c r="V2041">
        <v>0</v>
      </c>
      <c r="W2041">
        <v>0</v>
      </c>
      <c r="X2041">
        <v>1</v>
      </c>
      <c r="Z2041">
        <v>0</v>
      </c>
      <c r="AA2041">
        <v>9</v>
      </c>
      <c r="AB2041">
        <v>3</v>
      </c>
      <c r="AC2041">
        <v>0</v>
      </c>
      <c r="AD2041">
        <v>9</v>
      </c>
      <c r="AE2041">
        <v>0</v>
      </c>
      <c r="AF2041">
        <v>3</v>
      </c>
      <c r="AG2041">
        <v>1</v>
      </c>
      <c r="AH2041">
        <v>0</v>
      </c>
      <c r="AI2041" t="s">
        <v>752</v>
      </c>
      <c r="AJ2041">
        <v>34.171771999999997</v>
      </c>
      <c r="AK2041" t="s">
        <v>753</v>
      </c>
      <c r="AL2041">
        <v>-117.02488700000001</v>
      </c>
      <c r="AM2041">
        <v>100</v>
      </c>
      <c r="AN2041">
        <v>7900</v>
      </c>
      <c r="AO2041" t="s">
        <v>118</v>
      </c>
      <c r="AP2041">
        <v>-89</v>
      </c>
      <c r="AQ2041">
        <v>-84</v>
      </c>
      <c r="AR2041">
        <v>-768</v>
      </c>
      <c r="AZ2041">
        <v>1200</v>
      </c>
      <c r="BA2041">
        <v>1</v>
      </c>
      <c r="BB2041" t="str">
        <f t="shared" si="1096"/>
        <v xml:space="preserve">N9217B  </v>
      </c>
      <c r="BC2041">
        <v>1</v>
      </c>
      <c r="BE2041">
        <v>0</v>
      </c>
      <c r="BF2041">
        <v>0</v>
      </c>
      <c r="BG2041">
        <v>0</v>
      </c>
      <c r="BH2041">
        <v>7875</v>
      </c>
      <c r="BI2041">
        <v>1</v>
      </c>
      <c r="BJ2041">
        <v>0</v>
      </c>
      <c r="BK2041">
        <v>0</v>
      </c>
      <c r="BL2041">
        <v>0</v>
      </c>
      <c r="BO2041">
        <v>0</v>
      </c>
      <c r="BP2041">
        <v>0</v>
      </c>
      <c r="BW2041" t="str">
        <f t="shared" si="1124"/>
        <v>14:54:05.393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6</v>
      </c>
      <c r="CP2041" t="s">
        <v>119</v>
      </c>
      <c r="CQ2041">
        <v>285</v>
      </c>
      <c r="CR2041">
        <v>0</v>
      </c>
      <c r="CW2041">
        <v>8860897</v>
      </c>
      <c r="CY2041">
        <v>0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25">
      <c r="A2042" t="str">
        <f t="shared" si="1121"/>
        <v>06/05/2020 14:53:59.749</v>
      </c>
      <c r="C2042" t="str">
        <f t="shared" si="1113"/>
        <v>FFDFD3C0</v>
      </c>
      <c r="D2042" t="s">
        <v>151</v>
      </c>
      <c r="E2042">
        <v>9</v>
      </c>
      <c r="H2042">
        <v>226</v>
      </c>
      <c r="I2042" t="s">
        <v>152</v>
      </c>
      <c r="J2042" t="s">
        <v>150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122"/>
        <v>14:54:05.391</v>
      </c>
      <c r="T2042" t="str">
        <f t="shared" si="1123"/>
        <v>14:54:05.291</v>
      </c>
      <c r="U2042" t="str">
        <f t="shared" si="1093"/>
        <v>ACC530</v>
      </c>
      <c r="V2042">
        <v>0</v>
      </c>
      <c r="W2042">
        <v>0</v>
      </c>
      <c r="X2042">
        <v>1</v>
      </c>
      <c r="Z2042">
        <v>0</v>
      </c>
      <c r="AA2042">
        <v>9</v>
      </c>
      <c r="AB2042">
        <v>3</v>
      </c>
      <c r="AC2042">
        <v>0</v>
      </c>
      <c r="AD2042">
        <v>9</v>
      </c>
      <c r="AE2042">
        <v>0</v>
      </c>
      <c r="AF2042">
        <v>3</v>
      </c>
      <c r="AG2042">
        <v>1</v>
      </c>
      <c r="AH2042">
        <v>0</v>
      </c>
      <c r="AI2042" t="s">
        <v>752</v>
      </c>
      <c r="AJ2042">
        <v>34.171771999999997</v>
      </c>
      <c r="AK2042" t="s">
        <v>753</v>
      </c>
      <c r="AL2042">
        <v>-117.02488700000001</v>
      </c>
      <c r="AM2042">
        <v>100</v>
      </c>
      <c r="AN2042">
        <v>7900</v>
      </c>
      <c r="AO2042" t="s">
        <v>118</v>
      </c>
      <c r="AP2042">
        <v>-89</v>
      </c>
      <c r="AQ2042">
        <v>-84</v>
      </c>
      <c r="AR2042">
        <v>-768</v>
      </c>
      <c r="AZ2042">
        <v>1200</v>
      </c>
      <c r="BA2042">
        <v>1</v>
      </c>
      <c r="BB2042" t="str">
        <f t="shared" si="1096"/>
        <v xml:space="preserve">N9217B  </v>
      </c>
      <c r="BC2042">
        <v>1</v>
      </c>
      <c r="BE2042">
        <v>0</v>
      </c>
      <c r="BF2042">
        <v>0</v>
      </c>
      <c r="BG2042">
        <v>0</v>
      </c>
      <c r="BH2042">
        <v>7875</v>
      </c>
      <c r="BI2042">
        <v>1</v>
      </c>
      <c r="BJ2042">
        <v>0</v>
      </c>
      <c r="BK2042">
        <v>0</v>
      </c>
      <c r="BL2042">
        <v>0</v>
      </c>
      <c r="BO2042">
        <v>0</v>
      </c>
      <c r="BP2042">
        <v>0</v>
      </c>
      <c r="BW2042" t="str">
        <f t="shared" si="1124"/>
        <v>14:54:05.393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6</v>
      </c>
      <c r="CP2042" t="s">
        <v>119</v>
      </c>
      <c r="CQ2042">
        <v>285</v>
      </c>
      <c r="CR2042">
        <v>0</v>
      </c>
      <c r="CW2042">
        <v>8860897</v>
      </c>
      <c r="CY2042">
        <v>0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25">
      <c r="A2043" t="str">
        <f t="shared" si="1121"/>
        <v>06/05/2020 14:53:59.749</v>
      </c>
      <c r="C2043" t="str">
        <f t="shared" si="1113"/>
        <v>FFDFD3C0</v>
      </c>
      <c r="D2043" t="s">
        <v>148</v>
      </c>
      <c r="E2043">
        <v>8</v>
      </c>
      <c r="H2043">
        <v>50</v>
      </c>
      <c r="I2043" t="s">
        <v>149</v>
      </c>
      <c r="J2043" t="s">
        <v>150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1122"/>
        <v>14:54:05.391</v>
      </c>
      <c r="T2043" t="str">
        <f t="shared" si="1123"/>
        <v>14:54:05.291</v>
      </c>
      <c r="U2043" t="str">
        <f t="shared" si="1093"/>
        <v>ACC530</v>
      </c>
      <c r="V2043">
        <v>0</v>
      </c>
      <c r="W2043">
        <v>0</v>
      </c>
      <c r="X2043">
        <v>1</v>
      </c>
      <c r="Z2043">
        <v>0</v>
      </c>
      <c r="AA2043">
        <v>9</v>
      </c>
      <c r="AB2043">
        <v>3</v>
      </c>
      <c r="AC2043">
        <v>0</v>
      </c>
      <c r="AD2043">
        <v>9</v>
      </c>
      <c r="AE2043">
        <v>0</v>
      </c>
      <c r="AF2043">
        <v>3</v>
      </c>
      <c r="AG2043">
        <v>1</v>
      </c>
      <c r="AH2043">
        <v>0</v>
      </c>
      <c r="AI2043" t="s">
        <v>752</v>
      </c>
      <c r="AJ2043">
        <v>34.171771999999997</v>
      </c>
      <c r="AK2043" t="s">
        <v>753</v>
      </c>
      <c r="AL2043">
        <v>-117.02488700000001</v>
      </c>
      <c r="AM2043">
        <v>100</v>
      </c>
      <c r="AN2043">
        <v>7900</v>
      </c>
      <c r="AO2043" t="s">
        <v>118</v>
      </c>
      <c r="AP2043">
        <v>-89</v>
      </c>
      <c r="AQ2043">
        <v>-84</v>
      </c>
      <c r="AR2043">
        <v>-768</v>
      </c>
      <c r="AZ2043">
        <v>1200</v>
      </c>
      <c r="BA2043">
        <v>1</v>
      </c>
      <c r="BB2043" t="str">
        <f t="shared" si="1096"/>
        <v xml:space="preserve">N9217B  </v>
      </c>
      <c r="BC2043">
        <v>1</v>
      </c>
      <c r="BE2043">
        <v>0</v>
      </c>
      <c r="BF2043">
        <v>0</v>
      </c>
      <c r="BG2043">
        <v>0</v>
      </c>
      <c r="BH2043">
        <v>7875</v>
      </c>
      <c r="BI2043">
        <v>1</v>
      </c>
      <c r="BJ2043">
        <v>0</v>
      </c>
      <c r="BK2043">
        <v>0</v>
      </c>
      <c r="BL2043">
        <v>0</v>
      </c>
      <c r="BO2043">
        <v>0</v>
      </c>
      <c r="BP2043">
        <v>0</v>
      </c>
      <c r="BW2043" t="str">
        <f t="shared" si="1124"/>
        <v>14:54:05.393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6</v>
      </c>
      <c r="CP2043" t="s">
        <v>119</v>
      </c>
      <c r="CQ2043">
        <v>285</v>
      </c>
      <c r="CR2043">
        <v>0</v>
      </c>
      <c r="CW2043">
        <v>8860897</v>
      </c>
      <c r="CY2043">
        <v>0</v>
      </c>
      <c r="CZ2043">
        <v>0</v>
      </c>
      <c r="DA2043">
        <v>1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25">
      <c r="A2044" t="str">
        <f t="shared" si="1121"/>
        <v>06/05/2020 14:53:59.749</v>
      </c>
      <c r="C2044" t="str">
        <f t="shared" si="1113"/>
        <v>FFDFD3C0</v>
      </c>
      <c r="D2044" t="s">
        <v>134</v>
      </c>
      <c r="E2044">
        <v>7</v>
      </c>
      <c r="F2044">
        <v>2007</v>
      </c>
      <c r="G2044" t="s">
        <v>135</v>
      </c>
      <c r="J2044" t="s">
        <v>136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122"/>
        <v>14:54:05.391</v>
      </c>
      <c r="T2044" t="str">
        <f t="shared" si="1123"/>
        <v>14:54:05.291</v>
      </c>
      <c r="U2044" t="str">
        <f t="shared" si="1093"/>
        <v>ACC530</v>
      </c>
      <c r="V2044">
        <v>0</v>
      </c>
      <c r="W2044">
        <v>0</v>
      </c>
      <c r="X2044">
        <v>1</v>
      </c>
      <c r="Z2044">
        <v>0</v>
      </c>
      <c r="AA2044">
        <v>9</v>
      </c>
      <c r="AB2044">
        <v>3</v>
      </c>
      <c r="AC2044">
        <v>0</v>
      </c>
      <c r="AD2044">
        <v>9</v>
      </c>
      <c r="AE2044">
        <v>0</v>
      </c>
      <c r="AF2044">
        <v>3</v>
      </c>
      <c r="AG2044">
        <v>1</v>
      </c>
      <c r="AH2044">
        <v>0</v>
      </c>
      <c r="AI2044" t="s">
        <v>752</v>
      </c>
      <c r="AJ2044">
        <v>34.171771999999997</v>
      </c>
      <c r="AK2044" t="s">
        <v>753</v>
      </c>
      <c r="AL2044">
        <v>-117.02488700000001</v>
      </c>
      <c r="AM2044">
        <v>100</v>
      </c>
      <c r="AN2044">
        <v>7900</v>
      </c>
      <c r="AO2044" t="s">
        <v>118</v>
      </c>
      <c r="AP2044">
        <v>-89</v>
      </c>
      <c r="AQ2044">
        <v>-84</v>
      </c>
      <c r="AR2044">
        <v>-768</v>
      </c>
      <c r="AZ2044">
        <v>1200</v>
      </c>
      <c r="BA2044">
        <v>1</v>
      </c>
      <c r="BB2044" t="str">
        <f t="shared" si="1096"/>
        <v xml:space="preserve">N9217B  </v>
      </c>
      <c r="BC2044">
        <v>1</v>
      </c>
      <c r="BE2044">
        <v>0</v>
      </c>
      <c r="BF2044">
        <v>0</v>
      </c>
      <c r="BG2044">
        <v>0</v>
      </c>
      <c r="BH2044">
        <v>7875</v>
      </c>
      <c r="BI2044">
        <v>1</v>
      </c>
      <c r="BJ2044">
        <v>0</v>
      </c>
      <c r="BK2044">
        <v>0</v>
      </c>
      <c r="BL2044">
        <v>0</v>
      </c>
      <c r="BO2044">
        <v>0</v>
      </c>
      <c r="BP2044">
        <v>0</v>
      </c>
      <c r="BW2044" t="str">
        <f t="shared" si="1124"/>
        <v>14:54:05.393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6</v>
      </c>
      <c r="CP2044" t="s">
        <v>119</v>
      </c>
      <c r="CQ2044">
        <v>285</v>
      </c>
      <c r="CR2044">
        <v>0</v>
      </c>
      <c r="CW2044">
        <v>8860897</v>
      </c>
      <c r="CY2044">
        <v>0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25">
      <c r="A2045" t="str">
        <f t="shared" ref="A2045:A2051" si="1125">"06/05/2020 14:54:00.811"</f>
        <v>06/05/2020 14:54:00.811</v>
      </c>
      <c r="C2045" t="str">
        <f t="shared" si="1113"/>
        <v>FFDFD3C0</v>
      </c>
      <c r="D2045" t="s">
        <v>148</v>
      </c>
      <c r="E2045">
        <v>11</v>
      </c>
      <c r="H2045">
        <v>53</v>
      </c>
      <c r="I2045" t="s">
        <v>364</v>
      </c>
      <c r="J2045" t="s">
        <v>150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ref="S2045:T2051" si="1126">"14:54:06.453"</f>
        <v>14:54:06.453</v>
      </c>
      <c r="T2045" t="str">
        <f t="shared" si="1126"/>
        <v>14:54:06.453</v>
      </c>
      <c r="U2045" t="str">
        <f t="shared" si="1093"/>
        <v>ACC530</v>
      </c>
      <c r="V2045">
        <v>0</v>
      </c>
      <c r="W2045">
        <v>0</v>
      </c>
      <c r="X2045">
        <v>1</v>
      </c>
      <c r="Z2045">
        <v>0</v>
      </c>
      <c r="AA2045">
        <v>9</v>
      </c>
      <c r="AB2045">
        <v>3</v>
      </c>
      <c r="AC2045">
        <v>0</v>
      </c>
      <c r="AD2045">
        <v>9</v>
      </c>
      <c r="AE2045">
        <v>0</v>
      </c>
      <c r="AF2045">
        <v>3</v>
      </c>
      <c r="AG2045">
        <v>1</v>
      </c>
      <c r="AH2045">
        <v>0</v>
      </c>
      <c r="AI2045" t="s">
        <v>754</v>
      </c>
      <c r="AJ2045">
        <v>34.171320999999999</v>
      </c>
      <c r="AK2045" t="s">
        <v>755</v>
      </c>
      <c r="AL2045">
        <v>-117.025423</v>
      </c>
      <c r="AM2045">
        <v>100</v>
      </c>
      <c r="AN2045">
        <v>7900</v>
      </c>
      <c r="AO2045" t="s">
        <v>118</v>
      </c>
      <c r="AP2045">
        <v>-89</v>
      </c>
      <c r="AQ2045">
        <v>-84</v>
      </c>
      <c r="AR2045">
        <v>-768</v>
      </c>
      <c r="AZ2045">
        <v>1200</v>
      </c>
      <c r="BA2045">
        <v>1</v>
      </c>
      <c r="BB2045" t="str">
        <f t="shared" si="1096"/>
        <v xml:space="preserve">N9217B  </v>
      </c>
      <c r="BC2045">
        <v>1</v>
      </c>
      <c r="BE2045">
        <v>0</v>
      </c>
      <c r="BF2045">
        <v>0</v>
      </c>
      <c r="BG2045">
        <v>0</v>
      </c>
      <c r="BH2045">
        <v>7875</v>
      </c>
      <c r="BI2045">
        <v>1</v>
      </c>
      <c r="BJ2045">
        <v>0</v>
      </c>
      <c r="BK2045">
        <v>0</v>
      </c>
      <c r="BL2045">
        <v>0</v>
      </c>
      <c r="BO2045">
        <v>0</v>
      </c>
      <c r="BP2045">
        <v>0</v>
      </c>
      <c r="BW2045" t="str">
        <f t="shared" ref="BW2045:BW2051" si="1127">"14:54:06.458"</f>
        <v>14:54:06.458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6</v>
      </c>
      <c r="CP2045" t="s">
        <v>119</v>
      </c>
      <c r="CQ2045">
        <v>285</v>
      </c>
      <c r="CR2045">
        <v>0</v>
      </c>
      <c r="CW2045">
        <v>8860994</v>
      </c>
      <c r="CY2045">
        <v>0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25">
      <c r="A2046" t="str">
        <f t="shared" si="1125"/>
        <v>06/05/2020 14:54:00.811</v>
      </c>
      <c r="C2046" t="str">
        <f t="shared" si="1113"/>
        <v>FFDFD3C0</v>
      </c>
      <c r="D2046" t="s">
        <v>151</v>
      </c>
      <c r="E2046">
        <v>8</v>
      </c>
      <c r="H2046">
        <v>225</v>
      </c>
      <c r="I2046" t="s">
        <v>353</v>
      </c>
      <c r="J2046" t="s">
        <v>150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1126"/>
        <v>14:54:06.453</v>
      </c>
      <c r="T2046" t="str">
        <f t="shared" si="1126"/>
        <v>14:54:06.453</v>
      </c>
      <c r="U2046" t="str">
        <f t="shared" si="1093"/>
        <v>ACC530</v>
      </c>
      <c r="V2046">
        <v>0</v>
      </c>
      <c r="W2046">
        <v>0</v>
      </c>
      <c r="X2046">
        <v>1</v>
      </c>
      <c r="Z2046">
        <v>0</v>
      </c>
      <c r="AA2046">
        <v>9</v>
      </c>
      <c r="AB2046">
        <v>3</v>
      </c>
      <c r="AC2046">
        <v>0</v>
      </c>
      <c r="AD2046">
        <v>9</v>
      </c>
      <c r="AE2046">
        <v>0</v>
      </c>
      <c r="AF2046">
        <v>3</v>
      </c>
      <c r="AG2046">
        <v>1</v>
      </c>
      <c r="AH2046">
        <v>0</v>
      </c>
      <c r="AI2046" t="s">
        <v>754</v>
      </c>
      <c r="AJ2046">
        <v>34.171320999999999</v>
      </c>
      <c r="AK2046" t="s">
        <v>755</v>
      </c>
      <c r="AL2046">
        <v>-117.025423</v>
      </c>
      <c r="AM2046">
        <v>100</v>
      </c>
      <c r="AN2046">
        <v>7900</v>
      </c>
      <c r="AO2046" t="s">
        <v>118</v>
      </c>
      <c r="AP2046">
        <v>-89</v>
      </c>
      <c r="AQ2046">
        <v>-84</v>
      </c>
      <c r="AR2046">
        <v>-768</v>
      </c>
      <c r="AZ2046">
        <v>1200</v>
      </c>
      <c r="BA2046">
        <v>1</v>
      </c>
      <c r="BB2046" t="str">
        <f t="shared" si="1096"/>
        <v xml:space="preserve">N9217B  </v>
      </c>
      <c r="BC2046">
        <v>1</v>
      </c>
      <c r="BE2046">
        <v>0</v>
      </c>
      <c r="BF2046">
        <v>0</v>
      </c>
      <c r="BG2046">
        <v>0</v>
      </c>
      <c r="BH2046">
        <v>7875</v>
      </c>
      <c r="BI2046">
        <v>1</v>
      </c>
      <c r="BJ2046">
        <v>0</v>
      </c>
      <c r="BK2046">
        <v>0</v>
      </c>
      <c r="BL2046">
        <v>0</v>
      </c>
      <c r="BO2046">
        <v>0</v>
      </c>
      <c r="BP2046">
        <v>0</v>
      </c>
      <c r="BW2046" t="str">
        <f t="shared" si="1127"/>
        <v>14:54:06.458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285</v>
      </c>
      <c r="CR2046">
        <v>0</v>
      </c>
      <c r="CW2046">
        <v>8860994</v>
      </c>
      <c r="CY2046">
        <v>0</v>
      </c>
      <c r="CZ2046">
        <v>0</v>
      </c>
      <c r="DA2046">
        <v>1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25">
      <c r="A2047" t="str">
        <f t="shared" si="1125"/>
        <v>06/05/2020 14:54:00.811</v>
      </c>
      <c r="C2047" t="str">
        <f t="shared" si="1113"/>
        <v>FFDFD3C0</v>
      </c>
      <c r="D2047" t="s">
        <v>141</v>
      </c>
      <c r="E2047">
        <v>20</v>
      </c>
      <c r="F2047">
        <v>1020</v>
      </c>
      <c r="G2047" t="s">
        <v>114</v>
      </c>
      <c r="J2047" t="s">
        <v>142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1126"/>
        <v>14:54:06.453</v>
      </c>
      <c r="T2047" t="str">
        <f t="shared" si="1126"/>
        <v>14:54:06.453</v>
      </c>
      <c r="U2047" t="str">
        <f t="shared" si="1093"/>
        <v>ACC530</v>
      </c>
      <c r="V2047">
        <v>0</v>
      </c>
      <c r="W2047">
        <v>0</v>
      </c>
      <c r="X2047">
        <v>1</v>
      </c>
      <c r="Z2047">
        <v>0</v>
      </c>
      <c r="AA2047">
        <v>9</v>
      </c>
      <c r="AB2047">
        <v>3</v>
      </c>
      <c r="AC2047">
        <v>0</v>
      </c>
      <c r="AD2047">
        <v>9</v>
      </c>
      <c r="AE2047">
        <v>0</v>
      </c>
      <c r="AF2047">
        <v>3</v>
      </c>
      <c r="AG2047">
        <v>1</v>
      </c>
      <c r="AH2047">
        <v>0</v>
      </c>
      <c r="AI2047" t="s">
        <v>754</v>
      </c>
      <c r="AJ2047">
        <v>34.171320999999999</v>
      </c>
      <c r="AK2047" t="s">
        <v>755</v>
      </c>
      <c r="AL2047">
        <v>-117.025423</v>
      </c>
      <c r="AM2047">
        <v>100</v>
      </c>
      <c r="AN2047">
        <v>7900</v>
      </c>
      <c r="AO2047" t="s">
        <v>118</v>
      </c>
      <c r="AP2047">
        <v>-89</v>
      </c>
      <c r="AQ2047">
        <v>-84</v>
      </c>
      <c r="AR2047">
        <v>-768</v>
      </c>
      <c r="AZ2047">
        <v>1200</v>
      </c>
      <c r="BA2047">
        <v>1</v>
      </c>
      <c r="BB2047" t="str">
        <f t="shared" si="1096"/>
        <v xml:space="preserve">N9217B  </v>
      </c>
      <c r="BC2047">
        <v>1</v>
      </c>
      <c r="BE2047">
        <v>0</v>
      </c>
      <c r="BF2047">
        <v>0</v>
      </c>
      <c r="BG2047">
        <v>0</v>
      </c>
      <c r="BH2047">
        <v>7875</v>
      </c>
      <c r="BI2047">
        <v>1</v>
      </c>
      <c r="BJ2047">
        <v>0</v>
      </c>
      <c r="BK2047">
        <v>0</v>
      </c>
      <c r="BL2047">
        <v>0</v>
      </c>
      <c r="BO2047">
        <v>0</v>
      </c>
      <c r="BP2047">
        <v>0</v>
      </c>
      <c r="BW2047" t="str">
        <f t="shared" si="1127"/>
        <v>14:54:06.458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285</v>
      </c>
      <c r="CR2047">
        <v>0</v>
      </c>
      <c r="CW2047">
        <v>8860994</v>
      </c>
      <c r="CY2047">
        <v>0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25">
      <c r="A2048" t="str">
        <f t="shared" si="1125"/>
        <v>06/05/2020 14:54:00.811</v>
      </c>
      <c r="C2048" t="str">
        <f t="shared" si="1113"/>
        <v>FFDFD3C0</v>
      </c>
      <c r="D2048" t="s">
        <v>113</v>
      </c>
      <c r="E2048">
        <v>3</v>
      </c>
      <c r="H2048">
        <v>166</v>
      </c>
      <c r="I2048" t="s">
        <v>114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126"/>
        <v>14:54:06.453</v>
      </c>
      <c r="T2048" t="str">
        <f t="shared" si="1126"/>
        <v>14:54:06.453</v>
      </c>
      <c r="U2048" t="str">
        <f t="shared" si="1093"/>
        <v>ACC530</v>
      </c>
      <c r="V2048">
        <v>0</v>
      </c>
      <c r="W2048">
        <v>0</v>
      </c>
      <c r="X2048">
        <v>1</v>
      </c>
      <c r="Z2048">
        <v>0</v>
      </c>
      <c r="AA2048">
        <v>9</v>
      </c>
      <c r="AB2048">
        <v>3</v>
      </c>
      <c r="AC2048">
        <v>0</v>
      </c>
      <c r="AD2048">
        <v>9</v>
      </c>
      <c r="AE2048">
        <v>0</v>
      </c>
      <c r="AF2048">
        <v>3</v>
      </c>
      <c r="AG2048">
        <v>1</v>
      </c>
      <c r="AH2048">
        <v>0</v>
      </c>
      <c r="AI2048" t="s">
        <v>754</v>
      </c>
      <c r="AJ2048">
        <v>34.171320999999999</v>
      </c>
      <c r="AK2048" t="s">
        <v>755</v>
      </c>
      <c r="AL2048">
        <v>-117.025423</v>
      </c>
      <c r="AM2048">
        <v>100</v>
      </c>
      <c r="AN2048">
        <v>7900</v>
      </c>
      <c r="AO2048" t="s">
        <v>118</v>
      </c>
      <c r="AP2048">
        <v>-89</v>
      </c>
      <c r="AQ2048">
        <v>-84</v>
      </c>
      <c r="AR2048">
        <v>-768</v>
      </c>
      <c r="AZ2048">
        <v>1200</v>
      </c>
      <c r="BA2048">
        <v>1</v>
      </c>
      <c r="BB2048" t="str">
        <f t="shared" si="1096"/>
        <v xml:space="preserve">N9217B  </v>
      </c>
      <c r="BC2048">
        <v>1</v>
      </c>
      <c r="BE2048">
        <v>0</v>
      </c>
      <c r="BF2048">
        <v>0</v>
      </c>
      <c r="BG2048">
        <v>0</v>
      </c>
      <c r="BH2048">
        <v>7875</v>
      </c>
      <c r="BI2048">
        <v>1</v>
      </c>
      <c r="BJ2048">
        <v>0</v>
      </c>
      <c r="BK2048">
        <v>0</v>
      </c>
      <c r="BL2048">
        <v>0</v>
      </c>
      <c r="BO2048">
        <v>0</v>
      </c>
      <c r="BP2048">
        <v>0</v>
      </c>
      <c r="BW2048" t="str">
        <f t="shared" si="1127"/>
        <v>14:54:06.458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285</v>
      </c>
      <c r="CR2048">
        <v>0</v>
      </c>
      <c r="CW2048">
        <v>8860994</v>
      </c>
      <c r="CY2048">
        <v>0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25">
      <c r="A2049" t="str">
        <f t="shared" si="1125"/>
        <v>06/05/2020 14:54:00.811</v>
      </c>
      <c r="C2049" t="str">
        <f t="shared" si="1113"/>
        <v>FFDFD3C0</v>
      </c>
      <c r="D2049" t="s">
        <v>151</v>
      </c>
      <c r="E2049">
        <v>9</v>
      </c>
      <c r="H2049">
        <v>226</v>
      </c>
      <c r="I2049" t="s">
        <v>152</v>
      </c>
      <c r="J2049" t="s">
        <v>150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126"/>
        <v>14:54:06.453</v>
      </c>
      <c r="T2049" t="str">
        <f t="shared" si="1126"/>
        <v>14:54:06.453</v>
      </c>
      <c r="U2049" t="str">
        <f t="shared" si="1093"/>
        <v>ACC530</v>
      </c>
      <c r="V2049">
        <v>0</v>
      </c>
      <c r="W2049">
        <v>0</v>
      </c>
      <c r="X2049">
        <v>1</v>
      </c>
      <c r="Z2049">
        <v>0</v>
      </c>
      <c r="AA2049">
        <v>9</v>
      </c>
      <c r="AB2049">
        <v>3</v>
      </c>
      <c r="AC2049">
        <v>0</v>
      </c>
      <c r="AD2049">
        <v>9</v>
      </c>
      <c r="AE2049">
        <v>0</v>
      </c>
      <c r="AF2049">
        <v>3</v>
      </c>
      <c r="AG2049">
        <v>1</v>
      </c>
      <c r="AH2049">
        <v>0</v>
      </c>
      <c r="AI2049" t="s">
        <v>754</v>
      </c>
      <c r="AJ2049">
        <v>34.171320999999999</v>
      </c>
      <c r="AK2049" t="s">
        <v>755</v>
      </c>
      <c r="AL2049">
        <v>-117.025423</v>
      </c>
      <c r="AM2049">
        <v>100</v>
      </c>
      <c r="AN2049">
        <v>7900</v>
      </c>
      <c r="AO2049" t="s">
        <v>118</v>
      </c>
      <c r="AP2049">
        <v>-89</v>
      </c>
      <c r="AQ2049">
        <v>-84</v>
      </c>
      <c r="AR2049">
        <v>-768</v>
      </c>
      <c r="AZ2049">
        <v>1200</v>
      </c>
      <c r="BA2049">
        <v>1</v>
      </c>
      <c r="BB2049" t="str">
        <f t="shared" si="1096"/>
        <v xml:space="preserve">N9217B  </v>
      </c>
      <c r="BC2049">
        <v>1</v>
      </c>
      <c r="BE2049">
        <v>0</v>
      </c>
      <c r="BF2049">
        <v>0</v>
      </c>
      <c r="BG2049">
        <v>0</v>
      </c>
      <c r="BH2049">
        <v>7875</v>
      </c>
      <c r="BI2049">
        <v>1</v>
      </c>
      <c r="BJ2049">
        <v>0</v>
      </c>
      <c r="BK2049">
        <v>0</v>
      </c>
      <c r="BL2049">
        <v>0</v>
      </c>
      <c r="BO2049">
        <v>0</v>
      </c>
      <c r="BP2049">
        <v>0</v>
      </c>
      <c r="BW2049" t="str">
        <f t="shared" si="1127"/>
        <v>14:54:06.458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6</v>
      </c>
      <c r="CP2049" t="s">
        <v>119</v>
      </c>
      <c r="CQ2049">
        <v>285</v>
      </c>
      <c r="CR2049">
        <v>0</v>
      </c>
      <c r="CW2049">
        <v>8860994</v>
      </c>
      <c r="CY2049">
        <v>0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25">
      <c r="A2050" t="str">
        <f t="shared" si="1125"/>
        <v>06/05/2020 14:54:00.811</v>
      </c>
      <c r="C2050" t="str">
        <f t="shared" si="1113"/>
        <v>FFDFD3C0</v>
      </c>
      <c r="D2050" t="s">
        <v>148</v>
      </c>
      <c r="E2050">
        <v>8</v>
      </c>
      <c r="H2050">
        <v>50</v>
      </c>
      <c r="I2050" t="s">
        <v>149</v>
      </c>
      <c r="J2050" t="s">
        <v>150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1126"/>
        <v>14:54:06.453</v>
      </c>
      <c r="T2050" t="str">
        <f t="shared" si="1126"/>
        <v>14:54:06.453</v>
      </c>
      <c r="U2050" t="str">
        <f t="shared" ref="U2050:U2113" si="1128">"ACC530"</f>
        <v>ACC530</v>
      </c>
      <c r="V2050">
        <v>0</v>
      </c>
      <c r="W2050">
        <v>0</v>
      </c>
      <c r="X2050">
        <v>1</v>
      </c>
      <c r="Z2050">
        <v>0</v>
      </c>
      <c r="AA2050">
        <v>9</v>
      </c>
      <c r="AB2050">
        <v>3</v>
      </c>
      <c r="AC2050">
        <v>0</v>
      </c>
      <c r="AD2050">
        <v>9</v>
      </c>
      <c r="AE2050">
        <v>0</v>
      </c>
      <c r="AF2050">
        <v>3</v>
      </c>
      <c r="AG2050">
        <v>1</v>
      </c>
      <c r="AH2050">
        <v>0</v>
      </c>
      <c r="AI2050" t="s">
        <v>754</v>
      </c>
      <c r="AJ2050">
        <v>34.171320999999999</v>
      </c>
      <c r="AK2050" t="s">
        <v>755</v>
      </c>
      <c r="AL2050">
        <v>-117.025423</v>
      </c>
      <c r="AM2050">
        <v>100</v>
      </c>
      <c r="AN2050">
        <v>7900</v>
      </c>
      <c r="AO2050" t="s">
        <v>118</v>
      </c>
      <c r="AP2050">
        <v>-89</v>
      </c>
      <c r="AQ2050">
        <v>-84</v>
      </c>
      <c r="AR2050">
        <v>-768</v>
      </c>
      <c r="AZ2050">
        <v>1200</v>
      </c>
      <c r="BA2050">
        <v>1</v>
      </c>
      <c r="BB2050" t="str">
        <f t="shared" si="1096"/>
        <v xml:space="preserve">N9217B  </v>
      </c>
      <c r="BC2050">
        <v>1</v>
      </c>
      <c r="BE2050">
        <v>0</v>
      </c>
      <c r="BF2050">
        <v>0</v>
      </c>
      <c r="BG2050">
        <v>0</v>
      </c>
      <c r="BH2050">
        <v>7875</v>
      </c>
      <c r="BI2050">
        <v>1</v>
      </c>
      <c r="BJ2050">
        <v>0</v>
      </c>
      <c r="BK2050">
        <v>0</v>
      </c>
      <c r="BL2050">
        <v>0</v>
      </c>
      <c r="BO2050">
        <v>0</v>
      </c>
      <c r="BP2050">
        <v>0</v>
      </c>
      <c r="BW2050" t="str">
        <f t="shared" si="1127"/>
        <v>14:54:06.458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6</v>
      </c>
      <c r="CP2050" t="s">
        <v>119</v>
      </c>
      <c r="CQ2050">
        <v>285</v>
      </c>
      <c r="CR2050">
        <v>0</v>
      </c>
      <c r="CW2050">
        <v>8860994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25">
      <c r="A2051" t="str">
        <f t="shared" si="1125"/>
        <v>06/05/2020 14:54:00.811</v>
      </c>
      <c r="C2051" t="str">
        <f t="shared" si="1113"/>
        <v>FFDFD3C0</v>
      </c>
      <c r="D2051" t="s">
        <v>134</v>
      </c>
      <c r="E2051">
        <v>7</v>
      </c>
      <c r="F2051">
        <v>2007</v>
      </c>
      <c r="G2051" t="s">
        <v>135</v>
      </c>
      <c r="J2051" t="s">
        <v>136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126"/>
        <v>14:54:06.453</v>
      </c>
      <c r="T2051" t="str">
        <f t="shared" si="1126"/>
        <v>14:54:06.453</v>
      </c>
      <c r="U2051" t="str">
        <f t="shared" si="1128"/>
        <v>ACC530</v>
      </c>
      <c r="V2051">
        <v>0</v>
      </c>
      <c r="W2051">
        <v>0</v>
      </c>
      <c r="X2051">
        <v>1</v>
      </c>
      <c r="Z2051">
        <v>0</v>
      </c>
      <c r="AA2051">
        <v>9</v>
      </c>
      <c r="AB2051">
        <v>3</v>
      </c>
      <c r="AC2051">
        <v>0</v>
      </c>
      <c r="AD2051">
        <v>9</v>
      </c>
      <c r="AE2051">
        <v>0</v>
      </c>
      <c r="AF2051">
        <v>3</v>
      </c>
      <c r="AG2051">
        <v>1</v>
      </c>
      <c r="AH2051">
        <v>0</v>
      </c>
      <c r="AI2051" t="s">
        <v>754</v>
      </c>
      <c r="AJ2051">
        <v>34.171320999999999</v>
      </c>
      <c r="AK2051" t="s">
        <v>755</v>
      </c>
      <c r="AL2051">
        <v>-117.025423</v>
      </c>
      <c r="AM2051">
        <v>100</v>
      </c>
      <c r="AN2051">
        <v>7900</v>
      </c>
      <c r="AO2051" t="s">
        <v>118</v>
      </c>
      <c r="AP2051">
        <v>-89</v>
      </c>
      <c r="AQ2051">
        <v>-84</v>
      </c>
      <c r="AR2051">
        <v>-768</v>
      </c>
      <c r="AZ2051">
        <v>1200</v>
      </c>
      <c r="BA2051">
        <v>1</v>
      </c>
      <c r="BB2051" t="str">
        <f t="shared" si="1096"/>
        <v xml:space="preserve">N9217B  </v>
      </c>
      <c r="BC2051">
        <v>1</v>
      </c>
      <c r="BE2051">
        <v>0</v>
      </c>
      <c r="BF2051">
        <v>0</v>
      </c>
      <c r="BG2051">
        <v>0</v>
      </c>
      <c r="BH2051">
        <v>7875</v>
      </c>
      <c r="BI2051">
        <v>1</v>
      </c>
      <c r="BJ2051">
        <v>0</v>
      </c>
      <c r="BK2051">
        <v>0</v>
      </c>
      <c r="BL2051">
        <v>0</v>
      </c>
      <c r="BO2051">
        <v>0</v>
      </c>
      <c r="BP2051">
        <v>0</v>
      </c>
      <c r="BW2051" t="str">
        <f t="shared" si="1127"/>
        <v>14:54:06.458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6</v>
      </c>
      <c r="CP2051" t="s">
        <v>119</v>
      </c>
      <c r="CQ2051">
        <v>285</v>
      </c>
      <c r="CR2051">
        <v>0</v>
      </c>
      <c r="CW2051">
        <v>8860994</v>
      </c>
      <c r="CY2051">
        <v>0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25">
      <c r="A2052" t="str">
        <f t="shared" ref="A2052:A2058" si="1129">"06/05/2020 14:54:01.798"</f>
        <v>06/05/2020 14:54:01.798</v>
      </c>
      <c r="C2052" t="str">
        <f t="shared" si="1113"/>
        <v>FFDFD3C0</v>
      </c>
      <c r="D2052" t="s">
        <v>148</v>
      </c>
      <c r="E2052">
        <v>8</v>
      </c>
      <c r="H2052">
        <v>50</v>
      </c>
      <c r="I2052" t="s">
        <v>149</v>
      </c>
      <c r="J2052" t="s">
        <v>150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ref="S2052:T2058" si="1130">"14:54:07.461"</f>
        <v>14:54:07.461</v>
      </c>
      <c r="T2052" t="str">
        <f t="shared" si="1130"/>
        <v>14:54:07.461</v>
      </c>
      <c r="U2052" t="str">
        <f t="shared" si="1128"/>
        <v>ACC530</v>
      </c>
      <c r="V2052">
        <v>0</v>
      </c>
      <c r="W2052">
        <v>0</v>
      </c>
      <c r="X2052">
        <v>1</v>
      </c>
      <c r="Z2052">
        <v>0</v>
      </c>
      <c r="AA2052">
        <v>9</v>
      </c>
      <c r="AB2052">
        <v>3</v>
      </c>
      <c r="AC2052">
        <v>0</v>
      </c>
      <c r="AD2052">
        <v>9</v>
      </c>
      <c r="AE2052">
        <v>0</v>
      </c>
      <c r="AF2052">
        <v>3</v>
      </c>
      <c r="AG2052">
        <v>1</v>
      </c>
      <c r="AH2052">
        <v>0</v>
      </c>
      <c r="AI2052" t="s">
        <v>756</v>
      </c>
      <c r="AJ2052">
        <v>34.170977999999998</v>
      </c>
      <c r="AK2052" t="s">
        <v>757</v>
      </c>
      <c r="AL2052">
        <v>-117.02591700000001</v>
      </c>
      <c r="AM2052">
        <v>100</v>
      </c>
      <c r="AN2052">
        <v>7900</v>
      </c>
      <c r="AO2052" t="s">
        <v>118</v>
      </c>
      <c r="AP2052">
        <v>-89</v>
      </c>
      <c r="AQ2052">
        <v>-84</v>
      </c>
      <c r="AR2052">
        <v>-768</v>
      </c>
      <c r="AZ2052">
        <v>1200</v>
      </c>
      <c r="BA2052">
        <v>1</v>
      </c>
      <c r="BB2052" t="str">
        <f t="shared" si="1096"/>
        <v xml:space="preserve">N9217B  </v>
      </c>
      <c r="BC2052">
        <v>1</v>
      </c>
      <c r="BE2052">
        <v>0</v>
      </c>
      <c r="BF2052">
        <v>0</v>
      </c>
      <c r="BG2052">
        <v>0</v>
      </c>
      <c r="BH2052">
        <v>7850</v>
      </c>
      <c r="BI2052">
        <v>1</v>
      </c>
      <c r="BJ2052">
        <v>0</v>
      </c>
      <c r="BK2052">
        <v>0</v>
      </c>
      <c r="BL2052">
        <v>0</v>
      </c>
      <c r="BO2052">
        <v>0</v>
      </c>
      <c r="BP2052">
        <v>0</v>
      </c>
      <c r="BW2052" t="str">
        <f t="shared" ref="BW2052:BW2058" si="1131">"14:54:07.463"</f>
        <v>14:54:07.463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6</v>
      </c>
      <c r="CP2052" t="s">
        <v>119</v>
      </c>
      <c r="CQ2052">
        <v>285</v>
      </c>
      <c r="CR2052">
        <v>0</v>
      </c>
      <c r="CW2052">
        <v>8861083</v>
      </c>
      <c r="CY2052">
        <v>0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25">
      <c r="A2053" t="str">
        <f t="shared" si="1129"/>
        <v>06/05/2020 14:54:01.798</v>
      </c>
      <c r="C2053" t="str">
        <f t="shared" si="1113"/>
        <v>FFDFD3C0</v>
      </c>
      <c r="D2053" t="s">
        <v>151</v>
      </c>
      <c r="E2053">
        <v>9</v>
      </c>
      <c r="H2053">
        <v>226</v>
      </c>
      <c r="I2053" t="s">
        <v>152</v>
      </c>
      <c r="J2053" t="s">
        <v>150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1130"/>
        <v>14:54:07.461</v>
      </c>
      <c r="T2053" t="str">
        <f t="shared" si="1130"/>
        <v>14:54:07.461</v>
      </c>
      <c r="U2053" t="str">
        <f t="shared" si="1128"/>
        <v>ACC530</v>
      </c>
      <c r="V2053">
        <v>0</v>
      </c>
      <c r="W2053">
        <v>0</v>
      </c>
      <c r="X2053">
        <v>1</v>
      </c>
      <c r="Z2053">
        <v>0</v>
      </c>
      <c r="AA2053">
        <v>9</v>
      </c>
      <c r="AB2053">
        <v>3</v>
      </c>
      <c r="AC2053">
        <v>0</v>
      </c>
      <c r="AD2053">
        <v>9</v>
      </c>
      <c r="AE2053">
        <v>0</v>
      </c>
      <c r="AF2053">
        <v>3</v>
      </c>
      <c r="AG2053">
        <v>1</v>
      </c>
      <c r="AH2053">
        <v>0</v>
      </c>
      <c r="AI2053" t="s">
        <v>756</v>
      </c>
      <c r="AJ2053">
        <v>34.170977999999998</v>
      </c>
      <c r="AK2053" t="s">
        <v>757</v>
      </c>
      <c r="AL2053">
        <v>-117.02591700000001</v>
      </c>
      <c r="AM2053">
        <v>100</v>
      </c>
      <c r="AN2053">
        <v>7900</v>
      </c>
      <c r="AO2053" t="s">
        <v>118</v>
      </c>
      <c r="AP2053">
        <v>-89</v>
      </c>
      <c r="AQ2053">
        <v>-84</v>
      </c>
      <c r="AR2053">
        <v>-768</v>
      </c>
      <c r="AZ2053">
        <v>1200</v>
      </c>
      <c r="BA2053">
        <v>1</v>
      </c>
      <c r="BB2053" t="str">
        <f t="shared" ref="BB2053:BB2116" si="1132">"N9217B  "</f>
        <v xml:space="preserve">N9217B  </v>
      </c>
      <c r="BC2053">
        <v>1</v>
      </c>
      <c r="BE2053">
        <v>0</v>
      </c>
      <c r="BF2053">
        <v>0</v>
      </c>
      <c r="BG2053">
        <v>0</v>
      </c>
      <c r="BH2053">
        <v>7850</v>
      </c>
      <c r="BI2053">
        <v>1</v>
      </c>
      <c r="BJ2053">
        <v>0</v>
      </c>
      <c r="BK2053">
        <v>0</v>
      </c>
      <c r="BL2053">
        <v>0</v>
      </c>
      <c r="BO2053">
        <v>0</v>
      </c>
      <c r="BP2053">
        <v>0</v>
      </c>
      <c r="BW2053" t="str">
        <f t="shared" si="1131"/>
        <v>14:54:07.463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6</v>
      </c>
      <c r="CP2053" t="s">
        <v>119</v>
      </c>
      <c r="CQ2053">
        <v>285</v>
      </c>
      <c r="CR2053">
        <v>0</v>
      </c>
      <c r="CW2053">
        <v>8861083</v>
      </c>
      <c r="CY2053">
        <v>0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25">
      <c r="A2054" t="str">
        <f t="shared" si="1129"/>
        <v>06/05/2020 14:54:01.798</v>
      </c>
      <c r="C2054" t="str">
        <f t="shared" si="1113"/>
        <v>FFDFD3C0</v>
      </c>
      <c r="D2054" t="s">
        <v>134</v>
      </c>
      <c r="E2054">
        <v>7</v>
      </c>
      <c r="F2054">
        <v>2007</v>
      </c>
      <c r="G2054" t="s">
        <v>135</v>
      </c>
      <c r="J2054" t="s">
        <v>136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1130"/>
        <v>14:54:07.461</v>
      </c>
      <c r="T2054" t="str">
        <f t="shared" si="1130"/>
        <v>14:54:07.461</v>
      </c>
      <c r="U2054" t="str">
        <f t="shared" si="1128"/>
        <v>ACC530</v>
      </c>
      <c r="V2054">
        <v>0</v>
      </c>
      <c r="W2054">
        <v>0</v>
      </c>
      <c r="X2054">
        <v>1</v>
      </c>
      <c r="Z2054">
        <v>0</v>
      </c>
      <c r="AA2054">
        <v>9</v>
      </c>
      <c r="AB2054">
        <v>3</v>
      </c>
      <c r="AC2054">
        <v>0</v>
      </c>
      <c r="AD2054">
        <v>9</v>
      </c>
      <c r="AE2054">
        <v>0</v>
      </c>
      <c r="AF2054">
        <v>3</v>
      </c>
      <c r="AG2054">
        <v>1</v>
      </c>
      <c r="AH2054">
        <v>0</v>
      </c>
      <c r="AI2054" t="s">
        <v>756</v>
      </c>
      <c r="AJ2054">
        <v>34.170977999999998</v>
      </c>
      <c r="AK2054" t="s">
        <v>757</v>
      </c>
      <c r="AL2054">
        <v>-117.02591700000001</v>
      </c>
      <c r="AM2054">
        <v>100</v>
      </c>
      <c r="AN2054">
        <v>7900</v>
      </c>
      <c r="AO2054" t="s">
        <v>118</v>
      </c>
      <c r="AP2054">
        <v>-89</v>
      </c>
      <c r="AQ2054">
        <v>-84</v>
      </c>
      <c r="AR2054">
        <v>-768</v>
      </c>
      <c r="AZ2054">
        <v>1200</v>
      </c>
      <c r="BA2054">
        <v>1</v>
      </c>
      <c r="BB2054" t="str">
        <f t="shared" si="1132"/>
        <v xml:space="preserve">N9217B  </v>
      </c>
      <c r="BC2054">
        <v>1</v>
      </c>
      <c r="BE2054">
        <v>0</v>
      </c>
      <c r="BF2054">
        <v>0</v>
      </c>
      <c r="BG2054">
        <v>0</v>
      </c>
      <c r="BH2054">
        <v>7850</v>
      </c>
      <c r="BI2054">
        <v>1</v>
      </c>
      <c r="BJ2054">
        <v>0</v>
      </c>
      <c r="BK2054">
        <v>0</v>
      </c>
      <c r="BL2054">
        <v>0</v>
      </c>
      <c r="BO2054">
        <v>0</v>
      </c>
      <c r="BP2054">
        <v>0</v>
      </c>
      <c r="BW2054" t="str">
        <f t="shared" si="1131"/>
        <v>14:54:07.463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6</v>
      </c>
      <c r="CP2054" t="s">
        <v>119</v>
      </c>
      <c r="CQ2054">
        <v>285</v>
      </c>
      <c r="CR2054">
        <v>0</v>
      </c>
      <c r="CW2054">
        <v>8861083</v>
      </c>
      <c r="CY2054">
        <v>0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25">
      <c r="A2055" t="str">
        <f t="shared" si="1129"/>
        <v>06/05/2020 14:54:01.798</v>
      </c>
      <c r="C2055" t="str">
        <f t="shared" si="1113"/>
        <v>FFDFD3C0</v>
      </c>
      <c r="D2055" t="s">
        <v>148</v>
      </c>
      <c r="E2055">
        <v>11</v>
      </c>
      <c r="H2055">
        <v>53</v>
      </c>
      <c r="I2055" t="s">
        <v>364</v>
      </c>
      <c r="J2055" t="s">
        <v>150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130"/>
        <v>14:54:07.461</v>
      </c>
      <c r="T2055" t="str">
        <f t="shared" si="1130"/>
        <v>14:54:07.461</v>
      </c>
      <c r="U2055" t="str">
        <f t="shared" si="1128"/>
        <v>ACC530</v>
      </c>
      <c r="V2055">
        <v>0</v>
      </c>
      <c r="W2055">
        <v>0</v>
      </c>
      <c r="X2055">
        <v>1</v>
      </c>
      <c r="Z2055">
        <v>0</v>
      </c>
      <c r="AA2055">
        <v>9</v>
      </c>
      <c r="AB2055">
        <v>3</v>
      </c>
      <c r="AC2055">
        <v>0</v>
      </c>
      <c r="AD2055">
        <v>9</v>
      </c>
      <c r="AE2055">
        <v>0</v>
      </c>
      <c r="AF2055">
        <v>3</v>
      </c>
      <c r="AG2055">
        <v>1</v>
      </c>
      <c r="AH2055">
        <v>0</v>
      </c>
      <c r="AI2055" t="s">
        <v>756</v>
      </c>
      <c r="AJ2055">
        <v>34.170977999999998</v>
      </c>
      <c r="AK2055" t="s">
        <v>757</v>
      </c>
      <c r="AL2055">
        <v>-117.02591700000001</v>
      </c>
      <c r="AM2055">
        <v>100</v>
      </c>
      <c r="AN2055">
        <v>7900</v>
      </c>
      <c r="AO2055" t="s">
        <v>118</v>
      </c>
      <c r="AP2055">
        <v>-89</v>
      </c>
      <c r="AQ2055">
        <v>-84</v>
      </c>
      <c r="AR2055">
        <v>-768</v>
      </c>
      <c r="AZ2055">
        <v>1200</v>
      </c>
      <c r="BA2055">
        <v>1</v>
      </c>
      <c r="BB2055" t="str">
        <f t="shared" si="1132"/>
        <v xml:space="preserve">N9217B  </v>
      </c>
      <c r="BC2055">
        <v>1</v>
      </c>
      <c r="BE2055">
        <v>0</v>
      </c>
      <c r="BF2055">
        <v>0</v>
      </c>
      <c r="BG2055">
        <v>0</v>
      </c>
      <c r="BH2055">
        <v>7850</v>
      </c>
      <c r="BI2055">
        <v>1</v>
      </c>
      <c r="BJ2055">
        <v>0</v>
      </c>
      <c r="BK2055">
        <v>0</v>
      </c>
      <c r="BL2055">
        <v>0</v>
      </c>
      <c r="BO2055">
        <v>0</v>
      </c>
      <c r="BP2055">
        <v>0</v>
      </c>
      <c r="BW2055" t="str">
        <f t="shared" si="1131"/>
        <v>14:54:07.463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285</v>
      </c>
      <c r="CR2055">
        <v>0</v>
      </c>
      <c r="CW2055">
        <v>8861083</v>
      </c>
      <c r="CY2055">
        <v>0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25">
      <c r="A2056" t="str">
        <f t="shared" si="1129"/>
        <v>06/05/2020 14:54:01.798</v>
      </c>
      <c r="C2056" t="str">
        <f t="shared" si="1113"/>
        <v>FFDFD3C0</v>
      </c>
      <c r="D2056" t="s">
        <v>141</v>
      </c>
      <c r="E2056">
        <v>20</v>
      </c>
      <c r="F2056">
        <v>1020</v>
      </c>
      <c r="G2056" t="s">
        <v>114</v>
      </c>
      <c r="J2056" t="s">
        <v>142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130"/>
        <v>14:54:07.461</v>
      </c>
      <c r="T2056" t="str">
        <f t="shared" si="1130"/>
        <v>14:54:07.461</v>
      </c>
      <c r="U2056" t="str">
        <f t="shared" si="1128"/>
        <v>ACC530</v>
      </c>
      <c r="V2056">
        <v>0</v>
      </c>
      <c r="W2056">
        <v>0</v>
      </c>
      <c r="X2056">
        <v>1</v>
      </c>
      <c r="Z2056">
        <v>0</v>
      </c>
      <c r="AA2056">
        <v>9</v>
      </c>
      <c r="AB2056">
        <v>3</v>
      </c>
      <c r="AC2056">
        <v>0</v>
      </c>
      <c r="AD2056">
        <v>9</v>
      </c>
      <c r="AE2056">
        <v>0</v>
      </c>
      <c r="AF2056">
        <v>3</v>
      </c>
      <c r="AG2056">
        <v>1</v>
      </c>
      <c r="AH2056">
        <v>0</v>
      </c>
      <c r="AI2056" t="s">
        <v>756</v>
      </c>
      <c r="AJ2056">
        <v>34.170977999999998</v>
      </c>
      <c r="AK2056" t="s">
        <v>757</v>
      </c>
      <c r="AL2056">
        <v>-117.02591700000001</v>
      </c>
      <c r="AM2056">
        <v>100</v>
      </c>
      <c r="AN2056">
        <v>7900</v>
      </c>
      <c r="AO2056" t="s">
        <v>118</v>
      </c>
      <c r="AP2056">
        <v>-89</v>
      </c>
      <c r="AQ2056">
        <v>-84</v>
      </c>
      <c r="AR2056">
        <v>-768</v>
      </c>
      <c r="AZ2056">
        <v>1200</v>
      </c>
      <c r="BA2056">
        <v>1</v>
      </c>
      <c r="BB2056" t="str">
        <f t="shared" si="1132"/>
        <v xml:space="preserve">N9217B  </v>
      </c>
      <c r="BC2056">
        <v>1</v>
      </c>
      <c r="BE2056">
        <v>0</v>
      </c>
      <c r="BF2056">
        <v>0</v>
      </c>
      <c r="BG2056">
        <v>0</v>
      </c>
      <c r="BH2056">
        <v>7850</v>
      </c>
      <c r="BI2056">
        <v>1</v>
      </c>
      <c r="BJ2056">
        <v>0</v>
      </c>
      <c r="BK2056">
        <v>0</v>
      </c>
      <c r="BL2056">
        <v>0</v>
      </c>
      <c r="BO2056">
        <v>0</v>
      </c>
      <c r="BP2056">
        <v>0</v>
      </c>
      <c r="BW2056" t="str">
        <f t="shared" si="1131"/>
        <v>14:54:07.463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6</v>
      </c>
      <c r="CP2056" t="s">
        <v>119</v>
      </c>
      <c r="CQ2056">
        <v>285</v>
      </c>
      <c r="CR2056">
        <v>0</v>
      </c>
      <c r="CW2056">
        <v>8861083</v>
      </c>
      <c r="CY2056">
        <v>0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25">
      <c r="A2057" t="str">
        <f t="shared" si="1129"/>
        <v>06/05/2020 14:54:01.798</v>
      </c>
      <c r="C2057" t="str">
        <f t="shared" si="1113"/>
        <v>FFDFD3C0</v>
      </c>
      <c r="D2057" t="s">
        <v>151</v>
      </c>
      <c r="E2057">
        <v>8</v>
      </c>
      <c r="H2057">
        <v>225</v>
      </c>
      <c r="I2057" t="s">
        <v>353</v>
      </c>
      <c r="J2057" t="s">
        <v>150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1130"/>
        <v>14:54:07.461</v>
      </c>
      <c r="T2057" t="str">
        <f t="shared" si="1130"/>
        <v>14:54:07.461</v>
      </c>
      <c r="U2057" t="str">
        <f t="shared" si="1128"/>
        <v>ACC530</v>
      </c>
      <c r="V2057">
        <v>0</v>
      </c>
      <c r="W2057">
        <v>0</v>
      </c>
      <c r="X2057">
        <v>1</v>
      </c>
      <c r="Z2057">
        <v>0</v>
      </c>
      <c r="AA2057">
        <v>9</v>
      </c>
      <c r="AB2057">
        <v>3</v>
      </c>
      <c r="AC2057">
        <v>0</v>
      </c>
      <c r="AD2057">
        <v>9</v>
      </c>
      <c r="AE2057">
        <v>0</v>
      </c>
      <c r="AF2057">
        <v>3</v>
      </c>
      <c r="AG2057">
        <v>1</v>
      </c>
      <c r="AH2057">
        <v>0</v>
      </c>
      <c r="AI2057" t="s">
        <v>756</v>
      </c>
      <c r="AJ2057">
        <v>34.170977999999998</v>
      </c>
      <c r="AK2057" t="s">
        <v>757</v>
      </c>
      <c r="AL2057">
        <v>-117.02591700000001</v>
      </c>
      <c r="AM2057">
        <v>100</v>
      </c>
      <c r="AN2057">
        <v>7900</v>
      </c>
      <c r="AO2057" t="s">
        <v>118</v>
      </c>
      <c r="AP2057">
        <v>-89</v>
      </c>
      <c r="AQ2057">
        <v>-84</v>
      </c>
      <c r="AR2057">
        <v>-768</v>
      </c>
      <c r="AZ2057">
        <v>1200</v>
      </c>
      <c r="BA2057">
        <v>1</v>
      </c>
      <c r="BB2057" t="str">
        <f t="shared" si="1132"/>
        <v xml:space="preserve">N9217B  </v>
      </c>
      <c r="BC2057">
        <v>1</v>
      </c>
      <c r="BE2057">
        <v>0</v>
      </c>
      <c r="BF2057">
        <v>0</v>
      </c>
      <c r="BG2057">
        <v>0</v>
      </c>
      <c r="BH2057">
        <v>7850</v>
      </c>
      <c r="BI2057">
        <v>1</v>
      </c>
      <c r="BJ2057">
        <v>0</v>
      </c>
      <c r="BK2057">
        <v>0</v>
      </c>
      <c r="BL2057">
        <v>0</v>
      </c>
      <c r="BO2057">
        <v>0</v>
      </c>
      <c r="BP2057">
        <v>0</v>
      </c>
      <c r="BW2057" t="str">
        <f t="shared" si="1131"/>
        <v>14:54:07.463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285</v>
      </c>
      <c r="CR2057">
        <v>0</v>
      </c>
      <c r="CW2057">
        <v>8861083</v>
      </c>
      <c r="CY2057">
        <v>0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25">
      <c r="A2058" t="str">
        <f t="shared" si="1129"/>
        <v>06/05/2020 14:54:01.798</v>
      </c>
      <c r="C2058" t="str">
        <f t="shared" si="1113"/>
        <v>FFDFD3C0</v>
      </c>
      <c r="D2058" t="s">
        <v>113</v>
      </c>
      <c r="E2058">
        <v>3</v>
      </c>
      <c r="H2058">
        <v>166</v>
      </c>
      <c r="I2058" t="s">
        <v>114</v>
      </c>
      <c r="J2058" t="s">
        <v>115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130"/>
        <v>14:54:07.461</v>
      </c>
      <c r="T2058" t="str">
        <f t="shared" si="1130"/>
        <v>14:54:07.461</v>
      </c>
      <c r="U2058" t="str">
        <f t="shared" si="1128"/>
        <v>ACC530</v>
      </c>
      <c r="V2058">
        <v>0</v>
      </c>
      <c r="W2058">
        <v>0</v>
      </c>
      <c r="X2058">
        <v>1</v>
      </c>
      <c r="Z2058">
        <v>0</v>
      </c>
      <c r="AA2058">
        <v>9</v>
      </c>
      <c r="AB2058">
        <v>3</v>
      </c>
      <c r="AC2058">
        <v>0</v>
      </c>
      <c r="AD2058">
        <v>9</v>
      </c>
      <c r="AE2058">
        <v>0</v>
      </c>
      <c r="AF2058">
        <v>3</v>
      </c>
      <c r="AG2058">
        <v>1</v>
      </c>
      <c r="AH2058">
        <v>0</v>
      </c>
      <c r="AI2058" t="s">
        <v>756</v>
      </c>
      <c r="AJ2058">
        <v>34.170977999999998</v>
      </c>
      <c r="AK2058" t="s">
        <v>757</v>
      </c>
      <c r="AL2058">
        <v>-117.02591700000001</v>
      </c>
      <c r="AM2058">
        <v>100</v>
      </c>
      <c r="AN2058">
        <v>7900</v>
      </c>
      <c r="AO2058" t="s">
        <v>118</v>
      </c>
      <c r="AP2058">
        <v>-89</v>
      </c>
      <c r="AQ2058">
        <v>-84</v>
      </c>
      <c r="AR2058">
        <v>-768</v>
      </c>
      <c r="AZ2058">
        <v>1200</v>
      </c>
      <c r="BA2058">
        <v>1</v>
      </c>
      <c r="BB2058" t="str">
        <f t="shared" si="1132"/>
        <v xml:space="preserve">N9217B  </v>
      </c>
      <c r="BC2058">
        <v>1</v>
      </c>
      <c r="BE2058">
        <v>0</v>
      </c>
      <c r="BF2058">
        <v>0</v>
      </c>
      <c r="BG2058">
        <v>0</v>
      </c>
      <c r="BH2058">
        <v>7850</v>
      </c>
      <c r="BI2058">
        <v>1</v>
      </c>
      <c r="BJ2058">
        <v>0</v>
      </c>
      <c r="BK2058">
        <v>0</v>
      </c>
      <c r="BL2058">
        <v>0</v>
      </c>
      <c r="BO2058">
        <v>0</v>
      </c>
      <c r="BP2058">
        <v>0</v>
      </c>
      <c r="BW2058" t="str">
        <f t="shared" si="1131"/>
        <v>14:54:07.463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6</v>
      </c>
      <c r="CP2058" t="s">
        <v>119</v>
      </c>
      <c r="CQ2058">
        <v>285</v>
      </c>
      <c r="CR2058">
        <v>0</v>
      </c>
      <c r="CW2058">
        <v>8861083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25">
      <c r="A2059" t="str">
        <f t="shared" ref="A2059:A2065" si="1133">"06/05/2020 14:54:02.783"</f>
        <v>06/05/2020 14:54:02.783</v>
      </c>
      <c r="C2059" t="str">
        <f t="shared" si="1113"/>
        <v>FFDFD3C0</v>
      </c>
      <c r="D2059" t="s">
        <v>148</v>
      </c>
      <c r="E2059">
        <v>11</v>
      </c>
      <c r="H2059">
        <v>53</v>
      </c>
      <c r="I2059" t="s">
        <v>364</v>
      </c>
      <c r="J2059" t="s">
        <v>150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ref="S2059:T2065" si="1134">"14:54:08.422"</f>
        <v>14:54:08.422</v>
      </c>
      <c r="T2059" t="str">
        <f t="shared" si="1134"/>
        <v>14:54:08.422</v>
      </c>
      <c r="U2059" t="str">
        <f t="shared" si="1128"/>
        <v>ACC530</v>
      </c>
      <c r="V2059">
        <v>0</v>
      </c>
      <c r="W2059">
        <v>0</v>
      </c>
      <c r="X2059">
        <v>1</v>
      </c>
      <c r="Z2059">
        <v>0</v>
      </c>
      <c r="AA2059">
        <v>9</v>
      </c>
      <c r="AB2059">
        <v>3</v>
      </c>
      <c r="AC2059">
        <v>0</v>
      </c>
      <c r="AD2059">
        <v>9</v>
      </c>
      <c r="AE2059">
        <v>0</v>
      </c>
      <c r="AF2059">
        <v>3</v>
      </c>
      <c r="AG2059">
        <v>1</v>
      </c>
      <c r="AH2059">
        <v>0</v>
      </c>
      <c r="AI2059" t="s">
        <v>758</v>
      </c>
      <c r="AJ2059">
        <v>34.170591999999999</v>
      </c>
      <c r="AK2059" t="s">
        <v>759</v>
      </c>
      <c r="AL2059">
        <v>-117.02636699999999</v>
      </c>
      <c r="AM2059">
        <v>100</v>
      </c>
      <c r="AN2059">
        <v>7900</v>
      </c>
      <c r="AO2059" t="s">
        <v>118</v>
      </c>
      <c r="AP2059">
        <v>-89</v>
      </c>
      <c r="AQ2059">
        <v>-84</v>
      </c>
      <c r="AR2059">
        <v>-704</v>
      </c>
      <c r="AZ2059">
        <v>1200</v>
      </c>
      <c r="BA2059">
        <v>1</v>
      </c>
      <c r="BB2059" t="str">
        <f t="shared" si="1132"/>
        <v xml:space="preserve">N9217B  </v>
      </c>
      <c r="BC2059">
        <v>1</v>
      </c>
      <c r="BE2059">
        <v>0</v>
      </c>
      <c r="BF2059">
        <v>0</v>
      </c>
      <c r="BG2059">
        <v>0</v>
      </c>
      <c r="BH2059">
        <v>7850</v>
      </c>
      <c r="BI2059">
        <v>1</v>
      </c>
      <c r="BJ2059">
        <v>0</v>
      </c>
      <c r="BK2059">
        <v>0</v>
      </c>
      <c r="BL2059">
        <v>0</v>
      </c>
      <c r="BO2059">
        <v>0</v>
      </c>
      <c r="BP2059">
        <v>0</v>
      </c>
      <c r="BW2059" t="str">
        <f t="shared" ref="BW2059:BW2065" si="1135">"14:54:08.423"</f>
        <v>14:54:08.423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6</v>
      </c>
      <c r="CP2059" t="s">
        <v>119</v>
      </c>
      <c r="CQ2059">
        <v>285</v>
      </c>
      <c r="CR2059">
        <v>0</v>
      </c>
      <c r="CW2059">
        <v>8861169</v>
      </c>
      <c r="CY2059">
        <v>0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25">
      <c r="A2060" t="str">
        <f t="shared" si="1133"/>
        <v>06/05/2020 14:54:02.783</v>
      </c>
      <c r="C2060" t="str">
        <f t="shared" si="1113"/>
        <v>FFDFD3C0</v>
      </c>
      <c r="D2060" t="s">
        <v>141</v>
      </c>
      <c r="E2060">
        <v>20</v>
      </c>
      <c r="F2060">
        <v>1020</v>
      </c>
      <c r="G2060" t="s">
        <v>114</v>
      </c>
      <c r="J2060" t="s">
        <v>142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134"/>
        <v>14:54:08.422</v>
      </c>
      <c r="T2060" t="str">
        <f t="shared" si="1134"/>
        <v>14:54:08.422</v>
      </c>
      <c r="U2060" t="str">
        <f t="shared" si="1128"/>
        <v>ACC530</v>
      </c>
      <c r="V2060">
        <v>0</v>
      </c>
      <c r="W2060">
        <v>0</v>
      </c>
      <c r="X2060">
        <v>1</v>
      </c>
      <c r="Z2060">
        <v>0</v>
      </c>
      <c r="AA2060">
        <v>9</v>
      </c>
      <c r="AB2060">
        <v>3</v>
      </c>
      <c r="AC2060">
        <v>0</v>
      </c>
      <c r="AD2060">
        <v>9</v>
      </c>
      <c r="AE2060">
        <v>0</v>
      </c>
      <c r="AF2060">
        <v>3</v>
      </c>
      <c r="AG2060">
        <v>1</v>
      </c>
      <c r="AH2060">
        <v>0</v>
      </c>
      <c r="AI2060" t="s">
        <v>758</v>
      </c>
      <c r="AJ2060">
        <v>34.170591999999999</v>
      </c>
      <c r="AK2060" t="s">
        <v>759</v>
      </c>
      <c r="AL2060">
        <v>-117.02636699999999</v>
      </c>
      <c r="AM2060">
        <v>100</v>
      </c>
      <c r="AN2060">
        <v>7900</v>
      </c>
      <c r="AO2060" t="s">
        <v>118</v>
      </c>
      <c r="AP2060">
        <v>-89</v>
      </c>
      <c r="AQ2060">
        <v>-84</v>
      </c>
      <c r="AR2060">
        <v>-704</v>
      </c>
      <c r="AZ2060">
        <v>1200</v>
      </c>
      <c r="BA2060">
        <v>1</v>
      </c>
      <c r="BB2060" t="str">
        <f t="shared" si="1132"/>
        <v xml:space="preserve">N9217B  </v>
      </c>
      <c r="BC2060">
        <v>1</v>
      </c>
      <c r="BE2060">
        <v>0</v>
      </c>
      <c r="BF2060">
        <v>0</v>
      </c>
      <c r="BG2060">
        <v>0</v>
      </c>
      <c r="BH2060">
        <v>7850</v>
      </c>
      <c r="BI2060">
        <v>1</v>
      </c>
      <c r="BJ2060">
        <v>0</v>
      </c>
      <c r="BK2060">
        <v>0</v>
      </c>
      <c r="BL2060">
        <v>0</v>
      </c>
      <c r="BO2060">
        <v>0</v>
      </c>
      <c r="BP2060">
        <v>0</v>
      </c>
      <c r="BW2060" t="str">
        <f t="shared" si="1135"/>
        <v>14:54:08.423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6</v>
      </c>
      <c r="CP2060" t="s">
        <v>119</v>
      </c>
      <c r="CQ2060">
        <v>285</v>
      </c>
      <c r="CR2060">
        <v>0</v>
      </c>
      <c r="CW2060">
        <v>8861169</v>
      </c>
      <c r="CY2060">
        <v>0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25">
      <c r="A2061" t="str">
        <f t="shared" si="1133"/>
        <v>06/05/2020 14:54:02.783</v>
      </c>
      <c r="C2061" t="str">
        <f t="shared" si="1113"/>
        <v>FFDFD3C0</v>
      </c>
      <c r="D2061" t="s">
        <v>151</v>
      </c>
      <c r="E2061">
        <v>8</v>
      </c>
      <c r="H2061">
        <v>225</v>
      </c>
      <c r="I2061" t="s">
        <v>353</v>
      </c>
      <c r="J2061" t="s">
        <v>150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134"/>
        <v>14:54:08.422</v>
      </c>
      <c r="T2061" t="str">
        <f t="shared" si="1134"/>
        <v>14:54:08.422</v>
      </c>
      <c r="U2061" t="str">
        <f t="shared" si="1128"/>
        <v>ACC530</v>
      </c>
      <c r="V2061">
        <v>0</v>
      </c>
      <c r="W2061">
        <v>0</v>
      </c>
      <c r="X2061">
        <v>1</v>
      </c>
      <c r="Z2061">
        <v>0</v>
      </c>
      <c r="AA2061">
        <v>9</v>
      </c>
      <c r="AB2061">
        <v>3</v>
      </c>
      <c r="AC2061">
        <v>0</v>
      </c>
      <c r="AD2061">
        <v>9</v>
      </c>
      <c r="AE2061">
        <v>0</v>
      </c>
      <c r="AF2061">
        <v>3</v>
      </c>
      <c r="AG2061">
        <v>1</v>
      </c>
      <c r="AH2061">
        <v>0</v>
      </c>
      <c r="AI2061" t="s">
        <v>758</v>
      </c>
      <c r="AJ2061">
        <v>34.170591999999999</v>
      </c>
      <c r="AK2061" t="s">
        <v>759</v>
      </c>
      <c r="AL2061">
        <v>-117.02636699999999</v>
      </c>
      <c r="AM2061">
        <v>100</v>
      </c>
      <c r="AN2061">
        <v>7900</v>
      </c>
      <c r="AO2061" t="s">
        <v>118</v>
      </c>
      <c r="AP2061">
        <v>-89</v>
      </c>
      <c r="AQ2061">
        <v>-84</v>
      </c>
      <c r="AR2061">
        <v>-704</v>
      </c>
      <c r="AZ2061">
        <v>1200</v>
      </c>
      <c r="BA2061">
        <v>1</v>
      </c>
      <c r="BB2061" t="str">
        <f t="shared" si="1132"/>
        <v xml:space="preserve">N9217B  </v>
      </c>
      <c r="BC2061">
        <v>1</v>
      </c>
      <c r="BE2061">
        <v>0</v>
      </c>
      <c r="BF2061">
        <v>0</v>
      </c>
      <c r="BG2061">
        <v>0</v>
      </c>
      <c r="BH2061">
        <v>7850</v>
      </c>
      <c r="BI2061">
        <v>1</v>
      </c>
      <c r="BJ2061">
        <v>0</v>
      </c>
      <c r="BK2061">
        <v>0</v>
      </c>
      <c r="BL2061">
        <v>0</v>
      </c>
      <c r="BO2061">
        <v>0</v>
      </c>
      <c r="BP2061">
        <v>0</v>
      </c>
      <c r="BW2061" t="str">
        <f t="shared" si="1135"/>
        <v>14:54:08.423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285</v>
      </c>
      <c r="CR2061">
        <v>0</v>
      </c>
      <c r="CW2061">
        <v>8861169</v>
      </c>
      <c r="CY2061">
        <v>0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25">
      <c r="A2062" t="str">
        <f t="shared" si="1133"/>
        <v>06/05/2020 14:54:02.783</v>
      </c>
      <c r="C2062" t="str">
        <f t="shared" si="1113"/>
        <v>FFDFD3C0</v>
      </c>
      <c r="D2062" t="s">
        <v>113</v>
      </c>
      <c r="E2062">
        <v>3</v>
      </c>
      <c r="H2062">
        <v>166</v>
      </c>
      <c r="I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134"/>
        <v>14:54:08.422</v>
      </c>
      <c r="T2062" t="str">
        <f t="shared" si="1134"/>
        <v>14:54:08.422</v>
      </c>
      <c r="U2062" t="str">
        <f t="shared" si="1128"/>
        <v>ACC530</v>
      </c>
      <c r="V2062">
        <v>0</v>
      </c>
      <c r="W2062">
        <v>0</v>
      </c>
      <c r="X2062">
        <v>1</v>
      </c>
      <c r="Z2062">
        <v>0</v>
      </c>
      <c r="AA2062">
        <v>9</v>
      </c>
      <c r="AB2062">
        <v>3</v>
      </c>
      <c r="AC2062">
        <v>0</v>
      </c>
      <c r="AD2062">
        <v>9</v>
      </c>
      <c r="AE2062">
        <v>0</v>
      </c>
      <c r="AF2062">
        <v>3</v>
      </c>
      <c r="AG2062">
        <v>1</v>
      </c>
      <c r="AH2062">
        <v>0</v>
      </c>
      <c r="AI2062" t="s">
        <v>758</v>
      </c>
      <c r="AJ2062">
        <v>34.170591999999999</v>
      </c>
      <c r="AK2062" t="s">
        <v>759</v>
      </c>
      <c r="AL2062">
        <v>-117.02636699999999</v>
      </c>
      <c r="AM2062">
        <v>100</v>
      </c>
      <c r="AN2062">
        <v>7900</v>
      </c>
      <c r="AO2062" t="s">
        <v>118</v>
      </c>
      <c r="AP2062">
        <v>-89</v>
      </c>
      <c r="AQ2062">
        <v>-84</v>
      </c>
      <c r="AR2062">
        <v>-704</v>
      </c>
      <c r="AZ2062">
        <v>1200</v>
      </c>
      <c r="BA2062">
        <v>1</v>
      </c>
      <c r="BB2062" t="str">
        <f t="shared" si="1132"/>
        <v xml:space="preserve">N9217B  </v>
      </c>
      <c r="BC2062">
        <v>1</v>
      </c>
      <c r="BE2062">
        <v>0</v>
      </c>
      <c r="BF2062">
        <v>0</v>
      </c>
      <c r="BG2062">
        <v>0</v>
      </c>
      <c r="BH2062">
        <v>7850</v>
      </c>
      <c r="BI2062">
        <v>1</v>
      </c>
      <c r="BJ2062">
        <v>0</v>
      </c>
      <c r="BK2062">
        <v>0</v>
      </c>
      <c r="BL2062">
        <v>0</v>
      </c>
      <c r="BO2062">
        <v>0</v>
      </c>
      <c r="BP2062">
        <v>0</v>
      </c>
      <c r="BW2062" t="str">
        <f t="shared" si="1135"/>
        <v>14:54:08.423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6</v>
      </c>
      <c r="CP2062" t="s">
        <v>119</v>
      </c>
      <c r="CQ2062">
        <v>285</v>
      </c>
      <c r="CR2062">
        <v>0</v>
      </c>
      <c r="CW2062">
        <v>8861169</v>
      </c>
      <c r="CY2062">
        <v>0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25">
      <c r="A2063" t="str">
        <f t="shared" si="1133"/>
        <v>06/05/2020 14:54:02.783</v>
      </c>
      <c r="C2063" t="str">
        <f t="shared" si="1113"/>
        <v>FFDFD3C0</v>
      </c>
      <c r="D2063" t="s">
        <v>148</v>
      </c>
      <c r="E2063">
        <v>8</v>
      </c>
      <c r="H2063">
        <v>50</v>
      </c>
      <c r="I2063" t="s">
        <v>149</v>
      </c>
      <c r="J2063" t="s">
        <v>150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134"/>
        <v>14:54:08.422</v>
      </c>
      <c r="T2063" t="str">
        <f t="shared" si="1134"/>
        <v>14:54:08.422</v>
      </c>
      <c r="U2063" t="str">
        <f t="shared" si="1128"/>
        <v>ACC530</v>
      </c>
      <c r="V2063">
        <v>0</v>
      </c>
      <c r="W2063">
        <v>0</v>
      </c>
      <c r="X2063">
        <v>1</v>
      </c>
      <c r="Z2063">
        <v>0</v>
      </c>
      <c r="AA2063">
        <v>9</v>
      </c>
      <c r="AB2063">
        <v>3</v>
      </c>
      <c r="AC2063">
        <v>0</v>
      </c>
      <c r="AD2063">
        <v>9</v>
      </c>
      <c r="AE2063">
        <v>0</v>
      </c>
      <c r="AF2063">
        <v>3</v>
      </c>
      <c r="AG2063">
        <v>1</v>
      </c>
      <c r="AH2063">
        <v>0</v>
      </c>
      <c r="AI2063" t="s">
        <v>758</v>
      </c>
      <c r="AJ2063">
        <v>34.170591999999999</v>
      </c>
      <c r="AK2063" t="s">
        <v>759</v>
      </c>
      <c r="AL2063">
        <v>-117.02636699999999</v>
      </c>
      <c r="AM2063">
        <v>100</v>
      </c>
      <c r="AN2063">
        <v>7900</v>
      </c>
      <c r="AO2063" t="s">
        <v>118</v>
      </c>
      <c r="AP2063">
        <v>-89</v>
      </c>
      <c r="AQ2063">
        <v>-84</v>
      </c>
      <c r="AR2063">
        <v>-704</v>
      </c>
      <c r="AZ2063">
        <v>1200</v>
      </c>
      <c r="BA2063">
        <v>1</v>
      </c>
      <c r="BB2063" t="str">
        <f t="shared" si="1132"/>
        <v xml:space="preserve">N9217B  </v>
      </c>
      <c r="BC2063">
        <v>1</v>
      </c>
      <c r="BE2063">
        <v>0</v>
      </c>
      <c r="BF2063">
        <v>0</v>
      </c>
      <c r="BG2063">
        <v>0</v>
      </c>
      <c r="BH2063">
        <v>7850</v>
      </c>
      <c r="BI2063">
        <v>1</v>
      </c>
      <c r="BJ2063">
        <v>0</v>
      </c>
      <c r="BK2063">
        <v>0</v>
      </c>
      <c r="BL2063">
        <v>0</v>
      </c>
      <c r="BO2063">
        <v>0</v>
      </c>
      <c r="BP2063">
        <v>0</v>
      </c>
      <c r="BW2063" t="str">
        <f t="shared" si="1135"/>
        <v>14:54:08.423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6</v>
      </c>
      <c r="CP2063" t="s">
        <v>119</v>
      </c>
      <c r="CQ2063">
        <v>285</v>
      </c>
      <c r="CR2063">
        <v>0</v>
      </c>
      <c r="CW2063">
        <v>8861169</v>
      </c>
      <c r="CY2063">
        <v>0</v>
      </c>
      <c r="CZ2063">
        <v>0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25">
      <c r="A2064" t="str">
        <f t="shared" si="1133"/>
        <v>06/05/2020 14:54:02.783</v>
      </c>
      <c r="C2064" t="str">
        <f t="shared" si="1113"/>
        <v>FFDFD3C0</v>
      </c>
      <c r="D2064" t="s">
        <v>151</v>
      </c>
      <c r="E2064">
        <v>9</v>
      </c>
      <c r="H2064">
        <v>226</v>
      </c>
      <c r="I2064" t="s">
        <v>152</v>
      </c>
      <c r="J2064" t="s">
        <v>150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1134"/>
        <v>14:54:08.422</v>
      </c>
      <c r="T2064" t="str">
        <f t="shared" si="1134"/>
        <v>14:54:08.422</v>
      </c>
      <c r="U2064" t="str">
        <f t="shared" si="1128"/>
        <v>ACC530</v>
      </c>
      <c r="V2064">
        <v>0</v>
      </c>
      <c r="W2064">
        <v>0</v>
      </c>
      <c r="X2064">
        <v>1</v>
      </c>
      <c r="Z2064">
        <v>0</v>
      </c>
      <c r="AA2064">
        <v>9</v>
      </c>
      <c r="AB2064">
        <v>3</v>
      </c>
      <c r="AC2064">
        <v>0</v>
      </c>
      <c r="AD2064">
        <v>9</v>
      </c>
      <c r="AE2064">
        <v>0</v>
      </c>
      <c r="AF2064">
        <v>3</v>
      </c>
      <c r="AG2064">
        <v>1</v>
      </c>
      <c r="AH2064">
        <v>0</v>
      </c>
      <c r="AI2064" t="s">
        <v>758</v>
      </c>
      <c r="AJ2064">
        <v>34.170591999999999</v>
      </c>
      <c r="AK2064" t="s">
        <v>759</v>
      </c>
      <c r="AL2064">
        <v>-117.02636699999999</v>
      </c>
      <c r="AM2064">
        <v>100</v>
      </c>
      <c r="AN2064">
        <v>7900</v>
      </c>
      <c r="AO2064" t="s">
        <v>118</v>
      </c>
      <c r="AP2064">
        <v>-89</v>
      </c>
      <c r="AQ2064">
        <v>-84</v>
      </c>
      <c r="AR2064">
        <v>-704</v>
      </c>
      <c r="AZ2064">
        <v>1200</v>
      </c>
      <c r="BA2064">
        <v>1</v>
      </c>
      <c r="BB2064" t="str">
        <f t="shared" si="1132"/>
        <v xml:space="preserve">N9217B  </v>
      </c>
      <c r="BC2064">
        <v>1</v>
      </c>
      <c r="BE2064">
        <v>0</v>
      </c>
      <c r="BF2064">
        <v>0</v>
      </c>
      <c r="BG2064">
        <v>0</v>
      </c>
      <c r="BH2064">
        <v>7850</v>
      </c>
      <c r="BI2064">
        <v>1</v>
      </c>
      <c r="BJ2064">
        <v>0</v>
      </c>
      <c r="BK2064">
        <v>0</v>
      </c>
      <c r="BL2064">
        <v>0</v>
      </c>
      <c r="BO2064">
        <v>0</v>
      </c>
      <c r="BP2064">
        <v>0</v>
      </c>
      <c r="BW2064" t="str">
        <f t="shared" si="1135"/>
        <v>14:54:08.423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6</v>
      </c>
      <c r="CP2064" t="s">
        <v>119</v>
      </c>
      <c r="CQ2064">
        <v>285</v>
      </c>
      <c r="CR2064">
        <v>0</v>
      </c>
      <c r="CW2064">
        <v>8861169</v>
      </c>
      <c r="CY2064">
        <v>0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25">
      <c r="A2065" t="str">
        <f t="shared" si="1133"/>
        <v>06/05/2020 14:54:02.783</v>
      </c>
      <c r="C2065" t="str">
        <f t="shared" si="1113"/>
        <v>FFDFD3C0</v>
      </c>
      <c r="D2065" t="s">
        <v>134</v>
      </c>
      <c r="E2065">
        <v>7</v>
      </c>
      <c r="F2065">
        <v>2007</v>
      </c>
      <c r="G2065" t="s">
        <v>135</v>
      </c>
      <c r="J2065" t="s">
        <v>136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134"/>
        <v>14:54:08.422</v>
      </c>
      <c r="T2065" t="str">
        <f t="shared" si="1134"/>
        <v>14:54:08.422</v>
      </c>
      <c r="U2065" t="str">
        <f t="shared" si="1128"/>
        <v>ACC530</v>
      </c>
      <c r="V2065">
        <v>0</v>
      </c>
      <c r="W2065">
        <v>0</v>
      </c>
      <c r="X2065">
        <v>1</v>
      </c>
      <c r="Z2065">
        <v>0</v>
      </c>
      <c r="AA2065">
        <v>9</v>
      </c>
      <c r="AB2065">
        <v>3</v>
      </c>
      <c r="AC2065">
        <v>0</v>
      </c>
      <c r="AD2065">
        <v>9</v>
      </c>
      <c r="AE2065">
        <v>0</v>
      </c>
      <c r="AF2065">
        <v>3</v>
      </c>
      <c r="AG2065">
        <v>1</v>
      </c>
      <c r="AH2065">
        <v>0</v>
      </c>
      <c r="AI2065" t="s">
        <v>758</v>
      </c>
      <c r="AJ2065">
        <v>34.170591999999999</v>
      </c>
      <c r="AK2065" t="s">
        <v>759</v>
      </c>
      <c r="AL2065">
        <v>-117.02636699999999</v>
      </c>
      <c r="AM2065">
        <v>100</v>
      </c>
      <c r="AN2065">
        <v>7900</v>
      </c>
      <c r="AO2065" t="s">
        <v>118</v>
      </c>
      <c r="AP2065">
        <v>-89</v>
      </c>
      <c r="AQ2065">
        <v>-84</v>
      </c>
      <c r="AR2065">
        <v>-704</v>
      </c>
      <c r="AZ2065">
        <v>1200</v>
      </c>
      <c r="BA2065">
        <v>1</v>
      </c>
      <c r="BB2065" t="str">
        <f t="shared" si="1132"/>
        <v xml:space="preserve">N9217B  </v>
      </c>
      <c r="BC2065">
        <v>1</v>
      </c>
      <c r="BE2065">
        <v>0</v>
      </c>
      <c r="BF2065">
        <v>0</v>
      </c>
      <c r="BG2065">
        <v>0</v>
      </c>
      <c r="BH2065">
        <v>7850</v>
      </c>
      <c r="BI2065">
        <v>1</v>
      </c>
      <c r="BJ2065">
        <v>0</v>
      </c>
      <c r="BK2065">
        <v>0</v>
      </c>
      <c r="BL2065">
        <v>0</v>
      </c>
      <c r="BO2065">
        <v>0</v>
      </c>
      <c r="BP2065">
        <v>0</v>
      </c>
      <c r="BW2065" t="str">
        <f t="shared" si="1135"/>
        <v>14:54:08.423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6</v>
      </c>
      <c r="CP2065" t="s">
        <v>119</v>
      </c>
      <c r="CQ2065">
        <v>285</v>
      </c>
      <c r="CR2065">
        <v>0</v>
      </c>
      <c r="CW2065">
        <v>8861169</v>
      </c>
      <c r="CY2065">
        <v>0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25">
      <c r="A2066" t="str">
        <f t="shared" ref="A2066:A2072" si="1136">"06/05/2020 14:54:03.693"</f>
        <v>06/05/2020 14:54:03.693</v>
      </c>
      <c r="C2066" t="str">
        <f t="shared" si="1113"/>
        <v>FFDFD3C0</v>
      </c>
      <c r="D2066" t="s">
        <v>141</v>
      </c>
      <c r="E2066">
        <v>20</v>
      </c>
      <c r="F2066">
        <v>1020</v>
      </c>
      <c r="G2066" t="s">
        <v>114</v>
      </c>
      <c r="J2066" t="s">
        <v>142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ref="S2066:S2072" si="1137">"14:54:09.336"</f>
        <v>14:54:09.336</v>
      </c>
      <c r="T2066" t="str">
        <f t="shared" ref="T2066:T2072" si="1138">"14:54:09.236"</f>
        <v>14:54:09.236</v>
      </c>
      <c r="U2066" t="str">
        <f t="shared" si="1128"/>
        <v>ACC530</v>
      </c>
      <c r="V2066">
        <v>0</v>
      </c>
      <c r="W2066">
        <v>0</v>
      </c>
      <c r="X2066">
        <v>1</v>
      </c>
      <c r="Z2066">
        <v>0</v>
      </c>
      <c r="AA2066">
        <v>9</v>
      </c>
      <c r="AB2066">
        <v>3</v>
      </c>
      <c r="AC2066">
        <v>0</v>
      </c>
      <c r="AD2066">
        <v>9</v>
      </c>
      <c r="AE2066">
        <v>0</v>
      </c>
      <c r="AF2066">
        <v>3</v>
      </c>
      <c r="AG2066">
        <v>1</v>
      </c>
      <c r="AH2066">
        <v>0</v>
      </c>
      <c r="AI2066" t="s">
        <v>760</v>
      </c>
      <c r="AJ2066">
        <v>34.170226999999997</v>
      </c>
      <c r="AK2066" t="s">
        <v>761</v>
      </c>
      <c r="AL2066">
        <v>-117.026882</v>
      </c>
      <c r="AM2066">
        <v>100</v>
      </c>
      <c r="AN2066">
        <v>7900</v>
      </c>
      <c r="AO2066" t="s">
        <v>118</v>
      </c>
      <c r="AP2066">
        <v>-89</v>
      </c>
      <c r="AQ2066">
        <v>-83</v>
      </c>
      <c r="AR2066">
        <v>-704</v>
      </c>
      <c r="AZ2066">
        <v>1200</v>
      </c>
      <c r="BA2066">
        <v>1</v>
      </c>
      <c r="BB2066" t="str">
        <f t="shared" si="1132"/>
        <v xml:space="preserve">N9217B  </v>
      </c>
      <c r="BC2066">
        <v>1</v>
      </c>
      <c r="BE2066">
        <v>0</v>
      </c>
      <c r="BF2066">
        <v>0</v>
      </c>
      <c r="BG2066">
        <v>0</v>
      </c>
      <c r="BH2066">
        <v>7825</v>
      </c>
      <c r="BI2066">
        <v>1</v>
      </c>
      <c r="BJ2066">
        <v>0</v>
      </c>
      <c r="BK2066">
        <v>0</v>
      </c>
      <c r="BL2066">
        <v>0</v>
      </c>
      <c r="BO2066">
        <v>0</v>
      </c>
      <c r="BP2066">
        <v>0</v>
      </c>
      <c r="BW2066" t="str">
        <f t="shared" ref="BW2066:BW2072" si="1139">"14:54:09.338"</f>
        <v>14:54:09.338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6</v>
      </c>
      <c r="CP2066" t="s">
        <v>119</v>
      </c>
      <c r="CQ2066">
        <v>285</v>
      </c>
      <c r="CR2066">
        <v>0</v>
      </c>
      <c r="CW2066">
        <v>8861249</v>
      </c>
      <c r="CY2066">
        <v>0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25">
      <c r="A2067" t="str">
        <f t="shared" si="1136"/>
        <v>06/05/2020 14:54:03.693</v>
      </c>
      <c r="C2067" t="str">
        <f t="shared" si="1113"/>
        <v>FFDFD3C0</v>
      </c>
      <c r="D2067" t="s">
        <v>148</v>
      </c>
      <c r="E2067">
        <v>11</v>
      </c>
      <c r="H2067">
        <v>53</v>
      </c>
      <c r="I2067" t="s">
        <v>364</v>
      </c>
      <c r="J2067" t="s">
        <v>150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137"/>
        <v>14:54:09.336</v>
      </c>
      <c r="T2067" t="str">
        <f t="shared" si="1138"/>
        <v>14:54:09.236</v>
      </c>
      <c r="U2067" t="str">
        <f t="shared" si="1128"/>
        <v>ACC530</v>
      </c>
      <c r="V2067">
        <v>0</v>
      </c>
      <c r="W2067">
        <v>0</v>
      </c>
      <c r="X2067">
        <v>1</v>
      </c>
      <c r="Z2067">
        <v>0</v>
      </c>
      <c r="AA2067">
        <v>9</v>
      </c>
      <c r="AB2067">
        <v>3</v>
      </c>
      <c r="AC2067">
        <v>0</v>
      </c>
      <c r="AD2067">
        <v>9</v>
      </c>
      <c r="AE2067">
        <v>0</v>
      </c>
      <c r="AF2067">
        <v>3</v>
      </c>
      <c r="AG2067">
        <v>1</v>
      </c>
      <c r="AH2067">
        <v>0</v>
      </c>
      <c r="AI2067" t="s">
        <v>760</v>
      </c>
      <c r="AJ2067">
        <v>34.170226999999997</v>
      </c>
      <c r="AK2067" t="s">
        <v>761</v>
      </c>
      <c r="AL2067">
        <v>-117.026882</v>
      </c>
      <c r="AM2067">
        <v>100</v>
      </c>
      <c r="AN2067">
        <v>7900</v>
      </c>
      <c r="AO2067" t="s">
        <v>118</v>
      </c>
      <c r="AP2067">
        <v>-89</v>
      </c>
      <c r="AQ2067">
        <v>-83</v>
      </c>
      <c r="AR2067">
        <v>-704</v>
      </c>
      <c r="AZ2067">
        <v>1200</v>
      </c>
      <c r="BA2067">
        <v>1</v>
      </c>
      <c r="BB2067" t="str">
        <f t="shared" si="1132"/>
        <v xml:space="preserve">N9217B  </v>
      </c>
      <c r="BC2067">
        <v>1</v>
      </c>
      <c r="BE2067">
        <v>0</v>
      </c>
      <c r="BF2067">
        <v>0</v>
      </c>
      <c r="BG2067">
        <v>0</v>
      </c>
      <c r="BH2067">
        <v>7825</v>
      </c>
      <c r="BI2067">
        <v>1</v>
      </c>
      <c r="BJ2067">
        <v>0</v>
      </c>
      <c r="BK2067">
        <v>0</v>
      </c>
      <c r="BL2067">
        <v>0</v>
      </c>
      <c r="BO2067">
        <v>0</v>
      </c>
      <c r="BP2067">
        <v>0</v>
      </c>
      <c r="BW2067" t="str">
        <f t="shared" si="1139"/>
        <v>14:54:09.338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6</v>
      </c>
      <c r="CP2067" t="s">
        <v>119</v>
      </c>
      <c r="CQ2067">
        <v>285</v>
      </c>
      <c r="CR2067">
        <v>0</v>
      </c>
      <c r="CW2067">
        <v>8861249</v>
      </c>
      <c r="CY2067">
        <v>0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25">
      <c r="A2068" t="str">
        <f t="shared" si="1136"/>
        <v>06/05/2020 14:54:03.693</v>
      </c>
      <c r="C2068" t="str">
        <f t="shared" si="1113"/>
        <v>FFDFD3C0</v>
      </c>
      <c r="D2068" t="s">
        <v>151</v>
      </c>
      <c r="E2068">
        <v>8</v>
      </c>
      <c r="H2068">
        <v>225</v>
      </c>
      <c r="I2068" t="s">
        <v>353</v>
      </c>
      <c r="J2068" t="s">
        <v>150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137"/>
        <v>14:54:09.336</v>
      </c>
      <c r="T2068" t="str">
        <f t="shared" si="1138"/>
        <v>14:54:09.236</v>
      </c>
      <c r="U2068" t="str">
        <f t="shared" si="1128"/>
        <v>ACC530</v>
      </c>
      <c r="V2068">
        <v>0</v>
      </c>
      <c r="W2068">
        <v>0</v>
      </c>
      <c r="X2068">
        <v>1</v>
      </c>
      <c r="Z2068">
        <v>0</v>
      </c>
      <c r="AA2068">
        <v>9</v>
      </c>
      <c r="AB2068">
        <v>3</v>
      </c>
      <c r="AC2068">
        <v>0</v>
      </c>
      <c r="AD2068">
        <v>9</v>
      </c>
      <c r="AE2068">
        <v>0</v>
      </c>
      <c r="AF2068">
        <v>3</v>
      </c>
      <c r="AG2068">
        <v>1</v>
      </c>
      <c r="AH2068">
        <v>0</v>
      </c>
      <c r="AI2068" t="s">
        <v>760</v>
      </c>
      <c r="AJ2068">
        <v>34.170226999999997</v>
      </c>
      <c r="AK2068" t="s">
        <v>761</v>
      </c>
      <c r="AL2068">
        <v>-117.026882</v>
      </c>
      <c r="AM2068">
        <v>100</v>
      </c>
      <c r="AN2068">
        <v>7900</v>
      </c>
      <c r="AO2068" t="s">
        <v>118</v>
      </c>
      <c r="AP2068">
        <v>-89</v>
      </c>
      <c r="AQ2068">
        <v>-83</v>
      </c>
      <c r="AR2068">
        <v>-704</v>
      </c>
      <c r="AZ2068">
        <v>1200</v>
      </c>
      <c r="BA2068">
        <v>1</v>
      </c>
      <c r="BB2068" t="str">
        <f t="shared" si="1132"/>
        <v xml:space="preserve">N9217B  </v>
      </c>
      <c r="BC2068">
        <v>1</v>
      </c>
      <c r="BE2068">
        <v>0</v>
      </c>
      <c r="BF2068">
        <v>0</v>
      </c>
      <c r="BG2068">
        <v>0</v>
      </c>
      <c r="BH2068">
        <v>7825</v>
      </c>
      <c r="BI2068">
        <v>1</v>
      </c>
      <c r="BJ2068">
        <v>0</v>
      </c>
      <c r="BK2068">
        <v>0</v>
      </c>
      <c r="BL2068">
        <v>0</v>
      </c>
      <c r="BO2068">
        <v>0</v>
      </c>
      <c r="BP2068">
        <v>0</v>
      </c>
      <c r="BW2068" t="str">
        <f t="shared" si="1139"/>
        <v>14:54:09.338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285</v>
      </c>
      <c r="CR2068">
        <v>0</v>
      </c>
      <c r="CW2068">
        <v>8861249</v>
      </c>
      <c r="CY2068">
        <v>0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25">
      <c r="A2069" t="str">
        <f t="shared" si="1136"/>
        <v>06/05/2020 14:54:03.693</v>
      </c>
      <c r="C2069" t="str">
        <f t="shared" si="1113"/>
        <v>FFDFD3C0</v>
      </c>
      <c r="D2069" t="s">
        <v>113</v>
      </c>
      <c r="E2069">
        <v>3</v>
      </c>
      <c r="H2069">
        <v>166</v>
      </c>
      <c r="I2069" t="s">
        <v>114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137"/>
        <v>14:54:09.336</v>
      </c>
      <c r="T2069" t="str">
        <f t="shared" si="1138"/>
        <v>14:54:09.236</v>
      </c>
      <c r="U2069" t="str">
        <f t="shared" si="1128"/>
        <v>ACC530</v>
      </c>
      <c r="V2069">
        <v>0</v>
      </c>
      <c r="W2069">
        <v>0</v>
      </c>
      <c r="X2069">
        <v>1</v>
      </c>
      <c r="Z2069">
        <v>0</v>
      </c>
      <c r="AA2069">
        <v>9</v>
      </c>
      <c r="AB2069">
        <v>3</v>
      </c>
      <c r="AC2069">
        <v>0</v>
      </c>
      <c r="AD2069">
        <v>9</v>
      </c>
      <c r="AE2069">
        <v>0</v>
      </c>
      <c r="AF2069">
        <v>3</v>
      </c>
      <c r="AG2069">
        <v>1</v>
      </c>
      <c r="AH2069">
        <v>0</v>
      </c>
      <c r="AI2069" t="s">
        <v>760</v>
      </c>
      <c r="AJ2069">
        <v>34.170226999999997</v>
      </c>
      <c r="AK2069" t="s">
        <v>761</v>
      </c>
      <c r="AL2069">
        <v>-117.026882</v>
      </c>
      <c r="AM2069">
        <v>100</v>
      </c>
      <c r="AN2069">
        <v>7900</v>
      </c>
      <c r="AO2069" t="s">
        <v>118</v>
      </c>
      <c r="AP2069">
        <v>-89</v>
      </c>
      <c r="AQ2069">
        <v>-83</v>
      </c>
      <c r="AR2069">
        <v>-704</v>
      </c>
      <c r="AZ2069">
        <v>1200</v>
      </c>
      <c r="BA2069">
        <v>1</v>
      </c>
      <c r="BB2069" t="str">
        <f t="shared" si="1132"/>
        <v xml:space="preserve">N9217B  </v>
      </c>
      <c r="BC2069">
        <v>1</v>
      </c>
      <c r="BE2069">
        <v>0</v>
      </c>
      <c r="BF2069">
        <v>0</v>
      </c>
      <c r="BG2069">
        <v>0</v>
      </c>
      <c r="BH2069">
        <v>7825</v>
      </c>
      <c r="BI2069">
        <v>1</v>
      </c>
      <c r="BJ2069">
        <v>0</v>
      </c>
      <c r="BK2069">
        <v>0</v>
      </c>
      <c r="BL2069">
        <v>0</v>
      </c>
      <c r="BO2069">
        <v>0</v>
      </c>
      <c r="BP2069">
        <v>0</v>
      </c>
      <c r="BW2069" t="str">
        <f t="shared" si="1139"/>
        <v>14:54:09.338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6</v>
      </c>
      <c r="CP2069" t="s">
        <v>119</v>
      </c>
      <c r="CQ2069">
        <v>285</v>
      </c>
      <c r="CR2069">
        <v>0</v>
      </c>
      <c r="CW2069">
        <v>8861249</v>
      </c>
      <c r="CY2069">
        <v>0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25">
      <c r="A2070" t="str">
        <f t="shared" si="1136"/>
        <v>06/05/2020 14:54:03.693</v>
      </c>
      <c r="C2070" t="str">
        <f t="shared" si="1113"/>
        <v>FFDFD3C0</v>
      </c>
      <c r="D2070" t="s">
        <v>151</v>
      </c>
      <c r="E2070">
        <v>9</v>
      </c>
      <c r="H2070">
        <v>226</v>
      </c>
      <c r="I2070" t="s">
        <v>152</v>
      </c>
      <c r="J2070" t="s">
        <v>150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1137"/>
        <v>14:54:09.336</v>
      </c>
      <c r="T2070" t="str">
        <f t="shared" si="1138"/>
        <v>14:54:09.236</v>
      </c>
      <c r="U2070" t="str">
        <f t="shared" si="1128"/>
        <v>ACC530</v>
      </c>
      <c r="V2070">
        <v>0</v>
      </c>
      <c r="W2070">
        <v>0</v>
      </c>
      <c r="X2070">
        <v>1</v>
      </c>
      <c r="Z2070">
        <v>0</v>
      </c>
      <c r="AA2070">
        <v>9</v>
      </c>
      <c r="AB2070">
        <v>3</v>
      </c>
      <c r="AC2070">
        <v>0</v>
      </c>
      <c r="AD2070">
        <v>9</v>
      </c>
      <c r="AE2070">
        <v>0</v>
      </c>
      <c r="AF2070">
        <v>3</v>
      </c>
      <c r="AG2070">
        <v>1</v>
      </c>
      <c r="AH2070">
        <v>0</v>
      </c>
      <c r="AI2070" t="s">
        <v>760</v>
      </c>
      <c r="AJ2070">
        <v>34.170226999999997</v>
      </c>
      <c r="AK2070" t="s">
        <v>761</v>
      </c>
      <c r="AL2070">
        <v>-117.026882</v>
      </c>
      <c r="AM2070">
        <v>100</v>
      </c>
      <c r="AN2070">
        <v>7900</v>
      </c>
      <c r="AO2070" t="s">
        <v>118</v>
      </c>
      <c r="AP2070">
        <v>-89</v>
      </c>
      <c r="AQ2070">
        <v>-83</v>
      </c>
      <c r="AR2070">
        <v>-704</v>
      </c>
      <c r="AZ2070">
        <v>1200</v>
      </c>
      <c r="BA2070">
        <v>1</v>
      </c>
      <c r="BB2070" t="str">
        <f t="shared" si="1132"/>
        <v xml:space="preserve">N9217B  </v>
      </c>
      <c r="BC2070">
        <v>1</v>
      </c>
      <c r="BE2070">
        <v>0</v>
      </c>
      <c r="BF2070">
        <v>0</v>
      </c>
      <c r="BG2070">
        <v>0</v>
      </c>
      <c r="BH2070">
        <v>7825</v>
      </c>
      <c r="BI2070">
        <v>1</v>
      </c>
      <c r="BJ2070">
        <v>0</v>
      </c>
      <c r="BK2070">
        <v>0</v>
      </c>
      <c r="BL2070">
        <v>0</v>
      </c>
      <c r="BO2070">
        <v>0</v>
      </c>
      <c r="BP2070">
        <v>0</v>
      </c>
      <c r="BW2070" t="str">
        <f t="shared" si="1139"/>
        <v>14:54:09.338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6</v>
      </c>
      <c r="CP2070" t="s">
        <v>119</v>
      </c>
      <c r="CQ2070">
        <v>285</v>
      </c>
      <c r="CR2070">
        <v>0</v>
      </c>
      <c r="CW2070">
        <v>8861249</v>
      </c>
      <c r="CY2070">
        <v>0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25">
      <c r="A2071" t="str">
        <f t="shared" si="1136"/>
        <v>06/05/2020 14:54:03.693</v>
      </c>
      <c r="C2071" t="str">
        <f t="shared" si="1113"/>
        <v>FFDFD3C0</v>
      </c>
      <c r="D2071" t="s">
        <v>134</v>
      </c>
      <c r="E2071">
        <v>7</v>
      </c>
      <c r="F2071">
        <v>2007</v>
      </c>
      <c r="G2071" t="s">
        <v>135</v>
      </c>
      <c r="J2071" t="s">
        <v>136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1137"/>
        <v>14:54:09.336</v>
      </c>
      <c r="T2071" t="str">
        <f t="shared" si="1138"/>
        <v>14:54:09.236</v>
      </c>
      <c r="U2071" t="str">
        <f t="shared" si="1128"/>
        <v>ACC530</v>
      </c>
      <c r="V2071">
        <v>0</v>
      </c>
      <c r="W2071">
        <v>0</v>
      </c>
      <c r="X2071">
        <v>1</v>
      </c>
      <c r="Z2071">
        <v>0</v>
      </c>
      <c r="AA2071">
        <v>9</v>
      </c>
      <c r="AB2071">
        <v>3</v>
      </c>
      <c r="AC2071">
        <v>0</v>
      </c>
      <c r="AD2071">
        <v>9</v>
      </c>
      <c r="AE2071">
        <v>0</v>
      </c>
      <c r="AF2071">
        <v>3</v>
      </c>
      <c r="AG2071">
        <v>1</v>
      </c>
      <c r="AH2071">
        <v>0</v>
      </c>
      <c r="AI2071" t="s">
        <v>760</v>
      </c>
      <c r="AJ2071">
        <v>34.170226999999997</v>
      </c>
      <c r="AK2071" t="s">
        <v>761</v>
      </c>
      <c r="AL2071">
        <v>-117.026882</v>
      </c>
      <c r="AM2071">
        <v>100</v>
      </c>
      <c r="AN2071">
        <v>7900</v>
      </c>
      <c r="AO2071" t="s">
        <v>118</v>
      </c>
      <c r="AP2071">
        <v>-89</v>
      </c>
      <c r="AQ2071">
        <v>-83</v>
      </c>
      <c r="AR2071">
        <v>-704</v>
      </c>
      <c r="AZ2071">
        <v>1200</v>
      </c>
      <c r="BA2071">
        <v>1</v>
      </c>
      <c r="BB2071" t="str">
        <f t="shared" si="1132"/>
        <v xml:space="preserve">N9217B  </v>
      </c>
      <c r="BC2071">
        <v>1</v>
      </c>
      <c r="BE2071">
        <v>0</v>
      </c>
      <c r="BF2071">
        <v>0</v>
      </c>
      <c r="BG2071">
        <v>0</v>
      </c>
      <c r="BH2071">
        <v>7825</v>
      </c>
      <c r="BI2071">
        <v>1</v>
      </c>
      <c r="BJ2071">
        <v>0</v>
      </c>
      <c r="BK2071">
        <v>0</v>
      </c>
      <c r="BL2071">
        <v>0</v>
      </c>
      <c r="BO2071">
        <v>0</v>
      </c>
      <c r="BP2071">
        <v>0</v>
      </c>
      <c r="BW2071" t="str">
        <f t="shared" si="1139"/>
        <v>14:54:09.338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6</v>
      </c>
      <c r="CP2071" t="s">
        <v>119</v>
      </c>
      <c r="CQ2071">
        <v>285</v>
      </c>
      <c r="CR2071">
        <v>0</v>
      </c>
      <c r="CW2071">
        <v>8861249</v>
      </c>
      <c r="CY2071">
        <v>0</v>
      </c>
      <c r="CZ2071">
        <v>0</v>
      </c>
      <c r="DA2071">
        <v>1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25">
      <c r="A2072" t="str">
        <f t="shared" si="1136"/>
        <v>06/05/2020 14:54:03.693</v>
      </c>
      <c r="C2072" t="str">
        <f t="shared" si="1113"/>
        <v>FFDFD3C0</v>
      </c>
      <c r="D2072" t="s">
        <v>148</v>
      </c>
      <c r="E2072">
        <v>8</v>
      </c>
      <c r="H2072">
        <v>50</v>
      </c>
      <c r="I2072" t="s">
        <v>149</v>
      </c>
      <c r="J2072" t="s">
        <v>150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137"/>
        <v>14:54:09.336</v>
      </c>
      <c r="T2072" t="str">
        <f t="shared" si="1138"/>
        <v>14:54:09.236</v>
      </c>
      <c r="U2072" t="str">
        <f t="shared" si="1128"/>
        <v>ACC530</v>
      </c>
      <c r="V2072">
        <v>0</v>
      </c>
      <c r="W2072">
        <v>0</v>
      </c>
      <c r="X2072">
        <v>1</v>
      </c>
      <c r="Z2072">
        <v>0</v>
      </c>
      <c r="AA2072">
        <v>9</v>
      </c>
      <c r="AB2072">
        <v>3</v>
      </c>
      <c r="AC2072">
        <v>0</v>
      </c>
      <c r="AD2072">
        <v>9</v>
      </c>
      <c r="AE2072">
        <v>0</v>
      </c>
      <c r="AF2072">
        <v>3</v>
      </c>
      <c r="AG2072">
        <v>1</v>
      </c>
      <c r="AH2072">
        <v>0</v>
      </c>
      <c r="AI2072" t="s">
        <v>760</v>
      </c>
      <c r="AJ2072">
        <v>34.170226999999997</v>
      </c>
      <c r="AK2072" t="s">
        <v>761</v>
      </c>
      <c r="AL2072">
        <v>-117.026882</v>
      </c>
      <c r="AM2072">
        <v>100</v>
      </c>
      <c r="AN2072">
        <v>7900</v>
      </c>
      <c r="AO2072" t="s">
        <v>118</v>
      </c>
      <c r="AP2072">
        <v>-89</v>
      </c>
      <c r="AQ2072">
        <v>-83</v>
      </c>
      <c r="AR2072">
        <v>-704</v>
      </c>
      <c r="AZ2072">
        <v>1200</v>
      </c>
      <c r="BA2072">
        <v>1</v>
      </c>
      <c r="BB2072" t="str">
        <f t="shared" si="1132"/>
        <v xml:space="preserve">N9217B  </v>
      </c>
      <c r="BC2072">
        <v>1</v>
      </c>
      <c r="BE2072">
        <v>0</v>
      </c>
      <c r="BF2072">
        <v>0</v>
      </c>
      <c r="BG2072">
        <v>0</v>
      </c>
      <c r="BH2072">
        <v>7825</v>
      </c>
      <c r="BI2072">
        <v>1</v>
      </c>
      <c r="BJ2072">
        <v>0</v>
      </c>
      <c r="BK2072">
        <v>0</v>
      </c>
      <c r="BL2072">
        <v>0</v>
      </c>
      <c r="BO2072">
        <v>0</v>
      </c>
      <c r="BP2072">
        <v>0</v>
      </c>
      <c r="BW2072" t="str">
        <f t="shared" si="1139"/>
        <v>14:54:09.338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6</v>
      </c>
      <c r="CP2072" t="s">
        <v>119</v>
      </c>
      <c r="CQ2072">
        <v>285</v>
      </c>
      <c r="CR2072">
        <v>0</v>
      </c>
      <c r="CW2072">
        <v>8861249</v>
      </c>
      <c r="CY2072">
        <v>0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25">
      <c r="A2073" t="str">
        <f t="shared" ref="A2073:A2079" si="1140">"06/05/2020 14:54:04.662"</f>
        <v>06/05/2020 14:54:04.662</v>
      </c>
      <c r="C2073" t="str">
        <f t="shared" si="1113"/>
        <v>FFDFD3C0</v>
      </c>
      <c r="D2073" t="s">
        <v>151</v>
      </c>
      <c r="E2073">
        <v>8</v>
      </c>
      <c r="H2073">
        <v>225</v>
      </c>
      <c r="I2073" t="s">
        <v>353</v>
      </c>
      <c r="J2073" t="s">
        <v>150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ref="S2073:S2079" si="1141">"14:54:10.320"</f>
        <v>14:54:10.320</v>
      </c>
      <c r="T2073" t="str">
        <f t="shared" ref="T2073:T2079" si="1142">"14:54:10.220"</f>
        <v>14:54:10.220</v>
      </c>
      <c r="U2073" t="str">
        <f t="shared" si="1128"/>
        <v>ACC530</v>
      </c>
      <c r="V2073">
        <v>0</v>
      </c>
      <c r="W2073">
        <v>0</v>
      </c>
      <c r="X2073">
        <v>1</v>
      </c>
      <c r="Z2073">
        <v>0</v>
      </c>
      <c r="AA2073">
        <v>9</v>
      </c>
      <c r="AB2073">
        <v>3</v>
      </c>
      <c r="AC2073">
        <v>0</v>
      </c>
      <c r="AD2073">
        <v>9</v>
      </c>
      <c r="AE2073">
        <v>0</v>
      </c>
      <c r="AF2073">
        <v>3</v>
      </c>
      <c r="AG2073">
        <v>1</v>
      </c>
      <c r="AH2073">
        <v>0</v>
      </c>
      <c r="AI2073" t="s">
        <v>762</v>
      </c>
      <c r="AJ2073">
        <v>34.169862000000002</v>
      </c>
      <c r="AK2073" t="s">
        <v>763</v>
      </c>
      <c r="AL2073">
        <v>-117.027333</v>
      </c>
      <c r="AM2073">
        <v>100</v>
      </c>
      <c r="AN2073">
        <v>7800</v>
      </c>
      <c r="AO2073" t="s">
        <v>118</v>
      </c>
      <c r="AP2073">
        <v>-89</v>
      </c>
      <c r="AQ2073">
        <v>-83</v>
      </c>
      <c r="AR2073">
        <v>-704</v>
      </c>
      <c r="AZ2073">
        <v>1200</v>
      </c>
      <c r="BA2073">
        <v>1</v>
      </c>
      <c r="BB2073" t="str">
        <f t="shared" si="1132"/>
        <v xml:space="preserve">N9217B  </v>
      </c>
      <c r="BC2073">
        <v>1</v>
      </c>
      <c r="BE2073">
        <v>0</v>
      </c>
      <c r="BF2073">
        <v>0</v>
      </c>
      <c r="BG2073">
        <v>0</v>
      </c>
      <c r="BH2073">
        <v>7825</v>
      </c>
      <c r="BI2073">
        <v>1</v>
      </c>
      <c r="BJ2073">
        <v>0</v>
      </c>
      <c r="BK2073">
        <v>0</v>
      </c>
      <c r="BL2073">
        <v>0</v>
      </c>
      <c r="BO2073">
        <v>0</v>
      </c>
      <c r="BP2073">
        <v>0</v>
      </c>
      <c r="BW2073" t="str">
        <f t="shared" ref="BW2073:BW2079" si="1143">"14:54:10.328"</f>
        <v>14:54:10.328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285</v>
      </c>
      <c r="CR2073">
        <v>0</v>
      </c>
      <c r="CW2073">
        <v>8861334</v>
      </c>
      <c r="CY2073">
        <v>0</v>
      </c>
      <c r="CZ2073">
        <v>0</v>
      </c>
      <c r="DA2073">
        <v>0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25">
      <c r="A2074" t="str">
        <f t="shared" si="1140"/>
        <v>06/05/2020 14:54:04.662</v>
      </c>
      <c r="C2074" t="str">
        <f t="shared" si="1113"/>
        <v>FFDFD3C0</v>
      </c>
      <c r="D2074" t="s">
        <v>113</v>
      </c>
      <c r="E2074">
        <v>3</v>
      </c>
      <c r="H2074">
        <v>166</v>
      </c>
      <c r="I2074" t="s">
        <v>114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141"/>
        <v>14:54:10.320</v>
      </c>
      <c r="T2074" t="str">
        <f t="shared" si="1142"/>
        <v>14:54:10.220</v>
      </c>
      <c r="U2074" t="str">
        <f t="shared" si="1128"/>
        <v>ACC530</v>
      </c>
      <c r="V2074">
        <v>0</v>
      </c>
      <c r="W2074">
        <v>0</v>
      </c>
      <c r="X2074">
        <v>1</v>
      </c>
      <c r="Z2074">
        <v>0</v>
      </c>
      <c r="AA2074">
        <v>9</v>
      </c>
      <c r="AB2074">
        <v>3</v>
      </c>
      <c r="AC2074">
        <v>0</v>
      </c>
      <c r="AD2074">
        <v>9</v>
      </c>
      <c r="AE2074">
        <v>0</v>
      </c>
      <c r="AF2074">
        <v>3</v>
      </c>
      <c r="AG2074">
        <v>1</v>
      </c>
      <c r="AH2074">
        <v>0</v>
      </c>
      <c r="AI2074" t="s">
        <v>762</v>
      </c>
      <c r="AJ2074">
        <v>34.169862000000002</v>
      </c>
      <c r="AK2074" t="s">
        <v>763</v>
      </c>
      <c r="AL2074">
        <v>-117.027333</v>
      </c>
      <c r="AM2074">
        <v>100</v>
      </c>
      <c r="AN2074">
        <v>7800</v>
      </c>
      <c r="AO2074" t="s">
        <v>118</v>
      </c>
      <c r="AP2074">
        <v>-89</v>
      </c>
      <c r="AQ2074">
        <v>-83</v>
      </c>
      <c r="AR2074">
        <v>-704</v>
      </c>
      <c r="AZ2074">
        <v>1200</v>
      </c>
      <c r="BA2074">
        <v>1</v>
      </c>
      <c r="BB2074" t="str">
        <f t="shared" si="1132"/>
        <v xml:space="preserve">N9217B  </v>
      </c>
      <c r="BC2074">
        <v>1</v>
      </c>
      <c r="BE2074">
        <v>0</v>
      </c>
      <c r="BF2074">
        <v>0</v>
      </c>
      <c r="BG2074">
        <v>0</v>
      </c>
      <c r="BH2074">
        <v>7825</v>
      </c>
      <c r="BI2074">
        <v>1</v>
      </c>
      <c r="BJ2074">
        <v>0</v>
      </c>
      <c r="BK2074">
        <v>0</v>
      </c>
      <c r="BL2074">
        <v>0</v>
      </c>
      <c r="BO2074">
        <v>0</v>
      </c>
      <c r="BP2074">
        <v>0</v>
      </c>
      <c r="BW2074" t="str">
        <f t="shared" si="1143"/>
        <v>14:54:10.328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6</v>
      </c>
      <c r="CP2074" t="s">
        <v>119</v>
      </c>
      <c r="CQ2074">
        <v>285</v>
      </c>
      <c r="CR2074">
        <v>0</v>
      </c>
      <c r="CW2074">
        <v>8861334</v>
      </c>
      <c r="CY2074">
        <v>0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25">
      <c r="A2075" t="str">
        <f t="shared" si="1140"/>
        <v>06/05/2020 14:54:04.662</v>
      </c>
      <c r="C2075" t="str">
        <f t="shared" si="1113"/>
        <v>FFDFD3C0</v>
      </c>
      <c r="D2075" t="s">
        <v>134</v>
      </c>
      <c r="E2075">
        <v>7</v>
      </c>
      <c r="F2075">
        <v>2007</v>
      </c>
      <c r="G2075" t="s">
        <v>135</v>
      </c>
      <c r="J2075" t="s">
        <v>136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141"/>
        <v>14:54:10.320</v>
      </c>
      <c r="T2075" t="str">
        <f t="shared" si="1142"/>
        <v>14:54:10.220</v>
      </c>
      <c r="U2075" t="str">
        <f t="shared" si="1128"/>
        <v>ACC530</v>
      </c>
      <c r="V2075">
        <v>0</v>
      </c>
      <c r="W2075">
        <v>0</v>
      </c>
      <c r="X2075">
        <v>1</v>
      </c>
      <c r="Z2075">
        <v>0</v>
      </c>
      <c r="AA2075">
        <v>9</v>
      </c>
      <c r="AB2075">
        <v>3</v>
      </c>
      <c r="AC2075">
        <v>0</v>
      </c>
      <c r="AD2075">
        <v>9</v>
      </c>
      <c r="AE2075">
        <v>0</v>
      </c>
      <c r="AF2075">
        <v>3</v>
      </c>
      <c r="AG2075">
        <v>1</v>
      </c>
      <c r="AH2075">
        <v>0</v>
      </c>
      <c r="AI2075" t="s">
        <v>762</v>
      </c>
      <c r="AJ2075">
        <v>34.169862000000002</v>
      </c>
      <c r="AK2075" t="s">
        <v>763</v>
      </c>
      <c r="AL2075">
        <v>-117.027333</v>
      </c>
      <c r="AM2075">
        <v>100</v>
      </c>
      <c r="AN2075">
        <v>7800</v>
      </c>
      <c r="AO2075" t="s">
        <v>118</v>
      </c>
      <c r="AP2075">
        <v>-89</v>
      </c>
      <c r="AQ2075">
        <v>-83</v>
      </c>
      <c r="AR2075">
        <v>-704</v>
      </c>
      <c r="AZ2075">
        <v>1200</v>
      </c>
      <c r="BA2075">
        <v>1</v>
      </c>
      <c r="BB2075" t="str">
        <f t="shared" si="1132"/>
        <v xml:space="preserve">N9217B  </v>
      </c>
      <c r="BC2075">
        <v>1</v>
      </c>
      <c r="BE2075">
        <v>0</v>
      </c>
      <c r="BF2075">
        <v>0</v>
      </c>
      <c r="BG2075">
        <v>0</v>
      </c>
      <c r="BH2075">
        <v>7825</v>
      </c>
      <c r="BI2075">
        <v>1</v>
      </c>
      <c r="BJ2075">
        <v>0</v>
      </c>
      <c r="BK2075">
        <v>0</v>
      </c>
      <c r="BL2075">
        <v>0</v>
      </c>
      <c r="BO2075">
        <v>0</v>
      </c>
      <c r="BP2075">
        <v>0</v>
      </c>
      <c r="BW2075" t="str">
        <f t="shared" si="1143"/>
        <v>14:54:10.328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6</v>
      </c>
      <c r="CP2075" t="s">
        <v>119</v>
      </c>
      <c r="CQ2075">
        <v>285</v>
      </c>
      <c r="CR2075">
        <v>0</v>
      </c>
      <c r="CW2075">
        <v>8861334</v>
      </c>
      <c r="CY2075">
        <v>0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25">
      <c r="A2076" t="str">
        <f t="shared" si="1140"/>
        <v>06/05/2020 14:54:04.662</v>
      </c>
      <c r="C2076" t="str">
        <f t="shared" si="1113"/>
        <v>FFDFD3C0</v>
      </c>
      <c r="D2076" t="s">
        <v>148</v>
      </c>
      <c r="E2076">
        <v>8</v>
      </c>
      <c r="H2076">
        <v>50</v>
      </c>
      <c r="I2076" t="s">
        <v>149</v>
      </c>
      <c r="J2076" t="s">
        <v>150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141"/>
        <v>14:54:10.320</v>
      </c>
      <c r="T2076" t="str">
        <f t="shared" si="1142"/>
        <v>14:54:10.220</v>
      </c>
      <c r="U2076" t="str">
        <f t="shared" si="1128"/>
        <v>ACC530</v>
      </c>
      <c r="V2076">
        <v>0</v>
      </c>
      <c r="W2076">
        <v>0</v>
      </c>
      <c r="X2076">
        <v>1</v>
      </c>
      <c r="Z2076">
        <v>0</v>
      </c>
      <c r="AA2076">
        <v>9</v>
      </c>
      <c r="AB2076">
        <v>3</v>
      </c>
      <c r="AC2076">
        <v>0</v>
      </c>
      <c r="AD2076">
        <v>9</v>
      </c>
      <c r="AE2076">
        <v>0</v>
      </c>
      <c r="AF2076">
        <v>3</v>
      </c>
      <c r="AG2076">
        <v>1</v>
      </c>
      <c r="AH2076">
        <v>0</v>
      </c>
      <c r="AI2076" t="s">
        <v>762</v>
      </c>
      <c r="AJ2076">
        <v>34.169862000000002</v>
      </c>
      <c r="AK2076" t="s">
        <v>763</v>
      </c>
      <c r="AL2076">
        <v>-117.027333</v>
      </c>
      <c r="AM2076">
        <v>100</v>
      </c>
      <c r="AN2076">
        <v>7800</v>
      </c>
      <c r="AO2076" t="s">
        <v>118</v>
      </c>
      <c r="AP2076">
        <v>-89</v>
      </c>
      <c r="AQ2076">
        <v>-83</v>
      </c>
      <c r="AR2076">
        <v>-704</v>
      </c>
      <c r="AZ2076">
        <v>1200</v>
      </c>
      <c r="BA2076">
        <v>1</v>
      </c>
      <c r="BB2076" t="str">
        <f t="shared" si="1132"/>
        <v xml:space="preserve">N9217B  </v>
      </c>
      <c r="BC2076">
        <v>1</v>
      </c>
      <c r="BE2076">
        <v>0</v>
      </c>
      <c r="BF2076">
        <v>0</v>
      </c>
      <c r="BG2076">
        <v>0</v>
      </c>
      <c r="BH2076">
        <v>7825</v>
      </c>
      <c r="BI2076">
        <v>1</v>
      </c>
      <c r="BJ2076">
        <v>0</v>
      </c>
      <c r="BK2076">
        <v>0</v>
      </c>
      <c r="BL2076">
        <v>0</v>
      </c>
      <c r="BO2076">
        <v>0</v>
      </c>
      <c r="BP2076">
        <v>0</v>
      </c>
      <c r="BW2076" t="str">
        <f t="shared" si="1143"/>
        <v>14:54:10.328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6</v>
      </c>
      <c r="CP2076" t="s">
        <v>119</v>
      </c>
      <c r="CQ2076">
        <v>285</v>
      </c>
      <c r="CR2076">
        <v>0</v>
      </c>
      <c r="CW2076">
        <v>8861334</v>
      </c>
      <c r="CY2076">
        <v>0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25">
      <c r="A2077" t="str">
        <f t="shared" si="1140"/>
        <v>06/05/2020 14:54:04.662</v>
      </c>
      <c r="C2077" t="str">
        <f t="shared" si="1113"/>
        <v>FFDFD3C0</v>
      </c>
      <c r="D2077" t="s">
        <v>151</v>
      </c>
      <c r="E2077">
        <v>9</v>
      </c>
      <c r="H2077">
        <v>226</v>
      </c>
      <c r="I2077" t="s">
        <v>152</v>
      </c>
      <c r="J2077" t="s">
        <v>150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141"/>
        <v>14:54:10.320</v>
      </c>
      <c r="T2077" t="str">
        <f t="shared" si="1142"/>
        <v>14:54:10.220</v>
      </c>
      <c r="U2077" t="str">
        <f t="shared" si="1128"/>
        <v>ACC530</v>
      </c>
      <c r="V2077">
        <v>0</v>
      </c>
      <c r="W2077">
        <v>0</v>
      </c>
      <c r="X2077">
        <v>1</v>
      </c>
      <c r="Z2077">
        <v>0</v>
      </c>
      <c r="AA2077">
        <v>9</v>
      </c>
      <c r="AB2077">
        <v>3</v>
      </c>
      <c r="AC2077">
        <v>0</v>
      </c>
      <c r="AD2077">
        <v>9</v>
      </c>
      <c r="AE2077">
        <v>0</v>
      </c>
      <c r="AF2077">
        <v>3</v>
      </c>
      <c r="AG2077">
        <v>1</v>
      </c>
      <c r="AH2077">
        <v>0</v>
      </c>
      <c r="AI2077" t="s">
        <v>762</v>
      </c>
      <c r="AJ2077">
        <v>34.169862000000002</v>
      </c>
      <c r="AK2077" t="s">
        <v>763</v>
      </c>
      <c r="AL2077">
        <v>-117.027333</v>
      </c>
      <c r="AM2077">
        <v>100</v>
      </c>
      <c r="AN2077">
        <v>7800</v>
      </c>
      <c r="AO2077" t="s">
        <v>118</v>
      </c>
      <c r="AP2077">
        <v>-89</v>
      </c>
      <c r="AQ2077">
        <v>-83</v>
      </c>
      <c r="AR2077">
        <v>-704</v>
      </c>
      <c r="AZ2077">
        <v>1200</v>
      </c>
      <c r="BA2077">
        <v>1</v>
      </c>
      <c r="BB2077" t="str">
        <f t="shared" si="1132"/>
        <v xml:space="preserve">N9217B  </v>
      </c>
      <c r="BC2077">
        <v>1</v>
      </c>
      <c r="BE2077">
        <v>0</v>
      </c>
      <c r="BF2077">
        <v>0</v>
      </c>
      <c r="BG2077">
        <v>0</v>
      </c>
      <c r="BH2077">
        <v>7825</v>
      </c>
      <c r="BI2077">
        <v>1</v>
      </c>
      <c r="BJ2077">
        <v>0</v>
      </c>
      <c r="BK2077">
        <v>0</v>
      </c>
      <c r="BL2077">
        <v>0</v>
      </c>
      <c r="BO2077">
        <v>0</v>
      </c>
      <c r="BP2077">
        <v>0</v>
      </c>
      <c r="BW2077" t="str">
        <f t="shared" si="1143"/>
        <v>14:54:10.328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6</v>
      </c>
      <c r="CP2077" t="s">
        <v>119</v>
      </c>
      <c r="CQ2077">
        <v>285</v>
      </c>
      <c r="CR2077">
        <v>0</v>
      </c>
      <c r="CW2077">
        <v>8861334</v>
      </c>
      <c r="CY2077">
        <v>0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25">
      <c r="A2078" t="str">
        <f t="shared" si="1140"/>
        <v>06/05/2020 14:54:04.662</v>
      </c>
      <c r="C2078" t="str">
        <f t="shared" si="1113"/>
        <v>FFDFD3C0</v>
      </c>
      <c r="D2078" t="s">
        <v>141</v>
      </c>
      <c r="E2078">
        <v>20</v>
      </c>
      <c r="F2078">
        <v>1020</v>
      </c>
      <c r="G2078" t="s">
        <v>114</v>
      </c>
      <c r="J2078" t="s">
        <v>142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1141"/>
        <v>14:54:10.320</v>
      </c>
      <c r="T2078" t="str">
        <f t="shared" si="1142"/>
        <v>14:54:10.220</v>
      </c>
      <c r="U2078" t="str">
        <f t="shared" si="1128"/>
        <v>ACC530</v>
      </c>
      <c r="V2078">
        <v>0</v>
      </c>
      <c r="W2078">
        <v>0</v>
      </c>
      <c r="X2078">
        <v>1</v>
      </c>
      <c r="Z2078">
        <v>0</v>
      </c>
      <c r="AA2078">
        <v>9</v>
      </c>
      <c r="AB2078">
        <v>3</v>
      </c>
      <c r="AC2078">
        <v>0</v>
      </c>
      <c r="AD2078">
        <v>9</v>
      </c>
      <c r="AE2078">
        <v>0</v>
      </c>
      <c r="AF2078">
        <v>3</v>
      </c>
      <c r="AG2078">
        <v>1</v>
      </c>
      <c r="AH2078">
        <v>0</v>
      </c>
      <c r="AI2078" t="s">
        <v>762</v>
      </c>
      <c r="AJ2078">
        <v>34.169862000000002</v>
      </c>
      <c r="AK2078" t="s">
        <v>763</v>
      </c>
      <c r="AL2078">
        <v>-117.027333</v>
      </c>
      <c r="AM2078">
        <v>100</v>
      </c>
      <c r="AN2078">
        <v>7800</v>
      </c>
      <c r="AO2078" t="s">
        <v>118</v>
      </c>
      <c r="AP2078">
        <v>-89</v>
      </c>
      <c r="AQ2078">
        <v>-83</v>
      </c>
      <c r="AR2078">
        <v>-704</v>
      </c>
      <c r="AZ2078">
        <v>1200</v>
      </c>
      <c r="BA2078">
        <v>1</v>
      </c>
      <c r="BB2078" t="str">
        <f t="shared" si="1132"/>
        <v xml:space="preserve">N9217B  </v>
      </c>
      <c r="BC2078">
        <v>1</v>
      </c>
      <c r="BE2078">
        <v>0</v>
      </c>
      <c r="BF2078">
        <v>0</v>
      </c>
      <c r="BG2078">
        <v>0</v>
      </c>
      <c r="BH2078">
        <v>7825</v>
      </c>
      <c r="BI2078">
        <v>1</v>
      </c>
      <c r="BJ2078">
        <v>0</v>
      </c>
      <c r="BK2078">
        <v>0</v>
      </c>
      <c r="BL2078">
        <v>0</v>
      </c>
      <c r="BO2078">
        <v>0</v>
      </c>
      <c r="BP2078">
        <v>0</v>
      </c>
      <c r="BW2078" t="str">
        <f t="shared" si="1143"/>
        <v>14:54:10.328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285</v>
      </c>
      <c r="CR2078">
        <v>0</v>
      </c>
      <c r="CW2078">
        <v>8861334</v>
      </c>
      <c r="CY2078">
        <v>0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25">
      <c r="A2079" t="str">
        <f t="shared" si="1140"/>
        <v>06/05/2020 14:54:04.662</v>
      </c>
      <c r="C2079" t="str">
        <f t="shared" si="1113"/>
        <v>FFDFD3C0</v>
      </c>
      <c r="D2079" t="s">
        <v>148</v>
      </c>
      <c r="E2079">
        <v>11</v>
      </c>
      <c r="H2079">
        <v>53</v>
      </c>
      <c r="I2079" t="s">
        <v>364</v>
      </c>
      <c r="J2079" t="s">
        <v>150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141"/>
        <v>14:54:10.320</v>
      </c>
      <c r="T2079" t="str">
        <f t="shared" si="1142"/>
        <v>14:54:10.220</v>
      </c>
      <c r="U2079" t="str">
        <f t="shared" si="1128"/>
        <v>ACC530</v>
      </c>
      <c r="V2079">
        <v>0</v>
      </c>
      <c r="W2079">
        <v>0</v>
      </c>
      <c r="X2079">
        <v>1</v>
      </c>
      <c r="Z2079">
        <v>0</v>
      </c>
      <c r="AA2079">
        <v>9</v>
      </c>
      <c r="AB2079">
        <v>3</v>
      </c>
      <c r="AC2079">
        <v>0</v>
      </c>
      <c r="AD2079">
        <v>9</v>
      </c>
      <c r="AE2079">
        <v>0</v>
      </c>
      <c r="AF2079">
        <v>3</v>
      </c>
      <c r="AG2079">
        <v>1</v>
      </c>
      <c r="AH2079">
        <v>0</v>
      </c>
      <c r="AI2079" t="s">
        <v>762</v>
      </c>
      <c r="AJ2079">
        <v>34.169862000000002</v>
      </c>
      <c r="AK2079" t="s">
        <v>763</v>
      </c>
      <c r="AL2079">
        <v>-117.027333</v>
      </c>
      <c r="AM2079">
        <v>100</v>
      </c>
      <c r="AN2079">
        <v>7800</v>
      </c>
      <c r="AO2079" t="s">
        <v>118</v>
      </c>
      <c r="AP2079">
        <v>-89</v>
      </c>
      <c r="AQ2079">
        <v>-83</v>
      </c>
      <c r="AR2079">
        <v>-704</v>
      </c>
      <c r="AZ2079">
        <v>1200</v>
      </c>
      <c r="BA2079">
        <v>1</v>
      </c>
      <c r="BB2079" t="str">
        <f t="shared" si="1132"/>
        <v xml:space="preserve">N9217B  </v>
      </c>
      <c r="BC2079">
        <v>1</v>
      </c>
      <c r="BE2079">
        <v>0</v>
      </c>
      <c r="BF2079">
        <v>0</v>
      </c>
      <c r="BG2079">
        <v>0</v>
      </c>
      <c r="BH2079">
        <v>7825</v>
      </c>
      <c r="BI2079">
        <v>1</v>
      </c>
      <c r="BJ2079">
        <v>0</v>
      </c>
      <c r="BK2079">
        <v>0</v>
      </c>
      <c r="BL2079">
        <v>0</v>
      </c>
      <c r="BO2079">
        <v>0</v>
      </c>
      <c r="BP2079">
        <v>0</v>
      </c>
      <c r="BW2079" t="str">
        <f t="shared" si="1143"/>
        <v>14:54:10.328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6</v>
      </c>
      <c r="CP2079" t="s">
        <v>119</v>
      </c>
      <c r="CQ2079">
        <v>285</v>
      </c>
      <c r="CR2079">
        <v>0</v>
      </c>
      <c r="CW2079">
        <v>8861334</v>
      </c>
      <c r="CY2079">
        <v>0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25">
      <c r="A2080" t="str">
        <f t="shared" ref="A2080:A2085" si="1144">"06/05/2020 14:54:05.863"</f>
        <v>06/05/2020 14:54:05.863</v>
      </c>
      <c r="C2080" t="str">
        <f t="shared" si="1113"/>
        <v>FFDFD3C0</v>
      </c>
      <c r="D2080" t="s">
        <v>141</v>
      </c>
      <c r="E2080">
        <v>20</v>
      </c>
      <c r="F2080">
        <v>1020</v>
      </c>
      <c r="G2080" t="s">
        <v>114</v>
      </c>
      <c r="J2080" t="s">
        <v>142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ref="S2080:S2085" si="1145">"14:54:11.508"</f>
        <v>14:54:11.508</v>
      </c>
      <c r="T2080" t="str">
        <f t="shared" ref="T2080:T2085" si="1146">"14:54:11.408"</f>
        <v>14:54:11.408</v>
      </c>
      <c r="U2080" t="str">
        <f t="shared" si="1128"/>
        <v>ACC530</v>
      </c>
      <c r="V2080">
        <v>0</v>
      </c>
      <c r="W2080">
        <v>0</v>
      </c>
      <c r="X2080">
        <v>1</v>
      </c>
      <c r="Z2080">
        <v>0</v>
      </c>
      <c r="AA2080">
        <v>9</v>
      </c>
      <c r="AB2080">
        <v>3</v>
      </c>
      <c r="AC2080">
        <v>0</v>
      </c>
      <c r="AD2080">
        <v>9</v>
      </c>
      <c r="AE2080">
        <v>0</v>
      </c>
      <c r="AF2080">
        <v>3</v>
      </c>
      <c r="AG2080">
        <v>1</v>
      </c>
      <c r="AH2080">
        <v>0</v>
      </c>
      <c r="AI2080" t="s">
        <v>764</v>
      </c>
      <c r="AJ2080">
        <v>34.16939</v>
      </c>
      <c r="AK2080" t="s">
        <v>765</v>
      </c>
      <c r="AL2080">
        <v>-117.027912</v>
      </c>
      <c r="AM2080">
        <v>100</v>
      </c>
      <c r="AN2080">
        <v>7800</v>
      </c>
      <c r="AO2080" t="s">
        <v>118</v>
      </c>
      <c r="AP2080">
        <v>-89</v>
      </c>
      <c r="AQ2080">
        <v>-83</v>
      </c>
      <c r="AR2080">
        <v>-704</v>
      </c>
      <c r="AZ2080">
        <v>1200</v>
      </c>
      <c r="BA2080">
        <v>1</v>
      </c>
      <c r="BB2080" t="str">
        <f t="shared" si="1132"/>
        <v xml:space="preserve">N9217B  </v>
      </c>
      <c r="BC2080">
        <v>1</v>
      </c>
      <c r="BE2080">
        <v>0</v>
      </c>
      <c r="BF2080">
        <v>0</v>
      </c>
      <c r="BG2080">
        <v>0</v>
      </c>
      <c r="BH2080">
        <v>7800</v>
      </c>
      <c r="BI2080">
        <v>1</v>
      </c>
      <c r="BJ2080">
        <v>0</v>
      </c>
      <c r="BK2080">
        <v>0</v>
      </c>
      <c r="BL2080">
        <v>0</v>
      </c>
      <c r="BO2080">
        <v>0</v>
      </c>
      <c r="BP2080">
        <v>0</v>
      </c>
      <c r="BW2080" t="str">
        <f t="shared" ref="BW2080:BW2085" si="1147">"14:54:11.513"</f>
        <v>14:54:11.513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5</v>
      </c>
      <c r="CP2080" t="s">
        <v>119</v>
      </c>
      <c r="CQ2080">
        <v>293</v>
      </c>
      <c r="CR2080">
        <v>1</v>
      </c>
      <c r="CW2080">
        <v>15297991</v>
      </c>
      <c r="CY2080">
        <v>0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25">
      <c r="A2081" t="str">
        <f t="shared" si="1144"/>
        <v>06/05/2020 14:54:05.863</v>
      </c>
      <c r="C2081" t="str">
        <f t="shared" si="1113"/>
        <v>FFDFD3C0</v>
      </c>
      <c r="D2081" t="s">
        <v>148</v>
      </c>
      <c r="E2081">
        <v>11</v>
      </c>
      <c r="H2081">
        <v>53</v>
      </c>
      <c r="I2081" t="s">
        <v>364</v>
      </c>
      <c r="J2081" t="s">
        <v>150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145"/>
        <v>14:54:11.508</v>
      </c>
      <c r="T2081" t="str">
        <f t="shared" si="1146"/>
        <v>14:54:11.408</v>
      </c>
      <c r="U2081" t="str">
        <f t="shared" si="1128"/>
        <v>ACC530</v>
      </c>
      <c r="V2081">
        <v>0</v>
      </c>
      <c r="W2081">
        <v>0</v>
      </c>
      <c r="X2081">
        <v>1</v>
      </c>
      <c r="Z2081">
        <v>0</v>
      </c>
      <c r="AA2081">
        <v>9</v>
      </c>
      <c r="AB2081">
        <v>3</v>
      </c>
      <c r="AC2081">
        <v>0</v>
      </c>
      <c r="AD2081">
        <v>9</v>
      </c>
      <c r="AE2081">
        <v>0</v>
      </c>
      <c r="AF2081">
        <v>3</v>
      </c>
      <c r="AG2081">
        <v>1</v>
      </c>
      <c r="AH2081">
        <v>0</v>
      </c>
      <c r="AI2081" t="s">
        <v>764</v>
      </c>
      <c r="AJ2081">
        <v>34.16939</v>
      </c>
      <c r="AK2081" t="s">
        <v>765</v>
      </c>
      <c r="AL2081">
        <v>-117.027912</v>
      </c>
      <c r="AM2081">
        <v>100</v>
      </c>
      <c r="AN2081">
        <v>7800</v>
      </c>
      <c r="AO2081" t="s">
        <v>118</v>
      </c>
      <c r="AP2081">
        <v>-89</v>
      </c>
      <c r="AQ2081">
        <v>-83</v>
      </c>
      <c r="AR2081">
        <v>-704</v>
      </c>
      <c r="AZ2081">
        <v>1200</v>
      </c>
      <c r="BA2081">
        <v>1</v>
      </c>
      <c r="BB2081" t="str">
        <f t="shared" si="1132"/>
        <v xml:space="preserve">N9217B  </v>
      </c>
      <c r="BC2081">
        <v>1</v>
      </c>
      <c r="BE2081">
        <v>0</v>
      </c>
      <c r="BF2081">
        <v>0</v>
      </c>
      <c r="BG2081">
        <v>0</v>
      </c>
      <c r="BH2081">
        <v>7800</v>
      </c>
      <c r="BI2081">
        <v>1</v>
      </c>
      <c r="BJ2081">
        <v>0</v>
      </c>
      <c r="BK2081">
        <v>0</v>
      </c>
      <c r="BL2081">
        <v>0</v>
      </c>
      <c r="BO2081">
        <v>0</v>
      </c>
      <c r="BP2081">
        <v>0</v>
      </c>
      <c r="BW2081" t="str">
        <f t="shared" si="1147"/>
        <v>14:54:11.513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5</v>
      </c>
      <c r="CP2081" t="s">
        <v>119</v>
      </c>
      <c r="CQ2081">
        <v>293</v>
      </c>
      <c r="CR2081">
        <v>1</v>
      </c>
      <c r="CW2081">
        <v>15297991</v>
      </c>
      <c r="CY2081">
        <v>0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25">
      <c r="A2082" t="str">
        <f t="shared" si="1144"/>
        <v>06/05/2020 14:54:05.863</v>
      </c>
      <c r="C2082" t="str">
        <f t="shared" si="1113"/>
        <v>FFDFD3C0</v>
      </c>
      <c r="D2082" t="s">
        <v>113</v>
      </c>
      <c r="E2082">
        <v>3</v>
      </c>
      <c r="H2082">
        <v>166</v>
      </c>
      <c r="I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1145"/>
        <v>14:54:11.508</v>
      </c>
      <c r="T2082" t="str">
        <f t="shared" si="1146"/>
        <v>14:54:11.408</v>
      </c>
      <c r="U2082" t="str">
        <f t="shared" si="1128"/>
        <v>ACC530</v>
      </c>
      <c r="V2082">
        <v>0</v>
      </c>
      <c r="W2082">
        <v>0</v>
      </c>
      <c r="X2082">
        <v>1</v>
      </c>
      <c r="Z2082">
        <v>0</v>
      </c>
      <c r="AA2082">
        <v>9</v>
      </c>
      <c r="AB2082">
        <v>3</v>
      </c>
      <c r="AC2082">
        <v>0</v>
      </c>
      <c r="AD2082">
        <v>9</v>
      </c>
      <c r="AE2082">
        <v>0</v>
      </c>
      <c r="AF2082">
        <v>3</v>
      </c>
      <c r="AG2082">
        <v>1</v>
      </c>
      <c r="AH2082">
        <v>0</v>
      </c>
      <c r="AI2082" t="s">
        <v>764</v>
      </c>
      <c r="AJ2082">
        <v>34.16939</v>
      </c>
      <c r="AK2082" t="s">
        <v>765</v>
      </c>
      <c r="AL2082">
        <v>-117.027912</v>
      </c>
      <c r="AM2082">
        <v>100</v>
      </c>
      <c r="AN2082">
        <v>7800</v>
      </c>
      <c r="AO2082" t="s">
        <v>118</v>
      </c>
      <c r="AP2082">
        <v>-89</v>
      </c>
      <c r="AQ2082">
        <v>-83</v>
      </c>
      <c r="AR2082">
        <v>-704</v>
      </c>
      <c r="AZ2082">
        <v>1200</v>
      </c>
      <c r="BA2082">
        <v>1</v>
      </c>
      <c r="BB2082" t="str">
        <f t="shared" si="1132"/>
        <v xml:space="preserve">N9217B  </v>
      </c>
      <c r="BC2082">
        <v>1</v>
      </c>
      <c r="BE2082">
        <v>0</v>
      </c>
      <c r="BF2082">
        <v>0</v>
      </c>
      <c r="BG2082">
        <v>0</v>
      </c>
      <c r="BH2082">
        <v>7800</v>
      </c>
      <c r="BI2082">
        <v>1</v>
      </c>
      <c r="BJ2082">
        <v>0</v>
      </c>
      <c r="BK2082">
        <v>0</v>
      </c>
      <c r="BL2082">
        <v>0</v>
      </c>
      <c r="BO2082">
        <v>0</v>
      </c>
      <c r="BP2082">
        <v>0</v>
      </c>
      <c r="BW2082" t="str">
        <f t="shared" si="1147"/>
        <v>14:54:11.513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5</v>
      </c>
      <c r="CP2082" t="s">
        <v>119</v>
      </c>
      <c r="CQ2082">
        <v>293</v>
      </c>
      <c r="CR2082">
        <v>1</v>
      </c>
      <c r="CW2082">
        <v>15297991</v>
      </c>
      <c r="CY2082">
        <v>0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25">
      <c r="A2083" t="str">
        <f t="shared" si="1144"/>
        <v>06/05/2020 14:54:05.863</v>
      </c>
      <c r="C2083" t="str">
        <f t="shared" ref="C2083:C2146" si="1148">"FFDFD3C0"</f>
        <v>FFDFD3C0</v>
      </c>
      <c r="D2083" t="s">
        <v>134</v>
      </c>
      <c r="E2083">
        <v>7</v>
      </c>
      <c r="F2083">
        <v>2007</v>
      </c>
      <c r="G2083" t="s">
        <v>135</v>
      </c>
      <c r="J2083" t="s">
        <v>136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145"/>
        <v>14:54:11.508</v>
      </c>
      <c r="T2083" t="str">
        <f t="shared" si="1146"/>
        <v>14:54:11.408</v>
      </c>
      <c r="U2083" t="str">
        <f t="shared" si="1128"/>
        <v>ACC530</v>
      </c>
      <c r="V2083">
        <v>0</v>
      </c>
      <c r="W2083">
        <v>0</v>
      </c>
      <c r="X2083">
        <v>1</v>
      </c>
      <c r="Z2083">
        <v>0</v>
      </c>
      <c r="AA2083">
        <v>9</v>
      </c>
      <c r="AB2083">
        <v>3</v>
      </c>
      <c r="AC2083">
        <v>0</v>
      </c>
      <c r="AD2083">
        <v>9</v>
      </c>
      <c r="AE2083">
        <v>0</v>
      </c>
      <c r="AF2083">
        <v>3</v>
      </c>
      <c r="AG2083">
        <v>1</v>
      </c>
      <c r="AH2083">
        <v>0</v>
      </c>
      <c r="AI2083" t="s">
        <v>764</v>
      </c>
      <c r="AJ2083">
        <v>34.16939</v>
      </c>
      <c r="AK2083" t="s">
        <v>765</v>
      </c>
      <c r="AL2083">
        <v>-117.027912</v>
      </c>
      <c r="AM2083">
        <v>100</v>
      </c>
      <c r="AN2083">
        <v>7800</v>
      </c>
      <c r="AO2083" t="s">
        <v>118</v>
      </c>
      <c r="AP2083">
        <v>-89</v>
      </c>
      <c r="AQ2083">
        <v>-83</v>
      </c>
      <c r="AR2083">
        <v>-704</v>
      </c>
      <c r="AZ2083">
        <v>1200</v>
      </c>
      <c r="BA2083">
        <v>1</v>
      </c>
      <c r="BB2083" t="str">
        <f t="shared" si="1132"/>
        <v xml:space="preserve">N9217B  </v>
      </c>
      <c r="BC2083">
        <v>1</v>
      </c>
      <c r="BE2083">
        <v>0</v>
      </c>
      <c r="BF2083">
        <v>0</v>
      </c>
      <c r="BG2083">
        <v>0</v>
      </c>
      <c r="BH2083">
        <v>7800</v>
      </c>
      <c r="BI2083">
        <v>1</v>
      </c>
      <c r="BJ2083">
        <v>0</v>
      </c>
      <c r="BK2083">
        <v>0</v>
      </c>
      <c r="BL2083">
        <v>0</v>
      </c>
      <c r="BO2083">
        <v>0</v>
      </c>
      <c r="BP2083">
        <v>0</v>
      </c>
      <c r="BW2083" t="str">
        <f t="shared" si="1147"/>
        <v>14:54:11.513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5</v>
      </c>
      <c r="CP2083" t="s">
        <v>119</v>
      </c>
      <c r="CQ2083">
        <v>293</v>
      </c>
      <c r="CR2083">
        <v>1</v>
      </c>
      <c r="CW2083">
        <v>15297991</v>
      </c>
      <c r="CY2083">
        <v>0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25">
      <c r="A2084" t="str">
        <f t="shared" si="1144"/>
        <v>06/05/2020 14:54:05.863</v>
      </c>
      <c r="C2084" t="str">
        <f t="shared" si="1148"/>
        <v>FFDFD3C0</v>
      </c>
      <c r="D2084" t="s">
        <v>148</v>
      </c>
      <c r="E2084">
        <v>8</v>
      </c>
      <c r="H2084">
        <v>50</v>
      </c>
      <c r="I2084" t="s">
        <v>149</v>
      </c>
      <c r="J2084" t="s">
        <v>150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145"/>
        <v>14:54:11.508</v>
      </c>
      <c r="T2084" t="str">
        <f t="shared" si="1146"/>
        <v>14:54:11.408</v>
      </c>
      <c r="U2084" t="str">
        <f t="shared" si="1128"/>
        <v>ACC530</v>
      </c>
      <c r="V2084">
        <v>0</v>
      </c>
      <c r="W2084">
        <v>0</v>
      </c>
      <c r="X2084">
        <v>1</v>
      </c>
      <c r="Z2084">
        <v>0</v>
      </c>
      <c r="AA2084">
        <v>9</v>
      </c>
      <c r="AB2084">
        <v>3</v>
      </c>
      <c r="AC2084">
        <v>0</v>
      </c>
      <c r="AD2084">
        <v>9</v>
      </c>
      <c r="AE2084">
        <v>0</v>
      </c>
      <c r="AF2084">
        <v>3</v>
      </c>
      <c r="AG2084">
        <v>1</v>
      </c>
      <c r="AH2084">
        <v>0</v>
      </c>
      <c r="AI2084" t="s">
        <v>764</v>
      </c>
      <c r="AJ2084">
        <v>34.16939</v>
      </c>
      <c r="AK2084" t="s">
        <v>765</v>
      </c>
      <c r="AL2084">
        <v>-117.027912</v>
      </c>
      <c r="AM2084">
        <v>100</v>
      </c>
      <c r="AN2084">
        <v>7800</v>
      </c>
      <c r="AO2084" t="s">
        <v>118</v>
      </c>
      <c r="AP2084">
        <v>-89</v>
      </c>
      <c r="AQ2084">
        <v>-83</v>
      </c>
      <c r="AR2084">
        <v>-704</v>
      </c>
      <c r="AZ2084">
        <v>1200</v>
      </c>
      <c r="BA2084">
        <v>1</v>
      </c>
      <c r="BB2084" t="str">
        <f t="shared" si="1132"/>
        <v xml:space="preserve">N9217B  </v>
      </c>
      <c r="BC2084">
        <v>1</v>
      </c>
      <c r="BE2084">
        <v>0</v>
      </c>
      <c r="BF2084">
        <v>0</v>
      </c>
      <c r="BG2084">
        <v>0</v>
      </c>
      <c r="BH2084">
        <v>7800</v>
      </c>
      <c r="BI2084">
        <v>1</v>
      </c>
      <c r="BJ2084">
        <v>0</v>
      </c>
      <c r="BK2084">
        <v>0</v>
      </c>
      <c r="BL2084">
        <v>0</v>
      </c>
      <c r="BO2084">
        <v>0</v>
      </c>
      <c r="BP2084">
        <v>0</v>
      </c>
      <c r="BW2084" t="str">
        <f t="shared" si="1147"/>
        <v>14:54:11.513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5</v>
      </c>
      <c r="CP2084" t="s">
        <v>119</v>
      </c>
      <c r="CQ2084">
        <v>293</v>
      </c>
      <c r="CR2084">
        <v>1</v>
      </c>
      <c r="CW2084">
        <v>15297991</v>
      </c>
      <c r="CY2084">
        <v>0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25">
      <c r="A2085" t="str">
        <f t="shared" si="1144"/>
        <v>06/05/2020 14:54:05.863</v>
      </c>
      <c r="C2085" t="str">
        <f t="shared" si="1148"/>
        <v>FFDFD3C0</v>
      </c>
      <c r="D2085" t="s">
        <v>151</v>
      </c>
      <c r="E2085">
        <v>9</v>
      </c>
      <c r="H2085">
        <v>226</v>
      </c>
      <c r="I2085" t="s">
        <v>152</v>
      </c>
      <c r="J2085" t="s">
        <v>150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145"/>
        <v>14:54:11.508</v>
      </c>
      <c r="T2085" t="str">
        <f t="shared" si="1146"/>
        <v>14:54:11.408</v>
      </c>
      <c r="U2085" t="str">
        <f t="shared" si="1128"/>
        <v>ACC530</v>
      </c>
      <c r="V2085">
        <v>0</v>
      </c>
      <c r="W2085">
        <v>0</v>
      </c>
      <c r="X2085">
        <v>1</v>
      </c>
      <c r="Z2085">
        <v>0</v>
      </c>
      <c r="AA2085">
        <v>9</v>
      </c>
      <c r="AB2085">
        <v>3</v>
      </c>
      <c r="AC2085">
        <v>0</v>
      </c>
      <c r="AD2085">
        <v>9</v>
      </c>
      <c r="AE2085">
        <v>0</v>
      </c>
      <c r="AF2085">
        <v>3</v>
      </c>
      <c r="AG2085">
        <v>1</v>
      </c>
      <c r="AH2085">
        <v>0</v>
      </c>
      <c r="AI2085" t="s">
        <v>764</v>
      </c>
      <c r="AJ2085">
        <v>34.16939</v>
      </c>
      <c r="AK2085" t="s">
        <v>765</v>
      </c>
      <c r="AL2085">
        <v>-117.027912</v>
      </c>
      <c r="AM2085">
        <v>100</v>
      </c>
      <c r="AN2085">
        <v>7800</v>
      </c>
      <c r="AO2085" t="s">
        <v>118</v>
      </c>
      <c r="AP2085">
        <v>-89</v>
      </c>
      <c r="AQ2085">
        <v>-83</v>
      </c>
      <c r="AR2085">
        <v>-704</v>
      </c>
      <c r="AZ2085">
        <v>1200</v>
      </c>
      <c r="BA2085">
        <v>1</v>
      </c>
      <c r="BB2085" t="str">
        <f t="shared" si="1132"/>
        <v xml:space="preserve">N9217B  </v>
      </c>
      <c r="BC2085">
        <v>1</v>
      </c>
      <c r="BE2085">
        <v>0</v>
      </c>
      <c r="BF2085">
        <v>0</v>
      </c>
      <c r="BG2085">
        <v>0</v>
      </c>
      <c r="BH2085">
        <v>7800</v>
      </c>
      <c r="BI2085">
        <v>1</v>
      </c>
      <c r="BJ2085">
        <v>0</v>
      </c>
      <c r="BK2085">
        <v>0</v>
      </c>
      <c r="BL2085">
        <v>0</v>
      </c>
      <c r="BO2085">
        <v>0</v>
      </c>
      <c r="BP2085">
        <v>0</v>
      </c>
      <c r="BW2085" t="str">
        <f t="shared" si="1147"/>
        <v>14:54:11.513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5</v>
      </c>
      <c r="CP2085" t="s">
        <v>119</v>
      </c>
      <c r="CQ2085">
        <v>293</v>
      </c>
      <c r="CR2085">
        <v>1</v>
      </c>
      <c r="CW2085">
        <v>15297991</v>
      </c>
      <c r="CY2085">
        <v>0</v>
      </c>
      <c r="CZ2085">
        <v>0</v>
      </c>
      <c r="DA2085">
        <v>1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25">
      <c r="A2086" t="str">
        <f t="shared" ref="A2086:A2092" si="1149">"06/05/2020 14:54:06.947"</f>
        <v>06/05/2020 14:54:06.947</v>
      </c>
      <c r="C2086" t="str">
        <f t="shared" si="1148"/>
        <v>FFDFD3C0</v>
      </c>
      <c r="D2086" t="s">
        <v>134</v>
      </c>
      <c r="E2086">
        <v>7</v>
      </c>
      <c r="F2086">
        <v>2007</v>
      </c>
      <c r="G2086" t="s">
        <v>135</v>
      </c>
      <c r="J2086" t="s">
        <v>136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ref="S2086:S2092" si="1150">"14:54:12.602"</f>
        <v>14:54:12.602</v>
      </c>
      <c r="T2086" t="str">
        <f t="shared" ref="T2086:T2092" si="1151">"14:54:12.502"</f>
        <v>14:54:12.502</v>
      </c>
      <c r="U2086" t="str">
        <f t="shared" si="1128"/>
        <v>ACC530</v>
      </c>
      <c r="V2086">
        <v>0</v>
      </c>
      <c r="W2086">
        <v>0</v>
      </c>
      <c r="X2086">
        <v>1</v>
      </c>
      <c r="Z2086">
        <v>0</v>
      </c>
      <c r="AA2086">
        <v>9</v>
      </c>
      <c r="AB2086">
        <v>3</v>
      </c>
      <c r="AC2086">
        <v>0</v>
      </c>
      <c r="AD2086">
        <v>9</v>
      </c>
      <c r="AE2086">
        <v>0</v>
      </c>
      <c r="AF2086">
        <v>3</v>
      </c>
      <c r="AG2086">
        <v>1</v>
      </c>
      <c r="AH2086">
        <v>0</v>
      </c>
      <c r="AI2086" t="s">
        <v>766</v>
      </c>
      <c r="AJ2086">
        <v>34.168961000000003</v>
      </c>
      <c r="AK2086" t="s">
        <v>767</v>
      </c>
      <c r="AL2086">
        <v>-117.028491</v>
      </c>
      <c r="AM2086">
        <v>100</v>
      </c>
      <c r="AN2086">
        <v>7800</v>
      </c>
      <c r="AO2086" t="s">
        <v>118</v>
      </c>
      <c r="AP2086">
        <v>-89</v>
      </c>
      <c r="AQ2086">
        <v>-82</v>
      </c>
      <c r="AR2086">
        <v>-640</v>
      </c>
      <c r="AZ2086">
        <v>1200</v>
      </c>
      <c r="BA2086">
        <v>1</v>
      </c>
      <c r="BB2086" t="str">
        <f t="shared" si="1132"/>
        <v xml:space="preserve">N9217B  </v>
      </c>
      <c r="BC2086">
        <v>1</v>
      </c>
      <c r="BE2086">
        <v>0</v>
      </c>
      <c r="BF2086">
        <v>0</v>
      </c>
      <c r="BG2086">
        <v>0</v>
      </c>
      <c r="BH2086">
        <v>7800</v>
      </c>
      <c r="BI2086">
        <v>1</v>
      </c>
      <c r="BJ2086">
        <v>0</v>
      </c>
      <c r="BK2086">
        <v>0</v>
      </c>
      <c r="BL2086">
        <v>0</v>
      </c>
      <c r="BO2086">
        <v>0</v>
      </c>
      <c r="BP2086">
        <v>0</v>
      </c>
      <c r="BW2086" t="str">
        <f t="shared" ref="BW2086:BW2092" si="1152">"14:54:12.607"</f>
        <v>14:54:12.607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6</v>
      </c>
      <c r="CP2086" t="s">
        <v>119</v>
      </c>
      <c r="CQ2086">
        <v>285</v>
      </c>
      <c r="CR2086">
        <v>0</v>
      </c>
      <c r="CW2086">
        <v>8861537</v>
      </c>
      <c r="CY2086">
        <v>0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25">
      <c r="A2087" t="str">
        <f t="shared" si="1149"/>
        <v>06/05/2020 14:54:06.947</v>
      </c>
      <c r="C2087" t="str">
        <f t="shared" si="1148"/>
        <v>FFDFD3C0</v>
      </c>
      <c r="D2087" t="s">
        <v>148</v>
      </c>
      <c r="E2087">
        <v>8</v>
      </c>
      <c r="H2087">
        <v>50</v>
      </c>
      <c r="I2087" t="s">
        <v>149</v>
      </c>
      <c r="J2087" t="s">
        <v>150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150"/>
        <v>14:54:12.602</v>
      </c>
      <c r="T2087" t="str">
        <f t="shared" si="1151"/>
        <v>14:54:12.502</v>
      </c>
      <c r="U2087" t="str">
        <f t="shared" si="1128"/>
        <v>ACC530</v>
      </c>
      <c r="V2087">
        <v>0</v>
      </c>
      <c r="W2087">
        <v>0</v>
      </c>
      <c r="X2087">
        <v>1</v>
      </c>
      <c r="Z2087">
        <v>0</v>
      </c>
      <c r="AA2087">
        <v>9</v>
      </c>
      <c r="AB2087">
        <v>3</v>
      </c>
      <c r="AC2087">
        <v>0</v>
      </c>
      <c r="AD2087">
        <v>9</v>
      </c>
      <c r="AE2087">
        <v>0</v>
      </c>
      <c r="AF2087">
        <v>3</v>
      </c>
      <c r="AG2087">
        <v>1</v>
      </c>
      <c r="AH2087">
        <v>0</v>
      </c>
      <c r="AI2087" t="s">
        <v>766</v>
      </c>
      <c r="AJ2087">
        <v>34.168961000000003</v>
      </c>
      <c r="AK2087" t="s">
        <v>767</v>
      </c>
      <c r="AL2087">
        <v>-117.028491</v>
      </c>
      <c r="AM2087">
        <v>100</v>
      </c>
      <c r="AN2087">
        <v>7800</v>
      </c>
      <c r="AO2087" t="s">
        <v>118</v>
      </c>
      <c r="AP2087">
        <v>-89</v>
      </c>
      <c r="AQ2087">
        <v>-82</v>
      </c>
      <c r="AR2087">
        <v>-640</v>
      </c>
      <c r="AZ2087">
        <v>1200</v>
      </c>
      <c r="BA2087">
        <v>1</v>
      </c>
      <c r="BB2087" t="str">
        <f t="shared" si="1132"/>
        <v xml:space="preserve">N9217B  </v>
      </c>
      <c r="BC2087">
        <v>1</v>
      </c>
      <c r="BE2087">
        <v>0</v>
      </c>
      <c r="BF2087">
        <v>0</v>
      </c>
      <c r="BG2087">
        <v>0</v>
      </c>
      <c r="BH2087">
        <v>7800</v>
      </c>
      <c r="BI2087">
        <v>1</v>
      </c>
      <c r="BJ2087">
        <v>0</v>
      </c>
      <c r="BK2087">
        <v>0</v>
      </c>
      <c r="BL2087">
        <v>0</v>
      </c>
      <c r="BO2087">
        <v>0</v>
      </c>
      <c r="BP2087">
        <v>0</v>
      </c>
      <c r="BW2087" t="str">
        <f t="shared" si="1152"/>
        <v>14:54:12.607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285</v>
      </c>
      <c r="CR2087">
        <v>0</v>
      </c>
      <c r="CW2087">
        <v>8861537</v>
      </c>
      <c r="CY2087">
        <v>0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25">
      <c r="A2088" t="str">
        <f t="shared" si="1149"/>
        <v>06/05/2020 14:54:06.947</v>
      </c>
      <c r="C2088" t="str">
        <f t="shared" si="1148"/>
        <v>FFDFD3C0</v>
      </c>
      <c r="D2088" t="s">
        <v>151</v>
      </c>
      <c r="E2088">
        <v>9</v>
      </c>
      <c r="H2088">
        <v>226</v>
      </c>
      <c r="I2088" t="s">
        <v>152</v>
      </c>
      <c r="J2088" t="s">
        <v>150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150"/>
        <v>14:54:12.602</v>
      </c>
      <c r="T2088" t="str">
        <f t="shared" si="1151"/>
        <v>14:54:12.502</v>
      </c>
      <c r="U2088" t="str">
        <f t="shared" si="1128"/>
        <v>ACC530</v>
      </c>
      <c r="V2088">
        <v>0</v>
      </c>
      <c r="W2088">
        <v>0</v>
      </c>
      <c r="X2088">
        <v>1</v>
      </c>
      <c r="Z2088">
        <v>0</v>
      </c>
      <c r="AA2088">
        <v>9</v>
      </c>
      <c r="AB2088">
        <v>3</v>
      </c>
      <c r="AC2088">
        <v>0</v>
      </c>
      <c r="AD2088">
        <v>9</v>
      </c>
      <c r="AE2088">
        <v>0</v>
      </c>
      <c r="AF2088">
        <v>3</v>
      </c>
      <c r="AG2088">
        <v>1</v>
      </c>
      <c r="AH2088">
        <v>0</v>
      </c>
      <c r="AI2088" t="s">
        <v>766</v>
      </c>
      <c r="AJ2088">
        <v>34.168961000000003</v>
      </c>
      <c r="AK2088" t="s">
        <v>767</v>
      </c>
      <c r="AL2088">
        <v>-117.028491</v>
      </c>
      <c r="AM2088">
        <v>100</v>
      </c>
      <c r="AN2088">
        <v>7800</v>
      </c>
      <c r="AO2088" t="s">
        <v>118</v>
      </c>
      <c r="AP2088">
        <v>-89</v>
      </c>
      <c r="AQ2088">
        <v>-82</v>
      </c>
      <c r="AR2088">
        <v>-640</v>
      </c>
      <c r="AZ2088">
        <v>1200</v>
      </c>
      <c r="BA2088">
        <v>1</v>
      </c>
      <c r="BB2088" t="str">
        <f t="shared" si="1132"/>
        <v xml:space="preserve">N9217B  </v>
      </c>
      <c r="BC2088">
        <v>1</v>
      </c>
      <c r="BE2088">
        <v>0</v>
      </c>
      <c r="BF2088">
        <v>0</v>
      </c>
      <c r="BG2088">
        <v>0</v>
      </c>
      <c r="BH2088">
        <v>7800</v>
      </c>
      <c r="BI2088">
        <v>1</v>
      </c>
      <c r="BJ2088">
        <v>0</v>
      </c>
      <c r="BK2088">
        <v>0</v>
      </c>
      <c r="BL2088">
        <v>0</v>
      </c>
      <c r="BO2088">
        <v>0</v>
      </c>
      <c r="BP2088">
        <v>0</v>
      </c>
      <c r="BW2088" t="str">
        <f t="shared" si="1152"/>
        <v>14:54:12.607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6</v>
      </c>
      <c r="CP2088" t="s">
        <v>119</v>
      </c>
      <c r="CQ2088">
        <v>285</v>
      </c>
      <c r="CR2088">
        <v>0</v>
      </c>
      <c r="CW2088">
        <v>8861537</v>
      </c>
      <c r="CY2088">
        <v>0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25">
      <c r="A2089" t="str">
        <f t="shared" si="1149"/>
        <v>06/05/2020 14:54:06.947</v>
      </c>
      <c r="C2089" t="str">
        <f t="shared" si="1148"/>
        <v>FFDFD3C0</v>
      </c>
      <c r="D2089" t="s">
        <v>141</v>
      </c>
      <c r="E2089">
        <v>20</v>
      </c>
      <c r="F2089">
        <v>1020</v>
      </c>
      <c r="G2089" t="s">
        <v>114</v>
      </c>
      <c r="J2089" t="s">
        <v>142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150"/>
        <v>14:54:12.602</v>
      </c>
      <c r="T2089" t="str">
        <f t="shared" si="1151"/>
        <v>14:54:12.502</v>
      </c>
      <c r="U2089" t="str">
        <f t="shared" si="1128"/>
        <v>ACC530</v>
      </c>
      <c r="V2089">
        <v>0</v>
      </c>
      <c r="W2089">
        <v>0</v>
      </c>
      <c r="X2089">
        <v>1</v>
      </c>
      <c r="Z2089">
        <v>0</v>
      </c>
      <c r="AA2089">
        <v>9</v>
      </c>
      <c r="AB2089">
        <v>3</v>
      </c>
      <c r="AC2089">
        <v>0</v>
      </c>
      <c r="AD2089">
        <v>9</v>
      </c>
      <c r="AE2089">
        <v>0</v>
      </c>
      <c r="AF2089">
        <v>3</v>
      </c>
      <c r="AG2089">
        <v>1</v>
      </c>
      <c r="AH2089">
        <v>0</v>
      </c>
      <c r="AI2089" t="s">
        <v>766</v>
      </c>
      <c r="AJ2089">
        <v>34.168961000000003</v>
      </c>
      <c r="AK2089" t="s">
        <v>767</v>
      </c>
      <c r="AL2089">
        <v>-117.028491</v>
      </c>
      <c r="AM2089">
        <v>100</v>
      </c>
      <c r="AN2089">
        <v>7800</v>
      </c>
      <c r="AO2089" t="s">
        <v>118</v>
      </c>
      <c r="AP2089">
        <v>-89</v>
      </c>
      <c r="AQ2089">
        <v>-82</v>
      </c>
      <c r="AR2089">
        <v>-640</v>
      </c>
      <c r="AZ2089">
        <v>1200</v>
      </c>
      <c r="BA2089">
        <v>1</v>
      </c>
      <c r="BB2089" t="str">
        <f t="shared" si="1132"/>
        <v xml:space="preserve">N9217B  </v>
      </c>
      <c r="BC2089">
        <v>1</v>
      </c>
      <c r="BE2089">
        <v>0</v>
      </c>
      <c r="BF2089">
        <v>0</v>
      </c>
      <c r="BG2089">
        <v>0</v>
      </c>
      <c r="BH2089">
        <v>7800</v>
      </c>
      <c r="BI2089">
        <v>1</v>
      </c>
      <c r="BJ2089">
        <v>0</v>
      </c>
      <c r="BK2089">
        <v>0</v>
      </c>
      <c r="BL2089">
        <v>0</v>
      </c>
      <c r="BO2089">
        <v>0</v>
      </c>
      <c r="BP2089">
        <v>0</v>
      </c>
      <c r="BW2089" t="str">
        <f t="shared" si="1152"/>
        <v>14:54:12.607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6</v>
      </c>
      <c r="CP2089" t="s">
        <v>119</v>
      </c>
      <c r="CQ2089">
        <v>285</v>
      </c>
      <c r="CR2089">
        <v>0</v>
      </c>
      <c r="CW2089">
        <v>8861537</v>
      </c>
      <c r="CY2089">
        <v>0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25">
      <c r="A2090" t="str">
        <f t="shared" si="1149"/>
        <v>06/05/2020 14:54:06.947</v>
      </c>
      <c r="C2090" t="str">
        <f t="shared" si="1148"/>
        <v>FFDFD3C0</v>
      </c>
      <c r="D2090" t="s">
        <v>148</v>
      </c>
      <c r="E2090">
        <v>11</v>
      </c>
      <c r="H2090">
        <v>53</v>
      </c>
      <c r="I2090" t="s">
        <v>364</v>
      </c>
      <c r="J2090" t="s">
        <v>150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150"/>
        <v>14:54:12.602</v>
      </c>
      <c r="T2090" t="str">
        <f t="shared" si="1151"/>
        <v>14:54:12.502</v>
      </c>
      <c r="U2090" t="str">
        <f t="shared" si="1128"/>
        <v>ACC530</v>
      </c>
      <c r="V2090">
        <v>0</v>
      </c>
      <c r="W2090">
        <v>0</v>
      </c>
      <c r="X2090">
        <v>1</v>
      </c>
      <c r="Z2090">
        <v>0</v>
      </c>
      <c r="AA2090">
        <v>9</v>
      </c>
      <c r="AB2090">
        <v>3</v>
      </c>
      <c r="AC2090">
        <v>0</v>
      </c>
      <c r="AD2090">
        <v>9</v>
      </c>
      <c r="AE2090">
        <v>0</v>
      </c>
      <c r="AF2090">
        <v>3</v>
      </c>
      <c r="AG2090">
        <v>1</v>
      </c>
      <c r="AH2090">
        <v>0</v>
      </c>
      <c r="AI2090" t="s">
        <v>766</v>
      </c>
      <c r="AJ2090">
        <v>34.168961000000003</v>
      </c>
      <c r="AK2090" t="s">
        <v>767</v>
      </c>
      <c r="AL2090">
        <v>-117.028491</v>
      </c>
      <c r="AM2090">
        <v>100</v>
      </c>
      <c r="AN2090">
        <v>7800</v>
      </c>
      <c r="AO2090" t="s">
        <v>118</v>
      </c>
      <c r="AP2090">
        <v>-89</v>
      </c>
      <c r="AQ2090">
        <v>-82</v>
      </c>
      <c r="AR2090">
        <v>-640</v>
      </c>
      <c r="AZ2090">
        <v>1200</v>
      </c>
      <c r="BA2090">
        <v>1</v>
      </c>
      <c r="BB2090" t="str">
        <f t="shared" si="1132"/>
        <v xml:space="preserve">N9217B  </v>
      </c>
      <c r="BC2090">
        <v>1</v>
      </c>
      <c r="BE2090">
        <v>0</v>
      </c>
      <c r="BF2090">
        <v>0</v>
      </c>
      <c r="BG2090">
        <v>0</v>
      </c>
      <c r="BH2090">
        <v>7800</v>
      </c>
      <c r="BI2090">
        <v>1</v>
      </c>
      <c r="BJ2090">
        <v>0</v>
      </c>
      <c r="BK2090">
        <v>0</v>
      </c>
      <c r="BL2090">
        <v>0</v>
      </c>
      <c r="BO2090">
        <v>0</v>
      </c>
      <c r="BP2090">
        <v>0</v>
      </c>
      <c r="BW2090" t="str">
        <f t="shared" si="1152"/>
        <v>14:54:12.607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6</v>
      </c>
      <c r="CP2090" t="s">
        <v>119</v>
      </c>
      <c r="CQ2090">
        <v>285</v>
      </c>
      <c r="CR2090">
        <v>0</v>
      </c>
      <c r="CW2090">
        <v>8861537</v>
      </c>
      <c r="CY2090">
        <v>0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25">
      <c r="A2091" t="str">
        <f t="shared" si="1149"/>
        <v>06/05/2020 14:54:06.947</v>
      </c>
      <c r="C2091" t="str">
        <f t="shared" si="1148"/>
        <v>FFDFD3C0</v>
      </c>
      <c r="D2091" t="s">
        <v>113</v>
      </c>
      <c r="E2091">
        <v>3</v>
      </c>
      <c r="H2091">
        <v>166</v>
      </c>
      <c r="I2091" t="s">
        <v>114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150"/>
        <v>14:54:12.602</v>
      </c>
      <c r="T2091" t="str">
        <f t="shared" si="1151"/>
        <v>14:54:12.502</v>
      </c>
      <c r="U2091" t="str">
        <f t="shared" si="1128"/>
        <v>ACC530</v>
      </c>
      <c r="V2091">
        <v>0</v>
      </c>
      <c r="W2091">
        <v>0</v>
      </c>
      <c r="X2091">
        <v>1</v>
      </c>
      <c r="Z2091">
        <v>0</v>
      </c>
      <c r="AA2091">
        <v>9</v>
      </c>
      <c r="AB2091">
        <v>3</v>
      </c>
      <c r="AC2091">
        <v>0</v>
      </c>
      <c r="AD2091">
        <v>9</v>
      </c>
      <c r="AE2091">
        <v>0</v>
      </c>
      <c r="AF2091">
        <v>3</v>
      </c>
      <c r="AG2091">
        <v>1</v>
      </c>
      <c r="AH2091">
        <v>0</v>
      </c>
      <c r="AI2091" t="s">
        <v>766</v>
      </c>
      <c r="AJ2091">
        <v>34.168961000000003</v>
      </c>
      <c r="AK2091" t="s">
        <v>767</v>
      </c>
      <c r="AL2091">
        <v>-117.028491</v>
      </c>
      <c r="AM2091">
        <v>100</v>
      </c>
      <c r="AN2091">
        <v>7800</v>
      </c>
      <c r="AO2091" t="s">
        <v>118</v>
      </c>
      <c r="AP2091">
        <v>-89</v>
      </c>
      <c r="AQ2091">
        <v>-82</v>
      </c>
      <c r="AR2091">
        <v>-640</v>
      </c>
      <c r="AZ2091">
        <v>1200</v>
      </c>
      <c r="BA2091">
        <v>1</v>
      </c>
      <c r="BB2091" t="str">
        <f t="shared" si="1132"/>
        <v xml:space="preserve">N9217B  </v>
      </c>
      <c r="BC2091">
        <v>1</v>
      </c>
      <c r="BE2091">
        <v>0</v>
      </c>
      <c r="BF2091">
        <v>0</v>
      </c>
      <c r="BG2091">
        <v>0</v>
      </c>
      <c r="BH2091">
        <v>7800</v>
      </c>
      <c r="BI2091">
        <v>1</v>
      </c>
      <c r="BJ2091">
        <v>0</v>
      </c>
      <c r="BK2091">
        <v>0</v>
      </c>
      <c r="BL2091">
        <v>0</v>
      </c>
      <c r="BO2091">
        <v>0</v>
      </c>
      <c r="BP2091">
        <v>0</v>
      </c>
      <c r="BW2091" t="str">
        <f t="shared" si="1152"/>
        <v>14:54:12.607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6</v>
      </c>
      <c r="CP2091" t="s">
        <v>119</v>
      </c>
      <c r="CQ2091">
        <v>285</v>
      </c>
      <c r="CR2091">
        <v>0</v>
      </c>
      <c r="CW2091">
        <v>8861537</v>
      </c>
      <c r="CY2091">
        <v>0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25">
      <c r="A2092" t="str">
        <f t="shared" si="1149"/>
        <v>06/05/2020 14:54:06.947</v>
      </c>
      <c r="C2092" t="str">
        <f t="shared" si="1148"/>
        <v>FFDFD3C0</v>
      </c>
      <c r="D2092" t="s">
        <v>151</v>
      </c>
      <c r="E2092">
        <v>8</v>
      </c>
      <c r="H2092">
        <v>225</v>
      </c>
      <c r="I2092" t="s">
        <v>353</v>
      </c>
      <c r="J2092" t="s">
        <v>150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1150"/>
        <v>14:54:12.602</v>
      </c>
      <c r="T2092" t="str">
        <f t="shared" si="1151"/>
        <v>14:54:12.502</v>
      </c>
      <c r="U2092" t="str">
        <f t="shared" si="1128"/>
        <v>ACC530</v>
      </c>
      <c r="V2092">
        <v>0</v>
      </c>
      <c r="W2092">
        <v>0</v>
      </c>
      <c r="X2092">
        <v>1</v>
      </c>
      <c r="Z2092">
        <v>0</v>
      </c>
      <c r="AA2092">
        <v>9</v>
      </c>
      <c r="AB2092">
        <v>3</v>
      </c>
      <c r="AC2092">
        <v>0</v>
      </c>
      <c r="AD2092">
        <v>9</v>
      </c>
      <c r="AE2092">
        <v>0</v>
      </c>
      <c r="AF2092">
        <v>3</v>
      </c>
      <c r="AG2092">
        <v>1</v>
      </c>
      <c r="AH2092">
        <v>0</v>
      </c>
      <c r="AI2092" t="s">
        <v>766</v>
      </c>
      <c r="AJ2092">
        <v>34.168961000000003</v>
      </c>
      <c r="AK2092" t="s">
        <v>767</v>
      </c>
      <c r="AL2092">
        <v>-117.028491</v>
      </c>
      <c r="AM2092">
        <v>100</v>
      </c>
      <c r="AN2092">
        <v>7800</v>
      </c>
      <c r="AO2092" t="s">
        <v>118</v>
      </c>
      <c r="AP2092">
        <v>-89</v>
      </c>
      <c r="AQ2092">
        <v>-82</v>
      </c>
      <c r="AR2092">
        <v>-640</v>
      </c>
      <c r="AZ2092">
        <v>1200</v>
      </c>
      <c r="BA2092">
        <v>1</v>
      </c>
      <c r="BB2092" t="str">
        <f t="shared" si="1132"/>
        <v xml:space="preserve">N9217B  </v>
      </c>
      <c r="BC2092">
        <v>1</v>
      </c>
      <c r="BE2092">
        <v>0</v>
      </c>
      <c r="BF2092">
        <v>0</v>
      </c>
      <c r="BG2092">
        <v>0</v>
      </c>
      <c r="BH2092">
        <v>7800</v>
      </c>
      <c r="BI2092">
        <v>1</v>
      </c>
      <c r="BJ2092">
        <v>0</v>
      </c>
      <c r="BK2092">
        <v>0</v>
      </c>
      <c r="BL2092">
        <v>0</v>
      </c>
      <c r="BO2092">
        <v>0</v>
      </c>
      <c r="BP2092">
        <v>0</v>
      </c>
      <c r="BW2092" t="str">
        <f t="shared" si="1152"/>
        <v>14:54:12.607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6</v>
      </c>
      <c r="CP2092" t="s">
        <v>119</v>
      </c>
      <c r="CQ2092">
        <v>285</v>
      </c>
      <c r="CR2092">
        <v>0</v>
      </c>
      <c r="CW2092">
        <v>8861537</v>
      </c>
      <c r="CY2092">
        <v>0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25">
      <c r="A2093" t="str">
        <f t="shared" ref="A2093:A2099" si="1153">"06/05/2020 14:54:07.941"</f>
        <v>06/05/2020 14:54:07.941</v>
      </c>
      <c r="C2093" t="str">
        <f t="shared" si="1148"/>
        <v>FFDFD3C0</v>
      </c>
      <c r="D2093" t="s">
        <v>148</v>
      </c>
      <c r="E2093">
        <v>11</v>
      </c>
      <c r="H2093">
        <v>53</v>
      </c>
      <c r="I2093" t="s">
        <v>364</v>
      </c>
      <c r="J2093" t="s">
        <v>150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ref="S2093:T2099" si="1154">"14:54:13.594"</f>
        <v>14:54:13.594</v>
      </c>
      <c r="T2093" t="str">
        <f t="shared" si="1154"/>
        <v>14:54:13.594</v>
      </c>
      <c r="U2093" t="str">
        <f t="shared" si="1128"/>
        <v>ACC530</v>
      </c>
      <c r="V2093">
        <v>0</v>
      </c>
      <c r="W2093">
        <v>0</v>
      </c>
      <c r="X2093">
        <v>1</v>
      </c>
      <c r="Z2093">
        <v>0</v>
      </c>
      <c r="AA2093">
        <v>9</v>
      </c>
      <c r="AB2093">
        <v>3</v>
      </c>
      <c r="AC2093">
        <v>0</v>
      </c>
      <c r="AD2093">
        <v>9</v>
      </c>
      <c r="AE2093">
        <v>0</v>
      </c>
      <c r="AF2093">
        <v>3</v>
      </c>
      <c r="AG2093">
        <v>1</v>
      </c>
      <c r="AH2093">
        <v>0</v>
      </c>
      <c r="AI2093" t="s">
        <v>768</v>
      </c>
      <c r="AJ2093">
        <v>34.168574999999997</v>
      </c>
      <c r="AK2093" t="s">
        <v>769</v>
      </c>
      <c r="AL2093">
        <v>-117.028942</v>
      </c>
      <c r="AM2093">
        <v>100</v>
      </c>
      <c r="AN2093">
        <v>7800</v>
      </c>
      <c r="AO2093" t="s">
        <v>118</v>
      </c>
      <c r="AP2093">
        <v>-89</v>
      </c>
      <c r="AQ2093">
        <v>-82</v>
      </c>
      <c r="AR2093">
        <v>-640</v>
      </c>
      <c r="AZ2093">
        <v>1200</v>
      </c>
      <c r="BA2093">
        <v>1</v>
      </c>
      <c r="BB2093" t="str">
        <f t="shared" si="1132"/>
        <v xml:space="preserve">N9217B  </v>
      </c>
      <c r="BC2093">
        <v>1</v>
      </c>
      <c r="BE2093">
        <v>0</v>
      </c>
      <c r="BF2093">
        <v>0</v>
      </c>
      <c r="BG2093">
        <v>0</v>
      </c>
      <c r="BH2093">
        <v>7775</v>
      </c>
      <c r="BI2093">
        <v>1</v>
      </c>
      <c r="BJ2093">
        <v>0</v>
      </c>
      <c r="BK2093">
        <v>0</v>
      </c>
      <c r="BL2093">
        <v>0</v>
      </c>
      <c r="BO2093">
        <v>0</v>
      </c>
      <c r="BP2093">
        <v>0</v>
      </c>
      <c r="BW2093" t="str">
        <f t="shared" ref="BW2093:BW2099" si="1155">"14:54:13.597"</f>
        <v>14:54:13.597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285</v>
      </c>
      <c r="CR2093">
        <v>0</v>
      </c>
      <c r="CW2093">
        <v>8861624</v>
      </c>
      <c r="CY2093">
        <v>0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25">
      <c r="A2094" t="str">
        <f t="shared" si="1153"/>
        <v>06/05/2020 14:54:07.941</v>
      </c>
      <c r="C2094" t="str">
        <f t="shared" si="1148"/>
        <v>FFDFD3C0</v>
      </c>
      <c r="D2094" t="s">
        <v>113</v>
      </c>
      <c r="E2094">
        <v>3</v>
      </c>
      <c r="H2094">
        <v>166</v>
      </c>
      <c r="I2094" t="s">
        <v>114</v>
      </c>
      <c r="J2094" t="s">
        <v>115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154"/>
        <v>14:54:13.594</v>
      </c>
      <c r="T2094" t="str">
        <f t="shared" si="1154"/>
        <v>14:54:13.594</v>
      </c>
      <c r="U2094" t="str">
        <f t="shared" si="1128"/>
        <v>ACC530</v>
      </c>
      <c r="V2094">
        <v>0</v>
      </c>
      <c r="W2094">
        <v>0</v>
      </c>
      <c r="X2094">
        <v>1</v>
      </c>
      <c r="Z2094">
        <v>0</v>
      </c>
      <c r="AA2094">
        <v>9</v>
      </c>
      <c r="AB2094">
        <v>3</v>
      </c>
      <c r="AC2094">
        <v>0</v>
      </c>
      <c r="AD2094">
        <v>9</v>
      </c>
      <c r="AE2094">
        <v>0</v>
      </c>
      <c r="AF2094">
        <v>3</v>
      </c>
      <c r="AG2094">
        <v>1</v>
      </c>
      <c r="AH2094">
        <v>0</v>
      </c>
      <c r="AI2094" t="s">
        <v>768</v>
      </c>
      <c r="AJ2094">
        <v>34.168574999999997</v>
      </c>
      <c r="AK2094" t="s">
        <v>769</v>
      </c>
      <c r="AL2094">
        <v>-117.028942</v>
      </c>
      <c r="AM2094">
        <v>100</v>
      </c>
      <c r="AN2094">
        <v>7800</v>
      </c>
      <c r="AO2094" t="s">
        <v>118</v>
      </c>
      <c r="AP2094">
        <v>-89</v>
      </c>
      <c r="AQ2094">
        <v>-82</v>
      </c>
      <c r="AR2094">
        <v>-640</v>
      </c>
      <c r="AZ2094">
        <v>1200</v>
      </c>
      <c r="BA2094">
        <v>1</v>
      </c>
      <c r="BB2094" t="str">
        <f t="shared" si="1132"/>
        <v xml:space="preserve">N9217B  </v>
      </c>
      <c r="BC2094">
        <v>1</v>
      </c>
      <c r="BE2094">
        <v>0</v>
      </c>
      <c r="BF2094">
        <v>0</v>
      </c>
      <c r="BG2094">
        <v>0</v>
      </c>
      <c r="BH2094">
        <v>7775</v>
      </c>
      <c r="BI2094">
        <v>1</v>
      </c>
      <c r="BJ2094">
        <v>0</v>
      </c>
      <c r="BK2094">
        <v>0</v>
      </c>
      <c r="BL2094">
        <v>0</v>
      </c>
      <c r="BO2094">
        <v>0</v>
      </c>
      <c r="BP2094">
        <v>0</v>
      </c>
      <c r="BW2094" t="str">
        <f t="shared" si="1155"/>
        <v>14:54:13.597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285</v>
      </c>
      <c r="CR2094">
        <v>0</v>
      </c>
      <c r="CW2094">
        <v>8861624</v>
      </c>
      <c r="CY2094">
        <v>0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25">
      <c r="A2095" t="str">
        <f t="shared" si="1153"/>
        <v>06/05/2020 14:54:07.941</v>
      </c>
      <c r="C2095" t="str">
        <f t="shared" si="1148"/>
        <v>FFDFD3C0</v>
      </c>
      <c r="D2095" t="s">
        <v>151</v>
      </c>
      <c r="E2095">
        <v>8</v>
      </c>
      <c r="H2095">
        <v>225</v>
      </c>
      <c r="I2095" t="s">
        <v>353</v>
      </c>
      <c r="J2095" t="s">
        <v>150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154"/>
        <v>14:54:13.594</v>
      </c>
      <c r="T2095" t="str">
        <f t="shared" si="1154"/>
        <v>14:54:13.594</v>
      </c>
      <c r="U2095" t="str">
        <f t="shared" si="1128"/>
        <v>ACC530</v>
      </c>
      <c r="V2095">
        <v>0</v>
      </c>
      <c r="W2095">
        <v>0</v>
      </c>
      <c r="X2095">
        <v>1</v>
      </c>
      <c r="Z2095">
        <v>0</v>
      </c>
      <c r="AA2095">
        <v>9</v>
      </c>
      <c r="AB2095">
        <v>3</v>
      </c>
      <c r="AC2095">
        <v>0</v>
      </c>
      <c r="AD2095">
        <v>9</v>
      </c>
      <c r="AE2095">
        <v>0</v>
      </c>
      <c r="AF2095">
        <v>3</v>
      </c>
      <c r="AG2095">
        <v>1</v>
      </c>
      <c r="AH2095">
        <v>0</v>
      </c>
      <c r="AI2095" t="s">
        <v>768</v>
      </c>
      <c r="AJ2095">
        <v>34.168574999999997</v>
      </c>
      <c r="AK2095" t="s">
        <v>769</v>
      </c>
      <c r="AL2095">
        <v>-117.028942</v>
      </c>
      <c r="AM2095">
        <v>100</v>
      </c>
      <c r="AN2095">
        <v>7800</v>
      </c>
      <c r="AO2095" t="s">
        <v>118</v>
      </c>
      <c r="AP2095">
        <v>-89</v>
      </c>
      <c r="AQ2095">
        <v>-82</v>
      </c>
      <c r="AR2095">
        <v>-640</v>
      </c>
      <c r="AZ2095">
        <v>1200</v>
      </c>
      <c r="BA2095">
        <v>1</v>
      </c>
      <c r="BB2095" t="str">
        <f t="shared" si="1132"/>
        <v xml:space="preserve">N9217B  </v>
      </c>
      <c r="BC2095">
        <v>1</v>
      </c>
      <c r="BE2095">
        <v>0</v>
      </c>
      <c r="BF2095">
        <v>0</v>
      </c>
      <c r="BG2095">
        <v>0</v>
      </c>
      <c r="BH2095">
        <v>7775</v>
      </c>
      <c r="BI2095">
        <v>1</v>
      </c>
      <c r="BJ2095">
        <v>0</v>
      </c>
      <c r="BK2095">
        <v>0</v>
      </c>
      <c r="BL2095">
        <v>0</v>
      </c>
      <c r="BO2095">
        <v>0</v>
      </c>
      <c r="BP2095">
        <v>0</v>
      </c>
      <c r="BW2095" t="str">
        <f t="shared" si="1155"/>
        <v>14:54:13.597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285</v>
      </c>
      <c r="CR2095">
        <v>0</v>
      </c>
      <c r="CW2095">
        <v>8861624</v>
      </c>
      <c r="CY2095">
        <v>0</v>
      </c>
      <c r="CZ2095">
        <v>0</v>
      </c>
      <c r="DA2095">
        <v>1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25">
      <c r="A2096" t="str">
        <f t="shared" si="1153"/>
        <v>06/05/2020 14:54:07.941</v>
      </c>
      <c r="C2096" t="str">
        <f t="shared" si="1148"/>
        <v>FFDFD3C0</v>
      </c>
      <c r="D2096" t="s">
        <v>134</v>
      </c>
      <c r="E2096">
        <v>7</v>
      </c>
      <c r="F2096">
        <v>2007</v>
      </c>
      <c r="G2096" t="s">
        <v>135</v>
      </c>
      <c r="J2096" t="s">
        <v>136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154"/>
        <v>14:54:13.594</v>
      </c>
      <c r="T2096" t="str">
        <f t="shared" si="1154"/>
        <v>14:54:13.594</v>
      </c>
      <c r="U2096" t="str">
        <f t="shared" si="1128"/>
        <v>ACC530</v>
      </c>
      <c r="V2096">
        <v>0</v>
      </c>
      <c r="W2096">
        <v>0</v>
      </c>
      <c r="X2096">
        <v>1</v>
      </c>
      <c r="Z2096">
        <v>0</v>
      </c>
      <c r="AA2096">
        <v>9</v>
      </c>
      <c r="AB2096">
        <v>3</v>
      </c>
      <c r="AC2096">
        <v>0</v>
      </c>
      <c r="AD2096">
        <v>9</v>
      </c>
      <c r="AE2096">
        <v>0</v>
      </c>
      <c r="AF2096">
        <v>3</v>
      </c>
      <c r="AG2096">
        <v>1</v>
      </c>
      <c r="AH2096">
        <v>0</v>
      </c>
      <c r="AI2096" t="s">
        <v>768</v>
      </c>
      <c r="AJ2096">
        <v>34.168574999999997</v>
      </c>
      <c r="AK2096" t="s">
        <v>769</v>
      </c>
      <c r="AL2096">
        <v>-117.028942</v>
      </c>
      <c r="AM2096">
        <v>100</v>
      </c>
      <c r="AN2096">
        <v>7800</v>
      </c>
      <c r="AO2096" t="s">
        <v>118</v>
      </c>
      <c r="AP2096">
        <v>-89</v>
      </c>
      <c r="AQ2096">
        <v>-82</v>
      </c>
      <c r="AR2096">
        <v>-640</v>
      </c>
      <c r="AZ2096">
        <v>1200</v>
      </c>
      <c r="BA2096">
        <v>1</v>
      </c>
      <c r="BB2096" t="str">
        <f t="shared" si="1132"/>
        <v xml:space="preserve">N9217B  </v>
      </c>
      <c r="BC2096">
        <v>1</v>
      </c>
      <c r="BE2096">
        <v>0</v>
      </c>
      <c r="BF2096">
        <v>0</v>
      </c>
      <c r="BG2096">
        <v>0</v>
      </c>
      <c r="BH2096">
        <v>7775</v>
      </c>
      <c r="BI2096">
        <v>1</v>
      </c>
      <c r="BJ2096">
        <v>0</v>
      </c>
      <c r="BK2096">
        <v>0</v>
      </c>
      <c r="BL2096">
        <v>0</v>
      </c>
      <c r="BO2096">
        <v>0</v>
      </c>
      <c r="BP2096">
        <v>0</v>
      </c>
      <c r="BW2096" t="str">
        <f t="shared" si="1155"/>
        <v>14:54:13.597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285</v>
      </c>
      <c r="CR2096">
        <v>0</v>
      </c>
      <c r="CW2096">
        <v>8861624</v>
      </c>
      <c r="CY2096">
        <v>0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25">
      <c r="A2097" t="str">
        <f t="shared" si="1153"/>
        <v>06/05/2020 14:54:07.941</v>
      </c>
      <c r="C2097" t="str">
        <f t="shared" si="1148"/>
        <v>FFDFD3C0</v>
      </c>
      <c r="D2097" t="s">
        <v>148</v>
      </c>
      <c r="E2097">
        <v>8</v>
      </c>
      <c r="H2097">
        <v>50</v>
      </c>
      <c r="I2097" t="s">
        <v>149</v>
      </c>
      <c r="J2097" t="s">
        <v>150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154"/>
        <v>14:54:13.594</v>
      </c>
      <c r="T2097" t="str">
        <f t="shared" si="1154"/>
        <v>14:54:13.594</v>
      </c>
      <c r="U2097" t="str">
        <f t="shared" si="1128"/>
        <v>ACC530</v>
      </c>
      <c r="V2097">
        <v>0</v>
      </c>
      <c r="W2097">
        <v>0</v>
      </c>
      <c r="X2097">
        <v>1</v>
      </c>
      <c r="Z2097">
        <v>0</v>
      </c>
      <c r="AA2097">
        <v>9</v>
      </c>
      <c r="AB2097">
        <v>3</v>
      </c>
      <c r="AC2097">
        <v>0</v>
      </c>
      <c r="AD2097">
        <v>9</v>
      </c>
      <c r="AE2097">
        <v>0</v>
      </c>
      <c r="AF2097">
        <v>3</v>
      </c>
      <c r="AG2097">
        <v>1</v>
      </c>
      <c r="AH2097">
        <v>0</v>
      </c>
      <c r="AI2097" t="s">
        <v>768</v>
      </c>
      <c r="AJ2097">
        <v>34.168574999999997</v>
      </c>
      <c r="AK2097" t="s">
        <v>769</v>
      </c>
      <c r="AL2097">
        <v>-117.028942</v>
      </c>
      <c r="AM2097">
        <v>100</v>
      </c>
      <c r="AN2097">
        <v>7800</v>
      </c>
      <c r="AO2097" t="s">
        <v>118</v>
      </c>
      <c r="AP2097">
        <v>-89</v>
      </c>
      <c r="AQ2097">
        <v>-82</v>
      </c>
      <c r="AR2097">
        <v>-640</v>
      </c>
      <c r="AZ2097">
        <v>1200</v>
      </c>
      <c r="BA2097">
        <v>1</v>
      </c>
      <c r="BB2097" t="str">
        <f t="shared" si="1132"/>
        <v xml:space="preserve">N9217B  </v>
      </c>
      <c r="BC2097">
        <v>1</v>
      </c>
      <c r="BE2097">
        <v>0</v>
      </c>
      <c r="BF2097">
        <v>0</v>
      </c>
      <c r="BG2097">
        <v>0</v>
      </c>
      <c r="BH2097">
        <v>7775</v>
      </c>
      <c r="BI2097">
        <v>1</v>
      </c>
      <c r="BJ2097">
        <v>0</v>
      </c>
      <c r="BK2097">
        <v>0</v>
      </c>
      <c r="BL2097">
        <v>0</v>
      </c>
      <c r="BO2097">
        <v>0</v>
      </c>
      <c r="BP2097">
        <v>0</v>
      </c>
      <c r="BW2097" t="str">
        <f t="shared" si="1155"/>
        <v>14:54:13.597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285</v>
      </c>
      <c r="CR2097">
        <v>0</v>
      </c>
      <c r="CW2097">
        <v>8861624</v>
      </c>
      <c r="CY2097">
        <v>0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25">
      <c r="A2098" t="str">
        <f t="shared" si="1153"/>
        <v>06/05/2020 14:54:07.941</v>
      </c>
      <c r="C2098" t="str">
        <f t="shared" si="1148"/>
        <v>FFDFD3C0</v>
      </c>
      <c r="D2098" t="s">
        <v>151</v>
      </c>
      <c r="E2098">
        <v>9</v>
      </c>
      <c r="H2098">
        <v>226</v>
      </c>
      <c r="I2098" t="s">
        <v>152</v>
      </c>
      <c r="J2098" t="s">
        <v>150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154"/>
        <v>14:54:13.594</v>
      </c>
      <c r="T2098" t="str">
        <f t="shared" si="1154"/>
        <v>14:54:13.594</v>
      </c>
      <c r="U2098" t="str">
        <f t="shared" si="1128"/>
        <v>ACC530</v>
      </c>
      <c r="V2098">
        <v>0</v>
      </c>
      <c r="W2098">
        <v>0</v>
      </c>
      <c r="X2098">
        <v>1</v>
      </c>
      <c r="Z2098">
        <v>0</v>
      </c>
      <c r="AA2098">
        <v>9</v>
      </c>
      <c r="AB2098">
        <v>3</v>
      </c>
      <c r="AC2098">
        <v>0</v>
      </c>
      <c r="AD2098">
        <v>9</v>
      </c>
      <c r="AE2098">
        <v>0</v>
      </c>
      <c r="AF2098">
        <v>3</v>
      </c>
      <c r="AG2098">
        <v>1</v>
      </c>
      <c r="AH2098">
        <v>0</v>
      </c>
      <c r="AI2098" t="s">
        <v>768</v>
      </c>
      <c r="AJ2098">
        <v>34.168574999999997</v>
      </c>
      <c r="AK2098" t="s">
        <v>769</v>
      </c>
      <c r="AL2098">
        <v>-117.028942</v>
      </c>
      <c r="AM2098">
        <v>100</v>
      </c>
      <c r="AN2098">
        <v>7800</v>
      </c>
      <c r="AO2098" t="s">
        <v>118</v>
      </c>
      <c r="AP2098">
        <v>-89</v>
      </c>
      <c r="AQ2098">
        <v>-82</v>
      </c>
      <c r="AR2098">
        <v>-640</v>
      </c>
      <c r="AZ2098">
        <v>1200</v>
      </c>
      <c r="BA2098">
        <v>1</v>
      </c>
      <c r="BB2098" t="str">
        <f t="shared" si="1132"/>
        <v xml:space="preserve">N9217B  </v>
      </c>
      <c r="BC2098">
        <v>1</v>
      </c>
      <c r="BE2098">
        <v>0</v>
      </c>
      <c r="BF2098">
        <v>0</v>
      </c>
      <c r="BG2098">
        <v>0</v>
      </c>
      <c r="BH2098">
        <v>7775</v>
      </c>
      <c r="BI2098">
        <v>1</v>
      </c>
      <c r="BJ2098">
        <v>0</v>
      </c>
      <c r="BK2098">
        <v>0</v>
      </c>
      <c r="BL2098">
        <v>0</v>
      </c>
      <c r="BO2098">
        <v>0</v>
      </c>
      <c r="BP2098">
        <v>0</v>
      </c>
      <c r="BW2098" t="str">
        <f t="shared" si="1155"/>
        <v>14:54:13.597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285</v>
      </c>
      <c r="CR2098">
        <v>0</v>
      </c>
      <c r="CW2098">
        <v>8861624</v>
      </c>
      <c r="CY2098">
        <v>0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25">
      <c r="A2099" t="str">
        <f t="shared" si="1153"/>
        <v>06/05/2020 14:54:07.941</v>
      </c>
      <c r="C2099" t="str">
        <f t="shared" si="1148"/>
        <v>FFDFD3C0</v>
      </c>
      <c r="D2099" t="s">
        <v>141</v>
      </c>
      <c r="E2099">
        <v>20</v>
      </c>
      <c r="F2099">
        <v>1020</v>
      </c>
      <c r="G2099" t="s">
        <v>114</v>
      </c>
      <c r="J2099" t="s">
        <v>142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1154"/>
        <v>14:54:13.594</v>
      </c>
      <c r="T2099" t="str">
        <f t="shared" si="1154"/>
        <v>14:54:13.594</v>
      </c>
      <c r="U2099" t="str">
        <f t="shared" si="1128"/>
        <v>ACC530</v>
      </c>
      <c r="V2099">
        <v>0</v>
      </c>
      <c r="W2099">
        <v>0</v>
      </c>
      <c r="X2099">
        <v>1</v>
      </c>
      <c r="Z2099">
        <v>0</v>
      </c>
      <c r="AA2099">
        <v>9</v>
      </c>
      <c r="AB2099">
        <v>3</v>
      </c>
      <c r="AC2099">
        <v>0</v>
      </c>
      <c r="AD2099">
        <v>9</v>
      </c>
      <c r="AE2099">
        <v>0</v>
      </c>
      <c r="AF2099">
        <v>3</v>
      </c>
      <c r="AG2099">
        <v>1</v>
      </c>
      <c r="AH2099">
        <v>0</v>
      </c>
      <c r="AI2099" t="s">
        <v>768</v>
      </c>
      <c r="AJ2099">
        <v>34.168574999999997</v>
      </c>
      <c r="AK2099" t="s">
        <v>769</v>
      </c>
      <c r="AL2099">
        <v>-117.028942</v>
      </c>
      <c r="AM2099">
        <v>100</v>
      </c>
      <c r="AN2099">
        <v>7800</v>
      </c>
      <c r="AO2099" t="s">
        <v>118</v>
      </c>
      <c r="AP2099">
        <v>-89</v>
      </c>
      <c r="AQ2099">
        <v>-82</v>
      </c>
      <c r="AR2099">
        <v>-640</v>
      </c>
      <c r="AZ2099">
        <v>1200</v>
      </c>
      <c r="BA2099">
        <v>1</v>
      </c>
      <c r="BB2099" t="str">
        <f t="shared" si="1132"/>
        <v xml:space="preserve">N9217B  </v>
      </c>
      <c r="BC2099">
        <v>1</v>
      </c>
      <c r="BE2099">
        <v>0</v>
      </c>
      <c r="BF2099">
        <v>0</v>
      </c>
      <c r="BG2099">
        <v>0</v>
      </c>
      <c r="BH2099">
        <v>7775</v>
      </c>
      <c r="BI2099">
        <v>1</v>
      </c>
      <c r="BJ2099">
        <v>0</v>
      </c>
      <c r="BK2099">
        <v>0</v>
      </c>
      <c r="BL2099">
        <v>0</v>
      </c>
      <c r="BO2099">
        <v>0</v>
      </c>
      <c r="BP2099">
        <v>0</v>
      </c>
      <c r="BW2099" t="str">
        <f t="shared" si="1155"/>
        <v>14:54:13.597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285</v>
      </c>
      <c r="CR2099">
        <v>0</v>
      </c>
      <c r="CW2099">
        <v>8861624</v>
      </c>
      <c r="CY2099">
        <v>0</v>
      </c>
      <c r="CZ2099">
        <v>0</v>
      </c>
      <c r="DA2099">
        <v>1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25">
      <c r="A2100" t="str">
        <f t="shared" ref="A2100:A2106" si="1156">"06/05/2020 14:54:08.853"</f>
        <v>06/05/2020 14:54:08.853</v>
      </c>
      <c r="C2100" t="str">
        <f t="shared" si="1148"/>
        <v>FFDFD3C0</v>
      </c>
      <c r="D2100" t="s">
        <v>148</v>
      </c>
      <c r="E2100">
        <v>11</v>
      </c>
      <c r="H2100">
        <v>53</v>
      </c>
      <c r="I2100" t="s">
        <v>364</v>
      </c>
      <c r="J2100" t="s">
        <v>150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ref="S2100:T2106" si="1157">"14:54:14.492"</f>
        <v>14:54:14.492</v>
      </c>
      <c r="T2100" t="str">
        <f t="shared" si="1157"/>
        <v>14:54:14.492</v>
      </c>
      <c r="U2100" t="str">
        <f t="shared" si="1128"/>
        <v>ACC530</v>
      </c>
      <c r="V2100">
        <v>0</v>
      </c>
      <c r="W2100">
        <v>0</v>
      </c>
      <c r="X2100">
        <v>1</v>
      </c>
      <c r="Z2100">
        <v>0</v>
      </c>
      <c r="AA2100">
        <v>9</v>
      </c>
      <c r="AB2100">
        <v>3</v>
      </c>
      <c r="AC2100">
        <v>0</v>
      </c>
      <c r="AD2100">
        <v>9</v>
      </c>
      <c r="AE2100">
        <v>0</v>
      </c>
      <c r="AF2100">
        <v>3</v>
      </c>
      <c r="AG2100">
        <v>1</v>
      </c>
      <c r="AH2100">
        <v>0</v>
      </c>
      <c r="AI2100" t="s">
        <v>770</v>
      </c>
      <c r="AJ2100">
        <v>34.168253</v>
      </c>
      <c r="AK2100" t="s">
        <v>771</v>
      </c>
      <c r="AL2100">
        <v>-117.029393</v>
      </c>
      <c r="AM2100">
        <v>100</v>
      </c>
      <c r="AN2100">
        <v>7800</v>
      </c>
      <c r="AO2100" t="s">
        <v>118</v>
      </c>
      <c r="AP2100">
        <v>-89</v>
      </c>
      <c r="AQ2100">
        <v>-81</v>
      </c>
      <c r="AR2100">
        <v>-576</v>
      </c>
      <c r="AZ2100">
        <v>1200</v>
      </c>
      <c r="BA2100">
        <v>1</v>
      </c>
      <c r="BB2100" t="str">
        <f t="shared" si="1132"/>
        <v xml:space="preserve">N9217B  </v>
      </c>
      <c r="BC2100">
        <v>1</v>
      </c>
      <c r="BE2100">
        <v>0</v>
      </c>
      <c r="BF2100">
        <v>0</v>
      </c>
      <c r="BG2100">
        <v>0</v>
      </c>
      <c r="BH2100">
        <v>7775</v>
      </c>
      <c r="BI2100">
        <v>1</v>
      </c>
      <c r="BJ2100">
        <v>0</v>
      </c>
      <c r="BK2100">
        <v>0</v>
      </c>
      <c r="BL2100">
        <v>0</v>
      </c>
      <c r="BO2100">
        <v>0</v>
      </c>
      <c r="BP2100">
        <v>0</v>
      </c>
      <c r="BW2100" t="str">
        <f t="shared" ref="BW2100:BW2106" si="1158">"14:54:14.497"</f>
        <v>14:54:14.497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6</v>
      </c>
      <c r="CP2100" t="s">
        <v>119</v>
      </c>
      <c r="CQ2100">
        <v>285</v>
      </c>
      <c r="CR2100">
        <v>0</v>
      </c>
      <c r="CW2100">
        <v>8861704</v>
      </c>
      <c r="CY2100">
        <v>0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25">
      <c r="A2101" t="str">
        <f t="shared" si="1156"/>
        <v>06/05/2020 14:54:08.853</v>
      </c>
      <c r="C2101" t="str">
        <f t="shared" si="1148"/>
        <v>FFDFD3C0</v>
      </c>
      <c r="D2101" t="s">
        <v>113</v>
      </c>
      <c r="E2101">
        <v>3</v>
      </c>
      <c r="H2101">
        <v>166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157"/>
        <v>14:54:14.492</v>
      </c>
      <c r="T2101" t="str">
        <f t="shared" si="1157"/>
        <v>14:54:14.492</v>
      </c>
      <c r="U2101" t="str">
        <f t="shared" si="1128"/>
        <v>ACC530</v>
      </c>
      <c r="V2101">
        <v>0</v>
      </c>
      <c r="W2101">
        <v>0</v>
      </c>
      <c r="X2101">
        <v>1</v>
      </c>
      <c r="Z2101">
        <v>0</v>
      </c>
      <c r="AA2101">
        <v>9</v>
      </c>
      <c r="AB2101">
        <v>3</v>
      </c>
      <c r="AC2101">
        <v>0</v>
      </c>
      <c r="AD2101">
        <v>9</v>
      </c>
      <c r="AE2101">
        <v>0</v>
      </c>
      <c r="AF2101">
        <v>3</v>
      </c>
      <c r="AG2101">
        <v>1</v>
      </c>
      <c r="AH2101">
        <v>0</v>
      </c>
      <c r="AI2101" t="s">
        <v>770</v>
      </c>
      <c r="AJ2101">
        <v>34.168253</v>
      </c>
      <c r="AK2101" t="s">
        <v>771</v>
      </c>
      <c r="AL2101">
        <v>-117.029393</v>
      </c>
      <c r="AM2101">
        <v>100</v>
      </c>
      <c r="AN2101">
        <v>7800</v>
      </c>
      <c r="AO2101" t="s">
        <v>118</v>
      </c>
      <c r="AP2101">
        <v>-89</v>
      </c>
      <c r="AQ2101">
        <v>-81</v>
      </c>
      <c r="AR2101">
        <v>-576</v>
      </c>
      <c r="AZ2101">
        <v>1200</v>
      </c>
      <c r="BA2101">
        <v>1</v>
      </c>
      <c r="BB2101" t="str">
        <f t="shared" si="1132"/>
        <v xml:space="preserve">N9217B  </v>
      </c>
      <c r="BC2101">
        <v>1</v>
      </c>
      <c r="BE2101">
        <v>0</v>
      </c>
      <c r="BF2101">
        <v>0</v>
      </c>
      <c r="BG2101">
        <v>0</v>
      </c>
      <c r="BH2101">
        <v>7775</v>
      </c>
      <c r="BI2101">
        <v>1</v>
      </c>
      <c r="BJ2101">
        <v>0</v>
      </c>
      <c r="BK2101">
        <v>0</v>
      </c>
      <c r="BL2101">
        <v>0</v>
      </c>
      <c r="BO2101">
        <v>0</v>
      </c>
      <c r="BP2101">
        <v>0</v>
      </c>
      <c r="BW2101" t="str">
        <f t="shared" si="1158"/>
        <v>14:54:14.497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6</v>
      </c>
      <c r="CP2101" t="s">
        <v>119</v>
      </c>
      <c r="CQ2101">
        <v>285</v>
      </c>
      <c r="CR2101">
        <v>0</v>
      </c>
      <c r="CW2101">
        <v>8861704</v>
      </c>
      <c r="CY2101">
        <v>0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25">
      <c r="A2102" t="str">
        <f t="shared" si="1156"/>
        <v>06/05/2020 14:54:08.853</v>
      </c>
      <c r="C2102" t="str">
        <f t="shared" si="1148"/>
        <v>FFDFD3C0</v>
      </c>
      <c r="D2102" t="s">
        <v>151</v>
      </c>
      <c r="E2102">
        <v>8</v>
      </c>
      <c r="H2102">
        <v>225</v>
      </c>
      <c r="I2102" t="s">
        <v>353</v>
      </c>
      <c r="J2102" t="s">
        <v>150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157"/>
        <v>14:54:14.492</v>
      </c>
      <c r="T2102" t="str">
        <f t="shared" si="1157"/>
        <v>14:54:14.492</v>
      </c>
      <c r="U2102" t="str">
        <f t="shared" si="1128"/>
        <v>ACC530</v>
      </c>
      <c r="V2102">
        <v>0</v>
      </c>
      <c r="W2102">
        <v>0</v>
      </c>
      <c r="X2102">
        <v>1</v>
      </c>
      <c r="Z2102">
        <v>0</v>
      </c>
      <c r="AA2102">
        <v>9</v>
      </c>
      <c r="AB2102">
        <v>3</v>
      </c>
      <c r="AC2102">
        <v>0</v>
      </c>
      <c r="AD2102">
        <v>9</v>
      </c>
      <c r="AE2102">
        <v>0</v>
      </c>
      <c r="AF2102">
        <v>3</v>
      </c>
      <c r="AG2102">
        <v>1</v>
      </c>
      <c r="AH2102">
        <v>0</v>
      </c>
      <c r="AI2102" t="s">
        <v>770</v>
      </c>
      <c r="AJ2102">
        <v>34.168253</v>
      </c>
      <c r="AK2102" t="s">
        <v>771</v>
      </c>
      <c r="AL2102">
        <v>-117.029393</v>
      </c>
      <c r="AM2102">
        <v>100</v>
      </c>
      <c r="AN2102">
        <v>7800</v>
      </c>
      <c r="AO2102" t="s">
        <v>118</v>
      </c>
      <c r="AP2102">
        <v>-89</v>
      </c>
      <c r="AQ2102">
        <v>-81</v>
      </c>
      <c r="AR2102">
        <v>-576</v>
      </c>
      <c r="AZ2102">
        <v>1200</v>
      </c>
      <c r="BA2102">
        <v>1</v>
      </c>
      <c r="BB2102" t="str">
        <f t="shared" si="1132"/>
        <v xml:space="preserve">N9217B  </v>
      </c>
      <c r="BC2102">
        <v>1</v>
      </c>
      <c r="BE2102">
        <v>0</v>
      </c>
      <c r="BF2102">
        <v>0</v>
      </c>
      <c r="BG2102">
        <v>0</v>
      </c>
      <c r="BH2102">
        <v>7775</v>
      </c>
      <c r="BI2102">
        <v>1</v>
      </c>
      <c r="BJ2102">
        <v>0</v>
      </c>
      <c r="BK2102">
        <v>0</v>
      </c>
      <c r="BL2102">
        <v>0</v>
      </c>
      <c r="BO2102">
        <v>0</v>
      </c>
      <c r="BP2102">
        <v>0</v>
      </c>
      <c r="BW2102" t="str">
        <f t="shared" si="1158"/>
        <v>14:54:14.497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6</v>
      </c>
      <c r="CP2102" t="s">
        <v>119</v>
      </c>
      <c r="CQ2102">
        <v>285</v>
      </c>
      <c r="CR2102">
        <v>0</v>
      </c>
      <c r="CW2102">
        <v>8861704</v>
      </c>
      <c r="CY2102">
        <v>0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25">
      <c r="A2103" t="str">
        <f t="shared" si="1156"/>
        <v>06/05/2020 14:54:08.853</v>
      </c>
      <c r="C2103" t="str">
        <f t="shared" si="1148"/>
        <v>FFDFD3C0</v>
      </c>
      <c r="D2103" t="s">
        <v>134</v>
      </c>
      <c r="E2103">
        <v>7</v>
      </c>
      <c r="F2103">
        <v>2007</v>
      </c>
      <c r="G2103" t="s">
        <v>135</v>
      </c>
      <c r="J2103" t="s">
        <v>136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157"/>
        <v>14:54:14.492</v>
      </c>
      <c r="T2103" t="str">
        <f t="shared" si="1157"/>
        <v>14:54:14.492</v>
      </c>
      <c r="U2103" t="str">
        <f t="shared" si="1128"/>
        <v>ACC530</v>
      </c>
      <c r="V2103">
        <v>0</v>
      </c>
      <c r="W2103">
        <v>0</v>
      </c>
      <c r="X2103">
        <v>1</v>
      </c>
      <c r="Z2103">
        <v>0</v>
      </c>
      <c r="AA2103">
        <v>9</v>
      </c>
      <c r="AB2103">
        <v>3</v>
      </c>
      <c r="AC2103">
        <v>0</v>
      </c>
      <c r="AD2103">
        <v>9</v>
      </c>
      <c r="AE2103">
        <v>0</v>
      </c>
      <c r="AF2103">
        <v>3</v>
      </c>
      <c r="AG2103">
        <v>1</v>
      </c>
      <c r="AH2103">
        <v>0</v>
      </c>
      <c r="AI2103" t="s">
        <v>770</v>
      </c>
      <c r="AJ2103">
        <v>34.168253</v>
      </c>
      <c r="AK2103" t="s">
        <v>771</v>
      </c>
      <c r="AL2103">
        <v>-117.029393</v>
      </c>
      <c r="AM2103">
        <v>100</v>
      </c>
      <c r="AN2103">
        <v>7800</v>
      </c>
      <c r="AO2103" t="s">
        <v>118</v>
      </c>
      <c r="AP2103">
        <v>-89</v>
      </c>
      <c r="AQ2103">
        <v>-81</v>
      </c>
      <c r="AR2103">
        <v>-576</v>
      </c>
      <c r="AZ2103">
        <v>1200</v>
      </c>
      <c r="BA2103">
        <v>1</v>
      </c>
      <c r="BB2103" t="str">
        <f t="shared" si="1132"/>
        <v xml:space="preserve">N9217B  </v>
      </c>
      <c r="BC2103">
        <v>1</v>
      </c>
      <c r="BE2103">
        <v>0</v>
      </c>
      <c r="BF2103">
        <v>0</v>
      </c>
      <c r="BG2103">
        <v>0</v>
      </c>
      <c r="BH2103">
        <v>7775</v>
      </c>
      <c r="BI2103">
        <v>1</v>
      </c>
      <c r="BJ2103">
        <v>0</v>
      </c>
      <c r="BK2103">
        <v>0</v>
      </c>
      <c r="BL2103">
        <v>0</v>
      </c>
      <c r="BO2103">
        <v>0</v>
      </c>
      <c r="BP2103">
        <v>0</v>
      </c>
      <c r="BW2103" t="str">
        <f t="shared" si="1158"/>
        <v>14:54:14.497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6</v>
      </c>
      <c r="CP2103" t="s">
        <v>119</v>
      </c>
      <c r="CQ2103">
        <v>285</v>
      </c>
      <c r="CR2103">
        <v>0</v>
      </c>
      <c r="CW2103">
        <v>8861704</v>
      </c>
      <c r="CY2103">
        <v>0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25">
      <c r="A2104" t="str">
        <f t="shared" si="1156"/>
        <v>06/05/2020 14:54:08.853</v>
      </c>
      <c r="C2104" t="str">
        <f t="shared" si="1148"/>
        <v>FFDFD3C0</v>
      </c>
      <c r="D2104" t="s">
        <v>148</v>
      </c>
      <c r="E2104">
        <v>8</v>
      </c>
      <c r="H2104">
        <v>50</v>
      </c>
      <c r="I2104" t="s">
        <v>149</v>
      </c>
      <c r="J2104" t="s">
        <v>150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157"/>
        <v>14:54:14.492</v>
      </c>
      <c r="T2104" t="str">
        <f t="shared" si="1157"/>
        <v>14:54:14.492</v>
      </c>
      <c r="U2104" t="str">
        <f t="shared" si="1128"/>
        <v>ACC530</v>
      </c>
      <c r="V2104">
        <v>0</v>
      </c>
      <c r="W2104">
        <v>0</v>
      </c>
      <c r="X2104">
        <v>1</v>
      </c>
      <c r="Z2104">
        <v>0</v>
      </c>
      <c r="AA2104">
        <v>9</v>
      </c>
      <c r="AB2104">
        <v>3</v>
      </c>
      <c r="AC2104">
        <v>0</v>
      </c>
      <c r="AD2104">
        <v>9</v>
      </c>
      <c r="AE2104">
        <v>0</v>
      </c>
      <c r="AF2104">
        <v>3</v>
      </c>
      <c r="AG2104">
        <v>1</v>
      </c>
      <c r="AH2104">
        <v>0</v>
      </c>
      <c r="AI2104" t="s">
        <v>770</v>
      </c>
      <c r="AJ2104">
        <v>34.168253</v>
      </c>
      <c r="AK2104" t="s">
        <v>771</v>
      </c>
      <c r="AL2104">
        <v>-117.029393</v>
      </c>
      <c r="AM2104">
        <v>100</v>
      </c>
      <c r="AN2104">
        <v>7800</v>
      </c>
      <c r="AO2104" t="s">
        <v>118</v>
      </c>
      <c r="AP2104">
        <v>-89</v>
      </c>
      <c r="AQ2104">
        <v>-81</v>
      </c>
      <c r="AR2104">
        <v>-576</v>
      </c>
      <c r="AZ2104">
        <v>1200</v>
      </c>
      <c r="BA2104">
        <v>1</v>
      </c>
      <c r="BB2104" t="str">
        <f t="shared" si="1132"/>
        <v xml:space="preserve">N9217B  </v>
      </c>
      <c r="BC2104">
        <v>1</v>
      </c>
      <c r="BE2104">
        <v>0</v>
      </c>
      <c r="BF2104">
        <v>0</v>
      </c>
      <c r="BG2104">
        <v>0</v>
      </c>
      <c r="BH2104">
        <v>7775</v>
      </c>
      <c r="BI2104">
        <v>1</v>
      </c>
      <c r="BJ2104">
        <v>0</v>
      </c>
      <c r="BK2104">
        <v>0</v>
      </c>
      <c r="BL2104">
        <v>0</v>
      </c>
      <c r="BO2104">
        <v>0</v>
      </c>
      <c r="BP2104">
        <v>0</v>
      </c>
      <c r="BW2104" t="str">
        <f t="shared" si="1158"/>
        <v>14:54:14.497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6</v>
      </c>
      <c r="CP2104" t="s">
        <v>119</v>
      </c>
      <c r="CQ2104">
        <v>285</v>
      </c>
      <c r="CR2104">
        <v>0</v>
      </c>
      <c r="CW2104">
        <v>8861704</v>
      </c>
      <c r="CY2104">
        <v>0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25">
      <c r="A2105" t="str">
        <f t="shared" si="1156"/>
        <v>06/05/2020 14:54:08.853</v>
      </c>
      <c r="C2105" t="str">
        <f t="shared" si="1148"/>
        <v>FFDFD3C0</v>
      </c>
      <c r="D2105" t="s">
        <v>151</v>
      </c>
      <c r="E2105">
        <v>9</v>
      </c>
      <c r="H2105">
        <v>226</v>
      </c>
      <c r="I2105" t="s">
        <v>152</v>
      </c>
      <c r="J2105" t="s">
        <v>150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157"/>
        <v>14:54:14.492</v>
      </c>
      <c r="T2105" t="str">
        <f t="shared" si="1157"/>
        <v>14:54:14.492</v>
      </c>
      <c r="U2105" t="str">
        <f t="shared" si="1128"/>
        <v>ACC530</v>
      </c>
      <c r="V2105">
        <v>0</v>
      </c>
      <c r="W2105">
        <v>0</v>
      </c>
      <c r="X2105">
        <v>1</v>
      </c>
      <c r="Z2105">
        <v>0</v>
      </c>
      <c r="AA2105">
        <v>9</v>
      </c>
      <c r="AB2105">
        <v>3</v>
      </c>
      <c r="AC2105">
        <v>0</v>
      </c>
      <c r="AD2105">
        <v>9</v>
      </c>
      <c r="AE2105">
        <v>0</v>
      </c>
      <c r="AF2105">
        <v>3</v>
      </c>
      <c r="AG2105">
        <v>1</v>
      </c>
      <c r="AH2105">
        <v>0</v>
      </c>
      <c r="AI2105" t="s">
        <v>770</v>
      </c>
      <c r="AJ2105">
        <v>34.168253</v>
      </c>
      <c r="AK2105" t="s">
        <v>771</v>
      </c>
      <c r="AL2105">
        <v>-117.029393</v>
      </c>
      <c r="AM2105">
        <v>100</v>
      </c>
      <c r="AN2105">
        <v>7800</v>
      </c>
      <c r="AO2105" t="s">
        <v>118</v>
      </c>
      <c r="AP2105">
        <v>-89</v>
      </c>
      <c r="AQ2105">
        <v>-81</v>
      </c>
      <c r="AR2105">
        <v>-576</v>
      </c>
      <c r="AZ2105">
        <v>1200</v>
      </c>
      <c r="BA2105">
        <v>1</v>
      </c>
      <c r="BB2105" t="str">
        <f t="shared" si="1132"/>
        <v xml:space="preserve">N9217B  </v>
      </c>
      <c r="BC2105">
        <v>1</v>
      </c>
      <c r="BE2105">
        <v>0</v>
      </c>
      <c r="BF2105">
        <v>0</v>
      </c>
      <c r="BG2105">
        <v>0</v>
      </c>
      <c r="BH2105">
        <v>7775</v>
      </c>
      <c r="BI2105">
        <v>1</v>
      </c>
      <c r="BJ2105">
        <v>0</v>
      </c>
      <c r="BK2105">
        <v>0</v>
      </c>
      <c r="BL2105">
        <v>0</v>
      </c>
      <c r="BO2105">
        <v>0</v>
      </c>
      <c r="BP2105">
        <v>0</v>
      </c>
      <c r="BW2105" t="str">
        <f t="shared" si="1158"/>
        <v>14:54:14.497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285</v>
      </c>
      <c r="CR2105">
        <v>0</v>
      </c>
      <c r="CW2105">
        <v>8861704</v>
      </c>
      <c r="CY2105">
        <v>0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25">
      <c r="A2106" t="str">
        <f t="shared" si="1156"/>
        <v>06/05/2020 14:54:08.853</v>
      </c>
      <c r="C2106" t="str">
        <f t="shared" si="1148"/>
        <v>FFDFD3C0</v>
      </c>
      <c r="D2106" t="s">
        <v>141</v>
      </c>
      <c r="E2106">
        <v>20</v>
      </c>
      <c r="F2106">
        <v>1020</v>
      </c>
      <c r="G2106" t="s">
        <v>114</v>
      </c>
      <c r="J2106" t="s">
        <v>142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1157"/>
        <v>14:54:14.492</v>
      </c>
      <c r="T2106" t="str">
        <f t="shared" si="1157"/>
        <v>14:54:14.492</v>
      </c>
      <c r="U2106" t="str">
        <f t="shared" si="1128"/>
        <v>ACC530</v>
      </c>
      <c r="V2106">
        <v>0</v>
      </c>
      <c r="W2106">
        <v>0</v>
      </c>
      <c r="X2106">
        <v>1</v>
      </c>
      <c r="Z2106">
        <v>0</v>
      </c>
      <c r="AA2106">
        <v>9</v>
      </c>
      <c r="AB2106">
        <v>3</v>
      </c>
      <c r="AC2106">
        <v>0</v>
      </c>
      <c r="AD2106">
        <v>9</v>
      </c>
      <c r="AE2106">
        <v>0</v>
      </c>
      <c r="AF2106">
        <v>3</v>
      </c>
      <c r="AG2106">
        <v>1</v>
      </c>
      <c r="AH2106">
        <v>0</v>
      </c>
      <c r="AI2106" t="s">
        <v>770</v>
      </c>
      <c r="AJ2106">
        <v>34.168253</v>
      </c>
      <c r="AK2106" t="s">
        <v>771</v>
      </c>
      <c r="AL2106">
        <v>-117.029393</v>
      </c>
      <c r="AM2106">
        <v>100</v>
      </c>
      <c r="AN2106">
        <v>7800</v>
      </c>
      <c r="AO2106" t="s">
        <v>118</v>
      </c>
      <c r="AP2106">
        <v>-89</v>
      </c>
      <c r="AQ2106">
        <v>-81</v>
      </c>
      <c r="AR2106">
        <v>-576</v>
      </c>
      <c r="AZ2106">
        <v>1200</v>
      </c>
      <c r="BA2106">
        <v>1</v>
      </c>
      <c r="BB2106" t="str">
        <f t="shared" si="1132"/>
        <v xml:space="preserve">N9217B  </v>
      </c>
      <c r="BC2106">
        <v>1</v>
      </c>
      <c r="BE2106">
        <v>0</v>
      </c>
      <c r="BF2106">
        <v>0</v>
      </c>
      <c r="BG2106">
        <v>0</v>
      </c>
      <c r="BH2106">
        <v>7775</v>
      </c>
      <c r="BI2106">
        <v>1</v>
      </c>
      <c r="BJ2106">
        <v>0</v>
      </c>
      <c r="BK2106">
        <v>0</v>
      </c>
      <c r="BL2106">
        <v>0</v>
      </c>
      <c r="BO2106">
        <v>0</v>
      </c>
      <c r="BP2106">
        <v>0</v>
      </c>
      <c r="BW2106" t="str">
        <f t="shared" si="1158"/>
        <v>14:54:14.497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285</v>
      </c>
      <c r="CR2106">
        <v>0</v>
      </c>
      <c r="CW2106">
        <v>8861704</v>
      </c>
      <c r="CY2106">
        <v>0</v>
      </c>
      <c r="CZ2106">
        <v>0</v>
      </c>
      <c r="DA2106">
        <v>1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25">
      <c r="A2107" t="str">
        <f t="shared" ref="A2107:A2113" si="1159">"06/05/2020 14:54:09.863"</f>
        <v>06/05/2020 14:54:09.863</v>
      </c>
      <c r="C2107" t="str">
        <f t="shared" si="1148"/>
        <v>FFDFD3C0</v>
      </c>
      <c r="D2107" t="s">
        <v>113</v>
      </c>
      <c r="E2107">
        <v>3</v>
      </c>
      <c r="H2107">
        <v>166</v>
      </c>
      <c r="I2107" t="s">
        <v>114</v>
      </c>
      <c r="J2107" t="s">
        <v>115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ref="S2107:S2113" si="1160">"14:54:15.531"</f>
        <v>14:54:15.531</v>
      </c>
      <c r="T2107" t="str">
        <f t="shared" ref="T2107:T2113" si="1161">"14:54:15.031"</f>
        <v>14:54:15.031</v>
      </c>
      <c r="U2107" t="str">
        <f t="shared" si="1128"/>
        <v>ACC530</v>
      </c>
      <c r="V2107">
        <v>0</v>
      </c>
      <c r="W2107">
        <v>0</v>
      </c>
      <c r="X2107">
        <v>1</v>
      </c>
      <c r="Z2107">
        <v>0</v>
      </c>
      <c r="AA2107">
        <v>9</v>
      </c>
      <c r="AB2107">
        <v>3</v>
      </c>
      <c r="AC2107">
        <v>0</v>
      </c>
      <c r="AD2107">
        <v>9</v>
      </c>
      <c r="AE2107">
        <v>0</v>
      </c>
      <c r="AF2107">
        <v>3</v>
      </c>
      <c r="AG2107">
        <v>1</v>
      </c>
      <c r="AH2107">
        <v>0</v>
      </c>
      <c r="AI2107" t="s">
        <v>772</v>
      </c>
      <c r="AJ2107">
        <v>34.167845</v>
      </c>
      <c r="AK2107" t="s">
        <v>773</v>
      </c>
      <c r="AL2107">
        <v>-117.02990800000001</v>
      </c>
      <c r="AM2107">
        <v>100</v>
      </c>
      <c r="AN2107">
        <v>7800</v>
      </c>
      <c r="AO2107" t="s">
        <v>118</v>
      </c>
      <c r="AP2107">
        <v>-89</v>
      </c>
      <c r="AQ2107">
        <v>-81</v>
      </c>
      <c r="AR2107">
        <v>-640</v>
      </c>
      <c r="AZ2107">
        <v>1200</v>
      </c>
      <c r="BA2107">
        <v>1</v>
      </c>
      <c r="BB2107" t="str">
        <f t="shared" si="1132"/>
        <v xml:space="preserve">N9217B  </v>
      </c>
      <c r="BC2107">
        <v>1</v>
      </c>
      <c r="BE2107">
        <v>0</v>
      </c>
      <c r="BF2107">
        <v>0</v>
      </c>
      <c r="BG2107">
        <v>0</v>
      </c>
      <c r="BH2107">
        <v>7750</v>
      </c>
      <c r="BI2107">
        <v>1</v>
      </c>
      <c r="BJ2107">
        <v>0</v>
      </c>
      <c r="BK2107">
        <v>0</v>
      </c>
      <c r="BL2107">
        <v>0</v>
      </c>
      <c r="BO2107">
        <v>0</v>
      </c>
      <c r="BP2107">
        <v>0</v>
      </c>
      <c r="BW2107" t="str">
        <f t="shared" ref="BW2107:BW2113" si="1162">"14:54:15.532"</f>
        <v>14:54:15.532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285</v>
      </c>
      <c r="CR2107">
        <v>0</v>
      </c>
      <c r="CW2107">
        <v>8861799</v>
      </c>
      <c r="CY2107">
        <v>0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25">
      <c r="A2108" t="str">
        <f t="shared" si="1159"/>
        <v>06/05/2020 14:54:09.863</v>
      </c>
      <c r="C2108" t="str">
        <f t="shared" si="1148"/>
        <v>FFDFD3C0</v>
      </c>
      <c r="D2108" t="s">
        <v>148</v>
      </c>
      <c r="E2108">
        <v>11</v>
      </c>
      <c r="H2108">
        <v>53</v>
      </c>
      <c r="I2108" t="s">
        <v>364</v>
      </c>
      <c r="J2108" t="s">
        <v>150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160"/>
        <v>14:54:15.531</v>
      </c>
      <c r="T2108" t="str">
        <f t="shared" si="1161"/>
        <v>14:54:15.031</v>
      </c>
      <c r="U2108" t="str">
        <f t="shared" si="1128"/>
        <v>ACC530</v>
      </c>
      <c r="V2108">
        <v>0</v>
      </c>
      <c r="W2108">
        <v>0</v>
      </c>
      <c r="X2108">
        <v>1</v>
      </c>
      <c r="Z2108">
        <v>0</v>
      </c>
      <c r="AA2108">
        <v>9</v>
      </c>
      <c r="AB2108">
        <v>3</v>
      </c>
      <c r="AC2108">
        <v>0</v>
      </c>
      <c r="AD2108">
        <v>9</v>
      </c>
      <c r="AE2108">
        <v>0</v>
      </c>
      <c r="AF2108">
        <v>3</v>
      </c>
      <c r="AG2108">
        <v>1</v>
      </c>
      <c r="AH2108">
        <v>0</v>
      </c>
      <c r="AI2108" t="s">
        <v>772</v>
      </c>
      <c r="AJ2108">
        <v>34.167845</v>
      </c>
      <c r="AK2108" t="s">
        <v>773</v>
      </c>
      <c r="AL2108">
        <v>-117.02990800000001</v>
      </c>
      <c r="AM2108">
        <v>100</v>
      </c>
      <c r="AN2108">
        <v>7800</v>
      </c>
      <c r="AO2108" t="s">
        <v>118</v>
      </c>
      <c r="AP2108">
        <v>-89</v>
      </c>
      <c r="AQ2108">
        <v>-81</v>
      </c>
      <c r="AR2108">
        <v>-640</v>
      </c>
      <c r="AZ2108">
        <v>1200</v>
      </c>
      <c r="BA2108">
        <v>1</v>
      </c>
      <c r="BB2108" t="str">
        <f t="shared" si="1132"/>
        <v xml:space="preserve">N9217B  </v>
      </c>
      <c r="BC2108">
        <v>1</v>
      </c>
      <c r="BE2108">
        <v>0</v>
      </c>
      <c r="BF2108">
        <v>0</v>
      </c>
      <c r="BG2108">
        <v>0</v>
      </c>
      <c r="BH2108">
        <v>7750</v>
      </c>
      <c r="BI2108">
        <v>1</v>
      </c>
      <c r="BJ2108">
        <v>0</v>
      </c>
      <c r="BK2108">
        <v>0</v>
      </c>
      <c r="BL2108">
        <v>0</v>
      </c>
      <c r="BO2108">
        <v>0</v>
      </c>
      <c r="BP2108">
        <v>0</v>
      </c>
      <c r="BW2108" t="str">
        <f t="shared" si="1162"/>
        <v>14:54:15.532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119</v>
      </c>
      <c r="CQ2108">
        <v>285</v>
      </c>
      <c r="CR2108">
        <v>0</v>
      </c>
      <c r="CW2108">
        <v>8861799</v>
      </c>
      <c r="CY2108">
        <v>0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25">
      <c r="A2109" t="str">
        <f t="shared" si="1159"/>
        <v>06/05/2020 14:54:09.863</v>
      </c>
      <c r="C2109" t="str">
        <f t="shared" si="1148"/>
        <v>FFDFD3C0</v>
      </c>
      <c r="D2109" t="s">
        <v>151</v>
      </c>
      <c r="E2109">
        <v>8</v>
      </c>
      <c r="H2109">
        <v>225</v>
      </c>
      <c r="I2109" t="s">
        <v>353</v>
      </c>
      <c r="J2109" t="s">
        <v>150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160"/>
        <v>14:54:15.531</v>
      </c>
      <c r="T2109" t="str">
        <f t="shared" si="1161"/>
        <v>14:54:15.031</v>
      </c>
      <c r="U2109" t="str">
        <f t="shared" si="1128"/>
        <v>ACC530</v>
      </c>
      <c r="V2109">
        <v>0</v>
      </c>
      <c r="W2109">
        <v>0</v>
      </c>
      <c r="X2109">
        <v>1</v>
      </c>
      <c r="Z2109">
        <v>0</v>
      </c>
      <c r="AA2109">
        <v>9</v>
      </c>
      <c r="AB2109">
        <v>3</v>
      </c>
      <c r="AC2109">
        <v>0</v>
      </c>
      <c r="AD2109">
        <v>9</v>
      </c>
      <c r="AE2109">
        <v>0</v>
      </c>
      <c r="AF2109">
        <v>3</v>
      </c>
      <c r="AG2109">
        <v>1</v>
      </c>
      <c r="AH2109">
        <v>0</v>
      </c>
      <c r="AI2109" t="s">
        <v>772</v>
      </c>
      <c r="AJ2109">
        <v>34.167845</v>
      </c>
      <c r="AK2109" t="s">
        <v>773</v>
      </c>
      <c r="AL2109">
        <v>-117.02990800000001</v>
      </c>
      <c r="AM2109">
        <v>100</v>
      </c>
      <c r="AN2109">
        <v>7800</v>
      </c>
      <c r="AO2109" t="s">
        <v>118</v>
      </c>
      <c r="AP2109">
        <v>-89</v>
      </c>
      <c r="AQ2109">
        <v>-81</v>
      </c>
      <c r="AR2109">
        <v>-640</v>
      </c>
      <c r="AZ2109">
        <v>1200</v>
      </c>
      <c r="BA2109">
        <v>1</v>
      </c>
      <c r="BB2109" t="str">
        <f t="shared" si="1132"/>
        <v xml:space="preserve">N9217B  </v>
      </c>
      <c r="BC2109">
        <v>1</v>
      </c>
      <c r="BE2109">
        <v>0</v>
      </c>
      <c r="BF2109">
        <v>0</v>
      </c>
      <c r="BG2109">
        <v>0</v>
      </c>
      <c r="BH2109">
        <v>7750</v>
      </c>
      <c r="BI2109">
        <v>1</v>
      </c>
      <c r="BJ2109">
        <v>0</v>
      </c>
      <c r="BK2109">
        <v>0</v>
      </c>
      <c r="BL2109">
        <v>0</v>
      </c>
      <c r="BO2109">
        <v>0</v>
      </c>
      <c r="BP2109">
        <v>0</v>
      </c>
      <c r="BW2109" t="str">
        <f t="shared" si="1162"/>
        <v>14:54:15.532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119</v>
      </c>
      <c r="CQ2109">
        <v>285</v>
      </c>
      <c r="CR2109">
        <v>0</v>
      </c>
      <c r="CW2109">
        <v>8861799</v>
      </c>
      <c r="CY2109">
        <v>0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25">
      <c r="A2110" t="str">
        <f t="shared" si="1159"/>
        <v>06/05/2020 14:54:09.863</v>
      </c>
      <c r="C2110" t="str">
        <f t="shared" si="1148"/>
        <v>FFDFD3C0</v>
      </c>
      <c r="D2110" t="s">
        <v>134</v>
      </c>
      <c r="E2110">
        <v>7</v>
      </c>
      <c r="F2110">
        <v>2007</v>
      </c>
      <c r="G2110" t="s">
        <v>135</v>
      </c>
      <c r="J2110" t="s">
        <v>136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160"/>
        <v>14:54:15.531</v>
      </c>
      <c r="T2110" t="str">
        <f t="shared" si="1161"/>
        <v>14:54:15.031</v>
      </c>
      <c r="U2110" t="str">
        <f t="shared" si="1128"/>
        <v>ACC530</v>
      </c>
      <c r="V2110">
        <v>0</v>
      </c>
      <c r="W2110">
        <v>0</v>
      </c>
      <c r="X2110">
        <v>1</v>
      </c>
      <c r="Z2110">
        <v>0</v>
      </c>
      <c r="AA2110">
        <v>9</v>
      </c>
      <c r="AB2110">
        <v>3</v>
      </c>
      <c r="AC2110">
        <v>0</v>
      </c>
      <c r="AD2110">
        <v>9</v>
      </c>
      <c r="AE2110">
        <v>0</v>
      </c>
      <c r="AF2110">
        <v>3</v>
      </c>
      <c r="AG2110">
        <v>1</v>
      </c>
      <c r="AH2110">
        <v>0</v>
      </c>
      <c r="AI2110" t="s">
        <v>772</v>
      </c>
      <c r="AJ2110">
        <v>34.167845</v>
      </c>
      <c r="AK2110" t="s">
        <v>773</v>
      </c>
      <c r="AL2110">
        <v>-117.02990800000001</v>
      </c>
      <c r="AM2110">
        <v>100</v>
      </c>
      <c r="AN2110">
        <v>7800</v>
      </c>
      <c r="AO2110" t="s">
        <v>118</v>
      </c>
      <c r="AP2110">
        <v>-89</v>
      </c>
      <c r="AQ2110">
        <v>-81</v>
      </c>
      <c r="AR2110">
        <v>-640</v>
      </c>
      <c r="AZ2110">
        <v>1200</v>
      </c>
      <c r="BA2110">
        <v>1</v>
      </c>
      <c r="BB2110" t="str">
        <f t="shared" si="1132"/>
        <v xml:space="preserve">N9217B  </v>
      </c>
      <c r="BC2110">
        <v>1</v>
      </c>
      <c r="BE2110">
        <v>0</v>
      </c>
      <c r="BF2110">
        <v>0</v>
      </c>
      <c r="BG2110">
        <v>0</v>
      </c>
      <c r="BH2110">
        <v>7750</v>
      </c>
      <c r="BI2110">
        <v>1</v>
      </c>
      <c r="BJ2110">
        <v>0</v>
      </c>
      <c r="BK2110">
        <v>0</v>
      </c>
      <c r="BL2110">
        <v>0</v>
      </c>
      <c r="BO2110">
        <v>0</v>
      </c>
      <c r="BP2110">
        <v>0</v>
      </c>
      <c r="BW2110" t="str">
        <f t="shared" si="1162"/>
        <v>14:54:15.532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119</v>
      </c>
      <c r="CQ2110">
        <v>285</v>
      </c>
      <c r="CR2110">
        <v>0</v>
      </c>
      <c r="CW2110">
        <v>8861799</v>
      </c>
      <c r="CY2110">
        <v>0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25">
      <c r="A2111" t="str">
        <f t="shared" si="1159"/>
        <v>06/05/2020 14:54:09.863</v>
      </c>
      <c r="C2111" t="str">
        <f t="shared" si="1148"/>
        <v>FFDFD3C0</v>
      </c>
      <c r="D2111" t="s">
        <v>148</v>
      </c>
      <c r="E2111">
        <v>8</v>
      </c>
      <c r="H2111">
        <v>50</v>
      </c>
      <c r="I2111" t="s">
        <v>149</v>
      </c>
      <c r="J2111" t="s">
        <v>150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160"/>
        <v>14:54:15.531</v>
      </c>
      <c r="T2111" t="str">
        <f t="shared" si="1161"/>
        <v>14:54:15.031</v>
      </c>
      <c r="U2111" t="str">
        <f t="shared" si="1128"/>
        <v>ACC530</v>
      </c>
      <c r="V2111">
        <v>0</v>
      </c>
      <c r="W2111">
        <v>0</v>
      </c>
      <c r="X2111">
        <v>1</v>
      </c>
      <c r="Z2111">
        <v>0</v>
      </c>
      <c r="AA2111">
        <v>9</v>
      </c>
      <c r="AB2111">
        <v>3</v>
      </c>
      <c r="AC2111">
        <v>0</v>
      </c>
      <c r="AD2111">
        <v>9</v>
      </c>
      <c r="AE2111">
        <v>0</v>
      </c>
      <c r="AF2111">
        <v>3</v>
      </c>
      <c r="AG2111">
        <v>1</v>
      </c>
      <c r="AH2111">
        <v>0</v>
      </c>
      <c r="AI2111" t="s">
        <v>772</v>
      </c>
      <c r="AJ2111">
        <v>34.167845</v>
      </c>
      <c r="AK2111" t="s">
        <v>773</v>
      </c>
      <c r="AL2111">
        <v>-117.02990800000001</v>
      </c>
      <c r="AM2111">
        <v>100</v>
      </c>
      <c r="AN2111">
        <v>7800</v>
      </c>
      <c r="AO2111" t="s">
        <v>118</v>
      </c>
      <c r="AP2111">
        <v>-89</v>
      </c>
      <c r="AQ2111">
        <v>-81</v>
      </c>
      <c r="AR2111">
        <v>-640</v>
      </c>
      <c r="AZ2111">
        <v>1200</v>
      </c>
      <c r="BA2111">
        <v>1</v>
      </c>
      <c r="BB2111" t="str">
        <f t="shared" si="1132"/>
        <v xml:space="preserve">N9217B  </v>
      </c>
      <c r="BC2111">
        <v>1</v>
      </c>
      <c r="BE2111">
        <v>0</v>
      </c>
      <c r="BF2111">
        <v>0</v>
      </c>
      <c r="BG2111">
        <v>0</v>
      </c>
      <c r="BH2111">
        <v>7750</v>
      </c>
      <c r="BI2111">
        <v>1</v>
      </c>
      <c r="BJ2111">
        <v>0</v>
      </c>
      <c r="BK2111">
        <v>0</v>
      </c>
      <c r="BL2111">
        <v>0</v>
      </c>
      <c r="BO2111">
        <v>0</v>
      </c>
      <c r="BP2111">
        <v>0</v>
      </c>
      <c r="BW2111" t="str">
        <f t="shared" si="1162"/>
        <v>14:54:15.532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6</v>
      </c>
      <c r="CP2111" t="s">
        <v>119</v>
      </c>
      <c r="CQ2111">
        <v>285</v>
      </c>
      <c r="CR2111">
        <v>0</v>
      </c>
      <c r="CW2111">
        <v>8861799</v>
      </c>
      <c r="CY2111">
        <v>0</v>
      </c>
      <c r="CZ2111">
        <v>0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25">
      <c r="A2112" t="str">
        <f t="shared" si="1159"/>
        <v>06/05/2020 14:54:09.863</v>
      </c>
      <c r="C2112" t="str">
        <f t="shared" si="1148"/>
        <v>FFDFD3C0</v>
      </c>
      <c r="D2112" t="s">
        <v>151</v>
      </c>
      <c r="E2112">
        <v>9</v>
      </c>
      <c r="H2112">
        <v>226</v>
      </c>
      <c r="I2112" t="s">
        <v>152</v>
      </c>
      <c r="J2112" t="s">
        <v>150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160"/>
        <v>14:54:15.531</v>
      </c>
      <c r="T2112" t="str">
        <f t="shared" si="1161"/>
        <v>14:54:15.031</v>
      </c>
      <c r="U2112" t="str">
        <f t="shared" si="1128"/>
        <v>ACC530</v>
      </c>
      <c r="V2112">
        <v>0</v>
      </c>
      <c r="W2112">
        <v>0</v>
      </c>
      <c r="X2112">
        <v>1</v>
      </c>
      <c r="Z2112">
        <v>0</v>
      </c>
      <c r="AA2112">
        <v>9</v>
      </c>
      <c r="AB2112">
        <v>3</v>
      </c>
      <c r="AC2112">
        <v>0</v>
      </c>
      <c r="AD2112">
        <v>9</v>
      </c>
      <c r="AE2112">
        <v>0</v>
      </c>
      <c r="AF2112">
        <v>3</v>
      </c>
      <c r="AG2112">
        <v>1</v>
      </c>
      <c r="AH2112">
        <v>0</v>
      </c>
      <c r="AI2112" t="s">
        <v>772</v>
      </c>
      <c r="AJ2112">
        <v>34.167845</v>
      </c>
      <c r="AK2112" t="s">
        <v>773</v>
      </c>
      <c r="AL2112">
        <v>-117.02990800000001</v>
      </c>
      <c r="AM2112">
        <v>100</v>
      </c>
      <c r="AN2112">
        <v>7800</v>
      </c>
      <c r="AO2112" t="s">
        <v>118</v>
      </c>
      <c r="AP2112">
        <v>-89</v>
      </c>
      <c r="AQ2112">
        <v>-81</v>
      </c>
      <c r="AR2112">
        <v>-640</v>
      </c>
      <c r="AZ2112">
        <v>1200</v>
      </c>
      <c r="BA2112">
        <v>1</v>
      </c>
      <c r="BB2112" t="str">
        <f t="shared" si="1132"/>
        <v xml:space="preserve">N9217B  </v>
      </c>
      <c r="BC2112">
        <v>1</v>
      </c>
      <c r="BE2112">
        <v>0</v>
      </c>
      <c r="BF2112">
        <v>0</v>
      </c>
      <c r="BG2112">
        <v>0</v>
      </c>
      <c r="BH2112">
        <v>7750</v>
      </c>
      <c r="BI2112">
        <v>1</v>
      </c>
      <c r="BJ2112">
        <v>0</v>
      </c>
      <c r="BK2112">
        <v>0</v>
      </c>
      <c r="BL2112">
        <v>0</v>
      </c>
      <c r="BO2112">
        <v>0</v>
      </c>
      <c r="BP2112">
        <v>0</v>
      </c>
      <c r="BW2112" t="str">
        <f t="shared" si="1162"/>
        <v>14:54:15.532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6</v>
      </c>
      <c r="CP2112" t="s">
        <v>119</v>
      </c>
      <c r="CQ2112">
        <v>285</v>
      </c>
      <c r="CR2112">
        <v>0</v>
      </c>
      <c r="CW2112">
        <v>8861799</v>
      </c>
      <c r="CY2112">
        <v>0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25">
      <c r="A2113" t="str">
        <f t="shared" si="1159"/>
        <v>06/05/2020 14:54:09.863</v>
      </c>
      <c r="C2113" t="str">
        <f t="shared" si="1148"/>
        <v>FFDFD3C0</v>
      </c>
      <c r="D2113" t="s">
        <v>141</v>
      </c>
      <c r="E2113">
        <v>20</v>
      </c>
      <c r="F2113">
        <v>1020</v>
      </c>
      <c r="G2113" t="s">
        <v>114</v>
      </c>
      <c r="J2113" t="s">
        <v>142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1160"/>
        <v>14:54:15.531</v>
      </c>
      <c r="T2113" t="str">
        <f t="shared" si="1161"/>
        <v>14:54:15.031</v>
      </c>
      <c r="U2113" t="str">
        <f t="shared" si="1128"/>
        <v>ACC530</v>
      </c>
      <c r="V2113">
        <v>0</v>
      </c>
      <c r="W2113">
        <v>0</v>
      </c>
      <c r="X2113">
        <v>1</v>
      </c>
      <c r="Z2113">
        <v>0</v>
      </c>
      <c r="AA2113">
        <v>9</v>
      </c>
      <c r="AB2113">
        <v>3</v>
      </c>
      <c r="AC2113">
        <v>0</v>
      </c>
      <c r="AD2113">
        <v>9</v>
      </c>
      <c r="AE2113">
        <v>0</v>
      </c>
      <c r="AF2113">
        <v>3</v>
      </c>
      <c r="AG2113">
        <v>1</v>
      </c>
      <c r="AH2113">
        <v>0</v>
      </c>
      <c r="AI2113" t="s">
        <v>772</v>
      </c>
      <c r="AJ2113">
        <v>34.167845</v>
      </c>
      <c r="AK2113" t="s">
        <v>773</v>
      </c>
      <c r="AL2113">
        <v>-117.02990800000001</v>
      </c>
      <c r="AM2113">
        <v>100</v>
      </c>
      <c r="AN2113">
        <v>7800</v>
      </c>
      <c r="AO2113" t="s">
        <v>118</v>
      </c>
      <c r="AP2113">
        <v>-89</v>
      </c>
      <c r="AQ2113">
        <v>-81</v>
      </c>
      <c r="AR2113">
        <v>-640</v>
      </c>
      <c r="AZ2113">
        <v>1200</v>
      </c>
      <c r="BA2113">
        <v>1</v>
      </c>
      <c r="BB2113" t="str">
        <f t="shared" si="1132"/>
        <v xml:space="preserve">N9217B  </v>
      </c>
      <c r="BC2113">
        <v>1</v>
      </c>
      <c r="BE2113">
        <v>0</v>
      </c>
      <c r="BF2113">
        <v>0</v>
      </c>
      <c r="BG2113">
        <v>0</v>
      </c>
      <c r="BH2113">
        <v>7750</v>
      </c>
      <c r="BI2113">
        <v>1</v>
      </c>
      <c r="BJ2113">
        <v>0</v>
      </c>
      <c r="BK2113">
        <v>0</v>
      </c>
      <c r="BL2113">
        <v>0</v>
      </c>
      <c r="BO2113">
        <v>0</v>
      </c>
      <c r="BP2113">
        <v>0</v>
      </c>
      <c r="BW2113" t="str">
        <f t="shared" si="1162"/>
        <v>14:54:15.532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6</v>
      </c>
      <c r="CP2113" t="s">
        <v>119</v>
      </c>
      <c r="CQ2113">
        <v>285</v>
      </c>
      <c r="CR2113">
        <v>0</v>
      </c>
      <c r="CW2113">
        <v>8861799</v>
      </c>
      <c r="CY2113">
        <v>0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25">
      <c r="A2114" t="str">
        <f t="shared" ref="A2114:A2120" si="1163">"06/05/2020 14:54:10.846"</f>
        <v>06/05/2020 14:54:10.846</v>
      </c>
      <c r="C2114" t="str">
        <f t="shared" si="1148"/>
        <v>FFDFD3C0</v>
      </c>
      <c r="D2114" t="s">
        <v>148</v>
      </c>
      <c r="E2114">
        <v>8</v>
      </c>
      <c r="H2114">
        <v>50</v>
      </c>
      <c r="I2114" t="s">
        <v>149</v>
      </c>
      <c r="J2114" t="s">
        <v>150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ref="S2114:T2120" si="1164">"14:54:16.516"</f>
        <v>14:54:16.516</v>
      </c>
      <c r="T2114" t="str">
        <f t="shared" si="1164"/>
        <v>14:54:16.516</v>
      </c>
      <c r="U2114" t="str">
        <f t="shared" ref="U2114:U2177" si="1165">"ACC530"</f>
        <v>ACC530</v>
      </c>
      <c r="V2114">
        <v>0</v>
      </c>
      <c r="W2114">
        <v>0</v>
      </c>
      <c r="X2114">
        <v>1</v>
      </c>
      <c r="Z2114">
        <v>0</v>
      </c>
      <c r="AA2114">
        <v>9</v>
      </c>
      <c r="AB2114">
        <v>3</v>
      </c>
      <c r="AC2114">
        <v>0</v>
      </c>
      <c r="AD2114">
        <v>9</v>
      </c>
      <c r="AE2114">
        <v>0</v>
      </c>
      <c r="AF2114">
        <v>3</v>
      </c>
      <c r="AG2114">
        <v>1</v>
      </c>
      <c r="AH2114">
        <v>0</v>
      </c>
      <c r="AI2114" t="s">
        <v>774</v>
      </c>
      <c r="AJ2114">
        <v>34.167523000000003</v>
      </c>
      <c r="AK2114" t="s">
        <v>775</v>
      </c>
      <c r="AL2114">
        <v>-117.030401</v>
      </c>
      <c r="AM2114">
        <v>100</v>
      </c>
      <c r="AN2114">
        <v>7800</v>
      </c>
      <c r="AO2114" t="s">
        <v>118</v>
      </c>
      <c r="AP2114">
        <v>-89</v>
      </c>
      <c r="AQ2114">
        <v>-80</v>
      </c>
      <c r="AR2114">
        <v>-640</v>
      </c>
      <c r="AZ2114">
        <v>1200</v>
      </c>
      <c r="BA2114">
        <v>1</v>
      </c>
      <c r="BB2114" t="str">
        <f t="shared" si="1132"/>
        <v xml:space="preserve">N9217B  </v>
      </c>
      <c r="BC2114">
        <v>1</v>
      </c>
      <c r="BE2114">
        <v>0</v>
      </c>
      <c r="BF2114">
        <v>0</v>
      </c>
      <c r="BG2114">
        <v>0</v>
      </c>
      <c r="BH2114">
        <v>7750</v>
      </c>
      <c r="BI2114">
        <v>1</v>
      </c>
      <c r="BJ2114">
        <v>0</v>
      </c>
      <c r="BK2114">
        <v>0</v>
      </c>
      <c r="BL2114">
        <v>0</v>
      </c>
      <c r="BO2114">
        <v>0</v>
      </c>
      <c r="BP2114">
        <v>0</v>
      </c>
      <c r="BW2114" t="str">
        <f t="shared" ref="BW2114:BW2120" si="1166">"14:54:16.522"</f>
        <v>14:54:16.522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6</v>
      </c>
      <c r="CP2114" t="s">
        <v>119</v>
      </c>
      <c r="CQ2114">
        <v>285</v>
      </c>
      <c r="CR2114">
        <v>0</v>
      </c>
      <c r="CW2114">
        <v>8861885</v>
      </c>
      <c r="CY2114">
        <v>0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25">
      <c r="A2115" t="str">
        <f t="shared" si="1163"/>
        <v>06/05/2020 14:54:10.846</v>
      </c>
      <c r="C2115" t="str">
        <f t="shared" si="1148"/>
        <v>FFDFD3C0</v>
      </c>
      <c r="D2115" t="s">
        <v>141</v>
      </c>
      <c r="E2115">
        <v>20</v>
      </c>
      <c r="F2115">
        <v>1020</v>
      </c>
      <c r="G2115" t="s">
        <v>114</v>
      </c>
      <c r="J2115" t="s">
        <v>142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164"/>
        <v>14:54:16.516</v>
      </c>
      <c r="T2115" t="str">
        <f t="shared" si="1164"/>
        <v>14:54:16.516</v>
      </c>
      <c r="U2115" t="str">
        <f t="shared" si="1165"/>
        <v>ACC530</v>
      </c>
      <c r="V2115">
        <v>0</v>
      </c>
      <c r="W2115">
        <v>0</v>
      </c>
      <c r="X2115">
        <v>1</v>
      </c>
      <c r="Z2115">
        <v>0</v>
      </c>
      <c r="AA2115">
        <v>9</v>
      </c>
      <c r="AB2115">
        <v>3</v>
      </c>
      <c r="AC2115">
        <v>0</v>
      </c>
      <c r="AD2115">
        <v>9</v>
      </c>
      <c r="AE2115">
        <v>0</v>
      </c>
      <c r="AF2115">
        <v>3</v>
      </c>
      <c r="AG2115">
        <v>1</v>
      </c>
      <c r="AH2115">
        <v>0</v>
      </c>
      <c r="AI2115" t="s">
        <v>774</v>
      </c>
      <c r="AJ2115">
        <v>34.167523000000003</v>
      </c>
      <c r="AK2115" t="s">
        <v>775</v>
      </c>
      <c r="AL2115">
        <v>-117.030401</v>
      </c>
      <c r="AM2115">
        <v>100</v>
      </c>
      <c r="AN2115">
        <v>7800</v>
      </c>
      <c r="AO2115" t="s">
        <v>118</v>
      </c>
      <c r="AP2115">
        <v>-89</v>
      </c>
      <c r="AQ2115">
        <v>-80</v>
      </c>
      <c r="AR2115">
        <v>-640</v>
      </c>
      <c r="AZ2115">
        <v>1200</v>
      </c>
      <c r="BA2115">
        <v>1</v>
      </c>
      <c r="BB2115" t="str">
        <f t="shared" si="1132"/>
        <v xml:space="preserve">N9217B  </v>
      </c>
      <c r="BC2115">
        <v>1</v>
      </c>
      <c r="BE2115">
        <v>0</v>
      </c>
      <c r="BF2115">
        <v>0</v>
      </c>
      <c r="BG2115">
        <v>0</v>
      </c>
      <c r="BH2115">
        <v>7750</v>
      </c>
      <c r="BI2115">
        <v>1</v>
      </c>
      <c r="BJ2115">
        <v>0</v>
      </c>
      <c r="BK2115">
        <v>0</v>
      </c>
      <c r="BL2115">
        <v>0</v>
      </c>
      <c r="BO2115">
        <v>0</v>
      </c>
      <c r="BP2115">
        <v>0</v>
      </c>
      <c r="BW2115" t="str">
        <f t="shared" si="1166"/>
        <v>14:54:16.522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6</v>
      </c>
      <c r="CP2115" t="s">
        <v>119</v>
      </c>
      <c r="CQ2115">
        <v>285</v>
      </c>
      <c r="CR2115">
        <v>0</v>
      </c>
      <c r="CW2115">
        <v>8861885</v>
      </c>
      <c r="CY2115">
        <v>0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25">
      <c r="A2116" t="str">
        <f t="shared" si="1163"/>
        <v>06/05/2020 14:54:10.846</v>
      </c>
      <c r="C2116" t="str">
        <f t="shared" si="1148"/>
        <v>FFDFD3C0</v>
      </c>
      <c r="D2116" t="s">
        <v>151</v>
      </c>
      <c r="E2116">
        <v>9</v>
      </c>
      <c r="H2116">
        <v>226</v>
      </c>
      <c r="I2116" t="s">
        <v>152</v>
      </c>
      <c r="J2116" t="s">
        <v>150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164"/>
        <v>14:54:16.516</v>
      </c>
      <c r="T2116" t="str">
        <f t="shared" si="1164"/>
        <v>14:54:16.516</v>
      </c>
      <c r="U2116" t="str">
        <f t="shared" si="1165"/>
        <v>ACC530</v>
      </c>
      <c r="V2116">
        <v>0</v>
      </c>
      <c r="W2116">
        <v>0</v>
      </c>
      <c r="X2116">
        <v>1</v>
      </c>
      <c r="Z2116">
        <v>0</v>
      </c>
      <c r="AA2116">
        <v>9</v>
      </c>
      <c r="AB2116">
        <v>3</v>
      </c>
      <c r="AC2116">
        <v>0</v>
      </c>
      <c r="AD2116">
        <v>9</v>
      </c>
      <c r="AE2116">
        <v>0</v>
      </c>
      <c r="AF2116">
        <v>3</v>
      </c>
      <c r="AG2116">
        <v>1</v>
      </c>
      <c r="AH2116">
        <v>0</v>
      </c>
      <c r="AI2116" t="s">
        <v>774</v>
      </c>
      <c r="AJ2116">
        <v>34.167523000000003</v>
      </c>
      <c r="AK2116" t="s">
        <v>775</v>
      </c>
      <c r="AL2116">
        <v>-117.030401</v>
      </c>
      <c r="AM2116">
        <v>100</v>
      </c>
      <c r="AN2116">
        <v>7800</v>
      </c>
      <c r="AO2116" t="s">
        <v>118</v>
      </c>
      <c r="AP2116">
        <v>-89</v>
      </c>
      <c r="AQ2116">
        <v>-80</v>
      </c>
      <c r="AR2116">
        <v>-640</v>
      </c>
      <c r="AZ2116">
        <v>1200</v>
      </c>
      <c r="BA2116">
        <v>1</v>
      </c>
      <c r="BB2116" t="str">
        <f t="shared" si="1132"/>
        <v xml:space="preserve">N9217B  </v>
      </c>
      <c r="BC2116">
        <v>1</v>
      </c>
      <c r="BE2116">
        <v>0</v>
      </c>
      <c r="BF2116">
        <v>0</v>
      </c>
      <c r="BG2116">
        <v>0</v>
      </c>
      <c r="BH2116">
        <v>7750</v>
      </c>
      <c r="BI2116">
        <v>1</v>
      </c>
      <c r="BJ2116">
        <v>0</v>
      </c>
      <c r="BK2116">
        <v>0</v>
      </c>
      <c r="BL2116">
        <v>0</v>
      </c>
      <c r="BO2116">
        <v>0</v>
      </c>
      <c r="BP2116">
        <v>0</v>
      </c>
      <c r="BW2116" t="str">
        <f t="shared" si="1166"/>
        <v>14:54:16.522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6</v>
      </c>
      <c r="CP2116" t="s">
        <v>119</v>
      </c>
      <c r="CQ2116">
        <v>285</v>
      </c>
      <c r="CR2116">
        <v>0</v>
      </c>
      <c r="CW2116">
        <v>8861885</v>
      </c>
      <c r="CY2116">
        <v>0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25">
      <c r="A2117" t="str">
        <f t="shared" si="1163"/>
        <v>06/05/2020 14:54:10.846</v>
      </c>
      <c r="C2117" t="str">
        <f t="shared" si="1148"/>
        <v>FFDFD3C0</v>
      </c>
      <c r="D2117" t="s">
        <v>113</v>
      </c>
      <c r="E2117">
        <v>3</v>
      </c>
      <c r="H2117">
        <v>166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164"/>
        <v>14:54:16.516</v>
      </c>
      <c r="T2117" t="str">
        <f t="shared" si="1164"/>
        <v>14:54:16.516</v>
      </c>
      <c r="U2117" t="str">
        <f t="shared" si="1165"/>
        <v>ACC530</v>
      </c>
      <c r="V2117">
        <v>0</v>
      </c>
      <c r="W2117">
        <v>0</v>
      </c>
      <c r="X2117">
        <v>1</v>
      </c>
      <c r="Z2117">
        <v>0</v>
      </c>
      <c r="AA2117">
        <v>9</v>
      </c>
      <c r="AB2117">
        <v>3</v>
      </c>
      <c r="AC2117">
        <v>0</v>
      </c>
      <c r="AD2117">
        <v>9</v>
      </c>
      <c r="AE2117">
        <v>0</v>
      </c>
      <c r="AF2117">
        <v>3</v>
      </c>
      <c r="AG2117">
        <v>1</v>
      </c>
      <c r="AH2117">
        <v>0</v>
      </c>
      <c r="AI2117" t="s">
        <v>774</v>
      </c>
      <c r="AJ2117">
        <v>34.167523000000003</v>
      </c>
      <c r="AK2117" t="s">
        <v>775</v>
      </c>
      <c r="AL2117">
        <v>-117.030401</v>
      </c>
      <c r="AM2117">
        <v>100</v>
      </c>
      <c r="AN2117">
        <v>7800</v>
      </c>
      <c r="AO2117" t="s">
        <v>118</v>
      </c>
      <c r="AP2117">
        <v>-89</v>
      </c>
      <c r="AQ2117">
        <v>-80</v>
      </c>
      <c r="AR2117">
        <v>-640</v>
      </c>
      <c r="AZ2117">
        <v>1200</v>
      </c>
      <c r="BA2117">
        <v>1</v>
      </c>
      <c r="BB2117" t="str">
        <f t="shared" ref="BB2117:BB2180" si="1167">"N9217B  "</f>
        <v xml:space="preserve">N9217B  </v>
      </c>
      <c r="BC2117">
        <v>1</v>
      </c>
      <c r="BE2117">
        <v>0</v>
      </c>
      <c r="BF2117">
        <v>0</v>
      </c>
      <c r="BG2117">
        <v>0</v>
      </c>
      <c r="BH2117">
        <v>7750</v>
      </c>
      <c r="BI2117">
        <v>1</v>
      </c>
      <c r="BJ2117">
        <v>0</v>
      </c>
      <c r="BK2117">
        <v>0</v>
      </c>
      <c r="BL2117">
        <v>0</v>
      </c>
      <c r="BO2117">
        <v>0</v>
      </c>
      <c r="BP2117">
        <v>0</v>
      </c>
      <c r="BW2117" t="str">
        <f t="shared" si="1166"/>
        <v>14:54:16.522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6</v>
      </c>
      <c r="CP2117" t="s">
        <v>119</v>
      </c>
      <c r="CQ2117">
        <v>285</v>
      </c>
      <c r="CR2117">
        <v>0</v>
      </c>
      <c r="CW2117">
        <v>8861885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25">
      <c r="A2118" t="str">
        <f t="shared" si="1163"/>
        <v>06/05/2020 14:54:10.846</v>
      </c>
      <c r="C2118" t="str">
        <f t="shared" si="1148"/>
        <v>FFDFD3C0</v>
      </c>
      <c r="D2118" t="s">
        <v>148</v>
      </c>
      <c r="E2118">
        <v>11</v>
      </c>
      <c r="H2118">
        <v>53</v>
      </c>
      <c r="I2118" t="s">
        <v>364</v>
      </c>
      <c r="J2118" t="s">
        <v>150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164"/>
        <v>14:54:16.516</v>
      </c>
      <c r="T2118" t="str">
        <f t="shared" si="1164"/>
        <v>14:54:16.516</v>
      </c>
      <c r="U2118" t="str">
        <f t="shared" si="1165"/>
        <v>ACC530</v>
      </c>
      <c r="V2118">
        <v>0</v>
      </c>
      <c r="W2118">
        <v>0</v>
      </c>
      <c r="X2118">
        <v>1</v>
      </c>
      <c r="Z2118">
        <v>0</v>
      </c>
      <c r="AA2118">
        <v>9</v>
      </c>
      <c r="AB2118">
        <v>3</v>
      </c>
      <c r="AC2118">
        <v>0</v>
      </c>
      <c r="AD2118">
        <v>9</v>
      </c>
      <c r="AE2118">
        <v>0</v>
      </c>
      <c r="AF2118">
        <v>3</v>
      </c>
      <c r="AG2118">
        <v>1</v>
      </c>
      <c r="AH2118">
        <v>0</v>
      </c>
      <c r="AI2118" t="s">
        <v>774</v>
      </c>
      <c r="AJ2118">
        <v>34.167523000000003</v>
      </c>
      <c r="AK2118" t="s">
        <v>775</v>
      </c>
      <c r="AL2118">
        <v>-117.030401</v>
      </c>
      <c r="AM2118">
        <v>100</v>
      </c>
      <c r="AN2118">
        <v>7800</v>
      </c>
      <c r="AO2118" t="s">
        <v>118</v>
      </c>
      <c r="AP2118">
        <v>-89</v>
      </c>
      <c r="AQ2118">
        <v>-80</v>
      </c>
      <c r="AR2118">
        <v>-640</v>
      </c>
      <c r="AZ2118">
        <v>1200</v>
      </c>
      <c r="BA2118">
        <v>1</v>
      </c>
      <c r="BB2118" t="str">
        <f t="shared" si="1167"/>
        <v xml:space="preserve">N9217B  </v>
      </c>
      <c r="BC2118">
        <v>1</v>
      </c>
      <c r="BE2118">
        <v>0</v>
      </c>
      <c r="BF2118">
        <v>0</v>
      </c>
      <c r="BG2118">
        <v>0</v>
      </c>
      <c r="BH2118">
        <v>7750</v>
      </c>
      <c r="BI2118">
        <v>1</v>
      </c>
      <c r="BJ2118">
        <v>0</v>
      </c>
      <c r="BK2118">
        <v>0</v>
      </c>
      <c r="BL2118">
        <v>0</v>
      </c>
      <c r="BO2118">
        <v>0</v>
      </c>
      <c r="BP2118">
        <v>0</v>
      </c>
      <c r="BW2118" t="str">
        <f t="shared" si="1166"/>
        <v>14:54:16.522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6</v>
      </c>
      <c r="CP2118" t="s">
        <v>119</v>
      </c>
      <c r="CQ2118">
        <v>285</v>
      </c>
      <c r="CR2118">
        <v>0</v>
      </c>
      <c r="CW2118">
        <v>8861885</v>
      </c>
      <c r="CY2118">
        <v>0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25">
      <c r="A2119" t="str">
        <f t="shared" si="1163"/>
        <v>06/05/2020 14:54:10.846</v>
      </c>
      <c r="C2119" t="str">
        <f t="shared" si="1148"/>
        <v>FFDFD3C0</v>
      </c>
      <c r="D2119" t="s">
        <v>134</v>
      </c>
      <c r="E2119">
        <v>7</v>
      </c>
      <c r="F2119">
        <v>2007</v>
      </c>
      <c r="G2119" t="s">
        <v>135</v>
      </c>
      <c r="J2119" t="s">
        <v>136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164"/>
        <v>14:54:16.516</v>
      </c>
      <c r="T2119" t="str">
        <f t="shared" si="1164"/>
        <v>14:54:16.516</v>
      </c>
      <c r="U2119" t="str">
        <f t="shared" si="1165"/>
        <v>ACC530</v>
      </c>
      <c r="V2119">
        <v>0</v>
      </c>
      <c r="W2119">
        <v>0</v>
      </c>
      <c r="X2119">
        <v>1</v>
      </c>
      <c r="Z2119">
        <v>0</v>
      </c>
      <c r="AA2119">
        <v>9</v>
      </c>
      <c r="AB2119">
        <v>3</v>
      </c>
      <c r="AC2119">
        <v>0</v>
      </c>
      <c r="AD2119">
        <v>9</v>
      </c>
      <c r="AE2119">
        <v>0</v>
      </c>
      <c r="AF2119">
        <v>3</v>
      </c>
      <c r="AG2119">
        <v>1</v>
      </c>
      <c r="AH2119">
        <v>0</v>
      </c>
      <c r="AI2119" t="s">
        <v>774</v>
      </c>
      <c r="AJ2119">
        <v>34.167523000000003</v>
      </c>
      <c r="AK2119" t="s">
        <v>775</v>
      </c>
      <c r="AL2119">
        <v>-117.030401</v>
      </c>
      <c r="AM2119">
        <v>100</v>
      </c>
      <c r="AN2119">
        <v>7800</v>
      </c>
      <c r="AO2119" t="s">
        <v>118</v>
      </c>
      <c r="AP2119">
        <v>-89</v>
      </c>
      <c r="AQ2119">
        <v>-80</v>
      </c>
      <c r="AR2119">
        <v>-640</v>
      </c>
      <c r="AZ2119">
        <v>1200</v>
      </c>
      <c r="BA2119">
        <v>1</v>
      </c>
      <c r="BB2119" t="str">
        <f t="shared" si="1167"/>
        <v xml:space="preserve">N9217B  </v>
      </c>
      <c r="BC2119">
        <v>1</v>
      </c>
      <c r="BE2119">
        <v>0</v>
      </c>
      <c r="BF2119">
        <v>0</v>
      </c>
      <c r="BG2119">
        <v>0</v>
      </c>
      <c r="BH2119">
        <v>7750</v>
      </c>
      <c r="BI2119">
        <v>1</v>
      </c>
      <c r="BJ2119">
        <v>0</v>
      </c>
      <c r="BK2119">
        <v>0</v>
      </c>
      <c r="BL2119">
        <v>0</v>
      </c>
      <c r="BO2119">
        <v>0</v>
      </c>
      <c r="BP2119">
        <v>0</v>
      </c>
      <c r="BW2119" t="str">
        <f t="shared" si="1166"/>
        <v>14:54:16.522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6</v>
      </c>
      <c r="CP2119" t="s">
        <v>119</v>
      </c>
      <c r="CQ2119">
        <v>285</v>
      </c>
      <c r="CR2119">
        <v>0</v>
      </c>
      <c r="CW2119">
        <v>8861885</v>
      </c>
      <c r="CY2119">
        <v>0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25">
      <c r="A2120" t="str">
        <f t="shared" si="1163"/>
        <v>06/05/2020 14:54:10.846</v>
      </c>
      <c r="C2120" t="str">
        <f t="shared" si="1148"/>
        <v>FFDFD3C0</v>
      </c>
      <c r="D2120" t="s">
        <v>151</v>
      </c>
      <c r="E2120">
        <v>8</v>
      </c>
      <c r="H2120">
        <v>225</v>
      </c>
      <c r="I2120" t="s">
        <v>353</v>
      </c>
      <c r="J2120" t="s">
        <v>150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1164"/>
        <v>14:54:16.516</v>
      </c>
      <c r="T2120" t="str">
        <f t="shared" si="1164"/>
        <v>14:54:16.516</v>
      </c>
      <c r="U2120" t="str">
        <f t="shared" si="1165"/>
        <v>ACC530</v>
      </c>
      <c r="V2120">
        <v>0</v>
      </c>
      <c r="W2120">
        <v>0</v>
      </c>
      <c r="X2120">
        <v>1</v>
      </c>
      <c r="Z2120">
        <v>0</v>
      </c>
      <c r="AA2120">
        <v>9</v>
      </c>
      <c r="AB2120">
        <v>3</v>
      </c>
      <c r="AC2120">
        <v>0</v>
      </c>
      <c r="AD2120">
        <v>9</v>
      </c>
      <c r="AE2120">
        <v>0</v>
      </c>
      <c r="AF2120">
        <v>3</v>
      </c>
      <c r="AG2120">
        <v>1</v>
      </c>
      <c r="AH2120">
        <v>0</v>
      </c>
      <c r="AI2120" t="s">
        <v>774</v>
      </c>
      <c r="AJ2120">
        <v>34.167523000000003</v>
      </c>
      <c r="AK2120" t="s">
        <v>775</v>
      </c>
      <c r="AL2120">
        <v>-117.030401</v>
      </c>
      <c r="AM2120">
        <v>100</v>
      </c>
      <c r="AN2120">
        <v>7800</v>
      </c>
      <c r="AO2120" t="s">
        <v>118</v>
      </c>
      <c r="AP2120">
        <v>-89</v>
      </c>
      <c r="AQ2120">
        <v>-80</v>
      </c>
      <c r="AR2120">
        <v>-640</v>
      </c>
      <c r="AZ2120">
        <v>1200</v>
      </c>
      <c r="BA2120">
        <v>1</v>
      </c>
      <c r="BB2120" t="str">
        <f t="shared" si="1167"/>
        <v xml:space="preserve">N9217B  </v>
      </c>
      <c r="BC2120">
        <v>1</v>
      </c>
      <c r="BE2120">
        <v>0</v>
      </c>
      <c r="BF2120">
        <v>0</v>
      </c>
      <c r="BG2120">
        <v>0</v>
      </c>
      <c r="BH2120">
        <v>7750</v>
      </c>
      <c r="BI2120">
        <v>1</v>
      </c>
      <c r="BJ2120">
        <v>0</v>
      </c>
      <c r="BK2120">
        <v>0</v>
      </c>
      <c r="BL2120">
        <v>0</v>
      </c>
      <c r="BO2120">
        <v>0</v>
      </c>
      <c r="BP2120">
        <v>0</v>
      </c>
      <c r="BW2120" t="str">
        <f t="shared" si="1166"/>
        <v>14:54:16.522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6</v>
      </c>
      <c r="CP2120" t="s">
        <v>119</v>
      </c>
      <c r="CQ2120">
        <v>285</v>
      </c>
      <c r="CR2120">
        <v>0</v>
      </c>
      <c r="CW2120">
        <v>8861885</v>
      </c>
      <c r="CY2120">
        <v>0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25">
      <c r="A2121" t="str">
        <f t="shared" ref="A2121:A2127" si="1168">"06/05/2020 14:54:11.937"</f>
        <v>06/05/2020 14:54:11.937</v>
      </c>
      <c r="C2121" t="str">
        <f t="shared" si="1148"/>
        <v>FFDFD3C0</v>
      </c>
      <c r="D2121" t="s">
        <v>134</v>
      </c>
      <c r="E2121">
        <v>7</v>
      </c>
      <c r="F2121">
        <v>2007</v>
      </c>
      <c r="G2121" t="s">
        <v>135</v>
      </c>
      <c r="J2121" t="s">
        <v>136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ref="S2121:S2127" si="1169">"14:54:17.570"</f>
        <v>14:54:17.570</v>
      </c>
      <c r="T2121" t="str">
        <f t="shared" ref="T2121:T2127" si="1170">"14:54:17.370"</f>
        <v>14:54:17.370</v>
      </c>
      <c r="U2121" t="str">
        <f t="shared" si="1165"/>
        <v>ACC530</v>
      </c>
      <c r="V2121">
        <v>0</v>
      </c>
      <c r="W2121">
        <v>0</v>
      </c>
      <c r="X2121">
        <v>1</v>
      </c>
      <c r="Z2121">
        <v>0</v>
      </c>
      <c r="AA2121">
        <v>9</v>
      </c>
      <c r="AB2121">
        <v>3</v>
      </c>
      <c r="AC2121">
        <v>0</v>
      </c>
      <c r="AD2121">
        <v>9</v>
      </c>
      <c r="AE2121">
        <v>0</v>
      </c>
      <c r="AF2121">
        <v>3</v>
      </c>
      <c r="AG2121">
        <v>1</v>
      </c>
      <c r="AH2121">
        <v>0</v>
      </c>
      <c r="AI2121" t="s">
        <v>776</v>
      </c>
      <c r="AJ2121">
        <v>34.167116</v>
      </c>
      <c r="AK2121" t="s">
        <v>777</v>
      </c>
      <c r="AL2121">
        <v>-117.030959</v>
      </c>
      <c r="AM2121">
        <v>100</v>
      </c>
      <c r="AN2121">
        <v>7800</v>
      </c>
      <c r="AO2121" t="s">
        <v>118</v>
      </c>
      <c r="AP2121">
        <v>-90</v>
      </c>
      <c r="AQ2121">
        <v>-79</v>
      </c>
      <c r="AR2121">
        <v>-576</v>
      </c>
      <c r="AZ2121">
        <v>1200</v>
      </c>
      <c r="BA2121">
        <v>1</v>
      </c>
      <c r="BB2121" t="str">
        <f t="shared" si="1167"/>
        <v xml:space="preserve">N9217B  </v>
      </c>
      <c r="BC2121">
        <v>1</v>
      </c>
      <c r="BE2121">
        <v>0</v>
      </c>
      <c r="BF2121">
        <v>0</v>
      </c>
      <c r="BG2121">
        <v>0</v>
      </c>
      <c r="BH2121">
        <v>7750</v>
      </c>
      <c r="BI2121">
        <v>1</v>
      </c>
      <c r="BJ2121">
        <v>0</v>
      </c>
      <c r="BK2121">
        <v>0</v>
      </c>
      <c r="BL2121">
        <v>0</v>
      </c>
      <c r="BO2121">
        <v>0</v>
      </c>
      <c r="BP2121">
        <v>0</v>
      </c>
      <c r="BW2121" t="str">
        <f t="shared" ref="BW2121:BW2127" si="1171">"14:54:17.572"</f>
        <v>14:54:17.572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5</v>
      </c>
      <c r="CP2121" t="s">
        <v>119</v>
      </c>
      <c r="CQ2121">
        <v>285</v>
      </c>
      <c r="CR2121">
        <v>0</v>
      </c>
      <c r="CW2121">
        <v>8861981</v>
      </c>
      <c r="CY2121">
        <v>0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25">
      <c r="A2122" t="str">
        <f t="shared" si="1168"/>
        <v>06/05/2020 14:54:11.937</v>
      </c>
      <c r="C2122" t="str">
        <f t="shared" si="1148"/>
        <v>FFDFD3C0</v>
      </c>
      <c r="D2122" t="s">
        <v>148</v>
      </c>
      <c r="E2122">
        <v>11</v>
      </c>
      <c r="H2122">
        <v>53</v>
      </c>
      <c r="I2122" t="s">
        <v>364</v>
      </c>
      <c r="J2122" t="s">
        <v>150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169"/>
        <v>14:54:17.570</v>
      </c>
      <c r="T2122" t="str">
        <f t="shared" si="1170"/>
        <v>14:54:17.370</v>
      </c>
      <c r="U2122" t="str">
        <f t="shared" si="1165"/>
        <v>ACC530</v>
      </c>
      <c r="V2122">
        <v>0</v>
      </c>
      <c r="W2122">
        <v>0</v>
      </c>
      <c r="X2122">
        <v>1</v>
      </c>
      <c r="Z2122">
        <v>0</v>
      </c>
      <c r="AA2122">
        <v>9</v>
      </c>
      <c r="AB2122">
        <v>3</v>
      </c>
      <c r="AC2122">
        <v>0</v>
      </c>
      <c r="AD2122">
        <v>9</v>
      </c>
      <c r="AE2122">
        <v>0</v>
      </c>
      <c r="AF2122">
        <v>3</v>
      </c>
      <c r="AG2122">
        <v>1</v>
      </c>
      <c r="AH2122">
        <v>0</v>
      </c>
      <c r="AI2122" t="s">
        <v>776</v>
      </c>
      <c r="AJ2122">
        <v>34.167116</v>
      </c>
      <c r="AK2122" t="s">
        <v>777</v>
      </c>
      <c r="AL2122">
        <v>-117.030959</v>
      </c>
      <c r="AM2122">
        <v>100</v>
      </c>
      <c r="AN2122">
        <v>7800</v>
      </c>
      <c r="AO2122" t="s">
        <v>118</v>
      </c>
      <c r="AP2122">
        <v>-90</v>
      </c>
      <c r="AQ2122">
        <v>-79</v>
      </c>
      <c r="AR2122">
        <v>-576</v>
      </c>
      <c r="AZ2122">
        <v>1200</v>
      </c>
      <c r="BA2122">
        <v>1</v>
      </c>
      <c r="BB2122" t="str">
        <f t="shared" si="1167"/>
        <v xml:space="preserve">N9217B  </v>
      </c>
      <c r="BC2122">
        <v>1</v>
      </c>
      <c r="BE2122">
        <v>0</v>
      </c>
      <c r="BF2122">
        <v>0</v>
      </c>
      <c r="BG2122">
        <v>0</v>
      </c>
      <c r="BH2122">
        <v>7750</v>
      </c>
      <c r="BI2122">
        <v>1</v>
      </c>
      <c r="BJ2122">
        <v>0</v>
      </c>
      <c r="BK2122">
        <v>0</v>
      </c>
      <c r="BL2122">
        <v>0</v>
      </c>
      <c r="BO2122">
        <v>0</v>
      </c>
      <c r="BP2122">
        <v>0</v>
      </c>
      <c r="BW2122" t="str">
        <f t="shared" si="1171"/>
        <v>14:54:17.572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5</v>
      </c>
      <c r="CP2122" t="s">
        <v>119</v>
      </c>
      <c r="CQ2122">
        <v>285</v>
      </c>
      <c r="CR2122">
        <v>0</v>
      </c>
      <c r="CW2122">
        <v>8861981</v>
      </c>
      <c r="CY2122">
        <v>0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25">
      <c r="A2123" t="str">
        <f t="shared" si="1168"/>
        <v>06/05/2020 14:54:11.937</v>
      </c>
      <c r="C2123" t="str">
        <f t="shared" si="1148"/>
        <v>FFDFD3C0</v>
      </c>
      <c r="D2123" t="s">
        <v>151</v>
      </c>
      <c r="E2123">
        <v>8</v>
      </c>
      <c r="H2123">
        <v>225</v>
      </c>
      <c r="I2123" t="s">
        <v>353</v>
      </c>
      <c r="J2123" t="s">
        <v>150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169"/>
        <v>14:54:17.570</v>
      </c>
      <c r="T2123" t="str">
        <f t="shared" si="1170"/>
        <v>14:54:17.370</v>
      </c>
      <c r="U2123" t="str">
        <f t="shared" si="1165"/>
        <v>ACC530</v>
      </c>
      <c r="V2123">
        <v>0</v>
      </c>
      <c r="W2123">
        <v>0</v>
      </c>
      <c r="X2123">
        <v>1</v>
      </c>
      <c r="Z2123">
        <v>0</v>
      </c>
      <c r="AA2123">
        <v>9</v>
      </c>
      <c r="AB2123">
        <v>3</v>
      </c>
      <c r="AC2123">
        <v>0</v>
      </c>
      <c r="AD2123">
        <v>9</v>
      </c>
      <c r="AE2123">
        <v>0</v>
      </c>
      <c r="AF2123">
        <v>3</v>
      </c>
      <c r="AG2123">
        <v>1</v>
      </c>
      <c r="AH2123">
        <v>0</v>
      </c>
      <c r="AI2123" t="s">
        <v>776</v>
      </c>
      <c r="AJ2123">
        <v>34.167116</v>
      </c>
      <c r="AK2123" t="s">
        <v>777</v>
      </c>
      <c r="AL2123">
        <v>-117.030959</v>
      </c>
      <c r="AM2123">
        <v>100</v>
      </c>
      <c r="AN2123">
        <v>7800</v>
      </c>
      <c r="AO2123" t="s">
        <v>118</v>
      </c>
      <c r="AP2123">
        <v>-90</v>
      </c>
      <c r="AQ2123">
        <v>-79</v>
      </c>
      <c r="AR2123">
        <v>-576</v>
      </c>
      <c r="AZ2123">
        <v>1200</v>
      </c>
      <c r="BA2123">
        <v>1</v>
      </c>
      <c r="BB2123" t="str">
        <f t="shared" si="1167"/>
        <v xml:space="preserve">N9217B  </v>
      </c>
      <c r="BC2123">
        <v>1</v>
      </c>
      <c r="BE2123">
        <v>0</v>
      </c>
      <c r="BF2123">
        <v>0</v>
      </c>
      <c r="BG2123">
        <v>0</v>
      </c>
      <c r="BH2123">
        <v>7750</v>
      </c>
      <c r="BI2123">
        <v>1</v>
      </c>
      <c r="BJ2123">
        <v>0</v>
      </c>
      <c r="BK2123">
        <v>0</v>
      </c>
      <c r="BL2123">
        <v>0</v>
      </c>
      <c r="BO2123">
        <v>0</v>
      </c>
      <c r="BP2123">
        <v>0</v>
      </c>
      <c r="BW2123" t="str">
        <f t="shared" si="1171"/>
        <v>14:54:17.572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5</v>
      </c>
      <c r="CP2123" t="s">
        <v>119</v>
      </c>
      <c r="CQ2123">
        <v>285</v>
      </c>
      <c r="CR2123">
        <v>0</v>
      </c>
      <c r="CW2123">
        <v>8861981</v>
      </c>
      <c r="CY2123">
        <v>0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25">
      <c r="A2124" t="str">
        <f t="shared" si="1168"/>
        <v>06/05/2020 14:54:11.937</v>
      </c>
      <c r="C2124" t="str">
        <f t="shared" si="1148"/>
        <v>FFDFD3C0</v>
      </c>
      <c r="D2124" t="s">
        <v>148</v>
      </c>
      <c r="E2124">
        <v>8</v>
      </c>
      <c r="H2124">
        <v>50</v>
      </c>
      <c r="I2124" t="s">
        <v>149</v>
      </c>
      <c r="J2124" t="s">
        <v>150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169"/>
        <v>14:54:17.570</v>
      </c>
      <c r="T2124" t="str">
        <f t="shared" si="1170"/>
        <v>14:54:17.370</v>
      </c>
      <c r="U2124" t="str">
        <f t="shared" si="1165"/>
        <v>ACC530</v>
      </c>
      <c r="V2124">
        <v>0</v>
      </c>
      <c r="W2124">
        <v>0</v>
      </c>
      <c r="X2124">
        <v>1</v>
      </c>
      <c r="Z2124">
        <v>0</v>
      </c>
      <c r="AA2124">
        <v>9</v>
      </c>
      <c r="AB2124">
        <v>3</v>
      </c>
      <c r="AC2124">
        <v>0</v>
      </c>
      <c r="AD2124">
        <v>9</v>
      </c>
      <c r="AE2124">
        <v>0</v>
      </c>
      <c r="AF2124">
        <v>3</v>
      </c>
      <c r="AG2124">
        <v>1</v>
      </c>
      <c r="AH2124">
        <v>0</v>
      </c>
      <c r="AI2124" t="s">
        <v>776</v>
      </c>
      <c r="AJ2124">
        <v>34.167116</v>
      </c>
      <c r="AK2124" t="s">
        <v>777</v>
      </c>
      <c r="AL2124">
        <v>-117.030959</v>
      </c>
      <c r="AM2124">
        <v>100</v>
      </c>
      <c r="AN2124">
        <v>7800</v>
      </c>
      <c r="AO2124" t="s">
        <v>118</v>
      </c>
      <c r="AP2124">
        <v>-90</v>
      </c>
      <c r="AQ2124">
        <v>-79</v>
      </c>
      <c r="AR2124">
        <v>-576</v>
      </c>
      <c r="AZ2124">
        <v>1200</v>
      </c>
      <c r="BA2124">
        <v>1</v>
      </c>
      <c r="BB2124" t="str">
        <f t="shared" si="1167"/>
        <v xml:space="preserve">N9217B  </v>
      </c>
      <c r="BC2124">
        <v>1</v>
      </c>
      <c r="BE2124">
        <v>0</v>
      </c>
      <c r="BF2124">
        <v>0</v>
      </c>
      <c r="BG2124">
        <v>0</v>
      </c>
      <c r="BH2124">
        <v>7750</v>
      </c>
      <c r="BI2124">
        <v>1</v>
      </c>
      <c r="BJ2124">
        <v>0</v>
      </c>
      <c r="BK2124">
        <v>0</v>
      </c>
      <c r="BL2124">
        <v>0</v>
      </c>
      <c r="BO2124">
        <v>0</v>
      </c>
      <c r="BP2124">
        <v>0</v>
      </c>
      <c r="BW2124" t="str">
        <f t="shared" si="1171"/>
        <v>14:54:17.572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5</v>
      </c>
      <c r="CP2124" t="s">
        <v>119</v>
      </c>
      <c r="CQ2124">
        <v>285</v>
      </c>
      <c r="CR2124">
        <v>0</v>
      </c>
      <c r="CW2124">
        <v>8861981</v>
      </c>
      <c r="CY2124">
        <v>0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25">
      <c r="A2125" t="str">
        <f t="shared" si="1168"/>
        <v>06/05/2020 14:54:11.937</v>
      </c>
      <c r="C2125" t="str">
        <f t="shared" si="1148"/>
        <v>FFDFD3C0</v>
      </c>
      <c r="D2125" t="s">
        <v>141</v>
      </c>
      <c r="E2125">
        <v>20</v>
      </c>
      <c r="F2125">
        <v>1020</v>
      </c>
      <c r="G2125" t="s">
        <v>114</v>
      </c>
      <c r="J2125" t="s">
        <v>142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169"/>
        <v>14:54:17.570</v>
      </c>
      <c r="T2125" t="str">
        <f t="shared" si="1170"/>
        <v>14:54:17.370</v>
      </c>
      <c r="U2125" t="str">
        <f t="shared" si="1165"/>
        <v>ACC530</v>
      </c>
      <c r="V2125">
        <v>0</v>
      </c>
      <c r="W2125">
        <v>0</v>
      </c>
      <c r="X2125">
        <v>1</v>
      </c>
      <c r="Z2125">
        <v>0</v>
      </c>
      <c r="AA2125">
        <v>9</v>
      </c>
      <c r="AB2125">
        <v>3</v>
      </c>
      <c r="AC2125">
        <v>0</v>
      </c>
      <c r="AD2125">
        <v>9</v>
      </c>
      <c r="AE2125">
        <v>0</v>
      </c>
      <c r="AF2125">
        <v>3</v>
      </c>
      <c r="AG2125">
        <v>1</v>
      </c>
      <c r="AH2125">
        <v>0</v>
      </c>
      <c r="AI2125" t="s">
        <v>776</v>
      </c>
      <c r="AJ2125">
        <v>34.167116</v>
      </c>
      <c r="AK2125" t="s">
        <v>777</v>
      </c>
      <c r="AL2125">
        <v>-117.030959</v>
      </c>
      <c r="AM2125">
        <v>100</v>
      </c>
      <c r="AN2125">
        <v>7800</v>
      </c>
      <c r="AO2125" t="s">
        <v>118</v>
      </c>
      <c r="AP2125">
        <v>-90</v>
      </c>
      <c r="AQ2125">
        <v>-79</v>
      </c>
      <c r="AR2125">
        <v>-576</v>
      </c>
      <c r="AZ2125">
        <v>1200</v>
      </c>
      <c r="BA2125">
        <v>1</v>
      </c>
      <c r="BB2125" t="str">
        <f t="shared" si="1167"/>
        <v xml:space="preserve">N9217B  </v>
      </c>
      <c r="BC2125">
        <v>1</v>
      </c>
      <c r="BE2125">
        <v>0</v>
      </c>
      <c r="BF2125">
        <v>0</v>
      </c>
      <c r="BG2125">
        <v>0</v>
      </c>
      <c r="BH2125">
        <v>7750</v>
      </c>
      <c r="BI2125">
        <v>1</v>
      </c>
      <c r="BJ2125">
        <v>0</v>
      </c>
      <c r="BK2125">
        <v>0</v>
      </c>
      <c r="BL2125">
        <v>0</v>
      </c>
      <c r="BO2125">
        <v>0</v>
      </c>
      <c r="BP2125">
        <v>0</v>
      </c>
      <c r="BW2125" t="str">
        <f t="shared" si="1171"/>
        <v>14:54:17.572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5</v>
      </c>
      <c r="CP2125" t="s">
        <v>119</v>
      </c>
      <c r="CQ2125">
        <v>285</v>
      </c>
      <c r="CR2125">
        <v>0</v>
      </c>
      <c r="CW2125">
        <v>8861981</v>
      </c>
      <c r="CY2125">
        <v>0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25">
      <c r="A2126" t="str">
        <f t="shared" si="1168"/>
        <v>06/05/2020 14:54:11.937</v>
      </c>
      <c r="C2126" t="str">
        <f t="shared" si="1148"/>
        <v>FFDFD3C0</v>
      </c>
      <c r="D2126" t="s">
        <v>151</v>
      </c>
      <c r="E2126">
        <v>9</v>
      </c>
      <c r="H2126">
        <v>226</v>
      </c>
      <c r="I2126" t="s">
        <v>152</v>
      </c>
      <c r="J2126" t="s">
        <v>150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169"/>
        <v>14:54:17.570</v>
      </c>
      <c r="T2126" t="str">
        <f t="shared" si="1170"/>
        <v>14:54:17.370</v>
      </c>
      <c r="U2126" t="str">
        <f t="shared" si="1165"/>
        <v>ACC530</v>
      </c>
      <c r="V2126">
        <v>0</v>
      </c>
      <c r="W2126">
        <v>0</v>
      </c>
      <c r="X2126">
        <v>1</v>
      </c>
      <c r="Z2126">
        <v>0</v>
      </c>
      <c r="AA2126">
        <v>9</v>
      </c>
      <c r="AB2126">
        <v>3</v>
      </c>
      <c r="AC2126">
        <v>0</v>
      </c>
      <c r="AD2126">
        <v>9</v>
      </c>
      <c r="AE2126">
        <v>0</v>
      </c>
      <c r="AF2126">
        <v>3</v>
      </c>
      <c r="AG2126">
        <v>1</v>
      </c>
      <c r="AH2126">
        <v>0</v>
      </c>
      <c r="AI2126" t="s">
        <v>776</v>
      </c>
      <c r="AJ2126">
        <v>34.167116</v>
      </c>
      <c r="AK2126" t="s">
        <v>777</v>
      </c>
      <c r="AL2126">
        <v>-117.030959</v>
      </c>
      <c r="AM2126">
        <v>100</v>
      </c>
      <c r="AN2126">
        <v>7800</v>
      </c>
      <c r="AO2126" t="s">
        <v>118</v>
      </c>
      <c r="AP2126">
        <v>-90</v>
      </c>
      <c r="AQ2126">
        <v>-79</v>
      </c>
      <c r="AR2126">
        <v>-576</v>
      </c>
      <c r="AZ2126">
        <v>1200</v>
      </c>
      <c r="BA2126">
        <v>1</v>
      </c>
      <c r="BB2126" t="str">
        <f t="shared" si="1167"/>
        <v xml:space="preserve">N9217B  </v>
      </c>
      <c r="BC2126">
        <v>1</v>
      </c>
      <c r="BE2126">
        <v>0</v>
      </c>
      <c r="BF2126">
        <v>0</v>
      </c>
      <c r="BG2126">
        <v>0</v>
      </c>
      <c r="BH2126">
        <v>7750</v>
      </c>
      <c r="BI2126">
        <v>1</v>
      </c>
      <c r="BJ2126">
        <v>0</v>
      </c>
      <c r="BK2126">
        <v>0</v>
      </c>
      <c r="BL2126">
        <v>0</v>
      </c>
      <c r="BO2126">
        <v>0</v>
      </c>
      <c r="BP2126">
        <v>0</v>
      </c>
      <c r="BW2126" t="str">
        <f t="shared" si="1171"/>
        <v>14:54:17.572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5</v>
      </c>
      <c r="CP2126" t="s">
        <v>119</v>
      </c>
      <c r="CQ2126">
        <v>285</v>
      </c>
      <c r="CR2126">
        <v>0</v>
      </c>
      <c r="CW2126">
        <v>8861981</v>
      </c>
      <c r="CY2126">
        <v>0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25">
      <c r="A2127" t="str">
        <f t="shared" si="1168"/>
        <v>06/05/2020 14:54:11.937</v>
      </c>
      <c r="C2127" t="str">
        <f t="shared" si="1148"/>
        <v>FFDFD3C0</v>
      </c>
      <c r="D2127" t="s">
        <v>113</v>
      </c>
      <c r="E2127">
        <v>3</v>
      </c>
      <c r="H2127">
        <v>166</v>
      </c>
      <c r="I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169"/>
        <v>14:54:17.570</v>
      </c>
      <c r="T2127" t="str">
        <f t="shared" si="1170"/>
        <v>14:54:17.370</v>
      </c>
      <c r="U2127" t="str">
        <f t="shared" si="1165"/>
        <v>ACC530</v>
      </c>
      <c r="V2127">
        <v>0</v>
      </c>
      <c r="W2127">
        <v>0</v>
      </c>
      <c r="X2127">
        <v>1</v>
      </c>
      <c r="Z2127">
        <v>0</v>
      </c>
      <c r="AA2127">
        <v>9</v>
      </c>
      <c r="AB2127">
        <v>3</v>
      </c>
      <c r="AC2127">
        <v>0</v>
      </c>
      <c r="AD2127">
        <v>9</v>
      </c>
      <c r="AE2127">
        <v>0</v>
      </c>
      <c r="AF2127">
        <v>3</v>
      </c>
      <c r="AG2127">
        <v>1</v>
      </c>
      <c r="AH2127">
        <v>0</v>
      </c>
      <c r="AI2127" t="s">
        <v>776</v>
      </c>
      <c r="AJ2127">
        <v>34.167116</v>
      </c>
      <c r="AK2127" t="s">
        <v>777</v>
      </c>
      <c r="AL2127">
        <v>-117.030959</v>
      </c>
      <c r="AM2127">
        <v>100</v>
      </c>
      <c r="AN2127">
        <v>7800</v>
      </c>
      <c r="AO2127" t="s">
        <v>118</v>
      </c>
      <c r="AP2127">
        <v>-90</v>
      </c>
      <c r="AQ2127">
        <v>-79</v>
      </c>
      <c r="AR2127">
        <v>-576</v>
      </c>
      <c r="AZ2127">
        <v>1200</v>
      </c>
      <c r="BA2127">
        <v>1</v>
      </c>
      <c r="BB2127" t="str">
        <f t="shared" si="1167"/>
        <v xml:space="preserve">N9217B  </v>
      </c>
      <c r="BC2127">
        <v>1</v>
      </c>
      <c r="BE2127">
        <v>0</v>
      </c>
      <c r="BF2127">
        <v>0</v>
      </c>
      <c r="BG2127">
        <v>0</v>
      </c>
      <c r="BH2127">
        <v>7750</v>
      </c>
      <c r="BI2127">
        <v>1</v>
      </c>
      <c r="BJ2127">
        <v>0</v>
      </c>
      <c r="BK2127">
        <v>0</v>
      </c>
      <c r="BL2127">
        <v>0</v>
      </c>
      <c r="BO2127">
        <v>0</v>
      </c>
      <c r="BP2127">
        <v>0</v>
      </c>
      <c r="BW2127" t="str">
        <f t="shared" si="1171"/>
        <v>14:54:17.572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5</v>
      </c>
      <c r="CP2127" t="s">
        <v>119</v>
      </c>
      <c r="CQ2127">
        <v>285</v>
      </c>
      <c r="CR2127">
        <v>0</v>
      </c>
      <c r="CW2127">
        <v>8861981</v>
      </c>
      <c r="CY2127">
        <v>0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25">
      <c r="A2128" t="str">
        <f t="shared" ref="A2128:A2134" si="1172">"06/05/2020 14:54:13.016"</f>
        <v>06/05/2020 14:54:13.016</v>
      </c>
      <c r="C2128" t="str">
        <f t="shared" si="1148"/>
        <v>FFDFD3C0</v>
      </c>
      <c r="D2128" t="s">
        <v>141</v>
      </c>
      <c r="E2128">
        <v>20</v>
      </c>
      <c r="F2128">
        <v>1020</v>
      </c>
      <c r="G2128" t="s">
        <v>114</v>
      </c>
      <c r="J2128" t="s">
        <v>142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ref="S2128:S2134" si="1173">"14:54:18.695"</f>
        <v>14:54:18.695</v>
      </c>
      <c r="T2128" t="str">
        <f t="shared" ref="T2128:T2134" si="1174">"14:54:18.395"</f>
        <v>14:54:18.395</v>
      </c>
      <c r="U2128" t="str">
        <f t="shared" si="1165"/>
        <v>ACC530</v>
      </c>
      <c r="V2128">
        <v>0</v>
      </c>
      <c r="W2128">
        <v>0</v>
      </c>
      <c r="X2128">
        <v>1</v>
      </c>
      <c r="Z2128">
        <v>0</v>
      </c>
      <c r="AA2128">
        <v>9</v>
      </c>
      <c r="AB2128">
        <v>3</v>
      </c>
      <c r="AC2128">
        <v>0</v>
      </c>
      <c r="AD2128">
        <v>9</v>
      </c>
      <c r="AE2128">
        <v>0</v>
      </c>
      <c r="AF2128">
        <v>3</v>
      </c>
      <c r="AG2128">
        <v>1</v>
      </c>
      <c r="AH2128">
        <v>0</v>
      </c>
      <c r="AI2128" t="s">
        <v>778</v>
      </c>
      <c r="AJ2128">
        <v>34.166687000000003</v>
      </c>
      <c r="AK2128" t="s">
        <v>779</v>
      </c>
      <c r="AL2128">
        <v>-117.03151699999999</v>
      </c>
      <c r="AM2128">
        <v>100</v>
      </c>
      <c r="AN2128">
        <v>7800</v>
      </c>
      <c r="AO2128" t="s">
        <v>118</v>
      </c>
      <c r="AP2128">
        <v>-90</v>
      </c>
      <c r="AQ2128">
        <v>-79</v>
      </c>
      <c r="AR2128">
        <v>-576</v>
      </c>
      <c r="AZ2128">
        <v>1200</v>
      </c>
      <c r="BA2128">
        <v>1</v>
      </c>
      <c r="BB2128" t="str">
        <f t="shared" si="1167"/>
        <v xml:space="preserve">N9217B  </v>
      </c>
      <c r="BC2128">
        <v>1</v>
      </c>
      <c r="BE2128">
        <v>0</v>
      </c>
      <c r="BF2128">
        <v>0</v>
      </c>
      <c r="BG2128">
        <v>0</v>
      </c>
      <c r="BH2128">
        <v>7725</v>
      </c>
      <c r="BI2128">
        <v>1</v>
      </c>
      <c r="BJ2128">
        <v>0</v>
      </c>
      <c r="BK2128">
        <v>0</v>
      </c>
      <c r="BL2128">
        <v>0</v>
      </c>
      <c r="BO2128">
        <v>0</v>
      </c>
      <c r="BP2128">
        <v>0</v>
      </c>
      <c r="BW2128" t="str">
        <f t="shared" ref="BW2128:BW2134" si="1175">"14:54:18.697"</f>
        <v>14:54:18.697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285</v>
      </c>
      <c r="CR2128">
        <v>0</v>
      </c>
      <c r="CW2128">
        <v>8862074</v>
      </c>
      <c r="CY2128">
        <v>0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25">
      <c r="A2129" t="str">
        <f t="shared" si="1172"/>
        <v>06/05/2020 14:54:13.016</v>
      </c>
      <c r="C2129" t="str">
        <f t="shared" si="1148"/>
        <v>FFDFD3C0</v>
      </c>
      <c r="D2129" t="s">
        <v>148</v>
      </c>
      <c r="E2129">
        <v>8</v>
      </c>
      <c r="H2129">
        <v>50</v>
      </c>
      <c r="I2129" t="s">
        <v>149</v>
      </c>
      <c r="J2129" t="s">
        <v>150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173"/>
        <v>14:54:18.695</v>
      </c>
      <c r="T2129" t="str">
        <f t="shared" si="1174"/>
        <v>14:54:18.395</v>
      </c>
      <c r="U2129" t="str">
        <f t="shared" si="1165"/>
        <v>ACC530</v>
      </c>
      <c r="V2129">
        <v>0</v>
      </c>
      <c r="W2129">
        <v>0</v>
      </c>
      <c r="X2129">
        <v>1</v>
      </c>
      <c r="Z2129">
        <v>0</v>
      </c>
      <c r="AA2129">
        <v>9</v>
      </c>
      <c r="AB2129">
        <v>3</v>
      </c>
      <c r="AC2129">
        <v>0</v>
      </c>
      <c r="AD2129">
        <v>9</v>
      </c>
      <c r="AE2129">
        <v>0</v>
      </c>
      <c r="AF2129">
        <v>3</v>
      </c>
      <c r="AG2129">
        <v>1</v>
      </c>
      <c r="AH2129">
        <v>0</v>
      </c>
      <c r="AI2129" t="s">
        <v>778</v>
      </c>
      <c r="AJ2129">
        <v>34.166687000000003</v>
      </c>
      <c r="AK2129" t="s">
        <v>779</v>
      </c>
      <c r="AL2129">
        <v>-117.03151699999999</v>
      </c>
      <c r="AM2129">
        <v>100</v>
      </c>
      <c r="AN2129">
        <v>7800</v>
      </c>
      <c r="AO2129" t="s">
        <v>118</v>
      </c>
      <c r="AP2129">
        <v>-90</v>
      </c>
      <c r="AQ2129">
        <v>-79</v>
      </c>
      <c r="AR2129">
        <v>-576</v>
      </c>
      <c r="AZ2129">
        <v>1200</v>
      </c>
      <c r="BA2129">
        <v>1</v>
      </c>
      <c r="BB2129" t="str">
        <f t="shared" si="1167"/>
        <v xml:space="preserve">N9217B  </v>
      </c>
      <c r="BC2129">
        <v>1</v>
      </c>
      <c r="BE2129">
        <v>0</v>
      </c>
      <c r="BF2129">
        <v>0</v>
      </c>
      <c r="BG2129">
        <v>0</v>
      </c>
      <c r="BH2129">
        <v>7725</v>
      </c>
      <c r="BI2129">
        <v>1</v>
      </c>
      <c r="BJ2129">
        <v>0</v>
      </c>
      <c r="BK2129">
        <v>0</v>
      </c>
      <c r="BL2129">
        <v>0</v>
      </c>
      <c r="BO2129">
        <v>0</v>
      </c>
      <c r="BP2129">
        <v>0</v>
      </c>
      <c r="BW2129" t="str">
        <f t="shared" si="1175"/>
        <v>14:54:18.697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285</v>
      </c>
      <c r="CR2129">
        <v>0</v>
      </c>
      <c r="CW2129">
        <v>8862074</v>
      </c>
      <c r="CY2129">
        <v>0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25">
      <c r="A2130" t="str">
        <f t="shared" si="1172"/>
        <v>06/05/2020 14:54:13.016</v>
      </c>
      <c r="C2130" t="str">
        <f t="shared" si="1148"/>
        <v>FFDFD3C0</v>
      </c>
      <c r="D2130" t="s">
        <v>151</v>
      </c>
      <c r="E2130">
        <v>9</v>
      </c>
      <c r="H2130">
        <v>226</v>
      </c>
      <c r="I2130" t="s">
        <v>152</v>
      </c>
      <c r="J2130" t="s">
        <v>150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173"/>
        <v>14:54:18.695</v>
      </c>
      <c r="T2130" t="str">
        <f t="shared" si="1174"/>
        <v>14:54:18.395</v>
      </c>
      <c r="U2130" t="str">
        <f t="shared" si="1165"/>
        <v>ACC530</v>
      </c>
      <c r="V2130">
        <v>0</v>
      </c>
      <c r="W2130">
        <v>0</v>
      </c>
      <c r="X2130">
        <v>1</v>
      </c>
      <c r="Z2130">
        <v>0</v>
      </c>
      <c r="AA2130">
        <v>9</v>
      </c>
      <c r="AB2130">
        <v>3</v>
      </c>
      <c r="AC2130">
        <v>0</v>
      </c>
      <c r="AD2130">
        <v>9</v>
      </c>
      <c r="AE2130">
        <v>0</v>
      </c>
      <c r="AF2130">
        <v>3</v>
      </c>
      <c r="AG2130">
        <v>1</v>
      </c>
      <c r="AH2130">
        <v>0</v>
      </c>
      <c r="AI2130" t="s">
        <v>778</v>
      </c>
      <c r="AJ2130">
        <v>34.166687000000003</v>
      </c>
      <c r="AK2130" t="s">
        <v>779</v>
      </c>
      <c r="AL2130">
        <v>-117.03151699999999</v>
      </c>
      <c r="AM2130">
        <v>100</v>
      </c>
      <c r="AN2130">
        <v>7800</v>
      </c>
      <c r="AO2130" t="s">
        <v>118</v>
      </c>
      <c r="AP2130">
        <v>-90</v>
      </c>
      <c r="AQ2130">
        <v>-79</v>
      </c>
      <c r="AR2130">
        <v>-576</v>
      </c>
      <c r="AZ2130">
        <v>1200</v>
      </c>
      <c r="BA2130">
        <v>1</v>
      </c>
      <c r="BB2130" t="str">
        <f t="shared" si="1167"/>
        <v xml:space="preserve">N9217B  </v>
      </c>
      <c r="BC2130">
        <v>1</v>
      </c>
      <c r="BE2130">
        <v>0</v>
      </c>
      <c r="BF2130">
        <v>0</v>
      </c>
      <c r="BG2130">
        <v>0</v>
      </c>
      <c r="BH2130">
        <v>7725</v>
      </c>
      <c r="BI2130">
        <v>1</v>
      </c>
      <c r="BJ2130">
        <v>0</v>
      </c>
      <c r="BK2130">
        <v>0</v>
      </c>
      <c r="BL2130">
        <v>0</v>
      </c>
      <c r="BO2130">
        <v>0</v>
      </c>
      <c r="BP2130">
        <v>0</v>
      </c>
      <c r="BW2130" t="str">
        <f t="shared" si="1175"/>
        <v>14:54:18.697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285</v>
      </c>
      <c r="CR2130">
        <v>0</v>
      </c>
      <c r="CW2130">
        <v>8862074</v>
      </c>
      <c r="CY2130">
        <v>0</v>
      </c>
      <c r="CZ2130">
        <v>0</v>
      </c>
      <c r="DA2130">
        <v>1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25">
      <c r="A2131" t="str">
        <f t="shared" si="1172"/>
        <v>06/05/2020 14:54:13.016</v>
      </c>
      <c r="C2131" t="str">
        <f t="shared" si="1148"/>
        <v>FFDFD3C0</v>
      </c>
      <c r="D2131" t="s">
        <v>134</v>
      </c>
      <c r="E2131">
        <v>7</v>
      </c>
      <c r="F2131">
        <v>2007</v>
      </c>
      <c r="G2131" t="s">
        <v>135</v>
      </c>
      <c r="J2131" t="s">
        <v>136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173"/>
        <v>14:54:18.695</v>
      </c>
      <c r="T2131" t="str">
        <f t="shared" si="1174"/>
        <v>14:54:18.395</v>
      </c>
      <c r="U2131" t="str">
        <f t="shared" si="1165"/>
        <v>ACC530</v>
      </c>
      <c r="V2131">
        <v>0</v>
      </c>
      <c r="W2131">
        <v>0</v>
      </c>
      <c r="X2131">
        <v>1</v>
      </c>
      <c r="Z2131">
        <v>0</v>
      </c>
      <c r="AA2131">
        <v>9</v>
      </c>
      <c r="AB2131">
        <v>3</v>
      </c>
      <c r="AC2131">
        <v>0</v>
      </c>
      <c r="AD2131">
        <v>9</v>
      </c>
      <c r="AE2131">
        <v>0</v>
      </c>
      <c r="AF2131">
        <v>3</v>
      </c>
      <c r="AG2131">
        <v>1</v>
      </c>
      <c r="AH2131">
        <v>0</v>
      </c>
      <c r="AI2131" t="s">
        <v>778</v>
      </c>
      <c r="AJ2131">
        <v>34.166687000000003</v>
      </c>
      <c r="AK2131" t="s">
        <v>779</v>
      </c>
      <c r="AL2131">
        <v>-117.03151699999999</v>
      </c>
      <c r="AM2131">
        <v>100</v>
      </c>
      <c r="AN2131">
        <v>7800</v>
      </c>
      <c r="AO2131" t="s">
        <v>118</v>
      </c>
      <c r="AP2131">
        <v>-90</v>
      </c>
      <c r="AQ2131">
        <v>-79</v>
      </c>
      <c r="AR2131">
        <v>-576</v>
      </c>
      <c r="AZ2131">
        <v>1200</v>
      </c>
      <c r="BA2131">
        <v>1</v>
      </c>
      <c r="BB2131" t="str">
        <f t="shared" si="1167"/>
        <v xml:space="preserve">N9217B  </v>
      </c>
      <c r="BC2131">
        <v>1</v>
      </c>
      <c r="BE2131">
        <v>0</v>
      </c>
      <c r="BF2131">
        <v>0</v>
      </c>
      <c r="BG2131">
        <v>0</v>
      </c>
      <c r="BH2131">
        <v>7725</v>
      </c>
      <c r="BI2131">
        <v>1</v>
      </c>
      <c r="BJ2131">
        <v>0</v>
      </c>
      <c r="BK2131">
        <v>0</v>
      </c>
      <c r="BL2131">
        <v>0</v>
      </c>
      <c r="BO2131">
        <v>0</v>
      </c>
      <c r="BP2131">
        <v>0</v>
      </c>
      <c r="BW2131" t="str">
        <f t="shared" si="1175"/>
        <v>14:54:18.697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285</v>
      </c>
      <c r="CR2131">
        <v>0</v>
      </c>
      <c r="CW2131">
        <v>8862074</v>
      </c>
      <c r="CY2131">
        <v>0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25">
      <c r="A2132" t="str">
        <f t="shared" si="1172"/>
        <v>06/05/2020 14:54:13.016</v>
      </c>
      <c r="C2132" t="str">
        <f t="shared" si="1148"/>
        <v>FFDFD3C0</v>
      </c>
      <c r="D2132" t="s">
        <v>113</v>
      </c>
      <c r="E2132">
        <v>3</v>
      </c>
      <c r="H2132">
        <v>166</v>
      </c>
      <c r="I2132" t="s">
        <v>114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173"/>
        <v>14:54:18.695</v>
      </c>
      <c r="T2132" t="str">
        <f t="shared" si="1174"/>
        <v>14:54:18.395</v>
      </c>
      <c r="U2132" t="str">
        <f t="shared" si="1165"/>
        <v>ACC530</v>
      </c>
      <c r="V2132">
        <v>0</v>
      </c>
      <c r="W2132">
        <v>0</v>
      </c>
      <c r="X2132">
        <v>1</v>
      </c>
      <c r="Z2132">
        <v>0</v>
      </c>
      <c r="AA2132">
        <v>9</v>
      </c>
      <c r="AB2132">
        <v>3</v>
      </c>
      <c r="AC2132">
        <v>0</v>
      </c>
      <c r="AD2132">
        <v>9</v>
      </c>
      <c r="AE2132">
        <v>0</v>
      </c>
      <c r="AF2132">
        <v>3</v>
      </c>
      <c r="AG2132">
        <v>1</v>
      </c>
      <c r="AH2132">
        <v>0</v>
      </c>
      <c r="AI2132" t="s">
        <v>778</v>
      </c>
      <c r="AJ2132">
        <v>34.166687000000003</v>
      </c>
      <c r="AK2132" t="s">
        <v>779</v>
      </c>
      <c r="AL2132">
        <v>-117.03151699999999</v>
      </c>
      <c r="AM2132">
        <v>100</v>
      </c>
      <c r="AN2132">
        <v>7800</v>
      </c>
      <c r="AO2132" t="s">
        <v>118</v>
      </c>
      <c r="AP2132">
        <v>-90</v>
      </c>
      <c r="AQ2132">
        <v>-79</v>
      </c>
      <c r="AR2132">
        <v>-576</v>
      </c>
      <c r="AZ2132">
        <v>1200</v>
      </c>
      <c r="BA2132">
        <v>1</v>
      </c>
      <c r="BB2132" t="str">
        <f t="shared" si="1167"/>
        <v xml:space="preserve">N9217B  </v>
      </c>
      <c r="BC2132">
        <v>1</v>
      </c>
      <c r="BE2132">
        <v>0</v>
      </c>
      <c r="BF2132">
        <v>0</v>
      </c>
      <c r="BG2132">
        <v>0</v>
      </c>
      <c r="BH2132">
        <v>7725</v>
      </c>
      <c r="BI2132">
        <v>1</v>
      </c>
      <c r="BJ2132">
        <v>0</v>
      </c>
      <c r="BK2132">
        <v>0</v>
      </c>
      <c r="BL2132">
        <v>0</v>
      </c>
      <c r="BO2132">
        <v>0</v>
      </c>
      <c r="BP2132">
        <v>0</v>
      </c>
      <c r="BW2132" t="str">
        <f t="shared" si="1175"/>
        <v>14:54:18.697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6</v>
      </c>
      <c r="CP2132" t="s">
        <v>119</v>
      </c>
      <c r="CQ2132">
        <v>285</v>
      </c>
      <c r="CR2132">
        <v>0</v>
      </c>
      <c r="CW2132">
        <v>8862074</v>
      </c>
      <c r="CY2132">
        <v>0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25">
      <c r="A2133" t="str">
        <f t="shared" si="1172"/>
        <v>06/05/2020 14:54:13.016</v>
      </c>
      <c r="C2133" t="str">
        <f t="shared" si="1148"/>
        <v>FFDFD3C0</v>
      </c>
      <c r="D2133" t="s">
        <v>148</v>
      </c>
      <c r="E2133">
        <v>11</v>
      </c>
      <c r="H2133">
        <v>53</v>
      </c>
      <c r="I2133" t="s">
        <v>364</v>
      </c>
      <c r="J2133" t="s">
        <v>150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173"/>
        <v>14:54:18.695</v>
      </c>
      <c r="T2133" t="str">
        <f t="shared" si="1174"/>
        <v>14:54:18.395</v>
      </c>
      <c r="U2133" t="str">
        <f t="shared" si="1165"/>
        <v>ACC530</v>
      </c>
      <c r="V2133">
        <v>0</v>
      </c>
      <c r="W2133">
        <v>0</v>
      </c>
      <c r="X2133">
        <v>1</v>
      </c>
      <c r="Z2133">
        <v>0</v>
      </c>
      <c r="AA2133">
        <v>9</v>
      </c>
      <c r="AB2133">
        <v>3</v>
      </c>
      <c r="AC2133">
        <v>0</v>
      </c>
      <c r="AD2133">
        <v>9</v>
      </c>
      <c r="AE2133">
        <v>0</v>
      </c>
      <c r="AF2133">
        <v>3</v>
      </c>
      <c r="AG2133">
        <v>1</v>
      </c>
      <c r="AH2133">
        <v>0</v>
      </c>
      <c r="AI2133" t="s">
        <v>778</v>
      </c>
      <c r="AJ2133">
        <v>34.166687000000003</v>
      </c>
      <c r="AK2133" t="s">
        <v>779</v>
      </c>
      <c r="AL2133">
        <v>-117.03151699999999</v>
      </c>
      <c r="AM2133">
        <v>100</v>
      </c>
      <c r="AN2133">
        <v>7800</v>
      </c>
      <c r="AO2133" t="s">
        <v>118</v>
      </c>
      <c r="AP2133">
        <v>-90</v>
      </c>
      <c r="AQ2133">
        <v>-79</v>
      </c>
      <c r="AR2133">
        <v>-576</v>
      </c>
      <c r="AZ2133">
        <v>1200</v>
      </c>
      <c r="BA2133">
        <v>1</v>
      </c>
      <c r="BB2133" t="str">
        <f t="shared" si="1167"/>
        <v xml:space="preserve">N9217B  </v>
      </c>
      <c r="BC2133">
        <v>1</v>
      </c>
      <c r="BE2133">
        <v>0</v>
      </c>
      <c r="BF2133">
        <v>0</v>
      </c>
      <c r="BG2133">
        <v>0</v>
      </c>
      <c r="BH2133">
        <v>7725</v>
      </c>
      <c r="BI2133">
        <v>1</v>
      </c>
      <c r="BJ2133">
        <v>0</v>
      </c>
      <c r="BK2133">
        <v>0</v>
      </c>
      <c r="BL2133">
        <v>0</v>
      </c>
      <c r="BO2133">
        <v>0</v>
      </c>
      <c r="BP2133">
        <v>0</v>
      </c>
      <c r="BW2133" t="str">
        <f t="shared" si="1175"/>
        <v>14:54:18.697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6</v>
      </c>
      <c r="CP2133" t="s">
        <v>119</v>
      </c>
      <c r="CQ2133">
        <v>285</v>
      </c>
      <c r="CR2133">
        <v>0</v>
      </c>
      <c r="CW2133">
        <v>8862074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25">
      <c r="A2134" t="str">
        <f t="shared" si="1172"/>
        <v>06/05/2020 14:54:13.016</v>
      </c>
      <c r="C2134" t="str">
        <f t="shared" si="1148"/>
        <v>FFDFD3C0</v>
      </c>
      <c r="D2134" t="s">
        <v>151</v>
      </c>
      <c r="E2134">
        <v>8</v>
      </c>
      <c r="H2134">
        <v>225</v>
      </c>
      <c r="I2134" t="s">
        <v>353</v>
      </c>
      <c r="J2134" t="s">
        <v>150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173"/>
        <v>14:54:18.695</v>
      </c>
      <c r="T2134" t="str">
        <f t="shared" si="1174"/>
        <v>14:54:18.395</v>
      </c>
      <c r="U2134" t="str">
        <f t="shared" si="1165"/>
        <v>ACC530</v>
      </c>
      <c r="V2134">
        <v>0</v>
      </c>
      <c r="W2134">
        <v>0</v>
      </c>
      <c r="X2134">
        <v>1</v>
      </c>
      <c r="Z2134">
        <v>0</v>
      </c>
      <c r="AA2134">
        <v>9</v>
      </c>
      <c r="AB2134">
        <v>3</v>
      </c>
      <c r="AC2134">
        <v>0</v>
      </c>
      <c r="AD2134">
        <v>9</v>
      </c>
      <c r="AE2134">
        <v>0</v>
      </c>
      <c r="AF2134">
        <v>3</v>
      </c>
      <c r="AG2134">
        <v>1</v>
      </c>
      <c r="AH2134">
        <v>0</v>
      </c>
      <c r="AI2134" t="s">
        <v>778</v>
      </c>
      <c r="AJ2134">
        <v>34.166687000000003</v>
      </c>
      <c r="AK2134" t="s">
        <v>779</v>
      </c>
      <c r="AL2134">
        <v>-117.03151699999999</v>
      </c>
      <c r="AM2134">
        <v>100</v>
      </c>
      <c r="AN2134">
        <v>7800</v>
      </c>
      <c r="AO2134" t="s">
        <v>118</v>
      </c>
      <c r="AP2134">
        <v>-90</v>
      </c>
      <c r="AQ2134">
        <v>-79</v>
      </c>
      <c r="AR2134">
        <v>-576</v>
      </c>
      <c r="AZ2134">
        <v>1200</v>
      </c>
      <c r="BA2134">
        <v>1</v>
      </c>
      <c r="BB2134" t="str">
        <f t="shared" si="1167"/>
        <v xml:space="preserve">N9217B  </v>
      </c>
      <c r="BC2134">
        <v>1</v>
      </c>
      <c r="BE2134">
        <v>0</v>
      </c>
      <c r="BF2134">
        <v>0</v>
      </c>
      <c r="BG2134">
        <v>0</v>
      </c>
      <c r="BH2134">
        <v>7725</v>
      </c>
      <c r="BI2134">
        <v>1</v>
      </c>
      <c r="BJ2134">
        <v>0</v>
      </c>
      <c r="BK2134">
        <v>0</v>
      </c>
      <c r="BL2134">
        <v>0</v>
      </c>
      <c r="BO2134">
        <v>0</v>
      </c>
      <c r="BP2134">
        <v>0</v>
      </c>
      <c r="BW2134" t="str">
        <f t="shared" si="1175"/>
        <v>14:54:18.697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6</v>
      </c>
      <c r="CP2134" t="s">
        <v>119</v>
      </c>
      <c r="CQ2134">
        <v>285</v>
      </c>
      <c r="CR2134">
        <v>0</v>
      </c>
      <c r="CW2134">
        <v>8862074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25">
      <c r="A2135" t="str">
        <f t="shared" ref="A2135:A2141" si="1176">"06/05/2020 14:54:13.964"</f>
        <v>06/05/2020 14:54:13.964</v>
      </c>
      <c r="C2135" t="str">
        <f t="shared" si="1148"/>
        <v>FFDFD3C0</v>
      </c>
      <c r="D2135" t="s">
        <v>151</v>
      </c>
      <c r="E2135">
        <v>8</v>
      </c>
      <c r="H2135">
        <v>225</v>
      </c>
      <c r="I2135" t="s">
        <v>353</v>
      </c>
      <c r="J2135" t="s">
        <v>150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ref="S2135:S2141" si="1177">"14:54:19.656"</f>
        <v>14:54:19.656</v>
      </c>
      <c r="T2135" t="str">
        <f t="shared" ref="T2135:T2141" si="1178">"14:54:19.356"</f>
        <v>14:54:19.356</v>
      </c>
      <c r="U2135" t="str">
        <f t="shared" si="1165"/>
        <v>ACC530</v>
      </c>
      <c r="V2135">
        <v>0</v>
      </c>
      <c r="W2135">
        <v>0</v>
      </c>
      <c r="X2135">
        <v>1</v>
      </c>
      <c r="Z2135">
        <v>0</v>
      </c>
      <c r="AA2135">
        <v>9</v>
      </c>
      <c r="AB2135">
        <v>3</v>
      </c>
      <c r="AC2135">
        <v>0</v>
      </c>
      <c r="AD2135">
        <v>9</v>
      </c>
      <c r="AE2135">
        <v>0</v>
      </c>
      <c r="AF2135">
        <v>3</v>
      </c>
      <c r="AG2135">
        <v>1</v>
      </c>
      <c r="AH2135">
        <v>0</v>
      </c>
      <c r="AI2135" t="s">
        <v>780</v>
      </c>
      <c r="AJ2135">
        <v>34.166386000000003</v>
      </c>
      <c r="AK2135" t="s">
        <v>781</v>
      </c>
      <c r="AL2135">
        <v>-117.03196800000001</v>
      </c>
      <c r="AM2135">
        <v>100</v>
      </c>
      <c r="AN2135">
        <v>7800</v>
      </c>
      <c r="AO2135" t="s">
        <v>118</v>
      </c>
      <c r="AP2135">
        <v>-90</v>
      </c>
      <c r="AQ2135">
        <v>-78</v>
      </c>
      <c r="AR2135">
        <v>-640</v>
      </c>
      <c r="AZ2135">
        <v>1200</v>
      </c>
      <c r="BA2135">
        <v>1</v>
      </c>
      <c r="BB2135" t="str">
        <f t="shared" si="1167"/>
        <v xml:space="preserve">N9217B  </v>
      </c>
      <c r="BC2135">
        <v>1</v>
      </c>
      <c r="BE2135">
        <v>0</v>
      </c>
      <c r="BF2135">
        <v>0</v>
      </c>
      <c r="BG2135">
        <v>0</v>
      </c>
      <c r="BH2135">
        <v>7725</v>
      </c>
      <c r="BI2135">
        <v>1</v>
      </c>
      <c r="BJ2135">
        <v>0</v>
      </c>
      <c r="BK2135">
        <v>0</v>
      </c>
      <c r="BL2135">
        <v>0</v>
      </c>
      <c r="BO2135">
        <v>0</v>
      </c>
      <c r="BP2135">
        <v>0</v>
      </c>
      <c r="BW2135" t="str">
        <f t="shared" ref="BW2135:BW2141" si="1179">"14:54:19.657"</f>
        <v>14:54:19.657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6</v>
      </c>
      <c r="CP2135" t="s">
        <v>119</v>
      </c>
      <c r="CQ2135">
        <v>285</v>
      </c>
      <c r="CR2135">
        <v>0</v>
      </c>
      <c r="CW2135">
        <v>8862164</v>
      </c>
      <c r="CY2135">
        <v>0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25">
      <c r="A2136" t="str">
        <f t="shared" si="1176"/>
        <v>06/05/2020 14:54:13.964</v>
      </c>
      <c r="C2136" t="str">
        <f t="shared" si="1148"/>
        <v>FFDFD3C0</v>
      </c>
      <c r="D2136" t="s">
        <v>141</v>
      </c>
      <c r="E2136">
        <v>20</v>
      </c>
      <c r="F2136">
        <v>1020</v>
      </c>
      <c r="G2136" t="s">
        <v>114</v>
      </c>
      <c r="J2136" t="s">
        <v>142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177"/>
        <v>14:54:19.656</v>
      </c>
      <c r="T2136" t="str">
        <f t="shared" si="1178"/>
        <v>14:54:19.356</v>
      </c>
      <c r="U2136" t="str">
        <f t="shared" si="1165"/>
        <v>ACC530</v>
      </c>
      <c r="V2136">
        <v>0</v>
      </c>
      <c r="W2136">
        <v>0</v>
      </c>
      <c r="X2136">
        <v>1</v>
      </c>
      <c r="Z2136">
        <v>0</v>
      </c>
      <c r="AA2136">
        <v>9</v>
      </c>
      <c r="AB2136">
        <v>3</v>
      </c>
      <c r="AC2136">
        <v>0</v>
      </c>
      <c r="AD2136">
        <v>9</v>
      </c>
      <c r="AE2136">
        <v>0</v>
      </c>
      <c r="AF2136">
        <v>3</v>
      </c>
      <c r="AG2136">
        <v>1</v>
      </c>
      <c r="AH2136">
        <v>0</v>
      </c>
      <c r="AI2136" t="s">
        <v>780</v>
      </c>
      <c r="AJ2136">
        <v>34.166386000000003</v>
      </c>
      <c r="AK2136" t="s">
        <v>781</v>
      </c>
      <c r="AL2136">
        <v>-117.03196800000001</v>
      </c>
      <c r="AM2136">
        <v>100</v>
      </c>
      <c r="AN2136">
        <v>7800</v>
      </c>
      <c r="AO2136" t="s">
        <v>118</v>
      </c>
      <c r="AP2136">
        <v>-90</v>
      </c>
      <c r="AQ2136">
        <v>-78</v>
      </c>
      <c r="AR2136">
        <v>-640</v>
      </c>
      <c r="AZ2136">
        <v>1200</v>
      </c>
      <c r="BA2136">
        <v>1</v>
      </c>
      <c r="BB2136" t="str">
        <f t="shared" si="1167"/>
        <v xml:space="preserve">N9217B  </v>
      </c>
      <c r="BC2136">
        <v>1</v>
      </c>
      <c r="BE2136">
        <v>0</v>
      </c>
      <c r="BF2136">
        <v>0</v>
      </c>
      <c r="BG2136">
        <v>0</v>
      </c>
      <c r="BH2136">
        <v>7725</v>
      </c>
      <c r="BI2136">
        <v>1</v>
      </c>
      <c r="BJ2136">
        <v>0</v>
      </c>
      <c r="BK2136">
        <v>0</v>
      </c>
      <c r="BL2136">
        <v>0</v>
      </c>
      <c r="BO2136">
        <v>0</v>
      </c>
      <c r="BP2136">
        <v>0</v>
      </c>
      <c r="BW2136" t="str">
        <f t="shared" si="1179"/>
        <v>14:54:19.657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6</v>
      </c>
      <c r="CP2136" t="s">
        <v>119</v>
      </c>
      <c r="CQ2136">
        <v>285</v>
      </c>
      <c r="CR2136">
        <v>0</v>
      </c>
      <c r="CW2136">
        <v>8862164</v>
      </c>
      <c r="CY2136">
        <v>0</v>
      </c>
      <c r="CZ2136">
        <v>0</v>
      </c>
      <c r="DA2136">
        <v>1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25">
      <c r="A2137" t="str">
        <f t="shared" si="1176"/>
        <v>06/05/2020 14:54:13.964</v>
      </c>
      <c r="C2137" t="str">
        <f t="shared" si="1148"/>
        <v>FFDFD3C0</v>
      </c>
      <c r="D2137" t="s">
        <v>148</v>
      </c>
      <c r="E2137">
        <v>8</v>
      </c>
      <c r="H2137">
        <v>50</v>
      </c>
      <c r="I2137" t="s">
        <v>149</v>
      </c>
      <c r="J2137" t="s">
        <v>150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177"/>
        <v>14:54:19.656</v>
      </c>
      <c r="T2137" t="str">
        <f t="shared" si="1178"/>
        <v>14:54:19.356</v>
      </c>
      <c r="U2137" t="str">
        <f t="shared" si="1165"/>
        <v>ACC530</v>
      </c>
      <c r="V2137">
        <v>0</v>
      </c>
      <c r="W2137">
        <v>0</v>
      </c>
      <c r="X2137">
        <v>1</v>
      </c>
      <c r="Z2137">
        <v>0</v>
      </c>
      <c r="AA2137">
        <v>9</v>
      </c>
      <c r="AB2137">
        <v>3</v>
      </c>
      <c r="AC2137">
        <v>0</v>
      </c>
      <c r="AD2137">
        <v>9</v>
      </c>
      <c r="AE2137">
        <v>0</v>
      </c>
      <c r="AF2137">
        <v>3</v>
      </c>
      <c r="AG2137">
        <v>1</v>
      </c>
      <c r="AH2137">
        <v>0</v>
      </c>
      <c r="AI2137" t="s">
        <v>780</v>
      </c>
      <c r="AJ2137">
        <v>34.166386000000003</v>
      </c>
      <c r="AK2137" t="s">
        <v>781</v>
      </c>
      <c r="AL2137">
        <v>-117.03196800000001</v>
      </c>
      <c r="AM2137">
        <v>100</v>
      </c>
      <c r="AN2137">
        <v>7800</v>
      </c>
      <c r="AO2137" t="s">
        <v>118</v>
      </c>
      <c r="AP2137">
        <v>-90</v>
      </c>
      <c r="AQ2137">
        <v>-78</v>
      </c>
      <c r="AR2137">
        <v>-640</v>
      </c>
      <c r="AZ2137">
        <v>1200</v>
      </c>
      <c r="BA2137">
        <v>1</v>
      </c>
      <c r="BB2137" t="str">
        <f t="shared" si="1167"/>
        <v xml:space="preserve">N9217B  </v>
      </c>
      <c r="BC2137">
        <v>1</v>
      </c>
      <c r="BE2137">
        <v>0</v>
      </c>
      <c r="BF2137">
        <v>0</v>
      </c>
      <c r="BG2137">
        <v>0</v>
      </c>
      <c r="BH2137">
        <v>7725</v>
      </c>
      <c r="BI2137">
        <v>1</v>
      </c>
      <c r="BJ2137">
        <v>0</v>
      </c>
      <c r="BK2137">
        <v>0</v>
      </c>
      <c r="BL2137">
        <v>0</v>
      </c>
      <c r="BO2137">
        <v>0</v>
      </c>
      <c r="BP2137">
        <v>0</v>
      </c>
      <c r="BW2137" t="str">
        <f t="shared" si="1179"/>
        <v>14:54:19.657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6</v>
      </c>
      <c r="CP2137" t="s">
        <v>119</v>
      </c>
      <c r="CQ2137">
        <v>285</v>
      </c>
      <c r="CR2137">
        <v>0</v>
      </c>
      <c r="CW2137">
        <v>8862164</v>
      </c>
      <c r="CY2137">
        <v>0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25">
      <c r="A2138" t="str">
        <f t="shared" si="1176"/>
        <v>06/05/2020 14:54:13.964</v>
      </c>
      <c r="C2138" t="str">
        <f t="shared" si="1148"/>
        <v>FFDFD3C0</v>
      </c>
      <c r="D2138" t="s">
        <v>151</v>
      </c>
      <c r="E2138">
        <v>9</v>
      </c>
      <c r="H2138">
        <v>226</v>
      </c>
      <c r="I2138" t="s">
        <v>152</v>
      </c>
      <c r="J2138" t="s">
        <v>150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177"/>
        <v>14:54:19.656</v>
      </c>
      <c r="T2138" t="str">
        <f t="shared" si="1178"/>
        <v>14:54:19.356</v>
      </c>
      <c r="U2138" t="str">
        <f t="shared" si="1165"/>
        <v>ACC530</v>
      </c>
      <c r="V2138">
        <v>0</v>
      </c>
      <c r="W2138">
        <v>0</v>
      </c>
      <c r="X2138">
        <v>1</v>
      </c>
      <c r="Z2138">
        <v>0</v>
      </c>
      <c r="AA2138">
        <v>9</v>
      </c>
      <c r="AB2138">
        <v>3</v>
      </c>
      <c r="AC2138">
        <v>0</v>
      </c>
      <c r="AD2138">
        <v>9</v>
      </c>
      <c r="AE2138">
        <v>0</v>
      </c>
      <c r="AF2138">
        <v>3</v>
      </c>
      <c r="AG2138">
        <v>1</v>
      </c>
      <c r="AH2138">
        <v>0</v>
      </c>
      <c r="AI2138" t="s">
        <v>780</v>
      </c>
      <c r="AJ2138">
        <v>34.166386000000003</v>
      </c>
      <c r="AK2138" t="s">
        <v>781</v>
      </c>
      <c r="AL2138">
        <v>-117.03196800000001</v>
      </c>
      <c r="AM2138">
        <v>100</v>
      </c>
      <c r="AN2138">
        <v>7800</v>
      </c>
      <c r="AO2138" t="s">
        <v>118</v>
      </c>
      <c r="AP2138">
        <v>-90</v>
      </c>
      <c r="AQ2138">
        <v>-78</v>
      </c>
      <c r="AR2138">
        <v>-640</v>
      </c>
      <c r="AZ2138">
        <v>1200</v>
      </c>
      <c r="BA2138">
        <v>1</v>
      </c>
      <c r="BB2138" t="str">
        <f t="shared" si="1167"/>
        <v xml:space="preserve">N9217B  </v>
      </c>
      <c r="BC2138">
        <v>1</v>
      </c>
      <c r="BE2138">
        <v>0</v>
      </c>
      <c r="BF2138">
        <v>0</v>
      </c>
      <c r="BG2138">
        <v>0</v>
      </c>
      <c r="BH2138">
        <v>7725</v>
      </c>
      <c r="BI2138">
        <v>1</v>
      </c>
      <c r="BJ2138">
        <v>0</v>
      </c>
      <c r="BK2138">
        <v>0</v>
      </c>
      <c r="BL2138">
        <v>0</v>
      </c>
      <c r="BO2138">
        <v>0</v>
      </c>
      <c r="BP2138">
        <v>0</v>
      </c>
      <c r="BW2138" t="str">
        <f t="shared" si="1179"/>
        <v>14:54:19.657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6</v>
      </c>
      <c r="CP2138" t="s">
        <v>119</v>
      </c>
      <c r="CQ2138">
        <v>285</v>
      </c>
      <c r="CR2138">
        <v>0</v>
      </c>
      <c r="CW2138">
        <v>8862164</v>
      </c>
      <c r="CY2138">
        <v>0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25">
      <c r="A2139" t="str">
        <f t="shared" si="1176"/>
        <v>06/05/2020 14:54:13.964</v>
      </c>
      <c r="C2139" t="str">
        <f t="shared" si="1148"/>
        <v>FFDFD3C0</v>
      </c>
      <c r="D2139" t="s">
        <v>134</v>
      </c>
      <c r="E2139">
        <v>7</v>
      </c>
      <c r="F2139">
        <v>2007</v>
      </c>
      <c r="G2139" t="s">
        <v>135</v>
      </c>
      <c r="J2139" t="s">
        <v>136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177"/>
        <v>14:54:19.656</v>
      </c>
      <c r="T2139" t="str">
        <f t="shared" si="1178"/>
        <v>14:54:19.356</v>
      </c>
      <c r="U2139" t="str">
        <f t="shared" si="1165"/>
        <v>ACC530</v>
      </c>
      <c r="V2139">
        <v>0</v>
      </c>
      <c r="W2139">
        <v>0</v>
      </c>
      <c r="X2139">
        <v>1</v>
      </c>
      <c r="Z2139">
        <v>0</v>
      </c>
      <c r="AA2139">
        <v>9</v>
      </c>
      <c r="AB2139">
        <v>3</v>
      </c>
      <c r="AC2139">
        <v>0</v>
      </c>
      <c r="AD2139">
        <v>9</v>
      </c>
      <c r="AE2139">
        <v>0</v>
      </c>
      <c r="AF2139">
        <v>3</v>
      </c>
      <c r="AG2139">
        <v>1</v>
      </c>
      <c r="AH2139">
        <v>0</v>
      </c>
      <c r="AI2139" t="s">
        <v>780</v>
      </c>
      <c r="AJ2139">
        <v>34.166386000000003</v>
      </c>
      <c r="AK2139" t="s">
        <v>781</v>
      </c>
      <c r="AL2139">
        <v>-117.03196800000001</v>
      </c>
      <c r="AM2139">
        <v>100</v>
      </c>
      <c r="AN2139">
        <v>7800</v>
      </c>
      <c r="AO2139" t="s">
        <v>118</v>
      </c>
      <c r="AP2139">
        <v>-90</v>
      </c>
      <c r="AQ2139">
        <v>-78</v>
      </c>
      <c r="AR2139">
        <v>-640</v>
      </c>
      <c r="AZ2139">
        <v>1200</v>
      </c>
      <c r="BA2139">
        <v>1</v>
      </c>
      <c r="BB2139" t="str">
        <f t="shared" si="1167"/>
        <v xml:space="preserve">N9217B  </v>
      </c>
      <c r="BC2139">
        <v>1</v>
      </c>
      <c r="BE2139">
        <v>0</v>
      </c>
      <c r="BF2139">
        <v>0</v>
      </c>
      <c r="BG2139">
        <v>0</v>
      </c>
      <c r="BH2139">
        <v>7725</v>
      </c>
      <c r="BI2139">
        <v>1</v>
      </c>
      <c r="BJ2139">
        <v>0</v>
      </c>
      <c r="BK2139">
        <v>0</v>
      </c>
      <c r="BL2139">
        <v>0</v>
      </c>
      <c r="BO2139">
        <v>0</v>
      </c>
      <c r="BP2139">
        <v>0</v>
      </c>
      <c r="BW2139" t="str">
        <f t="shared" si="1179"/>
        <v>14:54:19.657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6</v>
      </c>
      <c r="CP2139" t="s">
        <v>119</v>
      </c>
      <c r="CQ2139">
        <v>285</v>
      </c>
      <c r="CR2139">
        <v>0</v>
      </c>
      <c r="CW2139">
        <v>8862164</v>
      </c>
      <c r="CY2139">
        <v>0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25">
      <c r="A2140" t="str">
        <f t="shared" si="1176"/>
        <v>06/05/2020 14:54:13.964</v>
      </c>
      <c r="C2140" t="str">
        <f t="shared" si="1148"/>
        <v>FFDFD3C0</v>
      </c>
      <c r="D2140" t="s">
        <v>113</v>
      </c>
      <c r="E2140">
        <v>3</v>
      </c>
      <c r="H2140">
        <v>166</v>
      </c>
      <c r="I2140" t="s">
        <v>114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177"/>
        <v>14:54:19.656</v>
      </c>
      <c r="T2140" t="str">
        <f t="shared" si="1178"/>
        <v>14:54:19.356</v>
      </c>
      <c r="U2140" t="str">
        <f t="shared" si="1165"/>
        <v>ACC530</v>
      </c>
      <c r="V2140">
        <v>0</v>
      </c>
      <c r="W2140">
        <v>0</v>
      </c>
      <c r="X2140">
        <v>1</v>
      </c>
      <c r="Z2140">
        <v>0</v>
      </c>
      <c r="AA2140">
        <v>9</v>
      </c>
      <c r="AB2140">
        <v>3</v>
      </c>
      <c r="AC2140">
        <v>0</v>
      </c>
      <c r="AD2140">
        <v>9</v>
      </c>
      <c r="AE2140">
        <v>0</v>
      </c>
      <c r="AF2140">
        <v>3</v>
      </c>
      <c r="AG2140">
        <v>1</v>
      </c>
      <c r="AH2140">
        <v>0</v>
      </c>
      <c r="AI2140" t="s">
        <v>780</v>
      </c>
      <c r="AJ2140">
        <v>34.166386000000003</v>
      </c>
      <c r="AK2140" t="s">
        <v>781</v>
      </c>
      <c r="AL2140">
        <v>-117.03196800000001</v>
      </c>
      <c r="AM2140">
        <v>100</v>
      </c>
      <c r="AN2140">
        <v>7800</v>
      </c>
      <c r="AO2140" t="s">
        <v>118</v>
      </c>
      <c r="AP2140">
        <v>-90</v>
      </c>
      <c r="AQ2140">
        <v>-78</v>
      </c>
      <c r="AR2140">
        <v>-640</v>
      </c>
      <c r="AZ2140">
        <v>1200</v>
      </c>
      <c r="BA2140">
        <v>1</v>
      </c>
      <c r="BB2140" t="str">
        <f t="shared" si="1167"/>
        <v xml:space="preserve">N9217B  </v>
      </c>
      <c r="BC2140">
        <v>1</v>
      </c>
      <c r="BE2140">
        <v>0</v>
      </c>
      <c r="BF2140">
        <v>0</v>
      </c>
      <c r="BG2140">
        <v>0</v>
      </c>
      <c r="BH2140">
        <v>7725</v>
      </c>
      <c r="BI2140">
        <v>1</v>
      </c>
      <c r="BJ2140">
        <v>0</v>
      </c>
      <c r="BK2140">
        <v>0</v>
      </c>
      <c r="BL2140">
        <v>0</v>
      </c>
      <c r="BO2140">
        <v>0</v>
      </c>
      <c r="BP2140">
        <v>0</v>
      </c>
      <c r="BW2140" t="str">
        <f t="shared" si="1179"/>
        <v>14:54:19.657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285</v>
      </c>
      <c r="CR2140">
        <v>0</v>
      </c>
      <c r="CW2140">
        <v>8862164</v>
      </c>
      <c r="CY2140">
        <v>0</v>
      </c>
      <c r="CZ2140">
        <v>0</v>
      </c>
      <c r="DA2140">
        <v>1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25">
      <c r="A2141" t="str">
        <f t="shared" si="1176"/>
        <v>06/05/2020 14:54:13.964</v>
      </c>
      <c r="C2141" t="str">
        <f t="shared" si="1148"/>
        <v>FFDFD3C0</v>
      </c>
      <c r="D2141" t="s">
        <v>148</v>
      </c>
      <c r="E2141">
        <v>11</v>
      </c>
      <c r="H2141">
        <v>53</v>
      </c>
      <c r="I2141" t="s">
        <v>364</v>
      </c>
      <c r="J2141" t="s">
        <v>150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177"/>
        <v>14:54:19.656</v>
      </c>
      <c r="T2141" t="str">
        <f t="shared" si="1178"/>
        <v>14:54:19.356</v>
      </c>
      <c r="U2141" t="str">
        <f t="shared" si="1165"/>
        <v>ACC530</v>
      </c>
      <c r="V2141">
        <v>0</v>
      </c>
      <c r="W2141">
        <v>0</v>
      </c>
      <c r="X2141">
        <v>1</v>
      </c>
      <c r="Z2141">
        <v>0</v>
      </c>
      <c r="AA2141">
        <v>9</v>
      </c>
      <c r="AB2141">
        <v>3</v>
      </c>
      <c r="AC2141">
        <v>0</v>
      </c>
      <c r="AD2141">
        <v>9</v>
      </c>
      <c r="AE2141">
        <v>0</v>
      </c>
      <c r="AF2141">
        <v>3</v>
      </c>
      <c r="AG2141">
        <v>1</v>
      </c>
      <c r="AH2141">
        <v>0</v>
      </c>
      <c r="AI2141" t="s">
        <v>780</v>
      </c>
      <c r="AJ2141">
        <v>34.166386000000003</v>
      </c>
      <c r="AK2141" t="s">
        <v>781</v>
      </c>
      <c r="AL2141">
        <v>-117.03196800000001</v>
      </c>
      <c r="AM2141">
        <v>100</v>
      </c>
      <c r="AN2141">
        <v>7800</v>
      </c>
      <c r="AO2141" t="s">
        <v>118</v>
      </c>
      <c r="AP2141">
        <v>-90</v>
      </c>
      <c r="AQ2141">
        <v>-78</v>
      </c>
      <c r="AR2141">
        <v>-640</v>
      </c>
      <c r="AZ2141">
        <v>1200</v>
      </c>
      <c r="BA2141">
        <v>1</v>
      </c>
      <c r="BB2141" t="str">
        <f t="shared" si="1167"/>
        <v xml:space="preserve">N9217B  </v>
      </c>
      <c r="BC2141">
        <v>1</v>
      </c>
      <c r="BE2141">
        <v>0</v>
      </c>
      <c r="BF2141">
        <v>0</v>
      </c>
      <c r="BG2141">
        <v>0</v>
      </c>
      <c r="BH2141">
        <v>7725</v>
      </c>
      <c r="BI2141">
        <v>1</v>
      </c>
      <c r="BJ2141">
        <v>0</v>
      </c>
      <c r="BK2141">
        <v>0</v>
      </c>
      <c r="BL2141">
        <v>0</v>
      </c>
      <c r="BO2141">
        <v>0</v>
      </c>
      <c r="BP2141">
        <v>0</v>
      </c>
      <c r="BW2141" t="str">
        <f t="shared" si="1179"/>
        <v>14:54:19.657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6</v>
      </c>
      <c r="CP2141" t="s">
        <v>119</v>
      </c>
      <c r="CQ2141">
        <v>285</v>
      </c>
      <c r="CR2141">
        <v>0</v>
      </c>
      <c r="CW2141">
        <v>8862164</v>
      </c>
      <c r="CY2141">
        <v>0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25">
      <c r="A2142" t="str">
        <f t="shared" ref="A2142:A2148" si="1180">"06/05/2020 14:54:14.906"</f>
        <v>06/05/2020 14:54:14.906</v>
      </c>
      <c r="C2142" t="str">
        <f t="shared" si="1148"/>
        <v>FFDFD3C0</v>
      </c>
      <c r="D2142" t="s">
        <v>134</v>
      </c>
      <c r="E2142">
        <v>7</v>
      </c>
      <c r="F2142">
        <v>2007</v>
      </c>
      <c r="G2142" t="s">
        <v>135</v>
      </c>
      <c r="J2142" t="s">
        <v>136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ref="S2142:S2148" si="1181">"14:54:20.570"</f>
        <v>14:54:20.570</v>
      </c>
      <c r="T2142" t="str">
        <f t="shared" ref="T2142:T2148" si="1182">"14:54:20.470"</f>
        <v>14:54:20.470</v>
      </c>
      <c r="U2142" t="str">
        <f t="shared" si="1165"/>
        <v>ACC530</v>
      </c>
      <c r="V2142">
        <v>0</v>
      </c>
      <c r="W2142">
        <v>0</v>
      </c>
      <c r="X2142">
        <v>1</v>
      </c>
      <c r="Z2142">
        <v>0</v>
      </c>
      <c r="AA2142">
        <v>9</v>
      </c>
      <c r="AB2142">
        <v>3</v>
      </c>
      <c r="AC2142">
        <v>0</v>
      </c>
      <c r="AD2142">
        <v>9</v>
      </c>
      <c r="AE2142">
        <v>0</v>
      </c>
      <c r="AF2142">
        <v>3</v>
      </c>
      <c r="AG2142">
        <v>1</v>
      </c>
      <c r="AH2142">
        <v>0</v>
      </c>
      <c r="AI2142" t="s">
        <v>782</v>
      </c>
      <c r="AJ2142">
        <v>34.166043000000002</v>
      </c>
      <c r="AK2142" t="s">
        <v>783</v>
      </c>
      <c r="AL2142">
        <v>-117.03243999999999</v>
      </c>
      <c r="AM2142">
        <v>100</v>
      </c>
      <c r="AN2142">
        <v>7700</v>
      </c>
      <c r="AO2142" t="s">
        <v>118</v>
      </c>
      <c r="AP2142">
        <v>-90</v>
      </c>
      <c r="AQ2142">
        <v>-77</v>
      </c>
      <c r="AR2142">
        <v>-640</v>
      </c>
      <c r="AZ2142">
        <v>1200</v>
      </c>
      <c r="BA2142">
        <v>1</v>
      </c>
      <c r="BB2142" t="str">
        <f t="shared" si="1167"/>
        <v xml:space="preserve">N9217B  </v>
      </c>
      <c r="BC2142">
        <v>1</v>
      </c>
      <c r="BE2142">
        <v>0</v>
      </c>
      <c r="BF2142">
        <v>0</v>
      </c>
      <c r="BG2142">
        <v>0</v>
      </c>
      <c r="BH2142">
        <v>7700</v>
      </c>
      <c r="BI2142">
        <v>1</v>
      </c>
      <c r="BJ2142">
        <v>0</v>
      </c>
      <c r="BK2142">
        <v>0</v>
      </c>
      <c r="BL2142">
        <v>0</v>
      </c>
      <c r="BO2142">
        <v>0</v>
      </c>
      <c r="BP2142">
        <v>0</v>
      </c>
      <c r="BW2142" t="str">
        <f t="shared" ref="BW2142:BW2148" si="1183">"14:54:20.572"</f>
        <v>14:54:20.572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6</v>
      </c>
      <c r="CP2142" t="s">
        <v>119</v>
      </c>
      <c r="CQ2142">
        <v>285</v>
      </c>
      <c r="CR2142">
        <v>0</v>
      </c>
      <c r="CW2142">
        <v>8862243</v>
      </c>
      <c r="CY2142">
        <v>0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25">
      <c r="A2143" t="str">
        <f t="shared" si="1180"/>
        <v>06/05/2020 14:54:14.906</v>
      </c>
      <c r="C2143" t="str">
        <f t="shared" si="1148"/>
        <v>FFDFD3C0</v>
      </c>
      <c r="D2143" t="s">
        <v>113</v>
      </c>
      <c r="E2143">
        <v>3</v>
      </c>
      <c r="H2143">
        <v>166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181"/>
        <v>14:54:20.570</v>
      </c>
      <c r="T2143" t="str">
        <f t="shared" si="1182"/>
        <v>14:54:20.470</v>
      </c>
      <c r="U2143" t="str">
        <f t="shared" si="1165"/>
        <v>ACC530</v>
      </c>
      <c r="V2143">
        <v>0</v>
      </c>
      <c r="W2143">
        <v>0</v>
      </c>
      <c r="X2143">
        <v>1</v>
      </c>
      <c r="Z2143">
        <v>0</v>
      </c>
      <c r="AA2143">
        <v>9</v>
      </c>
      <c r="AB2143">
        <v>3</v>
      </c>
      <c r="AC2143">
        <v>0</v>
      </c>
      <c r="AD2143">
        <v>9</v>
      </c>
      <c r="AE2143">
        <v>0</v>
      </c>
      <c r="AF2143">
        <v>3</v>
      </c>
      <c r="AG2143">
        <v>1</v>
      </c>
      <c r="AH2143">
        <v>0</v>
      </c>
      <c r="AI2143" t="s">
        <v>782</v>
      </c>
      <c r="AJ2143">
        <v>34.166043000000002</v>
      </c>
      <c r="AK2143" t="s">
        <v>783</v>
      </c>
      <c r="AL2143">
        <v>-117.03243999999999</v>
      </c>
      <c r="AM2143">
        <v>100</v>
      </c>
      <c r="AN2143">
        <v>7700</v>
      </c>
      <c r="AO2143" t="s">
        <v>118</v>
      </c>
      <c r="AP2143">
        <v>-90</v>
      </c>
      <c r="AQ2143">
        <v>-77</v>
      </c>
      <c r="AR2143">
        <v>-640</v>
      </c>
      <c r="AZ2143">
        <v>1200</v>
      </c>
      <c r="BA2143">
        <v>1</v>
      </c>
      <c r="BB2143" t="str">
        <f t="shared" si="1167"/>
        <v xml:space="preserve">N9217B  </v>
      </c>
      <c r="BC2143">
        <v>1</v>
      </c>
      <c r="BE2143">
        <v>0</v>
      </c>
      <c r="BF2143">
        <v>0</v>
      </c>
      <c r="BG2143">
        <v>0</v>
      </c>
      <c r="BH2143">
        <v>7700</v>
      </c>
      <c r="BI2143">
        <v>1</v>
      </c>
      <c r="BJ2143">
        <v>0</v>
      </c>
      <c r="BK2143">
        <v>0</v>
      </c>
      <c r="BL2143">
        <v>0</v>
      </c>
      <c r="BO2143">
        <v>0</v>
      </c>
      <c r="BP2143">
        <v>0</v>
      </c>
      <c r="BW2143" t="str">
        <f t="shared" si="1183"/>
        <v>14:54:20.572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285</v>
      </c>
      <c r="CR2143">
        <v>0</v>
      </c>
      <c r="CW2143">
        <v>8862243</v>
      </c>
      <c r="CY2143">
        <v>0</v>
      </c>
      <c r="CZ2143">
        <v>0</v>
      </c>
      <c r="DA2143">
        <v>1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25">
      <c r="A2144" t="str">
        <f t="shared" si="1180"/>
        <v>06/05/2020 14:54:14.906</v>
      </c>
      <c r="C2144" t="str">
        <f t="shared" si="1148"/>
        <v>FFDFD3C0</v>
      </c>
      <c r="D2144" t="s">
        <v>148</v>
      </c>
      <c r="E2144">
        <v>11</v>
      </c>
      <c r="H2144">
        <v>53</v>
      </c>
      <c r="I2144" t="s">
        <v>364</v>
      </c>
      <c r="J2144" t="s">
        <v>150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1181"/>
        <v>14:54:20.570</v>
      </c>
      <c r="T2144" t="str">
        <f t="shared" si="1182"/>
        <v>14:54:20.470</v>
      </c>
      <c r="U2144" t="str">
        <f t="shared" si="1165"/>
        <v>ACC530</v>
      </c>
      <c r="V2144">
        <v>0</v>
      </c>
      <c r="W2144">
        <v>0</v>
      </c>
      <c r="X2144">
        <v>1</v>
      </c>
      <c r="Z2144">
        <v>0</v>
      </c>
      <c r="AA2144">
        <v>9</v>
      </c>
      <c r="AB2144">
        <v>3</v>
      </c>
      <c r="AC2144">
        <v>0</v>
      </c>
      <c r="AD2144">
        <v>9</v>
      </c>
      <c r="AE2144">
        <v>0</v>
      </c>
      <c r="AF2144">
        <v>3</v>
      </c>
      <c r="AG2144">
        <v>1</v>
      </c>
      <c r="AH2144">
        <v>0</v>
      </c>
      <c r="AI2144" t="s">
        <v>782</v>
      </c>
      <c r="AJ2144">
        <v>34.166043000000002</v>
      </c>
      <c r="AK2144" t="s">
        <v>783</v>
      </c>
      <c r="AL2144">
        <v>-117.03243999999999</v>
      </c>
      <c r="AM2144">
        <v>100</v>
      </c>
      <c r="AN2144">
        <v>7700</v>
      </c>
      <c r="AO2144" t="s">
        <v>118</v>
      </c>
      <c r="AP2144">
        <v>-90</v>
      </c>
      <c r="AQ2144">
        <v>-77</v>
      </c>
      <c r="AR2144">
        <v>-640</v>
      </c>
      <c r="AZ2144">
        <v>1200</v>
      </c>
      <c r="BA2144">
        <v>1</v>
      </c>
      <c r="BB2144" t="str">
        <f t="shared" si="1167"/>
        <v xml:space="preserve">N9217B  </v>
      </c>
      <c r="BC2144">
        <v>1</v>
      </c>
      <c r="BE2144">
        <v>0</v>
      </c>
      <c r="BF2144">
        <v>0</v>
      </c>
      <c r="BG2144">
        <v>0</v>
      </c>
      <c r="BH2144">
        <v>7700</v>
      </c>
      <c r="BI2144">
        <v>1</v>
      </c>
      <c r="BJ2144">
        <v>0</v>
      </c>
      <c r="BK2144">
        <v>0</v>
      </c>
      <c r="BL2144">
        <v>0</v>
      </c>
      <c r="BO2144">
        <v>0</v>
      </c>
      <c r="BP2144">
        <v>0</v>
      </c>
      <c r="BW2144" t="str">
        <f t="shared" si="1183"/>
        <v>14:54:20.572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6</v>
      </c>
      <c r="CP2144" t="s">
        <v>119</v>
      </c>
      <c r="CQ2144">
        <v>285</v>
      </c>
      <c r="CR2144">
        <v>0</v>
      </c>
      <c r="CW2144">
        <v>8862243</v>
      </c>
      <c r="CY2144">
        <v>0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25">
      <c r="A2145" t="str">
        <f t="shared" si="1180"/>
        <v>06/05/2020 14:54:14.906</v>
      </c>
      <c r="C2145" t="str">
        <f t="shared" si="1148"/>
        <v>FFDFD3C0</v>
      </c>
      <c r="D2145" t="s">
        <v>151</v>
      </c>
      <c r="E2145">
        <v>8</v>
      </c>
      <c r="H2145">
        <v>225</v>
      </c>
      <c r="I2145" t="s">
        <v>353</v>
      </c>
      <c r="J2145" t="s">
        <v>150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181"/>
        <v>14:54:20.570</v>
      </c>
      <c r="T2145" t="str">
        <f t="shared" si="1182"/>
        <v>14:54:20.470</v>
      </c>
      <c r="U2145" t="str">
        <f t="shared" si="1165"/>
        <v>ACC530</v>
      </c>
      <c r="V2145">
        <v>0</v>
      </c>
      <c r="W2145">
        <v>0</v>
      </c>
      <c r="X2145">
        <v>1</v>
      </c>
      <c r="Z2145">
        <v>0</v>
      </c>
      <c r="AA2145">
        <v>9</v>
      </c>
      <c r="AB2145">
        <v>3</v>
      </c>
      <c r="AC2145">
        <v>0</v>
      </c>
      <c r="AD2145">
        <v>9</v>
      </c>
      <c r="AE2145">
        <v>0</v>
      </c>
      <c r="AF2145">
        <v>3</v>
      </c>
      <c r="AG2145">
        <v>1</v>
      </c>
      <c r="AH2145">
        <v>0</v>
      </c>
      <c r="AI2145" t="s">
        <v>782</v>
      </c>
      <c r="AJ2145">
        <v>34.166043000000002</v>
      </c>
      <c r="AK2145" t="s">
        <v>783</v>
      </c>
      <c r="AL2145">
        <v>-117.03243999999999</v>
      </c>
      <c r="AM2145">
        <v>100</v>
      </c>
      <c r="AN2145">
        <v>7700</v>
      </c>
      <c r="AO2145" t="s">
        <v>118</v>
      </c>
      <c r="AP2145">
        <v>-90</v>
      </c>
      <c r="AQ2145">
        <v>-77</v>
      </c>
      <c r="AR2145">
        <v>-640</v>
      </c>
      <c r="AZ2145">
        <v>1200</v>
      </c>
      <c r="BA2145">
        <v>1</v>
      </c>
      <c r="BB2145" t="str">
        <f t="shared" si="1167"/>
        <v xml:space="preserve">N9217B  </v>
      </c>
      <c r="BC2145">
        <v>1</v>
      </c>
      <c r="BE2145">
        <v>0</v>
      </c>
      <c r="BF2145">
        <v>0</v>
      </c>
      <c r="BG2145">
        <v>0</v>
      </c>
      <c r="BH2145">
        <v>7700</v>
      </c>
      <c r="BI2145">
        <v>1</v>
      </c>
      <c r="BJ2145">
        <v>0</v>
      </c>
      <c r="BK2145">
        <v>0</v>
      </c>
      <c r="BL2145">
        <v>0</v>
      </c>
      <c r="BO2145">
        <v>0</v>
      </c>
      <c r="BP2145">
        <v>0</v>
      </c>
      <c r="BW2145" t="str">
        <f t="shared" si="1183"/>
        <v>14:54:20.572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6</v>
      </c>
      <c r="CP2145" t="s">
        <v>119</v>
      </c>
      <c r="CQ2145">
        <v>285</v>
      </c>
      <c r="CR2145">
        <v>0</v>
      </c>
      <c r="CW2145">
        <v>8862243</v>
      </c>
      <c r="CY2145">
        <v>0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25">
      <c r="A2146" t="str">
        <f t="shared" si="1180"/>
        <v>06/05/2020 14:54:14.906</v>
      </c>
      <c r="C2146" t="str">
        <f t="shared" si="1148"/>
        <v>FFDFD3C0</v>
      </c>
      <c r="D2146" t="s">
        <v>141</v>
      </c>
      <c r="E2146">
        <v>20</v>
      </c>
      <c r="F2146">
        <v>1020</v>
      </c>
      <c r="G2146" t="s">
        <v>114</v>
      </c>
      <c r="J2146" t="s">
        <v>142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181"/>
        <v>14:54:20.570</v>
      </c>
      <c r="T2146" t="str">
        <f t="shared" si="1182"/>
        <v>14:54:20.470</v>
      </c>
      <c r="U2146" t="str">
        <f t="shared" si="1165"/>
        <v>ACC530</v>
      </c>
      <c r="V2146">
        <v>0</v>
      </c>
      <c r="W2146">
        <v>0</v>
      </c>
      <c r="X2146">
        <v>1</v>
      </c>
      <c r="Z2146">
        <v>0</v>
      </c>
      <c r="AA2146">
        <v>9</v>
      </c>
      <c r="AB2146">
        <v>3</v>
      </c>
      <c r="AC2146">
        <v>0</v>
      </c>
      <c r="AD2146">
        <v>9</v>
      </c>
      <c r="AE2146">
        <v>0</v>
      </c>
      <c r="AF2146">
        <v>3</v>
      </c>
      <c r="AG2146">
        <v>1</v>
      </c>
      <c r="AH2146">
        <v>0</v>
      </c>
      <c r="AI2146" t="s">
        <v>782</v>
      </c>
      <c r="AJ2146">
        <v>34.166043000000002</v>
      </c>
      <c r="AK2146" t="s">
        <v>783</v>
      </c>
      <c r="AL2146">
        <v>-117.03243999999999</v>
      </c>
      <c r="AM2146">
        <v>100</v>
      </c>
      <c r="AN2146">
        <v>7700</v>
      </c>
      <c r="AO2146" t="s">
        <v>118</v>
      </c>
      <c r="AP2146">
        <v>-90</v>
      </c>
      <c r="AQ2146">
        <v>-77</v>
      </c>
      <c r="AR2146">
        <v>-640</v>
      </c>
      <c r="AZ2146">
        <v>1200</v>
      </c>
      <c r="BA2146">
        <v>1</v>
      </c>
      <c r="BB2146" t="str">
        <f t="shared" si="1167"/>
        <v xml:space="preserve">N9217B  </v>
      </c>
      <c r="BC2146">
        <v>1</v>
      </c>
      <c r="BE2146">
        <v>0</v>
      </c>
      <c r="BF2146">
        <v>0</v>
      </c>
      <c r="BG2146">
        <v>0</v>
      </c>
      <c r="BH2146">
        <v>7700</v>
      </c>
      <c r="BI2146">
        <v>1</v>
      </c>
      <c r="BJ2146">
        <v>0</v>
      </c>
      <c r="BK2146">
        <v>0</v>
      </c>
      <c r="BL2146">
        <v>0</v>
      </c>
      <c r="BO2146">
        <v>0</v>
      </c>
      <c r="BP2146">
        <v>0</v>
      </c>
      <c r="BW2146" t="str">
        <f t="shared" si="1183"/>
        <v>14:54:20.572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6</v>
      </c>
      <c r="CP2146" t="s">
        <v>119</v>
      </c>
      <c r="CQ2146">
        <v>285</v>
      </c>
      <c r="CR2146">
        <v>0</v>
      </c>
      <c r="CW2146">
        <v>8862243</v>
      </c>
      <c r="CY2146">
        <v>0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25">
      <c r="A2147" t="str">
        <f t="shared" si="1180"/>
        <v>06/05/2020 14:54:14.906</v>
      </c>
      <c r="C2147" t="str">
        <f t="shared" ref="C2147:C2210" si="1184">"FFDFD3C0"</f>
        <v>FFDFD3C0</v>
      </c>
      <c r="D2147" t="s">
        <v>148</v>
      </c>
      <c r="E2147">
        <v>8</v>
      </c>
      <c r="H2147">
        <v>50</v>
      </c>
      <c r="I2147" t="s">
        <v>149</v>
      </c>
      <c r="J2147" t="s">
        <v>150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181"/>
        <v>14:54:20.570</v>
      </c>
      <c r="T2147" t="str">
        <f t="shared" si="1182"/>
        <v>14:54:20.470</v>
      </c>
      <c r="U2147" t="str">
        <f t="shared" si="1165"/>
        <v>ACC530</v>
      </c>
      <c r="V2147">
        <v>0</v>
      </c>
      <c r="W2147">
        <v>0</v>
      </c>
      <c r="X2147">
        <v>1</v>
      </c>
      <c r="Z2147">
        <v>0</v>
      </c>
      <c r="AA2147">
        <v>9</v>
      </c>
      <c r="AB2147">
        <v>3</v>
      </c>
      <c r="AC2147">
        <v>0</v>
      </c>
      <c r="AD2147">
        <v>9</v>
      </c>
      <c r="AE2147">
        <v>0</v>
      </c>
      <c r="AF2147">
        <v>3</v>
      </c>
      <c r="AG2147">
        <v>1</v>
      </c>
      <c r="AH2147">
        <v>0</v>
      </c>
      <c r="AI2147" t="s">
        <v>782</v>
      </c>
      <c r="AJ2147">
        <v>34.166043000000002</v>
      </c>
      <c r="AK2147" t="s">
        <v>783</v>
      </c>
      <c r="AL2147">
        <v>-117.03243999999999</v>
      </c>
      <c r="AM2147">
        <v>100</v>
      </c>
      <c r="AN2147">
        <v>7700</v>
      </c>
      <c r="AO2147" t="s">
        <v>118</v>
      </c>
      <c r="AP2147">
        <v>-90</v>
      </c>
      <c r="AQ2147">
        <v>-77</v>
      </c>
      <c r="AR2147">
        <v>-640</v>
      </c>
      <c r="AZ2147">
        <v>1200</v>
      </c>
      <c r="BA2147">
        <v>1</v>
      </c>
      <c r="BB2147" t="str">
        <f t="shared" si="1167"/>
        <v xml:space="preserve">N9217B  </v>
      </c>
      <c r="BC2147">
        <v>1</v>
      </c>
      <c r="BE2147">
        <v>0</v>
      </c>
      <c r="BF2147">
        <v>0</v>
      </c>
      <c r="BG2147">
        <v>0</v>
      </c>
      <c r="BH2147">
        <v>7700</v>
      </c>
      <c r="BI2147">
        <v>1</v>
      </c>
      <c r="BJ2147">
        <v>0</v>
      </c>
      <c r="BK2147">
        <v>0</v>
      </c>
      <c r="BL2147">
        <v>0</v>
      </c>
      <c r="BO2147">
        <v>0</v>
      </c>
      <c r="BP2147">
        <v>0</v>
      </c>
      <c r="BW2147" t="str">
        <f t="shared" si="1183"/>
        <v>14:54:20.572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285</v>
      </c>
      <c r="CR2147">
        <v>0</v>
      </c>
      <c r="CW2147">
        <v>8862243</v>
      </c>
      <c r="CY2147">
        <v>0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25">
      <c r="A2148" t="str">
        <f t="shared" si="1180"/>
        <v>06/05/2020 14:54:14.906</v>
      </c>
      <c r="C2148" t="str">
        <f t="shared" si="1184"/>
        <v>FFDFD3C0</v>
      </c>
      <c r="D2148" t="s">
        <v>151</v>
      </c>
      <c r="E2148">
        <v>9</v>
      </c>
      <c r="H2148">
        <v>226</v>
      </c>
      <c r="I2148" t="s">
        <v>152</v>
      </c>
      <c r="J2148" t="s">
        <v>150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181"/>
        <v>14:54:20.570</v>
      </c>
      <c r="T2148" t="str">
        <f t="shared" si="1182"/>
        <v>14:54:20.470</v>
      </c>
      <c r="U2148" t="str">
        <f t="shared" si="1165"/>
        <v>ACC530</v>
      </c>
      <c r="V2148">
        <v>0</v>
      </c>
      <c r="W2148">
        <v>0</v>
      </c>
      <c r="X2148">
        <v>1</v>
      </c>
      <c r="Z2148">
        <v>0</v>
      </c>
      <c r="AA2148">
        <v>9</v>
      </c>
      <c r="AB2148">
        <v>3</v>
      </c>
      <c r="AC2148">
        <v>0</v>
      </c>
      <c r="AD2148">
        <v>9</v>
      </c>
      <c r="AE2148">
        <v>0</v>
      </c>
      <c r="AF2148">
        <v>3</v>
      </c>
      <c r="AG2148">
        <v>1</v>
      </c>
      <c r="AH2148">
        <v>0</v>
      </c>
      <c r="AI2148" t="s">
        <v>782</v>
      </c>
      <c r="AJ2148">
        <v>34.166043000000002</v>
      </c>
      <c r="AK2148" t="s">
        <v>783</v>
      </c>
      <c r="AL2148">
        <v>-117.03243999999999</v>
      </c>
      <c r="AM2148">
        <v>100</v>
      </c>
      <c r="AN2148">
        <v>7700</v>
      </c>
      <c r="AO2148" t="s">
        <v>118</v>
      </c>
      <c r="AP2148">
        <v>-90</v>
      </c>
      <c r="AQ2148">
        <v>-77</v>
      </c>
      <c r="AR2148">
        <v>-640</v>
      </c>
      <c r="AZ2148">
        <v>1200</v>
      </c>
      <c r="BA2148">
        <v>1</v>
      </c>
      <c r="BB2148" t="str">
        <f t="shared" si="1167"/>
        <v xml:space="preserve">N9217B  </v>
      </c>
      <c r="BC2148">
        <v>1</v>
      </c>
      <c r="BE2148">
        <v>0</v>
      </c>
      <c r="BF2148">
        <v>0</v>
      </c>
      <c r="BG2148">
        <v>0</v>
      </c>
      <c r="BH2148">
        <v>7700</v>
      </c>
      <c r="BI2148">
        <v>1</v>
      </c>
      <c r="BJ2148">
        <v>0</v>
      </c>
      <c r="BK2148">
        <v>0</v>
      </c>
      <c r="BL2148">
        <v>0</v>
      </c>
      <c r="BO2148">
        <v>0</v>
      </c>
      <c r="BP2148">
        <v>0</v>
      </c>
      <c r="BW2148" t="str">
        <f t="shared" si="1183"/>
        <v>14:54:20.572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6</v>
      </c>
      <c r="CP2148" t="s">
        <v>119</v>
      </c>
      <c r="CQ2148">
        <v>285</v>
      </c>
      <c r="CR2148">
        <v>0</v>
      </c>
      <c r="CW2148">
        <v>8862243</v>
      </c>
      <c r="CY2148">
        <v>0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25">
      <c r="A2149" t="str">
        <f t="shared" ref="A2149:A2155" si="1185">"06/05/2020 14:54:15.882"</f>
        <v>06/05/2020 14:54:15.882</v>
      </c>
      <c r="C2149" t="str">
        <f t="shared" si="1184"/>
        <v>FFDFD3C0</v>
      </c>
      <c r="D2149" t="s">
        <v>148</v>
      </c>
      <c r="E2149">
        <v>11</v>
      </c>
      <c r="H2149">
        <v>53</v>
      </c>
      <c r="I2149" t="s">
        <v>364</v>
      </c>
      <c r="J2149" t="s">
        <v>150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ref="S2149:T2155" si="1186">"14:54:21.531"</f>
        <v>14:54:21.531</v>
      </c>
      <c r="T2149" t="str">
        <f t="shared" si="1186"/>
        <v>14:54:21.531</v>
      </c>
      <c r="U2149" t="str">
        <f t="shared" si="1165"/>
        <v>ACC530</v>
      </c>
      <c r="V2149">
        <v>0</v>
      </c>
      <c r="W2149">
        <v>0</v>
      </c>
      <c r="X2149">
        <v>1</v>
      </c>
      <c r="Z2149">
        <v>0</v>
      </c>
      <c r="AA2149">
        <v>9</v>
      </c>
      <c r="AB2149">
        <v>3</v>
      </c>
      <c r="AC2149">
        <v>0</v>
      </c>
      <c r="AD2149">
        <v>9</v>
      </c>
      <c r="AE2149">
        <v>0</v>
      </c>
      <c r="AF2149">
        <v>3</v>
      </c>
      <c r="AG2149">
        <v>1</v>
      </c>
      <c r="AH2149">
        <v>0</v>
      </c>
      <c r="AI2149" t="s">
        <v>784</v>
      </c>
      <c r="AJ2149">
        <v>34.165720999999998</v>
      </c>
      <c r="AK2149" t="s">
        <v>785</v>
      </c>
      <c r="AL2149">
        <v>-117.032955</v>
      </c>
      <c r="AM2149">
        <v>100</v>
      </c>
      <c r="AN2149">
        <v>7700</v>
      </c>
      <c r="AO2149" t="s">
        <v>118</v>
      </c>
      <c r="AP2149">
        <v>-90</v>
      </c>
      <c r="AQ2149">
        <v>-77</v>
      </c>
      <c r="AR2149">
        <v>-640</v>
      </c>
      <c r="AZ2149">
        <v>1200</v>
      </c>
      <c r="BA2149">
        <v>1</v>
      </c>
      <c r="BB2149" t="str">
        <f t="shared" si="1167"/>
        <v xml:space="preserve">N9217B  </v>
      </c>
      <c r="BC2149">
        <v>1</v>
      </c>
      <c r="BE2149">
        <v>0</v>
      </c>
      <c r="BF2149">
        <v>0</v>
      </c>
      <c r="BG2149">
        <v>0</v>
      </c>
      <c r="BH2149">
        <v>7700</v>
      </c>
      <c r="BI2149">
        <v>1</v>
      </c>
      <c r="BJ2149">
        <v>0</v>
      </c>
      <c r="BK2149">
        <v>0</v>
      </c>
      <c r="BL2149">
        <v>0</v>
      </c>
      <c r="BO2149">
        <v>0</v>
      </c>
      <c r="BP2149">
        <v>0</v>
      </c>
      <c r="BW2149" t="str">
        <f t="shared" ref="BW2149:BW2155" si="1187">"14:54:21.531"</f>
        <v>14:54:21.531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6</v>
      </c>
      <c r="CP2149" t="s">
        <v>119</v>
      </c>
      <c r="CQ2149">
        <v>285</v>
      </c>
      <c r="CR2149">
        <v>0</v>
      </c>
      <c r="CW2149">
        <v>8862329</v>
      </c>
      <c r="CY2149">
        <v>0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25">
      <c r="A2150" t="str">
        <f t="shared" si="1185"/>
        <v>06/05/2020 14:54:15.882</v>
      </c>
      <c r="C2150" t="str">
        <f t="shared" si="1184"/>
        <v>FFDFD3C0</v>
      </c>
      <c r="D2150" t="s">
        <v>141</v>
      </c>
      <c r="E2150">
        <v>20</v>
      </c>
      <c r="F2150">
        <v>1020</v>
      </c>
      <c r="G2150" t="s">
        <v>114</v>
      </c>
      <c r="J2150" t="s">
        <v>142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186"/>
        <v>14:54:21.531</v>
      </c>
      <c r="T2150" t="str">
        <f t="shared" si="1186"/>
        <v>14:54:21.531</v>
      </c>
      <c r="U2150" t="str">
        <f t="shared" si="1165"/>
        <v>ACC530</v>
      </c>
      <c r="V2150">
        <v>0</v>
      </c>
      <c r="W2150">
        <v>0</v>
      </c>
      <c r="X2150">
        <v>1</v>
      </c>
      <c r="Z2150">
        <v>0</v>
      </c>
      <c r="AA2150">
        <v>9</v>
      </c>
      <c r="AB2150">
        <v>3</v>
      </c>
      <c r="AC2150">
        <v>0</v>
      </c>
      <c r="AD2150">
        <v>9</v>
      </c>
      <c r="AE2150">
        <v>0</v>
      </c>
      <c r="AF2150">
        <v>3</v>
      </c>
      <c r="AG2150">
        <v>1</v>
      </c>
      <c r="AH2150">
        <v>0</v>
      </c>
      <c r="AI2150" t="s">
        <v>784</v>
      </c>
      <c r="AJ2150">
        <v>34.165720999999998</v>
      </c>
      <c r="AK2150" t="s">
        <v>785</v>
      </c>
      <c r="AL2150">
        <v>-117.032955</v>
      </c>
      <c r="AM2150">
        <v>100</v>
      </c>
      <c r="AN2150">
        <v>7700</v>
      </c>
      <c r="AO2150" t="s">
        <v>118</v>
      </c>
      <c r="AP2150">
        <v>-90</v>
      </c>
      <c r="AQ2150">
        <v>-77</v>
      </c>
      <c r="AR2150">
        <v>-640</v>
      </c>
      <c r="AZ2150">
        <v>1200</v>
      </c>
      <c r="BA2150">
        <v>1</v>
      </c>
      <c r="BB2150" t="str">
        <f t="shared" si="1167"/>
        <v xml:space="preserve">N9217B  </v>
      </c>
      <c r="BC2150">
        <v>1</v>
      </c>
      <c r="BE2150">
        <v>0</v>
      </c>
      <c r="BF2150">
        <v>0</v>
      </c>
      <c r="BG2150">
        <v>0</v>
      </c>
      <c r="BH2150">
        <v>7700</v>
      </c>
      <c r="BI2150">
        <v>1</v>
      </c>
      <c r="BJ2150">
        <v>0</v>
      </c>
      <c r="BK2150">
        <v>0</v>
      </c>
      <c r="BL2150">
        <v>0</v>
      </c>
      <c r="BO2150">
        <v>0</v>
      </c>
      <c r="BP2150">
        <v>0</v>
      </c>
      <c r="BW2150" t="str">
        <f t="shared" si="1187"/>
        <v>14:54:21.531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6</v>
      </c>
      <c r="CP2150" t="s">
        <v>119</v>
      </c>
      <c r="CQ2150">
        <v>285</v>
      </c>
      <c r="CR2150">
        <v>0</v>
      </c>
      <c r="CW2150">
        <v>8862329</v>
      </c>
      <c r="CY2150">
        <v>0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25">
      <c r="A2151" t="str">
        <f t="shared" si="1185"/>
        <v>06/05/2020 14:54:15.882</v>
      </c>
      <c r="C2151" t="str">
        <f t="shared" si="1184"/>
        <v>FFDFD3C0</v>
      </c>
      <c r="D2151" t="s">
        <v>151</v>
      </c>
      <c r="E2151">
        <v>8</v>
      </c>
      <c r="H2151">
        <v>225</v>
      </c>
      <c r="I2151" t="s">
        <v>353</v>
      </c>
      <c r="J2151" t="s">
        <v>150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1186"/>
        <v>14:54:21.531</v>
      </c>
      <c r="T2151" t="str">
        <f t="shared" si="1186"/>
        <v>14:54:21.531</v>
      </c>
      <c r="U2151" t="str">
        <f t="shared" si="1165"/>
        <v>ACC530</v>
      </c>
      <c r="V2151">
        <v>0</v>
      </c>
      <c r="W2151">
        <v>0</v>
      </c>
      <c r="X2151">
        <v>1</v>
      </c>
      <c r="Z2151">
        <v>0</v>
      </c>
      <c r="AA2151">
        <v>9</v>
      </c>
      <c r="AB2151">
        <v>3</v>
      </c>
      <c r="AC2151">
        <v>0</v>
      </c>
      <c r="AD2151">
        <v>9</v>
      </c>
      <c r="AE2151">
        <v>0</v>
      </c>
      <c r="AF2151">
        <v>3</v>
      </c>
      <c r="AG2151">
        <v>1</v>
      </c>
      <c r="AH2151">
        <v>0</v>
      </c>
      <c r="AI2151" t="s">
        <v>784</v>
      </c>
      <c r="AJ2151">
        <v>34.165720999999998</v>
      </c>
      <c r="AK2151" t="s">
        <v>785</v>
      </c>
      <c r="AL2151">
        <v>-117.032955</v>
      </c>
      <c r="AM2151">
        <v>100</v>
      </c>
      <c r="AN2151">
        <v>7700</v>
      </c>
      <c r="AO2151" t="s">
        <v>118</v>
      </c>
      <c r="AP2151">
        <v>-90</v>
      </c>
      <c r="AQ2151">
        <v>-77</v>
      </c>
      <c r="AR2151">
        <v>-640</v>
      </c>
      <c r="AZ2151">
        <v>1200</v>
      </c>
      <c r="BA2151">
        <v>1</v>
      </c>
      <c r="BB2151" t="str">
        <f t="shared" si="1167"/>
        <v xml:space="preserve">N9217B  </v>
      </c>
      <c r="BC2151">
        <v>1</v>
      </c>
      <c r="BE2151">
        <v>0</v>
      </c>
      <c r="BF2151">
        <v>0</v>
      </c>
      <c r="BG2151">
        <v>0</v>
      </c>
      <c r="BH2151">
        <v>7700</v>
      </c>
      <c r="BI2151">
        <v>1</v>
      </c>
      <c r="BJ2151">
        <v>0</v>
      </c>
      <c r="BK2151">
        <v>0</v>
      </c>
      <c r="BL2151">
        <v>0</v>
      </c>
      <c r="BO2151">
        <v>0</v>
      </c>
      <c r="BP2151">
        <v>0</v>
      </c>
      <c r="BW2151" t="str">
        <f t="shared" si="1187"/>
        <v>14:54:21.531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6</v>
      </c>
      <c r="CP2151" t="s">
        <v>119</v>
      </c>
      <c r="CQ2151">
        <v>285</v>
      </c>
      <c r="CR2151">
        <v>0</v>
      </c>
      <c r="CW2151">
        <v>8862329</v>
      </c>
      <c r="CY2151">
        <v>0</v>
      </c>
      <c r="CZ2151">
        <v>0</v>
      </c>
      <c r="DA2151">
        <v>1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25">
      <c r="A2152" t="str">
        <f t="shared" si="1185"/>
        <v>06/05/2020 14:54:15.882</v>
      </c>
      <c r="C2152" t="str">
        <f t="shared" si="1184"/>
        <v>FFDFD3C0</v>
      </c>
      <c r="D2152" t="s">
        <v>148</v>
      </c>
      <c r="E2152">
        <v>8</v>
      </c>
      <c r="H2152">
        <v>50</v>
      </c>
      <c r="I2152" t="s">
        <v>149</v>
      </c>
      <c r="J2152" t="s">
        <v>150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186"/>
        <v>14:54:21.531</v>
      </c>
      <c r="T2152" t="str">
        <f t="shared" si="1186"/>
        <v>14:54:21.531</v>
      </c>
      <c r="U2152" t="str">
        <f t="shared" si="1165"/>
        <v>ACC530</v>
      </c>
      <c r="V2152">
        <v>0</v>
      </c>
      <c r="W2152">
        <v>0</v>
      </c>
      <c r="X2152">
        <v>1</v>
      </c>
      <c r="Z2152">
        <v>0</v>
      </c>
      <c r="AA2152">
        <v>9</v>
      </c>
      <c r="AB2152">
        <v>3</v>
      </c>
      <c r="AC2152">
        <v>0</v>
      </c>
      <c r="AD2152">
        <v>9</v>
      </c>
      <c r="AE2152">
        <v>0</v>
      </c>
      <c r="AF2152">
        <v>3</v>
      </c>
      <c r="AG2152">
        <v>1</v>
      </c>
      <c r="AH2152">
        <v>0</v>
      </c>
      <c r="AI2152" t="s">
        <v>784</v>
      </c>
      <c r="AJ2152">
        <v>34.165720999999998</v>
      </c>
      <c r="AK2152" t="s">
        <v>785</v>
      </c>
      <c r="AL2152">
        <v>-117.032955</v>
      </c>
      <c r="AM2152">
        <v>100</v>
      </c>
      <c r="AN2152">
        <v>7700</v>
      </c>
      <c r="AO2152" t="s">
        <v>118</v>
      </c>
      <c r="AP2152">
        <v>-90</v>
      </c>
      <c r="AQ2152">
        <v>-77</v>
      </c>
      <c r="AR2152">
        <v>-640</v>
      </c>
      <c r="AZ2152">
        <v>1200</v>
      </c>
      <c r="BA2152">
        <v>1</v>
      </c>
      <c r="BB2152" t="str">
        <f t="shared" si="1167"/>
        <v xml:space="preserve">N9217B  </v>
      </c>
      <c r="BC2152">
        <v>1</v>
      </c>
      <c r="BE2152">
        <v>0</v>
      </c>
      <c r="BF2152">
        <v>0</v>
      </c>
      <c r="BG2152">
        <v>0</v>
      </c>
      <c r="BH2152">
        <v>7700</v>
      </c>
      <c r="BI2152">
        <v>1</v>
      </c>
      <c r="BJ2152">
        <v>0</v>
      </c>
      <c r="BK2152">
        <v>0</v>
      </c>
      <c r="BL2152">
        <v>0</v>
      </c>
      <c r="BO2152">
        <v>0</v>
      </c>
      <c r="BP2152">
        <v>0</v>
      </c>
      <c r="BW2152" t="str">
        <f t="shared" si="1187"/>
        <v>14:54:21.531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285</v>
      </c>
      <c r="CR2152">
        <v>0</v>
      </c>
      <c r="CW2152">
        <v>8862329</v>
      </c>
      <c r="CY2152">
        <v>0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25">
      <c r="A2153" t="str">
        <f t="shared" si="1185"/>
        <v>06/05/2020 14:54:15.882</v>
      </c>
      <c r="C2153" t="str">
        <f t="shared" si="1184"/>
        <v>FFDFD3C0</v>
      </c>
      <c r="D2153" t="s">
        <v>151</v>
      </c>
      <c r="E2153">
        <v>9</v>
      </c>
      <c r="H2153">
        <v>226</v>
      </c>
      <c r="I2153" t="s">
        <v>152</v>
      </c>
      <c r="J2153" t="s">
        <v>150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186"/>
        <v>14:54:21.531</v>
      </c>
      <c r="T2153" t="str">
        <f t="shared" si="1186"/>
        <v>14:54:21.531</v>
      </c>
      <c r="U2153" t="str">
        <f t="shared" si="1165"/>
        <v>ACC530</v>
      </c>
      <c r="V2153">
        <v>0</v>
      </c>
      <c r="W2153">
        <v>0</v>
      </c>
      <c r="X2153">
        <v>1</v>
      </c>
      <c r="Z2153">
        <v>0</v>
      </c>
      <c r="AA2153">
        <v>9</v>
      </c>
      <c r="AB2153">
        <v>3</v>
      </c>
      <c r="AC2153">
        <v>0</v>
      </c>
      <c r="AD2153">
        <v>9</v>
      </c>
      <c r="AE2153">
        <v>0</v>
      </c>
      <c r="AF2153">
        <v>3</v>
      </c>
      <c r="AG2153">
        <v>1</v>
      </c>
      <c r="AH2153">
        <v>0</v>
      </c>
      <c r="AI2153" t="s">
        <v>784</v>
      </c>
      <c r="AJ2153">
        <v>34.165720999999998</v>
      </c>
      <c r="AK2153" t="s">
        <v>785</v>
      </c>
      <c r="AL2153">
        <v>-117.032955</v>
      </c>
      <c r="AM2153">
        <v>100</v>
      </c>
      <c r="AN2153">
        <v>7700</v>
      </c>
      <c r="AO2153" t="s">
        <v>118</v>
      </c>
      <c r="AP2153">
        <v>-90</v>
      </c>
      <c r="AQ2153">
        <v>-77</v>
      </c>
      <c r="AR2153">
        <v>-640</v>
      </c>
      <c r="AZ2153">
        <v>1200</v>
      </c>
      <c r="BA2153">
        <v>1</v>
      </c>
      <c r="BB2153" t="str">
        <f t="shared" si="1167"/>
        <v xml:space="preserve">N9217B  </v>
      </c>
      <c r="BC2153">
        <v>1</v>
      </c>
      <c r="BE2153">
        <v>0</v>
      </c>
      <c r="BF2153">
        <v>0</v>
      </c>
      <c r="BG2153">
        <v>0</v>
      </c>
      <c r="BH2153">
        <v>7700</v>
      </c>
      <c r="BI2153">
        <v>1</v>
      </c>
      <c r="BJ2153">
        <v>0</v>
      </c>
      <c r="BK2153">
        <v>0</v>
      </c>
      <c r="BL2153">
        <v>0</v>
      </c>
      <c r="BO2153">
        <v>0</v>
      </c>
      <c r="BP2153">
        <v>0</v>
      </c>
      <c r="BW2153" t="str">
        <f t="shared" si="1187"/>
        <v>14:54:21.531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285</v>
      </c>
      <c r="CR2153">
        <v>0</v>
      </c>
      <c r="CW2153">
        <v>8862329</v>
      </c>
      <c r="CY2153">
        <v>0</v>
      </c>
      <c r="CZ2153">
        <v>0</v>
      </c>
      <c r="DA2153">
        <v>1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25">
      <c r="A2154" t="str">
        <f t="shared" si="1185"/>
        <v>06/05/2020 14:54:15.882</v>
      </c>
      <c r="C2154" t="str">
        <f t="shared" si="1184"/>
        <v>FFDFD3C0</v>
      </c>
      <c r="D2154" t="s">
        <v>134</v>
      </c>
      <c r="E2154">
        <v>7</v>
      </c>
      <c r="F2154">
        <v>2007</v>
      </c>
      <c r="G2154" t="s">
        <v>135</v>
      </c>
      <c r="J2154" t="s">
        <v>136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186"/>
        <v>14:54:21.531</v>
      </c>
      <c r="T2154" t="str">
        <f t="shared" si="1186"/>
        <v>14:54:21.531</v>
      </c>
      <c r="U2154" t="str">
        <f t="shared" si="1165"/>
        <v>ACC530</v>
      </c>
      <c r="V2154">
        <v>0</v>
      </c>
      <c r="W2154">
        <v>0</v>
      </c>
      <c r="X2154">
        <v>1</v>
      </c>
      <c r="Z2154">
        <v>0</v>
      </c>
      <c r="AA2154">
        <v>9</v>
      </c>
      <c r="AB2154">
        <v>3</v>
      </c>
      <c r="AC2154">
        <v>0</v>
      </c>
      <c r="AD2154">
        <v>9</v>
      </c>
      <c r="AE2154">
        <v>0</v>
      </c>
      <c r="AF2154">
        <v>3</v>
      </c>
      <c r="AG2154">
        <v>1</v>
      </c>
      <c r="AH2154">
        <v>0</v>
      </c>
      <c r="AI2154" t="s">
        <v>784</v>
      </c>
      <c r="AJ2154">
        <v>34.165720999999998</v>
      </c>
      <c r="AK2154" t="s">
        <v>785</v>
      </c>
      <c r="AL2154">
        <v>-117.032955</v>
      </c>
      <c r="AM2154">
        <v>100</v>
      </c>
      <c r="AN2154">
        <v>7700</v>
      </c>
      <c r="AO2154" t="s">
        <v>118</v>
      </c>
      <c r="AP2154">
        <v>-90</v>
      </c>
      <c r="AQ2154">
        <v>-77</v>
      </c>
      <c r="AR2154">
        <v>-640</v>
      </c>
      <c r="AZ2154">
        <v>1200</v>
      </c>
      <c r="BA2154">
        <v>1</v>
      </c>
      <c r="BB2154" t="str">
        <f t="shared" si="1167"/>
        <v xml:space="preserve">N9217B  </v>
      </c>
      <c r="BC2154">
        <v>1</v>
      </c>
      <c r="BE2154">
        <v>0</v>
      </c>
      <c r="BF2154">
        <v>0</v>
      </c>
      <c r="BG2154">
        <v>0</v>
      </c>
      <c r="BH2154">
        <v>7700</v>
      </c>
      <c r="BI2154">
        <v>1</v>
      </c>
      <c r="BJ2154">
        <v>0</v>
      </c>
      <c r="BK2154">
        <v>0</v>
      </c>
      <c r="BL2154">
        <v>0</v>
      </c>
      <c r="BO2154">
        <v>0</v>
      </c>
      <c r="BP2154">
        <v>0</v>
      </c>
      <c r="BW2154" t="str">
        <f t="shared" si="1187"/>
        <v>14:54:21.531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285</v>
      </c>
      <c r="CR2154">
        <v>0</v>
      </c>
      <c r="CW2154">
        <v>8862329</v>
      </c>
      <c r="CY2154">
        <v>0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25">
      <c r="A2155" t="str">
        <f t="shared" si="1185"/>
        <v>06/05/2020 14:54:15.882</v>
      </c>
      <c r="C2155" t="str">
        <f t="shared" si="1184"/>
        <v>FFDFD3C0</v>
      </c>
      <c r="D2155" t="s">
        <v>113</v>
      </c>
      <c r="E2155">
        <v>3</v>
      </c>
      <c r="H2155">
        <v>166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186"/>
        <v>14:54:21.531</v>
      </c>
      <c r="T2155" t="str">
        <f t="shared" si="1186"/>
        <v>14:54:21.531</v>
      </c>
      <c r="U2155" t="str">
        <f t="shared" si="1165"/>
        <v>ACC530</v>
      </c>
      <c r="V2155">
        <v>0</v>
      </c>
      <c r="W2155">
        <v>0</v>
      </c>
      <c r="X2155">
        <v>1</v>
      </c>
      <c r="Z2155">
        <v>0</v>
      </c>
      <c r="AA2155">
        <v>9</v>
      </c>
      <c r="AB2155">
        <v>3</v>
      </c>
      <c r="AC2155">
        <v>0</v>
      </c>
      <c r="AD2155">
        <v>9</v>
      </c>
      <c r="AE2155">
        <v>0</v>
      </c>
      <c r="AF2155">
        <v>3</v>
      </c>
      <c r="AG2155">
        <v>1</v>
      </c>
      <c r="AH2155">
        <v>0</v>
      </c>
      <c r="AI2155" t="s">
        <v>784</v>
      </c>
      <c r="AJ2155">
        <v>34.165720999999998</v>
      </c>
      <c r="AK2155" t="s">
        <v>785</v>
      </c>
      <c r="AL2155">
        <v>-117.032955</v>
      </c>
      <c r="AM2155">
        <v>100</v>
      </c>
      <c r="AN2155">
        <v>7700</v>
      </c>
      <c r="AO2155" t="s">
        <v>118</v>
      </c>
      <c r="AP2155">
        <v>-90</v>
      </c>
      <c r="AQ2155">
        <v>-77</v>
      </c>
      <c r="AR2155">
        <v>-640</v>
      </c>
      <c r="AZ2155">
        <v>1200</v>
      </c>
      <c r="BA2155">
        <v>1</v>
      </c>
      <c r="BB2155" t="str">
        <f t="shared" si="1167"/>
        <v xml:space="preserve">N9217B  </v>
      </c>
      <c r="BC2155">
        <v>1</v>
      </c>
      <c r="BE2155">
        <v>0</v>
      </c>
      <c r="BF2155">
        <v>0</v>
      </c>
      <c r="BG2155">
        <v>0</v>
      </c>
      <c r="BH2155">
        <v>7700</v>
      </c>
      <c r="BI2155">
        <v>1</v>
      </c>
      <c r="BJ2155">
        <v>0</v>
      </c>
      <c r="BK2155">
        <v>0</v>
      </c>
      <c r="BL2155">
        <v>0</v>
      </c>
      <c r="BO2155">
        <v>0</v>
      </c>
      <c r="BP2155">
        <v>0</v>
      </c>
      <c r="BW2155" t="str">
        <f t="shared" si="1187"/>
        <v>14:54:21.531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285</v>
      </c>
      <c r="CR2155">
        <v>0</v>
      </c>
      <c r="CW2155">
        <v>8862329</v>
      </c>
      <c r="CY2155">
        <v>0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25">
      <c r="A2156" t="str">
        <f t="shared" ref="A2156:A2162" si="1188">"06/05/2020 14:54:16.867"</f>
        <v>06/05/2020 14:54:16.867</v>
      </c>
      <c r="C2156" t="str">
        <f t="shared" si="1184"/>
        <v>FFDFD3C0</v>
      </c>
      <c r="D2156" t="s">
        <v>148</v>
      </c>
      <c r="E2156">
        <v>8</v>
      </c>
      <c r="H2156">
        <v>50</v>
      </c>
      <c r="I2156" t="s">
        <v>149</v>
      </c>
      <c r="J2156" t="s">
        <v>150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ref="S2156:T2162" si="1189">"14:54:22.500"</f>
        <v>14:54:22.500</v>
      </c>
      <c r="T2156" t="str">
        <f t="shared" si="1189"/>
        <v>14:54:22.500</v>
      </c>
      <c r="U2156" t="str">
        <f t="shared" si="1165"/>
        <v>ACC530</v>
      </c>
      <c r="V2156">
        <v>0</v>
      </c>
      <c r="W2156">
        <v>0</v>
      </c>
      <c r="X2156">
        <v>1</v>
      </c>
      <c r="Z2156">
        <v>0</v>
      </c>
      <c r="AA2156">
        <v>9</v>
      </c>
      <c r="AB2156">
        <v>3</v>
      </c>
      <c r="AC2156">
        <v>0</v>
      </c>
      <c r="AD2156">
        <v>9</v>
      </c>
      <c r="AE2156">
        <v>0</v>
      </c>
      <c r="AF2156">
        <v>3</v>
      </c>
      <c r="AG2156">
        <v>1</v>
      </c>
      <c r="AH2156">
        <v>0</v>
      </c>
      <c r="AI2156" t="s">
        <v>786</v>
      </c>
      <c r="AJ2156">
        <v>34.165334999999999</v>
      </c>
      <c r="AK2156" t="s">
        <v>787</v>
      </c>
      <c r="AL2156">
        <v>-117.033427</v>
      </c>
      <c r="AM2156">
        <v>100</v>
      </c>
      <c r="AN2156">
        <v>7700</v>
      </c>
      <c r="AO2156" t="s">
        <v>118</v>
      </c>
      <c r="AP2156">
        <v>-90</v>
      </c>
      <c r="AQ2156">
        <v>-76</v>
      </c>
      <c r="AR2156">
        <v>-704</v>
      </c>
      <c r="AZ2156">
        <v>1200</v>
      </c>
      <c r="BA2156">
        <v>1</v>
      </c>
      <c r="BB2156" t="str">
        <f t="shared" si="1167"/>
        <v xml:space="preserve">N9217B  </v>
      </c>
      <c r="BC2156">
        <v>1</v>
      </c>
      <c r="BE2156">
        <v>0</v>
      </c>
      <c r="BF2156">
        <v>0</v>
      </c>
      <c r="BG2156">
        <v>0</v>
      </c>
      <c r="BH2156">
        <v>7675</v>
      </c>
      <c r="BI2156">
        <v>1</v>
      </c>
      <c r="BJ2156">
        <v>0</v>
      </c>
      <c r="BK2156">
        <v>0</v>
      </c>
      <c r="BL2156">
        <v>0</v>
      </c>
      <c r="BO2156">
        <v>0</v>
      </c>
      <c r="BP2156">
        <v>0</v>
      </c>
      <c r="BW2156" t="str">
        <f t="shared" ref="BW2156:BW2162" si="1190">"14:54:22.506"</f>
        <v>14:54:22.506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119</v>
      </c>
      <c r="CQ2156">
        <v>285</v>
      </c>
      <c r="CR2156">
        <v>0</v>
      </c>
      <c r="CW2156">
        <v>8862422</v>
      </c>
      <c r="CY2156">
        <v>0</v>
      </c>
      <c r="CZ2156">
        <v>0</v>
      </c>
      <c r="DA2156">
        <v>0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25">
      <c r="A2157" t="str">
        <f t="shared" si="1188"/>
        <v>06/05/2020 14:54:16.867</v>
      </c>
      <c r="C2157" t="str">
        <f t="shared" si="1184"/>
        <v>FFDFD3C0</v>
      </c>
      <c r="D2157" t="s">
        <v>151</v>
      </c>
      <c r="E2157">
        <v>9</v>
      </c>
      <c r="H2157">
        <v>226</v>
      </c>
      <c r="I2157" t="s">
        <v>152</v>
      </c>
      <c r="J2157" t="s">
        <v>150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89"/>
        <v>14:54:22.500</v>
      </c>
      <c r="T2157" t="str">
        <f t="shared" si="1189"/>
        <v>14:54:22.500</v>
      </c>
      <c r="U2157" t="str">
        <f t="shared" si="1165"/>
        <v>ACC530</v>
      </c>
      <c r="V2157">
        <v>0</v>
      </c>
      <c r="W2157">
        <v>0</v>
      </c>
      <c r="X2157">
        <v>1</v>
      </c>
      <c r="Z2157">
        <v>0</v>
      </c>
      <c r="AA2157">
        <v>9</v>
      </c>
      <c r="AB2157">
        <v>3</v>
      </c>
      <c r="AC2157">
        <v>0</v>
      </c>
      <c r="AD2157">
        <v>9</v>
      </c>
      <c r="AE2157">
        <v>0</v>
      </c>
      <c r="AF2157">
        <v>3</v>
      </c>
      <c r="AG2157">
        <v>1</v>
      </c>
      <c r="AH2157">
        <v>0</v>
      </c>
      <c r="AI2157" t="s">
        <v>786</v>
      </c>
      <c r="AJ2157">
        <v>34.165334999999999</v>
      </c>
      <c r="AK2157" t="s">
        <v>787</v>
      </c>
      <c r="AL2157">
        <v>-117.033427</v>
      </c>
      <c r="AM2157">
        <v>100</v>
      </c>
      <c r="AN2157">
        <v>7700</v>
      </c>
      <c r="AO2157" t="s">
        <v>118</v>
      </c>
      <c r="AP2157">
        <v>-90</v>
      </c>
      <c r="AQ2157">
        <v>-76</v>
      </c>
      <c r="AR2157">
        <v>-704</v>
      </c>
      <c r="AZ2157">
        <v>1200</v>
      </c>
      <c r="BA2157">
        <v>1</v>
      </c>
      <c r="BB2157" t="str">
        <f t="shared" si="1167"/>
        <v xml:space="preserve">N9217B  </v>
      </c>
      <c r="BC2157">
        <v>1</v>
      </c>
      <c r="BE2157">
        <v>0</v>
      </c>
      <c r="BF2157">
        <v>0</v>
      </c>
      <c r="BG2157">
        <v>0</v>
      </c>
      <c r="BH2157">
        <v>7675</v>
      </c>
      <c r="BI2157">
        <v>1</v>
      </c>
      <c r="BJ2157">
        <v>0</v>
      </c>
      <c r="BK2157">
        <v>0</v>
      </c>
      <c r="BL2157">
        <v>0</v>
      </c>
      <c r="BO2157">
        <v>0</v>
      </c>
      <c r="BP2157">
        <v>0</v>
      </c>
      <c r="BW2157" t="str">
        <f t="shared" si="1190"/>
        <v>14:54:22.506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119</v>
      </c>
      <c r="CQ2157">
        <v>285</v>
      </c>
      <c r="CR2157">
        <v>0</v>
      </c>
      <c r="CW2157">
        <v>8862422</v>
      </c>
      <c r="CY2157">
        <v>0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25">
      <c r="A2158" t="str">
        <f t="shared" si="1188"/>
        <v>06/05/2020 14:54:16.867</v>
      </c>
      <c r="C2158" t="str">
        <f t="shared" si="1184"/>
        <v>FFDFD3C0</v>
      </c>
      <c r="D2158" t="s">
        <v>134</v>
      </c>
      <c r="E2158">
        <v>7</v>
      </c>
      <c r="F2158">
        <v>2007</v>
      </c>
      <c r="G2158" t="s">
        <v>135</v>
      </c>
      <c r="J2158" t="s">
        <v>136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189"/>
        <v>14:54:22.500</v>
      </c>
      <c r="T2158" t="str">
        <f t="shared" si="1189"/>
        <v>14:54:22.500</v>
      </c>
      <c r="U2158" t="str">
        <f t="shared" si="1165"/>
        <v>ACC530</v>
      </c>
      <c r="V2158">
        <v>0</v>
      </c>
      <c r="W2158">
        <v>0</v>
      </c>
      <c r="X2158">
        <v>1</v>
      </c>
      <c r="Z2158">
        <v>0</v>
      </c>
      <c r="AA2158">
        <v>9</v>
      </c>
      <c r="AB2158">
        <v>3</v>
      </c>
      <c r="AC2158">
        <v>0</v>
      </c>
      <c r="AD2158">
        <v>9</v>
      </c>
      <c r="AE2158">
        <v>0</v>
      </c>
      <c r="AF2158">
        <v>3</v>
      </c>
      <c r="AG2158">
        <v>1</v>
      </c>
      <c r="AH2158">
        <v>0</v>
      </c>
      <c r="AI2158" t="s">
        <v>786</v>
      </c>
      <c r="AJ2158">
        <v>34.165334999999999</v>
      </c>
      <c r="AK2158" t="s">
        <v>787</v>
      </c>
      <c r="AL2158">
        <v>-117.033427</v>
      </c>
      <c r="AM2158">
        <v>100</v>
      </c>
      <c r="AN2158">
        <v>7700</v>
      </c>
      <c r="AO2158" t="s">
        <v>118</v>
      </c>
      <c r="AP2158">
        <v>-90</v>
      </c>
      <c r="AQ2158">
        <v>-76</v>
      </c>
      <c r="AR2158">
        <v>-704</v>
      </c>
      <c r="AZ2158">
        <v>1200</v>
      </c>
      <c r="BA2158">
        <v>1</v>
      </c>
      <c r="BB2158" t="str">
        <f t="shared" si="1167"/>
        <v xml:space="preserve">N9217B  </v>
      </c>
      <c r="BC2158">
        <v>1</v>
      </c>
      <c r="BE2158">
        <v>0</v>
      </c>
      <c r="BF2158">
        <v>0</v>
      </c>
      <c r="BG2158">
        <v>0</v>
      </c>
      <c r="BH2158">
        <v>7675</v>
      </c>
      <c r="BI2158">
        <v>1</v>
      </c>
      <c r="BJ2158">
        <v>0</v>
      </c>
      <c r="BK2158">
        <v>0</v>
      </c>
      <c r="BL2158">
        <v>0</v>
      </c>
      <c r="BO2158">
        <v>0</v>
      </c>
      <c r="BP2158">
        <v>0</v>
      </c>
      <c r="BW2158" t="str">
        <f t="shared" si="1190"/>
        <v>14:54:22.506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285</v>
      </c>
      <c r="CR2158">
        <v>0</v>
      </c>
      <c r="CW2158">
        <v>8862422</v>
      </c>
      <c r="CY2158">
        <v>0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25">
      <c r="A2159" t="str">
        <f t="shared" si="1188"/>
        <v>06/05/2020 14:54:16.867</v>
      </c>
      <c r="C2159" t="str">
        <f t="shared" si="1184"/>
        <v>FFDFD3C0</v>
      </c>
      <c r="D2159" t="s">
        <v>113</v>
      </c>
      <c r="E2159">
        <v>3</v>
      </c>
      <c r="H2159">
        <v>166</v>
      </c>
      <c r="I2159" t="s">
        <v>114</v>
      </c>
      <c r="J2159" t="s">
        <v>115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189"/>
        <v>14:54:22.500</v>
      </c>
      <c r="T2159" t="str">
        <f t="shared" si="1189"/>
        <v>14:54:22.500</v>
      </c>
      <c r="U2159" t="str">
        <f t="shared" si="1165"/>
        <v>ACC530</v>
      </c>
      <c r="V2159">
        <v>0</v>
      </c>
      <c r="W2159">
        <v>0</v>
      </c>
      <c r="X2159">
        <v>1</v>
      </c>
      <c r="Z2159">
        <v>0</v>
      </c>
      <c r="AA2159">
        <v>9</v>
      </c>
      <c r="AB2159">
        <v>3</v>
      </c>
      <c r="AC2159">
        <v>0</v>
      </c>
      <c r="AD2159">
        <v>9</v>
      </c>
      <c r="AE2159">
        <v>0</v>
      </c>
      <c r="AF2159">
        <v>3</v>
      </c>
      <c r="AG2159">
        <v>1</v>
      </c>
      <c r="AH2159">
        <v>0</v>
      </c>
      <c r="AI2159" t="s">
        <v>786</v>
      </c>
      <c r="AJ2159">
        <v>34.165334999999999</v>
      </c>
      <c r="AK2159" t="s">
        <v>787</v>
      </c>
      <c r="AL2159">
        <v>-117.033427</v>
      </c>
      <c r="AM2159">
        <v>100</v>
      </c>
      <c r="AN2159">
        <v>7700</v>
      </c>
      <c r="AO2159" t="s">
        <v>118</v>
      </c>
      <c r="AP2159">
        <v>-90</v>
      </c>
      <c r="AQ2159">
        <v>-76</v>
      </c>
      <c r="AR2159">
        <v>-704</v>
      </c>
      <c r="AZ2159">
        <v>1200</v>
      </c>
      <c r="BA2159">
        <v>1</v>
      </c>
      <c r="BB2159" t="str">
        <f t="shared" si="1167"/>
        <v xml:space="preserve">N9217B  </v>
      </c>
      <c r="BC2159">
        <v>1</v>
      </c>
      <c r="BE2159">
        <v>0</v>
      </c>
      <c r="BF2159">
        <v>0</v>
      </c>
      <c r="BG2159">
        <v>0</v>
      </c>
      <c r="BH2159">
        <v>7675</v>
      </c>
      <c r="BI2159">
        <v>1</v>
      </c>
      <c r="BJ2159">
        <v>0</v>
      </c>
      <c r="BK2159">
        <v>0</v>
      </c>
      <c r="BL2159">
        <v>0</v>
      </c>
      <c r="BO2159">
        <v>0</v>
      </c>
      <c r="BP2159">
        <v>0</v>
      </c>
      <c r="BW2159" t="str">
        <f t="shared" si="1190"/>
        <v>14:54:22.506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285</v>
      </c>
      <c r="CR2159">
        <v>0</v>
      </c>
      <c r="CW2159">
        <v>8862422</v>
      </c>
      <c r="CY2159">
        <v>0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25">
      <c r="A2160" t="str">
        <f t="shared" si="1188"/>
        <v>06/05/2020 14:54:16.867</v>
      </c>
      <c r="C2160" t="str">
        <f t="shared" si="1184"/>
        <v>FFDFD3C0</v>
      </c>
      <c r="D2160" t="s">
        <v>148</v>
      </c>
      <c r="E2160">
        <v>11</v>
      </c>
      <c r="H2160">
        <v>53</v>
      </c>
      <c r="I2160" t="s">
        <v>364</v>
      </c>
      <c r="J2160" t="s">
        <v>150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89"/>
        <v>14:54:22.500</v>
      </c>
      <c r="T2160" t="str">
        <f t="shared" si="1189"/>
        <v>14:54:22.500</v>
      </c>
      <c r="U2160" t="str">
        <f t="shared" si="1165"/>
        <v>ACC530</v>
      </c>
      <c r="V2160">
        <v>0</v>
      </c>
      <c r="W2160">
        <v>0</v>
      </c>
      <c r="X2160">
        <v>1</v>
      </c>
      <c r="Z2160">
        <v>0</v>
      </c>
      <c r="AA2160">
        <v>9</v>
      </c>
      <c r="AB2160">
        <v>3</v>
      </c>
      <c r="AC2160">
        <v>0</v>
      </c>
      <c r="AD2160">
        <v>9</v>
      </c>
      <c r="AE2160">
        <v>0</v>
      </c>
      <c r="AF2160">
        <v>3</v>
      </c>
      <c r="AG2160">
        <v>1</v>
      </c>
      <c r="AH2160">
        <v>0</v>
      </c>
      <c r="AI2160" t="s">
        <v>786</v>
      </c>
      <c r="AJ2160">
        <v>34.165334999999999</v>
      </c>
      <c r="AK2160" t="s">
        <v>787</v>
      </c>
      <c r="AL2160">
        <v>-117.033427</v>
      </c>
      <c r="AM2160">
        <v>100</v>
      </c>
      <c r="AN2160">
        <v>7700</v>
      </c>
      <c r="AO2160" t="s">
        <v>118</v>
      </c>
      <c r="AP2160">
        <v>-90</v>
      </c>
      <c r="AQ2160">
        <v>-76</v>
      </c>
      <c r="AR2160">
        <v>-704</v>
      </c>
      <c r="AZ2160">
        <v>1200</v>
      </c>
      <c r="BA2160">
        <v>1</v>
      </c>
      <c r="BB2160" t="str">
        <f t="shared" si="1167"/>
        <v xml:space="preserve">N9217B  </v>
      </c>
      <c r="BC2160">
        <v>1</v>
      </c>
      <c r="BE2160">
        <v>0</v>
      </c>
      <c r="BF2160">
        <v>0</v>
      </c>
      <c r="BG2160">
        <v>0</v>
      </c>
      <c r="BH2160">
        <v>7675</v>
      </c>
      <c r="BI2160">
        <v>1</v>
      </c>
      <c r="BJ2160">
        <v>0</v>
      </c>
      <c r="BK2160">
        <v>0</v>
      </c>
      <c r="BL2160">
        <v>0</v>
      </c>
      <c r="BO2160">
        <v>0</v>
      </c>
      <c r="BP2160">
        <v>0</v>
      </c>
      <c r="BW2160" t="str">
        <f t="shared" si="1190"/>
        <v>14:54:22.506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285</v>
      </c>
      <c r="CR2160">
        <v>0</v>
      </c>
      <c r="CW2160">
        <v>8862422</v>
      </c>
      <c r="CY2160">
        <v>0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25">
      <c r="A2161" t="str">
        <f t="shared" si="1188"/>
        <v>06/05/2020 14:54:16.867</v>
      </c>
      <c r="C2161" t="str">
        <f t="shared" si="1184"/>
        <v>FFDFD3C0</v>
      </c>
      <c r="D2161" t="s">
        <v>151</v>
      </c>
      <c r="E2161">
        <v>8</v>
      </c>
      <c r="H2161">
        <v>225</v>
      </c>
      <c r="I2161" t="s">
        <v>353</v>
      </c>
      <c r="J2161" t="s">
        <v>150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89"/>
        <v>14:54:22.500</v>
      </c>
      <c r="T2161" t="str">
        <f t="shared" si="1189"/>
        <v>14:54:22.500</v>
      </c>
      <c r="U2161" t="str">
        <f t="shared" si="1165"/>
        <v>ACC530</v>
      </c>
      <c r="V2161">
        <v>0</v>
      </c>
      <c r="W2161">
        <v>0</v>
      </c>
      <c r="X2161">
        <v>1</v>
      </c>
      <c r="Z2161">
        <v>0</v>
      </c>
      <c r="AA2161">
        <v>9</v>
      </c>
      <c r="AB2161">
        <v>3</v>
      </c>
      <c r="AC2161">
        <v>0</v>
      </c>
      <c r="AD2161">
        <v>9</v>
      </c>
      <c r="AE2161">
        <v>0</v>
      </c>
      <c r="AF2161">
        <v>3</v>
      </c>
      <c r="AG2161">
        <v>1</v>
      </c>
      <c r="AH2161">
        <v>0</v>
      </c>
      <c r="AI2161" t="s">
        <v>786</v>
      </c>
      <c r="AJ2161">
        <v>34.165334999999999</v>
      </c>
      <c r="AK2161" t="s">
        <v>787</v>
      </c>
      <c r="AL2161">
        <v>-117.033427</v>
      </c>
      <c r="AM2161">
        <v>100</v>
      </c>
      <c r="AN2161">
        <v>7700</v>
      </c>
      <c r="AO2161" t="s">
        <v>118</v>
      </c>
      <c r="AP2161">
        <v>-90</v>
      </c>
      <c r="AQ2161">
        <v>-76</v>
      </c>
      <c r="AR2161">
        <v>-704</v>
      </c>
      <c r="AZ2161">
        <v>1200</v>
      </c>
      <c r="BA2161">
        <v>1</v>
      </c>
      <c r="BB2161" t="str">
        <f t="shared" si="1167"/>
        <v xml:space="preserve">N9217B  </v>
      </c>
      <c r="BC2161">
        <v>1</v>
      </c>
      <c r="BE2161">
        <v>0</v>
      </c>
      <c r="BF2161">
        <v>0</v>
      </c>
      <c r="BG2161">
        <v>0</v>
      </c>
      <c r="BH2161">
        <v>7675</v>
      </c>
      <c r="BI2161">
        <v>1</v>
      </c>
      <c r="BJ2161">
        <v>0</v>
      </c>
      <c r="BK2161">
        <v>0</v>
      </c>
      <c r="BL2161">
        <v>0</v>
      </c>
      <c r="BO2161">
        <v>0</v>
      </c>
      <c r="BP2161">
        <v>0</v>
      </c>
      <c r="BW2161" t="str">
        <f t="shared" si="1190"/>
        <v>14:54:22.506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285</v>
      </c>
      <c r="CR2161">
        <v>0</v>
      </c>
      <c r="CW2161">
        <v>8862422</v>
      </c>
      <c r="CY2161">
        <v>0</v>
      </c>
      <c r="CZ2161">
        <v>0</v>
      </c>
      <c r="DA2161">
        <v>1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25">
      <c r="A2162" t="str">
        <f t="shared" si="1188"/>
        <v>06/05/2020 14:54:16.867</v>
      </c>
      <c r="C2162" t="str">
        <f t="shared" si="1184"/>
        <v>FFDFD3C0</v>
      </c>
      <c r="D2162" t="s">
        <v>141</v>
      </c>
      <c r="E2162">
        <v>20</v>
      </c>
      <c r="F2162">
        <v>1020</v>
      </c>
      <c r="G2162" t="s">
        <v>114</v>
      </c>
      <c r="J2162" t="s">
        <v>142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189"/>
        <v>14:54:22.500</v>
      </c>
      <c r="T2162" t="str">
        <f t="shared" si="1189"/>
        <v>14:54:22.500</v>
      </c>
      <c r="U2162" t="str">
        <f t="shared" si="1165"/>
        <v>ACC530</v>
      </c>
      <c r="V2162">
        <v>0</v>
      </c>
      <c r="W2162">
        <v>0</v>
      </c>
      <c r="X2162">
        <v>1</v>
      </c>
      <c r="Z2162">
        <v>0</v>
      </c>
      <c r="AA2162">
        <v>9</v>
      </c>
      <c r="AB2162">
        <v>3</v>
      </c>
      <c r="AC2162">
        <v>0</v>
      </c>
      <c r="AD2162">
        <v>9</v>
      </c>
      <c r="AE2162">
        <v>0</v>
      </c>
      <c r="AF2162">
        <v>3</v>
      </c>
      <c r="AG2162">
        <v>1</v>
      </c>
      <c r="AH2162">
        <v>0</v>
      </c>
      <c r="AI2162" t="s">
        <v>786</v>
      </c>
      <c r="AJ2162">
        <v>34.165334999999999</v>
      </c>
      <c r="AK2162" t="s">
        <v>787</v>
      </c>
      <c r="AL2162">
        <v>-117.033427</v>
      </c>
      <c r="AM2162">
        <v>100</v>
      </c>
      <c r="AN2162">
        <v>7700</v>
      </c>
      <c r="AO2162" t="s">
        <v>118</v>
      </c>
      <c r="AP2162">
        <v>-90</v>
      </c>
      <c r="AQ2162">
        <v>-76</v>
      </c>
      <c r="AR2162">
        <v>-704</v>
      </c>
      <c r="AZ2162">
        <v>1200</v>
      </c>
      <c r="BA2162">
        <v>1</v>
      </c>
      <c r="BB2162" t="str">
        <f t="shared" si="1167"/>
        <v xml:space="preserve">N9217B  </v>
      </c>
      <c r="BC2162">
        <v>1</v>
      </c>
      <c r="BE2162">
        <v>0</v>
      </c>
      <c r="BF2162">
        <v>0</v>
      </c>
      <c r="BG2162">
        <v>0</v>
      </c>
      <c r="BH2162">
        <v>7675</v>
      </c>
      <c r="BI2162">
        <v>1</v>
      </c>
      <c r="BJ2162">
        <v>0</v>
      </c>
      <c r="BK2162">
        <v>0</v>
      </c>
      <c r="BL2162">
        <v>0</v>
      </c>
      <c r="BO2162">
        <v>0</v>
      </c>
      <c r="BP2162">
        <v>0</v>
      </c>
      <c r="BW2162" t="str">
        <f t="shared" si="1190"/>
        <v>14:54:22.506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285</v>
      </c>
      <c r="CR2162">
        <v>0</v>
      </c>
      <c r="CW2162">
        <v>8862422</v>
      </c>
      <c r="CY2162">
        <v>0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25">
      <c r="A2163" t="str">
        <f t="shared" ref="A2163:A2169" si="1191">"06/05/2020 14:54:17.855"</f>
        <v>06/05/2020 14:54:17.855</v>
      </c>
      <c r="C2163" t="str">
        <f t="shared" si="1184"/>
        <v>FFDFD3C0</v>
      </c>
      <c r="D2163" t="s">
        <v>148</v>
      </c>
      <c r="E2163">
        <v>11</v>
      </c>
      <c r="H2163">
        <v>53</v>
      </c>
      <c r="I2163" t="s">
        <v>364</v>
      </c>
      <c r="J2163" t="s">
        <v>150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ref="S2163:T2169" si="1192">"14:54:23.477"</f>
        <v>14:54:23.477</v>
      </c>
      <c r="T2163" t="str">
        <f t="shared" si="1192"/>
        <v>14:54:23.477</v>
      </c>
      <c r="U2163" t="str">
        <f t="shared" si="1165"/>
        <v>ACC530</v>
      </c>
      <c r="V2163">
        <v>0</v>
      </c>
      <c r="W2163">
        <v>0</v>
      </c>
      <c r="X2163">
        <v>1</v>
      </c>
      <c r="Z2163">
        <v>0</v>
      </c>
      <c r="AA2163">
        <v>9</v>
      </c>
      <c r="AB2163">
        <v>3</v>
      </c>
      <c r="AC2163">
        <v>0</v>
      </c>
      <c r="AD2163">
        <v>9</v>
      </c>
      <c r="AE2163">
        <v>0</v>
      </c>
      <c r="AF2163">
        <v>3</v>
      </c>
      <c r="AG2163">
        <v>1</v>
      </c>
      <c r="AH2163">
        <v>0</v>
      </c>
      <c r="AI2163" t="s">
        <v>788</v>
      </c>
      <c r="AJ2163">
        <v>34.165013000000002</v>
      </c>
      <c r="AK2163" t="s">
        <v>789</v>
      </c>
      <c r="AL2163">
        <v>-117.03391999999999</v>
      </c>
      <c r="AM2163">
        <v>100</v>
      </c>
      <c r="AN2163">
        <v>7700</v>
      </c>
      <c r="AO2163" t="s">
        <v>118</v>
      </c>
      <c r="AP2163">
        <v>-90</v>
      </c>
      <c r="AQ2163">
        <v>-76</v>
      </c>
      <c r="AR2163">
        <v>-768</v>
      </c>
      <c r="AZ2163">
        <v>1200</v>
      </c>
      <c r="BA2163">
        <v>1</v>
      </c>
      <c r="BB2163" t="str">
        <f t="shared" si="1167"/>
        <v xml:space="preserve">N9217B  </v>
      </c>
      <c r="BC2163">
        <v>1</v>
      </c>
      <c r="BE2163">
        <v>0</v>
      </c>
      <c r="BF2163">
        <v>0</v>
      </c>
      <c r="BG2163">
        <v>0</v>
      </c>
      <c r="BH2163">
        <v>7675</v>
      </c>
      <c r="BI2163">
        <v>1</v>
      </c>
      <c r="BJ2163">
        <v>0</v>
      </c>
      <c r="BK2163">
        <v>0</v>
      </c>
      <c r="BL2163">
        <v>0</v>
      </c>
      <c r="BO2163">
        <v>0</v>
      </c>
      <c r="BP2163">
        <v>0</v>
      </c>
      <c r="BW2163" t="str">
        <f t="shared" ref="BW2163:BW2169" si="1193">"14:54:23.481"</f>
        <v>14:54:23.481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285</v>
      </c>
      <c r="CR2163">
        <v>0</v>
      </c>
      <c r="CW2163">
        <v>8862510</v>
      </c>
      <c r="CY2163">
        <v>0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25">
      <c r="A2164" t="str">
        <f t="shared" si="1191"/>
        <v>06/05/2020 14:54:17.855</v>
      </c>
      <c r="C2164" t="str">
        <f t="shared" si="1184"/>
        <v>FFDFD3C0</v>
      </c>
      <c r="D2164" t="s">
        <v>141</v>
      </c>
      <c r="E2164">
        <v>20</v>
      </c>
      <c r="F2164">
        <v>1020</v>
      </c>
      <c r="G2164" t="s">
        <v>114</v>
      </c>
      <c r="J2164" t="s">
        <v>142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92"/>
        <v>14:54:23.477</v>
      </c>
      <c r="T2164" t="str">
        <f t="shared" si="1192"/>
        <v>14:54:23.477</v>
      </c>
      <c r="U2164" t="str">
        <f t="shared" si="1165"/>
        <v>ACC530</v>
      </c>
      <c r="V2164">
        <v>0</v>
      </c>
      <c r="W2164">
        <v>0</v>
      </c>
      <c r="X2164">
        <v>1</v>
      </c>
      <c r="Z2164">
        <v>0</v>
      </c>
      <c r="AA2164">
        <v>9</v>
      </c>
      <c r="AB2164">
        <v>3</v>
      </c>
      <c r="AC2164">
        <v>0</v>
      </c>
      <c r="AD2164">
        <v>9</v>
      </c>
      <c r="AE2164">
        <v>0</v>
      </c>
      <c r="AF2164">
        <v>3</v>
      </c>
      <c r="AG2164">
        <v>1</v>
      </c>
      <c r="AH2164">
        <v>0</v>
      </c>
      <c r="AI2164" t="s">
        <v>788</v>
      </c>
      <c r="AJ2164">
        <v>34.165013000000002</v>
      </c>
      <c r="AK2164" t="s">
        <v>789</v>
      </c>
      <c r="AL2164">
        <v>-117.03391999999999</v>
      </c>
      <c r="AM2164">
        <v>100</v>
      </c>
      <c r="AN2164">
        <v>7700</v>
      </c>
      <c r="AO2164" t="s">
        <v>118</v>
      </c>
      <c r="AP2164">
        <v>-90</v>
      </c>
      <c r="AQ2164">
        <v>-76</v>
      </c>
      <c r="AR2164">
        <v>-768</v>
      </c>
      <c r="AZ2164">
        <v>1200</v>
      </c>
      <c r="BA2164">
        <v>1</v>
      </c>
      <c r="BB2164" t="str">
        <f t="shared" si="1167"/>
        <v xml:space="preserve">N9217B  </v>
      </c>
      <c r="BC2164">
        <v>1</v>
      </c>
      <c r="BE2164">
        <v>0</v>
      </c>
      <c r="BF2164">
        <v>0</v>
      </c>
      <c r="BG2164">
        <v>0</v>
      </c>
      <c r="BH2164">
        <v>7675</v>
      </c>
      <c r="BI2164">
        <v>1</v>
      </c>
      <c r="BJ2164">
        <v>0</v>
      </c>
      <c r="BK2164">
        <v>0</v>
      </c>
      <c r="BL2164">
        <v>0</v>
      </c>
      <c r="BO2164">
        <v>0</v>
      </c>
      <c r="BP2164">
        <v>0</v>
      </c>
      <c r="BW2164" t="str">
        <f t="shared" si="1193"/>
        <v>14:54:23.481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6</v>
      </c>
      <c r="CP2164" t="s">
        <v>119</v>
      </c>
      <c r="CQ2164">
        <v>285</v>
      </c>
      <c r="CR2164">
        <v>0</v>
      </c>
      <c r="CW2164">
        <v>8862510</v>
      </c>
      <c r="CY2164">
        <v>0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25">
      <c r="A2165" t="str">
        <f t="shared" si="1191"/>
        <v>06/05/2020 14:54:17.855</v>
      </c>
      <c r="C2165" t="str">
        <f t="shared" si="1184"/>
        <v>FFDFD3C0</v>
      </c>
      <c r="D2165" t="s">
        <v>151</v>
      </c>
      <c r="E2165">
        <v>8</v>
      </c>
      <c r="H2165">
        <v>225</v>
      </c>
      <c r="I2165" t="s">
        <v>353</v>
      </c>
      <c r="J2165" t="s">
        <v>150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1192"/>
        <v>14:54:23.477</v>
      </c>
      <c r="T2165" t="str">
        <f t="shared" si="1192"/>
        <v>14:54:23.477</v>
      </c>
      <c r="U2165" t="str">
        <f t="shared" si="1165"/>
        <v>ACC530</v>
      </c>
      <c r="V2165">
        <v>0</v>
      </c>
      <c r="W2165">
        <v>0</v>
      </c>
      <c r="X2165">
        <v>1</v>
      </c>
      <c r="Z2165">
        <v>0</v>
      </c>
      <c r="AA2165">
        <v>9</v>
      </c>
      <c r="AB2165">
        <v>3</v>
      </c>
      <c r="AC2165">
        <v>0</v>
      </c>
      <c r="AD2165">
        <v>9</v>
      </c>
      <c r="AE2165">
        <v>0</v>
      </c>
      <c r="AF2165">
        <v>3</v>
      </c>
      <c r="AG2165">
        <v>1</v>
      </c>
      <c r="AH2165">
        <v>0</v>
      </c>
      <c r="AI2165" t="s">
        <v>788</v>
      </c>
      <c r="AJ2165">
        <v>34.165013000000002</v>
      </c>
      <c r="AK2165" t="s">
        <v>789</v>
      </c>
      <c r="AL2165">
        <v>-117.03391999999999</v>
      </c>
      <c r="AM2165">
        <v>100</v>
      </c>
      <c r="AN2165">
        <v>7700</v>
      </c>
      <c r="AO2165" t="s">
        <v>118</v>
      </c>
      <c r="AP2165">
        <v>-90</v>
      </c>
      <c r="AQ2165">
        <v>-76</v>
      </c>
      <c r="AR2165">
        <v>-768</v>
      </c>
      <c r="AZ2165">
        <v>1200</v>
      </c>
      <c r="BA2165">
        <v>1</v>
      </c>
      <c r="BB2165" t="str">
        <f t="shared" si="1167"/>
        <v xml:space="preserve">N9217B  </v>
      </c>
      <c r="BC2165">
        <v>1</v>
      </c>
      <c r="BE2165">
        <v>0</v>
      </c>
      <c r="BF2165">
        <v>0</v>
      </c>
      <c r="BG2165">
        <v>0</v>
      </c>
      <c r="BH2165">
        <v>7675</v>
      </c>
      <c r="BI2165">
        <v>1</v>
      </c>
      <c r="BJ2165">
        <v>0</v>
      </c>
      <c r="BK2165">
        <v>0</v>
      </c>
      <c r="BL2165">
        <v>0</v>
      </c>
      <c r="BO2165">
        <v>0</v>
      </c>
      <c r="BP2165">
        <v>0</v>
      </c>
      <c r="BW2165" t="str">
        <f t="shared" si="1193"/>
        <v>14:54:23.481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6</v>
      </c>
      <c r="CP2165" t="s">
        <v>119</v>
      </c>
      <c r="CQ2165">
        <v>285</v>
      </c>
      <c r="CR2165">
        <v>0</v>
      </c>
      <c r="CW2165">
        <v>8862510</v>
      </c>
      <c r="CY2165">
        <v>0</v>
      </c>
      <c r="CZ2165">
        <v>0</v>
      </c>
      <c r="DA2165">
        <v>1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25">
      <c r="A2166" t="str">
        <f t="shared" si="1191"/>
        <v>06/05/2020 14:54:17.855</v>
      </c>
      <c r="C2166" t="str">
        <f t="shared" si="1184"/>
        <v>FFDFD3C0</v>
      </c>
      <c r="D2166" t="s">
        <v>148</v>
      </c>
      <c r="E2166">
        <v>8</v>
      </c>
      <c r="H2166">
        <v>50</v>
      </c>
      <c r="I2166" t="s">
        <v>149</v>
      </c>
      <c r="J2166" t="s">
        <v>150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192"/>
        <v>14:54:23.477</v>
      </c>
      <c r="T2166" t="str">
        <f t="shared" si="1192"/>
        <v>14:54:23.477</v>
      </c>
      <c r="U2166" t="str">
        <f t="shared" si="1165"/>
        <v>ACC530</v>
      </c>
      <c r="V2166">
        <v>0</v>
      </c>
      <c r="W2166">
        <v>0</v>
      </c>
      <c r="X2166">
        <v>1</v>
      </c>
      <c r="Z2166">
        <v>0</v>
      </c>
      <c r="AA2166">
        <v>9</v>
      </c>
      <c r="AB2166">
        <v>3</v>
      </c>
      <c r="AC2166">
        <v>0</v>
      </c>
      <c r="AD2166">
        <v>9</v>
      </c>
      <c r="AE2166">
        <v>0</v>
      </c>
      <c r="AF2166">
        <v>3</v>
      </c>
      <c r="AG2166">
        <v>1</v>
      </c>
      <c r="AH2166">
        <v>0</v>
      </c>
      <c r="AI2166" t="s">
        <v>788</v>
      </c>
      <c r="AJ2166">
        <v>34.165013000000002</v>
      </c>
      <c r="AK2166" t="s">
        <v>789</v>
      </c>
      <c r="AL2166">
        <v>-117.03391999999999</v>
      </c>
      <c r="AM2166">
        <v>100</v>
      </c>
      <c r="AN2166">
        <v>7700</v>
      </c>
      <c r="AO2166" t="s">
        <v>118</v>
      </c>
      <c r="AP2166">
        <v>-90</v>
      </c>
      <c r="AQ2166">
        <v>-76</v>
      </c>
      <c r="AR2166">
        <v>-768</v>
      </c>
      <c r="AZ2166">
        <v>1200</v>
      </c>
      <c r="BA2166">
        <v>1</v>
      </c>
      <c r="BB2166" t="str">
        <f t="shared" si="1167"/>
        <v xml:space="preserve">N9217B  </v>
      </c>
      <c r="BC2166">
        <v>1</v>
      </c>
      <c r="BE2166">
        <v>0</v>
      </c>
      <c r="BF2166">
        <v>0</v>
      </c>
      <c r="BG2166">
        <v>0</v>
      </c>
      <c r="BH2166">
        <v>7675</v>
      </c>
      <c r="BI2166">
        <v>1</v>
      </c>
      <c r="BJ2166">
        <v>0</v>
      </c>
      <c r="BK2166">
        <v>0</v>
      </c>
      <c r="BL2166">
        <v>0</v>
      </c>
      <c r="BO2166">
        <v>0</v>
      </c>
      <c r="BP2166">
        <v>0</v>
      </c>
      <c r="BW2166" t="str">
        <f t="shared" si="1193"/>
        <v>14:54:23.481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285</v>
      </c>
      <c r="CR2166">
        <v>0</v>
      </c>
      <c r="CW2166">
        <v>8862510</v>
      </c>
      <c r="CY2166">
        <v>0</v>
      </c>
      <c r="CZ2166">
        <v>0</v>
      </c>
      <c r="DA2166">
        <v>1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25">
      <c r="A2167" t="str">
        <f t="shared" si="1191"/>
        <v>06/05/2020 14:54:17.855</v>
      </c>
      <c r="C2167" t="str">
        <f t="shared" si="1184"/>
        <v>FFDFD3C0</v>
      </c>
      <c r="D2167" t="s">
        <v>151</v>
      </c>
      <c r="E2167">
        <v>9</v>
      </c>
      <c r="H2167">
        <v>226</v>
      </c>
      <c r="I2167" t="s">
        <v>152</v>
      </c>
      <c r="J2167" t="s">
        <v>150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192"/>
        <v>14:54:23.477</v>
      </c>
      <c r="T2167" t="str">
        <f t="shared" si="1192"/>
        <v>14:54:23.477</v>
      </c>
      <c r="U2167" t="str">
        <f t="shared" si="1165"/>
        <v>ACC530</v>
      </c>
      <c r="V2167">
        <v>0</v>
      </c>
      <c r="W2167">
        <v>0</v>
      </c>
      <c r="X2167">
        <v>1</v>
      </c>
      <c r="Z2167">
        <v>0</v>
      </c>
      <c r="AA2167">
        <v>9</v>
      </c>
      <c r="AB2167">
        <v>3</v>
      </c>
      <c r="AC2167">
        <v>0</v>
      </c>
      <c r="AD2167">
        <v>9</v>
      </c>
      <c r="AE2167">
        <v>0</v>
      </c>
      <c r="AF2167">
        <v>3</v>
      </c>
      <c r="AG2167">
        <v>1</v>
      </c>
      <c r="AH2167">
        <v>0</v>
      </c>
      <c r="AI2167" t="s">
        <v>788</v>
      </c>
      <c r="AJ2167">
        <v>34.165013000000002</v>
      </c>
      <c r="AK2167" t="s">
        <v>789</v>
      </c>
      <c r="AL2167">
        <v>-117.03391999999999</v>
      </c>
      <c r="AM2167">
        <v>100</v>
      </c>
      <c r="AN2167">
        <v>7700</v>
      </c>
      <c r="AO2167" t="s">
        <v>118</v>
      </c>
      <c r="AP2167">
        <v>-90</v>
      </c>
      <c r="AQ2167">
        <v>-76</v>
      </c>
      <c r="AR2167">
        <v>-768</v>
      </c>
      <c r="AZ2167">
        <v>1200</v>
      </c>
      <c r="BA2167">
        <v>1</v>
      </c>
      <c r="BB2167" t="str">
        <f t="shared" si="1167"/>
        <v xml:space="preserve">N9217B  </v>
      </c>
      <c r="BC2167">
        <v>1</v>
      </c>
      <c r="BE2167">
        <v>0</v>
      </c>
      <c r="BF2167">
        <v>0</v>
      </c>
      <c r="BG2167">
        <v>0</v>
      </c>
      <c r="BH2167">
        <v>7675</v>
      </c>
      <c r="BI2167">
        <v>1</v>
      </c>
      <c r="BJ2167">
        <v>0</v>
      </c>
      <c r="BK2167">
        <v>0</v>
      </c>
      <c r="BL2167">
        <v>0</v>
      </c>
      <c r="BO2167">
        <v>0</v>
      </c>
      <c r="BP2167">
        <v>0</v>
      </c>
      <c r="BW2167" t="str">
        <f t="shared" si="1193"/>
        <v>14:54:23.481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285</v>
      </c>
      <c r="CR2167">
        <v>0</v>
      </c>
      <c r="CW2167">
        <v>8862510</v>
      </c>
      <c r="CY2167">
        <v>0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25">
      <c r="A2168" t="str">
        <f t="shared" si="1191"/>
        <v>06/05/2020 14:54:17.855</v>
      </c>
      <c r="C2168" t="str">
        <f t="shared" si="1184"/>
        <v>FFDFD3C0</v>
      </c>
      <c r="D2168" t="s">
        <v>134</v>
      </c>
      <c r="E2168">
        <v>7</v>
      </c>
      <c r="F2168">
        <v>2007</v>
      </c>
      <c r="G2168" t="s">
        <v>135</v>
      </c>
      <c r="J2168" t="s">
        <v>136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192"/>
        <v>14:54:23.477</v>
      </c>
      <c r="T2168" t="str">
        <f t="shared" si="1192"/>
        <v>14:54:23.477</v>
      </c>
      <c r="U2168" t="str">
        <f t="shared" si="1165"/>
        <v>ACC530</v>
      </c>
      <c r="V2168">
        <v>0</v>
      </c>
      <c r="W2168">
        <v>0</v>
      </c>
      <c r="X2168">
        <v>1</v>
      </c>
      <c r="Z2168">
        <v>0</v>
      </c>
      <c r="AA2168">
        <v>9</v>
      </c>
      <c r="AB2168">
        <v>3</v>
      </c>
      <c r="AC2168">
        <v>0</v>
      </c>
      <c r="AD2168">
        <v>9</v>
      </c>
      <c r="AE2168">
        <v>0</v>
      </c>
      <c r="AF2168">
        <v>3</v>
      </c>
      <c r="AG2168">
        <v>1</v>
      </c>
      <c r="AH2168">
        <v>0</v>
      </c>
      <c r="AI2168" t="s">
        <v>788</v>
      </c>
      <c r="AJ2168">
        <v>34.165013000000002</v>
      </c>
      <c r="AK2168" t="s">
        <v>789</v>
      </c>
      <c r="AL2168">
        <v>-117.03391999999999</v>
      </c>
      <c r="AM2168">
        <v>100</v>
      </c>
      <c r="AN2168">
        <v>7700</v>
      </c>
      <c r="AO2168" t="s">
        <v>118</v>
      </c>
      <c r="AP2168">
        <v>-90</v>
      </c>
      <c r="AQ2168">
        <v>-76</v>
      </c>
      <c r="AR2168">
        <v>-768</v>
      </c>
      <c r="AZ2168">
        <v>1200</v>
      </c>
      <c r="BA2168">
        <v>1</v>
      </c>
      <c r="BB2168" t="str">
        <f t="shared" si="1167"/>
        <v xml:space="preserve">N9217B  </v>
      </c>
      <c r="BC2168">
        <v>1</v>
      </c>
      <c r="BE2168">
        <v>0</v>
      </c>
      <c r="BF2168">
        <v>0</v>
      </c>
      <c r="BG2168">
        <v>0</v>
      </c>
      <c r="BH2168">
        <v>7675</v>
      </c>
      <c r="BI2168">
        <v>1</v>
      </c>
      <c r="BJ2168">
        <v>0</v>
      </c>
      <c r="BK2168">
        <v>0</v>
      </c>
      <c r="BL2168">
        <v>0</v>
      </c>
      <c r="BO2168">
        <v>0</v>
      </c>
      <c r="BP2168">
        <v>0</v>
      </c>
      <c r="BW2168" t="str">
        <f t="shared" si="1193"/>
        <v>14:54:23.481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285</v>
      </c>
      <c r="CR2168">
        <v>0</v>
      </c>
      <c r="CW2168">
        <v>8862510</v>
      </c>
      <c r="CY2168">
        <v>0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25">
      <c r="A2169" t="str">
        <f t="shared" si="1191"/>
        <v>06/05/2020 14:54:17.855</v>
      </c>
      <c r="C2169" t="str">
        <f t="shared" si="1184"/>
        <v>FFDFD3C0</v>
      </c>
      <c r="D2169" t="s">
        <v>113</v>
      </c>
      <c r="E2169">
        <v>3</v>
      </c>
      <c r="H2169">
        <v>166</v>
      </c>
      <c r="I2169" t="s">
        <v>114</v>
      </c>
      <c r="J2169" t="s">
        <v>115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192"/>
        <v>14:54:23.477</v>
      </c>
      <c r="T2169" t="str">
        <f t="shared" si="1192"/>
        <v>14:54:23.477</v>
      </c>
      <c r="U2169" t="str">
        <f t="shared" si="1165"/>
        <v>ACC530</v>
      </c>
      <c r="V2169">
        <v>0</v>
      </c>
      <c r="W2169">
        <v>0</v>
      </c>
      <c r="X2169">
        <v>1</v>
      </c>
      <c r="Z2169">
        <v>0</v>
      </c>
      <c r="AA2169">
        <v>9</v>
      </c>
      <c r="AB2169">
        <v>3</v>
      </c>
      <c r="AC2169">
        <v>0</v>
      </c>
      <c r="AD2169">
        <v>9</v>
      </c>
      <c r="AE2169">
        <v>0</v>
      </c>
      <c r="AF2169">
        <v>3</v>
      </c>
      <c r="AG2169">
        <v>1</v>
      </c>
      <c r="AH2169">
        <v>0</v>
      </c>
      <c r="AI2169" t="s">
        <v>788</v>
      </c>
      <c r="AJ2169">
        <v>34.165013000000002</v>
      </c>
      <c r="AK2169" t="s">
        <v>789</v>
      </c>
      <c r="AL2169">
        <v>-117.03391999999999</v>
      </c>
      <c r="AM2169">
        <v>100</v>
      </c>
      <c r="AN2169">
        <v>7700</v>
      </c>
      <c r="AO2169" t="s">
        <v>118</v>
      </c>
      <c r="AP2169">
        <v>-90</v>
      </c>
      <c r="AQ2169">
        <v>-76</v>
      </c>
      <c r="AR2169">
        <v>-768</v>
      </c>
      <c r="AZ2169">
        <v>1200</v>
      </c>
      <c r="BA2169">
        <v>1</v>
      </c>
      <c r="BB2169" t="str">
        <f t="shared" si="1167"/>
        <v xml:space="preserve">N9217B  </v>
      </c>
      <c r="BC2169">
        <v>1</v>
      </c>
      <c r="BE2169">
        <v>0</v>
      </c>
      <c r="BF2169">
        <v>0</v>
      </c>
      <c r="BG2169">
        <v>0</v>
      </c>
      <c r="BH2169">
        <v>7675</v>
      </c>
      <c r="BI2169">
        <v>1</v>
      </c>
      <c r="BJ2169">
        <v>0</v>
      </c>
      <c r="BK2169">
        <v>0</v>
      </c>
      <c r="BL2169">
        <v>0</v>
      </c>
      <c r="BO2169">
        <v>0</v>
      </c>
      <c r="BP2169">
        <v>0</v>
      </c>
      <c r="BW2169" t="str">
        <f t="shared" si="1193"/>
        <v>14:54:23.481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285</v>
      </c>
      <c r="CR2169">
        <v>0</v>
      </c>
      <c r="CW2169">
        <v>8862510</v>
      </c>
      <c r="CY2169">
        <v>0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25">
      <c r="A2170" t="str">
        <f t="shared" ref="A2170:A2176" si="1194">"06/05/2020 14:54:18.967"</f>
        <v>06/05/2020 14:54:18.967</v>
      </c>
      <c r="C2170" t="str">
        <f t="shared" si="1184"/>
        <v>FFDFD3C0</v>
      </c>
      <c r="D2170" t="s">
        <v>148</v>
      </c>
      <c r="E2170">
        <v>11</v>
      </c>
      <c r="H2170">
        <v>53</v>
      </c>
      <c r="I2170" t="s">
        <v>364</v>
      </c>
      <c r="J2170" t="s">
        <v>150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ref="S2170:T2176" si="1195">"14:54:24.617"</f>
        <v>14:54:24.617</v>
      </c>
      <c r="T2170" t="str">
        <f t="shared" si="1195"/>
        <v>14:54:24.617</v>
      </c>
      <c r="U2170" t="str">
        <f t="shared" si="1165"/>
        <v>ACC530</v>
      </c>
      <c r="V2170">
        <v>0</v>
      </c>
      <c r="W2170">
        <v>0</v>
      </c>
      <c r="X2170">
        <v>1</v>
      </c>
      <c r="Z2170">
        <v>0</v>
      </c>
      <c r="AA2170">
        <v>9</v>
      </c>
      <c r="AB2170">
        <v>3</v>
      </c>
      <c r="AC2170">
        <v>0</v>
      </c>
      <c r="AD2170">
        <v>9</v>
      </c>
      <c r="AE2170">
        <v>0</v>
      </c>
      <c r="AF2170">
        <v>3</v>
      </c>
      <c r="AG2170">
        <v>1</v>
      </c>
      <c r="AH2170">
        <v>0</v>
      </c>
      <c r="AI2170" t="s">
        <v>790</v>
      </c>
      <c r="AJ2170">
        <v>34.164583999999998</v>
      </c>
      <c r="AK2170" t="s">
        <v>791</v>
      </c>
      <c r="AL2170">
        <v>-117.03449999999999</v>
      </c>
      <c r="AM2170">
        <v>100</v>
      </c>
      <c r="AN2170">
        <v>7700</v>
      </c>
      <c r="AO2170" t="s">
        <v>118</v>
      </c>
      <c r="AP2170">
        <v>-90</v>
      </c>
      <c r="AQ2170">
        <v>-75</v>
      </c>
      <c r="AR2170">
        <v>-832</v>
      </c>
      <c r="AZ2170">
        <v>1200</v>
      </c>
      <c r="BA2170">
        <v>1</v>
      </c>
      <c r="BB2170" t="str">
        <f t="shared" si="1167"/>
        <v xml:space="preserve">N9217B  </v>
      </c>
      <c r="BC2170">
        <v>1</v>
      </c>
      <c r="BE2170">
        <v>0</v>
      </c>
      <c r="BF2170">
        <v>0</v>
      </c>
      <c r="BG2170">
        <v>0</v>
      </c>
      <c r="BH2170">
        <v>7650</v>
      </c>
      <c r="BI2170">
        <v>1</v>
      </c>
      <c r="BJ2170">
        <v>0</v>
      </c>
      <c r="BK2170">
        <v>0</v>
      </c>
      <c r="BL2170">
        <v>0</v>
      </c>
      <c r="BO2170">
        <v>0</v>
      </c>
      <c r="BP2170">
        <v>0</v>
      </c>
      <c r="BW2170" t="str">
        <f t="shared" ref="BW2170:BW2176" si="1196">"14:54:24.621"</f>
        <v>14:54:24.621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285</v>
      </c>
      <c r="CR2170">
        <v>0</v>
      </c>
      <c r="CW2170">
        <v>8862618</v>
      </c>
      <c r="CY2170">
        <v>0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25">
      <c r="A2171" t="str">
        <f t="shared" si="1194"/>
        <v>06/05/2020 14:54:18.967</v>
      </c>
      <c r="C2171" t="str">
        <f t="shared" si="1184"/>
        <v>FFDFD3C0</v>
      </c>
      <c r="D2171" t="s">
        <v>151</v>
      </c>
      <c r="E2171">
        <v>8</v>
      </c>
      <c r="H2171">
        <v>225</v>
      </c>
      <c r="I2171" t="s">
        <v>353</v>
      </c>
      <c r="J2171" t="s">
        <v>150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95"/>
        <v>14:54:24.617</v>
      </c>
      <c r="T2171" t="str">
        <f t="shared" si="1195"/>
        <v>14:54:24.617</v>
      </c>
      <c r="U2171" t="str">
        <f t="shared" si="1165"/>
        <v>ACC530</v>
      </c>
      <c r="V2171">
        <v>0</v>
      </c>
      <c r="W2171">
        <v>0</v>
      </c>
      <c r="X2171">
        <v>1</v>
      </c>
      <c r="Z2171">
        <v>0</v>
      </c>
      <c r="AA2171">
        <v>9</v>
      </c>
      <c r="AB2171">
        <v>3</v>
      </c>
      <c r="AC2171">
        <v>0</v>
      </c>
      <c r="AD2171">
        <v>9</v>
      </c>
      <c r="AE2171">
        <v>0</v>
      </c>
      <c r="AF2171">
        <v>3</v>
      </c>
      <c r="AG2171">
        <v>1</v>
      </c>
      <c r="AH2171">
        <v>0</v>
      </c>
      <c r="AI2171" t="s">
        <v>790</v>
      </c>
      <c r="AJ2171">
        <v>34.164583999999998</v>
      </c>
      <c r="AK2171" t="s">
        <v>791</v>
      </c>
      <c r="AL2171">
        <v>-117.03449999999999</v>
      </c>
      <c r="AM2171">
        <v>100</v>
      </c>
      <c r="AN2171">
        <v>7700</v>
      </c>
      <c r="AO2171" t="s">
        <v>118</v>
      </c>
      <c r="AP2171">
        <v>-90</v>
      </c>
      <c r="AQ2171">
        <v>-75</v>
      </c>
      <c r="AR2171">
        <v>-832</v>
      </c>
      <c r="AZ2171">
        <v>1200</v>
      </c>
      <c r="BA2171">
        <v>1</v>
      </c>
      <c r="BB2171" t="str">
        <f t="shared" si="1167"/>
        <v xml:space="preserve">N9217B  </v>
      </c>
      <c r="BC2171">
        <v>1</v>
      </c>
      <c r="BE2171">
        <v>0</v>
      </c>
      <c r="BF2171">
        <v>0</v>
      </c>
      <c r="BG2171">
        <v>0</v>
      </c>
      <c r="BH2171">
        <v>7650</v>
      </c>
      <c r="BI2171">
        <v>1</v>
      </c>
      <c r="BJ2171">
        <v>0</v>
      </c>
      <c r="BK2171">
        <v>0</v>
      </c>
      <c r="BL2171">
        <v>0</v>
      </c>
      <c r="BO2171">
        <v>0</v>
      </c>
      <c r="BP2171">
        <v>0</v>
      </c>
      <c r="BW2171" t="str">
        <f t="shared" si="1196"/>
        <v>14:54:24.621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285</v>
      </c>
      <c r="CR2171">
        <v>0</v>
      </c>
      <c r="CW2171">
        <v>8862618</v>
      </c>
      <c r="CY2171">
        <v>0</v>
      </c>
      <c r="CZ2171">
        <v>0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25">
      <c r="A2172" t="str">
        <f t="shared" si="1194"/>
        <v>06/05/2020 14:54:18.967</v>
      </c>
      <c r="C2172" t="str">
        <f t="shared" si="1184"/>
        <v>FFDFD3C0</v>
      </c>
      <c r="D2172" t="s">
        <v>134</v>
      </c>
      <c r="E2172">
        <v>7</v>
      </c>
      <c r="F2172">
        <v>2007</v>
      </c>
      <c r="G2172" t="s">
        <v>135</v>
      </c>
      <c r="J2172" t="s">
        <v>136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195"/>
        <v>14:54:24.617</v>
      </c>
      <c r="T2172" t="str">
        <f t="shared" si="1195"/>
        <v>14:54:24.617</v>
      </c>
      <c r="U2172" t="str">
        <f t="shared" si="1165"/>
        <v>ACC530</v>
      </c>
      <c r="V2172">
        <v>0</v>
      </c>
      <c r="W2172">
        <v>0</v>
      </c>
      <c r="X2172">
        <v>1</v>
      </c>
      <c r="Z2172">
        <v>0</v>
      </c>
      <c r="AA2172">
        <v>9</v>
      </c>
      <c r="AB2172">
        <v>3</v>
      </c>
      <c r="AC2172">
        <v>0</v>
      </c>
      <c r="AD2172">
        <v>9</v>
      </c>
      <c r="AE2172">
        <v>0</v>
      </c>
      <c r="AF2172">
        <v>3</v>
      </c>
      <c r="AG2172">
        <v>1</v>
      </c>
      <c r="AH2172">
        <v>0</v>
      </c>
      <c r="AI2172" t="s">
        <v>790</v>
      </c>
      <c r="AJ2172">
        <v>34.164583999999998</v>
      </c>
      <c r="AK2172" t="s">
        <v>791</v>
      </c>
      <c r="AL2172">
        <v>-117.03449999999999</v>
      </c>
      <c r="AM2172">
        <v>100</v>
      </c>
      <c r="AN2172">
        <v>7700</v>
      </c>
      <c r="AO2172" t="s">
        <v>118</v>
      </c>
      <c r="AP2172">
        <v>-90</v>
      </c>
      <c r="AQ2172">
        <v>-75</v>
      </c>
      <c r="AR2172">
        <v>-832</v>
      </c>
      <c r="AZ2172">
        <v>1200</v>
      </c>
      <c r="BA2172">
        <v>1</v>
      </c>
      <c r="BB2172" t="str">
        <f t="shared" si="1167"/>
        <v xml:space="preserve">N9217B  </v>
      </c>
      <c r="BC2172">
        <v>1</v>
      </c>
      <c r="BE2172">
        <v>0</v>
      </c>
      <c r="BF2172">
        <v>0</v>
      </c>
      <c r="BG2172">
        <v>0</v>
      </c>
      <c r="BH2172">
        <v>7650</v>
      </c>
      <c r="BI2172">
        <v>1</v>
      </c>
      <c r="BJ2172">
        <v>0</v>
      </c>
      <c r="BK2172">
        <v>0</v>
      </c>
      <c r="BL2172">
        <v>0</v>
      </c>
      <c r="BO2172">
        <v>0</v>
      </c>
      <c r="BP2172">
        <v>0</v>
      </c>
      <c r="BW2172" t="str">
        <f t="shared" si="1196"/>
        <v>14:54:24.621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285</v>
      </c>
      <c r="CR2172">
        <v>0</v>
      </c>
      <c r="CW2172">
        <v>8862618</v>
      </c>
      <c r="CY2172">
        <v>0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25">
      <c r="A2173" t="str">
        <f t="shared" si="1194"/>
        <v>06/05/2020 14:54:18.967</v>
      </c>
      <c r="C2173" t="str">
        <f t="shared" si="1184"/>
        <v>FFDFD3C0</v>
      </c>
      <c r="D2173" t="s">
        <v>148</v>
      </c>
      <c r="E2173">
        <v>8</v>
      </c>
      <c r="H2173">
        <v>50</v>
      </c>
      <c r="I2173" t="s">
        <v>149</v>
      </c>
      <c r="J2173" t="s">
        <v>150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195"/>
        <v>14:54:24.617</v>
      </c>
      <c r="T2173" t="str">
        <f t="shared" si="1195"/>
        <v>14:54:24.617</v>
      </c>
      <c r="U2173" t="str">
        <f t="shared" si="1165"/>
        <v>ACC530</v>
      </c>
      <c r="V2173">
        <v>0</v>
      </c>
      <c r="W2173">
        <v>0</v>
      </c>
      <c r="X2173">
        <v>1</v>
      </c>
      <c r="Z2173">
        <v>0</v>
      </c>
      <c r="AA2173">
        <v>9</v>
      </c>
      <c r="AB2173">
        <v>3</v>
      </c>
      <c r="AC2173">
        <v>0</v>
      </c>
      <c r="AD2173">
        <v>9</v>
      </c>
      <c r="AE2173">
        <v>0</v>
      </c>
      <c r="AF2173">
        <v>3</v>
      </c>
      <c r="AG2173">
        <v>1</v>
      </c>
      <c r="AH2173">
        <v>0</v>
      </c>
      <c r="AI2173" t="s">
        <v>790</v>
      </c>
      <c r="AJ2173">
        <v>34.164583999999998</v>
      </c>
      <c r="AK2173" t="s">
        <v>791</v>
      </c>
      <c r="AL2173">
        <v>-117.03449999999999</v>
      </c>
      <c r="AM2173">
        <v>100</v>
      </c>
      <c r="AN2173">
        <v>7700</v>
      </c>
      <c r="AO2173" t="s">
        <v>118</v>
      </c>
      <c r="AP2173">
        <v>-90</v>
      </c>
      <c r="AQ2173">
        <v>-75</v>
      </c>
      <c r="AR2173">
        <v>-832</v>
      </c>
      <c r="AZ2173">
        <v>1200</v>
      </c>
      <c r="BA2173">
        <v>1</v>
      </c>
      <c r="BB2173" t="str">
        <f t="shared" si="1167"/>
        <v xml:space="preserve">N9217B  </v>
      </c>
      <c r="BC2173">
        <v>1</v>
      </c>
      <c r="BE2173">
        <v>0</v>
      </c>
      <c r="BF2173">
        <v>0</v>
      </c>
      <c r="BG2173">
        <v>0</v>
      </c>
      <c r="BH2173">
        <v>7650</v>
      </c>
      <c r="BI2173">
        <v>1</v>
      </c>
      <c r="BJ2173">
        <v>0</v>
      </c>
      <c r="BK2173">
        <v>0</v>
      </c>
      <c r="BL2173">
        <v>0</v>
      </c>
      <c r="BO2173">
        <v>0</v>
      </c>
      <c r="BP2173">
        <v>0</v>
      </c>
      <c r="BW2173" t="str">
        <f t="shared" si="1196"/>
        <v>14:54:24.621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285</v>
      </c>
      <c r="CR2173">
        <v>0</v>
      </c>
      <c r="CW2173">
        <v>8862618</v>
      </c>
      <c r="CY2173">
        <v>0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25">
      <c r="A2174" t="str">
        <f t="shared" si="1194"/>
        <v>06/05/2020 14:54:18.967</v>
      </c>
      <c r="C2174" t="str">
        <f t="shared" si="1184"/>
        <v>FFDFD3C0</v>
      </c>
      <c r="D2174" t="s">
        <v>151</v>
      </c>
      <c r="E2174">
        <v>9</v>
      </c>
      <c r="H2174">
        <v>226</v>
      </c>
      <c r="I2174" t="s">
        <v>152</v>
      </c>
      <c r="J2174" t="s">
        <v>150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95"/>
        <v>14:54:24.617</v>
      </c>
      <c r="T2174" t="str">
        <f t="shared" si="1195"/>
        <v>14:54:24.617</v>
      </c>
      <c r="U2174" t="str">
        <f t="shared" si="1165"/>
        <v>ACC530</v>
      </c>
      <c r="V2174">
        <v>0</v>
      </c>
      <c r="W2174">
        <v>0</v>
      </c>
      <c r="X2174">
        <v>1</v>
      </c>
      <c r="Z2174">
        <v>0</v>
      </c>
      <c r="AA2174">
        <v>9</v>
      </c>
      <c r="AB2174">
        <v>3</v>
      </c>
      <c r="AC2174">
        <v>0</v>
      </c>
      <c r="AD2174">
        <v>9</v>
      </c>
      <c r="AE2174">
        <v>0</v>
      </c>
      <c r="AF2174">
        <v>3</v>
      </c>
      <c r="AG2174">
        <v>1</v>
      </c>
      <c r="AH2174">
        <v>0</v>
      </c>
      <c r="AI2174" t="s">
        <v>790</v>
      </c>
      <c r="AJ2174">
        <v>34.164583999999998</v>
      </c>
      <c r="AK2174" t="s">
        <v>791</v>
      </c>
      <c r="AL2174">
        <v>-117.03449999999999</v>
      </c>
      <c r="AM2174">
        <v>100</v>
      </c>
      <c r="AN2174">
        <v>7700</v>
      </c>
      <c r="AO2174" t="s">
        <v>118</v>
      </c>
      <c r="AP2174">
        <v>-90</v>
      </c>
      <c r="AQ2174">
        <v>-75</v>
      </c>
      <c r="AR2174">
        <v>-832</v>
      </c>
      <c r="AZ2174">
        <v>1200</v>
      </c>
      <c r="BA2174">
        <v>1</v>
      </c>
      <c r="BB2174" t="str">
        <f t="shared" si="1167"/>
        <v xml:space="preserve">N9217B  </v>
      </c>
      <c r="BC2174">
        <v>1</v>
      </c>
      <c r="BE2174">
        <v>0</v>
      </c>
      <c r="BF2174">
        <v>0</v>
      </c>
      <c r="BG2174">
        <v>0</v>
      </c>
      <c r="BH2174">
        <v>7650</v>
      </c>
      <c r="BI2174">
        <v>1</v>
      </c>
      <c r="BJ2174">
        <v>0</v>
      </c>
      <c r="BK2174">
        <v>0</v>
      </c>
      <c r="BL2174">
        <v>0</v>
      </c>
      <c r="BO2174">
        <v>0</v>
      </c>
      <c r="BP2174">
        <v>0</v>
      </c>
      <c r="BW2174" t="str">
        <f t="shared" si="1196"/>
        <v>14:54:24.621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285</v>
      </c>
      <c r="CR2174">
        <v>0</v>
      </c>
      <c r="CW2174">
        <v>8862618</v>
      </c>
      <c r="CY2174">
        <v>0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25">
      <c r="A2175" t="str">
        <f t="shared" si="1194"/>
        <v>06/05/2020 14:54:18.967</v>
      </c>
      <c r="C2175" t="str">
        <f t="shared" si="1184"/>
        <v>FFDFD3C0</v>
      </c>
      <c r="D2175" t="s">
        <v>113</v>
      </c>
      <c r="E2175">
        <v>3</v>
      </c>
      <c r="H2175">
        <v>166</v>
      </c>
      <c r="I2175" t="s">
        <v>114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95"/>
        <v>14:54:24.617</v>
      </c>
      <c r="T2175" t="str">
        <f t="shared" si="1195"/>
        <v>14:54:24.617</v>
      </c>
      <c r="U2175" t="str">
        <f t="shared" si="1165"/>
        <v>ACC530</v>
      </c>
      <c r="V2175">
        <v>0</v>
      </c>
      <c r="W2175">
        <v>0</v>
      </c>
      <c r="X2175">
        <v>1</v>
      </c>
      <c r="Z2175">
        <v>0</v>
      </c>
      <c r="AA2175">
        <v>9</v>
      </c>
      <c r="AB2175">
        <v>3</v>
      </c>
      <c r="AC2175">
        <v>0</v>
      </c>
      <c r="AD2175">
        <v>9</v>
      </c>
      <c r="AE2175">
        <v>0</v>
      </c>
      <c r="AF2175">
        <v>3</v>
      </c>
      <c r="AG2175">
        <v>1</v>
      </c>
      <c r="AH2175">
        <v>0</v>
      </c>
      <c r="AI2175" t="s">
        <v>790</v>
      </c>
      <c r="AJ2175">
        <v>34.164583999999998</v>
      </c>
      <c r="AK2175" t="s">
        <v>791</v>
      </c>
      <c r="AL2175">
        <v>-117.03449999999999</v>
      </c>
      <c r="AM2175">
        <v>100</v>
      </c>
      <c r="AN2175">
        <v>7700</v>
      </c>
      <c r="AO2175" t="s">
        <v>118</v>
      </c>
      <c r="AP2175">
        <v>-90</v>
      </c>
      <c r="AQ2175">
        <v>-75</v>
      </c>
      <c r="AR2175">
        <v>-832</v>
      </c>
      <c r="AZ2175">
        <v>1200</v>
      </c>
      <c r="BA2175">
        <v>1</v>
      </c>
      <c r="BB2175" t="str">
        <f t="shared" si="1167"/>
        <v xml:space="preserve">N9217B  </v>
      </c>
      <c r="BC2175">
        <v>1</v>
      </c>
      <c r="BE2175">
        <v>0</v>
      </c>
      <c r="BF2175">
        <v>0</v>
      </c>
      <c r="BG2175">
        <v>0</v>
      </c>
      <c r="BH2175">
        <v>7650</v>
      </c>
      <c r="BI2175">
        <v>1</v>
      </c>
      <c r="BJ2175">
        <v>0</v>
      </c>
      <c r="BK2175">
        <v>0</v>
      </c>
      <c r="BL2175">
        <v>0</v>
      </c>
      <c r="BO2175">
        <v>0</v>
      </c>
      <c r="BP2175">
        <v>0</v>
      </c>
      <c r="BW2175" t="str">
        <f t="shared" si="1196"/>
        <v>14:54:24.621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6</v>
      </c>
      <c r="CP2175" t="s">
        <v>119</v>
      </c>
      <c r="CQ2175">
        <v>285</v>
      </c>
      <c r="CR2175">
        <v>0</v>
      </c>
      <c r="CW2175">
        <v>8862618</v>
      </c>
      <c r="CY2175">
        <v>0</v>
      </c>
      <c r="CZ2175">
        <v>0</v>
      </c>
      <c r="DA2175">
        <v>1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25">
      <c r="A2176" t="str">
        <f t="shared" si="1194"/>
        <v>06/05/2020 14:54:18.967</v>
      </c>
      <c r="C2176" t="str">
        <f t="shared" si="1184"/>
        <v>FFDFD3C0</v>
      </c>
      <c r="D2176" t="s">
        <v>141</v>
      </c>
      <c r="E2176">
        <v>20</v>
      </c>
      <c r="F2176">
        <v>1020</v>
      </c>
      <c r="G2176" t="s">
        <v>114</v>
      </c>
      <c r="J2176" t="s">
        <v>142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195"/>
        <v>14:54:24.617</v>
      </c>
      <c r="T2176" t="str">
        <f t="shared" si="1195"/>
        <v>14:54:24.617</v>
      </c>
      <c r="U2176" t="str">
        <f t="shared" si="1165"/>
        <v>ACC530</v>
      </c>
      <c r="V2176">
        <v>0</v>
      </c>
      <c r="W2176">
        <v>0</v>
      </c>
      <c r="X2176">
        <v>1</v>
      </c>
      <c r="Z2176">
        <v>0</v>
      </c>
      <c r="AA2176">
        <v>9</v>
      </c>
      <c r="AB2176">
        <v>3</v>
      </c>
      <c r="AC2176">
        <v>0</v>
      </c>
      <c r="AD2176">
        <v>9</v>
      </c>
      <c r="AE2176">
        <v>0</v>
      </c>
      <c r="AF2176">
        <v>3</v>
      </c>
      <c r="AG2176">
        <v>1</v>
      </c>
      <c r="AH2176">
        <v>0</v>
      </c>
      <c r="AI2176" t="s">
        <v>790</v>
      </c>
      <c r="AJ2176">
        <v>34.164583999999998</v>
      </c>
      <c r="AK2176" t="s">
        <v>791</v>
      </c>
      <c r="AL2176">
        <v>-117.03449999999999</v>
      </c>
      <c r="AM2176">
        <v>100</v>
      </c>
      <c r="AN2176">
        <v>7700</v>
      </c>
      <c r="AO2176" t="s">
        <v>118</v>
      </c>
      <c r="AP2176">
        <v>-90</v>
      </c>
      <c r="AQ2176">
        <v>-75</v>
      </c>
      <c r="AR2176">
        <v>-832</v>
      </c>
      <c r="AZ2176">
        <v>1200</v>
      </c>
      <c r="BA2176">
        <v>1</v>
      </c>
      <c r="BB2176" t="str">
        <f t="shared" si="1167"/>
        <v xml:space="preserve">N9217B  </v>
      </c>
      <c r="BC2176">
        <v>1</v>
      </c>
      <c r="BE2176">
        <v>0</v>
      </c>
      <c r="BF2176">
        <v>0</v>
      </c>
      <c r="BG2176">
        <v>0</v>
      </c>
      <c r="BH2176">
        <v>7650</v>
      </c>
      <c r="BI2176">
        <v>1</v>
      </c>
      <c r="BJ2176">
        <v>0</v>
      </c>
      <c r="BK2176">
        <v>0</v>
      </c>
      <c r="BL2176">
        <v>0</v>
      </c>
      <c r="BO2176">
        <v>0</v>
      </c>
      <c r="BP2176">
        <v>0</v>
      </c>
      <c r="BW2176" t="str">
        <f t="shared" si="1196"/>
        <v>14:54:24.621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6</v>
      </c>
      <c r="CP2176" t="s">
        <v>119</v>
      </c>
      <c r="CQ2176">
        <v>285</v>
      </c>
      <c r="CR2176">
        <v>0</v>
      </c>
      <c r="CW2176">
        <v>8862618</v>
      </c>
      <c r="CY2176">
        <v>0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25">
      <c r="A2177" t="str">
        <f t="shared" ref="A2177:A2183" si="1197">"06/05/2020 14:54:19.883"</f>
        <v>06/05/2020 14:54:19.883</v>
      </c>
      <c r="C2177" t="str">
        <f t="shared" si="1184"/>
        <v>FFDFD3C0</v>
      </c>
      <c r="D2177" t="s">
        <v>151</v>
      </c>
      <c r="E2177">
        <v>8</v>
      </c>
      <c r="H2177">
        <v>225</v>
      </c>
      <c r="I2177" t="s">
        <v>353</v>
      </c>
      <c r="J2177" t="s">
        <v>150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ref="S2177:T2183" si="1198">"14:54:25.547"</f>
        <v>14:54:25.547</v>
      </c>
      <c r="T2177" t="str">
        <f t="shared" si="1198"/>
        <v>14:54:25.547</v>
      </c>
      <c r="U2177" t="str">
        <f t="shared" si="1165"/>
        <v>ACC530</v>
      </c>
      <c r="V2177">
        <v>0</v>
      </c>
      <c r="W2177">
        <v>0</v>
      </c>
      <c r="X2177">
        <v>1</v>
      </c>
      <c r="Z2177">
        <v>0</v>
      </c>
      <c r="AA2177">
        <v>9</v>
      </c>
      <c r="AB2177">
        <v>3</v>
      </c>
      <c r="AC2177">
        <v>0</v>
      </c>
      <c r="AD2177">
        <v>9</v>
      </c>
      <c r="AE2177">
        <v>0</v>
      </c>
      <c r="AF2177">
        <v>3</v>
      </c>
      <c r="AG2177">
        <v>1</v>
      </c>
      <c r="AH2177">
        <v>0</v>
      </c>
      <c r="AI2177" t="s">
        <v>792</v>
      </c>
      <c r="AJ2177">
        <v>34.164262000000001</v>
      </c>
      <c r="AK2177" t="s">
        <v>793</v>
      </c>
      <c r="AL2177">
        <v>-117.03494999999999</v>
      </c>
      <c r="AM2177">
        <v>100</v>
      </c>
      <c r="AN2177">
        <v>7700</v>
      </c>
      <c r="AO2177" t="s">
        <v>118</v>
      </c>
      <c r="AP2177">
        <v>-90</v>
      </c>
      <c r="AQ2177">
        <v>-75</v>
      </c>
      <c r="AR2177">
        <v>-896</v>
      </c>
      <c r="AZ2177">
        <v>1200</v>
      </c>
      <c r="BA2177">
        <v>1</v>
      </c>
      <c r="BB2177" t="str">
        <f t="shared" si="1167"/>
        <v xml:space="preserve">N9217B  </v>
      </c>
      <c r="BC2177">
        <v>1</v>
      </c>
      <c r="BE2177">
        <v>0</v>
      </c>
      <c r="BF2177">
        <v>0</v>
      </c>
      <c r="BG2177">
        <v>0</v>
      </c>
      <c r="BH2177">
        <v>7650</v>
      </c>
      <c r="BI2177">
        <v>1</v>
      </c>
      <c r="BJ2177">
        <v>0</v>
      </c>
      <c r="BK2177">
        <v>0</v>
      </c>
      <c r="BL2177">
        <v>0</v>
      </c>
      <c r="BO2177">
        <v>0</v>
      </c>
      <c r="BP2177">
        <v>0</v>
      </c>
      <c r="BW2177" t="str">
        <f t="shared" ref="BW2177:BW2183" si="1199">"14:54:25.551"</f>
        <v>14:54:25.551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6</v>
      </c>
      <c r="CP2177" t="s">
        <v>119</v>
      </c>
      <c r="CQ2177">
        <v>285</v>
      </c>
      <c r="CR2177">
        <v>0</v>
      </c>
      <c r="CW2177">
        <v>8862705</v>
      </c>
      <c r="CY2177">
        <v>0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25">
      <c r="A2178" t="str">
        <f t="shared" si="1197"/>
        <v>06/05/2020 14:54:19.883</v>
      </c>
      <c r="C2178" t="str">
        <f t="shared" si="1184"/>
        <v>FFDFD3C0</v>
      </c>
      <c r="D2178" t="s">
        <v>134</v>
      </c>
      <c r="E2178">
        <v>7</v>
      </c>
      <c r="F2178">
        <v>2007</v>
      </c>
      <c r="G2178" t="s">
        <v>135</v>
      </c>
      <c r="J2178" t="s">
        <v>136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198"/>
        <v>14:54:25.547</v>
      </c>
      <c r="T2178" t="str">
        <f t="shared" si="1198"/>
        <v>14:54:25.547</v>
      </c>
      <c r="U2178" t="str">
        <f t="shared" ref="U2178:U2241" si="1200">"ACC530"</f>
        <v>ACC530</v>
      </c>
      <c r="V2178">
        <v>0</v>
      </c>
      <c r="W2178">
        <v>0</v>
      </c>
      <c r="X2178">
        <v>1</v>
      </c>
      <c r="Z2178">
        <v>0</v>
      </c>
      <c r="AA2178">
        <v>9</v>
      </c>
      <c r="AB2178">
        <v>3</v>
      </c>
      <c r="AC2178">
        <v>0</v>
      </c>
      <c r="AD2178">
        <v>9</v>
      </c>
      <c r="AE2178">
        <v>0</v>
      </c>
      <c r="AF2178">
        <v>3</v>
      </c>
      <c r="AG2178">
        <v>1</v>
      </c>
      <c r="AH2178">
        <v>0</v>
      </c>
      <c r="AI2178" t="s">
        <v>792</v>
      </c>
      <c r="AJ2178">
        <v>34.164262000000001</v>
      </c>
      <c r="AK2178" t="s">
        <v>793</v>
      </c>
      <c r="AL2178">
        <v>-117.03494999999999</v>
      </c>
      <c r="AM2178">
        <v>100</v>
      </c>
      <c r="AN2178">
        <v>7700</v>
      </c>
      <c r="AO2178" t="s">
        <v>118</v>
      </c>
      <c r="AP2178">
        <v>-90</v>
      </c>
      <c r="AQ2178">
        <v>-75</v>
      </c>
      <c r="AR2178">
        <v>-896</v>
      </c>
      <c r="AZ2178">
        <v>1200</v>
      </c>
      <c r="BA2178">
        <v>1</v>
      </c>
      <c r="BB2178" t="str">
        <f t="shared" si="1167"/>
        <v xml:space="preserve">N9217B  </v>
      </c>
      <c r="BC2178">
        <v>1</v>
      </c>
      <c r="BE2178">
        <v>0</v>
      </c>
      <c r="BF2178">
        <v>0</v>
      </c>
      <c r="BG2178">
        <v>0</v>
      </c>
      <c r="BH2178">
        <v>7650</v>
      </c>
      <c r="BI2178">
        <v>1</v>
      </c>
      <c r="BJ2178">
        <v>0</v>
      </c>
      <c r="BK2178">
        <v>0</v>
      </c>
      <c r="BL2178">
        <v>0</v>
      </c>
      <c r="BO2178">
        <v>0</v>
      </c>
      <c r="BP2178">
        <v>0</v>
      </c>
      <c r="BW2178" t="str">
        <f t="shared" si="1199"/>
        <v>14:54:25.551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6</v>
      </c>
      <c r="CP2178" t="s">
        <v>119</v>
      </c>
      <c r="CQ2178">
        <v>285</v>
      </c>
      <c r="CR2178">
        <v>0</v>
      </c>
      <c r="CW2178">
        <v>8862705</v>
      </c>
      <c r="CY2178">
        <v>0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25">
      <c r="A2179" t="str">
        <f t="shared" si="1197"/>
        <v>06/05/2020 14:54:19.883</v>
      </c>
      <c r="C2179" t="str">
        <f t="shared" si="1184"/>
        <v>FFDFD3C0</v>
      </c>
      <c r="D2179" t="s">
        <v>148</v>
      </c>
      <c r="E2179">
        <v>8</v>
      </c>
      <c r="H2179">
        <v>50</v>
      </c>
      <c r="I2179" t="s">
        <v>149</v>
      </c>
      <c r="J2179" t="s">
        <v>150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198"/>
        <v>14:54:25.547</v>
      </c>
      <c r="T2179" t="str">
        <f t="shared" si="1198"/>
        <v>14:54:25.547</v>
      </c>
      <c r="U2179" t="str">
        <f t="shared" si="1200"/>
        <v>ACC530</v>
      </c>
      <c r="V2179">
        <v>0</v>
      </c>
      <c r="W2179">
        <v>0</v>
      </c>
      <c r="X2179">
        <v>1</v>
      </c>
      <c r="Z2179">
        <v>0</v>
      </c>
      <c r="AA2179">
        <v>9</v>
      </c>
      <c r="AB2179">
        <v>3</v>
      </c>
      <c r="AC2179">
        <v>0</v>
      </c>
      <c r="AD2179">
        <v>9</v>
      </c>
      <c r="AE2179">
        <v>0</v>
      </c>
      <c r="AF2179">
        <v>3</v>
      </c>
      <c r="AG2179">
        <v>1</v>
      </c>
      <c r="AH2179">
        <v>0</v>
      </c>
      <c r="AI2179" t="s">
        <v>792</v>
      </c>
      <c r="AJ2179">
        <v>34.164262000000001</v>
      </c>
      <c r="AK2179" t="s">
        <v>793</v>
      </c>
      <c r="AL2179">
        <v>-117.03494999999999</v>
      </c>
      <c r="AM2179">
        <v>100</v>
      </c>
      <c r="AN2179">
        <v>7700</v>
      </c>
      <c r="AO2179" t="s">
        <v>118</v>
      </c>
      <c r="AP2179">
        <v>-90</v>
      </c>
      <c r="AQ2179">
        <v>-75</v>
      </c>
      <c r="AR2179">
        <v>-896</v>
      </c>
      <c r="AZ2179">
        <v>1200</v>
      </c>
      <c r="BA2179">
        <v>1</v>
      </c>
      <c r="BB2179" t="str">
        <f t="shared" si="1167"/>
        <v xml:space="preserve">N9217B  </v>
      </c>
      <c r="BC2179">
        <v>1</v>
      </c>
      <c r="BE2179">
        <v>0</v>
      </c>
      <c r="BF2179">
        <v>0</v>
      </c>
      <c r="BG2179">
        <v>0</v>
      </c>
      <c r="BH2179">
        <v>7650</v>
      </c>
      <c r="BI2179">
        <v>1</v>
      </c>
      <c r="BJ2179">
        <v>0</v>
      </c>
      <c r="BK2179">
        <v>0</v>
      </c>
      <c r="BL2179">
        <v>0</v>
      </c>
      <c r="BO2179">
        <v>0</v>
      </c>
      <c r="BP2179">
        <v>0</v>
      </c>
      <c r="BW2179" t="str">
        <f t="shared" si="1199"/>
        <v>14:54:25.551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6</v>
      </c>
      <c r="CP2179" t="s">
        <v>119</v>
      </c>
      <c r="CQ2179">
        <v>285</v>
      </c>
      <c r="CR2179">
        <v>0</v>
      </c>
      <c r="CW2179">
        <v>8862705</v>
      </c>
      <c r="CY2179">
        <v>0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25">
      <c r="A2180" t="str">
        <f t="shared" si="1197"/>
        <v>06/05/2020 14:54:19.883</v>
      </c>
      <c r="C2180" t="str">
        <f t="shared" si="1184"/>
        <v>FFDFD3C0</v>
      </c>
      <c r="D2180" t="s">
        <v>151</v>
      </c>
      <c r="E2180">
        <v>9</v>
      </c>
      <c r="H2180">
        <v>226</v>
      </c>
      <c r="I2180" t="s">
        <v>152</v>
      </c>
      <c r="J2180" t="s">
        <v>150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198"/>
        <v>14:54:25.547</v>
      </c>
      <c r="T2180" t="str">
        <f t="shared" si="1198"/>
        <v>14:54:25.547</v>
      </c>
      <c r="U2180" t="str">
        <f t="shared" si="1200"/>
        <v>ACC530</v>
      </c>
      <c r="V2180">
        <v>0</v>
      </c>
      <c r="W2180">
        <v>0</v>
      </c>
      <c r="X2180">
        <v>1</v>
      </c>
      <c r="Z2180">
        <v>0</v>
      </c>
      <c r="AA2180">
        <v>9</v>
      </c>
      <c r="AB2180">
        <v>3</v>
      </c>
      <c r="AC2180">
        <v>0</v>
      </c>
      <c r="AD2180">
        <v>9</v>
      </c>
      <c r="AE2180">
        <v>0</v>
      </c>
      <c r="AF2180">
        <v>3</v>
      </c>
      <c r="AG2180">
        <v>1</v>
      </c>
      <c r="AH2180">
        <v>0</v>
      </c>
      <c r="AI2180" t="s">
        <v>792</v>
      </c>
      <c r="AJ2180">
        <v>34.164262000000001</v>
      </c>
      <c r="AK2180" t="s">
        <v>793</v>
      </c>
      <c r="AL2180">
        <v>-117.03494999999999</v>
      </c>
      <c r="AM2180">
        <v>100</v>
      </c>
      <c r="AN2180">
        <v>7700</v>
      </c>
      <c r="AO2180" t="s">
        <v>118</v>
      </c>
      <c r="AP2180">
        <v>-90</v>
      </c>
      <c r="AQ2180">
        <v>-75</v>
      </c>
      <c r="AR2180">
        <v>-896</v>
      </c>
      <c r="AZ2180">
        <v>1200</v>
      </c>
      <c r="BA2180">
        <v>1</v>
      </c>
      <c r="BB2180" t="str">
        <f t="shared" si="1167"/>
        <v xml:space="preserve">N9217B  </v>
      </c>
      <c r="BC2180">
        <v>1</v>
      </c>
      <c r="BE2180">
        <v>0</v>
      </c>
      <c r="BF2180">
        <v>0</v>
      </c>
      <c r="BG2180">
        <v>0</v>
      </c>
      <c r="BH2180">
        <v>7650</v>
      </c>
      <c r="BI2180">
        <v>1</v>
      </c>
      <c r="BJ2180">
        <v>0</v>
      </c>
      <c r="BK2180">
        <v>0</v>
      </c>
      <c r="BL2180">
        <v>0</v>
      </c>
      <c r="BO2180">
        <v>0</v>
      </c>
      <c r="BP2180">
        <v>0</v>
      </c>
      <c r="BW2180" t="str">
        <f t="shared" si="1199"/>
        <v>14:54:25.551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6</v>
      </c>
      <c r="CP2180" t="s">
        <v>119</v>
      </c>
      <c r="CQ2180">
        <v>285</v>
      </c>
      <c r="CR2180">
        <v>0</v>
      </c>
      <c r="CW2180">
        <v>8862705</v>
      </c>
      <c r="CY2180">
        <v>0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25">
      <c r="A2181" t="str">
        <f t="shared" si="1197"/>
        <v>06/05/2020 14:54:19.883</v>
      </c>
      <c r="C2181" t="str">
        <f t="shared" si="1184"/>
        <v>FFDFD3C0</v>
      </c>
      <c r="D2181" t="s">
        <v>141</v>
      </c>
      <c r="E2181">
        <v>20</v>
      </c>
      <c r="F2181">
        <v>1020</v>
      </c>
      <c r="G2181" t="s">
        <v>114</v>
      </c>
      <c r="J2181" t="s">
        <v>142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98"/>
        <v>14:54:25.547</v>
      </c>
      <c r="T2181" t="str">
        <f t="shared" si="1198"/>
        <v>14:54:25.547</v>
      </c>
      <c r="U2181" t="str">
        <f t="shared" si="1200"/>
        <v>ACC530</v>
      </c>
      <c r="V2181">
        <v>0</v>
      </c>
      <c r="W2181">
        <v>0</v>
      </c>
      <c r="X2181">
        <v>1</v>
      </c>
      <c r="Z2181">
        <v>0</v>
      </c>
      <c r="AA2181">
        <v>9</v>
      </c>
      <c r="AB2181">
        <v>3</v>
      </c>
      <c r="AC2181">
        <v>0</v>
      </c>
      <c r="AD2181">
        <v>9</v>
      </c>
      <c r="AE2181">
        <v>0</v>
      </c>
      <c r="AF2181">
        <v>3</v>
      </c>
      <c r="AG2181">
        <v>1</v>
      </c>
      <c r="AH2181">
        <v>0</v>
      </c>
      <c r="AI2181" t="s">
        <v>792</v>
      </c>
      <c r="AJ2181">
        <v>34.164262000000001</v>
      </c>
      <c r="AK2181" t="s">
        <v>793</v>
      </c>
      <c r="AL2181">
        <v>-117.03494999999999</v>
      </c>
      <c r="AM2181">
        <v>100</v>
      </c>
      <c r="AN2181">
        <v>7700</v>
      </c>
      <c r="AO2181" t="s">
        <v>118</v>
      </c>
      <c r="AP2181">
        <v>-90</v>
      </c>
      <c r="AQ2181">
        <v>-75</v>
      </c>
      <c r="AR2181">
        <v>-896</v>
      </c>
      <c r="AZ2181">
        <v>1200</v>
      </c>
      <c r="BA2181">
        <v>1</v>
      </c>
      <c r="BB2181" t="str">
        <f t="shared" ref="BB2181:BB2244" si="1201">"N9217B  "</f>
        <v xml:space="preserve">N9217B  </v>
      </c>
      <c r="BC2181">
        <v>1</v>
      </c>
      <c r="BE2181">
        <v>0</v>
      </c>
      <c r="BF2181">
        <v>0</v>
      </c>
      <c r="BG2181">
        <v>0</v>
      </c>
      <c r="BH2181">
        <v>7650</v>
      </c>
      <c r="BI2181">
        <v>1</v>
      </c>
      <c r="BJ2181">
        <v>0</v>
      </c>
      <c r="BK2181">
        <v>0</v>
      </c>
      <c r="BL2181">
        <v>0</v>
      </c>
      <c r="BO2181">
        <v>0</v>
      </c>
      <c r="BP2181">
        <v>0</v>
      </c>
      <c r="BW2181" t="str">
        <f t="shared" si="1199"/>
        <v>14:54:25.551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6</v>
      </c>
      <c r="CP2181" t="s">
        <v>119</v>
      </c>
      <c r="CQ2181">
        <v>285</v>
      </c>
      <c r="CR2181">
        <v>0</v>
      </c>
      <c r="CW2181">
        <v>8862705</v>
      </c>
      <c r="CY2181">
        <v>0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25">
      <c r="A2182" t="str">
        <f t="shared" si="1197"/>
        <v>06/05/2020 14:54:19.883</v>
      </c>
      <c r="C2182" t="str">
        <f t="shared" si="1184"/>
        <v>FFDFD3C0</v>
      </c>
      <c r="D2182" t="s">
        <v>113</v>
      </c>
      <c r="E2182">
        <v>3</v>
      </c>
      <c r="H2182">
        <v>166</v>
      </c>
      <c r="I2182" t="s">
        <v>114</v>
      </c>
      <c r="J2182" t="s">
        <v>115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98"/>
        <v>14:54:25.547</v>
      </c>
      <c r="T2182" t="str">
        <f t="shared" si="1198"/>
        <v>14:54:25.547</v>
      </c>
      <c r="U2182" t="str">
        <f t="shared" si="1200"/>
        <v>ACC530</v>
      </c>
      <c r="V2182">
        <v>0</v>
      </c>
      <c r="W2182">
        <v>0</v>
      </c>
      <c r="X2182">
        <v>1</v>
      </c>
      <c r="Z2182">
        <v>0</v>
      </c>
      <c r="AA2182">
        <v>9</v>
      </c>
      <c r="AB2182">
        <v>3</v>
      </c>
      <c r="AC2182">
        <v>0</v>
      </c>
      <c r="AD2182">
        <v>9</v>
      </c>
      <c r="AE2182">
        <v>0</v>
      </c>
      <c r="AF2182">
        <v>3</v>
      </c>
      <c r="AG2182">
        <v>1</v>
      </c>
      <c r="AH2182">
        <v>0</v>
      </c>
      <c r="AI2182" t="s">
        <v>792</v>
      </c>
      <c r="AJ2182">
        <v>34.164262000000001</v>
      </c>
      <c r="AK2182" t="s">
        <v>793</v>
      </c>
      <c r="AL2182">
        <v>-117.03494999999999</v>
      </c>
      <c r="AM2182">
        <v>100</v>
      </c>
      <c r="AN2182">
        <v>7700</v>
      </c>
      <c r="AO2182" t="s">
        <v>118</v>
      </c>
      <c r="AP2182">
        <v>-90</v>
      </c>
      <c r="AQ2182">
        <v>-75</v>
      </c>
      <c r="AR2182">
        <v>-896</v>
      </c>
      <c r="AZ2182">
        <v>1200</v>
      </c>
      <c r="BA2182">
        <v>1</v>
      </c>
      <c r="BB2182" t="str">
        <f t="shared" si="1201"/>
        <v xml:space="preserve">N9217B  </v>
      </c>
      <c r="BC2182">
        <v>1</v>
      </c>
      <c r="BE2182">
        <v>0</v>
      </c>
      <c r="BF2182">
        <v>0</v>
      </c>
      <c r="BG2182">
        <v>0</v>
      </c>
      <c r="BH2182">
        <v>7650</v>
      </c>
      <c r="BI2182">
        <v>1</v>
      </c>
      <c r="BJ2182">
        <v>0</v>
      </c>
      <c r="BK2182">
        <v>0</v>
      </c>
      <c r="BL2182">
        <v>0</v>
      </c>
      <c r="BO2182">
        <v>0</v>
      </c>
      <c r="BP2182">
        <v>0</v>
      </c>
      <c r="BW2182" t="str">
        <f t="shared" si="1199"/>
        <v>14:54:25.551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6</v>
      </c>
      <c r="CP2182" t="s">
        <v>119</v>
      </c>
      <c r="CQ2182">
        <v>285</v>
      </c>
      <c r="CR2182">
        <v>0</v>
      </c>
      <c r="CW2182">
        <v>8862705</v>
      </c>
      <c r="CY2182">
        <v>0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25">
      <c r="A2183" t="str">
        <f t="shared" si="1197"/>
        <v>06/05/2020 14:54:19.883</v>
      </c>
      <c r="C2183" t="str">
        <f t="shared" si="1184"/>
        <v>FFDFD3C0</v>
      </c>
      <c r="D2183" t="s">
        <v>148</v>
      </c>
      <c r="E2183">
        <v>11</v>
      </c>
      <c r="H2183">
        <v>53</v>
      </c>
      <c r="I2183" t="s">
        <v>364</v>
      </c>
      <c r="J2183" t="s">
        <v>150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198"/>
        <v>14:54:25.547</v>
      </c>
      <c r="T2183" t="str">
        <f t="shared" si="1198"/>
        <v>14:54:25.547</v>
      </c>
      <c r="U2183" t="str">
        <f t="shared" si="1200"/>
        <v>ACC530</v>
      </c>
      <c r="V2183">
        <v>0</v>
      </c>
      <c r="W2183">
        <v>0</v>
      </c>
      <c r="X2183">
        <v>1</v>
      </c>
      <c r="Z2183">
        <v>0</v>
      </c>
      <c r="AA2183">
        <v>9</v>
      </c>
      <c r="AB2183">
        <v>3</v>
      </c>
      <c r="AC2183">
        <v>0</v>
      </c>
      <c r="AD2183">
        <v>9</v>
      </c>
      <c r="AE2183">
        <v>0</v>
      </c>
      <c r="AF2183">
        <v>3</v>
      </c>
      <c r="AG2183">
        <v>1</v>
      </c>
      <c r="AH2183">
        <v>0</v>
      </c>
      <c r="AI2183" t="s">
        <v>792</v>
      </c>
      <c r="AJ2183">
        <v>34.164262000000001</v>
      </c>
      <c r="AK2183" t="s">
        <v>793</v>
      </c>
      <c r="AL2183">
        <v>-117.03494999999999</v>
      </c>
      <c r="AM2183">
        <v>100</v>
      </c>
      <c r="AN2183">
        <v>7700</v>
      </c>
      <c r="AO2183" t="s">
        <v>118</v>
      </c>
      <c r="AP2183">
        <v>-90</v>
      </c>
      <c r="AQ2183">
        <v>-75</v>
      </c>
      <c r="AR2183">
        <v>-896</v>
      </c>
      <c r="AZ2183">
        <v>1200</v>
      </c>
      <c r="BA2183">
        <v>1</v>
      </c>
      <c r="BB2183" t="str">
        <f t="shared" si="1201"/>
        <v xml:space="preserve">N9217B  </v>
      </c>
      <c r="BC2183">
        <v>1</v>
      </c>
      <c r="BE2183">
        <v>0</v>
      </c>
      <c r="BF2183">
        <v>0</v>
      </c>
      <c r="BG2183">
        <v>0</v>
      </c>
      <c r="BH2183">
        <v>7650</v>
      </c>
      <c r="BI2183">
        <v>1</v>
      </c>
      <c r="BJ2183">
        <v>0</v>
      </c>
      <c r="BK2183">
        <v>0</v>
      </c>
      <c r="BL2183">
        <v>0</v>
      </c>
      <c r="BO2183">
        <v>0</v>
      </c>
      <c r="BP2183">
        <v>0</v>
      </c>
      <c r="BW2183" t="str">
        <f t="shared" si="1199"/>
        <v>14:54:25.551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6</v>
      </c>
      <c r="CP2183" t="s">
        <v>119</v>
      </c>
      <c r="CQ2183">
        <v>285</v>
      </c>
      <c r="CR2183">
        <v>0</v>
      </c>
      <c r="CW2183">
        <v>8862705</v>
      </c>
      <c r="CY2183">
        <v>0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25">
      <c r="A2184" t="str">
        <f t="shared" ref="A2184:A2190" si="1202">"06/05/2020 14:54:20.816"</f>
        <v>06/05/2020 14:54:20.816</v>
      </c>
      <c r="C2184" t="str">
        <f t="shared" si="1184"/>
        <v>FFDFD3C0</v>
      </c>
      <c r="D2184" t="s">
        <v>148</v>
      </c>
      <c r="E2184">
        <v>8</v>
      </c>
      <c r="H2184">
        <v>50</v>
      </c>
      <c r="I2184" t="s">
        <v>149</v>
      </c>
      <c r="J2184" t="s">
        <v>150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ref="S2184:S2190" si="1203">"14:54:26.430"</f>
        <v>14:54:26.430</v>
      </c>
      <c r="T2184" t="str">
        <f t="shared" ref="T2184:T2190" si="1204">"14:54:26.030"</f>
        <v>14:54:26.030</v>
      </c>
      <c r="U2184" t="str">
        <f t="shared" si="1200"/>
        <v>ACC530</v>
      </c>
      <c r="V2184">
        <v>0</v>
      </c>
      <c r="W2184">
        <v>0</v>
      </c>
      <c r="X2184">
        <v>1</v>
      </c>
      <c r="Z2184">
        <v>0</v>
      </c>
      <c r="AA2184">
        <v>9</v>
      </c>
      <c r="AB2184">
        <v>3</v>
      </c>
      <c r="AC2184">
        <v>0</v>
      </c>
      <c r="AD2184">
        <v>9</v>
      </c>
      <c r="AE2184">
        <v>0</v>
      </c>
      <c r="AF2184">
        <v>3</v>
      </c>
      <c r="AG2184">
        <v>1</v>
      </c>
      <c r="AH2184">
        <v>0</v>
      </c>
      <c r="AI2184" t="s">
        <v>794</v>
      </c>
      <c r="AJ2184">
        <v>34.164003999999998</v>
      </c>
      <c r="AK2184" t="s">
        <v>795</v>
      </c>
      <c r="AL2184">
        <v>-117.03540099999999</v>
      </c>
      <c r="AM2184">
        <v>100</v>
      </c>
      <c r="AN2184">
        <v>7700</v>
      </c>
      <c r="AO2184" t="s">
        <v>118</v>
      </c>
      <c r="AP2184">
        <v>-90</v>
      </c>
      <c r="AQ2184">
        <v>-75</v>
      </c>
      <c r="AR2184">
        <v>-960</v>
      </c>
      <c r="AZ2184">
        <v>1200</v>
      </c>
      <c r="BA2184">
        <v>1</v>
      </c>
      <c r="BB2184" t="str">
        <f t="shared" si="1201"/>
        <v xml:space="preserve">N9217B  </v>
      </c>
      <c r="BC2184">
        <v>1</v>
      </c>
      <c r="BE2184">
        <v>0</v>
      </c>
      <c r="BF2184">
        <v>0</v>
      </c>
      <c r="BG2184">
        <v>0</v>
      </c>
      <c r="BH2184">
        <v>7650</v>
      </c>
      <c r="BI2184">
        <v>1</v>
      </c>
      <c r="BJ2184">
        <v>0</v>
      </c>
      <c r="BK2184">
        <v>0</v>
      </c>
      <c r="BL2184">
        <v>0</v>
      </c>
      <c r="BO2184">
        <v>0</v>
      </c>
      <c r="BP2184">
        <v>0</v>
      </c>
      <c r="BW2184" t="str">
        <f t="shared" ref="BW2184:BW2190" si="1205">"14:54:26.436"</f>
        <v>14:54:26.436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285</v>
      </c>
      <c r="CR2184">
        <v>0</v>
      </c>
      <c r="CW2184">
        <v>8862786</v>
      </c>
      <c r="CY2184">
        <v>0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25">
      <c r="A2185" t="str">
        <f t="shared" si="1202"/>
        <v>06/05/2020 14:54:20.816</v>
      </c>
      <c r="C2185" t="str">
        <f t="shared" si="1184"/>
        <v>FFDFD3C0</v>
      </c>
      <c r="D2185" t="s">
        <v>151</v>
      </c>
      <c r="E2185">
        <v>9</v>
      </c>
      <c r="H2185">
        <v>226</v>
      </c>
      <c r="I2185" t="s">
        <v>152</v>
      </c>
      <c r="J2185" t="s">
        <v>150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203"/>
        <v>14:54:26.430</v>
      </c>
      <c r="T2185" t="str">
        <f t="shared" si="1204"/>
        <v>14:54:26.030</v>
      </c>
      <c r="U2185" t="str">
        <f t="shared" si="1200"/>
        <v>ACC530</v>
      </c>
      <c r="V2185">
        <v>0</v>
      </c>
      <c r="W2185">
        <v>0</v>
      </c>
      <c r="X2185">
        <v>1</v>
      </c>
      <c r="Z2185">
        <v>0</v>
      </c>
      <c r="AA2185">
        <v>9</v>
      </c>
      <c r="AB2185">
        <v>3</v>
      </c>
      <c r="AC2185">
        <v>0</v>
      </c>
      <c r="AD2185">
        <v>9</v>
      </c>
      <c r="AE2185">
        <v>0</v>
      </c>
      <c r="AF2185">
        <v>3</v>
      </c>
      <c r="AG2185">
        <v>1</v>
      </c>
      <c r="AH2185">
        <v>0</v>
      </c>
      <c r="AI2185" t="s">
        <v>794</v>
      </c>
      <c r="AJ2185">
        <v>34.164003999999998</v>
      </c>
      <c r="AK2185" t="s">
        <v>795</v>
      </c>
      <c r="AL2185">
        <v>-117.03540099999999</v>
      </c>
      <c r="AM2185">
        <v>100</v>
      </c>
      <c r="AN2185">
        <v>7700</v>
      </c>
      <c r="AO2185" t="s">
        <v>118</v>
      </c>
      <c r="AP2185">
        <v>-90</v>
      </c>
      <c r="AQ2185">
        <v>-75</v>
      </c>
      <c r="AR2185">
        <v>-960</v>
      </c>
      <c r="AZ2185">
        <v>1200</v>
      </c>
      <c r="BA2185">
        <v>1</v>
      </c>
      <c r="BB2185" t="str">
        <f t="shared" si="1201"/>
        <v xml:space="preserve">N9217B  </v>
      </c>
      <c r="BC2185">
        <v>1</v>
      </c>
      <c r="BE2185">
        <v>0</v>
      </c>
      <c r="BF2185">
        <v>0</v>
      </c>
      <c r="BG2185">
        <v>0</v>
      </c>
      <c r="BH2185">
        <v>7650</v>
      </c>
      <c r="BI2185">
        <v>1</v>
      </c>
      <c r="BJ2185">
        <v>0</v>
      </c>
      <c r="BK2185">
        <v>0</v>
      </c>
      <c r="BL2185">
        <v>0</v>
      </c>
      <c r="BO2185">
        <v>0</v>
      </c>
      <c r="BP2185">
        <v>0</v>
      </c>
      <c r="BW2185" t="str">
        <f t="shared" si="1205"/>
        <v>14:54:26.436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6</v>
      </c>
      <c r="CP2185" t="s">
        <v>119</v>
      </c>
      <c r="CQ2185">
        <v>285</v>
      </c>
      <c r="CR2185">
        <v>0</v>
      </c>
      <c r="CW2185">
        <v>8862786</v>
      </c>
      <c r="CY2185">
        <v>0</v>
      </c>
      <c r="CZ2185">
        <v>0</v>
      </c>
      <c r="DA2185">
        <v>1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25">
      <c r="A2186" t="str">
        <f t="shared" si="1202"/>
        <v>06/05/2020 14:54:20.816</v>
      </c>
      <c r="C2186" t="str">
        <f t="shared" si="1184"/>
        <v>FFDFD3C0</v>
      </c>
      <c r="D2186" t="s">
        <v>141</v>
      </c>
      <c r="E2186">
        <v>20</v>
      </c>
      <c r="F2186">
        <v>1020</v>
      </c>
      <c r="G2186" t="s">
        <v>114</v>
      </c>
      <c r="J2186" t="s">
        <v>142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203"/>
        <v>14:54:26.430</v>
      </c>
      <c r="T2186" t="str">
        <f t="shared" si="1204"/>
        <v>14:54:26.030</v>
      </c>
      <c r="U2186" t="str">
        <f t="shared" si="1200"/>
        <v>ACC530</v>
      </c>
      <c r="V2186">
        <v>0</v>
      </c>
      <c r="W2186">
        <v>0</v>
      </c>
      <c r="X2186">
        <v>1</v>
      </c>
      <c r="Z2186">
        <v>0</v>
      </c>
      <c r="AA2186">
        <v>9</v>
      </c>
      <c r="AB2186">
        <v>3</v>
      </c>
      <c r="AC2186">
        <v>0</v>
      </c>
      <c r="AD2186">
        <v>9</v>
      </c>
      <c r="AE2186">
        <v>0</v>
      </c>
      <c r="AF2186">
        <v>3</v>
      </c>
      <c r="AG2186">
        <v>1</v>
      </c>
      <c r="AH2186">
        <v>0</v>
      </c>
      <c r="AI2186" t="s">
        <v>794</v>
      </c>
      <c r="AJ2186">
        <v>34.164003999999998</v>
      </c>
      <c r="AK2186" t="s">
        <v>795</v>
      </c>
      <c r="AL2186">
        <v>-117.03540099999999</v>
      </c>
      <c r="AM2186">
        <v>100</v>
      </c>
      <c r="AN2186">
        <v>7700</v>
      </c>
      <c r="AO2186" t="s">
        <v>118</v>
      </c>
      <c r="AP2186">
        <v>-90</v>
      </c>
      <c r="AQ2186">
        <v>-75</v>
      </c>
      <c r="AR2186">
        <v>-960</v>
      </c>
      <c r="AZ2186">
        <v>1200</v>
      </c>
      <c r="BA2186">
        <v>1</v>
      </c>
      <c r="BB2186" t="str">
        <f t="shared" si="1201"/>
        <v xml:space="preserve">N9217B  </v>
      </c>
      <c r="BC2186">
        <v>1</v>
      </c>
      <c r="BE2186">
        <v>0</v>
      </c>
      <c r="BF2186">
        <v>0</v>
      </c>
      <c r="BG2186">
        <v>0</v>
      </c>
      <c r="BH2186">
        <v>7650</v>
      </c>
      <c r="BI2186">
        <v>1</v>
      </c>
      <c r="BJ2186">
        <v>0</v>
      </c>
      <c r="BK2186">
        <v>0</v>
      </c>
      <c r="BL2186">
        <v>0</v>
      </c>
      <c r="BO2186">
        <v>0</v>
      </c>
      <c r="BP2186">
        <v>0</v>
      </c>
      <c r="BW2186" t="str">
        <f t="shared" si="1205"/>
        <v>14:54:26.436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6</v>
      </c>
      <c r="CP2186" t="s">
        <v>119</v>
      </c>
      <c r="CQ2186">
        <v>285</v>
      </c>
      <c r="CR2186">
        <v>0</v>
      </c>
      <c r="CW2186">
        <v>8862786</v>
      </c>
      <c r="CY2186">
        <v>0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25">
      <c r="A2187" t="str">
        <f t="shared" si="1202"/>
        <v>06/05/2020 14:54:20.816</v>
      </c>
      <c r="C2187" t="str">
        <f t="shared" si="1184"/>
        <v>FFDFD3C0</v>
      </c>
      <c r="D2187" t="s">
        <v>113</v>
      </c>
      <c r="E2187">
        <v>3</v>
      </c>
      <c r="H2187">
        <v>166</v>
      </c>
      <c r="I2187" t="s">
        <v>114</v>
      </c>
      <c r="J2187" t="s">
        <v>115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203"/>
        <v>14:54:26.430</v>
      </c>
      <c r="T2187" t="str">
        <f t="shared" si="1204"/>
        <v>14:54:26.030</v>
      </c>
      <c r="U2187" t="str">
        <f t="shared" si="1200"/>
        <v>ACC530</v>
      </c>
      <c r="V2187">
        <v>0</v>
      </c>
      <c r="W2187">
        <v>0</v>
      </c>
      <c r="X2187">
        <v>1</v>
      </c>
      <c r="Z2187">
        <v>0</v>
      </c>
      <c r="AA2187">
        <v>9</v>
      </c>
      <c r="AB2187">
        <v>3</v>
      </c>
      <c r="AC2187">
        <v>0</v>
      </c>
      <c r="AD2187">
        <v>9</v>
      </c>
      <c r="AE2187">
        <v>0</v>
      </c>
      <c r="AF2187">
        <v>3</v>
      </c>
      <c r="AG2187">
        <v>1</v>
      </c>
      <c r="AH2187">
        <v>0</v>
      </c>
      <c r="AI2187" t="s">
        <v>794</v>
      </c>
      <c r="AJ2187">
        <v>34.164003999999998</v>
      </c>
      <c r="AK2187" t="s">
        <v>795</v>
      </c>
      <c r="AL2187">
        <v>-117.03540099999999</v>
      </c>
      <c r="AM2187">
        <v>100</v>
      </c>
      <c r="AN2187">
        <v>7700</v>
      </c>
      <c r="AO2187" t="s">
        <v>118</v>
      </c>
      <c r="AP2187">
        <v>-90</v>
      </c>
      <c r="AQ2187">
        <v>-75</v>
      </c>
      <c r="AR2187">
        <v>-960</v>
      </c>
      <c r="AZ2187">
        <v>1200</v>
      </c>
      <c r="BA2187">
        <v>1</v>
      </c>
      <c r="BB2187" t="str">
        <f t="shared" si="1201"/>
        <v xml:space="preserve">N9217B  </v>
      </c>
      <c r="BC2187">
        <v>1</v>
      </c>
      <c r="BE2187">
        <v>0</v>
      </c>
      <c r="BF2187">
        <v>0</v>
      </c>
      <c r="BG2187">
        <v>0</v>
      </c>
      <c r="BH2187">
        <v>7650</v>
      </c>
      <c r="BI2187">
        <v>1</v>
      </c>
      <c r="BJ2187">
        <v>0</v>
      </c>
      <c r="BK2187">
        <v>0</v>
      </c>
      <c r="BL2187">
        <v>0</v>
      </c>
      <c r="BO2187">
        <v>0</v>
      </c>
      <c r="BP2187">
        <v>0</v>
      </c>
      <c r="BW2187" t="str">
        <f t="shared" si="1205"/>
        <v>14:54:26.436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6</v>
      </c>
      <c r="CP2187" t="s">
        <v>119</v>
      </c>
      <c r="CQ2187">
        <v>285</v>
      </c>
      <c r="CR2187">
        <v>0</v>
      </c>
      <c r="CW2187">
        <v>8862786</v>
      </c>
      <c r="CY2187">
        <v>0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25">
      <c r="A2188" t="str">
        <f t="shared" si="1202"/>
        <v>06/05/2020 14:54:20.816</v>
      </c>
      <c r="C2188" t="str">
        <f t="shared" si="1184"/>
        <v>FFDFD3C0</v>
      </c>
      <c r="D2188" t="s">
        <v>148</v>
      </c>
      <c r="E2188">
        <v>11</v>
      </c>
      <c r="H2188">
        <v>53</v>
      </c>
      <c r="I2188" t="s">
        <v>364</v>
      </c>
      <c r="J2188" t="s">
        <v>150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203"/>
        <v>14:54:26.430</v>
      </c>
      <c r="T2188" t="str">
        <f t="shared" si="1204"/>
        <v>14:54:26.030</v>
      </c>
      <c r="U2188" t="str">
        <f t="shared" si="1200"/>
        <v>ACC530</v>
      </c>
      <c r="V2188">
        <v>0</v>
      </c>
      <c r="W2188">
        <v>0</v>
      </c>
      <c r="X2188">
        <v>1</v>
      </c>
      <c r="Z2188">
        <v>0</v>
      </c>
      <c r="AA2188">
        <v>9</v>
      </c>
      <c r="AB2188">
        <v>3</v>
      </c>
      <c r="AC2188">
        <v>0</v>
      </c>
      <c r="AD2188">
        <v>9</v>
      </c>
      <c r="AE2188">
        <v>0</v>
      </c>
      <c r="AF2188">
        <v>3</v>
      </c>
      <c r="AG2188">
        <v>1</v>
      </c>
      <c r="AH2188">
        <v>0</v>
      </c>
      <c r="AI2188" t="s">
        <v>794</v>
      </c>
      <c r="AJ2188">
        <v>34.164003999999998</v>
      </c>
      <c r="AK2188" t="s">
        <v>795</v>
      </c>
      <c r="AL2188">
        <v>-117.03540099999999</v>
      </c>
      <c r="AM2188">
        <v>100</v>
      </c>
      <c r="AN2188">
        <v>7700</v>
      </c>
      <c r="AO2188" t="s">
        <v>118</v>
      </c>
      <c r="AP2188">
        <v>-90</v>
      </c>
      <c r="AQ2188">
        <v>-75</v>
      </c>
      <c r="AR2188">
        <v>-960</v>
      </c>
      <c r="AZ2188">
        <v>1200</v>
      </c>
      <c r="BA2188">
        <v>1</v>
      </c>
      <c r="BB2188" t="str">
        <f t="shared" si="1201"/>
        <v xml:space="preserve">N9217B  </v>
      </c>
      <c r="BC2188">
        <v>1</v>
      </c>
      <c r="BE2188">
        <v>0</v>
      </c>
      <c r="BF2188">
        <v>0</v>
      </c>
      <c r="BG2188">
        <v>0</v>
      </c>
      <c r="BH2188">
        <v>7650</v>
      </c>
      <c r="BI2188">
        <v>1</v>
      </c>
      <c r="BJ2188">
        <v>0</v>
      </c>
      <c r="BK2188">
        <v>0</v>
      </c>
      <c r="BL2188">
        <v>0</v>
      </c>
      <c r="BO2188">
        <v>0</v>
      </c>
      <c r="BP2188">
        <v>0</v>
      </c>
      <c r="BW2188" t="str">
        <f t="shared" si="1205"/>
        <v>14:54:26.436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6</v>
      </c>
      <c r="CP2188" t="s">
        <v>119</v>
      </c>
      <c r="CQ2188">
        <v>285</v>
      </c>
      <c r="CR2188">
        <v>0</v>
      </c>
      <c r="CW2188">
        <v>8862786</v>
      </c>
      <c r="CY2188">
        <v>0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25">
      <c r="A2189" t="str">
        <f t="shared" si="1202"/>
        <v>06/05/2020 14:54:20.816</v>
      </c>
      <c r="C2189" t="str">
        <f t="shared" si="1184"/>
        <v>FFDFD3C0</v>
      </c>
      <c r="D2189" t="s">
        <v>151</v>
      </c>
      <c r="E2189">
        <v>8</v>
      </c>
      <c r="H2189">
        <v>225</v>
      </c>
      <c r="I2189" t="s">
        <v>353</v>
      </c>
      <c r="J2189" t="s">
        <v>150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203"/>
        <v>14:54:26.430</v>
      </c>
      <c r="T2189" t="str">
        <f t="shared" si="1204"/>
        <v>14:54:26.030</v>
      </c>
      <c r="U2189" t="str">
        <f t="shared" si="1200"/>
        <v>ACC530</v>
      </c>
      <c r="V2189">
        <v>0</v>
      </c>
      <c r="W2189">
        <v>0</v>
      </c>
      <c r="X2189">
        <v>1</v>
      </c>
      <c r="Z2189">
        <v>0</v>
      </c>
      <c r="AA2189">
        <v>9</v>
      </c>
      <c r="AB2189">
        <v>3</v>
      </c>
      <c r="AC2189">
        <v>0</v>
      </c>
      <c r="AD2189">
        <v>9</v>
      </c>
      <c r="AE2189">
        <v>0</v>
      </c>
      <c r="AF2189">
        <v>3</v>
      </c>
      <c r="AG2189">
        <v>1</v>
      </c>
      <c r="AH2189">
        <v>0</v>
      </c>
      <c r="AI2189" t="s">
        <v>794</v>
      </c>
      <c r="AJ2189">
        <v>34.164003999999998</v>
      </c>
      <c r="AK2189" t="s">
        <v>795</v>
      </c>
      <c r="AL2189">
        <v>-117.03540099999999</v>
      </c>
      <c r="AM2189">
        <v>100</v>
      </c>
      <c r="AN2189">
        <v>7700</v>
      </c>
      <c r="AO2189" t="s">
        <v>118</v>
      </c>
      <c r="AP2189">
        <v>-90</v>
      </c>
      <c r="AQ2189">
        <v>-75</v>
      </c>
      <c r="AR2189">
        <v>-960</v>
      </c>
      <c r="AZ2189">
        <v>1200</v>
      </c>
      <c r="BA2189">
        <v>1</v>
      </c>
      <c r="BB2189" t="str">
        <f t="shared" si="1201"/>
        <v xml:space="preserve">N9217B  </v>
      </c>
      <c r="BC2189">
        <v>1</v>
      </c>
      <c r="BE2189">
        <v>0</v>
      </c>
      <c r="BF2189">
        <v>0</v>
      </c>
      <c r="BG2189">
        <v>0</v>
      </c>
      <c r="BH2189">
        <v>7650</v>
      </c>
      <c r="BI2189">
        <v>1</v>
      </c>
      <c r="BJ2189">
        <v>0</v>
      </c>
      <c r="BK2189">
        <v>0</v>
      </c>
      <c r="BL2189">
        <v>0</v>
      </c>
      <c r="BO2189">
        <v>0</v>
      </c>
      <c r="BP2189">
        <v>0</v>
      </c>
      <c r="BW2189" t="str">
        <f t="shared" si="1205"/>
        <v>14:54:26.436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6</v>
      </c>
      <c r="CP2189" t="s">
        <v>119</v>
      </c>
      <c r="CQ2189">
        <v>285</v>
      </c>
      <c r="CR2189">
        <v>0</v>
      </c>
      <c r="CW2189">
        <v>8862786</v>
      </c>
      <c r="CY2189">
        <v>0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25">
      <c r="A2190" t="str">
        <f t="shared" si="1202"/>
        <v>06/05/2020 14:54:20.816</v>
      </c>
      <c r="C2190" t="str">
        <f t="shared" si="1184"/>
        <v>FFDFD3C0</v>
      </c>
      <c r="D2190" t="s">
        <v>134</v>
      </c>
      <c r="E2190">
        <v>7</v>
      </c>
      <c r="F2190">
        <v>2007</v>
      </c>
      <c r="G2190" t="s">
        <v>135</v>
      </c>
      <c r="J2190" t="s">
        <v>136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203"/>
        <v>14:54:26.430</v>
      </c>
      <c r="T2190" t="str">
        <f t="shared" si="1204"/>
        <v>14:54:26.030</v>
      </c>
      <c r="U2190" t="str">
        <f t="shared" si="1200"/>
        <v>ACC530</v>
      </c>
      <c r="V2190">
        <v>0</v>
      </c>
      <c r="W2190">
        <v>0</v>
      </c>
      <c r="X2190">
        <v>1</v>
      </c>
      <c r="Z2190">
        <v>0</v>
      </c>
      <c r="AA2190">
        <v>9</v>
      </c>
      <c r="AB2190">
        <v>3</v>
      </c>
      <c r="AC2190">
        <v>0</v>
      </c>
      <c r="AD2190">
        <v>9</v>
      </c>
      <c r="AE2190">
        <v>0</v>
      </c>
      <c r="AF2190">
        <v>3</v>
      </c>
      <c r="AG2190">
        <v>1</v>
      </c>
      <c r="AH2190">
        <v>0</v>
      </c>
      <c r="AI2190" t="s">
        <v>794</v>
      </c>
      <c r="AJ2190">
        <v>34.164003999999998</v>
      </c>
      <c r="AK2190" t="s">
        <v>795</v>
      </c>
      <c r="AL2190">
        <v>-117.03540099999999</v>
      </c>
      <c r="AM2190">
        <v>100</v>
      </c>
      <c r="AN2190">
        <v>7700</v>
      </c>
      <c r="AO2190" t="s">
        <v>118</v>
      </c>
      <c r="AP2190">
        <v>-90</v>
      </c>
      <c r="AQ2190">
        <v>-75</v>
      </c>
      <c r="AR2190">
        <v>-960</v>
      </c>
      <c r="AZ2190">
        <v>1200</v>
      </c>
      <c r="BA2190">
        <v>1</v>
      </c>
      <c r="BB2190" t="str">
        <f t="shared" si="1201"/>
        <v xml:space="preserve">N9217B  </v>
      </c>
      <c r="BC2190">
        <v>1</v>
      </c>
      <c r="BE2190">
        <v>0</v>
      </c>
      <c r="BF2190">
        <v>0</v>
      </c>
      <c r="BG2190">
        <v>0</v>
      </c>
      <c r="BH2190">
        <v>7650</v>
      </c>
      <c r="BI2190">
        <v>1</v>
      </c>
      <c r="BJ2190">
        <v>0</v>
      </c>
      <c r="BK2190">
        <v>0</v>
      </c>
      <c r="BL2190">
        <v>0</v>
      </c>
      <c r="BO2190">
        <v>0</v>
      </c>
      <c r="BP2190">
        <v>0</v>
      </c>
      <c r="BW2190" t="str">
        <f t="shared" si="1205"/>
        <v>14:54:26.436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6</v>
      </c>
      <c r="CP2190" t="s">
        <v>119</v>
      </c>
      <c r="CQ2190">
        <v>285</v>
      </c>
      <c r="CR2190">
        <v>0</v>
      </c>
      <c r="CW2190">
        <v>8862786</v>
      </c>
      <c r="CY2190">
        <v>0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25">
      <c r="A2191" t="str">
        <f t="shared" ref="A2191:A2197" si="1206">"06/05/2020 14:54:21.813"</f>
        <v>06/05/2020 14:54:21.813</v>
      </c>
      <c r="C2191" t="str">
        <f t="shared" si="1184"/>
        <v>FFDFD3C0</v>
      </c>
      <c r="D2191" t="s">
        <v>134</v>
      </c>
      <c r="E2191">
        <v>7</v>
      </c>
      <c r="F2191">
        <v>2007</v>
      </c>
      <c r="G2191" t="s">
        <v>135</v>
      </c>
      <c r="J2191" t="s">
        <v>136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ref="S2191:T2197" si="1207">"14:54:27.500"</f>
        <v>14:54:27.500</v>
      </c>
      <c r="T2191" t="str">
        <f t="shared" si="1207"/>
        <v>14:54:27.500</v>
      </c>
      <c r="U2191" t="str">
        <f t="shared" si="1200"/>
        <v>ACC530</v>
      </c>
      <c r="V2191">
        <v>0</v>
      </c>
      <c r="W2191">
        <v>0</v>
      </c>
      <c r="X2191">
        <v>1</v>
      </c>
      <c r="Z2191">
        <v>0</v>
      </c>
      <c r="AA2191">
        <v>9</v>
      </c>
      <c r="AB2191">
        <v>3</v>
      </c>
      <c r="AC2191">
        <v>0</v>
      </c>
      <c r="AD2191">
        <v>9</v>
      </c>
      <c r="AE2191">
        <v>0</v>
      </c>
      <c r="AF2191">
        <v>3</v>
      </c>
      <c r="AG2191">
        <v>1</v>
      </c>
      <c r="AH2191">
        <v>0</v>
      </c>
      <c r="AI2191" t="s">
        <v>796</v>
      </c>
      <c r="AJ2191">
        <v>34.163618</v>
      </c>
      <c r="AK2191" t="s">
        <v>797</v>
      </c>
      <c r="AL2191">
        <v>-117.035916</v>
      </c>
      <c r="AM2191">
        <v>100</v>
      </c>
      <c r="AN2191">
        <v>7700</v>
      </c>
      <c r="AO2191" t="s">
        <v>118</v>
      </c>
      <c r="AP2191">
        <v>-90</v>
      </c>
      <c r="AQ2191">
        <v>-75</v>
      </c>
      <c r="AR2191">
        <v>-1024</v>
      </c>
      <c r="AZ2191">
        <v>1200</v>
      </c>
      <c r="BA2191">
        <v>1</v>
      </c>
      <c r="BB2191" t="str">
        <f t="shared" si="1201"/>
        <v xml:space="preserve">N9217B  </v>
      </c>
      <c r="BC2191">
        <v>1</v>
      </c>
      <c r="BE2191">
        <v>0</v>
      </c>
      <c r="BF2191">
        <v>0</v>
      </c>
      <c r="BG2191">
        <v>0</v>
      </c>
      <c r="BH2191">
        <v>7625</v>
      </c>
      <c r="BI2191">
        <v>1</v>
      </c>
      <c r="BJ2191">
        <v>0</v>
      </c>
      <c r="BK2191">
        <v>0</v>
      </c>
      <c r="BL2191">
        <v>0</v>
      </c>
      <c r="BO2191">
        <v>0</v>
      </c>
      <c r="BP2191">
        <v>0</v>
      </c>
      <c r="BW2191" t="str">
        <f t="shared" ref="BW2191:BW2197" si="1208">"14:54:27.501"</f>
        <v>14:54:27.501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6</v>
      </c>
      <c r="CP2191" t="s">
        <v>119</v>
      </c>
      <c r="CQ2191">
        <v>285</v>
      </c>
      <c r="CR2191">
        <v>0</v>
      </c>
      <c r="CW2191">
        <v>8862886</v>
      </c>
      <c r="CY2191">
        <v>0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25">
      <c r="A2192" t="str">
        <f t="shared" si="1206"/>
        <v>06/05/2020 14:54:21.813</v>
      </c>
      <c r="C2192" t="str">
        <f t="shared" si="1184"/>
        <v>FFDFD3C0</v>
      </c>
      <c r="D2192" t="s">
        <v>151</v>
      </c>
      <c r="E2192">
        <v>9</v>
      </c>
      <c r="H2192">
        <v>226</v>
      </c>
      <c r="I2192" t="s">
        <v>152</v>
      </c>
      <c r="J2192" t="s">
        <v>150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207"/>
        <v>14:54:27.500</v>
      </c>
      <c r="T2192" t="str">
        <f t="shared" si="1207"/>
        <v>14:54:27.500</v>
      </c>
      <c r="U2192" t="str">
        <f t="shared" si="1200"/>
        <v>ACC530</v>
      </c>
      <c r="V2192">
        <v>0</v>
      </c>
      <c r="W2192">
        <v>0</v>
      </c>
      <c r="X2192">
        <v>1</v>
      </c>
      <c r="Z2192">
        <v>0</v>
      </c>
      <c r="AA2192">
        <v>9</v>
      </c>
      <c r="AB2192">
        <v>3</v>
      </c>
      <c r="AC2192">
        <v>0</v>
      </c>
      <c r="AD2192">
        <v>9</v>
      </c>
      <c r="AE2192">
        <v>0</v>
      </c>
      <c r="AF2192">
        <v>3</v>
      </c>
      <c r="AG2192">
        <v>1</v>
      </c>
      <c r="AH2192">
        <v>0</v>
      </c>
      <c r="AI2192" t="s">
        <v>796</v>
      </c>
      <c r="AJ2192">
        <v>34.163618</v>
      </c>
      <c r="AK2192" t="s">
        <v>797</v>
      </c>
      <c r="AL2192">
        <v>-117.035916</v>
      </c>
      <c r="AM2192">
        <v>100</v>
      </c>
      <c r="AN2192">
        <v>7700</v>
      </c>
      <c r="AO2192" t="s">
        <v>118</v>
      </c>
      <c r="AP2192">
        <v>-90</v>
      </c>
      <c r="AQ2192">
        <v>-75</v>
      </c>
      <c r="AR2192">
        <v>-1024</v>
      </c>
      <c r="AZ2192">
        <v>1200</v>
      </c>
      <c r="BA2192">
        <v>1</v>
      </c>
      <c r="BB2192" t="str">
        <f t="shared" si="1201"/>
        <v xml:space="preserve">N9217B  </v>
      </c>
      <c r="BC2192">
        <v>1</v>
      </c>
      <c r="BE2192">
        <v>0</v>
      </c>
      <c r="BF2192">
        <v>0</v>
      </c>
      <c r="BG2192">
        <v>0</v>
      </c>
      <c r="BH2192">
        <v>7625</v>
      </c>
      <c r="BI2192">
        <v>1</v>
      </c>
      <c r="BJ2192">
        <v>0</v>
      </c>
      <c r="BK2192">
        <v>0</v>
      </c>
      <c r="BL2192">
        <v>0</v>
      </c>
      <c r="BO2192">
        <v>0</v>
      </c>
      <c r="BP2192">
        <v>0</v>
      </c>
      <c r="BW2192" t="str">
        <f t="shared" si="1208"/>
        <v>14:54:27.501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6</v>
      </c>
      <c r="CP2192" t="s">
        <v>119</v>
      </c>
      <c r="CQ2192">
        <v>285</v>
      </c>
      <c r="CR2192">
        <v>0</v>
      </c>
      <c r="CW2192">
        <v>8862886</v>
      </c>
      <c r="CY2192">
        <v>0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25">
      <c r="A2193" t="str">
        <f t="shared" si="1206"/>
        <v>06/05/2020 14:54:21.813</v>
      </c>
      <c r="C2193" t="str">
        <f t="shared" si="1184"/>
        <v>FFDFD3C0</v>
      </c>
      <c r="D2193" t="s">
        <v>148</v>
      </c>
      <c r="E2193">
        <v>8</v>
      </c>
      <c r="H2193">
        <v>50</v>
      </c>
      <c r="I2193" t="s">
        <v>149</v>
      </c>
      <c r="J2193" t="s">
        <v>150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207"/>
        <v>14:54:27.500</v>
      </c>
      <c r="T2193" t="str">
        <f t="shared" si="1207"/>
        <v>14:54:27.500</v>
      </c>
      <c r="U2193" t="str">
        <f t="shared" si="1200"/>
        <v>ACC530</v>
      </c>
      <c r="V2193">
        <v>0</v>
      </c>
      <c r="W2193">
        <v>0</v>
      </c>
      <c r="X2193">
        <v>1</v>
      </c>
      <c r="Z2193">
        <v>0</v>
      </c>
      <c r="AA2193">
        <v>9</v>
      </c>
      <c r="AB2193">
        <v>3</v>
      </c>
      <c r="AC2193">
        <v>0</v>
      </c>
      <c r="AD2193">
        <v>9</v>
      </c>
      <c r="AE2193">
        <v>0</v>
      </c>
      <c r="AF2193">
        <v>3</v>
      </c>
      <c r="AG2193">
        <v>1</v>
      </c>
      <c r="AH2193">
        <v>0</v>
      </c>
      <c r="AI2193" t="s">
        <v>796</v>
      </c>
      <c r="AJ2193">
        <v>34.163618</v>
      </c>
      <c r="AK2193" t="s">
        <v>797</v>
      </c>
      <c r="AL2193">
        <v>-117.035916</v>
      </c>
      <c r="AM2193">
        <v>100</v>
      </c>
      <c r="AN2193">
        <v>7700</v>
      </c>
      <c r="AO2193" t="s">
        <v>118</v>
      </c>
      <c r="AP2193">
        <v>-90</v>
      </c>
      <c r="AQ2193">
        <v>-75</v>
      </c>
      <c r="AR2193">
        <v>-1024</v>
      </c>
      <c r="AZ2193">
        <v>1200</v>
      </c>
      <c r="BA2193">
        <v>1</v>
      </c>
      <c r="BB2193" t="str">
        <f t="shared" si="1201"/>
        <v xml:space="preserve">N9217B  </v>
      </c>
      <c r="BC2193">
        <v>1</v>
      </c>
      <c r="BE2193">
        <v>0</v>
      </c>
      <c r="BF2193">
        <v>0</v>
      </c>
      <c r="BG2193">
        <v>0</v>
      </c>
      <c r="BH2193">
        <v>7625</v>
      </c>
      <c r="BI2193">
        <v>1</v>
      </c>
      <c r="BJ2193">
        <v>0</v>
      </c>
      <c r="BK2193">
        <v>0</v>
      </c>
      <c r="BL2193">
        <v>0</v>
      </c>
      <c r="BO2193">
        <v>0</v>
      </c>
      <c r="BP2193">
        <v>0</v>
      </c>
      <c r="BW2193" t="str">
        <f t="shared" si="1208"/>
        <v>14:54:27.501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285</v>
      </c>
      <c r="CR2193">
        <v>0</v>
      </c>
      <c r="CW2193">
        <v>8862886</v>
      </c>
      <c r="CY2193">
        <v>0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25">
      <c r="A2194" t="str">
        <f t="shared" si="1206"/>
        <v>06/05/2020 14:54:21.813</v>
      </c>
      <c r="C2194" t="str">
        <f t="shared" si="1184"/>
        <v>FFDFD3C0</v>
      </c>
      <c r="D2194" t="s">
        <v>141</v>
      </c>
      <c r="E2194">
        <v>20</v>
      </c>
      <c r="F2194">
        <v>1020</v>
      </c>
      <c r="G2194" t="s">
        <v>114</v>
      </c>
      <c r="J2194" t="s">
        <v>142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207"/>
        <v>14:54:27.500</v>
      </c>
      <c r="T2194" t="str">
        <f t="shared" si="1207"/>
        <v>14:54:27.500</v>
      </c>
      <c r="U2194" t="str">
        <f t="shared" si="1200"/>
        <v>ACC530</v>
      </c>
      <c r="V2194">
        <v>0</v>
      </c>
      <c r="W2194">
        <v>0</v>
      </c>
      <c r="X2194">
        <v>1</v>
      </c>
      <c r="Z2194">
        <v>0</v>
      </c>
      <c r="AA2194">
        <v>9</v>
      </c>
      <c r="AB2194">
        <v>3</v>
      </c>
      <c r="AC2194">
        <v>0</v>
      </c>
      <c r="AD2194">
        <v>9</v>
      </c>
      <c r="AE2194">
        <v>0</v>
      </c>
      <c r="AF2194">
        <v>3</v>
      </c>
      <c r="AG2194">
        <v>1</v>
      </c>
      <c r="AH2194">
        <v>0</v>
      </c>
      <c r="AI2194" t="s">
        <v>796</v>
      </c>
      <c r="AJ2194">
        <v>34.163618</v>
      </c>
      <c r="AK2194" t="s">
        <v>797</v>
      </c>
      <c r="AL2194">
        <v>-117.035916</v>
      </c>
      <c r="AM2194">
        <v>100</v>
      </c>
      <c r="AN2194">
        <v>7700</v>
      </c>
      <c r="AO2194" t="s">
        <v>118</v>
      </c>
      <c r="AP2194">
        <v>-90</v>
      </c>
      <c r="AQ2194">
        <v>-75</v>
      </c>
      <c r="AR2194">
        <v>-1024</v>
      </c>
      <c r="AZ2194">
        <v>1200</v>
      </c>
      <c r="BA2194">
        <v>1</v>
      </c>
      <c r="BB2194" t="str">
        <f t="shared" si="1201"/>
        <v xml:space="preserve">N9217B  </v>
      </c>
      <c r="BC2194">
        <v>1</v>
      </c>
      <c r="BE2194">
        <v>0</v>
      </c>
      <c r="BF2194">
        <v>0</v>
      </c>
      <c r="BG2194">
        <v>0</v>
      </c>
      <c r="BH2194">
        <v>7625</v>
      </c>
      <c r="BI2194">
        <v>1</v>
      </c>
      <c r="BJ2194">
        <v>0</v>
      </c>
      <c r="BK2194">
        <v>0</v>
      </c>
      <c r="BL2194">
        <v>0</v>
      </c>
      <c r="BO2194">
        <v>0</v>
      </c>
      <c r="BP2194">
        <v>0</v>
      </c>
      <c r="BW2194" t="str">
        <f t="shared" si="1208"/>
        <v>14:54:27.501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285</v>
      </c>
      <c r="CR2194">
        <v>0</v>
      </c>
      <c r="CW2194">
        <v>8862886</v>
      </c>
      <c r="CY2194">
        <v>0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25">
      <c r="A2195" t="str">
        <f t="shared" si="1206"/>
        <v>06/05/2020 14:54:21.813</v>
      </c>
      <c r="C2195" t="str">
        <f t="shared" si="1184"/>
        <v>FFDFD3C0</v>
      </c>
      <c r="D2195" t="s">
        <v>113</v>
      </c>
      <c r="E2195">
        <v>3</v>
      </c>
      <c r="H2195">
        <v>166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207"/>
        <v>14:54:27.500</v>
      </c>
      <c r="T2195" t="str">
        <f t="shared" si="1207"/>
        <v>14:54:27.500</v>
      </c>
      <c r="U2195" t="str">
        <f t="shared" si="1200"/>
        <v>ACC530</v>
      </c>
      <c r="V2195">
        <v>0</v>
      </c>
      <c r="W2195">
        <v>0</v>
      </c>
      <c r="X2195">
        <v>1</v>
      </c>
      <c r="Z2195">
        <v>0</v>
      </c>
      <c r="AA2195">
        <v>9</v>
      </c>
      <c r="AB2195">
        <v>3</v>
      </c>
      <c r="AC2195">
        <v>0</v>
      </c>
      <c r="AD2195">
        <v>9</v>
      </c>
      <c r="AE2195">
        <v>0</v>
      </c>
      <c r="AF2195">
        <v>3</v>
      </c>
      <c r="AG2195">
        <v>1</v>
      </c>
      <c r="AH2195">
        <v>0</v>
      </c>
      <c r="AI2195" t="s">
        <v>796</v>
      </c>
      <c r="AJ2195">
        <v>34.163618</v>
      </c>
      <c r="AK2195" t="s">
        <v>797</v>
      </c>
      <c r="AL2195">
        <v>-117.035916</v>
      </c>
      <c r="AM2195">
        <v>100</v>
      </c>
      <c r="AN2195">
        <v>7700</v>
      </c>
      <c r="AO2195" t="s">
        <v>118</v>
      </c>
      <c r="AP2195">
        <v>-90</v>
      </c>
      <c r="AQ2195">
        <v>-75</v>
      </c>
      <c r="AR2195">
        <v>-1024</v>
      </c>
      <c r="AZ2195">
        <v>1200</v>
      </c>
      <c r="BA2195">
        <v>1</v>
      </c>
      <c r="BB2195" t="str">
        <f t="shared" si="1201"/>
        <v xml:space="preserve">N9217B  </v>
      </c>
      <c r="BC2195">
        <v>1</v>
      </c>
      <c r="BE2195">
        <v>0</v>
      </c>
      <c r="BF2195">
        <v>0</v>
      </c>
      <c r="BG2195">
        <v>0</v>
      </c>
      <c r="BH2195">
        <v>7625</v>
      </c>
      <c r="BI2195">
        <v>1</v>
      </c>
      <c r="BJ2195">
        <v>0</v>
      </c>
      <c r="BK2195">
        <v>0</v>
      </c>
      <c r="BL2195">
        <v>0</v>
      </c>
      <c r="BO2195">
        <v>0</v>
      </c>
      <c r="BP2195">
        <v>0</v>
      </c>
      <c r="BW2195" t="str">
        <f t="shared" si="1208"/>
        <v>14:54:27.501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285</v>
      </c>
      <c r="CR2195">
        <v>0</v>
      </c>
      <c r="CW2195">
        <v>8862886</v>
      </c>
      <c r="CY2195">
        <v>0</v>
      </c>
      <c r="CZ2195">
        <v>0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25">
      <c r="A2196" t="str">
        <f t="shared" si="1206"/>
        <v>06/05/2020 14:54:21.813</v>
      </c>
      <c r="C2196" t="str">
        <f t="shared" si="1184"/>
        <v>FFDFD3C0</v>
      </c>
      <c r="D2196" t="s">
        <v>148</v>
      </c>
      <c r="E2196">
        <v>11</v>
      </c>
      <c r="H2196">
        <v>53</v>
      </c>
      <c r="I2196" t="s">
        <v>364</v>
      </c>
      <c r="J2196" t="s">
        <v>150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207"/>
        <v>14:54:27.500</v>
      </c>
      <c r="T2196" t="str">
        <f t="shared" si="1207"/>
        <v>14:54:27.500</v>
      </c>
      <c r="U2196" t="str">
        <f t="shared" si="1200"/>
        <v>ACC530</v>
      </c>
      <c r="V2196">
        <v>0</v>
      </c>
      <c r="W2196">
        <v>0</v>
      </c>
      <c r="X2196">
        <v>1</v>
      </c>
      <c r="Z2196">
        <v>0</v>
      </c>
      <c r="AA2196">
        <v>9</v>
      </c>
      <c r="AB2196">
        <v>3</v>
      </c>
      <c r="AC2196">
        <v>0</v>
      </c>
      <c r="AD2196">
        <v>9</v>
      </c>
      <c r="AE2196">
        <v>0</v>
      </c>
      <c r="AF2196">
        <v>3</v>
      </c>
      <c r="AG2196">
        <v>1</v>
      </c>
      <c r="AH2196">
        <v>0</v>
      </c>
      <c r="AI2196" t="s">
        <v>796</v>
      </c>
      <c r="AJ2196">
        <v>34.163618</v>
      </c>
      <c r="AK2196" t="s">
        <v>797</v>
      </c>
      <c r="AL2196">
        <v>-117.035916</v>
      </c>
      <c r="AM2196">
        <v>100</v>
      </c>
      <c r="AN2196">
        <v>7700</v>
      </c>
      <c r="AO2196" t="s">
        <v>118</v>
      </c>
      <c r="AP2196">
        <v>-90</v>
      </c>
      <c r="AQ2196">
        <v>-75</v>
      </c>
      <c r="AR2196">
        <v>-1024</v>
      </c>
      <c r="AZ2196">
        <v>1200</v>
      </c>
      <c r="BA2196">
        <v>1</v>
      </c>
      <c r="BB2196" t="str">
        <f t="shared" si="1201"/>
        <v xml:space="preserve">N9217B  </v>
      </c>
      <c r="BC2196">
        <v>1</v>
      </c>
      <c r="BE2196">
        <v>0</v>
      </c>
      <c r="BF2196">
        <v>0</v>
      </c>
      <c r="BG2196">
        <v>0</v>
      </c>
      <c r="BH2196">
        <v>7625</v>
      </c>
      <c r="BI2196">
        <v>1</v>
      </c>
      <c r="BJ2196">
        <v>0</v>
      </c>
      <c r="BK2196">
        <v>0</v>
      </c>
      <c r="BL2196">
        <v>0</v>
      </c>
      <c r="BO2196">
        <v>0</v>
      </c>
      <c r="BP2196">
        <v>0</v>
      </c>
      <c r="BW2196" t="str">
        <f t="shared" si="1208"/>
        <v>14:54:27.501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285</v>
      </c>
      <c r="CR2196">
        <v>0</v>
      </c>
      <c r="CW2196">
        <v>8862886</v>
      </c>
      <c r="CY2196">
        <v>0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25">
      <c r="A2197" t="str">
        <f t="shared" si="1206"/>
        <v>06/05/2020 14:54:21.813</v>
      </c>
      <c r="C2197" t="str">
        <f t="shared" si="1184"/>
        <v>FFDFD3C0</v>
      </c>
      <c r="D2197" t="s">
        <v>151</v>
      </c>
      <c r="E2197">
        <v>8</v>
      </c>
      <c r="H2197">
        <v>225</v>
      </c>
      <c r="I2197" t="s">
        <v>353</v>
      </c>
      <c r="J2197" t="s">
        <v>150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207"/>
        <v>14:54:27.500</v>
      </c>
      <c r="T2197" t="str">
        <f t="shared" si="1207"/>
        <v>14:54:27.500</v>
      </c>
      <c r="U2197" t="str">
        <f t="shared" si="1200"/>
        <v>ACC530</v>
      </c>
      <c r="V2197">
        <v>0</v>
      </c>
      <c r="W2197">
        <v>0</v>
      </c>
      <c r="X2197">
        <v>1</v>
      </c>
      <c r="Z2197">
        <v>0</v>
      </c>
      <c r="AA2197">
        <v>9</v>
      </c>
      <c r="AB2197">
        <v>3</v>
      </c>
      <c r="AC2197">
        <v>0</v>
      </c>
      <c r="AD2197">
        <v>9</v>
      </c>
      <c r="AE2197">
        <v>0</v>
      </c>
      <c r="AF2197">
        <v>3</v>
      </c>
      <c r="AG2197">
        <v>1</v>
      </c>
      <c r="AH2197">
        <v>0</v>
      </c>
      <c r="AI2197" t="s">
        <v>796</v>
      </c>
      <c r="AJ2197">
        <v>34.163618</v>
      </c>
      <c r="AK2197" t="s">
        <v>797</v>
      </c>
      <c r="AL2197">
        <v>-117.035916</v>
      </c>
      <c r="AM2197">
        <v>100</v>
      </c>
      <c r="AN2197">
        <v>7700</v>
      </c>
      <c r="AO2197" t="s">
        <v>118</v>
      </c>
      <c r="AP2197">
        <v>-90</v>
      </c>
      <c r="AQ2197">
        <v>-75</v>
      </c>
      <c r="AR2197">
        <v>-1024</v>
      </c>
      <c r="AZ2197">
        <v>1200</v>
      </c>
      <c r="BA2197">
        <v>1</v>
      </c>
      <c r="BB2197" t="str">
        <f t="shared" si="1201"/>
        <v xml:space="preserve">N9217B  </v>
      </c>
      <c r="BC2197">
        <v>1</v>
      </c>
      <c r="BE2197">
        <v>0</v>
      </c>
      <c r="BF2197">
        <v>0</v>
      </c>
      <c r="BG2197">
        <v>0</v>
      </c>
      <c r="BH2197">
        <v>7625</v>
      </c>
      <c r="BI2197">
        <v>1</v>
      </c>
      <c r="BJ2197">
        <v>0</v>
      </c>
      <c r="BK2197">
        <v>0</v>
      </c>
      <c r="BL2197">
        <v>0</v>
      </c>
      <c r="BO2197">
        <v>0</v>
      </c>
      <c r="BP2197">
        <v>0</v>
      </c>
      <c r="BW2197" t="str">
        <f t="shared" si="1208"/>
        <v>14:54:27.501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285</v>
      </c>
      <c r="CR2197">
        <v>0</v>
      </c>
      <c r="CW2197">
        <v>8862886</v>
      </c>
      <c r="CY2197">
        <v>0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25">
      <c r="A2198" t="str">
        <f t="shared" ref="A2198:A2204" si="1209">"06/05/2020 14:54:22.894"</f>
        <v>06/05/2020 14:54:22.894</v>
      </c>
      <c r="C2198" t="str">
        <f t="shared" si="1184"/>
        <v>FFDFD3C0</v>
      </c>
      <c r="D2198" t="s">
        <v>148</v>
      </c>
      <c r="E2198">
        <v>8</v>
      </c>
      <c r="H2198">
        <v>50</v>
      </c>
      <c r="I2198" t="s">
        <v>149</v>
      </c>
      <c r="J2198" t="s">
        <v>150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ref="S2198:T2204" si="1210">"14:54:28.563"</f>
        <v>14:54:28.563</v>
      </c>
      <c r="T2198" t="str">
        <f t="shared" si="1210"/>
        <v>14:54:28.563</v>
      </c>
      <c r="U2198" t="str">
        <f t="shared" si="1200"/>
        <v>ACC530</v>
      </c>
      <c r="V2198">
        <v>0</v>
      </c>
      <c r="W2198">
        <v>0</v>
      </c>
      <c r="X2198">
        <v>1</v>
      </c>
      <c r="Z2198">
        <v>0</v>
      </c>
      <c r="AA2198">
        <v>9</v>
      </c>
      <c r="AB2198">
        <v>3</v>
      </c>
      <c r="AC2198">
        <v>0</v>
      </c>
      <c r="AD2198">
        <v>9</v>
      </c>
      <c r="AE2198">
        <v>0</v>
      </c>
      <c r="AF2198">
        <v>3</v>
      </c>
      <c r="AG2198">
        <v>1</v>
      </c>
      <c r="AH2198">
        <v>0</v>
      </c>
      <c r="AI2198" t="s">
        <v>798</v>
      </c>
      <c r="AJ2198">
        <v>34.163252999999997</v>
      </c>
      <c r="AK2198" t="s">
        <v>799</v>
      </c>
      <c r="AL2198">
        <v>-117.03643099999999</v>
      </c>
      <c r="AM2198">
        <v>100</v>
      </c>
      <c r="AN2198">
        <v>7600</v>
      </c>
      <c r="AO2198" t="s">
        <v>118</v>
      </c>
      <c r="AP2198">
        <v>-89</v>
      </c>
      <c r="AQ2198">
        <v>-76</v>
      </c>
      <c r="AR2198">
        <v>-1088</v>
      </c>
      <c r="AZ2198">
        <v>1200</v>
      </c>
      <c r="BA2198">
        <v>1</v>
      </c>
      <c r="BB2198" t="str">
        <f t="shared" si="1201"/>
        <v xml:space="preserve">N9217B  </v>
      </c>
      <c r="BC2198">
        <v>1</v>
      </c>
      <c r="BE2198">
        <v>0</v>
      </c>
      <c r="BF2198">
        <v>0</v>
      </c>
      <c r="BG2198">
        <v>0</v>
      </c>
      <c r="BH2198">
        <v>7600</v>
      </c>
      <c r="BI2198">
        <v>1</v>
      </c>
      <c r="BJ2198">
        <v>0</v>
      </c>
      <c r="BK2198">
        <v>0</v>
      </c>
      <c r="BL2198">
        <v>0</v>
      </c>
      <c r="BO2198">
        <v>0</v>
      </c>
      <c r="BP2198">
        <v>0</v>
      </c>
      <c r="BW2198" t="str">
        <f t="shared" ref="BW2198:BW2204" si="1211">"14:54:28.566"</f>
        <v>14:54:28.566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285</v>
      </c>
      <c r="CR2198">
        <v>0</v>
      </c>
      <c r="CW2198">
        <v>8862989</v>
      </c>
      <c r="CY2198">
        <v>0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25">
      <c r="A2199" t="str">
        <f t="shared" si="1209"/>
        <v>06/05/2020 14:54:22.894</v>
      </c>
      <c r="C2199" t="str">
        <f t="shared" si="1184"/>
        <v>FFDFD3C0</v>
      </c>
      <c r="D2199" t="s">
        <v>113</v>
      </c>
      <c r="E2199">
        <v>3</v>
      </c>
      <c r="H2199">
        <v>166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210"/>
        <v>14:54:28.563</v>
      </c>
      <c r="T2199" t="str">
        <f t="shared" si="1210"/>
        <v>14:54:28.563</v>
      </c>
      <c r="U2199" t="str">
        <f t="shared" si="1200"/>
        <v>ACC530</v>
      </c>
      <c r="V2199">
        <v>0</v>
      </c>
      <c r="W2199">
        <v>0</v>
      </c>
      <c r="X2199">
        <v>1</v>
      </c>
      <c r="Z2199">
        <v>0</v>
      </c>
      <c r="AA2199">
        <v>9</v>
      </c>
      <c r="AB2199">
        <v>3</v>
      </c>
      <c r="AC2199">
        <v>0</v>
      </c>
      <c r="AD2199">
        <v>9</v>
      </c>
      <c r="AE2199">
        <v>0</v>
      </c>
      <c r="AF2199">
        <v>3</v>
      </c>
      <c r="AG2199">
        <v>1</v>
      </c>
      <c r="AH2199">
        <v>0</v>
      </c>
      <c r="AI2199" t="s">
        <v>798</v>
      </c>
      <c r="AJ2199">
        <v>34.163252999999997</v>
      </c>
      <c r="AK2199" t="s">
        <v>799</v>
      </c>
      <c r="AL2199">
        <v>-117.03643099999999</v>
      </c>
      <c r="AM2199">
        <v>100</v>
      </c>
      <c r="AN2199">
        <v>7600</v>
      </c>
      <c r="AO2199" t="s">
        <v>118</v>
      </c>
      <c r="AP2199">
        <v>-89</v>
      </c>
      <c r="AQ2199">
        <v>-76</v>
      </c>
      <c r="AR2199">
        <v>-1088</v>
      </c>
      <c r="AZ2199">
        <v>1200</v>
      </c>
      <c r="BA2199">
        <v>1</v>
      </c>
      <c r="BB2199" t="str">
        <f t="shared" si="1201"/>
        <v xml:space="preserve">N9217B  </v>
      </c>
      <c r="BC2199">
        <v>1</v>
      </c>
      <c r="BE2199">
        <v>0</v>
      </c>
      <c r="BF2199">
        <v>0</v>
      </c>
      <c r="BG2199">
        <v>0</v>
      </c>
      <c r="BH2199">
        <v>7600</v>
      </c>
      <c r="BI2199">
        <v>1</v>
      </c>
      <c r="BJ2199">
        <v>0</v>
      </c>
      <c r="BK2199">
        <v>0</v>
      </c>
      <c r="BL2199">
        <v>0</v>
      </c>
      <c r="BO2199">
        <v>0</v>
      </c>
      <c r="BP2199">
        <v>0</v>
      </c>
      <c r="BW2199" t="str">
        <f t="shared" si="1211"/>
        <v>14:54:28.566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285</v>
      </c>
      <c r="CR2199">
        <v>0</v>
      </c>
      <c r="CW2199">
        <v>8862989</v>
      </c>
      <c r="CY2199">
        <v>0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25">
      <c r="A2200" t="str">
        <f t="shared" si="1209"/>
        <v>06/05/2020 14:54:22.894</v>
      </c>
      <c r="C2200" t="str">
        <f t="shared" si="1184"/>
        <v>FFDFD3C0</v>
      </c>
      <c r="D2200" t="s">
        <v>148</v>
      </c>
      <c r="E2200">
        <v>11</v>
      </c>
      <c r="H2200">
        <v>53</v>
      </c>
      <c r="I2200" t="s">
        <v>364</v>
      </c>
      <c r="J2200" t="s">
        <v>150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210"/>
        <v>14:54:28.563</v>
      </c>
      <c r="T2200" t="str">
        <f t="shared" si="1210"/>
        <v>14:54:28.563</v>
      </c>
      <c r="U2200" t="str">
        <f t="shared" si="1200"/>
        <v>ACC530</v>
      </c>
      <c r="V2200">
        <v>0</v>
      </c>
      <c r="W2200">
        <v>0</v>
      </c>
      <c r="X2200">
        <v>1</v>
      </c>
      <c r="Z2200">
        <v>0</v>
      </c>
      <c r="AA2200">
        <v>9</v>
      </c>
      <c r="AB2200">
        <v>3</v>
      </c>
      <c r="AC2200">
        <v>0</v>
      </c>
      <c r="AD2200">
        <v>9</v>
      </c>
      <c r="AE2200">
        <v>0</v>
      </c>
      <c r="AF2200">
        <v>3</v>
      </c>
      <c r="AG2200">
        <v>1</v>
      </c>
      <c r="AH2200">
        <v>0</v>
      </c>
      <c r="AI2200" t="s">
        <v>798</v>
      </c>
      <c r="AJ2200">
        <v>34.163252999999997</v>
      </c>
      <c r="AK2200" t="s">
        <v>799</v>
      </c>
      <c r="AL2200">
        <v>-117.03643099999999</v>
      </c>
      <c r="AM2200">
        <v>100</v>
      </c>
      <c r="AN2200">
        <v>7600</v>
      </c>
      <c r="AO2200" t="s">
        <v>118</v>
      </c>
      <c r="AP2200">
        <v>-89</v>
      </c>
      <c r="AQ2200">
        <v>-76</v>
      </c>
      <c r="AR2200">
        <v>-1088</v>
      </c>
      <c r="AZ2200">
        <v>1200</v>
      </c>
      <c r="BA2200">
        <v>1</v>
      </c>
      <c r="BB2200" t="str">
        <f t="shared" si="1201"/>
        <v xml:space="preserve">N9217B  </v>
      </c>
      <c r="BC2200">
        <v>1</v>
      </c>
      <c r="BE2200">
        <v>0</v>
      </c>
      <c r="BF2200">
        <v>0</v>
      </c>
      <c r="BG2200">
        <v>0</v>
      </c>
      <c r="BH2200">
        <v>7600</v>
      </c>
      <c r="BI2200">
        <v>1</v>
      </c>
      <c r="BJ2200">
        <v>0</v>
      </c>
      <c r="BK2200">
        <v>0</v>
      </c>
      <c r="BL2200">
        <v>0</v>
      </c>
      <c r="BO2200">
        <v>0</v>
      </c>
      <c r="BP2200">
        <v>0</v>
      </c>
      <c r="BW2200" t="str">
        <f t="shared" si="1211"/>
        <v>14:54:28.566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285</v>
      </c>
      <c r="CR2200">
        <v>0</v>
      </c>
      <c r="CW2200">
        <v>8862989</v>
      </c>
      <c r="CY2200">
        <v>0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25">
      <c r="A2201" t="str">
        <f t="shared" si="1209"/>
        <v>06/05/2020 14:54:22.894</v>
      </c>
      <c r="C2201" t="str">
        <f t="shared" si="1184"/>
        <v>FFDFD3C0</v>
      </c>
      <c r="D2201" t="s">
        <v>151</v>
      </c>
      <c r="E2201">
        <v>8</v>
      </c>
      <c r="H2201">
        <v>225</v>
      </c>
      <c r="I2201" t="s">
        <v>353</v>
      </c>
      <c r="J2201" t="s">
        <v>150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210"/>
        <v>14:54:28.563</v>
      </c>
      <c r="T2201" t="str">
        <f t="shared" si="1210"/>
        <v>14:54:28.563</v>
      </c>
      <c r="U2201" t="str">
        <f t="shared" si="1200"/>
        <v>ACC530</v>
      </c>
      <c r="V2201">
        <v>0</v>
      </c>
      <c r="W2201">
        <v>0</v>
      </c>
      <c r="X2201">
        <v>1</v>
      </c>
      <c r="Z2201">
        <v>0</v>
      </c>
      <c r="AA2201">
        <v>9</v>
      </c>
      <c r="AB2201">
        <v>3</v>
      </c>
      <c r="AC2201">
        <v>0</v>
      </c>
      <c r="AD2201">
        <v>9</v>
      </c>
      <c r="AE2201">
        <v>0</v>
      </c>
      <c r="AF2201">
        <v>3</v>
      </c>
      <c r="AG2201">
        <v>1</v>
      </c>
      <c r="AH2201">
        <v>0</v>
      </c>
      <c r="AI2201" t="s">
        <v>798</v>
      </c>
      <c r="AJ2201">
        <v>34.163252999999997</v>
      </c>
      <c r="AK2201" t="s">
        <v>799</v>
      </c>
      <c r="AL2201">
        <v>-117.03643099999999</v>
      </c>
      <c r="AM2201">
        <v>100</v>
      </c>
      <c r="AN2201">
        <v>7600</v>
      </c>
      <c r="AO2201" t="s">
        <v>118</v>
      </c>
      <c r="AP2201">
        <v>-89</v>
      </c>
      <c r="AQ2201">
        <v>-76</v>
      </c>
      <c r="AR2201">
        <v>-1088</v>
      </c>
      <c r="AZ2201">
        <v>1200</v>
      </c>
      <c r="BA2201">
        <v>1</v>
      </c>
      <c r="BB2201" t="str">
        <f t="shared" si="1201"/>
        <v xml:space="preserve">N9217B  </v>
      </c>
      <c r="BC2201">
        <v>1</v>
      </c>
      <c r="BE2201">
        <v>0</v>
      </c>
      <c r="BF2201">
        <v>0</v>
      </c>
      <c r="BG2201">
        <v>0</v>
      </c>
      <c r="BH2201">
        <v>7600</v>
      </c>
      <c r="BI2201">
        <v>1</v>
      </c>
      <c r="BJ2201">
        <v>0</v>
      </c>
      <c r="BK2201">
        <v>0</v>
      </c>
      <c r="BL2201">
        <v>0</v>
      </c>
      <c r="BO2201">
        <v>0</v>
      </c>
      <c r="BP2201">
        <v>0</v>
      </c>
      <c r="BW2201" t="str">
        <f t="shared" si="1211"/>
        <v>14:54:28.566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285</v>
      </c>
      <c r="CR2201">
        <v>0</v>
      </c>
      <c r="CW2201">
        <v>8862989</v>
      </c>
      <c r="CY2201">
        <v>0</v>
      </c>
      <c r="CZ2201">
        <v>0</v>
      </c>
      <c r="DA2201">
        <v>1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25">
      <c r="A2202" t="str">
        <f t="shared" si="1209"/>
        <v>06/05/2020 14:54:22.894</v>
      </c>
      <c r="C2202" t="str">
        <f t="shared" si="1184"/>
        <v>FFDFD3C0</v>
      </c>
      <c r="D2202" t="s">
        <v>134</v>
      </c>
      <c r="E2202">
        <v>7</v>
      </c>
      <c r="F2202">
        <v>2007</v>
      </c>
      <c r="G2202" t="s">
        <v>135</v>
      </c>
      <c r="J2202" t="s">
        <v>136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210"/>
        <v>14:54:28.563</v>
      </c>
      <c r="T2202" t="str">
        <f t="shared" si="1210"/>
        <v>14:54:28.563</v>
      </c>
      <c r="U2202" t="str">
        <f t="shared" si="1200"/>
        <v>ACC530</v>
      </c>
      <c r="V2202">
        <v>0</v>
      </c>
      <c r="W2202">
        <v>0</v>
      </c>
      <c r="X2202">
        <v>1</v>
      </c>
      <c r="Z2202">
        <v>0</v>
      </c>
      <c r="AA2202">
        <v>9</v>
      </c>
      <c r="AB2202">
        <v>3</v>
      </c>
      <c r="AC2202">
        <v>0</v>
      </c>
      <c r="AD2202">
        <v>9</v>
      </c>
      <c r="AE2202">
        <v>0</v>
      </c>
      <c r="AF2202">
        <v>3</v>
      </c>
      <c r="AG2202">
        <v>1</v>
      </c>
      <c r="AH2202">
        <v>0</v>
      </c>
      <c r="AI2202" t="s">
        <v>798</v>
      </c>
      <c r="AJ2202">
        <v>34.163252999999997</v>
      </c>
      <c r="AK2202" t="s">
        <v>799</v>
      </c>
      <c r="AL2202">
        <v>-117.03643099999999</v>
      </c>
      <c r="AM2202">
        <v>100</v>
      </c>
      <c r="AN2202">
        <v>7600</v>
      </c>
      <c r="AO2202" t="s">
        <v>118</v>
      </c>
      <c r="AP2202">
        <v>-89</v>
      </c>
      <c r="AQ2202">
        <v>-76</v>
      </c>
      <c r="AR2202">
        <v>-1088</v>
      </c>
      <c r="AZ2202">
        <v>1200</v>
      </c>
      <c r="BA2202">
        <v>1</v>
      </c>
      <c r="BB2202" t="str">
        <f t="shared" si="1201"/>
        <v xml:space="preserve">N9217B  </v>
      </c>
      <c r="BC2202">
        <v>1</v>
      </c>
      <c r="BE2202">
        <v>0</v>
      </c>
      <c r="BF2202">
        <v>0</v>
      </c>
      <c r="BG2202">
        <v>0</v>
      </c>
      <c r="BH2202">
        <v>7600</v>
      </c>
      <c r="BI2202">
        <v>1</v>
      </c>
      <c r="BJ2202">
        <v>0</v>
      </c>
      <c r="BK2202">
        <v>0</v>
      </c>
      <c r="BL2202">
        <v>0</v>
      </c>
      <c r="BO2202">
        <v>0</v>
      </c>
      <c r="BP2202">
        <v>0</v>
      </c>
      <c r="BW2202" t="str">
        <f t="shared" si="1211"/>
        <v>14:54:28.566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285</v>
      </c>
      <c r="CR2202">
        <v>0</v>
      </c>
      <c r="CW2202">
        <v>8862989</v>
      </c>
      <c r="CY2202">
        <v>0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25">
      <c r="A2203" t="str">
        <f t="shared" si="1209"/>
        <v>06/05/2020 14:54:22.894</v>
      </c>
      <c r="C2203" t="str">
        <f t="shared" si="1184"/>
        <v>FFDFD3C0</v>
      </c>
      <c r="D2203" t="s">
        <v>151</v>
      </c>
      <c r="E2203">
        <v>9</v>
      </c>
      <c r="H2203">
        <v>226</v>
      </c>
      <c r="I2203" t="s">
        <v>152</v>
      </c>
      <c r="J2203" t="s">
        <v>150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210"/>
        <v>14:54:28.563</v>
      </c>
      <c r="T2203" t="str">
        <f t="shared" si="1210"/>
        <v>14:54:28.563</v>
      </c>
      <c r="U2203" t="str">
        <f t="shared" si="1200"/>
        <v>ACC530</v>
      </c>
      <c r="V2203">
        <v>0</v>
      </c>
      <c r="W2203">
        <v>0</v>
      </c>
      <c r="X2203">
        <v>1</v>
      </c>
      <c r="Z2203">
        <v>0</v>
      </c>
      <c r="AA2203">
        <v>9</v>
      </c>
      <c r="AB2203">
        <v>3</v>
      </c>
      <c r="AC2203">
        <v>0</v>
      </c>
      <c r="AD2203">
        <v>9</v>
      </c>
      <c r="AE2203">
        <v>0</v>
      </c>
      <c r="AF2203">
        <v>3</v>
      </c>
      <c r="AG2203">
        <v>1</v>
      </c>
      <c r="AH2203">
        <v>0</v>
      </c>
      <c r="AI2203" t="s">
        <v>798</v>
      </c>
      <c r="AJ2203">
        <v>34.163252999999997</v>
      </c>
      <c r="AK2203" t="s">
        <v>799</v>
      </c>
      <c r="AL2203">
        <v>-117.03643099999999</v>
      </c>
      <c r="AM2203">
        <v>100</v>
      </c>
      <c r="AN2203">
        <v>7600</v>
      </c>
      <c r="AO2203" t="s">
        <v>118</v>
      </c>
      <c r="AP2203">
        <v>-89</v>
      </c>
      <c r="AQ2203">
        <v>-76</v>
      </c>
      <c r="AR2203">
        <v>-1088</v>
      </c>
      <c r="AZ2203">
        <v>1200</v>
      </c>
      <c r="BA2203">
        <v>1</v>
      </c>
      <c r="BB2203" t="str">
        <f t="shared" si="1201"/>
        <v xml:space="preserve">N9217B  </v>
      </c>
      <c r="BC2203">
        <v>1</v>
      </c>
      <c r="BE2203">
        <v>0</v>
      </c>
      <c r="BF2203">
        <v>0</v>
      </c>
      <c r="BG2203">
        <v>0</v>
      </c>
      <c r="BH2203">
        <v>7600</v>
      </c>
      <c r="BI2203">
        <v>1</v>
      </c>
      <c r="BJ2203">
        <v>0</v>
      </c>
      <c r="BK2203">
        <v>0</v>
      </c>
      <c r="BL2203">
        <v>0</v>
      </c>
      <c r="BO2203">
        <v>0</v>
      </c>
      <c r="BP2203">
        <v>0</v>
      </c>
      <c r="BW2203" t="str">
        <f t="shared" si="1211"/>
        <v>14:54:28.566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285</v>
      </c>
      <c r="CR2203">
        <v>0</v>
      </c>
      <c r="CW2203">
        <v>8862989</v>
      </c>
      <c r="CY2203">
        <v>0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25">
      <c r="A2204" t="str">
        <f t="shared" si="1209"/>
        <v>06/05/2020 14:54:22.894</v>
      </c>
      <c r="C2204" t="str">
        <f t="shared" si="1184"/>
        <v>FFDFD3C0</v>
      </c>
      <c r="D2204" t="s">
        <v>141</v>
      </c>
      <c r="E2204">
        <v>20</v>
      </c>
      <c r="F2204">
        <v>1020</v>
      </c>
      <c r="G2204" t="s">
        <v>114</v>
      </c>
      <c r="J2204" t="s">
        <v>142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210"/>
        <v>14:54:28.563</v>
      </c>
      <c r="T2204" t="str">
        <f t="shared" si="1210"/>
        <v>14:54:28.563</v>
      </c>
      <c r="U2204" t="str">
        <f t="shared" si="1200"/>
        <v>ACC530</v>
      </c>
      <c r="V2204">
        <v>0</v>
      </c>
      <c r="W2204">
        <v>0</v>
      </c>
      <c r="X2204">
        <v>1</v>
      </c>
      <c r="Z2204">
        <v>0</v>
      </c>
      <c r="AA2204">
        <v>9</v>
      </c>
      <c r="AB2204">
        <v>3</v>
      </c>
      <c r="AC2204">
        <v>0</v>
      </c>
      <c r="AD2204">
        <v>9</v>
      </c>
      <c r="AE2204">
        <v>0</v>
      </c>
      <c r="AF2204">
        <v>3</v>
      </c>
      <c r="AG2204">
        <v>1</v>
      </c>
      <c r="AH2204">
        <v>0</v>
      </c>
      <c r="AI2204" t="s">
        <v>798</v>
      </c>
      <c r="AJ2204">
        <v>34.163252999999997</v>
      </c>
      <c r="AK2204" t="s">
        <v>799</v>
      </c>
      <c r="AL2204">
        <v>-117.03643099999999</v>
      </c>
      <c r="AM2204">
        <v>100</v>
      </c>
      <c r="AN2204">
        <v>7600</v>
      </c>
      <c r="AO2204" t="s">
        <v>118</v>
      </c>
      <c r="AP2204">
        <v>-89</v>
      </c>
      <c r="AQ2204">
        <v>-76</v>
      </c>
      <c r="AR2204">
        <v>-1088</v>
      </c>
      <c r="AZ2204">
        <v>1200</v>
      </c>
      <c r="BA2204">
        <v>1</v>
      </c>
      <c r="BB2204" t="str">
        <f t="shared" si="1201"/>
        <v xml:space="preserve">N9217B  </v>
      </c>
      <c r="BC2204">
        <v>1</v>
      </c>
      <c r="BE2204">
        <v>0</v>
      </c>
      <c r="BF2204">
        <v>0</v>
      </c>
      <c r="BG2204">
        <v>0</v>
      </c>
      <c r="BH2204">
        <v>7600</v>
      </c>
      <c r="BI2204">
        <v>1</v>
      </c>
      <c r="BJ2204">
        <v>0</v>
      </c>
      <c r="BK2204">
        <v>0</v>
      </c>
      <c r="BL2204">
        <v>0</v>
      </c>
      <c r="BO2204">
        <v>0</v>
      </c>
      <c r="BP2204">
        <v>0</v>
      </c>
      <c r="BW2204" t="str">
        <f t="shared" si="1211"/>
        <v>14:54:28.566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285</v>
      </c>
      <c r="CR2204">
        <v>0</v>
      </c>
      <c r="CW2204">
        <v>8862989</v>
      </c>
      <c r="CY2204">
        <v>0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25">
      <c r="A2205" t="str">
        <f t="shared" ref="A2205:A2211" si="1212">"06/05/2020 14:54:23.900"</f>
        <v>06/05/2020 14:54:23.900</v>
      </c>
      <c r="C2205" t="str">
        <f t="shared" si="1184"/>
        <v>FFDFD3C0</v>
      </c>
      <c r="D2205" t="s">
        <v>151</v>
      </c>
      <c r="E2205">
        <v>9</v>
      </c>
      <c r="H2205">
        <v>226</v>
      </c>
      <c r="I2205" t="s">
        <v>152</v>
      </c>
      <c r="J2205" t="s">
        <v>150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ref="S2205:S2211" si="1213">"14:54:29.570"</f>
        <v>14:54:29.570</v>
      </c>
      <c r="T2205" t="str">
        <f t="shared" ref="T2205:T2211" si="1214">"14:54:29.470"</f>
        <v>14:54:29.470</v>
      </c>
      <c r="U2205" t="str">
        <f t="shared" si="1200"/>
        <v>ACC530</v>
      </c>
      <c r="V2205">
        <v>0</v>
      </c>
      <c r="W2205">
        <v>0</v>
      </c>
      <c r="X2205">
        <v>1</v>
      </c>
      <c r="Z2205">
        <v>0</v>
      </c>
      <c r="AA2205">
        <v>9</v>
      </c>
      <c r="AB2205">
        <v>3</v>
      </c>
      <c r="AC2205">
        <v>0</v>
      </c>
      <c r="AD2205">
        <v>9</v>
      </c>
      <c r="AE2205">
        <v>0</v>
      </c>
      <c r="AF2205">
        <v>3</v>
      </c>
      <c r="AG2205">
        <v>1</v>
      </c>
      <c r="AH2205">
        <v>0</v>
      </c>
      <c r="AI2205" t="s">
        <v>800</v>
      </c>
      <c r="AJ2205">
        <v>34.162909999999997</v>
      </c>
      <c r="AK2205" t="s">
        <v>801</v>
      </c>
      <c r="AL2205">
        <v>-117.036967</v>
      </c>
      <c r="AM2205">
        <v>100</v>
      </c>
      <c r="AN2205">
        <v>7600</v>
      </c>
      <c r="AO2205" t="s">
        <v>118</v>
      </c>
      <c r="AP2205">
        <v>-89</v>
      </c>
      <c r="AQ2205">
        <v>-76</v>
      </c>
      <c r="AR2205">
        <v>-1088</v>
      </c>
      <c r="AZ2205">
        <v>1200</v>
      </c>
      <c r="BA2205">
        <v>1</v>
      </c>
      <c r="BB2205" t="str">
        <f t="shared" si="1201"/>
        <v xml:space="preserve">N9217B  </v>
      </c>
      <c r="BC2205">
        <v>1</v>
      </c>
      <c r="BE2205">
        <v>0</v>
      </c>
      <c r="BF2205">
        <v>0</v>
      </c>
      <c r="BG2205">
        <v>0</v>
      </c>
      <c r="BH2205">
        <v>7575</v>
      </c>
      <c r="BI2205">
        <v>1</v>
      </c>
      <c r="BJ2205">
        <v>0</v>
      </c>
      <c r="BK2205">
        <v>0</v>
      </c>
      <c r="BL2205">
        <v>0</v>
      </c>
      <c r="BO2205">
        <v>0</v>
      </c>
      <c r="BP2205">
        <v>0</v>
      </c>
      <c r="BW2205" t="str">
        <f t="shared" ref="BW2205:BW2211" si="1215">"14:54:29.571"</f>
        <v>14:54:29.571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285</v>
      </c>
      <c r="CR2205">
        <v>0</v>
      </c>
      <c r="CW2205">
        <v>8863078</v>
      </c>
      <c r="CY2205">
        <v>0</v>
      </c>
      <c r="CZ2205">
        <v>0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25">
      <c r="A2206" t="str">
        <f t="shared" si="1212"/>
        <v>06/05/2020 14:54:23.900</v>
      </c>
      <c r="C2206" t="str">
        <f t="shared" si="1184"/>
        <v>FFDFD3C0</v>
      </c>
      <c r="D2206" t="s">
        <v>148</v>
      </c>
      <c r="E2206">
        <v>8</v>
      </c>
      <c r="H2206">
        <v>50</v>
      </c>
      <c r="I2206" t="s">
        <v>149</v>
      </c>
      <c r="J2206" t="s">
        <v>150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213"/>
        <v>14:54:29.570</v>
      </c>
      <c r="T2206" t="str">
        <f t="shared" si="1214"/>
        <v>14:54:29.470</v>
      </c>
      <c r="U2206" t="str">
        <f t="shared" si="1200"/>
        <v>ACC530</v>
      </c>
      <c r="V2206">
        <v>0</v>
      </c>
      <c r="W2206">
        <v>0</v>
      </c>
      <c r="X2206">
        <v>1</v>
      </c>
      <c r="Z2206">
        <v>0</v>
      </c>
      <c r="AA2206">
        <v>9</v>
      </c>
      <c r="AB2206">
        <v>3</v>
      </c>
      <c r="AC2206">
        <v>0</v>
      </c>
      <c r="AD2206">
        <v>9</v>
      </c>
      <c r="AE2206">
        <v>0</v>
      </c>
      <c r="AF2206">
        <v>3</v>
      </c>
      <c r="AG2206">
        <v>1</v>
      </c>
      <c r="AH2206">
        <v>0</v>
      </c>
      <c r="AI2206" t="s">
        <v>800</v>
      </c>
      <c r="AJ2206">
        <v>34.162909999999997</v>
      </c>
      <c r="AK2206" t="s">
        <v>801</v>
      </c>
      <c r="AL2206">
        <v>-117.036967</v>
      </c>
      <c r="AM2206">
        <v>100</v>
      </c>
      <c r="AN2206">
        <v>7600</v>
      </c>
      <c r="AO2206" t="s">
        <v>118</v>
      </c>
      <c r="AP2206">
        <v>-89</v>
      </c>
      <c r="AQ2206">
        <v>-76</v>
      </c>
      <c r="AR2206">
        <v>-1088</v>
      </c>
      <c r="AZ2206">
        <v>1200</v>
      </c>
      <c r="BA2206">
        <v>1</v>
      </c>
      <c r="BB2206" t="str">
        <f t="shared" si="1201"/>
        <v xml:space="preserve">N9217B  </v>
      </c>
      <c r="BC2206">
        <v>1</v>
      </c>
      <c r="BE2206">
        <v>0</v>
      </c>
      <c r="BF2206">
        <v>0</v>
      </c>
      <c r="BG2206">
        <v>0</v>
      </c>
      <c r="BH2206">
        <v>7575</v>
      </c>
      <c r="BI2206">
        <v>1</v>
      </c>
      <c r="BJ2206">
        <v>0</v>
      </c>
      <c r="BK2206">
        <v>0</v>
      </c>
      <c r="BL2206">
        <v>0</v>
      </c>
      <c r="BO2206">
        <v>0</v>
      </c>
      <c r="BP2206">
        <v>0</v>
      </c>
      <c r="BW2206" t="str">
        <f t="shared" si="1215"/>
        <v>14:54:29.571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285</v>
      </c>
      <c r="CR2206">
        <v>0</v>
      </c>
      <c r="CW2206">
        <v>8863078</v>
      </c>
      <c r="CY2206">
        <v>0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25">
      <c r="A2207" t="str">
        <f t="shared" si="1212"/>
        <v>06/05/2020 14:54:23.900</v>
      </c>
      <c r="C2207" t="str">
        <f t="shared" si="1184"/>
        <v>FFDFD3C0</v>
      </c>
      <c r="D2207" t="s">
        <v>113</v>
      </c>
      <c r="E2207">
        <v>3</v>
      </c>
      <c r="H2207">
        <v>166</v>
      </c>
      <c r="I2207" t="s">
        <v>114</v>
      </c>
      <c r="J2207" t="s">
        <v>115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213"/>
        <v>14:54:29.570</v>
      </c>
      <c r="T2207" t="str">
        <f t="shared" si="1214"/>
        <v>14:54:29.470</v>
      </c>
      <c r="U2207" t="str">
        <f t="shared" si="1200"/>
        <v>ACC530</v>
      </c>
      <c r="V2207">
        <v>0</v>
      </c>
      <c r="W2207">
        <v>0</v>
      </c>
      <c r="X2207">
        <v>1</v>
      </c>
      <c r="Z2207">
        <v>0</v>
      </c>
      <c r="AA2207">
        <v>9</v>
      </c>
      <c r="AB2207">
        <v>3</v>
      </c>
      <c r="AC2207">
        <v>0</v>
      </c>
      <c r="AD2207">
        <v>9</v>
      </c>
      <c r="AE2207">
        <v>0</v>
      </c>
      <c r="AF2207">
        <v>3</v>
      </c>
      <c r="AG2207">
        <v>1</v>
      </c>
      <c r="AH2207">
        <v>0</v>
      </c>
      <c r="AI2207" t="s">
        <v>800</v>
      </c>
      <c r="AJ2207">
        <v>34.162909999999997</v>
      </c>
      <c r="AK2207" t="s">
        <v>801</v>
      </c>
      <c r="AL2207">
        <v>-117.036967</v>
      </c>
      <c r="AM2207">
        <v>100</v>
      </c>
      <c r="AN2207">
        <v>7600</v>
      </c>
      <c r="AO2207" t="s">
        <v>118</v>
      </c>
      <c r="AP2207">
        <v>-89</v>
      </c>
      <c r="AQ2207">
        <v>-76</v>
      </c>
      <c r="AR2207">
        <v>-1088</v>
      </c>
      <c r="AZ2207">
        <v>1200</v>
      </c>
      <c r="BA2207">
        <v>1</v>
      </c>
      <c r="BB2207" t="str">
        <f t="shared" si="1201"/>
        <v xml:space="preserve">N9217B  </v>
      </c>
      <c r="BC2207">
        <v>1</v>
      </c>
      <c r="BE2207">
        <v>0</v>
      </c>
      <c r="BF2207">
        <v>0</v>
      </c>
      <c r="BG2207">
        <v>0</v>
      </c>
      <c r="BH2207">
        <v>7575</v>
      </c>
      <c r="BI2207">
        <v>1</v>
      </c>
      <c r="BJ2207">
        <v>0</v>
      </c>
      <c r="BK2207">
        <v>0</v>
      </c>
      <c r="BL2207">
        <v>0</v>
      </c>
      <c r="BO2207">
        <v>0</v>
      </c>
      <c r="BP2207">
        <v>0</v>
      </c>
      <c r="BW2207" t="str">
        <f t="shared" si="1215"/>
        <v>14:54:29.571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285</v>
      </c>
      <c r="CR2207">
        <v>0</v>
      </c>
      <c r="CW2207">
        <v>8863078</v>
      </c>
      <c r="CY2207">
        <v>0</v>
      </c>
      <c r="CZ2207">
        <v>0</v>
      </c>
      <c r="DA2207">
        <v>1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25">
      <c r="A2208" t="str">
        <f t="shared" si="1212"/>
        <v>06/05/2020 14:54:23.900</v>
      </c>
      <c r="C2208" t="str">
        <f t="shared" si="1184"/>
        <v>FFDFD3C0</v>
      </c>
      <c r="D2208" t="s">
        <v>148</v>
      </c>
      <c r="E2208">
        <v>11</v>
      </c>
      <c r="H2208">
        <v>53</v>
      </c>
      <c r="I2208" t="s">
        <v>364</v>
      </c>
      <c r="J2208" t="s">
        <v>150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213"/>
        <v>14:54:29.570</v>
      </c>
      <c r="T2208" t="str">
        <f t="shared" si="1214"/>
        <v>14:54:29.470</v>
      </c>
      <c r="U2208" t="str">
        <f t="shared" si="1200"/>
        <v>ACC530</v>
      </c>
      <c r="V2208">
        <v>0</v>
      </c>
      <c r="W2208">
        <v>0</v>
      </c>
      <c r="X2208">
        <v>1</v>
      </c>
      <c r="Z2208">
        <v>0</v>
      </c>
      <c r="AA2208">
        <v>9</v>
      </c>
      <c r="AB2208">
        <v>3</v>
      </c>
      <c r="AC2208">
        <v>0</v>
      </c>
      <c r="AD2208">
        <v>9</v>
      </c>
      <c r="AE2208">
        <v>0</v>
      </c>
      <c r="AF2208">
        <v>3</v>
      </c>
      <c r="AG2208">
        <v>1</v>
      </c>
      <c r="AH2208">
        <v>0</v>
      </c>
      <c r="AI2208" t="s">
        <v>800</v>
      </c>
      <c r="AJ2208">
        <v>34.162909999999997</v>
      </c>
      <c r="AK2208" t="s">
        <v>801</v>
      </c>
      <c r="AL2208">
        <v>-117.036967</v>
      </c>
      <c r="AM2208">
        <v>100</v>
      </c>
      <c r="AN2208">
        <v>7600</v>
      </c>
      <c r="AO2208" t="s">
        <v>118</v>
      </c>
      <c r="AP2208">
        <v>-89</v>
      </c>
      <c r="AQ2208">
        <v>-76</v>
      </c>
      <c r="AR2208">
        <v>-1088</v>
      </c>
      <c r="AZ2208">
        <v>1200</v>
      </c>
      <c r="BA2208">
        <v>1</v>
      </c>
      <c r="BB2208" t="str">
        <f t="shared" si="1201"/>
        <v xml:space="preserve">N9217B  </v>
      </c>
      <c r="BC2208">
        <v>1</v>
      </c>
      <c r="BE2208">
        <v>0</v>
      </c>
      <c r="BF2208">
        <v>0</v>
      </c>
      <c r="BG2208">
        <v>0</v>
      </c>
      <c r="BH2208">
        <v>7575</v>
      </c>
      <c r="BI2208">
        <v>1</v>
      </c>
      <c r="BJ2208">
        <v>0</v>
      </c>
      <c r="BK2208">
        <v>0</v>
      </c>
      <c r="BL2208">
        <v>0</v>
      </c>
      <c r="BO2208">
        <v>0</v>
      </c>
      <c r="BP2208">
        <v>0</v>
      </c>
      <c r="BW2208" t="str">
        <f t="shared" si="1215"/>
        <v>14:54:29.571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6</v>
      </c>
      <c r="CP2208" t="s">
        <v>119</v>
      </c>
      <c r="CQ2208">
        <v>285</v>
      </c>
      <c r="CR2208">
        <v>0</v>
      </c>
      <c r="CW2208">
        <v>8863078</v>
      </c>
      <c r="CY2208">
        <v>0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25">
      <c r="A2209" t="str">
        <f t="shared" si="1212"/>
        <v>06/05/2020 14:54:23.900</v>
      </c>
      <c r="C2209" t="str">
        <f t="shared" si="1184"/>
        <v>FFDFD3C0</v>
      </c>
      <c r="D2209" t="s">
        <v>134</v>
      </c>
      <c r="E2209">
        <v>7</v>
      </c>
      <c r="F2209">
        <v>2007</v>
      </c>
      <c r="G2209" t="s">
        <v>135</v>
      </c>
      <c r="J2209" t="s">
        <v>136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213"/>
        <v>14:54:29.570</v>
      </c>
      <c r="T2209" t="str">
        <f t="shared" si="1214"/>
        <v>14:54:29.470</v>
      </c>
      <c r="U2209" t="str">
        <f t="shared" si="1200"/>
        <v>ACC530</v>
      </c>
      <c r="V2209">
        <v>0</v>
      </c>
      <c r="W2209">
        <v>0</v>
      </c>
      <c r="X2209">
        <v>1</v>
      </c>
      <c r="Z2209">
        <v>0</v>
      </c>
      <c r="AA2209">
        <v>9</v>
      </c>
      <c r="AB2209">
        <v>3</v>
      </c>
      <c r="AC2209">
        <v>0</v>
      </c>
      <c r="AD2209">
        <v>9</v>
      </c>
      <c r="AE2209">
        <v>0</v>
      </c>
      <c r="AF2209">
        <v>3</v>
      </c>
      <c r="AG2209">
        <v>1</v>
      </c>
      <c r="AH2209">
        <v>0</v>
      </c>
      <c r="AI2209" t="s">
        <v>800</v>
      </c>
      <c r="AJ2209">
        <v>34.162909999999997</v>
      </c>
      <c r="AK2209" t="s">
        <v>801</v>
      </c>
      <c r="AL2209">
        <v>-117.036967</v>
      </c>
      <c r="AM2209">
        <v>100</v>
      </c>
      <c r="AN2209">
        <v>7600</v>
      </c>
      <c r="AO2209" t="s">
        <v>118</v>
      </c>
      <c r="AP2209">
        <v>-89</v>
      </c>
      <c r="AQ2209">
        <v>-76</v>
      </c>
      <c r="AR2209">
        <v>-1088</v>
      </c>
      <c r="AZ2209">
        <v>1200</v>
      </c>
      <c r="BA2209">
        <v>1</v>
      </c>
      <c r="BB2209" t="str">
        <f t="shared" si="1201"/>
        <v xml:space="preserve">N9217B  </v>
      </c>
      <c r="BC2209">
        <v>1</v>
      </c>
      <c r="BE2209">
        <v>0</v>
      </c>
      <c r="BF2209">
        <v>0</v>
      </c>
      <c r="BG2209">
        <v>0</v>
      </c>
      <c r="BH2209">
        <v>7575</v>
      </c>
      <c r="BI2209">
        <v>1</v>
      </c>
      <c r="BJ2209">
        <v>0</v>
      </c>
      <c r="BK2209">
        <v>0</v>
      </c>
      <c r="BL2209">
        <v>0</v>
      </c>
      <c r="BO2209">
        <v>0</v>
      </c>
      <c r="BP2209">
        <v>0</v>
      </c>
      <c r="BW2209" t="str">
        <f t="shared" si="1215"/>
        <v>14:54:29.571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119</v>
      </c>
      <c r="CQ2209">
        <v>285</v>
      </c>
      <c r="CR2209">
        <v>0</v>
      </c>
      <c r="CW2209">
        <v>8863078</v>
      </c>
      <c r="CY2209">
        <v>0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25">
      <c r="A2210" t="str">
        <f t="shared" si="1212"/>
        <v>06/05/2020 14:54:23.900</v>
      </c>
      <c r="C2210" t="str">
        <f t="shared" si="1184"/>
        <v>FFDFD3C0</v>
      </c>
      <c r="D2210" t="s">
        <v>151</v>
      </c>
      <c r="E2210">
        <v>8</v>
      </c>
      <c r="H2210">
        <v>225</v>
      </c>
      <c r="I2210" t="s">
        <v>353</v>
      </c>
      <c r="J2210" t="s">
        <v>150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213"/>
        <v>14:54:29.570</v>
      </c>
      <c r="T2210" t="str">
        <f t="shared" si="1214"/>
        <v>14:54:29.470</v>
      </c>
      <c r="U2210" t="str">
        <f t="shared" si="1200"/>
        <v>ACC530</v>
      </c>
      <c r="V2210">
        <v>0</v>
      </c>
      <c r="W2210">
        <v>0</v>
      </c>
      <c r="X2210">
        <v>1</v>
      </c>
      <c r="Z2210">
        <v>0</v>
      </c>
      <c r="AA2210">
        <v>9</v>
      </c>
      <c r="AB2210">
        <v>3</v>
      </c>
      <c r="AC2210">
        <v>0</v>
      </c>
      <c r="AD2210">
        <v>9</v>
      </c>
      <c r="AE2210">
        <v>0</v>
      </c>
      <c r="AF2210">
        <v>3</v>
      </c>
      <c r="AG2210">
        <v>1</v>
      </c>
      <c r="AH2210">
        <v>0</v>
      </c>
      <c r="AI2210" t="s">
        <v>800</v>
      </c>
      <c r="AJ2210">
        <v>34.162909999999997</v>
      </c>
      <c r="AK2210" t="s">
        <v>801</v>
      </c>
      <c r="AL2210">
        <v>-117.036967</v>
      </c>
      <c r="AM2210">
        <v>100</v>
      </c>
      <c r="AN2210">
        <v>7600</v>
      </c>
      <c r="AO2210" t="s">
        <v>118</v>
      </c>
      <c r="AP2210">
        <v>-89</v>
      </c>
      <c r="AQ2210">
        <v>-76</v>
      </c>
      <c r="AR2210">
        <v>-1088</v>
      </c>
      <c r="AZ2210">
        <v>1200</v>
      </c>
      <c r="BA2210">
        <v>1</v>
      </c>
      <c r="BB2210" t="str">
        <f t="shared" si="1201"/>
        <v xml:space="preserve">N9217B  </v>
      </c>
      <c r="BC2210">
        <v>1</v>
      </c>
      <c r="BE2210">
        <v>0</v>
      </c>
      <c r="BF2210">
        <v>0</v>
      </c>
      <c r="BG2210">
        <v>0</v>
      </c>
      <c r="BH2210">
        <v>7575</v>
      </c>
      <c r="BI2210">
        <v>1</v>
      </c>
      <c r="BJ2210">
        <v>0</v>
      </c>
      <c r="BK2210">
        <v>0</v>
      </c>
      <c r="BL2210">
        <v>0</v>
      </c>
      <c r="BO2210">
        <v>0</v>
      </c>
      <c r="BP2210">
        <v>0</v>
      </c>
      <c r="BW2210" t="str">
        <f t="shared" si="1215"/>
        <v>14:54:29.571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119</v>
      </c>
      <c r="CQ2210">
        <v>285</v>
      </c>
      <c r="CR2210">
        <v>0</v>
      </c>
      <c r="CW2210">
        <v>8863078</v>
      </c>
      <c r="CY2210">
        <v>0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25">
      <c r="A2211" t="str">
        <f t="shared" si="1212"/>
        <v>06/05/2020 14:54:23.900</v>
      </c>
      <c r="C2211" t="str">
        <f t="shared" ref="C2211:C2274" si="1216">"FFDFD3C0"</f>
        <v>FFDFD3C0</v>
      </c>
      <c r="D2211" t="s">
        <v>141</v>
      </c>
      <c r="E2211">
        <v>20</v>
      </c>
      <c r="F2211">
        <v>1020</v>
      </c>
      <c r="G2211" t="s">
        <v>114</v>
      </c>
      <c r="J2211" t="s">
        <v>142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213"/>
        <v>14:54:29.570</v>
      </c>
      <c r="T2211" t="str">
        <f t="shared" si="1214"/>
        <v>14:54:29.470</v>
      </c>
      <c r="U2211" t="str">
        <f t="shared" si="1200"/>
        <v>ACC530</v>
      </c>
      <c r="V2211">
        <v>0</v>
      </c>
      <c r="W2211">
        <v>0</v>
      </c>
      <c r="X2211">
        <v>1</v>
      </c>
      <c r="Z2211">
        <v>0</v>
      </c>
      <c r="AA2211">
        <v>9</v>
      </c>
      <c r="AB2211">
        <v>3</v>
      </c>
      <c r="AC2211">
        <v>0</v>
      </c>
      <c r="AD2211">
        <v>9</v>
      </c>
      <c r="AE2211">
        <v>0</v>
      </c>
      <c r="AF2211">
        <v>3</v>
      </c>
      <c r="AG2211">
        <v>1</v>
      </c>
      <c r="AH2211">
        <v>0</v>
      </c>
      <c r="AI2211" t="s">
        <v>800</v>
      </c>
      <c r="AJ2211">
        <v>34.162909999999997</v>
      </c>
      <c r="AK2211" t="s">
        <v>801</v>
      </c>
      <c r="AL2211">
        <v>-117.036967</v>
      </c>
      <c r="AM2211">
        <v>100</v>
      </c>
      <c r="AN2211">
        <v>7600</v>
      </c>
      <c r="AO2211" t="s">
        <v>118</v>
      </c>
      <c r="AP2211">
        <v>-89</v>
      </c>
      <c r="AQ2211">
        <v>-76</v>
      </c>
      <c r="AR2211">
        <v>-1088</v>
      </c>
      <c r="AZ2211">
        <v>1200</v>
      </c>
      <c r="BA2211">
        <v>1</v>
      </c>
      <c r="BB2211" t="str">
        <f t="shared" si="1201"/>
        <v xml:space="preserve">N9217B  </v>
      </c>
      <c r="BC2211">
        <v>1</v>
      </c>
      <c r="BE2211">
        <v>0</v>
      </c>
      <c r="BF2211">
        <v>0</v>
      </c>
      <c r="BG2211">
        <v>0</v>
      </c>
      <c r="BH2211">
        <v>7575</v>
      </c>
      <c r="BI2211">
        <v>1</v>
      </c>
      <c r="BJ2211">
        <v>0</v>
      </c>
      <c r="BK2211">
        <v>0</v>
      </c>
      <c r="BL2211">
        <v>0</v>
      </c>
      <c r="BO2211">
        <v>0</v>
      </c>
      <c r="BP2211">
        <v>0</v>
      </c>
      <c r="BW2211" t="str">
        <f t="shared" si="1215"/>
        <v>14:54:29.571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285</v>
      </c>
      <c r="CR2211">
        <v>0</v>
      </c>
      <c r="CW2211">
        <v>8863078</v>
      </c>
      <c r="CY2211">
        <v>0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25">
      <c r="A2212" t="str">
        <f t="shared" ref="A2212:A2218" si="1217">"06/05/2020 14:54:24.856"</f>
        <v>06/05/2020 14:54:24.856</v>
      </c>
      <c r="C2212" t="str">
        <f t="shared" si="1216"/>
        <v>FFDFD3C0</v>
      </c>
      <c r="D2212" t="s">
        <v>141</v>
      </c>
      <c r="E2212">
        <v>20</v>
      </c>
      <c r="F2212">
        <v>1020</v>
      </c>
      <c r="G2212" t="s">
        <v>114</v>
      </c>
      <c r="J2212" t="s">
        <v>142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ref="S2212:T2218" si="1218">"14:54:30.508"</f>
        <v>14:54:30.508</v>
      </c>
      <c r="T2212" t="str">
        <f t="shared" si="1218"/>
        <v>14:54:30.508</v>
      </c>
      <c r="U2212" t="str">
        <f t="shared" si="1200"/>
        <v>ACC530</v>
      </c>
      <c r="V2212">
        <v>0</v>
      </c>
      <c r="W2212">
        <v>0</v>
      </c>
      <c r="X2212">
        <v>1</v>
      </c>
      <c r="Z2212">
        <v>0</v>
      </c>
      <c r="AA2212">
        <v>9</v>
      </c>
      <c r="AB2212">
        <v>3</v>
      </c>
      <c r="AC2212">
        <v>0</v>
      </c>
      <c r="AD2212">
        <v>9</v>
      </c>
      <c r="AE2212">
        <v>0</v>
      </c>
      <c r="AF2212">
        <v>3</v>
      </c>
      <c r="AG2212">
        <v>1</v>
      </c>
      <c r="AH2212">
        <v>0</v>
      </c>
      <c r="AI2212" t="s">
        <v>802</v>
      </c>
      <c r="AJ2212">
        <v>34.162545000000001</v>
      </c>
      <c r="AK2212" t="s">
        <v>803</v>
      </c>
      <c r="AL2212">
        <v>-117.037418</v>
      </c>
      <c r="AM2212">
        <v>100</v>
      </c>
      <c r="AN2212">
        <v>7600</v>
      </c>
      <c r="AO2212" t="s">
        <v>118</v>
      </c>
      <c r="AP2212">
        <v>-89</v>
      </c>
      <c r="AQ2212">
        <v>-77</v>
      </c>
      <c r="AR2212">
        <v>-1152</v>
      </c>
      <c r="AZ2212">
        <v>1200</v>
      </c>
      <c r="BA2212">
        <v>1</v>
      </c>
      <c r="BB2212" t="str">
        <f t="shared" si="1201"/>
        <v xml:space="preserve">N9217B  </v>
      </c>
      <c r="BC2212">
        <v>1</v>
      </c>
      <c r="BE2212">
        <v>0</v>
      </c>
      <c r="BF2212">
        <v>0</v>
      </c>
      <c r="BG2212">
        <v>0</v>
      </c>
      <c r="BH2212">
        <v>7550</v>
      </c>
      <c r="BI2212">
        <v>1</v>
      </c>
      <c r="BJ2212">
        <v>0</v>
      </c>
      <c r="BK2212">
        <v>0</v>
      </c>
      <c r="BL2212">
        <v>0</v>
      </c>
      <c r="BO2212">
        <v>0</v>
      </c>
      <c r="BP2212">
        <v>0</v>
      </c>
      <c r="BW2212" t="str">
        <f t="shared" ref="BW2212:BW2218" si="1219">"14:54:30.516"</f>
        <v>14:54:30.516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6</v>
      </c>
      <c r="CP2212" t="s">
        <v>119</v>
      </c>
      <c r="CQ2212">
        <v>285</v>
      </c>
      <c r="CR2212">
        <v>0</v>
      </c>
      <c r="CW2212">
        <v>8863162</v>
      </c>
      <c r="CY2212">
        <v>0</v>
      </c>
      <c r="CZ2212">
        <v>0</v>
      </c>
      <c r="DA2212">
        <v>0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25">
      <c r="A2213" t="str">
        <f t="shared" si="1217"/>
        <v>06/05/2020 14:54:24.856</v>
      </c>
      <c r="C2213" t="str">
        <f t="shared" si="1216"/>
        <v>FFDFD3C0</v>
      </c>
      <c r="D2213" t="s">
        <v>151</v>
      </c>
      <c r="E2213">
        <v>9</v>
      </c>
      <c r="H2213">
        <v>226</v>
      </c>
      <c r="I2213" t="s">
        <v>152</v>
      </c>
      <c r="J2213" t="s">
        <v>150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218"/>
        <v>14:54:30.508</v>
      </c>
      <c r="T2213" t="str">
        <f t="shared" si="1218"/>
        <v>14:54:30.508</v>
      </c>
      <c r="U2213" t="str">
        <f t="shared" si="1200"/>
        <v>ACC530</v>
      </c>
      <c r="V2213">
        <v>0</v>
      </c>
      <c r="W2213">
        <v>0</v>
      </c>
      <c r="X2213">
        <v>1</v>
      </c>
      <c r="Z2213">
        <v>0</v>
      </c>
      <c r="AA2213">
        <v>9</v>
      </c>
      <c r="AB2213">
        <v>3</v>
      </c>
      <c r="AC2213">
        <v>0</v>
      </c>
      <c r="AD2213">
        <v>9</v>
      </c>
      <c r="AE2213">
        <v>0</v>
      </c>
      <c r="AF2213">
        <v>3</v>
      </c>
      <c r="AG2213">
        <v>1</v>
      </c>
      <c r="AH2213">
        <v>0</v>
      </c>
      <c r="AI2213" t="s">
        <v>802</v>
      </c>
      <c r="AJ2213">
        <v>34.162545000000001</v>
      </c>
      <c r="AK2213" t="s">
        <v>803</v>
      </c>
      <c r="AL2213">
        <v>-117.037418</v>
      </c>
      <c r="AM2213">
        <v>100</v>
      </c>
      <c r="AN2213">
        <v>7600</v>
      </c>
      <c r="AO2213" t="s">
        <v>118</v>
      </c>
      <c r="AP2213">
        <v>-89</v>
      </c>
      <c r="AQ2213">
        <v>-77</v>
      </c>
      <c r="AR2213">
        <v>-1152</v>
      </c>
      <c r="AZ2213">
        <v>1200</v>
      </c>
      <c r="BA2213">
        <v>1</v>
      </c>
      <c r="BB2213" t="str">
        <f t="shared" si="1201"/>
        <v xml:space="preserve">N9217B  </v>
      </c>
      <c r="BC2213">
        <v>1</v>
      </c>
      <c r="BE2213">
        <v>0</v>
      </c>
      <c r="BF2213">
        <v>0</v>
      </c>
      <c r="BG2213">
        <v>0</v>
      </c>
      <c r="BH2213">
        <v>7550</v>
      </c>
      <c r="BI2213">
        <v>1</v>
      </c>
      <c r="BJ2213">
        <v>0</v>
      </c>
      <c r="BK2213">
        <v>0</v>
      </c>
      <c r="BL2213">
        <v>0</v>
      </c>
      <c r="BO2213">
        <v>0</v>
      </c>
      <c r="BP2213">
        <v>0</v>
      </c>
      <c r="BW2213" t="str">
        <f t="shared" si="1219"/>
        <v>14:54:30.516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6</v>
      </c>
      <c r="CP2213" t="s">
        <v>119</v>
      </c>
      <c r="CQ2213">
        <v>285</v>
      </c>
      <c r="CR2213">
        <v>0</v>
      </c>
      <c r="CW2213">
        <v>8863162</v>
      </c>
      <c r="CY2213">
        <v>0</v>
      </c>
      <c r="CZ2213">
        <v>0</v>
      </c>
      <c r="DA2213">
        <v>1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25">
      <c r="A2214" t="str">
        <f t="shared" si="1217"/>
        <v>06/05/2020 14:54:24.856</v>
      </c>
      <c r="C2214" t="str">
        <f t="shared" si="1216"/>
        <v>FFDFD3C0</v>
      </c>
      <c r="D2214" t="s">
        <v>148</v>
      </c>
      <c r="E2214">
        <v>8</v>
      </c>
      <c r="H2214">
        <v>50</v>
      </c>
      <c r="I2214" t="s">
        <v>149</v>
      </c>
      <c r="J2214" t="s">
        <v>150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218"/>
        <v>14:54:30.508</v>
      </c>
      <c r="T2214" t="str">
        <f t="shared" si="1218"/>
        <v>14:54:30.508</v>
      </c>
      <c r="U2214" t="str">
        <f t="shared" si="1200"/>
        <v>ACC530</v>
      </c>
      <c r="V2214">
        <v>0</v>
      </c>
      <c r="W2214">
        <v>0</v>
      </c>
      <c r="X2214">
        <v>1</v>
      </c>
      <c r="Z2214">
        <v>0</v>
      </c>
      <c r="AA2214">
        <v>9</v>
      </c>
      <c r="AB2214">
        <v>3</v>
      </c>
      <c r="AC2214">
        <v>0</v>
      </c>
      <c r="AD2214">
        <v>9</v>
      </c>
      <c r="AE2214">
        <v>0</v>
      </c>
      <c r="AF2214">
        <v>3</v>
      </c>
      <c r="AG2214">
        <v>1</v>
      </c>
      <c r="AH2214">
        <v>0</v>
      </c>
      <c r="AI2214" t="s">
        <v>802</v>
      </c>
      <c r="AJ2214">
        <v>34.162545000000001</v>
      </c>
      <c r="AK2214" t="s">
        <v>803</v>
      </c>
      <c r="AL2214">
        <v>-117.037418</v>
      </c>
      <c r="AM2214">
        <v>100</v>
      </c>
      <c r="AN2214">
        <v>7600</v>
      </c>
      <c r="AO2214" t="s">
        <v>118</v>
      </c>
      <c r="AP2214">
        <v>-89</v>
      </c>
      <c r="AQ2214">
        <v>-77</v>
      </c>
      <c r="AR2214">
        <v>-1152</v>
      </c>
      <c r="AZ2214">
        <v>1200</v>
      </c>
      <c r="BA2214">
        <v>1</v>
      </c>
      <c r="BB2214" t="str">
        <f t="shared" si="1201"/>
        <v xml:space="preserve">N9217B  </v>
      </c>
      <c r="BC2214">
        <v>1</v>
      </c>
      <c r="BE2214">
        <v>0</v>
      </c>
      <c r="BF2214">
        <v>0</v>
      </c>
      <c r="BG2214">
        <v>0</v>
      </c>
      <c r="BH2214">
        <v>7550</v>
      </c>
      <c r="BI2214">
        <v>1</v>
      </c>
      <c r="BJ2214">
        <v>0</v>
      </c>
      <c r="BK2214">
        <v>0</v>
      </c>
      <c r="BL2214">
        <v>0</v>
      </c>
      <c r="BO2214">
        <v>0</v>
      </c>
      <c r="BP2214">
        <v>0</v>
      </c>
      <c r="BW2214" t="str">
        <f t="shared" si="1219"/>
        <v>14:54:30.516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285</v>
      </c>
      <c r="CR2214">
        <v>0</v>
      </c>
      <c r="CW2214">
        <v>8863162</v>
      </c>
      <c r="CY2214">
        <v>0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25">
      <c r="A2215" t="str">
        <f t="shared" si="1217"/>
        <v>06/05/2020 14:54:24.856</v>
      </c>
      <c r="C2215" t="str">
        <f t="shared" si="1216"/>
        <v>FFDFD3C0</v>
      </c>
      <c r="D2215" t="s">
        <v>113</v>
      </c>
      <c r="E2215">
        <v>3</v>
      </c>
      <c r="H2215">
        <v>166</v>
      </c>
      <c r="I2215" t="s">
        <v>114</v>
      </c>
      <c r="J2215" t="s">
        <v>115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218"/>
        <v>14:54:30.508</v>
      </c>
      <c r="T2215" t="str">
        <f t="shared" si="1218"/>
        <v>14:54:30.508</v>
      </c>
      <c r="U2215" t="str">
        <f t="shared" si="1200"/>
        <v>ACC530</v>
      </c>
      <c r="V2215">
        <v>0</v>
      </c>
      <c r="W2215">
        <v>0</v>
      </c>
      <c r="X2215">
        <v>1</v>
      </c>
      <c r="Z2215">
        <v>0</v>
      </c>
      <c r="AA2215">
        <v>9</v>
      </c>
      <c r="AB2215">
        <v>3</v>
      </c>
      <c r="AC2215">
        <v>0</v>
      </c>
      <c r="AD2215">
        <v>9</v>
      </c>
      <c r="AE2215">
        <v>0</v>
      </c>
      <c r="AF2215">
        <v>3</v>
      </c>
      <c r="AG2215">
        <v>1</v>
      </c>
      <c r="AH2215">
        <v>0</v>
      </c>
      <c r="AI2215" t="s">
        <v>802</v>
      </c>
      <c r="AJ2215">
        <v>34.162545000000001</v>
      </c>
      <c r="AK2215" t="s">
        <v>803</v>
      </c>
      <c r="AL2215">
        <v>-117.037418</v>
      </c>
      <c r="AM2215">
        <v>100</v>
      </c>
      <c r="AN2215">
        <v>7600</v>
      </c>
      <c r="AO2215" t="s">
        <v>118</v>
      </c>
      <c r="AP2215">
        <v>-89</v>
      </c>
      <c r="AQ2215">
        <v>-77</v>
      </c>
      <c r="AR2215">
        <v>-1152</v>
      </c>
      <c r="AZ2215">
        <v>1200</v>
      </c>
      <c r="BA2215">
        <v>1</v>
      </c>
      <c r="BB2215" t="str">
        <f t="shared" si="1201"/>
        <v xml:space="preserve">N9217B  </v>
      </c>
      <c r="BC2215">
        <v>1</v>
      </c>
      <c r="BE2215">
        <v>0</v>
      </c>
      <c r="BF2215">
        <v>0</v>
      </c>
      <c r="BG2215">
        <v>0</v>
      </c>
      <c r="BH2215">
        <v>7550</v>
      </c>
      <c r="BI2215">
        <v>1</v>
      </c>
      <c r="BJ2215">
        <v>0</v>
      </c>
      <c r="BK2215">
        <v>0</v>
      </c>
      <c r="BL2215">
        <v>0</v>
      </c>
      <c r="BO2215">
        <v>0</v>
      </c>
      <c r="BP2215">
        <v>0</v>
      </c>
      <c r="BW2215" t="str">
        <f t="shared" si="1219"/>
        <v>14:54:30.516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6</v>
      </c>
      <c r="CP2215" t="s">
        <v>119</v>
      </c>
      <c r="CQ2215">
        <v>285</v>
      </c>
      <c r="CR2215">
        <v>0</v>
      </c>
      <c r="CW2215">
        <v>8863162</v>
      </c>
      <c r="CY2215">
        <v>0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25">
      <c r="A2216" t="str">
        <f t="shared" si="1217"/>
        <v>06/05/2020 14:54:24.856</v>
      </c>
      <c r="C2216" t="str">
        <f t="shared" si="1216"/>
        <v>FFDFD3C0</v>
      </c>
      <c r="D2216" t="s">
        <v>148</v>
      </c>
      <c r="E2216">
        <v>11</v>
      </c>
      <c r="H2216">
        <v>53</v>
      </c>
      <c r="I2216" t="s">
        <v>364</v>
      </c>
      <c r="J2216" t="s">
        <v>150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218"/>
        <v>14:54:30.508</v>
      </c>
      <c r="T2216" t="str">
        <f t="shared" si="1218"/>
        <v>14:54:30.508</v>
      </c>
      <c r="U2216" t="str">
        <f t="shared" si="1200"/>
        <v>ACC530</v>
      </c>
      <c r="V2216">
        <v>0</v>
      </c>
      <c r="W2216">
        <v>0</v>
      </c>
      <c r="X2216">
        <v>1</v>
      </c>
      <c r="Z2216">
        <v>0</v>
      </c>
      <c r="AA2216">
        <v>9</v>
      </c>
      <c r="AB2216">
        <v>3</v>
      </c>
      <c r="AC2216">
        <v>0</v>
      </c>
      <c r="AD2216">
        <v>9</v>
      </c>
      <c r="AE2216">
        <v>0</v>
      </c>
      <c r="AF2216">
        <v>3</v>
      </c>
      <c r="AG2216">
        <v>1</v>
      </c>
      <c r="AH2216">
        <v>0</v>
      </c>
      <c r="AI2216" t="s">
        <v>802</v>
      </c>
      <c r="AJ2216">
        <v>34.162545000000001</v>
      </c>
      <c r="AK2216" t="s">
        <v>803</v>
      </c>
      <c r="AL2216">
        <v>-117.037418</v>
      </c>
      <c r="AM2216">
        <v>100</v>
      </c>
      <c r="AN2216">
        <v>7600</v>
      </c>
      <c r="AO2216" t="s">
        <v>118</v>
      </c>
      <c r="AP2216">
        <v>-89</v>
      </c>
      <c r="AQ2216">
        <v>-77</v>
      </c>
      <c r="AR2216">
        <v>-1152</v>
      </c>
      <c r="AZ2216">
        <v>1200</v>
      </c>
      <c r="BA2216">
        <v>1</v>
      </c>
      <c r="BB2216" t="str">
        <f t="shared" si="1201"/>
        <v xml:space="preserve">N9217B  </v>
      </c>
      <c r="BC2216">
        <v>1</v>
      </c>
      <c r="BE2216">
        <v>0</v>
      </c>
      <c r="BF2216">
        <v>0</v>
      </c>
      <c r="BG2216">
        <v>0</v>
      </c>
      <c r="BH2216">
        <v>7550</v>
      </c>
      <c r="BI2216">
        <v>1</v>
      </c>
      <c r="BJ2216">
        <v>0</v>
      </c>
      <c r="BK2216">
        <v>0</v>
      </c>
      <c r="BL2216">
        <v>0</v>
      </c>
      <c r="BO2216">
        <v>0</v>
      </c>
      <c r="BP2216">
        <v>0</v>
      </c>
      <c r="BW2216" t="str">
        <f t="shared" si="1219"/>
        <v>14:54:30.516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6</v>
      </c>
      <c r="CP2216" t="s">
        <v>119</v>
      </c>
      <c r="CQ2216">
        <v>285</v>
      </c>
      <c r="CR2216">
        <v>0</v>
      </c>
      <c r="CW2216">
        <v>8863162</v>
      </c>
      <c r="CY2216">
        <v>0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25">
      <c r="A2217" t="str">
        <f t="shared" si="1217"/>
        <v>06/05/2020 14:54:24.856</v>
      </c>
      <c r="C2217" t="str">
        <f t="shared" si="1216"/>
        <v>FFDFD3C0</v>
      </c>
      <c r="D2217" t="s">
        <v>134</v>
      </c>
      <c r="E2217">
        <v>7</v>
      </c>
      <c r="F2217">
        <v>2007</v>
      </c>
      <c r="G2217" t="s">
        <v>135</v>
      </c>
      <c r="J2217" t="s">
        <v>136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218"/>
        <v>14:54:30.508</v>
      </c>
      <c r="T2217" t="str">
        <f t="shared" si="1218"/>
        <v>14:54:30.508</v>
      </c>
      <c r="U2217" t="str">
        <f t="shared" si="1200"/>
        <v>ACC530</v>
      </c>
      <c r="V2217">
        <v>0</v>
      </c>
      <c r="W2217">
        <v>0</v>
      </c>
      <c r="X2217">
        <v>1</v>
      </c>
      <c r="Z2217">
        <v>0</v>
      </c>
      <c r="AA2217">
        <v>9</v>
      </c>
      <c r="AB2217">
        <v>3</v>
      </c>
      <c r="AC2217">
        <v>0</v>
      </c>
      <c r="AD2217">
        <v>9</v>
      </c>
      <c r="AE2217">
        <v>0</v>
      </c>
      <c r="AF2217">
        <v>3</v>
      </c>
      <c r="AG2217">
        <v>1</v>
      </c>
      <c r="AH2217">
        <v>0</v>
      </c>
      <c r="AI2217" t="s">
        <v>802</v>
      </c>
      <c r="AJ2217">
        <v>34.162545000000001</v>
      </c>
      <c r="AK2217" t="s">
        <v>803</v>
      </c>
      <c r="AL2217">
        <v>-117.037418</v>
      </c>
      <c r="AM2217">
        <v>100</v>
      </c>
      <c r="AN2217">
        <v>7600</v>
      </c>
      <c r="AO2217" t="s">
        <v>118</v>
      </c>
      <c r="AP2217">
        <v>-89</v>
      </c>
      <c r="AQ2217">
        <v>-77</v>
      </c>
      <c r="AR2217">
        <v>-1152</v>
      </c>
      <c r="AZ2217">
        <v>1200</v>
      </c>
      <c r="BA2217">
        <v>1</v>
      </c>
      <c r="BB2217" t="str">
        <f t="shared" si="1201"/>
        <v xml:space="preserve">N9217B  </v>
      </c>
      <c r="BC2217">
        <v>1</v>
      </c>
      <c r="BE2217">
        <v>0</v>
      </c>
      <c r="BF2217">
        <v>0</v>
      </c>
      <c r="BG2217">
        <v>0</v>
      </c>
      <c r="BH2217">
        <v>7550</v>
      </c>
      <c r="BI2217">
        <v>1</v>
      </c>
      <c r="BJ2217">
        <v>0</v>
      </c>
      <c r="BK2217">
        <v>0</v>
      </c>
      <c r="BL2217">
        <v>0</v>
      </c>
      <c r="BO2217">
        <v>0</v>
      </c>
      <c r="BP2217">
        <v>0</v>
      </c>
      <c r="BW2217" t="str">
        <f t="shared" si="1219"/>
        <v>14:54:30.516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6</v>
      </c>
      <c r="CP2217" t="s">
        <v>119</v>
      </c>
      <c r="CQ2217">
        <v>285</v>
      </c>
      <c r="CR2217">
        <v>0</v>
      </c>
      <c r="CW2217">
        <v>8863162</v>
      </c>
      <c r="CY2217">
        <v>0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25">
      <c r="A2218" t="str">
        <f t="shared" si="1217"/>
        <v>06/05/2020 14:54:24.856</v>
      </c>
      <c r="C2218" t="str">
        <f t="shared" si="1216"/>
        <v>FFDFD3C0</v>
      </c>
      <c r="D2218" t="s">
        <v>151</v>
      </c>
      <c r="E2218">
        <v>8</v>
      </c>
      <c r="H2218">
        <v>225</v>
      </c>
      <c r="I2218" t="s">
        <v>353</v>
      </c>
      <c r="J2218" t="s">
        <v>150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218"/>
        <v>14:54:30.508</v>
      </c>
      <c r="T2218" t="str">
        <f t="shared" si="1218"/>
        <v>14:54:30.508</v>
      </c>
      <c r="U2218" t="str">
        <f t="shared" si="1200"/>
        <v>ACC530</v>
      </c>
      <c r="V2218">
        <v>0</v>
      </c>
      <c r="W2218">
        <v>0</v>
      </c>
      <c r="X2218">
        <v>1</v>
      </c>
      <c r="Z2218">
        <v>0</v>
      </c>
      <c r="AA2218">
        <v>9</v>
      </c>
      <c r="AB2218">
        <v>3</v>
      </c>
      <c r="AC2218">
        <v>0</v>
      </c>
      <c r="AD2218">
        <v>9</v>
      </c>
      <c r="AE2218">
        <v>0</v>
      </c>
      <c r="AF2218">
        <v>3</v>
      </c>
      <c r="AG2218">
        <v>1</v>
      </c>
      <c r="AH2218">
        <v>0</v>
      </c>
      <c r="AI2218" t="s">
        <v>802</v>
      </c>
      <c r="AJ2218">
        <v>34.162545000000001</v>
      </c>
      <c r="AK2218" t="s">
        <v>803</v>
      </c>
      <c r="AL2218">
        <v>-117.037418</v>
      </c>
      <c r="AM2218">
        <v>100</v>
      </c>
      <c r="AN2218">
        <v>7600</v>
      </c>
      <c r="AO2218" t="s">
        <v>118</v>
      </c>
      <c r="AP2218">
        <v>-89</v>
      </c>
      <c r="AQ2218">
        <v>-77</v>
      </c>
      <c r="AR2218">
        <v>-1152</v>
      </c>
      <c r="AZ2218">
        <v>1200</v>
      </c>
      <c r="BA2218">
        <v>1</v>
      </c>
      <c r="BB2218" t="str">
        <f t="shared" si="1201"/>
        <v xml:space="preserve">N9217B  </v>
      </c>
      <c r="BC2218">
        <v>1</v>
      </c>
      <c r="BE2218">
        <v>0</v>
      </c>
      <c r="BF2218">
        <v>0</v>
      </c>
      <c r="BG2218">
        <v>0</v>
      </c>
      <c r="BH2218">
        <v>7550</v>
      </c>
      <c r="BI2218">
        <v>1</v>
      </c>
      <c r="BJ2218">
        <v>0</v>
      </c>
      <c r="BK2218">
        <v>0</v>
      </c>
      <c r="BL2218">
        <v>0</v>
      </c>
      <c r="BO2218">
        <v>0</v>
      </c>
      <c r="BP2218">
        <v>0</v>
      </c>
      <c r="BW2218" t="str">
        <f t="shared" si="1219"/>
        <v>14:54:30.516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285</v>
      </c>
      <c r="CR2218">
        <v>0</v>
      </c>
      <c r="CW2218">
        <v>8863162</v>
      </c>
      <c r="CY2218">
        <v>0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25">
      <c r="A2219" t="str">
        <f t="shared" ref="A2219:A2225" si="1220">"06/05/2020 14:54:25.991"</f>
        <v>06/05/2020 14:54:25.991</v>
      </c>
      <c r="C2219" t="str">
        <f t="shared" si="1216"/>
        <v>FFDFD3C0</v>
      </c>
      <c r="D2219" t="s">
        <v>148</v>
      </c>
      <c r="E2219">
        <v>11</v>
      </c>
      <c r="H2219">
        <v>53</v>
      </c>
      <c r="I2219" t="s">
        <v>364</v>
      </c>
      <c r="J2219" t="s">
        <v>150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ref="S2219:S2225" si="1221">"14:54:31.633"</f>
        <v>14:54:31.633</v>
      </c>
      <c r="T2219" t="str">
        <f t="shared" ref="T2219:T2225" si="1222">"14:54:31.433"</f>
        <v>14:54:31.433</v>
      </c>
      <c r="U2219" t="str">
        <f t="shared" si="1200"/>
        <v>ACC530</v>
      </c>
      <c r="V2219">
        <v>0</v>
      </c>
      <c r="W2219">
        <v>0</v>
      </c>
      <c r="X2219">
        <v>1</v>
      </c>
      <c r="Z2219">
        <v>0</v>
      </c>
      <c r="AA2219">
        <v>9</v>
      </c>
      <c r="AB2219">
        <v>3</v>
      </c>
      <c r="AC2219">
        <v>0</v>
      </c>
      <c r="AD2219">
        <v>9</v>
      </c>
      <c r="AE2219">
        <v>0</v>
      </c>
      <c r="AF2219">
        <v>3</v>
      </c>
      <c r="AG2219">
        <v>1</v>
      </c>
      <c r="AH2219">
        <v>0</v>
      </c>
      <c r="AI2219" t="s">
        <v>804</v>
      </c>
      <c r="AJ2219">
        <v>34.162115999999997</v>
      </c>
      <c r="AK2219" t="s">
        <v>805</v>
      </c>
      <c r="AL2219">
        <v>-117.037976</v>
      </c>
      <c r="AM2219">
        <v>100</v>
      </c>
      <c r="AN2219">
        <v>7600</v>
      </c>
      <c r="AO2219" t="s">
        <v>118</v>
      </c>
      <c r="AP2219">
        <v>-88</v>
      </c>
      <c r="AQ2219">
        <v>-77</v>
      </c>
      <c r="AR2219">
        <v>-1152</v>
      </c>
      <c r="AZ2219">
        <v>1200</v>
      </c>
      <c r="BA2219">
        <v>1</v>
      </c>
      <c r="BB2219" t="str">
        <f t="shared" si="1201"/>
        <v xml:space="preserve">N9217B  </v>
      </c>
      <c r="BC2219">
        <v>1</v>
      </c>
      <c r="BE2219">
        <v>0</v>
      </c>
      <c r="BF2219">
        <v>0</v>
      </c>
      <c r="BG2219">
        <v>0</v>
      </c>
      <c r="BH2219">
        <v>7550</v>
      </c>
      <c r="BI2219">
        <v>1</v>
      </c>
      <c r="BJ2219">
        <v>0</v>
      </c>
      <c r="BK2219">
        <v>0</v>
      </c>
      <c r="BL2219">
        <v>0</v>
      </c>
      <c r="BO2219">
        <v>0</v>
      </c>
      <c r="BP2219">
        <v>0</v>
      </c>
      <c r="BW2219" t="str">
        <f t="shared" ref="BW2219:BW2225" si="1223">"14:54:31.641"</f>
        <v>14:54:31.641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285</v>
      </c>
      <c r="CR2219">
        <v>0</v>
      </c>
      <c r="CW2219">
        <v>8863262</v>
      </c>
      <c r="CY2219">
        <v>0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25">
      <c r="A2220" t="str">
        <f t="shared" si="1220"/>
        <v>06/05/2020 14:54:25.991</v>
      </c>
      <c r="C2220" t="str">
        <f t="shared" si="1216"/>
        <v>FFDFD3C0</v>
      </c>
      <c r="D2220" t="s">
        <v>134</v>
      </c>
      <c r="E2220">
        <v>7</v>
      </c>
      <c r="F2220">
        <v>2007</v>
      </c>
      <c r="G2220" t="s">
        <v>135</v>
      </c>
      <c r="J2220" t="s">
        <v>136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221"/>
        <v>14:54:31.633</v>
      </c>
      <c r="T2220" t="str">
        <f t="shared" si="1222"/>
        <v>14:54:31.433</v>
      </c>
      <c r="U2220" t="str">
        <f t="shared" si="1200"/>
        <v>ACC530</v>
      </c>
      <c r="V2220">
        <v>0</v>
      </c>
      <c r="W2220">
        <v>0</v>
      </c>
      <c r="X2220">
        <v>1</v>
      </c>
      <c r="Z2220">
        <v>0</v>
      </c>
      <c r="AA2220">
        <v>9</v>
      </c>
      <c r="AB2220">
        <v>3</v>
      </c>
      <c r="AC2220">
        <v>0</v>
      </c>
      <c r="AD2220">
        <v>9</v>
      </c>
      <c r="AE2220">
        <v>0</v>
      </c>
      <c r="AF2220">
        <v>3</v>
      </c>
      <c r="AG2220">
        <v>1</v>
      </c>
      <c r="AH2220">
        <v>0</v>
      </c>
      <c r="AI2220" t="s">
        <v>804</v>
      </c>
      <c r="AJ2220">
        <v>34.162115999999997</v>
      </c>
      <c r="AK2220" t="s">
        <v>805</v>
      </c>
      <c r="AL2220">
        <v>-117.037976</v>
      </c>
      <c r="AM2220">
        <v>100</v>
      </c>
      <c r="AN2220">
        <v>7600</v>
      </c>
      <c r="AO2220" t="s">
        <v>118</v>
      </c>
      <c r="AP2220">
        <v>-88</v>
      </c>
      <c r="AQ2220">
        <v>-77</v>
      </c>
      <c r="AR2220">
        <v>-1152</v>
      </c>
      <c r="AZ2220">
        <v>1200</v>
      </c>
      <c r="BA2220">
        <v>1</v>
      </c>
      <c r="BB2220" t="str">
        <f t="shared" si="1201"/>
        <v xml:space="preserve">N9217B  </v>
      </c>
      <c r="BC2220">
        <v>1</v>
      </c>
      <c r="BE2220">
        <v>0</v>
      </c>
      <c r="BF2220">
        <v>0</v>
      </c>
      <c r="BG2220">
        <v>0</v>
      </c>
      <c r="BH2220">
        <v>7550</v>
      </c>
      <c r="BI2220">
        <v>1</v>
      </c>
      <c r="BJ2220">
        <v>0</v>
      </c>
      <c r="BK2220">
        <v>0</v>
      </c>
      <c r="BL2220">
        <v>0</v>
      </c>
      <c r="BO2220">
        <v>0</v>
      </c>
      <c r="BP2220">
        <v>0</v>
      </c>
      <c r="BW2220" t="str">
        <f t="shared" si="1223"/>
        <v>14:54:31.641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6</v>
      </c>
      <c r="CP2220" t="s">
        <v>119</v>
      </c>
      <c r="CQ2220">
        <v>285</v>
      </c>
      <c r="CR2220">
        <v>0</v>
      </c>
      <c r="CW2220">
        <v>8863262</v>
      </c>
      <c r="CY2220">
        <v>0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25">
      <c r="A2221" t="str">
        <f t="shared" si="1220"/>
        <v>06/05/2020 14:54:25.991</v>
      </c>
      <c r="C2221" t="str">
        <f t="shared" si="1216"/>
        <v>FFDFD3C0</v>
      </c>
      <c r="D2221" t="s">
        <v>151</v>
      </c>
      <c r="E2221">
        <v>8</v>
      </c>
      <c r="H2221">
        <v>225</v>
      </c>
      <c r="I2221" t="s">
        <v>353</v>
      </c>
      <c r="J2221" t="s">
        <v>150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221"/>
        <v>14:54:31.633</v>
      </c>
      <c r="T2221" t="str">
        <f t="shared" si="1222"/>
        <v>14:54:31.433</v>
      </c>
      <c r="U2221" t="str">
        <f t="shared" si="1200"/>
        <v>ACC530</v>
      </c>
      <c r="V2221">
        <v>0</v>
      </c>
      <c r="W2221">
        <v>0</v>
      </c>
      <c r="X2221">
        <v>1</v>
      </c>
      <c r="Z2221">
        <v>0</v>
      </c>
      <c r="AA2221">
        <v>9</v>
      </c>
      <c r="AB2221">
        <v>3</v>
      </c>
      <c r="AC2221">
        <v>0</v>
      </c>
      <c r="AD2221">
        <v>9</v>
      </c>
      <c r="AE2221">
        <v>0</v>
      </c>
      <c r="AF2221">
        <v>3</v>
      </c>
      <c r="AG2221">
        <v>1</v>
      </c>
      <c r="AH2221">
        <v>0</v>
      </c>
      <c r="AI2221" t="s">
        <v>804</v>
      </c>
      <c r="AJ2221">
        <v>34.162115999999997</v>
      </c>
      <c r="AK2221" t="s">
        <v>805</v>
      </c>
      <c r="AL2221">
        <v>-117.037976</v>
      </c>
      <c r="AM2221">
        <v>100</v>
      </c>
      <c r="AN2221">
        <v>7600</v>
      </c>
      <c r="AO2221" t="s">
        <v>118</v>
      </c>
      <c r="AP2221">
        <v>-88</v>
      </c>
      <c r="AQ2221">
        <v>-77</v>
      </c>
      <c r="AR2221">
        <v>-1152</v>
      </c>
      <c r="AZ2221">
        <v>1200</v>
      </c>
      <c r="BA2221">
        <v>1</v>
      </c>
      <c r="BB2221" t="str">
        <f t="shared" si="1201"/>
        <v xml:space="preserve">N9217B  </v>
      </c>
      <c r="BC2221">
        <v>1</v>
      </c>
      <c r="BE2221">
        <v>0</v>
      </c>
      <c r="BF2221">
        <v>0</v>
      </c>
      <c r="BG2221">
        <v>0</v>
      </c>
      <c r="BH2221">
        <v>7550</v>
      </c>
      <c r="BI2221">
        <v>1</v>
      </c>
      <c r="BJ2221">
        <v>0</v>
      </c>
      <c r="BK2221">
        <v>0</v>
      </c>
      <c r="BL2221">
        <v>0</v>
      </c>
      <c r="BO2221">
        <v>0</v>
      </c>
      <c r="BP2221">
        <v>0</v>
      </c>
      <c r="BW2221" t="str">
        <f t="shared" si="1223"/>
        <v>14:54:31.641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285</v>
      </c>
      <c r="CR2221">
        <v>0</v>
      </c>
      <c r="CW2221">
        <v>8863262</v>
      </c>
      <c r="CY2221">
        <v>0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25">
      <c r="A2222" t="str">
        <f t="shared" si="1220"/>
        <v>06/05/2020 14:54:25.991</v>
      </c>
      <c r="C2222" t="str">
        <f t="shared" si="1216"/>
        <v>FFDFD3C0</v>
      </c>
      <c r="D2222" t="s">
        <v>141</v>
      </c>
      <c r="E2222">
        <v>20</v>
      </c>
      <c r="F2222">
        <v>1020</v>
      </c>
      <c r="G2222" t="s">
        <v>114</v>
      </c>
      <c r="J2222" t="s">
        <v>142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221"/>
        <v>14:54:31.633</v>
      </c>
      <c r="T2222" t="str">
        <f t="shared" si="1222"/>
        <v>14:54:31.433</v>
      </c>
      <c r="U2222" t="str">
        <f t="shared" si="1200"/>
        <v>ACC530</v>
      </c>
      <c r="V2222">
        <v>0</v>
      </c>
      <c r="W2222">
        <v>0</v>
      </c>
      <c r="X2222">
        <v>1</v>
      </c>
      <c r="Z2222">
        <v>0</v>
      </c>
      <c r="AA2222">
        <v>9</v>
      </c>
      <c r="AB2222">
        <v>3</v>
      </c>
      <c r="AC2222">
        <v>0</v>
      </c>
      <c r="AD2222">
        <v>9</v>
      </c>
      <c r="AE2222">
        <v>0</v>
      </c>
      <c r="AF2222">
        <v>3</v>
      </c>
      <c r="AG2222">
        <v>1</v>
      </c>
      <c r="AH2222">
        <v>0</v>
      </c>
      <c r="AI2222" t="s">
        <v>804</v>
      </c>
      <c r="AJ2222">
        <v>34.162115999999997</v>
      </c>
      <c r="AK2222" t="s">
        <v>805</v>
      </c>
      <c r="AL2222">
        <v>-117.037976</v>
      </c>
      <c r="AM2222">
        <v>100</v>
      </c>
      <c r="AN2222">
        <v>7600</v>
      </c>
      <c r="AO2222" t="s">
        <v>118</v>
      </c>
      <c r="AP2222">
        <v>-88</v>
      </c>
      <c r="AQ2222">
        <v>-77</v>
      </c>
      <c r="AR2222">
        <v>-1152</v>
      </c>
      <c r="AZ2222">
        <v>1200</v>
      </c>
      <c r="BA2222">
        <v>1</v>
      </c>
      <c r="BB2222" t="str">
        <f t="shared" si="1201"/>
        <v xml:space="preserve">N9217B  </v>
      </c>
      <c r="BC2222">
        <v>1</v>
      </c>
      <c r="BE2222">
        <v>0</v>
      </c>
      <c r="BF2222">
        <v>0</v>
      </c>
      <c r="BG2222">
        <v>0</v>
      </c>
      <c r="BH2222">
        <v>7550</v>
      </c>
      <c r="BI2222">
        <v>1</v>
      </c>
      <c r="BJ2222">
        <v>0</v>
      </c>
      <c r="BK2222">
        <v>0</v>
      </c>
      <c r="BL2222">
        <v>0</v>
      </c>
      <c r="BO2222">
        <v>0</v>
      </c>
      <c r="BP2222">
        <v>0</v>
      </c>
      <c r="BW2222" t="str">
        <f t="shared" si="1223"/>
        <v>14:54:31.641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285</v>
      </c>
      <c r="CR2222">
        <v>0</v>
      </c>
      <c r="CW2222">
        <v>8863262</v>
      </c>
      <c r="CY2222">
        <v>0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25">
      <c r="A2223" t="str">
        <f t="shared" si="1220"/>
        <v>06/05/2020 14:54:25.991</v>
      </c>
      <c r="C2223" t="str">
        <f t="shared" si="1216"/>
        <v>FFDFD3C0</v>
      </c>
      <c r="D2223" t="s">
        <v>151</v>
      </c>
      <c r="E2223">
        <v>9</v>
      </c>
      <c r="H2223">
        <v>226</v>
      </c>
      <c r="I2223" t="s">
        <v>152</v>
      </c>
      <c r="J2223" t="s">
        <v>150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221"/>
        <v>14:54:31.633</v>
      </c>
      <c r="T2223" t="str">
        <f t="shared" si="1222"/>
        <v>14:54:31.433</v>
      </c>
      <c r="U2223" t="str">
        <f t="shared" si="1200"/>
        <v>ACC530</v>
      </c>
      <c r="V2223">
        <v>0</v>
      </c>
      <c r="W2223">
        <v>0</v>
      </c>
      <c r="X2223">
        <v>1</v>
      </c>
      <c r="Z2223">
        <v>0</v>
      </c>
      <c r="AA2223">
        <v>9</v>
      </c>
      <c r="AB2223">
        <v>3</v>
      </c>
      <c r="AC2223">
        <v>0</v>
      </c>
      <c r="AD2223">
        <v>9</v>
      </c>
      <c r="AE2223">
        <v>0</v>
      </c>
      <c r="AF2223">
        <v>3</v>
      </c>
      <c r="AG2223">
        <v>1</v>
      </c>
      <c r="AH2223">
        <v>0</v>
      </c>
      <c r="AI2223" t="s">
        <v>804</v>
      </c>
      <c r="AJ2223">
        <v>34.162115999999997</v>
      </c>
      <c r="AK2223" t="s">
        <v>805</v>
      </c>
      <c r="AL2223">
        <v>-117.037976</v>
      </c>
      <c r="AM2223">
        <v>100</v>
      </c>
      <c r="AN2223">
        <v>7600</v>
      </c>
      <c r="AO2223" t="s">
        <v>118</v>
      </c>
      <c r="AP2223">
        <v>-88</v>
      </c>
      <c r="AQ2223">
        <v>-77</v>
      </c>
      <c r="AR2223">
        <v>-1152</v>
      </c>
      <c r="AZ2223">
        <v>1200</v>
      </c>
      <c r="BA2223">
        <v>1</v>
      </c>
      <c r="BB2223" t="str">
        <f t="shared" si="1201"/>
        <v xml:space="preserve">N9217B  </v>
      </c>
      <c r="BC2223">
        <v>1</v>
      </c>
      <c r="BE2223">
        <v>0</v>
      </c>
      <c r="BF2223">
        <v>0</v>
      </c>
      <c r="BG2223">
        <v>0</v>
      </c>
      <c r="BH2223">
        <v>7550</v>
      </c>
      <c r="BI2223">
        <v>1</v>
      </c>
      <c r="BJ2223">
        <v>0</v>
      </c>
      <c r="BK2223">
        <v>0</v>
      </c>
      <c r="BL2223">
        <v>0</v>
      </c>
      <c r="BO2223">
        <v>0</v>
      </c>
      <c r="BP2223">
        <v>0</v>
      </c>
      <c r="BW2223" t="str">
        <f t="shared" si="1223"/>
        <v>14:54:31.641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6</v>
      </c>
      <c r="CP2223" t="s">
        <v>119</v>
      </c>
      <c r="CQ2223">
        <v>285</v>
      </c>
      <c r="CR2223">
        <v>0</v>
      </c>
      <c r="CW2223">
        <v>8863262</v>
      </c>
      <c r="CY2223">
        <v>0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25">
      <c r="A2224" t="str">
        <f t="shared" si="1220"/>
        <v>06/05/2020 14:54:25.991</v>
      </c>
      <c r="C2224" t="str">
        <f t="shared" si="1216"/>
        <v>FFDFD3C0</v>
      </c>
      <c r="D2224" t="s">
        <v>148</v>
      </c>
      <c r="E2224">
        <v>8</v>
      </c>
      <c r="H2224">
        <v>50</v>
      </c>
      <c r="I2224" t="s">
        <v>149</v>
      </c>
      <c r="J2224" t="s">
        <v>150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221"/>
        <v>14:54:31.633</v>
      </c>
      <c r="T2224" t="str">
        <f t="shared" si="1222"/>
        <v>14:54:31.433</v>
      </c>
      <c r="U2224" t="str">
        <f t="shared" si="1200"/>
        <v>ACC530</v>
      </c>
      <c r="V2224">
        <v>0</v>
      </c>
      <c r="W2224">
        <v>0</v>
      </c>
      <c r="X2224">
        <v>1</v>
      </c>
      <c r="Z2224">
        <v>0</v>
      </c>
      <c r="AA2224">
        <v>9</v>
      </c>
      <c r="AB2224">
        <v>3</v>
      </c>
      <c r="AC2224">
        <v>0</v>
      </c>
      <c r="AD2224">
        <v>9</v>
      </c>
      <c r="AE2224">
        <v>0</v>
      </c>
      <c r="AF2224">
        <v>3</v>
      </c>
      <c r="AG2224">
        <v>1</v>
      </c>
      <c r="AH2224">
        <v>0</v>
      </c>
      <c r="AI2224" t="s">
        <v>804</v>
      </c>
      <c r="AJ2224">
        <v>34.162115999999997</v>
      </c>
      <c r="AK2224" t="s">
        <v>805</v>
      </c>
      <c r="AL2224">
        <v>-117.037976</v>
      </c>
      <c r="AM2224">
        <v>100</v>
      </c>
      <c r="AN2224">
        <v>7600</v>
      </c>
      <c r="AO2224" t="s">
        <v>118</v>
      </c>
      <c r="AP2224">
        <v>-88</v>
      </c>
      <c r="AQ2224">
        <v>-77</v>
      </c>
      <c r="AR2224">
        <v>-1152</v>
      </c>
      <c r="AZ2224">
        <v>1200</v>
      </c>
      <c r="BA2224">
        <v>1</v>
      </c>
      <c r="BB2224" t="str">
        <f t="shared" si="1201"/>
        <v xml:space="preserve">N9217B  </v>
      </c>
      <c r="BC2224">
        <v>1</v>
      </c>
      <c r="BE2224">
        <v>0</v>
      </c>
      <c r="BF2224">
        <v>0</v>
      </c>
      <c r="BG2224">
        <v>0</v>
      </c>
      <c r="BH2224">
        <v>7550</v>
      </c>
      <c r="BI2224">
        <v>1</v>
      </c>
      <c r="BJ2224">
        <v>0</v>
      </c>
      <c r="BK2224">
        <v>0</v>
      </c>
      <c r="BL2224">
        <v>0</v>
      </c>
      <c r="BO2224">
        <v>0</v>
      </c>
      <c r="BP2224">
        <v>0</v>
      </c>
      <c r="BW2224" t="str">
        <f t="shared" si="1223"/>
        <v>14:54:31.641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6</v>
      </c>
      <c r="CP2224" t="s">
        <v>119</v>
      </c>
      <c r="CQ2224">
        <v>285</v>
      </c>
      <c r="CR2224">
        <v>0</v>
      </c>
      <c r="CW2224">
        <v>8863262</v>
      </c>
      <c r="CY2224">
        <v>0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25">
      <c r="A2225" t="str">
        <f t="shared" si="1220"/>
        <v>06/05/2020 14:54:25.991</v>
      </c>
      <c r="C2225" t="str">
        <f t="shared" si="1216"/>
        <v>FFDFD3C0</v>
      </c>
      <c r="D2225" t="s">
        <v>113</v>
      </c>
      <c r="E2225">
        <v>3</v>
      </c>
      <c r="H2225">
        <v>166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221"/>
        <v>14:54:31.633</v>
      </c>
      <c r="T2225" t="str">
        <f t="shared" si="1222"/>
        <v>14:54:31.433</v>
      </c>
      <c r="U2225" t="str">
        <f t="shared" si="1200"/>
        <v>ACC530</v>
      </c>
      <c r="V2225">
        <v>0</v>
      </c>
      <c r="W2225">
        <v>0</v>
      </c>
      <c r="X2225">
        <v>1</v>
      </c>
      <c r="Z2225">
        <v>0</v>
      </c>
      <c r="AA2225">
        <v>9</v>
      </c>
      <c r="AB2225">
        <v>3</v>
      </c>
      <c r="AC2225">
        <v>0</v>
      </c>
      <c r="AD2225">
        <v>9</v>
      </c>
      <c r="AE2225">
        <v>0</v>
      </c>
      <c r="AF2225">
        <v>3</v>
      </c>
      <c r="AG2225">
        <v>1</v>
      </c>
      <c r="AH2225">
        <v>0</v>
      </c>
      <c r="AI2225" t="s">
        <v>804</v>
      </c>
      <c r="AJ2225">
        <v>34.162115999999997</v>
      </c>
      <c r="AK2225" t="s">
        <v>805</v>
      </c>
      <c r="AL2225">
        <v>-117.037976</v>
      </c>
      <c r="AM2225">
        <v>100</v>
      </c>
      <c r="AN2225">
        <v>7600</v>
      </c>
      <c r="AO2225" t="s">
        <v>118</v>
      </c>
      <c r="AP2225">
        <v>-88</v>
      </c>
      <c r="AQ2225">
        <v>-77</v>
      </c>
      <c r="AR2225">
        <v>-1152</v>
      </c>
      <c r="AZ2225">
        <v>1200</v>
      </c>
      <c r="BA2225">
        <v>1</v>
      </c>
      <c r="BB2225" t="str">
        <f t="shared" si="1201"/>
        <v xml:space="preserve">N9217B  </v>
      </c>
      <c r="BC2225">
        <v>1</v>
      </c>
      <c r="BE2225">
        <v>0</v>
      </c>
      <c r="BF2225">
        <v>0</v>
      </c>
      <c r="BG2225">
        <v>0</v>
      </c>
      <c r="BH2225">
        <v>7550</v>
      </c>
      <c r="BI2225">
        <v>1</v>
      </c>
      <c r="BJ2225">
        <v>0</v>
      </c>
      <c r="BK2225">
        <v>0</v>
      </c>
      <c r="BL2225">
        <v>0</v>
      </c>
      <c r="BO2225">
        <v>0</v>
      </c>
      <c r="BP2225">
        <v>0</v>
      </c>
      <c r="BW2225" t="str">
        <f t="shared" si="1223"/>
        <v>14:54:31.641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285</v>
      </c>
      <c r="CR2225">
        <v>0</v>
      </c>
      <c r="CW2225">
        <v>8863262</v>
      </c>
      <c r="CY2225">
        <v>0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25">
      <c r="A2226" t="str">
        <f t="shared" ref="A2226:A2232" si="1224">"06/05/2020 14:54:26.919"</f>
        <v>06/05/2020 14:54:26.919</v>
      </c>
      <c r="C2226" t="str">
        <f t="shared" si="1216"/>
        <v>FFDFD3C0</v>
      </c>
      <c r="D2226" t="s">
        <v>141</v>
      </c>
      <c r="E2226">
        <v>20</v>
      </c>
      <c r="F2226">
        <v>1020</v>
      </c>
      <c r="G2226" t="s">
        <v>114</v>
      </c>
      <c r="J2226" t="s">
        <v>142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ref="S2226:S2232" si="1225">"14:54:32.570"</f>
        <v>14:54:32.570</v>
      </c>
      <c r="T2226" t="str">
        <f t="shared" ref="T2226:T2232" si="1226">"14:54:32.370"</f>
        <v>14:54:32.370</v>
      </c>
      <c r="U2226" t="str">
        <f t="shared" si="1200"/>
        <v>ACC530</v>
      </c>
      <c r="V2226">
        <v>0</v>
      </c>
      <c r="W2226">
        <v>0</v>
      </c>
      <c r="X2226">
        <v>1</v>
      </c>
      <c r="Z2226">
        <v>0</v>
      </c>
      <c r="AA2226">
        <v>9</v>
      </c>
      <c r="AB2226">
        <v>3</v>
      </c>
      <c r="AC2226">
        <v>0</v>
      </c>
      <c r="AD2226">
        <v>9</v>
      </c>
      <c r="AE2226">
        <v>0</v>
      </c>
      <c r="AF2226">
        <v>3</v>
      </c>
      <c r="AG2226">
        <v>1</v>
      </c>
      <c r="AH2226">
        <v>0</v>
      </c>
      <c r="AI2226" t="s">
        <v>806</v>
      </c>
      <c r="AJ2226">
        <v>34.161794</v>
      </c>
      <c r="AK2226" t="s">
        <v>807</v>
      </c>
      <c r="AL2226">
        <v>-117.038448</v>
      </c>
      <c r="AM2226">
        <v>100</v>
      </c>
      <c r="AN2226">
        <v>7600</v>
      </c>
      <c r="AO2226" t="s">
        <v>118</v>
      </c>
      <c r="AP2226">
        <v>-88</v>
      </c>
      <c r="AQ2226">
        <v>-78</v>
      </c>
      <c r="AR2226">
        <v>-1152</v>
      </c>
      <c r="AZ2226">
        <v>1200</v>
      </c>
      <c r="BA2226">
        <v>1</v>
      </c>
      <c r="BB2226" t="str">
        <f t="shared" si="1201"/>
        <v xml:space="preserve">N9217B  </v>
      </c>
      <c r="BC2226">
        <v>1</v>
      </c>
      <c r="BE2226">
        <v>0</v>
      </c>
      <c r="BF2226">
        <v>0</v>
      </c>
      <c r="BG2226">
        <v>0</v>
      </c>
      <c r="BH2226">
        <v>7525</v>
      </c>
      <c r="BI2226">
        <v>1</v>
      </c>
      <c r="BJ2226">
        <v>0</v>
      </c>
      <c r="BK2226">
        <v>0</v>
      </c>
      <c r="BL2226">
        <v>0</v>
      </c>
      <c r="BO2226">
        <v>0</v>
      </c>
      <c r="BP2226">
        <v>0</v>
      </c>
      <c r="BW2226" t="str">
        <f t="shared" ref="BW2226:BW2232" si="1227">"14:54:32.570"</f>
        <v>14:54:32.570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6</v>
      </c>
      <c r="CP2226" t="s">
        <v>119</v>
      </c>
      <c r="CQ2226">
        <v>285</v>
      </c>
      <c r="CR2226">
        <v>0</v>
      </c>
      <c r="CW2226">
        <v>8863350</v>
      </c>
      <c r="CY2226">
        <v>0</v>
      </c>
      <c r="CZ2226">
        <v>0</v>
      </c>
      <c r="DA2226">
        <v>0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25">
      <c r="A2227" t="str">
        <f t="shared" si="1224"/>
        <v>06/05/2020 14:54:26.919</v>
      </c>
      <c r="C2227" t="str">
        <f t="shared" si="1216"/>
        <v>FFDFD3C0</v>
      </c>
      <c r="D2227" t="s">
        <v>151</v>
      </c>
      <c r="E2227">
        <v>9</v>
      </c>
      <c r="H2227">
        <v>226</v>
      </c>
      <c r="I2227" t="s">
        <v>152</v>
      </c>
      <c r="J2227" t="s">
        <v>150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225"/>
        <v>14:54:32.570</v>
      </c>
      <c r="T2227" t="str">
        <f t="shared" si="1226"/>
        <v>14:54:32.370</v>
      </c>
      <c r="U2227" t="str">
        <f t="shared" si="1200"/>
        <v>ACC530</v>
      </c>
      <c r="V2227">
        <v>0</v>
      </c>
      <c r="W2227">
        <v>0</v>
      </c>
      <c r="X2227">
        <v>1</v>
      </c>
      <c r="Z2227">
        <v>0</v>
      </c>
      <c r="AA2227">
        <v>9</v>
      </c>
      <c r="AB2227">
        <v>3</v>
      </c>
      <c r="AC2227">
        <v>0</v>
      </c>
      <c r="AD2227">
        <v>9</v>
      </c>
      <c r="AE2227">
        <v>0</v>
      </c>
      <c r="AF2227">
        <v>3</v>
      </c>
      <c r="AG2227">
        <v>1</v>
      </c>
      <c r="AH2227">
        <v>0</v>
      </c>
      <c r="AI2227" t="s">
        <v>806</v>
      </c>
      <c r="AJ2227">
        <v>34.161794</v>
      </c>
      <c r="AK2227" t="s">
        <v>807</v>
      </c>
      <c r="AL2227">
        <v>-117.038448</v>
      </c>
      <c r="AM2227">
        <v>100</v>
      </c>
      <c r="AN2227">
        <v>7600</v>
      </c>
      <c r="AO2227" t="s">
        <v>118</v>
      </c>
      <c r="AP2227">
        <v>-88</v>
      </c>
      <c r="AQ2227">
        <v>-78</v>
      </c>
      <c r="AR2227">
        <v>-1152</v>
      </c>
      <c r="AZ2227">
        <v>1200</v>
      </c>
      <c r="BA2227">
        <v>1</v>
      </c>
      <c r="BB2227" t="str">
        <f t="shared" si="1201"/>
        <v xml:space="preserve">N9217B  </v>
      </c>
      <c r="BC2227">
        <v>1</v>
      </c>
      <c r="BE2227">
        <v>0</v>
      </c>
      <c r="BF2227">
        <v>0</v>
      </c>
      <c r="BG2227">
        <v>0</v>
      </c>
      <c r="BH2227">
        <v>7525</v>
      </c>
      <c r="BI2227">
        <v>1</v>
      </c>
      <c r="BJ2227">
        <v>0</v>
      </c>
      <c r="BK2227">
        <v>0</v>
      </c>
      <c r="BL2227">
        <v>0</v>
      </c>
      <c r="BO2227">
        <v>0</v>
      </c>
      <c r="BP2227">
        <v>0</v>
      </c>
      <c r="BW2227" t="str">
        <f t="shared" si="1227"/>
        <v>14:54:32.570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6</v>
      </c>
      <c r="CP2227" t="s">
        <v>119</v>
      </c>
      <c r="CQ2227">
        <v>285</v>
      </c>
      <c r="CR2227">
        <v>0</v>
      </c>
      <c r="CW2227">
        <v>8863350</v>
      </c>
      <c r="CY2227">
        <v>0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25">
      <c r="A2228" t="str">
        <f t="shared" si="1224"/>
        <v>06/05/2020 14:54:26.919</v>
      </c>
      <c r="C2228" t="str">
        <f t="shared" si="1216"/>
        <v>FFDFD3C0</v>
      </c>
      <c r="D2228" t="s">
        <v>113</v>
      </c>
      <c r="E2228">
        <v>3</v>
      </c>
      <c r="H2228">
        <v>166</v>
      </c>
      <c r="I2228" t="s">
        <v>114</v>
      </c>
      <c r="J2228" t="s">
        <v>115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1225"/>
        <v>14:54:32.570</v>
      </c>
      <c r="T2228" t="str">
        <f t="shared" si="1226"/>
        <v>14:54:32.370</v>
      </c>
      <c r="U2228" t="str">
        <f t="shared" si="1200"/>
        <v>ACC530</v>
      </c>
      <c r="V2228">
        <v>0</v>
      </c>
      <c r="W2228">
        <v>0</v>
      </c>
      <c r="X2228">
        <v>1</v>
      </c>
      <c r="Z2228">
        <v>0</v>
      </c>
      <c r="AA2228">
        <v>9</v>
      </c>
      <c r="AB2228">
        <v>3</v>
      </c>
      <c r="AC2228">
        <v>0</v>
      </c>
      <c r="AD2228">
        <v>9</v>
      </c>
      <c r="AE2228">
        <v>0</v>
      </c>
      <c r="AF2228">
        <v>3</v>
      </c>
      <c r="AG2228">
        <v>1</v>
      </c>
      <c r="AH2228">
        <v>0</v>
      </c>
      <c r="AI2228" t="s">
        <v>806</v>
      </c>
      <c r="AJ2228">
        <v>34.161794</v>
      </c>
      <c r="AK2228" t="s">
        <v>807</v>
      </c>
      <c r="AL2228">
        <v>-117.038448</v>
      </c>
      <c r="AM2228">
        <v>100</v>
      </c>
      <c r="AN2228">
        <v>7600</v>
      </c>
      <c r="AO2228" t="s">
        <v>118</v>
      </c>
      <c r="AP2228">
        <v>-88</v>
      </c>
      <c r="AQ2228">
        <v>-78</v>
      </c>
      <c r="AR2228">
        <v>-1152</v>
      </c>
      <c r="AZ2228">
        <v>1200</v>
      </c>
      <c r="BA2228">
        <v>1</v>
      </c>
      <c r="BB2228" t="str">
        <f t="shared" si="1201"/>
        <v xml:space="preserve">N9217B  </v>
      </c>
      <c r="BC2228">
        <v>1</v>
      </c>
      <c r="BE2228">
        <v>0</v>
      </c>
      <c r="BF2228">
        <v>0</v>
      </c>
      <c r="BG2228">
        <v>0</v>
      </c>
      <c r="BH2228">
        <v>7525</v>
      </c>
      <c r="BI2228">
        <v>1</v>
      </c>
      <c r="BJ2228">
        <v>0</v>
      </c>
      <c r="BK2228">
        <v>0</v>
      </c>
      <c r="BL2228">
        <v>0</v>
      </c>
      <c r="BO2228">
        <v>0</v>
      </c>
      <c r="BP2228">
        <v>0</v>
      </c>
      <c r="BW2228" t="str">
        <f t="shared" si="1227"/>
        <v>14:54:32.570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6</v>
      </c>
      <c r="CP2228" t="s">
        <v>119</v>
      </c>
      <c r="CQ2228">
        <v>285</v>
      </c>
      <c r="CR2228">
        <v>0</v>
      </c>
      <c r="CW2228">
        <v>8863350</v>
      </c>
      <c r="CY2228">
        <v>0</v>
      </c>
      <c r="CZ2228">
        <v>0</v>
      </c>
      <c r="DA2228">
        <v>1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25">
      <c r="A2229" t="str">
        <f t="shared" si="1224"/>
        <v>06/05/2020 14:54:26.919</v>
      </c>
      <c r="C2229" t="str">
        <f t="shared" si="1216"/>
        <v>FFDFD3C0</v>
      </c>
      <c r="D2229" t="s">
        <v>148</v>
      </c>
      <c r="E2229">
        <v>8</v>
      </c>
      <c r="H2229">
        <v>50</v>
      </c>
      <c r="I2229" t="s">
        <v>149</v>
      </c>
      <c r="J2229" t="s">
        <v>150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225"/>
        <v>14:54:32.570</v>
      </c>
      <c r="T2229" t="str">
        <f t="shared" si="1226"/>
        <v>14:54:32.370</v>
      </c>
      <c r="U2229" t="str">
        <f t="shared" si="1200"/>
        <v>ACC530</v>
      </c>
      <c r="V2229">
        <v>0</v>
      </c>
      <c r="W2229">
        <v>0</v>
      </c>
      <c r="X2229">
        <v>1</v>
      </c>
      <c r="Z2229">
        <v>0</v>
      </c>
      <c r="AA2229">
        <v>9</v>
      </c>
      <c r="AB2229">
        <v>3</v>
      </c>
      <c r="AC2229">
        <v>0</v>
      </c>
      <c r="AD2229">
        <v>9</v>
      </c>
      <c r="AE2229">
        <v>0</v>
      </c>
      <c r="AF2229">
        <v>3</v>
      </c>
      <c r="AG2229">
        <v>1</v>
      </c>
      <c r="AH2229">
        <v>0</v>
      </c>
      <c r="AI2229" t="s">
        <v>806</v>
      </c>
      <c r="AJ2229">
        <v>34.161794</v>
      </c>
      <c r="AK2229" t="s">
        <v>807</v>
      </c>
      <c r="AL2229">
        <v>-117.038448</v>
      </c>
      <c r="AM2229">
        <v>100</v>
      </c>
      <c r="AN2229">
        <v>7600</v>
      </c>
      <c r="AO2229" t="s">
        <v>118</v>
      </c>
      <c r="AP2229">
        <v>-88</v>
      </c>
      <c r="AQ2229">
        <v>-78</v>
      </c>
      <c r="AR2229">
        <v>-1152</v>
      </c>
      <c r="AZ2229">
        <v>1200</v>
      </c>
      <c r="BA2229">
        <v>1</v>
      </c>
      <c r="BB2229" t="str">
        <f t="shared" si="1201"/>
        <v xml:space="preserve">N9217B  </v>
      </c>
      <c r="BC2229">
        <v>1</v>
      </c>
      <c r="BE2229">
        <v>0</v>
      </c>
      <c r="BF2229">
        <v>0</v>
      </c>
      <c r="BG2229">
        <v>0</v>
      </c>
      <c r="BH2229">
        <v>7525</v>
      </c>
      <c r="BI2229">
        <v>1</v>
      </c>
      <c r="BJ2229">
        <v>0</v>
      </c>
      <c r="BK2229">
        <v>0</v>
      </c>
      <c r="BL2229">
        <v>0</v>
      </c>
      <c r="BO2229">
        <v>0</v>
      </c>
      <c r="BP2229">
        <v>0</v>
      </c>
      <c r="BW2229" t="str">
        <f t="shared" si="1227"/>
        <v>14:54:32.570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285</v>
      </c>
      <c r="CR2229">
        <v>0</v>
      </c>
      <c r="CW2229">
        <v>8863350</v>
      </c>
      <c r="CY2229">
        <v>0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25">
      <c r="A2230" t="str">
        <f t="shared" si="1224"/>
        <v>06/05/2020 14:54:26.919</v>
      </c>
      <c r="C2230" t="str">
        <f t="shared" si="1216"/>
        <v>FFDFD3C0</v>
      </c>
      <c r="D2230" t="s">
        <v>148</v>
      </c>
      <c r="E2230">
        <v>11</v>
      </c>
      <c r="H2230">
        <v>53</v>
      </c>
      <c r="I2230" t="s">
        <v>364</v>
      </c>
      <c r="J2230" t="s">
        <v>150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225"/>
        <v>14:54:32.570</v>
      </c>
      <c r="T2230" t="str">
        <f t="shared" si="1226"/>
        <v>14:54:32.370</v>
      </c>
      <c r="U2230" t="str">
        <f t="shared" si="1200"/>
        <v>ACC530</v>
      </c>
      <c r="V2230">
        <v>0</v>
      </c>
      <c r="W2230">
        <v>0</v>
      </c>
      <c r="X2230">
        <v>1</v>
      </c>
      <c r="Z2230">
        <v>0</v>
      </c>
      <c r="AA2230">
        <v>9</v>
      </c>
      <c r="AB2230">
        <v>3</v>
      </c>
      <c r="AC2230">
        <v>0</v>
      </c>
      <c r="AD2230">
        <v>9</v>
      </c>
      <c r="AE2230">
        <v>0</v>
      </c>
      <c r="AF2230">
        <v>3</v>
      </c>
      <c r="AG2230">
        <v>1</v>
      </c>
      <c r="AH2230">
        <v>0</v>
      </c>
      <c r="AI2230" t="s">
        <v>806</v>
      </c>
      <c r="AJ2230">
        <v>34.161794</v>
      </c>
      <c r="AK2230" t="s">
        <v>807</v>
      </c>
      <c r="AL2230">
        <v>-117.038448</v>
      </c>
      <c r="AM2230">
        <v>100</v>
      </c>
      <c r="AN2230">
        <v>7600</v>
      </c>
      <c r="AO2230" t="s">
        <v>118</v>
      </c>
      <c r="AP2230">
        <v>-88</v>
      </c>
      <c r="AQ2230">
        <v>-78</v>
      </c>
      <c r="AR2230">
        <v>-1152</v>
      </c>
      <c r="AZ2230">
        <v>1200</v>
      </c>
      <c r="BA2230">
        <v>1</v>
      </c>
      <c r="BB2230" t="str">
        <f t="shared" si="1201"/>
        <v xml:space="preserve">N9217B  </v>
      </c>
      <c r="BC2230">
        <v>1</v>
      </c>
      <c r="BE2230">
        <v>0</v>
      </c>
      <c r="BF2230">
        <v>0</v>
      </c>
      <c r="BG2230">
        <v>0</v>
      </c>
      <c r="BH2230">
        <v>7525</v>
      </c>
      <c r="BI2230">
        <v>1</v>
      </c>
      <c r="BJ2230">
        <v>0</v>
      </c>
      <c r="BK2230">
        <v>0</v>
      </c>
      <c r="BL2230">
        <v>0</v>
      </c>
      <c r="BO2230">
        <v>0</v>
      </c>
      <c r="BP2230">
        <v>0</v>
      </c>
      <c r="BW2230" t="str">
        <f t="shared" si="1227"/>
        <v>14:54:32.570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6</v>
      </c>
      <c r="CP2230" t="s">
        <v>119</v>
      </c>
      <c r="CQ2230">
        <v>285</v>
      </c>
      <c r="CR2230">
        <v>0</v>
      </c>
      <c r="CW2230">
        <v>8863350</v>
      </c>
      <c r="CY2230">
        <v>0</v>
      </c>
      <c r="CZ2230">
        <v>0</v>
      </c>
      <c r="DA2230">
        <v>1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25">
      <c r="A2231" t="str">
        <f t="shared" si="1224"/>
        <v>06/05/2020 14:54:26.919</v>
      </c>
      <c r="C2231" t="str">
        <f t="shared" si="1216"/>
        <v>FFDFD3C0</v>
      </c>
      <c r="D2231" t="s">
        <v>134</v>
      </c>
      <c r="E2231">
        <v>7</v>
      </c>
      <c r="F2231">
        <v>2007</v>
      </c>
      <c r="G2231" t="s">
        <v>135</v>
      </c>
      <c r="J2231" t="s">
        <v>136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225"/>
        <v>14:54:32.570</v>
      </c>
      <c r="T2231" t="str">
        <f t="shared" si="1226"/>
        <v>14:54:32.370</v>
      </c>
      <c r="U2231" t="str">
        <f t="shared" si="1200"/>
        <v>ACC530</v>
      </c>
      <c r="V2231">
        <v>0</v>
      </c>
      <c r="W2231">
        <v>0</v>
      </c>
      <c r="X2231">
        <v>1</v>
      </c>
      <c r="Z2231">
        <v>0</v>
      </c>
      <c r="AA2231">
        <v>9</v>
      </c>
      <c r="AB2231">
        <v>3</v>
      </c>
      <c r="AC2231">
        <v>0</v>
      </c>
      <c r="AD2231">
        <v>9</v>
      </c>
      <c r="AE2231">
        <v>0</v>
      </c>
      <c r="AF2231">
        <v>3</v>
      </c>
      <c r="AG2231">
        <v>1</v>
      </c>
      <c r="AH2231">
        <v>0</v>
      </c>
      <c r="AI2231" t="s">
        <v>806</v>
      </c>
      <c r="AJ2231">
        <v>34.161794</v>
      </c>
      <c r="AK2231" t="s">
        <v>807</v>
      </c>
      <c r="AL2231">
        <v>-117.038448</v>
      </c>
      <c r="AM2231">
        <v>100</v>
      </c>
      <c r="AN2231">
        <v>7600</v>
      </c>
      <c r="AO2231" t="s">
        <v>118</v>
      </c>
      <c r="AP2231">
        <v>-88</v>
      </c>
      <c r="AQ2231">
        <v>-78</v>
      </c>
      <c r="AR2231">
        <v>-1152</v>
      </c>
      <c r="AZ2231">
        <v>1200</v>
      </c>
      <c r="BA2231">
        <v>1</v>
      </c>
      <c r="BB2231" t="str">
        <f t="shared" si="1201"/>
        <v xml:space="preserve">N9217B  </v>
      </c>
      <c r="BC2231">
        <v>1</v>
      </c>
      <c r="BE2231">
        <v>0</v>
      </c>
      <c r="BF2231">
        <v>0</v>
      </c>
      <c r="BG2231">
        <v>0</v>
      </c>
      <c r="BH2231">
        <v>7525</v>
      </c>
      <c r="BI2231">
        <v>1</v>
      </c>
      <c r="BJ2231">
        <v>0</v>
      </c>
      <c r="BK2231">
        <v>0</v>
      </c>
      <c r="BL2231">
        <v>0</v>
      </c>
      <c r="BO2231">
        <v>0</v>
      </c>
      <c r="BP2231">
        <v>0</v>
      </c>
      <c r="BW2231" t="str">
        <f t="shared" si="1227"/>
        <v>14:54:32.570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6</v>
      </c>
      <c r="CP2231" t="s">
        <v>119</v>
      </c>
      <c r="CQ2231">
        <v>285</v>
      </c>
      <c r="CR2231">
        <v>0</v>
      </c>
      <c r="CW2231">
        <v>8863350</v>
      </c>
      <c r="CY2231">
        <v>0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25">
      <c r="A2232" t="str">
        <f t="shared" si="1224"/>
        <v>06/05/2020 14:54:26.919</v>
      </c>
      <c r="C2232" t="str">
        <f t="shared" si="1216"/>
        <v>FFDFD3C0</v>
      </c>
      <c r="D2232" t="s">
        <v>151</v>
      </c>
      <c r="E2232">
        <v>8</v>
      </c>
      <c r="H2232">
        <v>225</v>
      </c>
      <c r="I2232" t="s">
        <v>353</v>
      </c>
      <c r="J2232" t="s">
        <v>150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225"/>
        <v>14:54:32.570</v>
      </c>
      <c r="T2232" t="str">
        <f t="shared" si="1226"/>
        <v>14:54:32.370</v>
      </c>
      <c r="U2232" t="str">
        <f t="shared" si="1200"/>
        <v>ACC530</v>
      </c>
      <c r="V2232">
        <v>0</v>
      </c>
      <c r="W2232">
        <v>0</v>
      </c>
      <c r="X2232">
        <v>1</v>
      </c>
      <c r="Z2232">
        <v>0</v>
      </c>
      <c r="AA2232">
        <v>9</v>
      </c>
      <c r="AB2232">
        <v>3</v>
      </c>
      <c r="AC2232">
        <v>0</v>
      </c>
      <c r="AD2232">
        <v>9</v>
      </c>
      <c r="AE2232">
        <v>0</v>
      </c>
      <c r="AF2232">
        <v>3</v>
      </c>
      <c r="AG2232">
        <v>1</v>
      </c>
      <c r="AH2232">
        <v>0</v>
      </c>
      <c r="AI2232" t="s">
        <v>806</v>
      </c>
      <c r="AJ2232">
        <v>34.161794</v>
      </c>
      <c r="AK2232" t="s">
        <v>807</v>
      </c>
      <c r="AL2232">
        <v>-117.038448</v>
      </c>
      <c r="AM2232">
        <v>100</v>
      </c>
      <c r="AN2232">
        <v>7600</v>
      </c>
      <c r="AO2232" t="s">
        <v>118</v>
      </c>
      <c r="AP2232">
        <v>-88</v>
      </c>
      <c r="AQ2232">
        <v>-78</v>
      </c>
      <c r="AR2232">
        <v>-1152</v>
      </c>
      <c r="AZ2232">
        <v>1200</v>
      </c>
      <c r="BA2232">
        <v>1</v>
      </c>
      <c r="BB2232" t="str">
        <f t="shared" si="1201"/>
        <v xml:space="preserve">N9217B  </v>
      </c>
      <c r="BC2232">
        <v>1</v>
      </c>
      <c r="BE2232">
        <v>0</v>
      </c>
      <c r="BF2232">
        <v>0</v>
      </c>
      <c r="BG2232">
        <v>0</v>
      </c>
      <c r="BH2232">
        <v>7525</v>
      </c>
      <c r="BI2232">
        <v>1</v>
      </c>
      <c r="BJ2232">
        <v>0</v>
      </c>
      <c r="BK2232">
        <v>0</v>
      </c>
      <c r="BL2232">
        <v>0</v>
      </c>
      <c r="BO2232">
        <v>0</v>
      </c>
      <c r="BP2232">
        <v>0</v>
      </c>
      <c r="BW2232" t="str">
        <f t="shared" si="1227"/>
        <v>14:54:32.570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6</v>
      </c>
      <c r="CP2232" t="s">
        <v>119</v>
      </c>
      <c r="CQ2232">
        <v>285</v>
      </c>
      <c r="CR2232">
        <v>0</v>
      </c>
      <c r="CW2232">
        <v>8863350</v>
      </c>
      <c r="CY2232">
        <v>0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25">
      <c r="A2233" t="str">
        <f t="shared" ref="A2233:A2239" si="1228">"06/05/2020 14:54:27.855"</f>
        <v>06/05/2020 14:54:27.855</v>
      </c>
      <c r="C2233" t="str">
        <f t="shared" si="1216"/>
        <v>FFDFD3C0</v>
      </c>
      <c r="D2233" t="s">
        <v>148</v>
      </c>
      <c r="E2233">
        <v>8</v>
      </c>
      <c r="H2233">
        <v>50</v>
      </c>
      <c r="I2233" t="s">
        <v>149</v>
      </c>
      <c r="J2233" t="s">
        <v>150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ref="S2233:T2239" si="1229">"14:54:33.484"</f>
        <v>14:54:33.484</v>
      </c>
      <c r="T2233" t="str">
        <f t="shared" si="1229"/>
        <v>14:54:33.484</v>
      </c>
      <c r="U2233" t="str">
        <f t="shared" si="1200"/>
        <v>ACC530</v>
      </c>
      <c r="V2233">
        <v>0</v>
      </c>
      <c r="W2233">
        <v>0</v>
      </c>
      <c r="X2233">
        <v>1</v>
      </c>
      <c r="Z2233">
        <v>0</v>
      </c>
      <c r="AA2233">
        <v>9</v>
      </c>
      <c r="AB2233">
        <v>3</v>
      </c>
      <c r="AC2233">
        <v>0</v>
      </c>
      <c r="AD2233">
        <v>9</v>
      </c>
      <c r="AE2233">
        <v>0</v>
      </c>
      <c r="AF2233">
        <v>3</v>
      </c>
      <c r="AG2233">
        <v>1</v>
      </c>
      <c r="AH2233">
        <v>0</v>
      </c>
      <c r="AI2233" t="s">
        <v>808</v>
      </c>
      <c r="AJ2233">
        <v>34.161472000000003</v>
      </c>
      <c r="AK2233" t="s">
        <v>809</v>
      </c>
      <c r="AL2233">
        <v>-117.038898</v>
      </c>
      <c r="AM2233">
        <v>100</v>
      </c>
      <c r="AN2233">
        <v>7500</v>
      </c>
      <c r="AO2233" t="s">
        <v>118</v>
      </c>
      <c r="AP2233">
        <v>-87</v>
      </c>
      <c r="AQ2233">
        <v>-79</v>
      </c>
      <c r="AR2233">
        <v>-1152</v>
      </c>
      <c r="AZ2233">
        <v>1200</v>
      </c>
      <c r="BA2233">
        <v>1</v>
      </c>
      <c r="BB2233" t="str">
        <f t="shared" si="1201"/>
        <v xml:space="preserve">N9217B  </v>
      </c>
      <c r="BC2233">
        <v>1</v>
      </c>
      <c r="BE2233">
        <v>0</v>
      </c>
      <c r="BF2233">
        <v>0</v>
      </c>
      <c r="BG2233">
        <v>0</v>
      </c>
      <c r="BH2233">
        <v>7500</v>
      </c>
      <c r="BI2233">
        <v>1</v>
      </c>
      <c r="BJ2233">
        <v>0</v>
      </c>
      <c r="BK2233">
        <v>0</v>
      </c>
      <c r="BL2233">
        <v>0</v>
      </c>
      <c r="BO2233">
        <v>0</v>
      </c>
      <c r="BP2233">
        <v>0</v>
      </c>
      <c r="BW2233" t="str">
        <f t="shared" ref="BW2233:BW2239" si="1230">"14:54:33.485"</f>
        <v>14:54:33.485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6</v>
      </c>
      <c r="CP2233" t="s">
        <v>119</v>
      </c>
      <c r="CQ2233">
        <v>285</v>
      </c>
      <c r="CR2233">
        <v>0</v>
      </c>
      <c r="CW2233">
        <v>8863431</v>
      </c>
      <c r="CY2233">
        <v>0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25">
      <c r="A2234" t="str">
        <f t="shared" si="1228"/>
        <v>06/05/2020 14:54:27.855</v>
      </c>
      <c r="C2234" t="str">
        <f t="shared" si="1216"/>
        <v>FFDFD3C0</v>
      </c>
      <c r="D2234" t="s">
        <v>134</v>
      </c>
      <c r="E2234">
        <v>7</v>
      </c>
      <c r="F2234">
        <v>2007</v>
      </c>
      <c r="G2234" t="s">
        <v>135</v>
      </c>
      <c r="J2234" t="s">
        <v>136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229"/>
        <v>14:54:33.484</v>
      </c>
      <c r="T2234" t="str">
        <f t="shared" si="1229"/>
        <v>14:54:33.484</v>
      </c>
      <c r="U2234" t="str">
        <f t="shared" si="1200"/>
        <v>ACC530</v>
      </c>
      <c r="V2234">
        <v>0</v>
      </c>
      <c r="W2234">
        <v>0</v>
      </c>
      <c r="X2234">
        <v>1</v>
      </c>
      <c r="Z2234">
        <v>0</v>
      </c>
      <c r="AA2234">
        <v>9</v>
      </c>
      <c r="AB2234">
        <v>3</v>
      </c>
      <c r="AC2234">
        <v>0</v>
      </c>
      <c r="AD2234">
        <v>9</v>
      </c>
      <c r="AE2234">
        <v>0</v>
      </c>
      <c r="AF2234">
        <v>3</v>
      </c>
      <c r="AG2234">
        <v>1</v>
      </c>
      <c r="AH2234">
        <v>0</v>
      </c>
      <c r="AI2234" t="s">
        <v>808</v>
      </c>
      <c r="AJ2234">
        <v>34.161472000000003</v>
      </c>
      <c r="AK2234" t="s">
        <v>809</v>
      </c>
      <c r="AL2234">
        <v>-117.038898</v>
      </c>
      <c r="AM2234">
        <v>100</v>
      </c>
      <c r="AN2234">
        <v>7500</v>
      </c>
      <c r="AO2234" t="s">
        <v>118</v>
      </c>
      <c r="AP2234">
        <v>-87</v>
      </c>
      <c r="AQ2234">
        <v>-79</v>
      </c>
      <c r="AR2234">
        <v>-1152</v>
      </c>
      <c r="AZ2234">
        <v>1200</v>
      </c>
      <c r="BA2234">
        <v>1</v>
      </c>
      <c r="BB2234" t="str">
        <f t="shared" si="1201"/>
        <v xml:space="preserve">N9217B  </v>
      </c>
      <c r="BC2234">
        <v>1</v>
      </c>
      <c r="BE2234">
        <v>0</v>
      </c>
      <c r="BF2234">
        <v>0</v>
      </c>
      <c r="BG2234">
        <v>0</v>
      </c>
      <c r="BH2234">
        <v>7500</v>
      </c>
      <c r="BI2234">
        <v>1</v>
      </c>
      <c r="BJ2234">
        <v>0</v>
      </c>
      <c r="BK2234">
        <v>0</v>
      </c>
      <c r="BL2234">
        <v>0</v>
      </c>
      <c r="BO2234">
        <v>0</v>
      </c>
      <c r="BP2234">
        <v>0</v>
      </c>
      <c r="BW2234" t="str">
        <f t="shared" si="1230"/>
        <v>14:54:33.485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6</v>
      </c>
      <c r="CP2234" t="s">
        <v>119</v>
      </c>
      <c r="CQ2234">
        <v>285</v>
      </c>
      <c r="CR2234">
        <v>0</v>
      </c>
      <c r="CW2234">
        <v>8863431</v>
      </c>
      <c r="CY2234">
        <v>0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25">
      <c r="A2235" t="str">
        <f t="shared" si="1228"/>
        <v>06/05/2020 14:54:27.855</v>
      </c>
      <c r="C2235" t="str">
        <f t="shared" si="1216"/>
        <v>FFDFD3C0</v>
      </c>
      <c r="D2235" t="s">
        <v>148</v>
      </c>
      <c r="E2235">
        <v>11</v>
      </c>
      <c r="H2235">
        <v>53</v>
      </c>
      <c r="I2235" t="s">
        <v>364</v>
      </c>
      <c r="J2235" t="s">
        <v>150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229"/>
        <v>14:54:33.484</v>
      </c>
      <c r="T2235" t="str">
        <f t="shared" si="1229"/>
        <v>14:54:33.484</v>
      </c>
      <c r="U2235" t="str">
        <f t="shared" si="1200"/>
        <v>ACC530</v>
      </c>
      <c r="V2235">
        <v>0</v>
      </c>
      <c r="W2235">
        <v>0</v>
      </c>
      <c r="X2235">
        <v>1</v>
      </c>
      <c r="Z2235">
        <v>0</v>
      </c>
      <c r="AA2235">
        <v>9</v>
      </c>
      <c r="AB2235">
        <v>3</v>
      </c>
      <c r="AC2235">
        <v>0</v>
      </c>
      <c r="AD2235">
        <v>9</v>
      </c>
      <c r="AE2235">
        <v>0</v>
      </c>
      <c r="AF2235">
        <v>3</v>
      </c>
      <c r="AG2235">
        <v>1</v>
      </c>
      <c r="AH2235">
        <v>0</v>
      </c>
      <c r="AI2235" t="s">
        <v>808</v>
      </c>
      <c r="AJ2235">
        <v>34.161472000000003</v>
      </c>
      <c r="AK2235" t="s">
        <v>809</v>
      </c>
      <c r="AL2235">
        <v>-117.038898</v>
      </c>
      <c r="AM2235">
        <v>100</v>
      </c>
      <c r="AN2235">
        <v>7500</v>
      </c>
      <c r="AO2235" t="s">
        <v>118</v>
      </c>
      <c r="AP2235">
        <v>-87</v>
      </c>
      <c r="AQ2235">
        <v>-79</v>
      </c>
      <c r="AR2235">
        <v>-1152</v>
      </c>
      <c r="AZ2235">
        <v>1200</v>
      </c>
      <c r="BA2235">
        <v>1</v>
      </c>
      <c r="BB2235" t="str">
        <f t="shared" si="1201"/>
        <v xml:space="preserve">N9217B  </v>
      </c>
      <c r="BC2235">
        <v>1</v>
      </c>
      <c r="BE2235">
        <v>0</v>
      </c>
      <c r="BF2235">
        <v>0</v>
      </c>
      <c r="BG2235">
        <v>0</v>
      </c>
      <c r="BH2235">
        <v>7500</v>
      </c>
      <c r="BI2235">
        <v>1</v>
      </c>
      <c r="BJ2235">
        <v>0</v>
      </c>
      <c r="BK2235">
        <v>0</v>
      </c>
      <c r="BL2235">
        <v>0</v>
      </c>
      <c r="BO2235">
        <v>0</v>
      </c>
      <c r="BP2235">
        <v>0</v>
      </c>
      <c r="BW2235" t="str">
        <f t="shared" si="1230"/>
        <v>14:54:33.485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6</v>
      </c>
      <c r="CP2235" t="s">
        <v>119</v>
      </c>
      <c r="CQ2235">
        <v>285</v>
      </c>
      <c r="CR2235">
        <v>0</v>
      </c>
      <c r="CW2235">
        <v>8863431</v>
      </c>
      <c r="CY2235">
        <v>0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25">
      <c r="A2236" t="str">
        <f t="shared" si="1228"/>
        <v>06/05/2020 14:54:27.855</v>
      </c>
      <c r="C2236" t="str">
        <f t="shared" si="1216"/>
        <v>FFDFD3C0</v>
      </c>
      <c r="D2236" t="s">
        <v>151</v>
      </c>
      <c r="E2236">
        <v>8</v>
      </c>
      <c r="H2236">
        <v>225</v>
      </c>
      <c r="I2236" t="s">
        <v>353</v>
      </c>
      <c r="J2236" t="s">
        <v>150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229"/>
        <v>14:54:33.484</v>
      </c>
      <c r="T2236" t="str">
        <f t="shared" si="1229"/>
        <v>14:54:33.484</v>
      </c>
      <c r="U2236" t="str">
        <f t="shared" si="1200"/>
        <v>ACC530</v>
      </c>
      <c r="V2236">
        <v>0</v>
      </c>
      <c r="W2236">
        <v>0</v>
      </c>
      <c r="X2236">
        <v>1</v>
      </c>
      <c r="Z2236">
        <v>0</v>
      </c>
      <c r="AA2236">
        <v>9</v>
      </c>
      <c r="AB2236">
        <v>3</v>
      </c>
      <c r="AC2236">
        <v>0</v>
      </c>
      <c r="AD2236">
        <v>9</v>
      </c>
      <c r="AE2236">
        <v>0</v>
      </c>
      <c r="AF2236">
        <v>3</v>
      </c>
      <c r="AG2236">
        <v>1</v>
      </c>
      <c r="AH2236">
        <v>0</v>
      </c>
      <c r="AI2236" t="s">
        <v>808</v>
      </c>
      <c r="AJ2236">
        <v>34.161472000000003</v>
      </c>
      <c r="AK2236" t="s">
        <v>809</v>
      </c>
      <c r="AL2236">
        <v>-117.038898</v>
      </c>
      <c r="AM2236">
        <v>100</v>
      </c>
      <c r="AN2236">
        <v>7500</v>
      </c>
      <c r="AO2236" t="s">
        <v>118</v>
      </c>
      <c r="AP2236">
        <v>-87</v>
      </c>
      <c r="AQ2236">
        <v>-79</v>
      </c>
      <c r="AR2236">
        <v>-1152</v>
      </c>
      <c r="AZ2236">
        <v>1200</v>
      </c>
      <c r="BA2236">
        <v>1</v>
      </c>
      <c r="BB2236" t="str">
        <f t="shared" si="1201"/>
        <v xml:space="preserve">N9217B  </v>
      </c>
      <c r="BC2236">
        <v>1</v>
      </c>
      <c r="BE2236">
        <v>0</v>
      </c>
      <c r="BF2236">
        <v>0</v>
      </c>
      <c r="BG2236">
        <v>0</v>
      </c>
      <c r="BH2236">
        <v>7500</v>
      </c>
      <c r="BI2236">
        <v>1</v>
      </c>
      <c r="BJ2236">
        <v>0</v>
      </c>
      <c r="BK2236">
        <v>0</v>
      </c>
      <c r="BL2236">
        <v>0</v>
      </c>
      <c r="BO2236">
        <v>0</v>
      </c>
      <c r="BP2236">
        <v>0</v>
      </c>
      <c r="BW2236" t="str">
        <f t="shared" si="1230"/>
        <v>14:54:33.485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6</v>
      </c>
      <c r="CP2236" t="s">
        <v>119</v>
      </c>
      <c r="CQ2236">
        <v>285</v>
      </c>
      <c r="CR2236">
        <v>0</v>
      </c>
      <c r="CW2236">
        <v>8863431</v>
      </c>
      <c r="CY2236">
        <v>0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25">
      <c r="A2237" t="str">
        <f t="shared" si="1228"/>
        <v>06/05/2020 14:54:27.855</v>
      </c>
      <c r="C2237" t="str">
        <f t="shared" si="1216"/>
        <v>FFDFD3C0</v>
      </c>
      <c r="D2237" t="s">
        <v>141</v>
      </c>
      <c r="E2237">
        <v>20</v>
      </c>
      <c r="F2237">
        <v>1020</v>
      </c>
      <c r="G2237" t="s">
        <v>114</v>
      </c>
      <c r="J2237" t="s">
        <v>142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229"/>
        <v>14:54:33.484</v>
      </c>
      <c r="T2237" t="str">
        <f t="shared" si="1229"/>
        <v>14:54:33.484</v>
      </c>
      <c r="U2237" t="str">
        <f t="shared" si="1200"/>
        <v>ACC530</v>
      </c>
      <c r="V2237">
        <v>0</v>
      </c>
      <c r="W2237">
        <v>0</v>
      </c>
      <c r="X2237">
        <v>1</v>
      </c>
      <c r="Z2237">
        <v>0</v>
      </c>
      <c r="AA2237">
        <v>9</v>
      </c>
      <c r="AB2237">
        <v>3</v>
      </c>
      <c r="AC2237">
        <v>0</v>
      </c>
      <c r="AD2237">
        <v>9</v>
      </c>
      <c r="AE2237">
        <v>0</v>
      </c>
      <c r="AF2237">
        <v>3</v>
      </c>
      <c r="AG2237">
        <v>1</v>
      </c>
      <c r="AH2237">
        <v>0</v>
      </c>
      <c r="AI2237" t="s">
        <v>808</v>
      </c>
      <c r="AJ2237">
        <v>34.161472000000003</v>
      </c>
      <c r="AK2237" t="s">
        <v>809</v>
      </c>
      <c r="AL2237">
        <v>-117.038898</v>
      </c>
      <c r="AM2237">
        <v>100</v>
      </c>
      <c r="AN2237">
        <v>7500</v>
      </c>
      <c r="AO2237" t="s">
        <v>118</v>
      </c>
      <c r="AP2237">
        <v>-87</v>
      </c>
      <c r="AQ2237">
        <v>-79</v>
      </c>
      <c r="AR2237">
        <v>-1152</v>
      </c>
      <c r="AZ2237">
        <v>1200</v>
      </c>
      <c r="BA2237">
        <v>1</v>
      </c>
      <c r="BB2237" t="str">
        <f t="shared" si="1201"/>
        <v xml:space="preserve">N9217B  </v>
      </c>
      <c r="BC2237">
        <v>1</v>
      </c>
      <c r="BE2237">
        <v>0</v>
      </c>
      <c r="BF2237">
        <v>0</v>
      </c>
      <c r="BG2237">
        <v>0</v>
      </c>
      <c r="BH2237">
        <v>7500</v>
      </c>
      <c r="BI2237">
        <v>1</v>
      </c>
      <c r="BJ2237">
        <v>0</v>
      </c>
      <c r="BK2237">
        <v>0</v>
      </c>
      <c r="BL2237">
        <v>0</v>
      </c>
      <c r="BO2237">
        <v>0</v>
      </c>
      <c r="BP2237">
        <v>0</v>
      </c>
      <c r="BW2237" t="str">
        <f t="shared" si="1230"/>
        <v>14:54:33.485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6</v>
      </c>
      <c r="CP2237" t="s">
        <v>119</v>
      </c>
      <c r="CQ2237">
        <v>285</v>
      </c>
      <c r="CR2237">
        <v>0</v>
      </c>
      <c r="CW2237">
        <v>8863431</v>
      </c>
      <c r="CY2237">
        <v>0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25">
      <c r="A2238" t="str">
        <f t="shared" si="1228"/>
        <v>06/05/2020 14:54:27.855</v>
      </c>
      <c r="C2238" t="str">
        <f t="shared" si="1216"/>
        <v>FFDFD3C0</v>
      </c>
      <c r="D2238" t="s">
        <v>151</v>
      </c>
      <c r="E2238">
        <v>9</v>
      </c>
      <c r="H2238">
        <v>226</v>
      </c>
      <c r="I2238" t="s">
        <v>152</v>
      </c>
      <c r="J2238" t="s">
        <v>150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229"/>
        <v>14:54:33.484</v>
      </c>
      <c r="T2238" t="str">
        <f t="shared" si="1229"/>
        <v>14:54:33.484</v>
      </c>
      <c r="U2238" t="str">
        <f t="shared" si="1200"/>
        <v>ACC530</v>
      </c>
      <c r="V2238">
        <v>0</v>
      </c>
      <c r="W2238">
        <v>0</v>
      </c>
      <c r="X2238">
        <v>1</v>
      </c>
      <c r="Z2238">
        <v>0</v>
      </c>
      <c r="AA2238">
        <v>9</v>
      </c>
      <c r="AB2238">
        <v>3</v>
      </c>
      <c r="AC2238">
        <v>0</v>
      </c>
      <c r="AD2238">
        <v>9</v>
      </c>
      <c r="AE2238">
        <v>0</v>
      </c>
      <c r="AF2238">
        <v>3</v>
      </c>
      <c r="AG2238">
        <v>1</v>
      </c>
      <c r="AH2238">
        <v>0</v>
      </c>
      <c r="AI2238" t="s">
        <v>808</v>
      </c>
      <c r="AJ2238">
        <v>34.161472000000003</v>
      </c>
      <c r="AK2238" t="s">
        <v>809</v>
      </c>
      <c r="AL2238">
        <v>-117.038898</v>
      </c>
      <c r="AM2238">
        <v>100</v>
      </c>
      <c r="AN2238">
        <v>7500</v>
      </c>
      <c r="AO2238" t="s">
        <v>118</v>
      </c>
      <c r="AP2238">
        <v>-87</v>
      </c>
      <c r="AQ2238">
        <v>-79</v>
      </c>
      <c r="AR2238">
        <v>-1152</v>
      </c>
      <c r="AZ2238">
        <v>1200</v>
      </c>
      <c r="BA2238">
        <v>1</v>
      </c>
      <c r="BB2238" t="str">
        <f t="shared" si="1201"/>
        <v xml:space="preserve">N9217B  </v>
      </c>
      <c r="BC2238">
        <v>1</v>
      </c>
      <c r="BE2238">
        <v>0</v>
      </c>
      <c r="BF2238">
        <v>0</v>
      </c>
      <c r="BG2238">
        <v>0</v>
      </c>
      <c r="BH2238">
        <v>7500</v>
      </c>
      <c r="BI2238">
        <v>1</v>
      </c>
      <c r="BJ2238">
        <v>0</v>
      </c>
      <c r="BK2238">
        <v>0</v>
      </c>
      <c r="BL2238">
        <v>0</v>
      </c>
      <c r="BO2238">
        <v>0</v>
      </c>
      <c r="BP2238">
        <v>0</v>
      </c>
      <c r="BW2238" t="str">
        <f t="shared" si="1230"/>
        <v>14:54:33.485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6</v>
      </c>
      <c r="CP2238" t="s">
        <v>119</v>
      </c>
      <c r="CQ2238">
        <v>285</v>
      </c>
      <c r="CR2238">
        <v>0</v>
      </c>
      <c r="CW2238">
        <v>8863431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25">
      <c r="A2239" t="str">
        <f t="shared" si="1228"/>
        <v>06/05/2020 14:54:27.855</v>
      </c>
      <c r="C2239" t="str">
        <f t="shared" si="1216"/>
        <v>FFDFD3C0</v>
      </c>
      <c r="D2239" t="s">
        <v>113</v>
      </c>
      <c r="E2239">
        <v>3</v>
      </c>
      <c r="H2239">
        <v>166</v>
      </c>
      <c r="I2239" t="s">
        <v>114</v>
      </c>
      <c r="J2239" t="s">
        <v>115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229"/>
        <v>14:54:33.484</v>
      </c>
      <c r="T2239" t="str">
        <f t="shared" si="1229"/>
        <v>14:54:33.484</v>
      </c>
      <c r="U2239" t="str">
        <f t="shared" si="1200"/>
        <v>ACC530</v>
      </c>
      <c r="V2239">
        <v>0</v>
      </c>
      <c r="W2239">
        <v>0</v>
      </c>
      <c r="X2239">
        <v>1</v>
      </c>
      <c r="Z2239">
        <v>0</v>
      </c>
      <c r="AA2239">
        <v>9</v>
      </c>
      <c r="AB2239">
        <v>3</v>
      </c>
      <c r="AC2239">
        <v>0</v>
      </c>
      <c r="AD2239">
        <v>9</v>
      </c>
      <c r="AE2239">
        <v>0</v>
      </c>
      <c r="AF2239">
        <v>3</v>
      </c>
      <c r="AG2239">
        <v>1</v>
      </c>
      <c r="AH2239">
        <v>0</v>
      </c>
      <c r="AI2239" t="s">
        <v>808</v>
      </c>
      <c r="AJ2239">
        <v>34.161472000000003</v>
      </c>
      <c r="AK2239" t="s">
        <v>809</v>
      </c>
      <c r="AL2239">
        <v>-117.038898</v>
      </c>
      <c r="AM2239">
        <v>100</v>
      </c>
      <c r="AN2239">
        <v>7500</v>
      </c>
      <c r="AO2239" t="s">
        <v>118</v>
      </c>
      <c r="AP2239">
        <v>-87</v>
      </c>
      <c r="AQ2239">
        <v>-79</v>
      </c>
      <c r="AR2239">
        <v>-1152</v>
      </c>
      <c r="AZ2239">
        <v>1200</v>
      </c>
      <c r="BA2239">
        <v>1</v>
      </c>
      <c r="BB2239" t="str">
        <f t="shared" si="1201"/>
        <v xml:space="preserve">N9217B  </v>
      </c>
      <c r="BC2239">
        <v>1</v>
      </c>
      <c r="BE2239">
        <v>0</v>
      </c>
      <c r="BF2239">
        <v>0</v>
      </c>
      <c r="BG2239">
        <v>0</v>
      </c>
      <c r="BH2239">
        <v>7500</v>
      </c>
      <c r="BI2239">
        <v>1</v>
      </c>
      <c r="BJ2239">
        <v>0</v>
      </c>
      <c r="BK2239">
        <v>0</v>
      </c>
      <c r="BL2239">
        <v>0</v>
      </c>
      <c r="BO2239">
        <v>0</v>
      </c>
      <c r="BP2239">
        <v>0</v>
      </c>
      <c r="BW2239" t="str">
        <f t="shared" si="1230"/>
        <v>14:54:33.485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6</v>
      </c>
      <c r="CP2239" t="s">
        <v>119</v>
      </c>
      <c r="CQ2239">
        <v>285</v>
      </c>
      <c r="CR2239">
        <v>0</v>
      </c>
      <c r="CW2239">
        <v>8863431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25">
      <c r="A2240" t="str">
        <f t="shared" ref="A2240:A2245" si="1231">"06/05/2020 14:54:28.830"</f>
        <v>06/05/2020 14:54:28.830</v>
      </c>
      <c r="C2240" t="str">
        <f t="shared" si="1216"/>
        <v>FFDFD3C0</v>
      </c>
      <c r="D2240" t="s">
        <v>141</v>
      </c>
      <c r="E2240">
        <v>20</v>
      </c>
      <c r="F2240">
        <v>1020</v>
      </c>
      <c r="G2240" t="s">
        <v>114</v>
      </c>
      <c r="J2240" t="s">
        <v>142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ref="S2240:S2245" si="1232">"14:54:34.469"</f>
        <v>14:54:34.469</v>
      </c>
      <c r="T2240" t="str">
        <f t="shared" ref="T2240:T2245" si="1233">"14:54:31.969"</f>
        <v>14:54:31.969</v>
      </c>
      <c r="U2240" t="str">
        <f t="shared" si="1200"/>
        <v>ACC530</v>
      </c>
      <c r="V2240">
        <v>0</v>
      </c>
      <c r="W2240">
        <v>0</v>
      </c>
      <c r="X2240">
        <v>1</v>
      </c>
      <c r="Z2240">
        <v>0</v>
      </c>
      <c r="AA2240">
        <v>9</v>
      </c>
      <c r="AB2240">
        <v>3</v>
      </c>
      <c r="AC2240">
        <v>0</v>
      </c>
      <c r="AD2240">
        <v>9</v>
      </c>
      <c r="AE2240">
        <v>0</v>
      </c>
      <c r="AF2240">
        <v>3</v>
      </c>
      <c r="AG2240">
        <v>1</v>
      </c>
      <c r="AH2240">
        <v>0</v>
      </c>
      <c r="AI2240" t="s">
        <v>810</v>
      </c>
      <c r="AJ2240">
        <v>34.161107999999999</v>
      </c>
      <c r="AK2240" t="s">
        <v>811</v>
      </c>
      <c r="AL2240">
        <v>-117.039371</v>
      </c>
      <c r="AM2240">
        <v>100</v>
      </c>
      <c r="AN2240">
        <v>7500</v>
      </c>
      <c r="AO2240" t="s">
        <v>118</v>
      </c>
      <c r="AP2240">
        <v>-88</v>
      </c>
      <c r="AQ2240">
        <v>-78</v>
      </c>
      <c r="AR2240">
        <v>-1152</v>
      </c>
      <c r="AZ2240">
        <v>1200</v>
      </c>
      <c r="BA2240">
        <v>1</v>
      </c>
      <c r="BB2240" t="str">
        <f t="shared" si="1201"/>
        <v xml:space="preserve">N9217B  </v>
      </c>
      <c r="BC2240">
        <v>1</v>
      </c>
      <c r="BE2240">
        <v>0</v>
      </c>
      <c r="BF2240">
        <v>0</v>
      </c>
      <c r="BG2240">
        <v>0</v>
      </c>
      <c r="BH2240">
        <v>7425</v>
      </c>
      <c r="BI2240">
        <v>1</v>
      </c>
      <c r="BJ2240">
        <v>0</v>
      </c>
      <c r="BK2240">
        <v>0</v>
      </c>
      <c r="BL2240">
        <v>0</v>
      </c>
      <c r="BO2240">
        <v>0</v>
      </c>
      <c r="BP2240">
        <v>0</v>
      </c>
      <c r="BW2240" t="str">
        <f t="shared" ref="BW2240:BW2245" si="1234">"14:54:34.475"</f>
        <v>14:54:34.475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3</v>
      </c>
      <c r="CP2240" t="s">
        <v>119</v>
      </c>
      <c r="CQ2240">
        <v>293</v>
      </c>
      <c r="CR2240">
        <v>2</v>
      </c>
      <c r="CW2240">
        <v>15300765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25">
      <c r="A2241" t="str">
        <f t="shared" si="1231"/>
        <v>06/05/2020 14:54:28.830</v>
      </c>
      <c r="C2241" t="str">
        <f t="shared" si="1216"/>
        <v>FFDFD3C0</v>
      </c>
      <c r="D2241" t="s">
        <v>151</v>
      </c>
      <c r="E2241">
        <v>9</v>
      </c>
      <c r="H2241">
        <v>226</v>
      </c>
      <c r="I2241" t="s">
        <v>152</v>
      </c>
      <c r="J2241" t="s">
        <v>150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232"/>
        <v>14:54:34.469</v>
      </c>
      <c r="T2241" t="str">
        <f t="shared" si="1233"/>
        <v>14:54:31.969</v>
      </c>
      <c r="U2241" t="str">
        <f t="shared" si="1200"/>
        <v>ACC530</v>
      </c>
      <c r="V2241">
        <v>0</v>
      </c>
      <c r="W2241">
        <v>0</v>
      </c>
      <c r="X2241">
        <v>1</v>
      </c>
      <c r="Z2241">
        <v>0</v>
      </c>
      <c r="AA2241">
        <v>9</v>
      </c>
      <c r="AB2241">
        <v>3</v>
      </c>
      <c r="AC2241">
        <v>0</v>
      </c>
      <c r="AD2241">
        <v>9</v>
      </c>
      <c r="AE2241">
        <v>0</v>
      </c>
      <c r="AF2241">
        <v>3</v>
      </c>
      <c r="AG2241">
        <v>1</v>
      </c>
      <c r="AH2241">
        <v>0</v>
      </c>
      <c r="AI2241" t="s">
        <v>810</v>
      </c>
      <c r="AJ2241">
        <v>34.161107999999999</v>
      </c>
      <c r="AK2241" t="s">
        <v>811</v>
      </c>
      <c r="AL2241">
        <v>-117.039371</v>
      </c>
      <c r="AM2241">
        <v>100</v>
      </c>
      <c r="AN2241">
        <v>7500</v>
      </c>
      <c r="AO2241" t="s">
        <v>118</v>
      </c>
      <c r="AP2241">
        <v>-88</v>
      </c>
      <c r="AQ2241">
        <v>-78</v>
      </c>
      <c r="AR2241">
        <v>-1152</v>
      </c>
      <c r="AZ2241">
        <v>1200</v>
      </c>
      <c r="BA2241">
        <v>1</v>
      </c>
      <c r="BB2241" t="str">
        <f t="shared" si="1201"/>
        <v xml:space="preserve">N9217B  </v>
      </c>
      <c r="BC2241">
        <v>1</v>
      </c>
      <c r="BE2241">
        <v>0</v>
      </c>
      <c r="BF2241">
        <v>0</v>
      </c>
      <c r="BG2241">
        <v>0</v>
      </c>
      <c r="BH2241">
        <v>7425</v>
      </c>
      <c r="BI2241">
        <v>1</v>
      </c>
      <c r="BJ2241">
        <v>0</v>
      </c>
      <c r="BK2241">
        <v>0</v>
      </c>
      <c r="BL2241">
        <v>0</v>
      </c>
      <c r="BO2241">
        <v>0</v>
      </c>
      <c r="BP2241">
        <v>0</v>
      </c>
      <c r="BW2241" t="str">
        <f t="shared" si="1234"/>
        <v>14:54:34.475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3</v>
      </c>
      <c r="CP2241" t="s">
        <v>119</v>
      </c>
      <c r="CQ2241">
        <v>293</v>
      </c>
      <c r="CR2241">
        <v>2</v>
      </c>
      <c r="CW2241">
        <v>15300765</v>
      </c>
      <c r="CY2241">
        <v>0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25">
      <c r="A2242" t="str">
        <f t="shared" si="1231"/>
        <v>06/05/2020 14:54:28.830</v>
      </c>
      <c r="C2242" t="str">
        <f t="shared" si="1216"/>
        <v>FFDFD3C0</v>
      </c>
      <c r="D2242" t="s">
        <v>113</v>
      </c>
      <c r="E2242">
        <v>3</v>
      </c>
      <c r="H2242">
        <v>166</v>
      </c>
      <c r="I2242" t="s">
        <v>114</v>
      </c>
      <c r="J2242" t="s">
        <v>115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1232"/>
        <v>14:54:34.469</v>
      </c>
      <c r="T2242" t="str">
        <f t="shared" si="1233"/>
        <v>14:54:31.969</v>
      </c>
      <c r="U2242" t="str">
        <f t="shared" ref="U2242:U2305" si="1235">"ACC530"</f>
        <v>ACC530</v>
      </c>
      <c r="V2242">
        <v>0</v>
      </c>
      <c r="W2242">
        <v>0</v>
      </c>
      <c r="X2242">
        <v>1</v>
      </c>
      <c r="Z2242">
        <v>0</v>
      </c>
      <c r="AA2242">
        <v>9</v>
      </c>
      <c r="AB2242">
        <v>3</v>
      </c>
      <c r="AC2242">
        <v>0</v>
      </c>
      <c r="AD2242">
        <v>9</v>
      </c>
      <c r="AE2242">
        <v>0</v>
      </c>
      <c r="AF2242">
        <v>3</v>
      </c>
      <c r="AG2242">
        <v>1</v>
      </c>
      <c r="AH2242">
        <v>0</v>
      </c>
      <c r="AI2242" t="s">
        <v>810</v>
      </c>
      <c r="AJ2242">
        <v>34.161107999999999</v>
      </c>
      <c r="AK2242" t="s">
        <v>811</v>
      </c>
      <c r="AL2242">
        <v>-117.039371</v>
      </c>
      <c r="AM2242">
        <v>100</v>
      </c>
      <c r="AN2242">
        <v>7500</v>
      </c>
      <c r="AO2242" t="s">
        <v>118</v>
      </c>
      <c r="AP2242">
        <v>-88</v>
      </c>
      <c r="AQ2242">
        <v>-78</v>
      </c>
      <c r="AR2242">
        <v>-1152</v>
      </c>
      <c r="AZ2242">
        <v>1200</v>
      </c>
      <c r="BA2242">
        <v>1</v>
      </c>
      <c r="BB2242" t="str">
        <f t="shared" si="1201"/>
        <v xml:space="preserve">N9217B  </v>
      </c>
      <c r="BC2242">
        <v>1</v>
      </c>
      <c r="BE2242">
        <v>0</v>
      </c>
      <c r="BF2242">
        <v>0</v>
      </c>
      <c r="BG2242">
        <v>0</v>
      </c>
      <c r="BH2242">
        <v>7425</v>
      </c>
      <c r="BI2242">
        <v>1</v>
      </c>
      <c r="BJ2242">
        <v>0</v>
      </c>
      <c r="BK2242">
        <v>0</v>
      </c>
      <c r="BL2242">
        <v>0</v>
      </c>
      <c r="BO2242">
        <v>0</v>
      </c>
      <c r="BP2242">
        <v>0</v>
      </c>
      <c r="BW2242" t="str">
        <f t="shared" si="1234"/>
        <v>14:54:34.475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3</v>
      </c>
      <c r="CP2242" t="s">
        <v>119</v>
      </c>
      <c r="CQ2242">
        <v>293</v>
      </c>
      <c r="CR2242">
        <v>2</v>
      </c>
      <c r="CW2242">
        <v>15300765</v>
      </c>
      <c r="CY2242">
        <v>0</v>
      </c>
      <c r="CZ2242">
        <v>0</v>
      </c>
      <c r="DA2242">
        <v>1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25">
      <c r="A2243" t="str">
        <f t="shared" si="1231"/>
        <v>06/05/2020 14:54:28.830</v>
      </c>
      <c r="C2243" t="str">
        <f t="shared" si="1216"/>
        <v>FFDFD3C0</v>
      </c>
      <c r="D2243" t="s">
        <v>148</v>
      </c>
      <c r="E2243">
        <v>8</v>
      </c>
      <c r="H2243">
        <v>50</v>
      </c>
      <c r="I2243" t="s">
        <v>149</v>
      </c>
      <c r="J2243" t="s">
        <v>150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232"/>
        <v>14:54:34.469</v>
      </c>
      <c r="T2243" t="str">
        <f t="shared" si="1233"/>
        <v>14:54:31.969</v>
      </c>
      <c r="U2243" t="str">
        <f t="shared" si="1235"/>
        <v>ACC530</v>
      </c>
      <c r="V2243">
        <v>0</v>
      </c>
      <c r="W2243">
        <v>0</v>
      </c>
      <c r="X2243">
        <v>1</v>
      </c>
      <c r="Z2243">
        <v>0</v>
      </c>
      <c r="AA2243">
        <v>9</v>
      </c>
      <c r="AB2243">
        <v>3</v>
      </c>
      <c r="AC2243">
        <v>0</v>
      </c>
      <c r="AD2243">
        <v>9</v>
      </c>
      <c r="AE2243">
        <v>0</v>
      </c>
      <c r="AF2243">
        <v>3</v>
      </c>
      <c r="AG2243">
        <v>1</v>
      </c>
      <c r="AH2243">
        <v>0</v>
      </c>
      <c r="AI2243" t="s">
        <v>810</v>
      </c>
      <c r="AJ2243">
        <v>34.161107999999999</v>
      </c>
      <c r="AK2243" t="s">
        <v>811</v>
      </c>
      <c r="AL2243">
        <v>-117.039371</v>
      </c>
      <c r="AM2243">
        <v>100</v>
      </c>
      <c r="AN2243">
        <v>7500</v>
      </c>
      <c r="AO2243" t="s">
        <v>118</v>
      </c>
      <c r="AP2243">
        <v>-88</v>
      </c>
      <c r="AQ2243">
        <v>-78</v>
      </c>
      <c r="AR2243">
        <v>-1152</v>
      </c>
      <c r="AZ2243">
        <v>1200</v>
      </c>
      <c r="BA2243">
        <v>1</v>
      </c>
      <c r="BB2243" t="str">
        <f t="shared" si="1201"/>
        <v xml:space="preserve">N9217B  </v>
      </c>
      <c r="BC2243">
        <v>1</v>
      </c>
      <c r="BE2243">
        <v>0</v>
      </c>
      <c r="BF2243">
        <v>0</v>
      </c>
      <c r="BG2243">
        <v>0</v>
      </c>
      <c r="BH2243">
        <v>7425</v>
      </c>
      <c r="BI2243">
        <v>1</v>
      </c>
      <c r="BJ2243">
        <v>0</v>
      </c>
      <c r="BK2243">
        <v>0</v>
      </c>
      <c r="BL2243">
        <v>0</v>
      </c>
      <c r="BO2243">
        <v>0</v>
      </c>
      <c r="BP2243">
        <v>0</v>
      </c>
      <c r="BW2243" t="str">
        <f t="shared" si="1234"/>
        <v>14:54:34.475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3</v>
      </c>
      <c r="CP2243" t="s">
        <v>119</v>
      </c>
      <c r="CQ2243">
        <v>293</v>
      </c>
      <c r="CR2243">
        <v>2</v>
      </c>
      <c r="CW2243">
        <v>15300765</v>
      </c>
      <c r="CY2243">
        <v>0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25">
      <c r="A2244" t="str">
        <f t="shared" si="1231"/>
        <v>06/05/2020 14:54:28.830</v>
      </c>
      <c r="C2244" t="str">
        <f t="shared" si="1216"/>
        <v>FFDFD3C0</v>
      </c>
      <c r="D2244" t="s">
        <v>134</v>
      </c>
      <c r="E2244">
        <v>7</v>
      </c>
      <c r="F2244">
        <v>2007</v>
      </c>
      <c r="G2244" t="s">
        <v>135</v>
      </c>
      <c r="J2244" t="s">
        <v>136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232"/>
        <v>14:54:34.469</v>
      </c>
      <c r="T2244" t="str">
        <f t="shared" si="1233"/>
        <v>14:54:31.969</v>
      </c>
      <c r="U2244" t="str">
        <f t="shared" si="1235"/>
        <v>ACC530</v>
      </c>
      <c r="V2244">
        <v>0</v>
      </c>
      <c r="W2244">
        <v>0</v>
      </c>
      <c r="X2244">
        <v>1</v>
      </c>
      <c r="Z2244">
        <v>0</v>
      </c>
      <c r="AA2244">
        <v>9</v>
      </c>
      <c r="AB2244">
        <v>3</v>
      </c>
      <c r="AC2244">
        <v>0</v>
      </c>
      <c r="AD2244">
        <v>9</v>
      </c>
      <c r="AE2244">
        <v>0</v>
      </c>
      <c r="AF2244">
        <v>3</v>
      </c>
      <c r="AG2244">
        <v>1</v>
      </c>
      <c r="AH2244">
        <v>0</v>
      </c>
      <c r="AI2244" t="s">
        <v>810</v>
      </c>
      <c r="AJ2244">
        <v>34.161107999999999</v>
      </c>
      <c r="AK2244" t="s">
        <v>811</v>
      </c>
      <c r="AL2244">
        <v>-117.039371</v>
      </c>
      <c r="AM2244">
        <v>100</v>
      </c>
      <c r="AN2244">
        <v>7500</v>
      </c>
      <c r="AO2244" t="s">
        <v>118</v>
      </c>
      <c r="AP2244">
        <v>-88</v>
      </c>
      <c r="AQ2244">
        <v>-78</v>
      </c>
      <c r="AR2244">
        <v>-1152</v>
      </c>
      <c r="AZ2244">
        <v>1200</v>
      </c>
      <c r="BA2244">
        <v>1</v>
      </c>
      <c r="BB2244" t="str">
        <f t="shared" si="1201"/>
        <v xml:space="preserve">N9217B  </v>
      </c>
      <c r="BC2244">
        <v>1</v>
      </c>
      <c r="BE2244">
        <v>0</v>
      </c>
      <c r="BF2244">
        <v>0</v>
      </c>
      <c r="BG2244">
        <v>0</v>
      </c>
      <c r="BH2244">
        <v>7425</v>
      </c>
      <c r="BI2244">
        <v>1</v>
      </c>
      <c r="BJ2244">
        <v>0</v>
      </c>
      <c r="BK2244">
        <v>0</v>
      </c>
      <c r="BL2244">
        <v>0</v>
      </c>
      <c r="BO2244">
        <v>0</v>
      </c>
      <c r="BP2244">
        <v>0</v>
      </c>
      <c r="BW2244" t="str">
        <f t="shared" si="1234"/>
        <v>14:54:34.475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3</v>
      </c>
      <c r="CP2244" t="s">
        <v>119</v>
      </c>
      <c r="CQ2244">
        <v>293</v>
      </c>
      <c r="CR2244">
        <v>2</v>
      </c>
      <c r="CW2244">
        <v>15300765</v>
      </c>
      <c r="CY2244">
        <v>0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25">
      <c r="A2245" t="str">
        <f t="shared" si="1231"/>
        <v>06/05/2020 14:54:28.830</v>
      </c>
      <c r="C2245" t="str">
        <f t="shared" si="1216"/>
        <v>FFDFD3C0</v>
      </c>
      <c r="D2245" t="s">
        <v>148</v>
      </c>
      <c r="E2245">
        <v>11</v>
      </c>
      <c r="H2245">
        <v>53</v>
      </c>
      <c r="I2245" t="s">
        <v>364</v>
      </c>
      <c r="J2245" t="s">
        <v>150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232"/>
        <v>14:54:34.469</v>
      </c>
      <c r="T2245" t="str">
        <f t="shared" si="1233"/>
        <v>14:54:31.969</v>
      </c>
      <c r="U2245" t="str">
        <f t="shared" si="1235"/>
        <v>ACC530</v>
      </c>
      <c r="V2245">
        <v>0</v>
      </c>
      <c r="W2245">
        <v>0</v>
      </c>
      <c r="X2245">
        <v>1</v>
      </c>
      <c r="Z2245">
        <v>0</v>
      </c>
      <c r="AA2245">
        <v>9</v>
      </c>
      <c r="AB2245">
        <v>3</v>
      </c>
      <c r="AC2245">
        <v>0</v>
      </c>
      <c r="AD2245">
        <v>9</v>
      </c>
      <c r="AE2245">
        <v>0</v>
      </c>
      <c r="AF2245">
        <v>3</v>
      </c>
      <c r="AG2245">
        <v>1</v>
      </c>
      <c r="AH2245">
        <v>0</v>
      </c>
      <c r="AI2245" t="s">
        <v>810</v>
      </c>
      <c r="AJ2245">
        <v>34.161107999999999</v>
      </c>
      <c r="AK2245" t="s">
        <v>811</v>
      </c>
      <c r="AL2245">
        <v>-117.039371</v>
      </c>
      <c r="AM2245">
        <v>100</v>
      </c>
      <c r="AN2245">
        <v>7500</v>
      </c>
      <c r="AO2245" t="s">
        <v>118</v>
      </c>
      <c r="AP2245">
        <v>-88</v>
      </c>
      <c r="AQ2245">
        <v>-78</v>
      </c>
      <c r="AR2245">
        <v>-1152</v>
      </c>
      <c r="AZ2245">
        <v>1200</v>
      </c>
      <c r="BA2245">
        <v>1</v>
      </c>
      <c r="BB2245" t="str">
        <f t="shared" ref="BB2245:BB2308" si="1236">"N9217B  "</f>
        <v xml:space="preserve">N9217B  </v>
      </c>
      <c r="BC2245">
        <v>1</v>
      </c>
      <c r="BE2245">
        <v>0</v>
      </c>
      <c r="BF2245">
        <v>0</v>
      </c>
      <c r="BG2245">
        <v>0</v>
      </c>
      <c r="BH2245">
        <v>7425</v>
      </c>
      <c r="BI2245">
        <v>1</v>
      </c>
      <c r="BJ2245">
        <v>0</v>
      </c>
      <c r="BK2245">
        <v>0</v>
      </c>
      <c r="BL2245">
        <v>0</v>
      </c>
      <c r="BO2245">
        <v>0</v>
      </c>
      <c r="BP2245">
        <v>0</v>
      </c>
      <c r="BW2245" t="str">
        <f t="shared" si="1234"/>
        <v>14:54:34.475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3</v>
      </c>
      <c r="CP2245" t="s">
        <v>119</v>
      </c>
      <c r="CQ2245">
        <v>293</v>
      </c>
      <c r="CR2245">
        <v>2</v>
      </c>
      <c r="CW2245">
        <v>15300765</v>
      </c>
      <c r="CY2245">
        <v>0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25">
      <c r="A2246" t="str">
        <f t="shared" ref="A2246:A2252" si="1237">"06/05/2020 14:54:29.936"</f>
        <v>06/05/2020 14:54:29.936</v>
      </c>
      <c r="C2246" t="str">
        <f t="shared" si="1216"/>
        <v>FFDFD3C0</v>
      </c>
      <c r="D2246" t="s">
        <v>148</v>
      </c>
      <c r="E2246">
        <v>11</v>
      </c>
      <c r="H2246">
        <v>53</v>
      </c>
      <c r="I2246" t="s">
        <v>364</v>
      </c>
      <c r="J2246" t="s">
        <v>150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ref="S2246:T2252" si="1238">"14:54:35.594"</f>
        <v>14:54:35.594</v>
      </c>
      <c r="T2246" t="str">
        <f t="shared" si="1238"/>
        <v>14:54:35.594</v>
      </c>
      <c r="U2246" t="str">
        <f t="shared" si="1235"/>
        <v>ACC530</v>
      </c>
      <c r="V2246">
        <v>0</v>
      </c>
      <c r="W2246">
        <v>0</v>
      </c>
      <c r="X2246">
        <v>1</v>
      </c>
      <c r="Z2246">
        <v>0</v>
      </c>
      <c r="AA2246">
        <v>9</v>
      </c>
      <c r="AB2246">
        <v>3</v>
      </c>
      <c r="AC2246">
        <v>0</v>
      </c>
      <c r="AD2246">
        <v>9</v>
      </c>
      <c r="AE2246">
        <v>0</v>
      </c>
      <c r="AF2246">
        <v>3</v>
      </c>
      <c r="AG2246">
        <v>1</v>
      </c>
      <c r="AH2246">
        <v>0</v>
      </c>
      <c r="AI2246" t="s">
        <v>812</v>
      </c>
      <c r="AJ2246">
        <v>34.160657</v>
      </c>
      <c r="AK2246" t="s">
        <v>813</v>
      </c>
      <c r="AL2246">
        <v>-117.039886</v>
      </c>
      <c r="AM2246">
        <v>100</v>
      </c>
      <c r="AN2246">
        <v>7500</v>
      </c>
      <c r="AO2246" t="s">
        <v>118</v>
      </c>
      <c r="AP2246">
        <v>-85</v>
      </c>
      <c r="AQ2246">
        <v>-82</v>
      </c>
      <c r="AR2246">
        <v>-1152</v>
      </c>
      <c r="AZ2246">
        <v>1200</v>
      </c>
      <c r="BA2246">
        <v>1</v>
      </c>
      <c r="BB2246" t="str">
        <f t="shared" si="1236"/>
        <v xml:space="preserve">N9217B  </v>
      </c>
      <c r="BC2246">
        <v>1</v>
      </c>
      <c r="BE2246">
        <v>0</v>
      </c>
      <c r="BF2246">
        <v>0</v>
      </c>
      <c r="BG2246">
        <v>0</v>
      </c>
      <c r="BH2246">
        <v>7450</v>
      </c>
      <c r="BI2246">
        <v>1</v>
      </c>
      <c r="BJ2246">
        <v>0</v>
      </c>
      <c r="BK2246">
        <v>0</v>
      </c>
      <c r="BL2246">
        <v>0</v>
      </c>
      <c r="BO2246">
        <v>0</v>
      </c>
      <c r="BP2246">
        <v>0</v>
      </c>
      <c r="BW2246" t="str">
        <f t="shared" ref="BW2246:BW2252" si="1239">"14:54:35.600"</f>
        <v>14:54:35.600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6</v>
      </c>
      <c r="CP2246" t="s">
        <v>119</v>
      </c>
      <c r="CQ2246">
        <v>285</v>
      </c>
      <c r="CR2246">
        <v>0</v>
      </c>
      <c r="CW2246">
        <v>8863631</v>
      </c>
      <c r="CY2246">
        <v>0</v>
      </c>
      <c r="CZ2246">
        <v>0</v>
      </c>
      <c r="DA2246">
        <v>0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25">
      <c r="A2247" t="str">
        <f t="shared" si="1237"/>
        <v>06/05/2020 14:54:29.936</v>
      </c>
      <c r="C2247" t="str">
        <f t="shared" si="1216"/>
        <v>FFDFD3C0</v>
      </c>
      <c r="D2247" t="s">
        <v>141</v>
      </c>
      <c r="E2247">
        <v>20</v>
      </c>
      <c r="F2247">
        <v>1020</v>
      </c>
      <c r="G2247" t="s">
        <v>114</v>
      </c>
      <c r="J2247" t="s">
        <v>142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238"/>
        <v>14:54:35.594</v>
      </c>
      <c r="T2247" t="str">
        <f t="shared" si="1238"/>
        <v>14:54:35.594</v>
      </c>
      <c r="U2247" t="str">
        <f t="shared" si="1235"/>
        <v>ACC530</v>
      </c>
      <c r="V2247">
        <v>0</v>
      </c>
      <c r="W2247">
        <v>0</v>
      </c>
      <c r="X2247">
        <v>1</v>
      </c>
      <c r="Z2247">
        <v>0</v>
      </c>
      <c r="AA2247">
        <v>9</v>
      </c>
      <c r="AB2247">
        <v>3</v>
      </c>
      <c r="AC2247">
        <v>0</v>
      </c>
      <c r="AD2247">
        <v>9</v>
      </c>
      <c r="AE2247">
        <v>0</v>
      </c>
      <c r="AF2247">
        <v>3</v>
      </c>
      <c r="AG2247">
        <v>1</v>
      </c>
      <c r="AH2247">
        <v>0</v>
      </c>
      <c r="AI2247" t="s">
        <v>812</v>
      </c>
      <c r="AJ2247">
        <v>34.160657</v>
      </c>
      <c r="AK2247" t="s">
        <v>813</v>
      </c>
      <c r="AL2247">
        <v>-117.039886</v>
      </c>
      <c r="AM2247">
        <v>100</v>
      </c>
      <c r="AN2247">
        <v>7500</v>
      </c>
      <c r="AO2247" t="s">
        <v>118</v>
      </c>
      <c r="AP2247">
        <v>-85</v>
      </c>
      <c r="AQ2247">
        <v>-82</v>
      </c>
      <c r="AR2247">
        <v>-1152</v>
      </c>
      <c r="AZ2247">
        <v>1200</v>
      </c>
      <c r="BA2247">
        <v>1</v>
      </c>
      <c r="BB2247" t="str">
        <f t="shared" si="1236"/>
        <v xml:space="preserve">N9217B  </v>
      </c>
      <c r="BC2247">
        <v>1</v>
      </c>
      <c r="BE2247">
        <v>0</v>
      </c>
      <c r="BF2247">
        <v>0</v>
      </c>
      <c r="BG2247">
        <v>0</v>
      </c>
      <c r="BH2247">
        <v>7450</v>
      </c>
      <c r="BI2247">
        <v>1</v>
      </c>
      <c r="BJ2247">
        <v>0</v>
      </c>
      <c r="BK2247">
        <v>0</v>
      </c>
      <c r="BL2247">
        <v>0</v>
      </c>
      <c r="BO2247">
        <v>0</v>
      </c>
      <c r="BP2247">
        <v>0</v>
      </c>
      <c r="BW2247" t="str">
        <f t="shared" si="1239"/>
        <v>14:54:35.600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6</v>
      </c>
      <c r="CP2247" t="s">
        <v>119</v>
      </c>
      <c r="CQ2247">
        <v>285</v>
      </c>
      <c r="CR2247">
        <v>0</v>
      </c>
      <c r="CW2247">
        <v>8863631</v>
      </c>
      <c r="CY2247">
        <v>0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25">
      <c r="A2248" t="str">
        <f t="shared" si="1237"/>
        <v>06/05/2020 14:54:29.936</v>
      </c>
      <c r="C2248" t="str">
        <f t="shared" si="1216"/>
        <v>FFDFD3C0</v>
      </c>
      <c r="D2248" t="s">
        <v>151</v>
      </c>
      <c r="E2248">
        <v>8</v>
      </c>
      <c r="H2248">
        <v>225</v>
      </c>
      <c r="I2248" t="s">
        <v>353</v>
      </c>
      <c r="J2248" t="s">
        <v>150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238"/>
        <v>14:54:35.594</v>
      </c>
      <c r="T2248" t="str">
        <f t="shared" si="1238"/>
        <v>14:54:35.594</v>
      </c>
      <c r="U2248" t="str">
        <f t="shared" si="1235"/>
        <v>ACC530</v>
      </c>
      <c r="V2248">
        <v>0</v>
      </c>
      <c r="W2248">
        <v>0</v>
      </c>
      <c r="X2248">
        <v>1</v>
      </c>
      <c r="Z2248">
        <v>0</v>
      </c>
      <c r="AA2248">
        <v>9</v>
      </c>
      <c r="AB2248">
        <v>3</v>
      </c>
      <c r="AC2248">
        <v>0</v>
      </c>
      <c r="AD2248">
        <v>9</v>
      </c>
      <c r="AE2248">
        <v>0</v>
      </c>
      <c r="AF2248">
        <v>3</v>
      </c>
      <c r="AG2248">
        <v>1</v>
      </c>
      <c r="AH2248">
        <v>0</v>
      </c>
      <c r="AI2248" t="s">
        <v>812</v>
      </c>
      <c r="AJ2248">
        <v>34.160657</v>
      </c>
      <c r="AK2248" t="s">
        <v>813</v>
      </c>
      <c r="AL2248">
        <v>-117.039886</v>
      </c>
      <c r="AM2248">
        <v>100</v>
      </c>
      <c r="AN2248">
        <v>7500</v>
      </c>
      <c r="AO2248" t="s">
        <v>118</v>
      </c>
      <c r="AP2248">
        <v>-85</v>
      </c>
      <c r="AQ2248">
        <v>-82</v>
      </c>
      <c r="AR2248">
        <v>-1152</v>
      </c>
      <c r="AZ2248">
        <v>1200</v>
      </c>
      <c r="BA2248">
        <v>1</v>
      </c>
      <c r="BB2248" t="str">
        <f t="shared" si="1236"/>
        <v xml:space="preserve">N9217B  </v>
      </c>
      <c r="BC2248">
        <v>1</v>
      </c>
      <c r="BE2248">
        <v>0</v>
      </c>
      <c r="BF2248">
        <v>0</v>
      </c>
      <c r="BG2248">
        <v>0</v>
      </c>
      <c r="BH2248">
        <v>7450</v>
      </c>
      <c r="BI2248">
        <v>1</v>
      </c>
      <c r="BJ2248">
        <v>0</v>
      </c>
      <c r="BK2248">
        <v>0</v>
      </c>
      <c r="BL2248">
        <v>0</v>
      </c>
      <c r="BO2248">
        <v>0</v>
      </c>
      <c r="BP2248">
        <v>0</v>
      </c>
      <c r="BW2248" t="str">
        <f t="shared" si="1239"/>
        <v>14:54:35.600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6</v>
      </c>
      <c r="CP2248" t="s">
        <v>119</v>
      </c>
      <c r="CQ2248">
        <v>285</v>
      </c>
      <c r="CR2248">
        <v>0</v>
      </c>
      <c r="CW2248">
        <v>8863631</v>
      </c>
      <c r="CY2248">
        <v>0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25">
      <c r="A2249" t="str">
        <f t="shared" si="1237"/>
        <v>06/05/2020 14:54:29.936</v>
      </c>
      <c r="C2249" t="str">
        <f t="shared" si="1216"/>
        <v>FFDFD3C0</v>
      </c>
      <c r="D2249" t="s">
        <v>151</v>
      </c>
      <c r="E2249">
        <v>9</v>
      </c>
      <c r="H2249">
        <v>226</v>
      </c>
      <c r="I2249" t="s">
        <v>152</v>
      </c>
      <c r="J2249" t="s">
        <v>150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238"/>
        <v>14:54:35.594</v>
      </c>
      <c r="T2249" t="str">
        <f t="shared" si="1238"/>
        <v>14:54:35.594</v>
      </c>
      <c r="U2249" t="str">
        <f t="shared" si="1235"/>
        <v>ACC530</v>
      </c>
      <c r="V2249">
        <v>0</v>
      </c>
      <c r="W2249">
        <v>0</v>
      </c>
      <c r="X2249">
        <v>1</v>
      </c>
      <c r="Z2249">
        <v>0</v>
      </c>
      <c r="AA2249">
        <v>9</v>
      </c>
      <c r="AB2249">
        <v>3</v>
      </c>
      <c r="AC2249">
        <v>0</v>
      </c>
      <c r="AD2249">
        <v>9</v>
      </c>
      <c r="AE2249">
        <v>0</v>
      </c>
      <c r="AF2249">
        <v>3</v>
      </c>
      <c r="AG2249">
        <v>1</v>
      </c>
      <c r="AH2249">
        <v>0</v>
      </c>
      <c r="AI2249" t="s">
        <v>812</v>
      </c>
      <c r="AJ2249">
        <v>34.160657</v>
      </c>
      <c r="AK2249" t="s">
        <v>813</v>
      </c>
      <c r="AL2249">
        <v>-117.039886</v>
      </c>
      <c r="AM2249">
        <v>100</v>
      </c>
      <c r="AN2249">
        <v>7500</v>
      </c>
      <c r="AO2249" t="s">
        <v>118</v>
      </c>
      <c r="AP2249">
        <v>-85</v>
      </c>
      <c r="AQ2249">
        <v>-82</v>
      </c>
      <c r="AR2249">
        <v>-1152</v>
      </c>
      <c r="AZ2249">
        <v>1200</v>
      </c>
      <c r="BA2249">
        <v>1</v>
      </c>
      <c r="BB2249" t="str">
        <f t="shared" si="1236"/>
        <v xml:space="preserve">N9217B  </v>
      </c>
      <c r="BC2249">
        <v>1</v>
      </c>
      <c r="BE2249">
        <v>0</v>
      </c>
      <c r="BF2249">
        <v>0</v>
      </c>
      <c r="BG2249">
        <v>0</v>
      </c>
      <c r="BH2249">
        <v>7450</v>
      </c>
      <c r="BI2249">
        <v>1</v>
      </c>
      <c r="BJ2249">
        <v>0</v>
      </c>
      <c r="BK2249">
        <v>0</v>
      </c>
      <c r="BL2249">
        <v>0</v>
      </c>
      <c r="BO2249">
        <v>0</v>
      </c>
      <c r="BP2249">
        <v>0</v>
      </c>
      <c r="BW2249" t="str">
        <f t="shared" si="1239"/>
        <v>14:54:35.600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6</v>
      </c>
      <c r="CP2249" t="s">
        <v>119</v>
      </c>
      <c r="CQ2249">
        <v>285</v>
      </c>
      <c r="CR2249">
        <v>0</v>
      </c>
      <c r="CW2249">
        <v>8863631</v>
      </c>
      <c r="CY2249">
        <v>0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25">
      <c r="A2250" t="str">
        <f t="shared" si="1237"/>
        <v>06/05/2020 14:54:29.936</v>
      </c>
      <c r="C2250" t="str">
        <f t="shared" si="1216"/>
        <v>FFDFD3C0</v>
      </c>
      <c r="D2250" t="s">
        <v>113</v>
      </c>
      <c r="E2250">
        <v>3</v>
      </c>
      <c r="H2250">
        <v>166</v>
      </c>
      <c r="I2250" t="s">
        <v>114</v>
      </c>
      <c r="J2250" t="s">
        <v>115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238"/>
        <v>14:54:35.594</v>
      </c>
      <c r="T2250" t="str">
        <f t="shared" si="1238"/>
        <v>14:54:35.594</v>
      </c>
      <c r="U2250" t="str">
        <f t="shared" si="1235"/>
        <v>ACC530</v>
      </c>
      <c r="V2250">
        <v>0</v>
      </c>
      <c r="W2250">
        <v>0</v>
      </c>
      <c r="X2250">
        <v>1</v>
      </c>
      <c r="Z2250">
        <v>0</v>
      </c>
      <c r="AA2250">
        <v>9</v>
      </c>
      <c r="AB2250">
        <v>3</v>
      </c>
      <c r="AC2250">
        <v>0</v>
      </c>
      <c r="AD2250">
        <v>9</v>
      </c>
      <c r="AE2250">
        <v>0</v>
      </c>
      <c r="AF2250">
        <v>3</v>
      </c>
      <c r="AG2250">
        <v>1</v>
      </c>
      <c r="AH2250">
        <v>0</v>
      </c>
      <c r="AI2250" t="s">
        <v>812</v>
      </c>
      <c r="AJ2250">
        <v>34.160657</v>
      </c>
      <c r="AK2250" t="s">
        <v>813</v>
      </c>
      <c r="AL2250">
        <v>-117.039886</v>
      </c>
      <c r="AM2250">
        <v>100</v>
      </c>
      <c r="AN2250">
        <v>7500</v>
      </c>
      <c r="AO2250" t="s">
        <v>118</v>
      </c>
      <c r="AP2250">
        <v>-85</v>
      </c>
      <c r="AQ2250">
        <v>-82</v>
      </c>
      <c r="AR2250">
        <v>-1152</v>
      </c>
      <c r="AZ2250">
        <v>1200</v>
      </c>
      <c r="BA2250">
        <v>1</v>
      </c>
      <c r="BB2250" t="str">
        <f t="shared" si="1236"/>
        <v xml:space="preserve">N9217B  </v>
      </c>
      <c r="BC2250">
        <v>1</v>
      </c>
      <c r="BE2250">
        <v>0</v>
      </c>
      <c r="BF2250">
        <v>0</v>
      </c>
      <c r="BG2250">
        <v>0</v>
      </c>
      <c r="BH2250">
        <v>7450</v>
      </c>
      <c r="BI2250">
        <v>1</v>
      </c>
      <c r="BJ2250">
        <v>0</v>
      </c>
      <c r="BK2250">
        <v>0</v>
      </c>
      <c r="BL2250">
        <v>0</v>
      </c>
      <c r="BO2250">
        <v>0</v>
      </c>
      <c r="BP2250">
        <v>0</v>
      </c>
      <c r="BW2250" t="str">
        <f t="shared" si="1239"/>
        <v>14:54:35.600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6</v>
      </c>
      <c r="CP2250" t="s">
        <v>119</v>
      </c>
      <c r="CQ2250">
        <v>285</v>
      </c>
      <c r="CR2250">
        <v>0</v>
      </c>
      <c r="CW2250">
        <v>8863631</v>
      </c>
      <c r="CY2250">
        <v>0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25">
      <c r="A2251" t="str">
        <f t="shared" si="1237"/>
        <v>06/05/2020 14:54:29.936</v>
      </c>
      <c r="C2251" t="str">
        <f t="shared" si="1216"/>
        <v>FFDFD3C0</v>
      </c>
      <c r="D2251" t="s">
        <v>134</v>
      </c>
      <c r="E2251">
        <v>7</v>
      </c>
      <c r="F2251">
        <v>2007</v>
      </c>
      <c r="G2251" t="s">
        <v>135</v>
      </c>
      <c r="J2251" t="s">
        <v>136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238"/>
        <v>14:54:35.594</v>
      </c>
      <c r="T2251" t="str">
        <f t="shared" si="1238"/>
        <v>14:54:35.594</v>
      </c>
      <c r="U2251" t="str">
        <f t="shared" si="1235"/>
        <v>ACC530</v>
      </c>
      <c r="V2251">
        <v>0</v>
      </c>
      <c r="W2251">
        <v>0</v>
      </c>
      <c r="X2251">
        <v>1</v>
      </c>
      <c r="Z2251">
        <v>0</v>
      </c>
      <c r="AA2251">
        <v>9</v>
      </c>
      <c r="AB2251">
        <v>3</v>
      </c>
      <c r="AC2251">
        <v>0</v>
      </c>
      <c r="AD2251">
        <v>9</v>
      </c>
      <c r="AE2251">
        <v>0</v>
      </c>
      <c r="AF2251">
        <v>3</v>
      </c>
      <c r="AG2251">
        <v>1</v>
      </c>
      <c r="AH2251">
        <v>0</v>
      </c>
      <c r="AI2251" t="s">
        <v>812</v>
      </c>
      <c r="AJ2251">
        <v>34.160657</v>
      </c>
      <c r="AK2251" t="s">
        <v>813</v>
      </c>
      <c r="AL2251">
        <v>-117.039886</v>
      </c>
      <c r="AM2251">
        <v>100</v>
      </c>
      <c r="AN2251">
        <v>7500</v>
      </c>
      <c r="AO2251" t="s">
        <v>118</v>
      </c>
      <c r="AP2251">
        <v>-85</v>
      </c>
      <c r="AQ2251">
        <v>-82</v>
      </c>
      <c r="AR2251">
        <v>-1152</v>
      </c>
      <c r="AZ2251">
        <v>1200</v>
      </c>
      <c r="BA2251">
        <v>1</v>
      </c>
      <c r="BB2251" t="str">
        <f t="shared" si="1236"/>
        <v xml:space="preserve">N9217B  </v>
      </c>
      <c r="BC2251">
        <v>1</v>
      </c>
      <c r="BE2251">
        <v>0</v>
      </c>
      <c r="BF2251">
        <v>0</v>
      </c>
      <c r="BG2251">
        <v>0</v>
      </c>
      <c r="BH2251">
        <v>7450</v>
      </c>
      <c r="BI2251">
        <v>1</v>
      </c>
      <c r="BJ2251">
        <v>0</v>
      </c>
      <c r="BK2251">
        <v>0</v>
      </c>
      <c r="BL2251">
        <v>0</v>
      </c>
      <c r="BO2251">
        <v>0</v>
      </c>
      <c r="BP2251">
        <v>0</v>
      </c>
      <c r="BW2251" t="str">
        <f t="shared" si="1239"/>
        <v>14:54:35.600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6</v>
      </c>
      <c r="CP2251" t="s">
        <v>119</v>
      </c>
      <c r="CQ2251">
        <v>285</v>
      </c>
      <c r="CR2251">
        <v>0</v>
      </c>
      <c r="CW2251">
        <v>8863631</v>
      </c>
      <c r="CY2251">
        <v>0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25">
      <c r="A2252" t="str">
        <f t="shared" si="1237"/>
        <v>06/05/2020 14:54:29.936</v>
      </c>
      <c r="C2252" t="str">
        <f t="shared" si="1216"/>
        <v>FFDFD3C0</v>
      </c>
      <c r="D2252" t="s">
        <v>148</v>
      </c>
      <c r="E2252">
        <v>8</v>
      </c>
      <c r="H2252">
        <v>50</v>
      </c>
      <c r="I2252" t="s">
        <v>149</v>
      </c>
      <c r="J2252" t="s">
        <v>150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238"/>
        <v>14:54:35.594</v>
      </c>
      <c r="T2252" t="str">
        <f t="shared" si="1238"/>
        <v>14:54:35.594</v>
      </c>
      <c r="U2252" t="str">
        <f t="shared" si="1235"/>
        <v>ACC530</v>
      </c>
      <c r="V2252">
        <v>0</v>
      </c>
      <c r="W2252">
        <v>0</v>
      </c>
      <c r="X2252">
        <v>1</v>
      </c>
      <c r="Z2252">
        <v>0</v>
      </c>
      <c r="AA2252">
        <v>9</v>
      </c>
      <c r="AB2252">
        <v>3</v>
      </c>
      <c r="AC2252">
        <v>0</v>
      </c>
      <c r="AD2252">
        <v>9</v>
      </c>
      <c r="AE2252">
        <v>0</v>
      </c>
      <c r="AF2252">
        <v>3</v>
      </c>
      <c r="AG2252">
        <v>1</v>
      </c>
      <c r="AH2252">
        <v>0</v>
      </c>
      <c r="AI2252" t="s">
        <v>812</v>
      </c>
      <c r="AJ2252">
        <v>34.160657</v>
      </c>
      <c r="AK2252" t="s">
        <v>813</v>
      </c>
      <c r="AL2252">
        <v>-117.039886</v>
      </c>
      <c r="AM2252">
        <v>100</v>
      </c>
      <c r="AN2252">
        <v>7500</v>
      </c>
      <c r="AO2252" t="s">
        <v>118</v>
      </c>
      <c r="AP2252">
        <v>-85</v>
      </c>
      <c r="AQ2252">
        <v>-82</v>
      </c>
      <c r="AR2252">
        <v>-1152</v>
      </c>
      <c r="AZ2252">
        <v>1200</v>
      </c>
      <c r="BA2252">
        <v>1</v>
      </c>
      <c r="BB2252" t="str">
        <f t="shared" si="1236"/>
        <v xml:space="preserve">N9217B  </v>
      </c>
      <c r="BC2252">
        <v>1</v>
      </c>
      <c r="BE2252">
        <v>0</v>
      </c>
      <c r="BF2252">
        <v>0</v>
      </c>
      <c r="BG2252">
        <v>0</v>
      </c>
      <c r="BH2252">
        <v>7450</v>
      </c>
      <c r="BI2252">
        <v>1</v>
      </c>
      <c r="BJ2252">
        <v>0</v>
      </c>
      <c r="BK2252">
        <v>0</v>
      </c>
      <c r="BL2252">
        <v>0</v>
      </c>
      <c r="BO2252">
        <v>0</v>
      </c>
      <c r="BP2252">
        <v>0</v>
      </c>
      <c r="BW2252" t="str">
        <f t="shared" si="1239"/>
        <v>14:54:35.600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6</v>
      </c>
      <c r="CP2252" t="s">
        <v>119</v>
      </c>
      <c r="CQ2252">
        <v>285</v>
      </c>
      <c r="CR2252">
        <v>0</v>
      </c>
      <c r="CW2252">
        <v>8863631</v>
      </c>
      <c r="CY2252">
        <v>0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25">
      <c r="A2253" t="str">
        <f t="shared" ref="A2253:A2259" si="1240">"06/05/2020 14:54:30.899"</f>
        <v>06/05/2020 14:54:30.899</v>
      </c>
      <c r="C2253" t="str">
        <f t="shared" si="1216"/>
        <v>FFDFD3C0</v>
      </c>
      <c r="D2253" t="s">
        <v>148</v>
      </c>
      <c r="E2253">
        <v>11</v>
      </c>
      <c r="H2253">
        <v>53</v>
      </c>
      <c r="I2253" t="s">
        <v>364</v>
      </c>
      <c r="J2253" t="s">
        <v>150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ref="S2253:T2259" si="1241">"14:54:36.570"</f>
        <v>14:54:36.570</v>
      </c>
      <c r="T2253" t="str">
        <f t="shared" si="1241"/>
        <v>14:54:36.570</v>
      </c>
      <c r="U2253" t="str">
        <f t="shared" si="1235"/>
        <v>ACC530</v>
      </c>
      <c r="V2253">
        <v>0</v>
      </c>
      <c r="W2253">
        <v>0</v>
      </c>
      <c r="X2253">
        <v>1</v>
      </c>
      <c r="Z2253">
        <v>0</v>
      </c>
      <c r="AA2253">
        <v>9</v>
      </c>
      <c r="AB2253">
        <v>3</v>
      </c>
      <c r="AC2253">
        <v>0</v>
      </c>
      <c r="AD2253">
        <v>9</v>
      </c>
      <c r="AE2253">
        <v>0</v>
      </c>
      <c r="AF2253">
        <v>3</v>
      </c>
      <c r="AG2253">
        <v>1</v>
      </c>
      <c r="AH2253">
        <v>0</v>
      </c>
      <c r="AI2253" t="s">
        <v>814</v>
      </c>
      <c r="AJ2253">
        <v>34.160314</v>
      </c>
      <c r="AK2253" t="s">
        <v>815</v>
      </c>
      <c r="AL2253">
        <v>-117.040336</v>
      </c>
      <c r="AM2253">
        <v>100</v>
      </c>
      <c r="AN2253">
        <v>7500</v>
      </c>
      <c r="AO2253" t="s">
        <v>118</v>
      </c>
      <c r="AP2253">
        <v>-84</v>
      </c>
      <c r="AQ2253">
        <v>-83</v>
      </c>
      <c r="AR2253">
        <v>-1152</v>
      </c>
      <c r="AZ2253">
        <v>1200</v>
      </c>
      <c r="BA2253">
        <v>1</v>
      </c>
      <c r="BB2253" t="str">
        <f t="shared" si="1236"/>
        <v xml:space="preserve">N9217B  </v>
      </c>
      <c r="BC2253">
        <v>1</v>
      </c>
      <c r="BE2253">
        <v>0</v>
      </c>
      <c r="BF2253">
        <v>0</v>
      </c>
      <c r="BG2253">
        <v>0</v>
      </c>
      <c r="BH2253">
        <v>7450</v>
      </c>
      <c r="BI2253">
        <v>1</v>
      </c>
      <c r="BJ2253">
        <v>0</v>
      </c>
      <c r="BK2253">
        <v>0</v>
      </c>
      <c r="BL2253">
        <v>0</v>
      </c>
      <c r="BO2253">
        <v>0</v>
      </c>
      <c r="BP2253">
        <v>0</v>
      </c>
      <c r="BW2253" t="str">
        <f t="shared" ref="BW2253:BW2259" si="1242">"14:54:36.575"</f>
        <v>14:54:36.575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285</v>
      </c>
      <c r="CR2253">
        <v>0</v>
      </c>
      <c r="CW2253">
        <v>8863722</v>
      </c>
      <c r="CY2253">
        <v>0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25">
      <c r="A2254" t="str">
        <f t="shared" si="1240"/>
        <v>06/05/2020 14:54:30.899</v>
      </c>
      <c r="C2254" t="str">
        <f t="shared" si="1216"/>
        <v>FFDFD3C0</v>
      </c>
      <c r="D2254" t="s">
        <v>151</v>
      </c>
      <c r="E2254">
        <v>8</v>
      </c>
      <c r="H2254">
        <v>225</v>
      </c>
      <c r="I2254" t="s">
        <v>353</v>
      </c>
      <c r="J2254" t="s">
        <v>150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241"/>
        <v>14:54:36.570</v>
      </c>
      <c r="T2254" t="str">
        <f t="shared" si="1241"/>
        <v>14:54:36.570</v>
      </c>
      <c r="U2254" t="str">
        <f t="shared" si="1235"/>
        <v>ACC530</v>
      </c>
      <c r="V2254">
        <v>0</v>
      </c>
      <c r="W2254">
        <v>0</v>
      </c>
      <c r="X2254">
        <v>1</v>
      </c>
      <c r="Z2254">
        <v>0</v>
      </c>
      <c r="AA2254">
        <v>9</v>
      </c>
      <c r="AB2254">
        <v>3</v>
      </c>
      <c r="AC2254">
        <v>0</v>
      </c>
      <c r="AD2254">
        <v>9</v>
      </c>
      <c r="AE2254">
        <v>0</v>
      </c>
      <c r="AF2254">
        <v>3</v>
      </c>
      <c r="AG2254">
        <v>1</v>
      </c>
      <c r="AH2254">
        <v>0</v>
      </c>
      <c r="AI2254" t="s">
        <v>814</v>
      </c>
      <c r="AJ2254">
        <v>34.160314</v>
      </c>
      <c r="AK2254" t="s">
        <v>815</v>
      </c>
      <c r="AL2254">
        <v>-117.040336</v>
      </c>
      <c r="AM2254">
        <v>100</v>
      </c>
      <c r="AN2254">
        <v>7500</v>
      </c>
      <c r="AO2254" t="s">
        <v>118</v>
      </c>
      <c r="AP2254">
        <v>-84</v>
      </c>
      <c r="AQ2254">
        <v>-83</v>
      </c>
      <c r="AR2254">
        <v>-1152</v>
      </c>
      <c r="AZ2254">
        <v>1200</v>
      </c>
      <c r="BA2254">
        <v>1</v>
      </c>
      <c r="BB2254" t="str">
        <f t="shared" si="1236"/>
        <v xml:space="preserve">N9217B  </v>
      </c>
      <c r="BC2254">
        <v>1</v>
      </c>
      <c r="BE2254">
        <v>0</v>
      </c>
      <c r="BF2254">
        <v>0</v>
      </c>
      <c r="BG2254">
        <v>0</v>
      </c>
      <c r="BH2254">
        <v>7450</v>
      </c>
      <c r="BI2254">
        <v>1</v>
      </c>
      <c r="BJ2254">
        <v>0</v>
      </c>
      <c r="BK2254">
        <v>0</v>
      </c>
      <c r="BL2254">
        <v>0</v>
      </c>
      <c r="BO2254">
        <v>0</v>
      </c>
      <c r="BP2254">
        <v>0</v>
      </c>
      <c r="BW2254" t="str">
        <f t="shared" si="1242"/>
        <v>14:54:36.575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119</v>
      </c>
      <c r="CQ2254">
        <v>285</v>
      </c>
      <c r="CR2254">
        <v>0</v>
      </c>
      <c r="CW2254">
        <v>8863722</v>
      </c>
      <c r="CY2254">
        <v>0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25">
      <c r="A2255" t="str">
        <f t="shared" si="1240"/>
        <v>06/05/2020 14:54:30.899</v>
      </c>
      <c r="C2255" t="str">
        <f t="shared" si="1216"/>
        <v>FFDFD3C0</v>
      </c>
      <c r="D2255" t="s">
        <v>151</v>
      </c>
      <c r="E2255">
        <v>9</v>
      </c>
      <c r="H2255">
        <v>226</v>
      </c>
      <c r="I2255" t="s">
        <v>152</v>
      </c>
      <c r="J2255" t="s">
        <v>150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241"/>
        <v>14:54:36.570</v>
      </c>
      <c r="T2255" t="str">
        <f t="shared" si="1241"/>
        <v>14:54:36.570</v>
      </c>
      <c r="U2255" t="str">
        <f t="shared" si="1235"/>
        <v>ACC530</v>
      </c>
      <c r="V2255">
        <v>0</v>
      </c>
      <c r="W2255">
        <v>0</v>
      </c>
      <c r="X2255">
        <v>1</v>
      </c>
      <c r="Z2255">
        <v>0</v>
      </c>
      <c r="AA2255">
        <v>9</v>
      </c>
      <c r="AB2255">
        <v>3</v>
      </c>
      <c r="AC2255">
        <v>0</v>
      </c>
      <c r="AD2255">
        <v>9</v>
      </c>
      <c r="AE2255">
        <v>0</v>
      </c>
      <c r="AF2255">
        <v>3</v>
      </c>
      <c r="AG2255">
        <v>1</v>
      </c>
      <c r="AH2255">
        <v>0</v>
      </c>
      <c r="AI2255" t="s">
        <v>814</v>
      </c>
      <c r="AJ2255">
        <v>34.160314</v>
      </c>
      <c r="AK2255" t="s">
        <v>815</v>
      </c>
      <c r="AL2255">
        <v>-117.040336</v>
      </c>
      <c r="AM2255">
        <v>100</v>
      </c>
      <c r="AN2255">
        <v>7500</v>
      </c>
      <c r="AO2255" t="s">
        <v>118</v>
      </c>
      <c r="AP2255">
        <v>-84</v>
      </c>
      <c r="AQ2255">
        <v>-83</v>
      </c>
      <c r="AR2255">
        <v>-1152</v>
      </c>
      <c r="AZ2255">
        <v>1200</v>
      </c>
      <c r="BA2255">
        <v>1</v>
      </c>
      <c r="BB2255" t="str">
        <f t="shared" si="1236"/>
        <v xml:space="preserve">N9217B  </v>
      </c>
      <c r="BC2255">
        <v>1</v>
      </c>
      <c r="BE2255">
        <v>0</v>
      </c>
      <c r="BF2255">
        <v>0</v>
      </c>
      <c r="BG2255">
        <v>0</v>
      </c>
      <c r="BH2255">
        <v>7450</v>
      </c>
      <c r="BI2255">
        <v>1</v>
      </c>
      <c r="BJ2255">
        <v>0</v>
      </c>
      <c r="BK2255">
        <v>0</v>
      </c>
      <c r="BL2255">
        <v>0</v>
      </c>
      <c r="BO2255">
        <v>0</v>
      </c>
      <c r="BP2255">
        <v>0</v>
      </c>
      <c r="BW2255" t="str">
        <f t="shared" si="1242"/>
        <v>14:54:36.575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285</v>
      </c>
      <c r="CR2255">
        <v>0</v>
      </c>
      <c r="CW2255">
        <v>8863722</v>
      </c>
      <c r="CY2255">
        <v>0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25">
      <c r="A2256" t="str">
        <f t="shared" si="1240"/>
        <v>06/05/2020 14:54:30.899</v>
      </c>
      <c r="C2256" t="str">
        <f t="shared" si="1216"/>
        <v>FFDFD3C0</v>
      </c>
      <c r="D2256" t="s">
        <v>134</v>
      </c>
      <c r="E2256">
        <v>7</v>
      </c>
      <c r="F2256">
        <v>2007</v>
      </c>
      <c r="G2256" t="s">
        <v>135</v>
      </c>
      <c r="J2256" t="s">
        <v>136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241"/>
        <v>14:54:36.570</v>
      </c>
      <c r="T2256" t="str">
        <f t="shared" si="1241"/>
        <v>14:54:36.570</v>
      </c>
      <c r="U2256" t="str">
        <f t="shared" si="1235"/>
        <v>ACC530</v>
      </c>
      <c r="V2256">
        <v>0</v>
      </c>
      <c r="W2256">
        <v>0</v>
      </c>
      <c r="X2256">
        <v>1</v>
      </c>
      <c r="Z2256">
        <v>0</v>
      </c>
      <c r="AA2256">
        <v>9</v>
      </c>
      <c r="AB2256">
        <v>3</v>
      </c>
      <c r="AC2256">
        <v>0</v>
      </c>
      <c r="AD2256">
        <v>9</v>
      </c>
      <c r="AE2256">
        <v>0</v>
      </c>
      <c r="AF2256">
        <v>3</v>
      </c>
      <c r="AG2256">
        <v>1</v>
      </c>
      <c r="AH2256">
        <v>0</v>
      </c>
      <c r="AI2256" t="s">
        <v>814</v>
      </c>
      <c r="AJ2256">
        <v>34.160314</v>
      </c>
      <c r="AK2256" t="s">
        <v>815</v>
      </c>
      <c r="AL2256">
        <v>-117.040336</v>
      </c>
      <c r="AM2256">
        <v>100</v>
      </c>
      <c r="AN2256">
        <v>7500</v>
      </c>
      <c r="AO2256" t="s">
        <v>118</v>
      </c>
      <c r="AP2256">
        <v>-84</v>
      </c>
      <c r="AQ2256">
        <v>-83</v>
      </c>
      <c r="AR2256">
        <v>-1152</v>
      </c>
      <c r="AZ2256">
        <v>1200</v>
      </c>
      <c r="BA2256">
        <v>1</v>
      </c>
      <c r="BB2256" t="str">
        <f t="shared" si="1236"/>
        <v xml:space="preserve">N9217B  </v>
      </c>
      <c r="BC2256">
        <v>1</v>
      </c>
      <c r="BE2256">
        <v>0</v>
      </c>
      <c r="BF2256">
        <v>0</v>
      </c>
      <c r="BG2256">
        <v>0</v>
      </c>
      <c r="BH2256">
        <v>7450</v>
      </c>
      <c r="BI2256">
        <v>1</v>
      </c>
      <c r="BJ2256">
        <v>0</v>
      </c>
      <c r="BK2256">
        <v>0</v>
      </c>
      <c r="BL2256">
        <v>0</v>
      </c>
      <c r="BO2256">
        <v>0</v>
      </c>
      <c r="BP2256">
        <v>0</v>
      </c>
      <c r="BW2256" t="str">
        <f t="shared" si="1242"/>
        <v>14:54:36.575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285</v>
      </c>
      <c r="CR2256">
        <v>0</v>
      </c>
      <c r="CW2256">
        <v>8863722</v>
      </c>
      <c r="CY2256">
        <v>0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25">
      <c r="A2257" t="str">
        <f t="shared" si="1240"/>
        <v>06/05/2020 14:54:30.899</v>
      </c>
      <c r="C2257" t="str">
        <f t="shared" si="1216"/>
        <v>FFDFD3C0</v>
      </c>
      <c r="D2257" t="s">
        <v>113</v>
      </c>
      <c r="E2257">
        <v>3</v>
      </c>
      <c r="H2257">
        <v>166</v>
      </c>
      <c r="I2257" t="s">
        <v>114</v>
      </c>
      <c r="J2257" t="s">
        <v>115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241"/>
        <v>14:54:36.570</v>
      </c>
      <c r="T2257" t="str">
        <f t="shared" si="1241"/>
        <v>14:54:36.570</v>
      </c>
      <c r="U2257" t="str">
        <f t="shared" si="1235"/>
        <v>ACC530</v>
      </c>
      <c r="V2257">
        <v>0</v>
      </c>
      <c r="W2257">
        <v>0</v>
      </c>
      <c r="X2257">
        <v>1</v>
      </c>
      <c r="Z2257">
        <v>0</v>
      </c>
      <c r="AA2257">
        <v>9</v>
      </c>
      <c r="AB2257">
        <v>3</v>
      </c>
      <c r="AC2257">
        <v>0</v>
      </c>
      <c r="AD2257">
        <v>9</v>
      </c>
      <c r="AE2257">
        <v>0</v>
      </c>
      <c r="AF2257">
        <v>3</v>
      </c>
      <c r="AG2257">
        <v>1</v>
      </c>
      <c r="AH2257">
        <v>0</v>
      </c>
      <c r="AI2257" t="s">
        <v>814</v>
      </c>
      <c r="AJ2257">
        <v>34.160314</v>
      </c>
      <c r="AK2257" t="s">
        <v>815</v>
      </c>
      <c r="AL2257">
        <v>-117.040336</v>
      </c>
      <c r="AM2257">
        <v>100</v>
      </c>
      <c r="AN2257">
        <v>7500</v>
      </c>
      <c r="AO2257" t="s">
        <v>118</v>
      </c>
      <c r="AP2257">
        <v>-84</v>
      </c>
      <c r="AQ2257">
        <v>-83</v>
      </c>
      <c r="AR2257">
        <v>-1152</v>
      </c>
      <c r="AZ2257">
        <v>1200</v>
      </c>
      <c r="BA2257">
        <v>1</v>
      </c>
      <c r="BB2257" t="str">
        <f t="shared" si="1236"/>
        <v xml:space="preserve">N9217B  </v>
      </c>
      <c r="BC2257">
        <v>1</v>
      </c>
      <c r="BE2257">
        <v>0</v>
      </c>
      <c r="BF2257">
        <v>0</v>
      </c>
      <c r="BG2257">
        <v>0</v>
      </c>
      <c r="BH2257">
        <v>7450</v>
      </c>
      <c r="BI2257">
        <v>1</v>
      </c>
      <c r="BJ2257">
        <v>0</v>
      </c>
      <c r="BK2257">
        <v>0</v>
      </c>
      <c r="BL2257">
        <v>0</v>
      </c>
      <c r="BO2257">
        <v>0</v>
      </c>
      <c r="BP2257">
        <v>0</v>
      </c>
      <c r="BW2257" t="str">
        <f t="shared" si="1242"/>
        <v>14:54:36.575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285</v>
      </c>
      <c r="CR2257">
        <v>0</v>
      </c>
      <c r="CW2257">
        <v>8863722</v>
      </c>
      <c r="CY2257">
        <v>0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25">
      <c r="A2258" t="str">
        <f t="shared" si="1240"/>
        <v>06/05/2020 14:54:30.899</v>
      </c>
      <c r="C2258" t="str">
        <f t="shared" si="1216"/>
        <v>FFDFD3C0</v>
      </c>
      <c r="D2258" t="s">
        <v>148</v>
      </c>
      <c r="E2258">
        <v>8</v>
      </c>
      <c r="H2258">
        <v>50</v>
      </c>
      <c r="I2258" t="s">
        <v>149</v>
      </c>
      <c r="J2258" t="s">
        <v>150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241"/>
        <v>14:54:36.570</v>
      </c>
      <c r="T2258" t="str">
        <f t="shared" si="1241"/>
        <v>14:54:36.570</v>
      </c>
      <c r="U2258" t="str">
        <f t="shared" si="1235"/>
        <v>ACC530</v>
      </c>
      <c r="V2258">
        <v>0</v>
      </c>
      <c r="W2258">
        <v>0</v>
      </c>
      <c r="X2258">
        <v>1</v>
      </c>
      <c r="Z2258">
        <v>0</v>
      </c>
      <c r="AA2258">
        <v>9</v>
      </c>
      <c r="AB2258">
        <v>3</v>
      </c>
      <c r="AC2258">
        <v>0</v>
      </c>
      <c r="AD2258">
        <v>9</v>
      </c>
      <c r="AE2258">
        <v>0</v>
      </c>
      <c r="AF2258">
        <v>3</v>
      </c>
      <c r="AG2258">
        <v>1</v>
      </c>
      <c r="AH2258">
        <v>0</v>
      </c>
      <c r="AI2258" t="s">
        <v>814</v>
      </c>
      <c r="AJ2258">
        <v>34.160314</v>
      </c>
      <c r="AK2258" t="s">
        <v>815</v>
      </c>
      <c r="AL2258">
        <v>-117.040336</v>
      </c>
      <c r="AM2258">
        <v>100</v>
      </c>
      <c r="AN2258">
        <v>7500</v>
      </c>
      <c r="AO2258" t="s">
        <v>118</v>
      </c>
      <c r="AP2258">
        <v>-84</v>
      </c>
      <c r="AQ2258">
        <v>-83</v>
      </c>
      <c r="AR2258">
        <v>-1152</v>
      </c>
      <c r="AZ2258">
        <v>1200</v>
      </c>
      <c r="BA2258">
        <v>1</v>
      </c>
      <c r="BB2258" t="str">
        <f t="shared" si="1236"/>
        <v xml:space="preserve">N9217B  </v>
      </c>
      <c r="BC2258">
        <v>1</v>
      </c>
      <c r="BE2258">
        <v>0</v>
      </c>
      <c r="BF2258">
        <v>0</v>
      </c>
      <c r="BG2258">
        <v>0</v>
      </c>
      <c r="BH2258">
        <v>7450</v>
      </c>
      <c r="BI2258">
        <v>1</v>
      </c>
      <c r="BJ2258">
        <v>0</v>
      </c>
      <c r="BK2258">
        <v>0</v>
      </c>
      <c r="BL2258">
        <v>0</v>
      </c>
      <c r="BO2258">
        <v>0</v>
      </c>
      <c r="BP2258">
        <v>0</v>
      </c>
      <c r="BW2258" t="str">
        <f t="shared" si="1242"/>
        <v>14:54:36.575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285</v>
      </c>
      <c r="CR2258">
        <v>0</v>
      </c>
      <c r="CW2258">
        <v>8863722</v>
      </c>
      <c r="CY2258">
        <v>0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25">
      <c r="A2259" t="str">
        <f t="shared" si="1240"/>
        <v>06/05/2020 14:54:30.899</v>
      </c>
      <c r="C2259" t="str">
        <f t="shared" si="1216"/>
        <v>FFDFD3C0</v>
      </c>
      <c r="D2259" t="s">
        <v>141</v>
      </c>
      <c r="E2259">
        <v>20</v>
      </c>
      <c r="F2259">
        <v>1020</v>
      </c>
      <c r="G2259" t="s">
        <v>114</v>
      </c>
      <c r="J2259" t="s">
        <v>142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241"/>
        <v>14:54:36.570</v>
      </c>
      <c r="T2259" t="str">
        <f t="shared" si="1241"/>
        <v>14:54:36.570</v>
      </c>
      <c r="U2259" t="str">
        <f t="shared" si="1235"/>
        <v>ACC530</v>
      </c>
      <c r="V2259">
        <v>0</v>
      </c>
      <c r="W2259">
        <v>0</v>
      </c>
      <c r="X2259">
        <v>1</v>
      </c>
      <c r="Z2259">
        <v>0</v>
      </c>
      <c r="AA2259">
        <v>9</v>
      </c>
      <c r="AB2259">
        <v>3</v>
      </c>
      <c r="AC2259">
        <v>0</v>
      </c>
      <c r="AD2259">
        <v>9</v>
      </c>
      <c r="AE2259">
        <v>0</v>
      </c>
      <c r="AF2259">
        <v>3</v>
      </c>
      <c r="AG2259">
        <v>1</v>
      </c>
      <c r="AH2259">
        <v>0</v>
      </c>
      <c r="AI2259" t="s">
        <v>814</v>
      </c>
      <c r="AJ2259">
        <v>34.160314</v>
      </c>
      <c r="AK2259" t="s">
        <v>815</v>
      </c>
      <c r="AL2259">
        <v>-117.040336</v>
      </c>
      <c r="AM2259">
        <v>100</v>
      </c>
      <c r="AN2259">
        <v>7500</v>
      </c>
      <c r="AO2259" t="s">
        <v>118</v>
      </c>
      <c r="AP2259">
        <v>-84</v>
      </c>
      <c r="AQ2259">
        <v>-83</v>
      </c>
      <c r="AR2259">
        <v>-1152</v>
      </c>
      <c r="AZ2259">
        <v>1200</v>
      </c>
      <c r="BA2259">
        <v>1</v>
      </c>
      <c r="BB2259" t="str">
        <f t="shared" si="1236"/>
        <v xml:space="preserve">N9217B  </v>
      </c>
      <c r="BC2259">
        <v>1</v>
      </c>
      <c r="BE2259">
        <v>0</v>
      </c>
      <c r="BF2259">
        <v>0</v>
      </c>
      <c r="BG2259">
        <v>0</v>
      </c>
      <c r="BH2259">
        <v>7450</v>
      </c>
      <c r="BI2259">
        <v>1</v>
      </c>
      <c r="BJ2259">
        <v>0</v>
      </c>
      <c r="BK2259">
        <v>0</v>
      </c>
      <c r="BL2259">
        <v>0</v>
      </c>
      <c r="BO2259">
        <v>0</v>
      </c>
      <c r="BP2259">
        <v>0</v>
      </c>
      <c r="BW2259" t="str">
        <f t="shared" si="1242"/>
        <v>14:54:36.575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285</v>
      </c>
      <c r="CR2259">
        <v>0</v>
      </c>
      <c r="CW2259">
        <v>8863722</v>
      </c>
      <c r="CY2259">
        <v>0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25">
      <c r="A2260" t="str">
        <f t="shared" ref="A2260:A2266" si="1243">"06/05/2020 14:54:31.812"</f>
        <v>06/05/2020 14:54:31.812</v>
      </c>
      <c r="C2260" t="str">
        <f t="shared" si="1216"/>
        <v>FFDFD3C0</v>
      </c>
      <c r="D2260" t="s">
        <v>148</v>
      </c>
      <c r="E2260">
        <v>11</v>
      </c>
      <c r="H2260">
        <v>53</v>
      </c>
      <c r="I2260" t="s">
        <v>364</v>
      </c>
      <c r="J2260" t="s">
        <v>150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ref="S2260:S2266" si="1244">"14:54:37.453"</f>
        <v>14:54:37.453</v>
      </c>
      <c r="T2260" t="str">
        <f t="shared" ref="T2260:T2266" si="1245">"14:54:37.153"</f>
        <v>14:54:37.153</v>
      </c>
      <c r="U2260" t="str">
        <f t="shared" si="1235"/>
        <v>ACC530</v>
      </c>
      <c r="V2260">
        <v>0</v>
      </c>
      <c r="W2260">
        <v>0</v>
      </c>
      <c r="X2260">
        <v>1</v>
      </c>
      <c r="Z2260">
        <v>0</v>
      </c>
      <c r="AA2260">
        <v>9</v>
      </c>
      <c r="AB2260">
        <v>3</v>
      </c>
      <c r="AC2260">
        <v>0</v>
      </c>
      <c r="AD2260">
        <v>9</v>
      </c>
      <c r="AE2260">
        <v>0</v>
      </c>
      <c r="AF2260">
        <v>3</v>
      </c>
      <c r="AG2260">
        <v>1</v>
      </c>
      <c r="AH2260">
        <v>0</v>
      </c>
      <c r="AI2260" t="s">
        <v>816</v>
      </c>
      <c r="AJ2260">
        <v>34.159948999999997</v>
      </c>
      <c r="AK2260" t="s">
        <v>817</v>
      </c>
      <c r="AL2260">
        <v>-117.04078699999999</v>
      </c>
      <c r="AM2260">
        <v>100</v>
      </c>
      <c r="AN2260">
        <v>7500</v>
      </c>
      <c r="AO2260" t="s">
        <v>118</v>
      </c>
      <c r="AP2260">
        <v>-83</v>
      </c>
      <c r="AQ2260">
        <v>-84</v>
      </c>
      <c r="AR2260">
        <v>-1152</v>
      </c>
      <c r="AZ2260">
        <v>1200</v>
      </c>
      <c r="BA2260">
        <v>1</v>
      </c>
      <c r="BB2260" t="str">
        <f t="shared" si="1236"/>
        <v xml:space="preserve">N9217B  </v>
      </c>
      <c r="BC2260">
        <v>1</v>
      </c>
      <c r="BE2260">
        <v>0</v>
      </c>
      <c r="BF2260">
        <v>0</v>
      </c>
      <c r="BG2260">
        <v>0</v>
      </c>
      <c r="BH2260">
        <v>7425</v>
      </c>
      <c r="BI2260">
        <v>1</v>
      </c>
      <c r="BJ2260">
        <v>0</v>
      </c>
      <c r="BK2260">
        <v>0</v>
      </c>
      <c r="BL2260">
        <v>0</v>
      </c>
      <c r="BO2260">
        <v>0</v>
      </c>
      <c r="BP2260">
        <v>0</v>
      </c>
      <c r="BW2260" t="str">
        <f t="shared" ref="BW2260:BW2266" si="1246">"14:54:37.460"</f>
        <v>14:54:37.460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285</v>
      </c>
      <c r="CR2260">
        <v>0</v>
      </c>
      <c r="CW2260">
        <v>8863802</v>
      </c>
      <c r="CY2260">
        <v>0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25">
      <c r="A2261" t="str">
        <f t="shared" si="1243"/>
        <v>06/05/2020 14:54:31.812</v>
      </c>
      <c r="C2261" t="str">
        <f t="shared" si="1216"/>
        <v>FFDFD3C0</v>
      </c>
      <c r="D2261" t="s">
        <v>151</v>
      </c>
      <c r="E2261">
        <v>8</v>
      </c>
      <c r="H2261">
        <v>225</v>
      </c>
      <c r="I2261" t="s">
        <v>353</v>
      </c>
      <c r="J2261" t="s">
        <v>150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244"/>
        <v>14:54:37.453</v>
      </c>
      <c r="T2261" t="str">
        <f t="shared" si="1245"/>
        <v>14:54:37.153</v>
      </c>
      <c r="U2261" t="str">
        <f t="shared" si="1235"/>
        <v>ACC530</v>
      </c>
      <c r="V2261">
        <v>0</v>
      </c>
      <c r="W2261">
        <v>0</v>
      </c>
      <c r="X2261">
        <v>1</v>
      </c>
      <c r="Z2261">
        <v>0</v>
      </c>
      <c r="AA2261">
        <v>9</v>
      </c>
      <c r="AB2261">
        <v>3</v>
      </c>
      <c r="AC2261">
        <v>0</v>
      </c>
      <c r="AD2261">
        <v>9</v>
      </c>
      <c r="AE2261">
        <v>0</v>
      </c>
      <c r="AF2261">
        <v>3</v>
      </c>
      <c r="AG2261">
        <v>1</v>
      </c>
      <c r="AH2261">
        <v>0</v>
      </c>
      <c r="AI2261" t="s">
        <v>816</v>
      </c>
      <c r="AJ2261">
        <v>34.159948999999997</v>
      </c>
      <c r="AK2261" t="s">
        <v>817</v>
      </c>
      <c r="AL2261">
        <v>-117.04078699999999</v>
      </c>
      <c r="AM2261">
        <v>100</v>
      </c>
      <c r="AN2261">
        <v>7500</v>
      </c>
      <c r="AO2261" t="s">
        <v>118</v>
      </c>
      <c r="AP2261">
        <v>-83</v>
      </c>
      <c r="AQ2261">
        <v>-84</v>
      </c>
      <c r="AR2261">
        <v>-1152</v>
      </c>
      <c r="AZ2261">
        <v>1200</v>
      </c>
      <c r="BA2261">
        <v>1</v>
      </c>
      <c r="BB2261" t="str">
        <f t="shared" si="1236"/>
        <v xml:space="preserve">N9217B  </v>
      </c>
      <c r="BC2261">
        <v>1</v>
      </c>
      <c r="BE2261">
        <v>0</v>
      </c>
      <c r="BF2261">
        <v>0</v>
      </c>
      <c r="BG2261">
        <v>0</v>
      </c>
      <c r="BH2261">
        <v>7425</v>
      </c>
      <c r="BI2261">
        <v>1</v>
      </c>
      <c r="BJ2261">
        <v>0</v>
      </c>
      <c r="BK2261">
        <v>0</v>
      </c>
      <c r="BL2261">
        <v>0</v>
      </c>
      <c r="BO2261">
        <v>0</v>
      </c>
      <c r="BP2261">
        <v>0</v>
      </c>
      <c r="BW2261" t="str">
        <f t="shared" si="1246"/>
        <v>14:54:37.460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285</v>
      </c>
      <c r="CR2261">
        <v>0</v>
      </c>
      <c r="CW2261">
        <v>8863802</v>
      </c>
      <c r="CY2261">
        <v>0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25">
      <c r="A2262" t="str">
        <f t="shared" si="1243"/>
        <v>06/05/2020 14:54:31.812</v>
      </c>
      <c r="C2262" t="str">
        <f t="shared" si="1216"/>
        <v>FFDFD3C0</v>
      </c>
      <c r="D2262" t="s">
        <v>151</v>
      </c>
      <c r="E2262">
        <v>9</v>
      </c>
      <c r="H2262">
        <v>226</v>
      </c>
      <c r="I2262" t="s">
        <v>152</v>
      </c>
      <c r="J2262" t="s">
        <v>150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244"/>
        <v>14:54:37.453</v>
      </c>
      <c r="T2262" t="str">
        <f t="shared" si="1245"/>
        <v>14:54:37.153</v>
      </c>
      <c r="U2262" t="str">
        <f t="shared" si="1235"/>
        <v>ACC530</v>
      </c>
      <c r="V2262">
        <v>0</v>
      </c>
      <c r="W2262">
        <v>0</v>
      </c>
      <c r="X2262">
        <v>1</v>
      </c>
      <c r="Z2262">
        <v>0</v>
      </c>
      <c r="AA2262">
        <v>9</v>
      </c>
      <c r="AB2262">
        <v>3</v>
      </c>
      <c r="AC2262">
        <v>0</v>
      </c>
      <c r="AD2262">
        <v>9</v>
      </c>
      <c r="AE2262">
        <v>0</v>
      </c>
      <c r="AF2262">
        <v>3</v>
      </c>
      <c r="AG2262">
        <v>1</v>
      </c>
      <c r="AH2262">
        <v>0</v>
      </c>
      <c r="AI2262" t="s">
        <v>816</v>
      </c>
      <c r="AJ2262">
        <v>34.159948999999997</v>
      </c>
      <c r="AK2262" t="s">
        <v>817</v>
      </c>
      <c r="AL2262">
        <v>-117.04078699999999</v>
      </c>
      <c r="AM2262">
        <v>100</v>
      </c>
      <c r="AN2262">
        <v>7500</v>
      </c>
      <c r="AO2262" t="s">
        <v>118</v>
      </c>
      <c r="AP2262">
        <v>-83</v>
      </c>
      <c r="AQ2262">
        <v>-84</v>
      </c>
      <c r="AR2262">
        <v>-1152</v>
      </c>
      <c r="AZ2262">
        <v>1200</v>
      </c>
      <c r="BA2262">
        <v>1</v>
      </c>
      <c r="BB2262" t="str">
        <f t="shared" si="1236"/>
        <v xml:space="preserve">N9217B  </v>
      </c>
      <c r="BC2262">
        <v>1</v>
      </c>
      <c r="BE2262">
        <v>0</v>
      </c>
      <c r="BF2262">
        <v>0</v>
      </c>
      <c r="BG2262">
        <v>0</v>
      </c>
      <c r="BH2262">
        <v>7425</v>
      </c>
      <c r="BI2262">
        <v>1</v>
      </c>
      <c r="BJ2262">
        <v>0</v>
      </c>
      <c r="BK2262">
        <v>0</v>
      </c>
      <c r="BL2262">
        <v>0</v>
      </c>
      <c r="BO2262">
        <v>0</v>
      </c>
      <c r="BP2262">
        <v>0</v>
      </c>
      <c r="BW2262" t="str">
        <f t="shared" si="1246"/>
        <v>14:54:37.460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285</v>
      </c>
      <c r="CR2262">
        <v>0</v>
      </c>
      <c r="CW2262">
        <v>8863802</v>
      </c>
      <c r="CY2262">
        <v>0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25">
      <c r="A2263" t="str">
        <f t="shared" si="1243"/>
        <v>06/05/2020 14:54:31.812</v>
      </c>
      <c r="C2263" t="str">
        <f t="shared" si="1216"/>
        <v>FFDFD3C0</v>
      </c>
      <c r="D2263" t="s">
        <v>113</v>
      </c>
      <c r="E2263">
        <v>3</v>
      </c>
      <c r="H2263">
        <v>166</v>
      </c>
      <c r="I2263" t="s">
        <v>114</v>
      </c>
      <c r="J2263" t="s">
        <v>115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244"/>
        <v>14:54:37.453</v>
      </c>
      <c r="T2263" t="str">
        <f t="shared" si="1245"/>
        <v>14:54:37.153</v>
      </c>
      <c r="U2263" t="str">
        <f t="shared" si="1235"/>
        <v>ACC530</v>
      </c>
      <c r="V2263">
        <v>0</v>
      </c>
      <c r="W2263">
        <v>0</v>
      </c>
      <c r="X2263">
        <v>1</v>
      </c>
      <c r="Z2263">
        <v>0</v>
      </c>
      <c r="AA2263">
        <v>9</v>
      </c>
      <c r="AB2263">
        <v>3</v>
      </c>
      <c r="AC2263">
        <v>0</v>
      </c>
      <c r="AD2263">
        <v>9</v>
      </c>
      <c r="AE2263">
        <v>0</v>
      </c>
      <c r="AF2263">
        <v>3</v>
      </c>
      <c r="AG2263">
        <v>1</v>
      </c>
      <c r="AH2263">
        <v>0</v>
      </c>
      <c r="AI2263" t="s">
        <v>816</v>
      </c>
      <c r="AJ2263">
        <v>34.159948999999997</v>
      </c>
      <c r="AK2263" t="s">
        <v>817</v>
      </c>
      <c r="AL2263">
        <v>-117.04078699999999</v>
      </c>
      <c r="AM2263">
        <v>100</v>
      </c>
      <c r="AN2263">
        <v>7500</v>
      </c>
      <c r="AO2263" t="s">
        <v>118</v>
      </c>
      <c r="AP2263">
        <v>-83</v>
      </c>
      <c r="AQ2263">
        <v>-84</v>
      </c>
      <c r="AR2263">
        <v>-1152</v>
      </c>
      <c r="AZ2263">
        <v>1200</v>
      </c>
      <c r="BA2263">
        <v>1</v>
      </c>
      <c r="BB2263" t="str">
        <f t="shared" si="1236"/>
        <v xml:space="preserve">N9217B  </v>
      </c>
      <c r="BC2263">
        <v>1</v>
      </c>
      <c r="BE2263">
        <v>0</v>
      </c>
      <c r="BF2263">
        <v>0</v>
      </c>
      <c r="BG2263">
        <v>0</v>
      </c>
      <c r="BH2263">
        <v>7425</v>
      </c>
      <c r="BI2263">
        <v>1</v>
      </c>
      <c r="BJ2263">
        <v>0</v>
      </c>
      <c r="BK2263">
        <v>0</v>
      </c>
      <c r="BL2263">
        <v>0</v>
      </c>
      <c r="BO2263">
        <v>0</v>
      </c>
      <c r="BP2263">
        <v>0</v>
      </c>
      <c r="BW2263" t="str">
        <f t="shared" si="1246"/>
        <v>14:54:37.460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285</v>
      </c>
      <c r="CR2263">
        <v>0</v>
      </c>
      <c r="CW2263">
        <v>8863802</v>
      </c>
      <c r="CY2263">
        <v>0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25">
      <c r="A2264" t="str">
        <f t="shared" si="1243"/>
        <v>06/05/2020 14:54:31.812</v>
      </c>
      <c r="C2264" t="str">
        <f t="shared" si="1216"/>
        <v>FFDFD3C0</v>
      </c>
      <c r="D2264" t="s">
        <v>148</v>
      </c>
      <c r="E2264">
        <v>8</v>
      </c>
      <c r="H2264">
        <v>50</v>
      </c>
      <c r="I2264" t="s">
        <v>149</v>
      </c>
      <c r="J2264" t="s">
        <v>150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244"/>
        <v>14:54:37.453</v>
      </c>
      <c r="T2264" t="str">
        <f t="shared" si="1245"/>
        <v>14:54:37.153</v>
      </c>
      <c r="U2264" t="str">
        <f t="shared" si="1235"/>
        <v>ACC530</v>
      </c>
      <c r="V2264">
        <v>0</v>
      </c>
      <c r="W2264">
        <v>0</v>
      </c>
      <c r="X2264">
        <v>1</v>
      </c>
      <c r="Z2264">
        <v>0</v>
      </c>
      <c r="AA2264">
        <v>9</v>
      </c>
      <c r="AB2264">
        <v>3</v>
      </c>
      <c r="AC2264">
        <v>0</v>
      </c>
      <c r="AD2264">
        <v>9</v>
      </c>
      <c r="AE2264">
        <v>0</v>
      </c>
      <c r="AF2264">
        <v>3</v>
      </c>
      <c r="AG2264">
        <v>1</v>
      </c>
      <c r="AH2264">
        <v>0</v>
      </c>
      <c r="AI2264" t="s">
        <v>816</v>
      </c>
      <c r="AJ2264">
        <v>34.159948999999997</v>
      </c>
      <c r="AK2264" t="s">
        <v>817</v>
      </c>
      <c r="AL2264">
        <v>-117.04078699999999</v>
      </c>
      <c r="AM2264">
        <v>100</v>
      </c>
      <c r="AN2264">
        <v>7500</v>
      </c>
      <c r="AO2264" t="s">
        <v>118</v>
      </c>
      <c r="AP2264">
        <v>-83</v>
      </c>
      <c r="AQ2264">
        <v>-84</v>
      </c>
      <c r="AR2264">
        <v>-1152</v>
      </c>
      <c r="AZ2264">
        <v>1200</v>
      </c>
      <c r="BA2264">
        <v>1</v>
      </c>
      <c r="BB2264" t="str">
        <f t="shared" si="1236"/>
        <v xml:space="preserve">N9217B  </v>
      </c>
      <c r="BC2264">
        <v>1</v>
      </c>
      <c r="BE2264">
        <v>0</v>
      </c>
      <c r="BF2264">
        <v>0</v>
      </c>
      <c r="BG2264">
        <v>0</v>
      </c>
      <c r="BH2264">
        <v>7425</v>
      </c>
      <c r="BI2264">
        <v>1</v>
      </c>
      <c r="BJ2264">
        <v>0</v>
      </c>
      <c r="BK2264">
        <v>0</v>
      </c>
      <c r="BL2264">
        <v>0</v>
      </c>
      <c r="BO2264">
        <v>0</v>
      </c>
      <c r="BP2264">
        <v>0</v>
      </c>
      <c r="BW2264" t="str">
        <f t="shared" si="1246"/>
        <v>14:54:37.460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285</v>
      </c>
      <c r="CR2264">
        <v>0</v>
      </c>
      <c r="CW2264">
        <v>8863802</v>
      </c>
      <c r="CY2264">
        <v>0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25">
      <c r="A2265" t="str">
        <f t="shared" si="1243"/>
        <v>06/05/2020 14:54:31.812</v>
      </c>
      <c r="C2265" t="str">
        <f t="shared" si="1216"/>
        <v>FFDFD3C0</v>
      </c>
      <c r="D2265" t="s">
        <v>134</v>
      </c>
      <c r="E2265">
        <v>7</v>
      </c>
      <c r="F2265">
        <v>2007</v>
      </c>
      <c r="G2265" t="s">
        <v>135</v>
      </c>
      <c r="J2265" t="s">
        <v>136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244"/>
        <v>14:54:37.453</v>
      </c>
      <c r="T2265" t="str">
        <f t="shared" si="1245"/>
        <v>14:54:37.153</v>
      </c>
      <c r="U2265" t="str">
        <f t="shared" si="1235"/>
        <v>ACC530</v>
      </c>
      <c r="V2265">
        <v>0</v>
      </c>
      <c r="W2265">
        <v>0</v>
      </c>
      <c r="X2265">
        <v>1</v>
      </c>
      <c r="Z2265">
        <v>0</v>
      </c>
      <c r="AA2265">
        <v>9</v>
      </c>
      <c r="AB2265">
        <v>3</v>
      </c>
      <c r="AC2265">
        <v>0</v>
      </c>
      <c r="AD2265">
        <v>9</v>
      </c>
      <c r="AE2265">
        <v>0</v>
      </c>
      <c r="AF2265">
        <v>3</v>
      </c>
      <c r="AG2265">
        <v>1</v>
      </c>
      <c r="AH2265">
        <v>0</v>
      </c>
      <c r="AI2265" t="s">
        <v>816</v>
      </c>
      <c r="AJ2265">
        <v>34.159948999999997</v>
      </c>
      <c r="AK2265" t="s">
        <v>817</v>
      </c>
      <c r="AL2265">
        <v>-117.04078699999999</v>
      </c>
      <c r="AM2265">
        <v>100</v>
      </c>
      <c r="AN2265">
        <v>7500</v>
      </c>
      <c r="AO2265" t="s">
        <v>118</v>
      </c>
      <c r="AP2265">
        <v>-83</v>
      </c>
      <c r="AQ2265">
        <v>-84</v>
      </c>
      <c r="AR2265">
        <v>-1152</v>
      </c>
      <c r="AZ2265">
        <v>1200</v>
      </c>
      <c r="BA2265">
        <v>1</v>
      </c>
      <c r="BB2265" t="str">
        <f t="shared" si="1236"/>
        <v xml:space="preserve">N9217B  </v>
      </c>
      <c r="BC2265">
        <v>1</v>
      </c>
      <c r="BE2265">
        <v>0</v>
      </c>
      <c r="BF2265">
        <v>0</v>
      </c>
      <c r="BG2265">
        <v>0</v>
      </c>
      <c r="BH2265">
        <v>7425</v>
      </c>
      <c r="BI2265">
        <v>1</v>
      </c>
      <c r="BJ2265">
        <v>0</v>
      </c>
      <c r="BK2265">
        <v>0</v>
      </c>
      <c r="BL2265">
        <v>0</v>
      </c>
      <c r="BO2265">
        <v>0</v>
      </c>
      <c r="BP2265">
        <v>0</v>
      </c>
      <c r="BW2265" t="str">
        <f t="shared" si="1246"/>
        <v>14:54:37.460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285</v>
      </c>
      <c r="CR2265">
        <v>0</v>
      </c>
      <c r="CW2265">
        <v>8863802</v>
      </c>
      <c r="CY2265">
        <v>0</v>
      </c>
      <c r="CZ2265">
        <v>0</v>
      </c>
      <c r="DA2265">
        <v>1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25">
      <c r="A2266" t="str">
        <f t="shared" si="1243"/>
        <v>06/05/2020 14:54:31.812</v>
      </c>
      <c r="C2266" t="str">
        <f t="shared" si="1216"/>
        <v>FFDFD3C0</v>
      </c>
      <c r="D2266" t="s">
        <v>141</v>
      </c>
      <c r="E2266">
        <v>20</v>
      </c>
      <c r="F2266">
        <v>1020</v>
      </c>
      <c r="G2266" t="s">
        <v>114</v>
      </c>
      <c r="J2266" t="s">
        <v>142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244"/>
        <v>14:54:37.453</v>
      </c>
      <c r="T2266" t="str">
        <f t="shared" si="1245"/>
        <v>14:54:37.153</v>
      </c>
      <c r="U2266" t="str">
        <f t="shared" si="1235"/>
        <v>ACC530</v>
      </c>
      <c r="V2266">
        <v>0</v>
      </c>
      <c r="W2266">
        <v>0</v>
      </c>
      <c r="X2266">
        <v>1</v>
      </c>
      <c r="Z2266">
        <v>0</v>
      </c>
      <c r="AA2266">
        <v>9</v>
      </c>
      <c r="AB2266">
        <v>3</v>
      </c>
      <c r="AC2266">
        <v>0</v>
      </c>
      <c r="AD2266">
        <v>9</v>
      </c>
      <c r="AE2266">
        <v>0</v>
      </c>
      <c r="AF2266">
        <v>3</v>
      </c>
      <c r="AG2266">
        <v>1</v>
      </c>
      <c r="AH2266">
        <v>0</v>
      </c>
      <c r="AI2266" t="s">
        <v>816</v>
      </c>
      <c r="AJ2266">
        <v>34.159948999999997</v>
      </c>
      <c r="AK2266" t="s">
        <v>817</v>
      </c>
      <c r="AL2266">
        <v>-117.04078699999999</v>
      </c>
      <c r="AM2266">
        <v>100</v>
      </c>
      <c r="AN2266">
        <v>7500</v>
      </c>
      <c r="AO2266" t="s">
        <v>118</v>
      </c>
      <c r="AP2266">
        <v>-83</v>
      </c>
      <c r="AQ2266">
        <v>-84</v>
      </c>
      <c r="AR2266">
        <v>-1152</v>
      </c>
      <c r="AZ2266">
        <v>1200</v>
      </c>
      <c r="BA2266">
        <v>1</v>
      </c>
      <c r="BB2266" t="str">
        <f t="shared" si="1236"/>
        <v xml:space="preserve">N9217B  </v>
      </c>
      <c r="BC2266">
        <v>1</v>
      </c>
      <c r="BE2266">
        <v>0</v>
      </c>
      <c r="BF2266">
        <v>0</v>
      </c>
      <c r="BG2266">
        <v>0</v>
      </c>
      <c r="BH2266">
        <v>7425</v>
      </c>
      <c r="BI2266">
        <v>1</v>
      </c>
      <c r="BJ2266">
        <v>0</v>
      </c>
      <c r="BK2266">
        <v>0</v>
      </c>
      <c r="BL2266">
        <v>0</v>
      </c>
      <c r="BO2266">
        <v>0</v>
      </c>
      <c r="BP2266">
        <v>0</v>
      </c>
      <c r="BW2266" t="str">
        <f t="shared" si="1246"/>
        <v>14:54:37.460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285</v>
      </c>
      <c r="CR2266">
        <v>0</v>
      </c>
      <c r="CW2266">
        <v>8863802</v>
      </c>
      <c r="CY2266">
        <v>0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25">
      <c r="A2267" t="str">
        <f t="shared" ref="A2267:A2273" si="1247">"06/05/2020 14:54:32.980"</f>
        <v>06/05/2020 14:54:32.980</v>
      </c>
      <c r="C2267" t="str">
        <f t="shared" si="1216"/>
        <v>FFDFD3C0</v>
      </c>
      <c r="D2267" t="s">
        <v>151</v>
      </c>
      <c r="E2267">
        <v>8</v>
      </c>
      <c r="H2267">
        <v>225</v>
      </c>
      <c r="I2267" t="s">
        <v>353</v>
      </c>
      <c r="J2267" t="s">
        <v>150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ref="S2267:T2273" si="1248">"14:54:38.609"</f>
        <v>14:54:38.609</v>
      </c>
      <c r="T2267" t="str">
        <f t="shared" si="1248"/>
        <v>14:54:38.609</v>
      </c>
      <c r="U2267" t="str">
        <f t="shared" si="1235"/>
        <v>ACC530</v>
      </c>
      <c r="V2267">
        <v>0</v>
      </c>
      <c r="W2267">
        <v>0</v>
      </c>
      <c r="X2267">
        <v>1</v>
      </c>
      <c r="Z2267">
        <v>0</v>
      </c>
      <c r="AA2267">
        <v>9</v>
      </c>
      <c r="AB2267">
        <v>3</v>
      </c>
      <c r="AC2267">
        <v>0</v>
      </c>
      <c r="AD2267">
        <v>9</v>
      </c>
      <c r="AE2267">
        <v>0</v>
      </c>
      <c r="AF2267">
        <v>3</v>
      </c>
      <c r="AG2267">
        <v>1</v>
      </c>
      <c r="AH2267">
        <v>0</v>
      </c>
      <c r="AI2267" t="s">
        <v>818</v>
      </c>
      <c r="AJ2267">
        <v>34.159477000000003</v>
      </c>
      <c r="AK2267" t="s">
        <v>819</v>
      </c>
      <c r="AL2267">
        <v>-117.041302</v>
      </c>
      <c r="AM2267">
        <v>100</v>
      </c>
      <c r="AN2267">
        <v>7500</v>
      </c>
      <c r="AO2267" t="s">
        <v>118</v>
      </c>
      <c r="AP2267">
        <v>-80</v>
      </c>
      <c r="AQ2267">
        <v>-86</v>
      </c>
      <c r="AR2267">
        <v>-1152</v>
      </c>
      <c r="AZ2267">
        <v>1200</v>
      </c>
      <c r="BA2267">
        <v>1</v>
      </c>
      <c r="BB2267" t="str">
        <f t="shared" si="1236"/>
        <v xml:space="preserve">N9217B  </v>
      </c>
      <c r="BC2267">
        <v>1</v>
      </c>
      <c r="BE2267">
        <v>0</v>
      </c>
      <c r="BF2267">
        <v>0</v>
      </c>
      <c r="BG2267">
        <v>0</v>
      </c>
      <c r="BH2267">
        <v>7400</v>
      </c>
      <c r="BI2267">
        <v>1</v>
      </c>
      <c r="BJ2267">
        <v>0</v>
      </c>
      <c r="BK2267">
        <v>0</v>
      </c>
      <c r="BL2267">
        <v>0</v>
      </c>
      <c r="BO2267">
        <v>0</v>
      </c>
      <c r="BP2267">
        <v>0</v>
      </c>
      <c r="BW2267" t="str">
        <f t="shared" ref="BW2267:BW2273" si="1249">"14:54:38.615"</f>
        <v>14:54:38.615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285</v>
      </c>
      <c r="CR2267">
        <v>0</v>
      </c>
      <c r="CW2267">
        <v>8863908</v>
      </c>
      <c r="CY2267">
        <v>0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25">
      <c r="A2268" t="str">
        <f t="shared" si="1247"/>
        <v>06/05/2020 14:54:32.980</v>
      </c>
      <c r="C2268" t="str">
        <f t="shared" si="1216"/>
        <v>FFDFD3C0</v>
      </c>
      <c r="D2268" t="s">
        <v>151</v>
      </c>
      <c r="E2268">
        <v>9</v>
      </c>
      <c r="H2268">
        <v>226</v>
      </c>
      <c r="I2268" t="s">
        <v>152</v>
      </c>
      <c r="J2268" t="s">
        <v>150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248"/>
        <v>14:54:38.609</v>
      </c>
      <c r="T2268" t="str">
        <f t="shared" si="1248"/>
        <v>14:54:38.609</v>
      </c>
      <c r="U2268" t="str">
        <f t="shared" si="1235"/>
        <v>ACC530</v>
      </c>
      <c r="V2268">
        <v>0</v>
      </c>
      <c r="W2268">
        <v>0</v>
      </c>
      <c r="X2268">
        <v>1</v>
      </c>
      <c r="Z2268">
        <v>0</v>
      </c>
      <c r="AA2268">
        <v>9</v>
      </c>
      <c r="AB2268">
        <v>3</v>
      </c>
      <c r="AC2268">
        <v>0</v>
      </c>
      <c r="AD2268">
        <v>9</v>
      </c>
      <c r="AE2268">
        <v>0</v>
      </c>
      <c r="AF2268">
        <v>3</v>
      </c>
      <c r="AG2268">
        <v>1</v>
      </c>
      <c r="AH2268">
        <v>0</v>
      </c>
      <c r="AI2268" t="s">
        <v>818</v>
      </c>
      <c r="AJ2268">
        <v>34.159477000000003</v>
      </c>
      <c r="AK2268" t="s">
        <v>819</v>
      </c>
      <c r="AL2268">
        <v>-117.041302</v>
      </c>
      <c r="AM2268">
        <v>100</v>
      </c>
      <c r="AN2268">
        <v>7500</v>
      </c>
      <c r="AO2268" t="s">
        <v>118</v>
      </c>
      <c r="AP2268">
        <v>-80</v>
      </c>
      <c r="AQ2268">
        <v>-86</v>
      </c>
      <c r="AR2268">
        <v>-1152</v>
      </c>
      <c r="AZ2268">
        <v>1200</v>
      </c>
      <c r="BA2268">
        <v>1</v>
      </c>
      <c r="BB2268" t="str">
        <f t="shared" si="1236"/>
        <v xml:space="preserve">N9217B  </v>
      </c>
      <c r="BC2268">
        <v>1</v>
      </c>
      <c r="BE2268">
        <v>0</v>
      </c>
      <c r="BF2268">
        <v>0</v>
      </c>
      <c r="BG2268">
        <v>0</v>
      </c>
      <c r="BH2268">
        <v>7400</v>
      </c>
      <c r="BI2268">
        <v>1</v>
      </c>
      <c r="BJ2268">
        <v>0</v>
      </c>
      <c r="BK2268">
        <v>0</v>
      </c>
      <c r="BL2268">
        <v>0</v>
      </c>
      <c r="BO2268">
        <v>0</v>
      </c>
      <c r="BP2268">
        <v>0</v>
      </c>
      <c r="BW2268" t="str">
        <f t="shared" si="1249"/>
        <v>14:54:38.615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285</v>
      </c>
      <c r="CR2268">
        <v>0</v>
      </c>
      <c r="CW2268">
        <v>8863908</v>
      </c>
      <c r="CY2268">
        <v>0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25">
      <c r="A2269" t="str">
        <f t="shared" si="1247"/>
        <v>06/05/2020 14:54:32.980</v>
      </c>
      <c r="C2269" t="str">
        <f t="shared" si="1216"/>
        <v>FFDFD3C0</v>
      </c>
      <c r="D2269" t="s">
        <v>134</v>
      </c>
      <c r="E2269">
        <v>7</v>
      </c>
      <c r="F2269">
        <v>2007</v>
      </c>
      <c r="G2269" t="s">
        <v>135</v>
      </c>
      <c r="J2269" t="s">
        <v>136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248"/>
        <v>14:54:38.609</v>
      </c>
      <c r="T2269" t="str">
        <f t="shared" si="1248"/>
        <v>14:54:38.609</v>
      </c>
      <c r="U2269" t="str">
        <f t="shared" si="1235"/>
        <v>ACC530</v>
      </c>
      <c r="V2269">
        <v>0</v>
      </c>
      <c r="W2269">
        <v>0</v>
      </c>
      <c r="X2269">
        <v>1</v>
      </c>
      <c r="Z2269">
        <v>0</v>
      </c>
      <c r="AA2269">
        <v>9</v>
      </c>
      <c r="AB2269">
        <v>3</v>
      </c>
      <c r="AC2269">
        <v>0</v>
      </c>
      <c r="AD2269">
        <v>9</v>
      </c>
      <c r="AE2269">
        <v>0</v>
      </c>
      <c r="AF2269">
        <v>3</v>
      </c>
      <c r="AG2269">
        <v>1</v>
      </c>
      <c r="AH2269">
        <v>0</v>
      </c>
      <c r="AI2269" t="s">
        <v>818</v>
      </c>
      <c r="AJ2269">
        <v>34.159477000000003</v>
      </c>
      <c r="AK2269" t="s">
        <v>819</v>
      </c>
      <c r="AL2269">
        <v>-117.041302</v>
      </c>
      <c r="AM2269">
        <v>100</v>
      </c>
      <c r="AN2269">
        <v>7500</v>
      </c>
      <c r="AO2269" t="s">
        <v>118</v>
      </c>
      <c r="AP2269">
        <v>-80</v>
      </c>
      <c r="AQ2269">
        <v>-86</v>
      </c>
      <c r="AR2269">
        <v>-1152</v>
      </c>
      <c r="AZ2269">
        <v>1200</v>
      </c>
      <c r="BA2269">
        <v>1</v>
      </c>
      <c r="BB2269" t="str">
        <f t="shared" si="1236"/>
        <v xml:space="preserve">N9217B  </v>
      </c>
      <c r="BC2269">
        <v>1</v>
      </c>
      <c r="BE2269">
        <v>0</v>
      </c>
      <c r="BF2269">
        <v>0</v>
      </c>
      <c r="BG2269">
        <v>0</v>
      </c>
      <c r="BH2269">
        <v>7400</v>
      </c>
      <c r="BI2269">
        <v>1</v>
      </c>
      <c r="BJ2269">
        <v>0</v>
      </c>
      <c r="BK2269">
        <v>0</v>
      </c>
      <c r="BL2269">
        <v>0</v>
      </c>
      <c r="BO2269">
        <v>0</v>
      </c>
      <c r="BP2269">
        <v>0</v>
      </c>
      <c r="BW2269" t="str">
        <f t="shared" si="1249"/>
        <v>14:54:38.615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285</v>
      </c>
      <c r="CR2269">
        <v>0</v>
      </c>
      <c r="CW2269">
        <v>8863908</v>
      </c>
      <c r="CY2269">
        <v>0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25">
      <c r="A2270" t="str">
        <f t="shared" si="1247"/>
        <v>06/05/2020 14:54:32.980</v>
      </c>
      <c r="C2270" t="str">
        <f t="shared" si="1216"/>
        <v>FFDFD3C0</v>
      </c>
      <c r="D2270" t="s">
        <v>113</v>
      </c>
      <c r="E2270">
        <v>3</v>
      </c>
      <c r="H2270">
        <v>166</v>
      </c>
      <c r="I2270" t="s">
        <v>114</v>
      </c>
      <c r="J2270" t="s">
        <v>115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248"/>
        <v>14:54:38.609</v>
      </c>
      <c r="T2270" t="str">
        <f t="shared" si="1248"/>
        <v>14:54:38.609</v>
      </c>
      <c r="U2270" t="str">
        <f t="shared" si="1235"/>
        <v>ACC530</v>
      </c>
      <c r="V2270">
        <v>0</v>
      </c>
      <c r="W2270">
        <v>0</v>
      </c>
      <c r="X2270">
        <v>1</v>
      </c>
      <c r="Z2270">
        <v>0</v>
      </c>
      <c r="AA2270">
        <v>9</v>
      </c>
      <c r="AB2270">
        <v>3</v>
      </c>
      <c r="AC2270">
        <v>0</v>
      </c>
      <c r="AD2270">
        <v>9</v>
      </c>
      <c r="AE2270">
        <v>0</v>
      </c>
      <c r="AF2270">
        <v>3</v>
      </c>
      <c r="AG2270">
        <v>1</v>
      </c>
      <c r="AH2270">
        <v>0</v>
      </c>
      <c r="AI2270" t="s">
        <v>818</v>
      </c>
      <c r="AJ2270">
        <v>34.159477000000003</v>
      </c>
      <c r="AK2270" t="s">
        <v>819</v>
      </c>
      <c r="AL2270">
        <v>-117.041302</v>
      </c>
      <c r="AM2270">
        <v>100</v>
      </c>
      <c r="AN2270">
        <v>7500</v>
      </c>
      <c r="AO2270" t="s">
        <v>118</v>
      </c>
      <c r="AP2270">
        <v>-80</v>
      </c>
      <c r="AQ2270">
        <v>-86</v>
      </c>
      <c r="AR2270">
        <v>-1152</v>
      </c>
      <c r="AZ2270">
        <v>1200</v>
      </c>
      <c r="BA2270">
        <v>1</v>
      </c>
      <c r="BB2270" t="str">
        <f t="shared" si="1236"/>
        <v xml:space="preserve">N9217B  </v>
      </c>
      <c r="BC2270">
        <v>1</v>
      </c>
      <c r="BE2270">
        <v>0</v>
      </c>
      <c r="BF2270">
        <v>0</v>
      </c>
      <c r="BG2270">
        <v>0</v>
      </c>
      <c r="BH2270">
        <v>7400</v>
      </c>
      <c r="BI2270">
        <v>1</v>
      </c>
      <c r="BJ2270">
        <v>0</v>
      </c>
      <c r="BK2270">
        <v>0</v>
      </c>
      <c r="BL2270">
        <v>0</v>
      </c>
      <c r="BO2270">
        <v>0</v>
      </c>
      <c r="BP2270">
        <v>0</v>
      </c>
      <c r="BW2270" t="str">
        <f t="shared" si="1249"/>
        <v>14:54:38.615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285</v>
      </c>
      <c r="CR2270">
        <v>0</v>
      </c>
      <c r="CW2270">
        <v>8863908</v>
      </c>
      <c r="CY2270">
        <v>0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25">
      <c r="A2271" t="str">
        <f t="shared" si="1247"/>
        <v>06/05/2020 14:54:32.980</v>
      </c>
      <c r="C2271" t="str">
        <f t="shared" si="1216"/>
        <v>FFDFD3C0</v>
      </c>
      <c r="D2271" t="s">
        <v>148</v>
      </c>
      <c r="E2271">
        <v>8</v>
      </c>
      <c r="H2271">
        <v>50</v>
      </c>
      <c r="I2271" t="s">
        <v>149</v>
      </c>
      <c r="J2271" t="s">
        <v>150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248"/>
        <v>14:54:38.609</v>
      </c>
      <c r="T2271" t="str">
        <f t="shared" si="1248"/>
        <v>14:54:38.609</v>
      </c>
      <c r="U2271" t="str">
        <f t="shared" si="1235"/>
        <v>ACC530</v>
      </c>
      <c r="V2271">
        <v>0</v>
      </c>
      <c r="W2271">
        <v>0</v>
      </c>
      <c r="X2271">
        <v>1</v>
      </c>
      <c r="Z2271">
        <v>0</v>
      </c>
      <c r="AA2271">
        <v>9</v>
      </c>
      <c r="AB2271">
        <v>3</v>
      </c>
      <c r="AC2271">
        <v>0</v>
      </c>
      <c r="AD2271">
        <v>9</v>
      </c>
      <c r="AE2271">
        <v>0</v>
      </c>
      <c r="AF2271">
        <v>3</v>
      </c>
      <c r="AG2271">
        <v>1</v>
      </c>
      <c r="AH2271">
        <v>0</v>
      </c>
      <c r="AI2271" t="s">
        <v>818</v>
      </c>
      <c r="AJ2271">
        <v>34.159477000000003</v>
      </c>
      <c r="AK2271" t="s">
        <v>819</v>
      </c>
      <c r="AL2271">
        <v>-117.041302</v>
      </c>
      <c r="AM2271">
        <v>100</v>
      </c>
      <c r="AN2271">
        <v>7500</v>
      </c>
      <c r="AO2271" t="s">
        <v>118</v>
      </c>
      <c r="AP2271">
        <v>-80</v>
      </c>
      <c r="AQ2271">
        <v>-86</v>
      </c>
      <c r="AR2271">
        <v>-1152</v>
      </c>
      <c r="AZ2271">
        <v>1200</v>
      </c>
      <c r="BA2271">
        <v>1</v>
      </c>
      <c r="BB2271" t="str">
        <f t="shared" si="1236"/>
        <v xml:space="preserve">N9217B  </v>
      </c>
      <c r="BC2271">
        <v>1</v>
      </c>
      <c r="BE2271">
        <v>0</v>
      </c>
      <c r="BF2271">
        <v>0</v>
      </c>
      <c r="BG2271">
        <v>0</v>
      </c>
      <c r="BH2271">
        <v>7400</v>
      </c>
      <c r="BI2271">
        <v>1</v>
      </c>
      <c r="BJ2271">
        <v>0</v>
      </c>
      <c r="BK2271">
        <v>0</v>
      </c>
      <c r="BL2271">
        <v>0</v>
      </c>
      <c r="BO2271">
        <v>0</v>
      </c>
      <c r="BP2271">
        <v>0</v>
      </c>
      <c r="BW2271" t="str">
        <f t="shared" si="1249"/>
        <v>14:54:38.615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285</v>
      </c>
      <c r="CR2271">
        <v>0</v>
      </c>
      <c r="CW2271">
        <v>8863908</v>
      </c>
      <c r="CY2271">
        <v>0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25">
      <c r="A2272" t="str">
        <f t="shared" si="1247"/>
        <v>06/05/2020 14:54:32.980</v>
      </c>
      <c r="C2272" t="str">
        <f t="shared" si="1216"/>
        <v>FFDFD3C0</v>
      </c>
      <c r="D2272" t="s">
        <v>141</v>
      </c>
      <c r="E2272">
        <v>20</v>
      </c>
      <c r="F2272">
        <v>1020</v>
      </c>
      <c r="G2272" t="s">
        <v>114</v>
      </c>
      <c r="J2272" t="s">
        <v>142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248"/>
        <v>14:54:38.609</v>
      </c>
      <c r="T2272" t="str">
        <f t="shared" si="1248"/>
        <v>14:54:38.609</v>
      </c>
      <c r="U2272" t="str">
        <f t="shared" si="1235"/>
        <v>ACC530</v>
      </c>
      <c r="V2272">
        <v>0</v>
      </c>
      <c r="W2272">
        <v>0</v>
      </c>
      <c r="X2272">
        <v>1</v>
      </c>
      <c r="Z2272">
        <v>0</v>
      </c>
      <c r="AA2272">
        <v>9</v>
      </c>
      <c r="AB2272">
        <v>3</v>
      </c>
      <c r="AC2272">
        <v>0</v>
      </c>
      <c r="AD2272">
        <v>9</v>
      </c>
      <c r="AE2272">
        <v>0</v>
      </c>
      <c r="AF2272">
        <v>3</v>
      </c>
      <c r="AG2272">
        <v>1</v>
      </c>
      <c r="AH2272">
        <v>0</v>
      </c>
      <c r="AI2272" t="s">
        <v>818</v>
      </c>
      <c r="AJ2272">
        <v>34.159477000000003</v>
      </c>
      <c r="AK2272" t="s">
        <v>819</v>
      </c>
      <c r="AL2272">
        <v>-117.041302</v>
      </c>
      <c r="AM2272">
        <v>100</v>
      </c>
      <c r="AN2272">
        <v>7500</v>
      </c>
      <c r="AO2272" t="s">
        <v>118</v>
      </c>
      <c r="AP2272">
        <v>-80</v>
      </c>
      <c r="AQ2272">
        <v>-86</v>
      </c>
      <c r="AR2272">
        <v>-1152</v>
      </c>
      <c r="AZ2272">
        <v>1200</v>
      </c>
      <c r="BA2272">
        <v>1</v>
      </c>
      <c r="BB2272" t="str">
        <f t="shared" si="1236"/>
        <v xml:space="preserve">N9217B  </v>
      </c>
      <c r="BC2272">
        <v>1</v>
      </c>
      <c r="BE2272">
        <v>0</v>
      </c>
      <c r="BF2272">
        <v>0</v>
      </c>
      <c r="BG2272">
        <v>0</v>
      </c>
      <c r="BH2272">
        <v>7400</v>
      </c>
      <c r="BI2272">
        <v>1</v>
      </c>
      <c r="BJ2272">
        <v>0</v>
      </c>
      <c r="BK2272">
        <v>0</v>
      </c>
      <c r="BL2272">
        <v>0</v>
      </c>
      <c r="BO2272">
        <v>0</v>
      </c>
      <c r="BP2272">
        <v>0</v>
      </c>
      <c r="BW2272" t="str">
        <f t="shared" si="1249"/>
        <v>14:54:38.615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285</v>
      </c>
      <c r="CR2272">
        <v>0</v>
      </c>
      <c r="CW2272">
        <v>8863908</v>
      </c>
      <c r="CY2272">
        <v>0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25">
      <c r="A2273" t="str">
        <f t="shared" si="1247"/>
        <v>06/05/2020 14:54:32.980</v>
      </c>
      <c r="C2273" t="str">
        <f t="shared" si="1216"/>
        <v>FFDFD3C0</v>
      </c>
      <c r="D2273" t="s">
        <v>148</v>
      </c>
      <c r="E2273">
        <v>11</v>
      </c>
      <c r="H2273">
        <v>53</v>
      </c>
      <c r="I2273" t="s">
        <v>364</v>
      </c>
      <c r="J2273" t="s">
        <v>150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248"/>
        <v>14:54:38.609</v>
      </c>
      <c r="T2273" t="str">
        <f t="shared" si="1248"/>
        <v>14:54:38.609</v>
      </c>
      <c r="U2273" t="str">
        <f t="shared" si="1235"/>
        <v>ACC530</v>
      </c>
      <c r="V2273">
        <v>0</v>
      </c>
      <c r="W2273">
        <v>0</v>
      </c>
      <c r="X2273">
        <v>1</v>
      </c>
      <c r="Z2273">
        <v>0</v>
      </c>
      <c r="AA2273">
        <v>9</v>
      </c>
      <c r="AB2273">
        <v>3</v>
      </c>
      <c r="AC2273">
        <v>0</v>
      </c>
      <c r="AD2273">
        <v>9</v>
      </c>
      <c r="AE2273">
        <v>0</v>
      </c>
      <c r="AF2273">
        <v>3</v>
      </c>
      <c r="AG2273">
        <v>1</v>
      </c>
      <c r="AH2273">
        <v>0</v>
      </c>
      <c r="AI2273" t="s">
        <v>818</v>
      </c>
      <c r="AJ2273">
        <v>34.159477000000003</v>
      </c>
      <c r="AK2273" t="s">
        <v>819</v>
      </c>
      <c r="AL2273">
        <v>-117.041302</v>
      </c>
      <c r="AM2273">
        <v>100</v>
      </c>
      <c r="AN2273">
        <v>7500</v>
      </c>
      <c r="AO2273" t="s">
        <v>118</v>
      </c>
      <c r="AP2273">
        <v>-80</v>
      </c>
      <c r="AQ2273">
        <v>-86</v>
      </c>
      <c r="AR2273">
        <v>-1152</v>
      </c>
      <c r="AZ2273">
        <v>1200</v>
      </c>
      <c r="BA2273">
        <v>1</v>
      </c>
      <c r="BB2273" t="str">
        <f t="shared" si="1236"/>
        <v xml:space="preserve">N9217B  </v>
      </c>
      <c r="BC2273">
        <v>1</v>
      </c>
      <c r="BE2273">
        <v>0</v>
      </c>
      <c r="BF2273">
        <v>0</v>
      </c>
      <c r="BG2273">
        <v>0</v>
      </c>
      <c r="BH2273">
        <v>7400</v>
      </c>
      <c r="BI2273">
        <v>1</v>
      </c>
      <c r="BJ2273">
        <v>0</v>
      </c>
      <c r="BK2273">
        <v>0</v>
      </c>
      <c r="BL2273">
        <v>0</v>
      </c>
      <c r="BO2273">
        <v>0</v>
      </c>
      <c r="BP2273">
        <v>0</v>
      </c>
      <c r="BW2273" t="str">
        <f t="shared" si="1249"/>
        <v>14:54:38.615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285</v>
      </c>
      <c r="CR2273">
        <v>0</v>
      </c>
      <c r="CW2273">
        <v>8863908</v>
      </c>
      <c r="CY2273">
        <v>0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25">
      <c r="A2274" t="str">
        <f t="shared" ref="A2274:A2280" si="1250">"06/05/2020 14:54:33.818"</f>
        <v>06/05/2020 14:54:33.818</v>
      </c>
      <c r="C2274" t="str">
        <f t="shared" si="1216"/>
        <v>FFDFD3C0</v>
      </c>
      <c r="D2274" t="s">
        <v>148</v>
      </c>
      <c r="E2274">
        <v>8</v>
      </c>
      <c r="H2274">
        <v>50</v>
      </c>
      <c r="I2274" t="s">
        <v>149</v>
      </c>
      <c r="J2274" t="s">
        <v>150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ref="S2274:S2280" si="1251">"14:54:39.438"</f>
        <v>14:54:39.438</v>
      </c>
      <c r="T2274" t="str">
        <f t="shared" ref="T2274:T2280" si="1252">"14:54:39.138"</f>
        <v>14:54:39.138</v>
      </c>
      <c r="U2274" t="str">
        <f t="shared" si="1235"/>
        <v>ACC530</v>
      </c>
      <c r="V2274">
        <v>0</v>
      </c>
      <c r="W2274">
        <v>0</v>
      </c>
      <c r="X2274">
        <v>1</v>
      </c>
      <c r="Z2274">
        <v>0</v>
      </c>
      <c r="AA2274">
        <v>9</v>
      </c>
      <c r="AB2274">
        <v>3</v>
      </c>
      <c r="AC2274">
        <v>0</v>
      </c>
      <c r="AD2274">
        <v>9</v>
      </c>
      <c r="AE2274">
        <v>0</v>
      </c>
      <c r="AF2274">
        <v>3</v>
      </c>
      <c r="AG2274">
        <v>1</v>
      </c>
      <c r="AH2274">
        <v>0</v>
      </c>
      <c r="AI2274" t="s">
        <v>820</v>
      </c>
      <c r="AJ2274">
        <v>34.159154999999998</v>
      </c>
      <c r="AK2274" t="s">
        <v>821</v>
      </c>
      <c r="AL2274">
        <v>-117.041645</v>
      </c>
      <c r="AM2274">
        <v>100</v>
      </c>
      <c r="AN2274">
        <v>7500</v>
      </c>
      <c r="AO2274" t="s">
        <v>118</v>
      </c>
      <c r="AP2274">
        <v>-79</v>
      </c>
      <c r="AQ2274">
        <v>-87</v>
      </c>
      <c r="AR2274">
        <v>-1152</v>
      </c>
      <c r="AZ2274">
        <v>1200</v>
      </c>
      <c r="BA2274">
        <v>1</v>
      </c>
      <c r="BB2274" t="str">
        <f t="shared" si="1236"/>
        <v xml:space="preserve">N9217B  </v>
      </c>
      <c r="BC2274">
        <v>1</v>
      </c>
      <c r="BE2274">
        <v>0</v>
      </c>
      <c r="BF2274">
        <v>0</v>
      </c>
      <c r="BG2274">
        <v>0</v>
      </c>
      <c r="BH2274">
        <v>7500</v>
      </c>
      <c r="BI2274">
        <v>1</v>
      </c>
      <c r="BJ2274">
        <v>0</v>
      </c>
      <c r="BK2274">
        <v>0</v>
      </c>
      <c r="BL2274">
        <v>0</v>
      </c>
      <c r="BO2274">
        <v>0</v>
      </c>
      <c r="BP2274">
        <v>0</v>
      </c>
      <c r="BW2274" t="str">
        <f t="shared" ref="BW2274:BW2280" si="1253">"14:54:39.440"</f>
        <v>14:54:39.440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285</v>
      </c>
      <c r="CR2274">
        <v>0</v>
      </c>
      <c r="CW2274">
        <v>8863988</v>
      </c>
      <c r="CY2274">
        <v>0</v>
      </c>
      <c r="CZ2274">
        <v>0</v>
      </c>
      <c r="DA2274">
        <v>0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25">
      <c r="A2275" t="str">
        <f t="shared" si="1250"/>
        <v>06/05/2020 14:54:33.818</v>
      </c>
      <c r="C2275" t="str">
        <f t="shared" ref="C2275:C2338" si="1254">"FFDFD3C0"</f>
        <v>FFDFD3C0</v>
      </c>
      <c r="D2275" t="s">
        <v>141</v>
      </c>
      <c r="E2275">
        <v>20</v>
      </c>
      <c r="F2275">
        <v>1020</v>
      </c>
      <c r="G2275" t="s">
        <v>114</v>
      </c>
      <c r="J2275" t="s">
        <v>142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251"/>
        <v>14:54:39.438</v>
      </c>
      <c r="T2275" t="str">
        <f t="shared" si="1252"/>
        <v>14:54:39.138</v>
      </c>
      <c r="U2275" t="str">
        <f t="shared" si="1235"/>
        <v>ACC530</v>
      </c>
      <c r="V2275">
        <v>0</v>
      </c>
      <c r="W2275">
        <v>0</v>
      </c>
      <c r="X2275">
        <v>1</v>
      </c>
      <c r="Z2275">
        <v>0</v>
      </c>
      <c r="AA2275">
        <v>9</v>
      </c>
      <c r="AB2275">
        <v>3</v>
      </c>
      <c r="AC2275">
        <v>0</v>
      </c>
      <c r="AD2275">
        <v>9</v>
      </c>
      <c r="AE2275">
        <v>0</v>
      </c>
      <c r="AF2275">
        <v>3</v>
      </c>
      <c r="AG2275">
        <v>1</v>
      </c>
      <c r="AH2275">
        <v>0</v>
      </c>
      <c r="AI2275" t="s">
        <v>820</v>
      </c>
      <c r="AJ2275">
        <v>34.159154999999998</v>
      </c>
      <c r="AK2275" t="s">
        <v>821</v>
      </c>
      <c r="AL2275">
        <v>-117.041645</v>
      </c>
      <c r="AM2275">
        <v>100</v>
      </c>
      <c r="AN2275">
        <v>7500</v>
      </c>
      <c r="AO2275" t="s">
        <v>118</v>
      </c>
      <c r="AP2275">
        <v>-79</v>
      </c>
      <c r="AQ2275">
        <v>-87</v>
      </c>
      <c r="AR2275">
        <v>-1152</v>
      </c>
      <c r="AZ2275">
        <v>1200</v>
      </c>
      <c r="BA2275">
        <v>1</v>
      </c>
      <c r="BB2275" t="str">
        <f t="shared" si="1236"/>
        <v xml:space="preserve">N9217B  </v>
      </c>
      <c r="BC2275">
        <v>1</v>
      </c>
      <c r="BE2275">
        <v>0</v>
      </c>
      <c r="BF2275">
        <v>0</v>
      </c>
      <c r="BG2275">
        <v>0</v>
      </c>
      <c r="BH2275">
        <v>7500</v>
      </c>
      <c r="BI2275">
        <v>1</v>
      </c>
      <c r="BJ2275">
        <v>0</v>
      </c>
      <c r="BK2275">
        <v>0</v>
      </c>
      <c r="BL2275">
        <v>0</v>
      </c>
      <c r="BO2275">
        <v>0</v>
      </c>
      <c r="BP2275">
        <v>0</v>
      </c>
      <c r="BW2275" t="str">
        <f t="shared" si="1253"/>
        <v>14:54:39.440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285</v>
      </c>
      <c r="CR2275">
        <v>0</v>
      </c>
      <c r="CW2275">
        <v>8863988</v>
      </c>
      <c r="CY2275">
        <v>0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25">
      <c r="A2276" t="str">
        <f t="shared" si="1250"/>
        <v>06/05/2020 14:54:33.818</v>
      </c>
      <c r="C2276" t="str">
        <f t="shared" si="1254"/>
        <v>FFDFD3C0</v>
      </c>
      <c r="D2276" t="s">
        <v>148</v>
      </c>
      <c r="E2276">
        <v>11</v>
      </c>
      <c r="H2276">
        <v>53</v>
      </c>
      <c r="I2276" t="s">
        <v>364</v>
      </c>
      <c r="J2276" t="s">
        <v>150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251"/>
        <v>14:54:39.438</v>
      </c>
      <c r="T2276" t="str">
        <f t="shared" si="1252"/>
        <v>14:54:39.138</v>
      </c>
      <c r="U2276" t="str">
        <f t="shared" si="1235"/>
        <v>ACC530</v>
      </c>
      <c r="V2276">
        <v>0</v>
      </c>
      <c r="W2276">
        <v>0</v>
      </c>
      <c r="X2276">
        <v>1</v>
      </c>
      <c r="Z2276">
        <v>0</v>
      </c>
      <c r="AA2276">
        <v>9</v>
      </c>
      <c r="AB2276">
        <v>3</v>
      </c>
      <c r="AC2276">
        <v>0</v>
      </c>
      <c r="AD2276">
        <v>9</v>
      </c>
      <c r="AE2276">
        <v>0</v>
      </c>
      <c r="AF2276">
        <v>3</v>
      </c>
      <c r="AG2276">
        <v>1</v>
      </c>
      <c r="AH2276">
        <v>0</v>
      </c>
      <c r="AI2276" t="s">
        <v>820</v>
      </c>
      <c r="AJ2276">
        <v>34.159154999999998</v>
      </c>
      <c r="AK2276" t="s">
        <v>821</v>
      </c>
      <c r="AL2276">
        <v>-117.041645</v>
      </c>
      <c r="AM2276">
        <v>100</v>
      </c>
      <c r="AN2276">
        <v>7500</v>
      </c>
      <c r="AO2276" t="s">
        <v>118</v>
      </c>
      <c r="AP2276">
        <v>-79</v>
      </c>
      <c r="AQ2276">
        <v>-87</v>
      </c>
      <c r="AR2276">
        <v>-1152</v>
      </c>
      <c r="AZ2276">
        <v>1200</v>
      </c>
      <c r="BA2276">
        <v>1</v>
      </c>
      <c r="BB2276" t="str">
        <f t="shared" si="1236"/>
        <v xml:space="preserve">N9217B  </v>
      </c>
      <c r="BC2276">
        <v>1</v>
      </c>
      <c r="BE2276">
        <v>0</v>
      </c>
      <c r="BF2276">
        <v>0</v>
      </c>
      <c r="BG2276">
        <v>0</v>
      </c>
      <c r="BH2276">
        <v>7500</v>
      </c>
      <c r="BI2276">
        <v>1</v>
      </c>
      <c r="BJ2276">
        <v>0</v>
      </c>
      <c r="BK2276">
        <v>0</v>
      </c>
      <c r="BL2276">
        <v>0</v>
      </c>
      <c r="BO2276">
        <v>0</v>
      </c>
      <c r="BP2276">
        <v>0</v>
      </c>
      <c r="BW2276" t="str">
        <f t="shared" si="1253"/>
        <v>14:54:39.440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285</v>
      </c>
      <c r="CR2276">
        <v>0</v>
      </c>
      <c r="CW2276">
        <v>8863988</v>
      </c>
      <c r="CY2276">
        <v>0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25">
      <c r="A2277" t="str">
        <f t="shared" si="1250"/>
        <v>06/05/2020 14:54:33.818</v>
      </c>
      <c r="C2277" t="str">
        <f t="shared" si="1254"/>
        <v>FFDFD3C0</v>
      </c>
      <c r="D2277" t="s">
        <v>151</v>
      </c>
      <c r="E2277">
        <v>8</v>
      </c>
      <c r="H2277">
        <v>225</v>
      </c>
      <c r="I2277" t="s">
        <v>353</v>
      </c>
      <c r="J2277" t="s">
        <v>150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251"/>
        <v>14:54:39.438</v>
      </c>
      <c r="T2277" t="str">
        <f t="shared" si="1252"/>
        <v>14:54:39.138</v>
      </c>
      <c r="U2277" t="str">
        <f t="shared" si="1235"/>
        <v>ACC530</v>
      </c>
      <c r="V2277">
        <v>0</v>
      </c>
      <c r="W2277">
        <v>0</v>
      </c>
      <c r="X2277">
        <v>1</v>
      </c>
      <c r="Z2277">
        <v>0</v>
      </c>
      <c r="AA2277">
        <v>9</v>
      </c>
      <c r="AB2277">
        <v>3</v>
      </c>
      <c r="AC2277">
        <v>0</v>
      </c>
      <c r="AD2277">
        <v>9</v>
      </c>
      <c r="AE2277">
        <v>0</v>
      </c>
      <c r="AF2277">
        <v>3</v>
      </c>
      <c r="AG2277">
        <v>1</v>
      </c>
      <c r="AH2277">
        <v>0</v>
      </c>
      <c r="AI2277" t="s">
        <v>820</v>
      </c>
      <c r="AJ2277">
        <v>34.159154999999998</v>
      </c>
      <c r="AK2277" t="s">
        <v>821</v>
      </c>
      <c r="AL2277">
        <v>-117.041645</v>
      </c>
      <c r="AM2277">
        <v>100</v>
      </c>
      <c r="AN2277">
        <v>7500</v>
      </c>
      <c r="AO2277" t="s">
        <v>118</v>
      </c>
      <c r="AP2277">
        <v>-79</v>
      </c>
      <c r="AQ2277">
        <v>-87</v>
      </c>
      <c r="AR2277">
        <v>-1152</v>
      </c>
      <c r="AZ2277">
        <v>1200</v>
      </c>
      <c r="BA2277">
        <v>1</v>
      </c>
      <c r="BB2277" t="str">
        <f t="shared" si="1236"/>
        <v xml:space="preserve">N9217B  </v>
      </c>
      <c r="BC2277">
        <v>1</v>
      </c>
      <c r="BE2277">
        <v>0</v>
      </c>
      <c r="BF2277">
        <v>0</v>
      </c>
      <c r="BG2277">
        <v>0</v>
      </c>
      <c r="BH2277">
        <v>7500</v>
      </c>
      <c r="BI2277">
        <v>1</v>
      </c>
      <c r="BJ2277">
        <v>0</v>
      </c>
      <c r="BK2277">
        <v>0</v>
      </c>
      <c r="BL2277">
        <v>0</v>
      </c>
      <c r="BO2277">
        <v>0</v>
      </c>
      <c r="BP2277">
        <v>0</v>
      </c>
      <c r="BW2277" t="str">
        <f t="shared" si="1253"/>
        <v>14:54:39.440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285</v>
      </c>
      <c r="CR2277">
        <v>0</v>
      </c>
      <c r="CW2277">
        <v>8863988</v>
      </c>
      <c r="CY2277">
        <v>0</v>
      </c>
      <c r="CZ2277">
        <v>0</v>
      </c>
      <c r="DA2277">
        <v>1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25">
      <c r="A2278" t="str">
        <f t="shared" si="1250"/>
        <v>06/05/2020 14:54:33.818</v>
      </c>
      <c r="C2278" t="str">
        <f t="shared" si="1254"/>
        <v>FFDFD3C0</v>
      </c>
      <c r="D2278" t="s">
        <v>134</v>
      </c>
      <c r="E2278">
        <v>7</v>
      </c>
      <c r="F2278">
        <v>2007</v>
      </c>
      <c r="G2278" t="s">
        <v>135</v>
      </c>
      <c r="J2278" t="s">
        <v>136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251"/>
        <v>14:54:39.438</v>
      </c>
      <c r="T2278" t="str">
        <f t="shared" si="1252"/>
        <v>14:54:39.138</v>
      </c>
      <c r="U2278" t="str">
        <f t="shared" si="1235"/>
        <v>ACC530</v>
      </c>
      <c r="V2278">
        <v>0</v>
      </c>
      <c r="W2278">
        <v>0</v>
      </c>
      <c r="X2278">
        <v>1</v>
      </c>
      <c r="Z2278">
        <v>0</v>
      </c>
      <c r="AA2278">
        <v>9</v>
      </c>
      <c r="AB2278">
        <v>3</v>
      </c>
      <c r="AC2278">
        <v>0</v>
      </c>
      <c r="AD2278">
        <v>9</v>
      </c>
      <c r="AE2278">
        <v>0</v>
      </c>
      <c r="AF2278">
        <v>3</v>
      </c>
      <c r="AG2278">
        <v>1</v>
      </c>
      <c r="AH2278">
        <v>0</v>
      </c>
      <c r="AI2278" t="s">
        <v>820</v>
      </c>
      <c r="AJ2278">
        <v>34.159154999999998</v>
      </c>
      <c r="AK2278" t="s">
        <v>821</v>
      </c>
      <c r="AL2278">
        <v>-117.041645</v>
      </c>
      <c r="AM2278">
        <v>100</v>
      </c>
      <c r="AN2278">
        <v>7500</v>
      </c>
      <c r="AO2278" t="s">
        <v>118</v>
      </c>
      <c r="AP2278">
        <v>-79</v>
      </c>
      <c r="AQ2278">
        <v>-87</v>
      </c>
      <c r="AR2278">
        <v>-1152</v>
      </c>
      <c r="AZ2278">
        <v>1200</v>
      </c>
      <c r="BA2278">
        <v>1</v>
      </c>
      <c r="BB2278" t="str">
        <f t="shared" si="1236"/>
        <v xml:space="preserve">N9217B  </v>
      </c>
      <c r="BC2278">
        <v>1</v>
      </c>
      <c r="BE2278">
        <v>0</v>
      </c>
      <c r="BF2278">
        <v>0</v>
      </c>
      <c r="BG2278">
        <v>0</v>
      </c>
      <c r="BH2278">
        <v>7500</v>
      </c>
      <c r="BI2278">
        <v>1</v>
      </c>
      <c r="BJ2278">
        <v>0</v>
      </c>
      <c r="BK2278">
        <v>0</v>
      </c>
      <c r="BL2278">
        <v>0</v>
      </c>
      <c r="BO2278">
        <v>0</v>
      </c>
      <c r="BP2278">
        <v>0</v>
      </c>
      <c r="BW2278" t="str">
        <f t="shared" si="1253"/>
        <v>14:54:39.440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285</v>
      </c>
      <c r="CR2278">
        <v>0</v>
      </c>
      <c r="CW2278">
        <v>8863988</v>
      </c>
      <c r="CY2278">
        <v>0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25">
      <c r="A2279" t="str">
        <f t="shared" si="1250"/>
        <v>06/05/2020 14:54:33.818</v>
      </c>
      <c r="C2279" t="str">
        <f t="shared" si="1254"/>
        <v>FFDFD3C0</v>
      </c>
      <c r="D2279" t="s">
        <v>151</v>
      </c>
      <c r="E2279">
        <v>9</v>
      </c>
      <c r="H2279">
        <v>226</v>
      </c>
      <c r="I2279" t="s">
        <v>152</v>
      </c>
      <c r="J2279" t="s">
        <v>150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251"/>
        <v>14:54:39.438</v>
      </c>
      <c r="T2279" t="str">
        <f t="shared" si="1252"/>
        <v>14:54:39.138</v>
      </c>
      <c r="U2279" t="str">
        <f t="shared" si="1235"/>
        <v>ACC530</v>
      </c>
      <c r="V2279">
        <v>0</v>
      </c>
      <c r="W2279">
        <v>0</v>
      </c>
      <c r="X2279">
        <v>1</v>
      </c>
      <c r="Z2279">
        <v>0</v>
      </c>
      <c r="AA2279">
        <v>9</v>
      </c>
      <c r="AB2279">
        <v>3</v>
      </c>
      <c r="AC2279">
        <v>0</v>
      </c>
      <c r="AD2279">
        <v>9</v>
      </c>
      <c r="AE2279">
        <v>0</v>
      </c>
      <c r="AF2279">
        <v>3</v>
      </c>
      <c r="AG2279">
        <v>1</v>
      </c>
      <c r="AH2279">
        <v>0</v>
      </c>
      <c r="AI2279" t="s">
        <v>820</v>
      </c>
      <c r="AJ2279">
        <v>34.159154999999998</v>
      </c>
      <c r="AK2279" t="s">
        <v>821</v>
      </c>
      <c r="AL2279">
        <v>-117.041645</v>
      </c>
      <c r="AM2279">
        <v>100</v>
      </c>
      <c r="AN2279">
        <v>7500</v>
      </c>
      <c r="AO2279" t="s">
        <v>118</v>
      </c>
      <c r="AP2279">
        <v>-79</v>
      </c>
      <c r="AQ2279">
        <v>-87</v>
      </c>
      <c r="AR2279">
        <v>-1152</v>
      </c>
      <c r="AZ2279">
        <v>1200</v>
      </c>
      <c r="BA2279">
        <v>1</v>
      </c>
      <c r="BB2279" t="str">
        <f t="shared" si="1236"/>
        <v xml:space="preserve">N9217B  </v>
      </c>
      <c r="BC2279">
        <v>1</v>
      </c>
      <c r="BE2279">
        <v>0</v>
      </c>
      <c r="BF2279">
        <v>0</v>
      </c>
      <c r="BG2279">
        <v>0</v>
      </c>
      <c r="BH2279">
        <v>7500</v>
      </c>
      <c r="BI2279">
        <v>1</v>
      </c>
      <c r="BJ2279">
        <v>0</v>
      </c>
      <c r="BK2279">
        <v>0</v>
      </c>
      <c r="BL2279">
        <v>0</v>
      </c>
      <c r="BO2279">
        <v>0</v>
      </c>
      <c r="BP2279">
        <v>0</v>
      </c>
      <c r="BW2279" t="str">
        <f t="shared" si="1253"/>
        <v>14:54:39.440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285</v>
      </c>
      <c r="CR2279">
        <v>0</v>
      </c>
      <c r="CW2279">
        <v>8863988</v>
      </c>
      <c r="CY2279">
        <v>0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25">
      <c r="A2280" t="str">
        <f t="shared" si="1250"/>
        <v>06/05/2020 14:54:33.818</v>
      </c>
      <c r="C2280" t="str">
        <f t="shared" si="1254"/>
        <v>FFDFD3C0</v>
      </c>
      <c r="D2280" t="s">
        <v>113</v>
      </c>
      <c r="E2280">
        <v>3</v>
      </c>
      <c r="H2280">
        <v>166</v>
      </c>
      <c r="I2280" t="s">
        <v>114</v>
      </c>
      <c r="J2280" t="s">
        <v>115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251"/>
        <v>14:54:39.438</v>
      </c>
      <c r="T2280" t="str">
        <f t="shared" si="1252"/>
        <v>14:54:39.138</v>
      </c>
      <c r="U2280" t="str">
        <f t="shared" si="1235"/>
        <v>ACC530</v>
      </c>
      <c r="V2280">
        <v>0</v>
      </c>
      <c r="W2280">
        <v>0</v>
      </c>
      <c r="X2280">
        <v>1</v>
      </c>
      <c r="Z2280">
        <v>0</v>
      </c>
      <c r="AA2280">
        <v>9</v>
      </c>
      <c r="AB2280">
        <v>3</v>
      </c>
      <c r="AC2280">
        <v>0</v>
      </c>
      <c r="AD2280">
        <v>9</v>
      </c>
      <c r="AE2280">
        <v>0</v>
      </c>
      <c r="AF2280">
        <v>3</v>
      </c>
      <c r="AG2280">
        <v>1</v>
      </c>
      <c r="AH2280">
        <v>0</v>
      </c>
      <c r="AI2280" t="s">
        <v>820</v>
      </c>
      <c r="AJ2280">
        <v>34.159154999999998</v>
      </c>
      <c r="AK2280" t="s">
        <v>821</v>
      </c>
      <c r="AL2280">
        <v>-117.041645</v>
      </c>
      <c r="AM2280">
        <v>100</v>
      </c>
      <c r="AN2280">
        <v>7500</v>
      </c>
      <c r="AO2280" t="s">
        <v>118</v>
      </c>
      <c r="AP2280">
        <v>-79</v>
      </c>
      <c r="AQ2280">
        <v>-87</v>
      </c>
      <c r="AR2280">
        <v>-1152</v>
      </c>
      <c r="AZ2280">
        <v>1200</v>
      </c>
      <c r="BA2280">
        <v>1</v>
      </c>
      <c r="BB2280" t="str">
        <f t="shared" si="1236"/>
        <v xml:space="preserve">N9217B  </v>
      </c>
      <c r="BC2280">
        <v>1</v>
      </c>
      <c r="BE2280">
        <v>0</v>
      </c>
      <c r="BF2280">
        <v>0</v>
      </c>
      <c r="BG2280">
        <v>0</v>
      </c>
      <c r="BH2280">
        <v>7500</v>
      </c>
      <c r="BI2280">
        <v>1</v>
      </c>
      <c r="BJ2280">
        <v>0</v>
      </c>
      <c r="BK2280">
        <v>0</v>
      </c>
      <c r="BL2280">
        <v>0</v>
      </c>
      <c r="BO2280">
        <v>0</v>
      </c>
      <c r="BP2280">
        <v>0</v>
      </c>
      <c r="BW2280" t="str">
        <f t="shared" si="1253"/>
        <v>14:54:39.440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285</v>
      </c>
      <c r="CR2280">
        <v>0</v>
      </c>
      <c r="CW2280">
        <v>8863988</v>
      </c>
      <c r="CY2280">
        <v>0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25">
      <c r="A2281" t="str">
        <f t="shared" ref="A2281:A2287" si="1255">"06/05/2020 14:54:34.751"</f>
        <v>06/05/2020 14:54:34.751</v>
      </c>
      <c r="C2281" t="str">
        <f t="shared" si="1254"/>
        <v>FFDFD3C0</v>
      </c>
      <c r="D2281" t="s">
        <v>151</v>
      </c>
      <c r="E2281">
        <v>8</v>
      </c>
      <c r="H2281">
        <v>225</v>
      </c>
      <c r="I2281" t="s">
        <v>353</v>
      </c>
      <c r="J2281" t="s">
        <v>150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ref="S2281:S2287" si="1256">"14:54:40.414"</f>
        <v>14:54:40.414</v>
      </c>
      <c r="T2281" t="str">
        <f t="shared" ref="T2281:T2287" si="1257">"14:54:40.014"</f>
        <v>14:54:40.014</v>
      </c>
      <c r="U2281" t="str">
        <f t="shared" si="1235"/>
        <v>ACC530</v>
      </c>
      <c r="V2281">
        <v>0</v>
      </c>
      <c r="W2281">
        <v>0</v>
      </c>
      <c r="X2281">
        <v>1</v>
      </c>
      <c r="Z2281">
        <v>0</v>
      </c>
      <c r="AA2281">
        <v>9</v>
      </c>
      <c r="AB2281">
        <v>3</v>
      </c>
      <c r="AC2281">
        <v>0</v>
      </c>
      <c r="AD2281">
        <v>9</v>
      </c>
      <c r="AE2281">
        <v>0</v>
      </c>
      <c r="AF2281">
        <v>3</v>
      </c>
      <c r="AG2281">
        <v>1</v>
      </c>
      <c r="AH2281">
        <v>0</v>
      </c>
      <c r="AI2281" t="s">
        <v>822</v>
      </c>
      <c r="AJ2281">
        <v>34.158790000000003</v>
      </c>
      <c r="AK2281" t="s">
        <v>823</v>
      </c>
      <c r="AL2281">
        <v>-117.042053</v>
      </c>
      <c r="AM2281">
        <v>100</v>
      </c>
      <c r="AN2281">
        <v>7400</v>
      </c>
      <c r="AO2281" t="s">
        <v>118</v>
      </c>
      <c r="AP2281">
        <v>-77</v>
      </c>
      <c r="AQ2281">
        <v>-89</v>
      </c>
      <c r="AR2281">
        <v>-1152</v>
      </c>
      <c r="AZ2281">
        <v>1200</v>
      </c>
      <c r="BA2281">
        <v>1</v>
      </c>
      <c r="BB2281" t="str">
        <f t="shared" si="1236"/>
        <v xml:space="preserve">N9217B  </v>
      </c>
      <c r="BC2281">
        <v>1</v>
      </c>
      <c r="BE2281">
        <v>0</v>
      </c>
      <c r="BF2281">
        <v>0</v>
      </c>
      <c r="BG2281">
        <v>0</v>
      </c>
      <c r="BH2281">
        <v>7375</v>
      </c>
      <c r="BI2281">
        <v>1</v>
      </c>
      <c r="BJ2281">
        <v>0</v>
      </c>
      <c r="BK2281">
        <v>0</v>
      </c>
      <c r="BL2281">
        <v>0</v>
      </c>
      <c r="BO2281">
        <v>0</v>
      </c>
      <c r="BP2281">
        <v>0</v>
      </c>
      <c r="BW2281" t="str">
        <f t="shared" ref="BW2281:BW2287" si="1258">"14:54:40.415"</f>
        <v>14:54:40.415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285</v>
      </c>
      <c r="CR2281">
        <v>0</v>
      </c>
      <c r="CW2281">
        <v>8864076</v>
      </c>
      <c r="CY2281">
        <v>0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25">
      <c r="A2282" t="str">
        <f t="shared" si="1255"/>
        <v>06/05/2020 14:54:34.751</v>
      </c>
      <c r="C2282" t="str">
        <f t="shared" si="1254"/>
        <v>FFDFD3C0</v>
      </c>
      <c r="D2282" t="s">
        <v>134</v>
      </c>
      <c r="E2282">
        <v>7</v>
      </c>
      <c r="F2282">
        <v>2007</v>
      </c>
      <c r="G2282" t="s">
        <v>135</v>
      </c>
      <c r="J2282" t="s">
        <v>136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256"/>
        <v>14:54:40.414</v>
      </c>
      <c r="T2282" t="str">
        <f t="shared" si="1257"/>
        <v>14:54:40.014</v>
      </c>
      <c r="U2282" t="str">
        <f t="shared" si="1235"/>
        <v>ACC530</v>
      </c>
      <c r="V2282">
        <v>0</v>
      </c>
      <c r="W2282">
        <v>0</v>
      </c>
      <c r="X2282">
        <v>1</v>
      </c>
      <c r="Z2282">
        <v>0</v>
      </c>
      <c r="AA2282">
        <v>9</v>
      </c>
      <c r="AB2282">
        <v>3</v>
      </c>
      <c r="AC2282">
        <v>0</v>
      </c>
      <c r="AD2282">
        <v>9</v>
      </c>
      <c r="AE2282">
        <v>0</v>
      </c>
      <c r="AF2282">
        <v>3</v>
      </c>
      <c r="AG2282">
        <v>1</v>
      </c>
      <c r="AH2282">
        <v>0</v>
      </c>
      <c r="AI2282" t="s">
        <v>822</v>
      </c>
      <c r="AJ2282">
        <v>34.158790000000003</v>
      </c>
      <c r="AK2282" t="s">
        <v>823</v>
      </c>
      <c r="AL2282">
        <v>-117.042053</v>
      </c>
      <c r="AM2282">
        <v>100</v>
      </c>
      <c r="AN2282">
        <v>7400</v>
      </c>
      <c r="AO2282" t="s">
        <v>118</v>
      </c>
      <c r="AP2282">
        <v>-77</v>
      </c>
      <c r="AQ2282">
        <v>-89</v>
      </c>
      <c r="AR2282">
        <v>-1152</v>
      </c>
      <c r="AZ2282">
        <v>1200</v>
      </c>
      <c r="BA2282">
        <v>1</v>
      </c>
      <c r="BB2282" t="str">
        <f t="shared" si="1236"/>
        <v xml:space="preserve">N9217B  </v>
      </c>
      <c r="BC2282">
        <v>1</v>
      </c>
      <c r="BE2282">
        <v>0</v>
      </c>
      <c r="BF2282">
        <v>0</v>
      </c>
      <c r="BG2282">
        <v>0</v>
      </c>
      <c r="BH2282">
        <v>7375</v>
      </c>
      <c r="BI2282">
        <v>1</v>
      </c>
      <c r="BJ2282">
        <v>0</v>
      </c>
      <c r="BK2282">
        <v>0</v>
      </c>
      <c r="BL2282">
        <v>0</v>
      </c>
      <c r="BO2282">
        <v>0</v>
      </c>
      <c r="BP2282">
        <v>0</v>
      </c>
      <c r="BW2282" t="str">
        <f t="shared" si="1258"/>
        <v>14:54:40.415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285</v>
      </c>
      <c r="CR2282">
        <v>0</v>
      </c>
      <c r="CW2282">
        <v>8864076</v>
      </c>
      <c r="CY2282">
        <v>0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25">
      <c r="A2283" t="str">
        <f t="shared" si="1255"/>
        <v>06/05/2020 14:54:34.751</v>
      </c>
      <c r="C2283" t="str">
        <f t="shared" si="1254"/>
        <v>FFDFD3C0</v>
      </c>
      <c r="D2283" t="s">
        <v>113</v>
      </c>
      <c r="E2283">
        <v>3</v>
      </c>
      <c r="H2283">
        <v>166</v>
      </c>
      <c r="I2283" t="s">
        <v>114</v>
      </c>
      <c r="J2283" t="s">
        <v>115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256"/>
        <v>14:54:40.414</v>
      </c>
      <c r="T2283" t="str">
        <f t="shared" si="1257"/>
        <v>14:54:40.014</v>
      </c>
      <c r="U2283" t="str">
        <f t="shared" si="1235"/>
        <v>ACC530</v>
      </c>
      <c r="V2283">
        <v>0</v>
      </c>
      <c r="W2283">
        <v>0</v>
      </c>
      <c r="X2283">
        <v>1</v>
      </c>
      <c r="Z2283">
        <v>0</v>
      </c>
      <c r="AA2283">
        <v>9</v>
      </c>
      <c r="AB2283">
        <v>3</v>
      </c>
      <c r="AC2283">
        <v>0</v>
      </c>
      <c r="AD2283">
        <v>9</v>
      </c>
      <c r="AE2283">
        <v>0</v>
      </c>
      <c r="AF2283">
        <v>3</v>
      </c>
      <c r="AG2283">
        <v>1</v>
      </c>
      <c r="AH2283">
        <v>0</v>
      </c>
      <c r="AI2283" t="s">
        <v>822</v>
      </c>
      <c r="AJ2283">
        <v>34.158790000000003</v>
      </c>
      <c r="AK2283" t="s">
        <v>823</v>
      </c>
      <c r="AL2283">
        <v>-117.042053</v>
      </c>
      <c r="AM2283">
        <v>100</v>
      </c>
      <c r="AN2283">
        <v>7400</v>
      </c>
      <c r="AO2283" t="s">
        <v>118</v>
      </c>
      <c r="AP2283">
        <v>-77</v>
      </c>
      <c r="AQ2283">
        <v>-89</v>
      </c>
      <c r="AR2283">
        <v>-1152</v>
      </c>
      <c r="AZ2283">
        <v>1200</v>
      </c>
      <c r="BA2283">
        <v>1</v>
      </c>
      <c r="BB2283" t="str">
        <f t="shared" si="1236"/>
        <v xml:space="preserve">N9217B  </v>
      </c>
      <c r="BC2283">
        <v>1</v>
      </c>
      <c r="BE2283">
        <v>0</v>
      </c>
      <c r="BF2283">
        <v>0</v>
      </c>
      <c r="BG2283">
        <v>0</v>
      </c>
      <c r="BH2283">
        <v>7375</v>
      </c>
      <c r="BI2283">
        <v>1</v>
      </c>
      <c r="BJ2283">
        <v>0</v>
      </c>
      <c r="BK2283">
        <v>0</v>
      </c>
      <c r="BL2283">
        <v>0</v>
      </c>
      <c r="BO2283">
        <v>0</v>
      </c>
      <c r="BP2283">
        <v>0</v>
      </c>
      <c r="BW2283" t="str">
        <f t="shared" si="1258"/>
        <v>14:54:40.415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285</v>
      </c>
      <c r="CR2283">
        <v>0</v>
      </c>
      <c r="CW2283">
        <v>8864076</v>
      </c>
      <c r="CY2283">
        <v>0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25">
      <c r="A2284" t="str">
        <f t="shared" si="1255"/>
        <v>06/05/2020 14:54:34.751</v>
      </c>
      <c r="C2284" t="str">
        <f t="shared" si="1254"/>
        <v>FFDFD3C0</v>
      </c>
      <c r="D2284" t="s">
        <v>151</v>
      </c>
      <c r="E2284">
        <v>9</v>
      </c>
      <c r="H2284">
        <v>226</v>
      </c>
      <c r="I2284" t="s">
        <v>152</v>
      </c>
      <c r="J2284" t="s">
        <v>150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256"/>
        <v>14:54:40.414</v>
      </c>
      <c r="T2284" t="str">
        <f t="shared" si="1257"/>
        <v>14:54:40.014</v>
      </c>
      <c r="U2284" t="str">
        <f t="shared" si="1235"/>
        <v>ACC530</v>
      </c>
      <c r="V2284">
        <v>0</v>
      </c>
      <c r="W2284">
        <v>0</v>
      </c>
      <c r="X2284">
        <v>1</v>
      </c>
      <c r="Z2284">
        <v>0</v>
      </c>
      <c r="AA2284">
        <v>9</v>
      </c>
      <c r="AB2284">
        <v>3</v>
      </c>
      <c r="AC2284">
        <v>0</v>
      </c>
      <c r="AD2284">
        <v>9</v>
      </c>
      <c r="AE2284">
        <v>0</v>
      </c>
      <c r="AF2284">
        <v>3</v>
      </c>
      <c r="AG2284">
        <v>1</v>
      </c>
      <c r="AH2284">
        <v>0</v>
      </c>
      <c r="AI2284" t="s">
        <v>822</v>
      </c>
      <c r="AJ2284">
        <v>34.158790000000003</v>
      </c>
      <c r="AK2284" t="s">
        <v>823</v>
      </c>
      <c r="AL2284">
        <v>-117.042053</v>
      </c>
      <c r="AM2284">
        <v>100</v>
      </c>
      <c r="AN2284">
        <v>7400</v>
      </c>
      <c r="AO2284" t="s">
        <v>118</v>
      </c>
      <c r="AP2284">
        <v>-77</v>
      </c>
      <c r="AQ2284">
        <v>-89</v>
      </c>
      <c r="AR2284">
        <v>-1152</v>
      </c>
      <c r="AZ2284">
        <v>1200</v>
      </c>
      <c r="BA2284">
        <v>1</v>
      </c>
      <c r="BB2284" t="str">
        <f t="shared" si="1236"/>
        <v xml:space="preserve">N9217B  </v>
      </c>
      <c r="BC2284">
        <v>1</v>
      </c>
      <c r="BE2284">
        <v>0</v>
      </c>
      <c r="BF2284">
        <v>0</v>
      </c>
      <c r="BG2284">
        <v>0</v>
      </c>
      <c r="BH2284">
        <v>7375</v>
      </c>
      <c r="BI2284">
        <v>1</v>
      </c>
      <c r="BJ2284">
        <v>0</v>
      </c>
      <c r="BK2284">
        <v>0</v>
      </c>
      <c r="BL2284">
        <v>0</v>
      </c>
      <c r="BO2284">
        <v>0</v>
      </c>
      <c r="BP2284">
        <v>0</v>
      </c>
      <c r="BW2284" t="str">
        <f t="shared" si="1258"/>
        <v>14:54:40.415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285</v>
      </c>
      <c r="CR2284">
        <v>0</v>
      </c>
      <c r="CW2284">
        <v>8864076</v>
      </c>
      <c r="CY2284">
        <v>0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25">
      <c r="A2285" t="str">
        <f t="shared" si="1255"/>
        <v>06/05/2020 14:54:34.751</v>
      </c>
      <c r="C2285" t="str">
        <f t="shared" si="1254"/>
        <v>FFDFD3C0</v>
      </c>
      <c r="D2285" t="s">
        <v>141</v>
      </c>
      <c r="E2285">
        <v>20</v>
      </c>
      <c r="F2285">
        <v>1020</v>
      </c>
      <c r="G2285" t="s">
        <v>114</v>
      </c>
      <c r="J2285" t="s">
        <v>142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256"/>
        <v>14:54:40.414</v>
      </c>
      <c r="T2285" t="str">
        <f t="shared" si="1257"/>
        <v>14:54:40.014</v>
      </c>
      <c r="U2285" t="str">
        <f t="shared" si="1235"/>
        <v>ACC530</v>
      </c>
      <c r="V2285">
        <v>0</v>
      </c>
      <c r="W2285">
        <v>0</v>
      </c>
      <c r="X2285">
        <v>1</v>
      </c>
      <c r="Z2285">
        <v>0</v>
      </c>
      <c r="AA2285">
        <v>9</v>
      </c>
      <c r="AB2285">
        <v>3</v>
      </c>
      <c r="AC2285">
        <v>0</v>
      </c>
      <c r="AD2285">
        <v>9</v>
      </c>
      <c r="AE2285">
        <v>0</v>
      </c>
      <c r="AF2285">
        <v>3</v>
      </c>
      <c r="AG2285">
        <v>1</v>
      </c>
      <c r="AH2285">
        <v>0</v>
      </c>
      <c r="AI2285" t="s">
        <v>822</v>
      </c>
      <c r="AJ2285">
        <v>34.158790000000003</v>
      </c>
      <c r="AK2285" t="s">
        <v>823</v>
      </c>
      <c r="AL2285">
        <v>-117.042053</v>
      </c>
      <c r="AM2285">
        <v>100</v>
      </c>
      <c r="AN2285">
        <v>7400</v>
      </c>
      <c r="AO2285" t="s">
        <v>118</v>
      </c>
      <c r="AP2285">
        <v>-77</v>
      </c>
      <c r="AQ2285">
        <v>-89</v>
      </c>
      <c r="AR2285">
        <v>-1152</v>
      </c>
      <c r="AZ2285">
        <v>1200</v>
      </c>
      <c r="BA2285">
        <v>1</v>
      </c>
      <c r="BB2285" t="str">
        <f t="shared" si="1236"/>
        <v xml:space="preserve">N9217B  </v>
      </c>
      <c r="BC2285">
        <v>1</v>
      </c>
      <c r="BE2285">
        <v>0</v>
      </c>
      <c r="BF2285">
        <v>0</v>
      </c>
      <c r="BG2285">
        <v>0</v>
      </c>
      <c r="BH2285">
        <v>7375</v>
      </c>
      <c r="BI2285">
        <v>1</v>
      </c>
      <c r="BJ2285">
        <v>0</v>
      </c>
      <c r="BK2285">
        <v>0</v>
      </c>
      <c r="BL2285">
        <v>0</v>
      </c>
      <c r="BO2285">
        <v>0</v>
      </c>
      <c r="BP2285">
        <v>0</v>
      </c>
      <c r="BW2285" t="str">
        <f t="shared" si="1258"/>
        <v>14:54:40.415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285</v>
      </c>
      <c r="CR2285">
        <v>0</v>
      </c>
      <c r="CW2285">
        <v>8864076</v>
      </c>
      <c r="CY2285">
        <v>0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25">
      <c r="A2286" t="str">
        <f t="shared" si="1255"/>
        <v>06/05/2020 14:54:34.751</v>
      </c>
      <c r="C2286" t="str">
        <f t="shared" si="1254"/>
        <v>FFDFD3C0</v>
      </c>
      <c r="D2286" t="s">
        <v>148</v>
      </c>
      <c r="E2286">
        <v>8</v>
      </c>
      <c r="H2286">
        <v>50</v>
      </c>
      <c r="I2286" t="s">
        <v>149</v>
      </c>
      <c r="J2286" t="s">
        <v>150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256"/>
        <v>14:54:40.414</v>
      </c>
      <c r="T2286" t="str">
        <f t="shared" si="1257"/>
        <v>14:54:40.014</v>
      </c>
      <c r="U2286" t="str">
        <f t="shared" si="1235"/>
        <v>ACC530</v>
      </c>
      <c r="V2286">
        <v>0</v>
      </c>
      <c r="W2286">
        <v>0</v>
      </c>
      <c r="X2286">
        <v>1</v>
      </c>
      <c r="Z2286">
        <v>0</v>
      </c>
      <c r="AA2286">
        <v>9</v>
      </c>
      <c r="AB2286">
        <v>3</v>
      </c>
      <c r="AC2286">
        <v>0</v>
      </c>
      <c r="AD2286">
        <v>9</v>
      </c>
      <c r="AE2286">
        <v>0</v>
      </c>
      <c r="AF2286">
        <v>3</v>
      </c>
      <c r="AG2286">
        <v>1</v>
      </c>
      <c r="AH2286">
        <v>0</v>
      </c>
      <c r="AI2286" t="s">
        <v>822</v>
      </c>
      <c r="AJ2286">
        <v>34.158790000000003</v>
      </c>
      <c r="AK2286" t="s">
        <v>823</v>
      </c>
      <c r="AL2286">
        <v>-117.042053</v>
      </c>
      <c r="AM2286">
        <v>100</v>
      </c>
      <c r="AN2286">
        <v>7400</v>
      </c>
      <c r="AO2286" t="s">
        <v>118</v>
      </c>
      <c r="AP2286">
        <v>-77</v>
      </c>
      <c r="AQ2286">
        <v>-89</v>
      </c>
      <c r="AR2286">
        <v>-1152</v>
      </c>
      <c r="AZ2286">
        <v>1200</v>
      </c>
      <c r="BA2286">
        <v>1</v>
      </c>
      <c r="BB2286" t="str">
        <f t="shared" si="1236"/>
        <v xml:space="preserve">N9217B  </v>
      </c>
      <c r="BC2286">
        <v>1</v>
      </c>
      <c r="BE2286">
        <v>0</v>
      </c>
      <c r="BF2286">
        <v>0</v>
      </c>
      <c r="BG2286">
        <v>0</v>
      </c>
      <c r="BH2286">
        <v>7375</v>
      </c>
      <c r="BI2286">
        <v>1</v>
      </c>
      <c r="BJ2286">
        <v>0</v>
      </c>
      <c r="BK2286">
        <v>0</v>
      </c>
      <c r="BL2286">
        <v>0</v>
      </c>
      <c r="BO2286">
        <v>0</v>
      </c>
      <c r="BP2286">
        <v>0</v>
      </c>
      <c r="BW2286" t="str">
        <f t="shared" si="1258"/>
        <v>14:54:40.415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285</v>
      </c>
      <c r="CR2286">
        <v>0</v>
      </c>
      <c r="CW2286">
        <v>8864076</v>
      </c>
      <c r="CY2286">
        <v>0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25">
      <c r="A2287" t="str">
        <f t="shared" si="1255"/>
        <v>06/05/2020 14:54:34.751</v>
      </c>
      <c r="C2287" t="str">
        <f t="shared" si="1254"/>
        <v>FFDFD3C0</v>
      </c>
      <c r="D2287" t="s">
        <v>148</v>
      </c>
      <c r="E2287">
        <v>11</v>
      </c>
      <c r="H2287">
        <v>53</v>
      </c>
      <c r="I2287" t="s">
        <v>364</v>
      </c>
      <c r="J2287" t="s">
        <v>150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256"/>
        <v>14:54:40.414</v>
      </c>
      <c r="T2287" t="str">
        <f t="shared" si="1257"/>
        <v>14:54:40.014</v>
      </c>
      <c r="U2287" t="str">
        <f t="shared" si="1235"/>
        <v>ACC530</v>
      </c>
      <c r="V2287">
        <v>0</v>
      </c>
      <c r="W2287">
        <v>0</v>
      </c>
      <c r="X2287">
        <v>1</v>
      </c>
      <c r="Z2287">
        <v>0</v>
      </c>
      <c r="AA2287">
        <v>9</v>
      </c>
      <c r="AB2287">
        <v>3</v>
      </c>
      <c r="AC2287">
        <v>0</v>
      </c>
      <c r="AD2287">
        <v>9</v>
      </c>
      <c r="AE2287">
        <v>0</v>
      </c>
      <c r="AF2287">
        <v>3</v>
      </c>
      <c r="AG2287">
        <v>1</v>
      </c>
      <c r="AH2287">
        <v>0</v>
      </c>
      <c r="AI2287" t="s">
        <v>822</v>
      </c>
      <c r="AJ2287">
        <v>34.158790000000003</v>
      </c>
      <c r="AK2287" t="s">
        <v>823</v>
      </c>
      <c r="AL2287">
        <v>-117.042053</v>
      </c>
      <c r="AM2287">
        <v>100</v>
      </c>
      <c r="AN2287">
        <v>7400</v>
      </c>
      <c r="AO2287" t="s">
        <v>118</v>
      </c>
      <c r="AP2287">
        <v>-77</v>
      </c>
      <c r="AQ2287">
        <v>-89</v>
      </c>
      <c r="AR2287">
        <v>-1152</v>
      </c>
      <c r="AZ2287">
        <v>1200</v>
      </c>
      <c r="BA2287">
        <v>1</v>
      </c>
      <c r="BB2287" t="str">
        <f t="shared" si="1236"/>
        <v xml:space="preserve">N9217B  </v>
      </c>
      <c r="BC2287">
        <v>1</v>
      </c>
      <c r="BE2287">
        <v>0</v>
      </c>
      <c r="BF2287">
        <v>0</v>
      </c>
      <c r="BG2287">
        <v>0</v>
      </c>
      <c r="BH2287">
        <v>7375</v>
      </c>
      <c r="BI2287">
        <v>1</v>
      </c>
      <c r="BJ2287">
        <v>0</v>
      </c>
      <c r="BK2287">
        <v>0</v>
      </c>
      <c r="BL2287">
        <v>0</v>
      </c>
      <c r="BO2287">
        <v>0</v>
      </c>
      <c r="BP2287">
        <v>0</v>
      </c>
      <c r="BW2287" t="str">
        <f t="shared" si="1258"/>
        <v>14:54:40.415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285</v>
      </c>
      <c r="CR2287">
        <v>0</v>
      </c>
      <c r="CW2287">
        <v>8864076</v>
      </c>
      <c r="CY2287">
        <v>0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25">
      <c r="A2288" t="str">
        <f t="shared" ref="A2288:A2294" si="1259">"06/05/2020 14:54:35.838"</f>
        <v>06/05/2020 14:54:35.838</v>
      </c>
      <c r="C2288" t="str">
        <f t="shared" si="1254"/>
        <v>FFDFD3C0</v>
      </c>
      <c r="D2288" t="s">
        <v>113</v>
      </c>
      <c r="E2288">
        <v>3</v>
      </c>
      <c r="H2288">
        <v>166</v>
      </c>
      <c r="I2288" t="s">
        <v>114</v>
      </c>
      <c r="J2288" t="s">
        <v>115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ref="S2288:S2294" si="1260">"14:54:41.508"</f>
        <v>14:54:41.508</v>
      </c>
      <c r="T2288" t="str">
        <f t="shared" ref="T2288:T2294" si="1261">"14:54:41.108"</f>
        <v>14:54:41.108</v>
      </c>
      <c r="U2288" t="str">
        <f t="shared" si="1235"/>
        <v>ACC530</v>
      </c>
      <c r="V2288">
        <v>0</v>
      </c>
      <c r="W2288">
        <v>0</v>
      </c>
      <c r="X2288">
        <v>1</v>
      </c>
      <c r="Z2288">
        <v>0</v>
      </c>
      <c r="AA2288">
        <v>9</v>
      </c>
      <c r="AB2288">
        <v>3</v>
      </c>
      <c r="AC2288">
        <v>0</v>
      </c>
      <c r="AD2288">
        <v>9</v>
      </c>
      <c r="AE2288">
        <v>0</v>
      </c>
      <c r="AF2288">
        <v>3</v>
      </c>
      <c r="AG2288">
        <v>1</v>
      </c>
      <c r="AH2288">
        <v>0</v>
      </c>
      <c r="AI2288" t="s">
        <v>824</v>
      </c>
      <c r="AJ2288">
        <v>34.158318000000001</v>
      </c>
      <c r="AK2288" t="s">
        <v>825</v>
      </c>
      <c r="AL2288">
        <v>-117.042503</v>
      </c>
      <c r="AM2288">
        <v>100</v>
      </c>
      <c r="AN2288">
        <v>7400</v>
      </c>
      <c r="AO2288" t="s">
        <v>118</v>
      </c>
      <c r="AP2288">
        <v>-74</v>
      </c>
      <c r="AQ2288">
        <v>-91</v>
      </c>
      <c r="AR2288">
        <v>-1088</v>
      </c>
      <c r="AZ2288">
        <v>1200</v>
      </c>
      <c r="BA2288">
        <v>1</v>
      </c>
      <c r="BB2288" t="str">
        <f t="shared" si="1236"/>
        <v xml:space="preserve">N9217B  </v>
      </c>
      <c r="BC2288">
        <v>1</v>
      </c>
      <c r="BE2288">
        <v>0</v>
      </c>
      <c r="BF2288">
        <v>0</v>
      </c>
      <c r="BG2288">
        <v>0</v>
      </c>
      <c r="BH2288">
        <v>7350</v>
      </c>
      <c r="BI2288">
        <v>1</v>
      </c>
      <c r="BJ2288">
        <v>0</v>
      </c>
      <c r="BK2288">
        <v>0</v>
      </c>
      <c r="BL2288">
        <v>0</v>
      </c>
      <c r="BO2288">
        <v>0</v>
      </c>
      <c r="BP2288">
        <v>0</v>
      </c>
      <c r="BW2288" t="str">
        <f t="shared" ref="BW2288:BW2294" si="1262">"14:54:41.510"</f>
        <v>14:54:41.510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285</v>
      </c>
      <c r="CR2288">
        <v>0</v>
      </c>
      <c r="CW2288">
        <v>8864184</v>
      </c>
      <c r="CY2288">
        <v>0</v>
      </c>
      <c r="CZ2288">
        <v>0</v>
      </c>
      <c r="DA2288">
        <v>0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25">
      <c r="A2289" t="str">
        <f t="shared" si="1259"/>
        <v>06/05/2020 14:54:35.838</v>
      </c>
      <c r="C2289" t="str">
        <f t="shared" si="1254"/>
        <v>FFDFD3C0</v>
      </c>
      <c r="D2289" t="s">
        <v>148</v>
      </c>
      <c r="E2289">
        <v>8</v>
      </c>
      <c r="H2289">
        <v>50</v>
      </c>
      <c r="I2289" t="s">
        <v>149</v>
      </c>
      <c r="J2289" t="s">
        <v>150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260"/>
        <v>14:54:41.508</v>
      </c>
      <c r="T2289" t="str">
        <f t="shared" si="1261"/>
        <v>14:54:41.108</v>
      </c>
      <c r="U2289" t="str">
        <f t="shared" si="1235"/>
        <v>ACC530</v>
      </c>
      <c r="V2289">
        <v>0</v>
      </c>
      <c r="W2289">
        <v>0</v>
      </c>
      <c r="X2289">
        <v>1</v>
      </c>
      <c r="Z2289">
        <v>0</v>
      </c>
      <c r="AA2289">
        <v>9</v>
      </c>
      <c r="AB2289">
        <v>3</v>
      </c>
      <c r="AC2289">
        <v>0</v>
      </c>
      <c r="AD2289">
        <v>9</v>
      </c>
      <c r="AE2289">
        <v>0</v>
      </c>
      <c r="AF2289">
        <v>3</v>
      </c>
      <c r="AG2289">
        <v>1</v>
      </c>
      <c r="AH2289">
        <v>0</v>
      </c>
      <c r="AI2289" t="s">
        <v>824</v>
      </c>
      <c r="AJ2289">
        <v>34.158318000000001</v>
      </c>
      <c r="AK2289" t="s">
        <v>825</v>
      </c>
      <c r="AL2289">
        <v>-117.042503</v>
      </c>
      <c r="AM2289">
        <v>100</v>
      </c>
      <c r="AN2289">
        <v>7400</v>
      </c>
      <c r="AO2289" t="s">
        <v>118</v>
      </c>
      <c r="AP2289">
        <v>-74</v>
      </c>
      <c r="AQ2289">
        <v>-91</v>
      </c>
      <c r="AR2289">
        <v>-1088</v>
      </c>
      <c r="AZ2289">
        <v>1200</v>
      </c>
      <c r="BA2289">
        <v>1</v>
      </c>
      <c r="BB2289" t="str">
        <f t="shared" si="1236"/>
        <v xml:space="preserve">N9217B  </v>
      </c>
      <c r="BC2289">
        <v>1</v>
      </c>
      <c r="BE2289">
        <v>0</v>
      </c>
      <c r="BF2289">
        <v>0</v>
      </c>
      <c r="BG2289">
        <v>0</v>
      </c>
      <c r="BH2289">
        <v>7350</v>
      </c>
      <c r="BI2289">
        <v>1</v>
      </c>
      <c r="BJ2289">
        <v>0</v>
      </c>
      <c r="BK2289">
        <v>0</v>
      </c>
      <c r="BL2289">
        <v>0</v>
      </c>
      <c r="BO2289">
        <v>0</v>
      </c>
      <c r="BP2289">
        <v>0</v>
      </c>
      <c r="BW2289" t="str">
        <f t="shared" si="1262"/>
        <v>14:54:41.510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285</v>
      </c>
      <c r="CR2289">
        <v>0</v>
      </c>
      <c r="CW2289">
        <v>8864184</v>
      </c>
      <c r="CY2289">
        <v>0</v>
      </c>
      <c r="CZ2289">
        <v>0</v>
      </c>
      <c r="DA2289">
        <v>1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25">
      <c r="A2290" t="str">
        <f t="shared" si="1259"/>
        <v>06/05/2020 14:54:35.838</v>
      </c>
      <c r="C2290" t="str">
        <f t="shared" si="1254"/>
        <v>FFDFD3C0</v>
      </c>
      <c r="D2290" t="s">
        <v>148</v>
      </c>
      <c r="E2290">
        <v>11</v>
      </c>
      <c r="H2290">
        <v>53</v>
      </c>
      <c r="I2290" t="s">
        <v>364</v>
      </c>
      <c r="J2290" t="s">
        <v>150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260"/>
        <v>14:54:41.508</v>
      </c>
      <c r="T2290" t="str">
        <f t="shared" si="1261"/>
        <v>14:54:41.108</v>
      </c>
      <c r="U2290" t="str">
        <f t="shared" si="1235"/>
        <v>ACC530</v>
      </c>
      <c r="V2290">
        <v>0</v>
      </c>
      <c r="W2290">
        <v>0</v>
      </c>
      <c r="X2290">
        <v>1</v>
      </c>
      <c r="Z2290">
        <v>0</v>
      </c>
      <c r="AA2290">
        <v>9</v>
      </c>
      <c r="AB2290">
        <v>3</v>
      </c>
      <c r="AC2290">
        <v>0</v>
      </c>
      <c r="AD2290">
        <v>9</v>
      </c>
      <c r="AE2290">
        <v>0</v>
      </c>
      <c r="AF2290">
        <v>3</v>
      </c>
      <c r="AG2290">
        <v>1</v>
      </c>
      <c r="AH2290">
        <v>0</v>
      </c>
      <c r="AI2290" t="s">
        <v>824</v>
      </c>
      <c r="AJ2290">
        <v>34.158318000000001</v>
      </c>
      <c r="AK2290" t="s">
        <v>825</v>
      </c>
      <c r="AL2290">
        <v>-117.042503</v>
      </c>
      <c r="AM2290">
        <v>100</v>
      </c>
      <c r="AN2290">
        <v>7400</v>
      </c>
      <c r="AO2290" t="s">
        <v>118</v>
      </c>
      <c r="AP2290">
        <v>-74</v>
      </c>
      <c r="AQ2290">
        <v>-91</v>
      </c>
      <c r="AR2290">
        <v>-1088</v>
      </c>
      <c r="AZ2290">
        <v>1200</v>
      </c>
      <c r="BA2290">
        <v>1</v>
      </c>
      <c r="BB2290" t="str">
        <f t="shared" si="1236"/>
        <v xml:space="preserve">N9217B  </v>
      </c>
      <c r="BC2290">
        <v>1</v>
      </c>
      <c r="BE2290">
        <v>0</v>
      </c>
      <c r="BF2290">
        <v>0</v>
      </c>
      <c r="BG2290">
        <v>0</v>
      </c>
      <c r="BH2290">
        <v>7350</v>
      </c>
      <c r="BI2290">
        <v>1</v>
      </c>
      <c r="BJ2290">
        <v>0</v>
      </c>
      <c r="BK2290">
        <v>0</v>
      </c>
      <c r="BL2290">
        <v>0</v>
      </c>
      <c r="BO2290">
        <v>0</v>
      </c>
      <c r="BP2290">
        <v>0</v>
      </c>
      <c r="BW2290" t="str">
        <f t="shared" si="1262"/>
        <v>14:54:41.510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285</v>
      </c>
      <c r="CR2290">
        <v>0</v>
      </c>
      <c r="CW2290">
        <v>8864184</v>
      </c>
      <c r="CY2290">
        <v>0</v>
      </c>
      <c r="CZ2290">
        <v>0</v>
      </c>
      <c r="DA2290">
        <v>1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25">
      <c r="A2291" t="str">
        <f t="shared" si="1259"/>
        <v>06/05/2020 14:54:35.838</v>
      </c>
      <c r="C2291" t="str">
        <f t="shared" si="1254"/>
        <v>FFDFD3C0</v>
      </c>
      <c r="D2291" t="s">
        <v>151</v>
      </c>
      <c r="E2291">
        <v>8</v>
      </c>
      <c r="H2291">
        <v>225</v>
      </c>
      <c r="I2291" t="s">
        <v>353</v>
      </c>
      <c r="J2291" t="s">
        <v>150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260"/>
        <v>14:54:41.508</v>
      </c>
      <c r="T2291" t="str">
        <f t="shared" si="1261"/>
        <v>14:54:41.108</v>
      </c>
      <c r="U2291" t="str">
        <f t="shared" si="1235"/>
        <v>ACC530</v>
      </c>
      <c r="V2291">
        <v>0</v>
      </c>
      <c r="W2291">
        <v>0</v>
      </c>
      <c r="X2291">
        <v>1</v>
      </c>
      <c r="Z2291">
        <v>0</v>
      </c>
      <c r="AA2291">
        <v>9</v>
      </c>
      <c r="AB2291">
        <v>3</v>
      </c>
      <c r="AC2291">
        <v>0</v>
      </c>
      <c r="AD2291">
        <v>9</v>
      </c>
      <c r="AE2291">
        <v>0</v>
      </c>
      <c r="AF2291">
        <v>3</v>
      </c>
      <c r="AG2291">
        <v>1</v>
      </c>
      <c r="AH2291">
        <v>0</v>
      </c>
      <c r="AI2291" t="s">
        <v>824</v>
      </c>
      <c r="AJ2291">
        <v>34.158318000000001</v>
      </c>
      <c r="AK2291" t="s">
        <v>825</v>
      </c>
      <c r="AL2291">
        <v>-117.042503</v>
      </c>
      <c r="AM2291">
        <v>100</v>
      </c>
      <c r="AN2291">
        <v>7400</v>
      </c>
      <c r="AO2291" t="s">
        <v>118</v>
      </c>
      <c r="AP2291">
        <v>-74</v>
      </c>
      <c r="AQ2291">
        <v>-91</v>
      </c>
      <c r="AR2291">
        <v>-1088</v>
      </c>
      <c r="AZ2291">
        <v>1200</v>
      </c>
      <c r="BA2291">
        <v>1</v>
      </c>
      <c r="BB2291" t="str">
        <f t="shared" si="1236"/>
        <v xml:space="preserve">N9217B  </v>
      </c>
      <c r="BC2291">
        <v>1</v>
      </c>
      <c r="BE2291">
        <v>0</v>
      </c>
      <c r="BF2291">
        <v>0</v>
      </c>
      <c r="BG2291">
        <v>0</v>
      </c>
      <c r="BH2291">
        <v>7350</v>
      </c>
      <c r="BI2291">
        <v>1</v>
      </c>
      <c r="BJ2291">
        <v>0</v>
      </c>
      <c r="BK2291">
        <v>0</v>
      </c>
      <c r="BL2291">
        <v>0</v>
      </c>
      <c r="BO2291">
        <v>0</v>
      </c>
      <c r="BP2291">
        <v>0</v>
      </c>
      <c r="BW2291" t="str">
        <f t="shared" si="1262"/>
        <v>14:54:41.510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285</v>
      </c>
      <c r="CR2291">
        <v>0</v>
      </c>
      <c r="CW2291">
        <v>8864184</v>
      </c>
      <c r="CY2291">
        <v>0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25">
      <c r="A2292" t="str">
        <f t="shared" si="1259"/>
        <v>06/05/2020 14:54:35.838</v>
      </c>
      <c r="C2292" t="str">
        <f t="shared" si="1254"/>
        <v>FFDFD3C0</v>
      </c>
      <c r="D2292" t="s">
        <v>134</v>
      </c>
      <c r="E2292">
        <v>7</v>
      </c>
      <c r="F2292">
        <v>2007</v>
      </c>
      <c r="G2292" t="s">
        <v>135</v>
      </c>
      <c r="J2292" t="s">
        <v>136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260"/>
        <v>14:54:41.508</v>
      </c>
      <c r="T2292" t="str">
        <f t="shared" si="1261"/>
        <v>14:54:41.108</v>
      </c>
      <c r="U2292" t="str">
        <f t="shared" si="1235"/>
        <v>ACC530</v>
      </c>
      <c r="V2292">
        <v>0</v>
      </c>
      <c r="W2292">
        <v>0</v>
      </c>
      <c r="X2292">
        <v>1</v>
      </c>
      <c r="Z2292">
        <v>0</v>
      </c>
      <c r="AA2292">
        <v>9</v>
      </c>
      <c r="AB2292">
        <v>3</v>
      </c>
      <c r="AC2292">
        <v>0</v>
      </c>
      <c r="AD2292">
        <v>9</v>
      </c>
      <c r="AE2292">
        <v>0</v>
      </c>
      <c r="AF2292">
        <v>3</v>
      </c>
      <c r="AG2292">
        <v>1</v>
      </c>
      <c r="AH2292">
        <v>0</v>
      </c>
      <c r="AI2292" t="s">
        <v>824</v>
      </c>
      <c r="AJ2292">
        <v>34.158318000000001</v>
      </c>
      <c r="AK2292" t="s">
        <v>825</v>
      </c>
      <c r="AL2292">
        <v>-117.042503</v>
      </c>
      <c r="AM2292">
        <v>100</v>
      </c>
      <c r="AN2292">
        <v>7400</v>
      </c>
      <c r="AO2292" t="s">
        <v>118</v>
      </c>
      <c r="AP2292">
        <v>-74</v>
      </c>
      <c r="AQ2292">
        <v>-91</v>
      </c>
      <c r="AR2292">
        <v>-1088</v>
      </c>
      <c r="AZ2292">
        <v>1200</v>
      </c>
      <c r="BA2292">
        <v>1</v>
      </c>
      <c r="BB2292" t="str">
        <f t="shared" si="1236"/>
        <v xml:space="preserve">N9217B  </v>
      </c>
      <c r="BC2292">
        <v>1</v>
      </c>
      <c r="BE2292">
        <v>0</v>
      </c>
      <c r="BF2292">
        <v>0</v>
      </c>
      <c r="BG2292">
        <v>0</v>
      </c>
      <c r="BH2292">
        <v>7350</v>
      </c>
      <c r="BI2292">
        <v>1</v>
      </c>
      <c r="BJ2292">
        <v>0</v>
      </c>
      <c r="BK2292">
        <v>0</v>
      </c>
      <c r="BL2292">
        <v>0</v>
      </c>
      <c r="BO2292">
        <v>0</v>
      </c>
      <c r="BP2292">
        <v>0</v>
      </c>
      <c r="BW2292" t="str">
        <f t="shared" si="1262"/>
        <v>14:54:41.510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285</v>
      </c>
      <c r="CR2292">
        <v>0</v>
      </c>
      <c r="CW2292">
        <v>8864184</v>
      </c>
      <c r="CY2292">
        <v>0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25">
      <c r="A2293" t="str">
        <f t="shared" si="1259"/>
        <v>06/05/2020 14:54:35.838</v>
      </c>
      <c r="C2293" t="str">
        <f t="shared" si="1254"/>
        <v>FFDFD3C0</v>
      </c>
      <c r="D2293" t="s">
        <v>141</v>
      </c>
      <c r="E2293">
        <v>20</v>
      </c>
      <c r="F2293">
        <v>1020</v>
      </c>
      <c r="G2293" t="s">
        <v>114</v>
      </c>
      <c r="J2293" t="s">
        <v>142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260"/>
        <v>14:54:41.508</v>
      </c>
      <c r="T2293" t="str">
        <f t="shared" si="1261"/>
        <v>14:54:41.108</v>
      </c>
      <c r="U2293" t="str">
        <f t="shared" si="1235"/>
        <v>ACC530</v>
      </c>
      <c r="V2293">
        <v>0</v>
      </c>
      <c r="W2293">
        <v>0</v>
      </c>
      <c r="X2293">
        <v>1</v>
      </c>
      <c r="Z2293">
        <v>0</v>
      </c>
      <c r="AA2293">
        <v>9</v>
      </c>
      <c r="AB2293">
        <v>3</v>
      </c>
      <c r="AC2293">
        <v>0</v>
      </c>
      <c r="AD2293">
        <v>9</v>
      </c>
      <c r="AE2293">
        <v>0</v>
      </c>
      <c r="AF2293">
        <v>3</v>
      </c>
      <c r="AG2293">
        <v>1</v>
      </c>
      <c r="AH2293">
        <v>0</v>
      </c>
      <c r="AI2293" t="s">
        <v>824</v>
      </c>
      <c r="AJ2293">
        <v>34.158318000000001</v>
      </c>
      <c r="AK2293" t="s">
        <v>825</v>
      </c>
      <c r="AL2293">
        <v>-117.042503</v>
      </c>
      <c r="AM2293">
        <v>100</v>
      </c>
      <c r="AN2293">
        <v>7400</v>
      </c>
      <c r="AO2293" t="s">
        <v>118</v>
      </c>
      <c r="AP2293">
        <v>-74</v>
      </c>
      <c r="AQ2293">
        <v>-91</v>
      </c>
      <c r="AR2293">
        <v>-1088</v>
      </c>
      <c r="AZ2293">
        <v>1200</v>
      </c>
      <c r="BA2293">
        <v>1</v>
      </c>
      <c r="BB2293" t="str">
        <f t="shared" si="1236"/>
        <v xml:space="preserve">N9217B  </v>
      </c>
      <c r="BC2293">
        <v>1</v>
      </c>
      <c r="BE2293">
        <v>0</v>
      </c>
      <c r="BF2293">
        <v>0</v>
      </c>
      <c r="BG2293">
        <v>0</v>
      </c>
      <c r="BH2293">
        <v>7350</v>
      </c>
      <c r="BI2293">
        <v>1</v>
      </c>
      <c r="BJ2293">
        <v>0</v>
      </c>
      <c r="BK2293">
        <v>0</v>
      </c>
      <c r="BL2293">
        <v>0</v>
      </c>
      <c r="BO2293">
        <v>0</v>
      </c>
      <c r="BP2293">
        <v>0</v>
      </c>
      <c r="BW2293" t="str">
        <f t="shared" si="1262"/>
        <v>14:54:41.510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285</v>
      </c>
      <c r="CR2293">
        <v>0</v>
      </c>
      <c r="CW2293">
        <v>8864184</v>
      </c>
      <c r="CY2293">
        <v>0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25">
      <c r="A2294" t="str">
        <f t="shared" si="1259"/>
        <v>06/05/2020 14:54:35.838</v>
      </c>
      <c r="C2294" t="str">
        <f t="shared" si="1254"/>
        <v>FFDFD3C0</v>
      </c>
      <c r="D2294" t="s">
        <v>151</v>
      </c>
      <c r="E2294">
        <v>9</v>
      </c>
      <c r="H2294">
        <v>226</v>
      </c>
      <c r="I2294" t="s">
        <v>152</v>
      </c>
      <c r="J2294" t="s">
        <v>150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260"/>
        <v>14:54:41.508</v>
      </c>
      <c r="T2294" t="str">
        <f t="shared" si="1261"/>
        <v>14:54:41.108</v>
      </c>
      <c r="U2294" t="str">
        <f t="shared" si="1235"/>
        <v>ACC530</v>
      </c>
      <c r="V2294">
        <v>0</v>
      </c>
      <c r="W2294">
        <v>0</v>
      </c>
      <c r="X2294">
        <v>1</v>
      </c>
      <c r="Z2294">
        <v>0</v>
      </c>
      <c r="AA2294">
        <v>9</v>
      </c>
      <c r="AB2294">
        <v>3</v>
      </c>
      <c r="AC2294">
        <v>0</v>
      </c>
      <c r="AD2294">
        <v>9</v>
      </c>
      <c r="AE2294">
        <v>0</v>
      </c>
      <c r="AF2294">
        <v>3</v>
      </c>
      <c r="AG2294">
        <v>1</v>
      </c>
      <c r="AH2294">
        <v>0</v>
      </c>
      <c r="AI2294" t="s">
        <v>824</v>
      </c>
      <c r="AJ2294">
        <v>34.158318000000001</v>
      </c>
      <c r="AK2294" t="s">
        <v>825</v>
      </c>
      <c r="AL2294">
        <v>-117.042503</v>
      </c>
      <c r="AM2294">
        <v>100</v>
      </c>
      <c r="AN2294">
        <v>7400</v>
      </c>
      <c r="AO2294" t="s">
        <v>118</v>
      </c>
      <c r="AP2294">
        <v>-74</v>
      </c>
      <c r="AQ2294">
        <v>-91</v>
      </c>
      <c r="AR2294">
        <v>-1088</v>
      </c>
      <c r="AZ2294">
        <v>1200</v>
      </c>
      <c r="BA2294">
        <v>1</v>
      </c>
      <c r="BB2294" t="str">
        <f t="shared" si="1236"/>
        <v xml:space="preserve">N9217B  </v>
      </c>
      <c r="BC2294">
        <v>1</v>
      </c>
      <c r="BE2294">
        <v>0</v>
      </c>
      <c r="BF2294">
        <v>0</v>
      </c>
      <c r="BG2294">
        <v>0</v>
      </c>
      <c r="BH2294">
        <v>7350</v>
      </c>
      <c r="BI2294">
        <v>1</v>
      </c>
      <c r="BJ2294">
        <v>0</v>
      </c>
      <c r="BK2294">
        <v>0</v>
      </c>
      <c r="BL2294">
        <v>0</v>
      </c>
      <c r="BO2294">
        <v>0</v>
      </c>
      <c r="BP2294">
        <v>0</v>
      </c>
      <c r="BW2294" t="str">
        <f t="shared" si="1262"/>
        <v>14:54:41.510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285</v>
      </c>
      <c r="CR2294">
        <v>0</v>
      </c>
      <c r="CW2294">
        <v>8864184</v>
      </c>
      <c r="CY2294">
        <v>0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25">
      <c r="A2295" t="str">
        <f t="shared" ref="A2295:A2301" si="1263">"06/05/2020 14:54:37.020"</f>
        <v>06/05/2020 14:54:37.020</v>
      </c>
      <c r="C2295" t="str">
        <f t="shared" si="1254"/>
        <v>FFDFD3C0</v>
      </c>
      <c r="D2295" t="s">
        <v>148</v>
      </c>
      <c r="E2295">
        <v>11</v>
      </c>
      <c r="H2295">
        <v>53</v>
      </c>
      <c r="I2295" t="s">
        <v>364</v>
      </c>
      <c r="J2295" t="s">
        <v>150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ref="S2295:T2301" si="1264">"14:54:42.633"</f>
        <v>14:54:42.633</v>
      </c>
      <c r="T2295" t="str">
        <f t="shared" si="1264"/>
        <v>14:54:42.633</v>
      </c>
      <c r="U2295" t="str">
        <f t="shared" si="1235"/>
        <v>ACC530</v>
      </c>
      <c r="V2295">
        <v>0</v>
      </c>
      <c r="W2295">
        <v>0</v>
      </c>
      <c r="X2295">
        <v>1</v>
      </c>
      <c r="Z2295">
        <v>0</v>
      </c>
      <c r="AA2295">
        <v>9</v>
      </c>
      <c r="AB2295">
        <v>3</v>
      </c>
      <c r="AC2295">
        <v>0</v>
      </c>
      <c r="AD2295">
        <v>9</v>
      </c>
      <c r="AE2295">
        <v>0</v>
      </c>
      <c r="AF2295">
        <v>3</v>
      </c>
      <c r="AG2295">
        <v>1</v>
      </c>
      <c r="AH2295">
        <v>0</v>
      </c>
      <c r="AI2295" t="s">
        <v>826</v>
      </c>
      <c r="AJ2295">
        <v>34.157803000000001</v>
      </c>
      <c r="AK2295" t="s">
        <v>827</v>
      </c>
      <c r="AL2295">
        <v>-117.04295399999999</v>
      </c>
      <c r="AM2295">
        <v>100</v>
      </c>
      <c r="AN2295">
        <v>7400</v>
      </c>
      <c r="AO2295" t="s">
        <v>118</v>
      </c>
      <c r="AP2295">
        <v>-71</v>
      </c>
      <c r="AQ2295">
        <v>-92</v>
      </c>
      <c r="AR2295">
        <v>-960</v>
      </c>
      <c r="AZ2295">
        <v>1200</v>
      </c>
      <c r="BA2295">
        <v>1</v>
      </c>
      <c r="BB2295" t="str">
        <f t="shared" si="1236"/>
        <v xml:space="preserve">N9217B  </v>
      </c>
      <c r="BC2295">
        <v>1</v>
      </c>
      <c r="BE2295">
        <v>0</v>
      </c>
      <c r="BF2295">
        <v>0</v>
      </c>
      <c r="BG2295">
        <v>0</v>
      </c>
      <c r="BH2295">
        <v>7325</v>
      </c>
      <c r="BI2295">
        <v>1</v>
      </c>
      <c r="BJ2295">
        <v>0</v>
      </c>
      <c r="BK2295">
        <v>0</v>
      </c>
      <c r="BL2295">
        <v>0</v>
      </c>
      <c r="BO2295">
        <v>0</v>
      </c>
      <c r="BP2295">
        <v>0</v>
      </c>
      <c r="BW2295" t="str">
        <f t="shared" ref="BW2295:BW2301" si="1265">"14:54:42.634"</f>
        <v>14:54:42.634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285</v>
      </c>
      <c r="CR2295">
        <v>0</v>
      </c>
      <c r="CW2295">
        <v>8864280</v>
      </c>
      <c r="CY2295">
        <v>0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25">
      <c r="A2296" t="str">
        <f t="shared" si="1263"/>
        <v>06/05/2020 14:54:37.020</v>
      </c>
      <c r="C2296" t="str">
        <f t="shared" si="1254"/>
        <v>FFDFD3C0</v>
      </c>
      <c r="D2296" t="s">
        <v>151</v>
      </c>
      <c r="E2296">
        <v>8</v>
      </c>
      <c r="H2296">
        <v>225</v>
      </c>
      <c r="I2296" t="s">
        <v>353</v>
      </c>
      <c r="J2296" t="s">
        <v>150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264"/>
        <v>14:54:42.633</v>
      </c>
      <c r="T2296" t="str">
        <f t="shared" si="1264"/>
        <v>14:54:42.633</v>
      </c>
      <c r="U2296" t="str">
        <f t="shared" si="1235"/>
        <v>ACC530</v>
      </c>
      <c r="V2296">
        <v>0</v>
      </c>
      <c r="W2296">
        <v>0</v>
      </c>
      <c r="X2296">
        <v>1</v>
      </c>
      <c r="Z2296">
        <v>0</v>
      </c>
      <c r="AA2296">
        <v>9</v>
      </c>
      <c r="AB2296">
        <v>3</v>
      </c>
      <c r="AC2296">
        <v>0</v>
      </c>
      <c r="AD2296">
        <v>9</v>
      </c>
      <c r="AE2296">
        <v>0</v>
      </c>
      <c r="AF2296">
        <v>3</v>
      </c>
      <c r="AG2296">
        <v>1</v>
      </c>
      <c r="AH2296">
        <v>0</v>
      </c>
      <c r="AI2296" t="s">
        <v>826</v>
      </c>
      <c r="AJ2296">
        <v>34.157803000000001</v>
      </c>
      <c r="AK2296" t="s">
        <v>827</v>
      </c>
      <c r="AL2296">
        <v>-117.04295399999999</v>
      </c>
      <c r="AM2296">
        <v>100</v>
      </c>
      <c r="AN2296">
        <v>7400</v>
      </c>
      <c r="AO2296" t="s">
        <v>118</v>
      </c>
      <c r="AP2296">
        <v>-71</v>
      </c>
      <c r="AQ2296">
        <v>-92</v>
      </c>
      <c r="AR2296">
        <v>-960</v>
      </c>
      <c r="AZ2296">
        <v>1200</v>
      </c>
      <c r="BA2296">
        <v>1</v>
      </c>
      <c r="BB2296" t="str">
        <f t="shared" si="1236"/>
        <v xml:space="preserve">N9217B  </v>
      </c>
      <c r="BC2296">
        <v>1</v>
      </c>
      <c r="BE2296">
        <v>0</v>
      </c>
      <c r="BF2296">
        <v>0</v>
      </c>
      <c r="BG2296">
        <v>0</v>
      </c>
      <c r="BH2296">
        <v>7325</v>
      </c>
      <c r="BI2296">
        <v>1</v>
      </c>
      <c r="BJ2296">
        <v>0</v>
      </c>
      <c r="BK2296">
        <v>0</v>
      </c>
      <c r="BL2296">
        <v>0</v>
      </c>
      <c r="BO2296">
        <v>0</v>
      </c>
      <c r="BP2296">
        <v>0</v>
      </c>
      <c r="BW2296" t="str">
        <f t="shared" si="1265"/>
        <v>14:54:42.634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285</v>
      </c>
      <c r="CR2296">
        <v>0</v>
      </c>
      <c r="CW2296">
        <v>8864280</v>
      </c>
      <c r="CY2296">
        <v>0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25">
      <c r="A2297" t="str">
        <f t="shared" si="1263"/>
        <v>06/05/2020 14:54:37.020</v>
      </c>
      <c r="C2297" t="str">
        <f t="shared" si="1254"/>
        <v>FFDFD3C0</v>
      </c>
      <c r="D2297" t="s">
        <v>134</v>
      </c>
      <c r="E2297">
        <v>7</v>
      </c>
      <c r="F2297">
        <v>2007</v>
      </c>
      <c r="G2297" t="s">
        <v>135</v>
      </c>
      <c r="J2297" t="s">
        <v>136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264"/>
        <v>14:54:42.633</v>
      </c>
      <c r="T2297" t="str">
        <f t="shared" si="1264"/>
        <v>14:54:42.633</v>
      </c>
      <c r="U2297" t="str">
        <f t="shared" si="1235"/>
        <v>ACC530</v>
      </c>
      <c r="V2297">
        <v>0</v>
      </c>
      <c r="W2297">
        <v>0</v>
      </c>
      <c r="X2297">
        <v>1</v>
      </c>
      <c r="Z2297">
        <v>0</v>
      </c>
      <c r="AA2297">
        <v>9</v>
      </c>
      <c r="AB2297">
        <v>3</v>
      </c>
      <c r="AC2297">
        <v>0</v>
      </c>
      <c r="AD2297">
        <v>9</v>
      </c>
      <c r="AE2297">
        <v>0</v>
      </c>
      <c r="AF2297">
        <v>3</v>
      </c>
      <c r="AG2297">
        <v>1</v>
      </c>
      <c r="AH2297">
        <v>0</v>
      </c>
      <c r="AI2297" t="s">
        <v>826</v>
      </c>
      <c r="AJ2297">
        <v>34.157803000000001</v>
      </c>
      <c r="AK2297" t="s">
        <v>827</v>
      </c>
      <c r="AL2297">
        <v>-117.04295399999999</v>
      </c>
      <c r="AM2297">
        <v>100</v>
      </c>
      <c r="AN2297">
        <v>7400</v>
      </c>
      <c r="AO2297" t="s">
        <v>118</v>
      </c>
      <c r="AP2297">
        <v>-71</v>
      </c>
      <c r="AQ2297">
        <v>-92</v>
      </c>
      <c r="AR2297">
        <v>-960</v>
      </c>
      <c r="AZ2297">
        <v>1200</v>
      </c>
      <c r="BA2297">
        <v>1</v>
      </c>
      <c r="BB2297" t="str">
        <f t="shared" si="1236"/>
        <v xml:space="preserve">N9217B  </v>
      </c>
      <c r="BC2297">
        <v>1</v>
      </c>
      <c r="BE2297">
        <v>0</v>
      </c>
      <c r="BF2297">
        <v>0</v>
      </c>
      <c r="BG2297">
        <v>0</v>
      </c>
      <c r="BH2297">
        <v>7325</v>
      </c>
      <c r="BI2297">
        <v>1</v>
      </c>
      <c r="BJ2297">
        <v>0</v>
      </c>
      <c r="BK2297">
        <v>0</v>
      </c>
      <c r="BL2297">
        <v>0</v>
      </c>
      <c r="BO2297">
        <v>0</v>
      </c>
      <c r="BP2297">
        <v>0</v>
      </c>
      <c r="BW2297" t="str">
        <f t="shared" si="1265"/>
        <v>14:54:42.634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285</v>
      </c>
      <c r="CR2297">
        <v>0</v>
      </c>
      <c r="CW2297">
        <v>8864280</v>
      </c>
      <c r="CY2297">
        <v>0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25">
      <c r="A2298" t="str">
        <f t="shared" si="1263"/>
        <v>06/05/2020 14:54:37.020</v>
      </c>
      <c r="C2298" t="str">
        <f t="shared" si="1254"/>
        <v>FFDFD3C0</v>
      </c>
      <c r="D2298" t="s">
        <v>141</v>
      </c>
      <c r="E2298">
        <v>20</v>
      </c>
      <c r="F2298">
        <v>1020</v>
      </c>
      <c r="G2298" t="s">
        <v>114</v>
      </c>
      <c r="J2298" t="s">
        <v>142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264"/>
        <v>14:54:42.633</v>
      </c>
      <c r="T2298" t="str">
        <f t="shared" si="1264"/>
        <v>14:54:42.633</v>
      </c>
      <c r="U2298" t="str">
        <f t="shared" si="1235"/>
        <v>ACC530</v>
      </c>
      <c r="V2298">
        <v>0</v>
      </c>
      <c r="W2298">
        <v>0</v>
      </c>
      <c r="X2298">
        <v>1</v>
      </c>
      <c r="Z2298">
        <v>0</v>
      </c>
      <c r="AA2298">
        <v>9</v>
      </c>
      <c r="AB2298">
        <v>3</v>
      </c>
      <c r="AC2298">
        <v>0</v>
      </c>
      <c r="AD2298">
        <v>9</v>
      </c>
      <c r="AE2298">
        <v>0</v>
      </c>
      <c r="AF2298">
        <v>3</v>
      </c>
      <c r="AG2298">
        <v>1</v>
      </c>
      <c r="AH2298">
        <v>0</v>
      </c>
      <c r="AI2298" t="s">
        <v>826</v>
      </c>
      <c r="AJ2298">
        <v>34.157803000000001</v>
      </c>
      <c r="AK2298" t="s">
        <v>827</v>
      </c>
      <c r="AL2298">
        <v>-117.04295399999999</v>
      </c>
      <c r="AM2298">
        <v>100</v>
      </c>
      <c r="AN2298">
        <v>7400</v>
      </c>
      <c r="AO2298" t="s">
        <v>118</v>
      </c>
      <c r="AP2298">
        <v>-71</v>
      </c>
      <c r="AQ2298">
        <v>-92</v>
      </c>
      <c r="AR2298">
        <v>-960</v>
      </c>
      <c r="AZ2298">
        <v>1200</v>
      </c>
      <c r="BA2298">
        <v>1</v>
      </c>
      <c r="BB2298" t="str">
        <f t="shared" si="1236"/>
        <v xml:space="preserve">N9217B  </v>
      </c>
      <c r="BC2298">
        <v>1</v>
      </c>
      <c r="BE2298">
        <v>0</v>
      </c>
      <c r="BF2298">
        <v>0</v>
      </c>
      <c r="BG2298">
        <v>0</v>
      </c>
      <c r="BH2298">
        <v>7325</v>
      </c>
      <c r="BI2298">
        <v>1</v>
      </c>
      <c r="BJ2298">
        <v>0</v>
      </c>
      <c r="BK2298">
        <v>0</v>
      </c>
      <c r="BL2298">
        <v>0</v>
      </c>
      <c r="BO2298">
        <v>0</v>
      </c>
      <c r="BP2298">
        <v>0</v>
      </c>
      <c r="BW2298" t="str">
        <f t="shared" si="1265"/>
        <v>14:54:42.634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285</v>
      </c>
      <c r="CR2298">
        <v>0</v>
      </c>
      <c r="CW2298">
        <v>8864280</v>
      </c>
      <c r="CY2298">
        <v>0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25">
      <c r="A2299" t="str">
        <f t="shared" si="1263"/>
        <v>06/05/2020 14:54:37.020</v>
      </c>
      <c r="C2299" t="str">
        <f t="shared" si="1254"/>
        <v>FFDFD3C0</v>
      </c>
      <c r="D2299" t="s">
        <v>113</v>
      </c>
      <c r="E2299">
        <v>3</v>
      </c>
      <c r="H2299">
        <v>166</v>
      </c>
      <c r="I2299" t="s">
        <v>114</v>
      </c>
      <c r="J2299" t="s">
        <v>115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264"/>
        <v>14:54:42.633</v>
      </c>
      <c r="T2299" t="str">
        <f t="shared" si="1264"/>
        <v>14:54:42.633</v>
      </c>
      <c r="U2299" t="str">
        <f t="shared" si="1235"/>
        <v>ACC530</v>
      </c>
      <c r="V2299">
        <v>0</v>
      </c>
      <c r="W2299">
        <v>0</v>
      </c>
      <c r="X2299">
        <v>1</v>
      </c>
      <c r="Z2299">
        <v>0</v>
      </c>
      <c r="AA2299">
        <v>9</v>
      </c>
      <c r="AB2299">
        <v>3</v>
      </c>
      <c r="AC2299">
        <v>0</v>
      </c>
      <c r="AD2299">
        <v>9</v>
      </c>
      <c r="AE2299">
        <v>0</v>
      </c>
      <c r="AF2299">
        <v>3</v>
      </c>
      <c r="AG2299">
        <v>1</v>
      </c>
      <c r="AH2299">
        <v>0</v>
      </c>
      <c r="AI2299" t="s">
        <v>826</v>
      </c>
      <c r="AJ2299">
        <v>34.157803000000001</v>
      </c>
      <c r="AK2299" t="s">
        <v>827</v>
      </c>
      <c r="AL2299">
        <v>-117.04295399999999</v>
      </c>
      <c r="AM2299">
        <v>100</v>
      </c>
      <c r="AN2299">
        <v>7400</v>
      </c>
      <c r="AO2299" t="s">
        <v>118</v>
      </c>
      <c r="AP2299">
        <v>-71</v>
      </c>
      <c r="AQ2299">
        <v>-92</v>
      </c>
      <c r="AR2299">
        <v>-960</v>
      </c>
      <c r="AZ2299">
        <v>1200</v>
      </c>
      <c r="BA2299">
        <v>1</v>
      </c>
      <c r="BB2299" t="str">
        <f t="shared" si="1236"/>
        <v xml:space="preserve">N9217B  </v>
      </c>
      <c r="BC2299">
        <v>1</v>
      </c>
      <c r="BE2299">
        <v>0</v>
      </c>
      <c r="BF2299">
        <v>0</v>
      </c>
      <c r="BG2299">
        <v>0</v>
      </c>
      <c r="BH2299">
        <v>7325</v>
      </c>
      <c r="BI2299">
        <v>1</v>
      </c>
      <c r="BJ2299">
        <v>0</v>
      </c>
      <c r="BK2299">
        <v>0</v>
      </c>
      <c r="BL2299">
        <v>0</v>
      </c>
      <c r="BO2299">
        <v>0</v>
      </c>
      <c r="BP2299">
        <v>0</v>
      </c>
      <c r="BW2299" t="str">
        <f t="shared" si="1265"/>
        <v>14:54:42.634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285</v>
      </c>
      <c r="CR2299">
        <v>0</v>
      </c>
      <c r="CW2299">
        <v>8864280</v>
      </c>
      <c r="CY2299">
        <v>0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25">
      <c r="A2300" t="str">
        <f t="shared" si="1263"/>
        <v>06/05/2020 14:54:37.020</v>
      </c>
      <c r="C2300" t="str">
        <f t="shared" si="1254"/>
        <v>FFDFD3C0</v>
      </c>
      <c r="D2300" t="s">
        <v>151</v>
      </c>
      <c r="E2300">
        <v>9</v>
      </c>
      <c r="H2300">
        <v>226</v>
      </c>
      <c r="I2300" t="s">
        <v>152</v>
      </c>
      <c r="J2300" t="s">
        <v>150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264"/>
        <v>14:54:42.633</v>
      </c>
      <c r="T2300" t="str">
        <f t="shared" si="1264"/>
        <v>14:54:42.633</v>
      </c>
      <c r="U2300" t="str">
        <f t="shared" si="1235"/>
        <v>ACC530</v>
      </c>
      <c r="V2300">
        <v>0</v>
      </c>
      <c r="W2300">
        <v>0</v>
      </c>
      <c r="X2300">
        <v>1</v>
      </c>
      <c r="Z2300">
        <v>0</v>
      </c>
      <c r="AA2300">
        <v>9</v>
      </c>
      <c r="AB2300">
        <v>3</v>
      </c>
      <c r="AC2300">
        <v>0</v>
      </c>
      <c r="AD2300">
        <v>9</v>
      </c>
      <c r="AE2300">
        <v>0</v>
      </c>
      <c r="AF2300">
        <v>3</v>
      </c>
      <c r="AG2300">
        <v>1</v>
      </c>
      <c r="AH2300">
        <v>0</v>
      </c>
      <c r="AI2300" t="s">
        <v>826</v>
      </c>
      <c r="AJ2300">
        <v>34.157803000000001</v>
      </c>
      <c r="AK2300" t="s">
        <v>827</v>
      </c>
      <c r="AL2300">
        <v>-117.04295399999999</v>
      </c>
      <c r="AM2300">
        <v>100</v>
      </c>
      <c r="AN2300">
        <v>7400</v>
      </c>
      <c r="AO2300" t="s">
        <v>118</v>
      </c>
      <c r="AP2300">
        <v>-71</v>
      </c>
      <c r="AQ2300">
        <v>-92</v>
      </c>
      <c r="AR2300">
        <v>-960</v>
      </c>
      <c r="AZ2300">
        <v>1200</v>
      </c>
      <c r="BA2300">
        <v>1</v>
      </c>
      <c r="BB2300" t="str">
        <f t="shared" si="1236"/>
        <v xml:space="preserve">N9217B  </v>
      </c>
      <c r="BC2300">
        <v>1</v>
      </c>
      <c r="BE2300">
        <v>0</v>
      </c>
      <c r="BF2300">
        <v>0</v>
      </c>
      <c r="BG2300">
        <v>0</v>
      </c>
      <c r="BH2300">
        <v>7325</v>
      </c>
      <c r="BI2300">
        <v>1</v>
      </c>
      <c r="BJ2300">
        <v>0</v>
      </c>
      <c r="BK2300">
        <v>0</v>
      </c>
      <c r="BL2300">
        <v>0</v>
      </c>
      <c r="BO2300">
        <v>0</v>
      </c>
      <c r="BP2300">
        <v>0</v>
      </c>
      <c r="BW2300" t="str">
        <f t="shared" si="1265"/>
        <v>14:54:42.634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285</v>
      </c>
      <c r="CR2300">
        <v>0</v>
      </c>
      <c r="CW2300">
        <v>8864280</v>
      </c>
      <c r="CY2300">
        <v>0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25">
      <c r="A2301" t="str">
        <f t="shared" si="1263"/>
        <v>06/05/2020 14:54:37.020</v>
      </c>
      <c r="C2301" t="str">
        <f t="shared" si="1254"/>
        <v>FFDFD3C0</v>
      </c>
      <c r="D2301" t="s">
        <v>148</v>
      </c>
      <c r="E2301">
        <v>8</v>
      </c>
      <c r="H2301">
        <v>50</v>
      </c>
      <c r="I2301" t="s">
        <v>149</v>
      </c>
      <c r="J2301" t="s">
        <v>150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264"/>
        <v>14:54:42.633</v>
      </c>
      <c r="T2301" t="str">
        <f t="shared" si="1264"/>
        <v>14:54:42.633</v>
      </c>
      <c r="U2301" t="str">
        <f t="shared" si="1235"/>
        <v>ACC530</v>
      </c>
      <c r="V2301">
        <v>0</v>
      </c>
      <c r="W2301">
        <v>0</v>
      </c>
      <c r="X2301">
        <v>1</v>
      </c>
      <c r="Z2301">
        <v>0</v>
      </c>
      <c r="AA2301">
        <v>9</v>
      </c>
      <c r="AB2301">
        <v>3</v>
      </c>
      <c r="AC2301">
        <v>0</v>
      </c>
      <c r="AD2301">
        <v>9</v>
      </c>
      <c r="AE2301">
        <v>0</v>
      </c>
      <c r="AF2301">
        <v>3</v>
      </c>
      <c r="AG2301">
        <v>1</v>
      </c>
      <c r="AH2301">
        <v>0</v>
      </c>
      <c r="AI2301" t="s">
        <v>826</v>
      </c>
      <c r="AJ2301">
        <v>34.157803000000001</v>
      </c>
      <c r="AK2301" t="s">
        <v>827</v>
      </c>
      <c r="AL2301">
        <v>-117.04295399999999</v>
      </c>
      <c r="AM2301">
        <v>100</v>
      </c>
      <c r="AN2301">
        <v>7400</v>
      </c>
      <c r="AO2301" t="s">
        <v>118</v>
      </c>
      <c r="AP2301">
        <v>-71</v>
      </c>
      <c r="AQ2301">
        <v>-92</v>
      </c>
      <c r="AR2301">
        <v>-960</v>
      </c>
      <c r="AZ2301">
        <v>1200</v>
      </c>
      <c r="BA2301">
        <v>1</v>
      </c>
      <c r="BB2301" t="str">
        <f t="shared" si="1236"/>
        <v xml:space="preserve">N9217B  </v>
      </c>
      <c r="BC2301">
        <v>1</v>
      </c>
      <c r="BE2301">
        <v>0</v>
      </c>
      <c r="BF2301">
        <v>0</v>
      </c>
      <c r="BG2301">
        <v>0</v>
      </c>
      <c r="BH2301">
        <v>7325</v>
      </c>
      <c r="BI2301">
        <v>1</v>
      </c>
      <c r="BJ2301">
        <v>0</v>
      </c>
      <c r="BK2301">
        <v>0</v>
      </c>
      <c r="BL2301">
        <v>0</v>
      </c>
      <c r="BO2301">
        <v>0</v>
      </c>
      <c r="BP2301">
        <v>0</v>
      </c>
      <c r="BW2301" t="str">
        <f t="shared" si="1265"/>
        <v>14:54:42.634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285</v>
      </c>
      <c r="CR2301">
        <v>0</v>
      </c>
      <c r="CW2301">
        <v>8864280</v>
      </c>
      <c r="CY2301">
        <v>0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25">
      <c r="A2302" t="str">
        <f t="shared" ref="A2302:A2308" si="1266">"06/05/2020 14:54:37.989"</f>
        <v>06/05/2020 14:54:37.989</v>
      </c>
      <c r="C2302" t="str">
        <f t="shared" si="1254"/>
        <v>FFDFD3C0</v>
      </c>
      <c r="D2302" t="s">
        <v>134</v>
      </c>
      <c r="E2302">
        <v>7</v>
      </c>
      <c r="F2302">
        <v>2007</v>
      </c>
      <c r="G2302" t="s">
        <v>135</v>
      </c>
      <c r="J2302" t="s">
        <v>136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ref="S2302:S2308" si="1267">"14:54:43.648"</f>
        <v>14:54:43.648</v>
      </c>
      <c r="T2302" t="str">
        <f t="shared" ref="T2302:T2308" si="1268">"14:54:43.548"</f>
        <v>14:54:43.548</v>
      </c>
      <c r="U2302" t="str">
        <f t="shared" si="1235"/>
        <v>ACC530</v>
      </c>
      <c r="V2302">
        <v>0</v>
      </c>
      <c r="W2302">
        <v>0</v>
      </c>
      <c r="X2302">
        <v>1</v>
      </c>
      <c r="Z2302">
        <v>0</v>
      </c>
      <c r="AA2302">
        <v>9</v>
      </c>
      <c r="AB2302">
        <v>3</v>
      </c>
      <c r="AC2302">
        <v>0</v>
      </c>
      <c r="AD2302">
        <v>9</v>
      </c>
      <c r="AE2302">
        <v>0</v>
      </c>
      <c r="AF2302">
        <v>3</v>
      </c>
      <c r="AG2302">
        <v>1</v>
      </c>
      <c r="AH2302">
        <v>0</v>
      </c>
      <c r="AI2302" t="s">
        <v>828</v>
      </c>
      <c r="AJ2302">
        <v>34.157373999999997</v>
      </c>
      <c r="AK2302" t="s">
        <v>829</v>
      </c>
      <c r="AL2302">
        <v>-117.043362</v>
      </c>
      <c r="AM2302">
        <v>100</v>
      </c>
      <c r="AN2302">
        <v>7400</v>
      </c>
      <c r="AO2302" t="s">
        <v>118</v>
      </c>
      <c r="AP2302">
        <v>-70</v>
      </c>
      <c r="AQ2302">
        <v>-93</v>
      </c>
      <c r="AR2302">
        <v>-960</v>
      </c>
      <c r="AZ2302">
        <v>1200</v>
      </c>
      <c r="BA2302">
        <v>1</v>
      </c>
      <c r="BB2302" t="str">
        <f t="shared" si="1236"/>
        <v xml:space="preserve">N9217B  </v>
      </c>
      <c r="BC2302">
        <v>1</v>
      </c>
      <c r="BE2302">
        <v>0</v>
      </c>
      <c r="BF2302">
        <v>0</v>
      </c>
      <c r="BG2302">
        <v>0</v>
      </c>
      <c r="BH2302">
        <v>7325</v>
      </c>
      <c r="BI2302">
        <v>1</v>
      </c>
      <c r="BJ2302">
        <v>0</v>
      </c>
      <c r="BK2302">
        <v>0</v>
      </c>
      <c r="BL2302">
        <v>0</v>
      </c>
      <c r="BO2302">
        <v>0</v>
      </c>
      <c r="BP2302">
        <v>0</v>
      </c>
      <c r="BW2302" t="str">
        <f t="shared" ref="BW2302:BW2308" si="1269">"14:54:43.654"</f>
        <v>14:54:43.654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285</v>
      </c>
      <c r="CR2302">
        <v>0</v>
      </c>
      <c r="CW2302">
        <v>8864380</v>
      </c>
      <c r="CY2302">
        <v>0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25">
      <c r="A2303" t="str">
        <f t="shared" si="1266"/>
        <v>06/05/2020 14:54:37.989</v>
      </c>
      <c r="C2303" t="str">
        <f t="shared" si="1254"/>
        <v>FFDFD3C0</v>
      </c>
      <c r="D2303" t="s">
        <v>151</v>
      </c>
      <c r="E2303">
        <v>8</v>
      </c>
      <c r="H2303">
        <v>225</v>
      </c>
      <c r="I2303" t="s">
        <v>353</v>
      </c>
      <c r="J2303" t="s">
        <v>150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267"/>
        <v>14:54:43.648</v>
      </c>
      <c r="T2303" t="str">
        <f t="shared" si="1268"/>
        <v>14:54:43.548</v>
      </c>
      <c r="U2303" t="str">
        <f t="shared" si="1235"/>
        <v>ACC530</v>
      </c>
      <c r="V2303">
        <v>0</v>
      </c>
      <c r="W2303">
        <v>0</v>
      </c>
      <c r="X2303">
        <v>1</v>
      </c>
      <c r="Z2303">
        <v>0</v>
      </c>
      <c r="AA2303">
        <v>9</v>
      </c>
      <c r="AB2303">
        <v>3</v>
      </c>
      <c r="AC2303">
        <v>0</v>
      </c>
      <c r="AD2303">
        <v>9</v>
      </c>
      <c r="AE2303">
        <v>0</v>
      </c>
      <c r="AF2303">
        <v>3</v>
      </c>
      <c r="AG2303">
        <v>1</v>
      </c>
      <c r="AH2303">
        <v>0</v>
      </c>
      <c r="AI2303" t="s">
        <v>828</v>
      </c>
      <c r="AJ2303">
        <v>34.157373999999997</v>
      </c>
      <c r="AK2303" t="s">
        <v>829</v>
      </c>
      <c r="AL2303">
        <v>-117.043362</v>
      </c>
      <c r="AM2303">
        <v>100</v>
      </c>
      <c r="AN2303">
        <v>7400</v>
      </c>
      <c r="AO2303" t="s">
        <v>118</v>
      </c>
      <c r="AP2303">
        <v>-70</v>
      </c>
      <c r="AQ2303">
        <v>-93</v>
      </c>
      <c r="AR2303">
        <v>-960</v>
      </c>
      <c r="AZ2303">
        <v>1200</v>
      </c>
      <c r="BA2303">
        <v>1</v>
      </c>
      <c r="BB2303" t="str">
        <f t="shared" si="1236"/>
        <v xml:space="preserve">N9217B  </v>
      </c>
      <c r="BC2303">
        <v>1</v>
      </c>
      <c r="BE2303">
        <v>0</v>
      </c>
      <c r="BF2303">
        <v>0</v>
      </c>
      <c r="BG2303">
        <v>0</v>
      </c>
      <c r="BH2303">
        <v>7325</v>
      </c>
      <c r="BI2303">
        <v>1</v>
      </c>
      <c r="BJ2303">
        <v>0</v>
      </c>
      <c r="BK2303">
        <v>0</v>
      </c>
      <c r="BL2303">
        <v>0</v>
      </c>
      <c r="BO2303">
        <v>0</v>
      </c>
      <c r="BP2303">
        <v>0</v>
      </c>
      <c r="BW2303" t="str">
        <f t="shared" si="1269"/>
        <v>14:54:43.654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285</v>
      </c>
      <c r="CR2303">
        <v>0</v>
      </c>
      <c r="CW2303">
        <v>8864380</v>
      </c>
      <c r="CY2303">
        <v>0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25">
      <c r="A2304" t="str">
        <f t="shared" si="1266"/>
        <v>06/05/2020 14:54:37.989</v>
      </c>
      <c r="C2304" t="str">
        <f t="shared" si="1254"/>
        <v>FFDFD3C0</v>
      </c>
      <c r="D2304" t="s">
        <v>141</v>
      </c>
      <c r="E2304">
        <v>20</v>
      </c>
      <c r="F2304">
        <v>1020</v>
      </c>
      <c r="G2304" t="s">
        <v>114</v>
      </c>
      <c r="J2304" t="s">
        <v>142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267"/>
        <v>14:54:43.648</v>
      </c>
      <c r="T2304" t="str">
        <f t="shared" si="1268"/>
        <v>14:54:43.548</v>
      </c>
      <c r="U2304" t="str">
        <f t="shared" si="1235"/>
        <v>ACC530</v>
      </c>
      <c r="V2304">
        <v>0</v>
      </c>
      <c r="W2304">
        <v>0</v>
      </c>
      <c r="X2304">
        <v>1</v>
      </c>
      <c r="Z2304">
        <v>0</v>
      </c>
      <c r="AA2304">
        <v>9</v>
      </c>
      <c r="AB2304">
        <v>3</v>
      </c>
      <c r="AC2304">
        <v>0</v>
      </c>
      <c r="AD2304">
        <v>9</v>
      </c>
      <c r="AE2304">
        <v>0</v>
      </c>
      <c r="AF2304">
        <v>3</v>
      </c>
      <c r="AG2304">
        <v>1</v>
      </c>
      <c r="AH2304">
        <v>0</v>
      </c>
      <c r="AI2304" t="s">
        <v>828</v>
      </c>
      <c r="AJ2304">
        <v>34.157373999999997</v>
      </c>
      <c r="AK2304" t="s">
        <v>829</v>
      </c>
      <c r="AL2304">
        <v>-117.043362</v>
      </c>
      <c r="AM2304">
        <v>100</v>
      </c>
      <c r="AN2304">
        <v>7400</v>
      </c>
      <c r="AO2304" t="s">
        <v>118</v>
      </c>
      <c r="AP2304">
        <v>-70</v>
      </c>
      <c r="AQ2304">
        <v>-93</v>
      </c>
      <c r="AR2304">
        <v>-960</v>
      </c>
      <c r="AZ2304">
        <v>1200</v>
      </c>
      <c r="BA2304">
        <v>1</v>
      </c>
      <c r="BB2304" t="str">
        <f t="shared" si="1236"/>
        <v xml:space="preserve">N9217B  </v>
      </c>
      <c r="BC2304">
        <v>1</v>
      </c>
      <c r="BE2304">
        <v>0</v>
      </c>
      <c r="BF2304">
        <v>0</v>
      </c>
      <c r="BG2304">
        <v>0</v>
      </c>
      <c r="BH2304">
        <v>7325</v>
      </c>
      <c r="BI2304">
        <v>1</v>
      </c>
      <c r="BJ2304">
        <v>0</v>
      </c>
      <c r="BK2304">
        <v>0</v>
      </c>
      <c r="BL2304">
        <v>0</v>
      </c>
      <c r="BO2304">
        <v>0</v>
      </c>
      <c r="BP2304">
        <v>0</v>
      </c>
      <c r="BW2304" t="str">
        <f t="shared" si="1269"/>
        <v>14:54:43.654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285</v>
      </c>
      <c r="CR2304">
        <v>0</v>
      </c>
      <c r="CW2304">
        <v>8864380</v>
      </c>
      <c r="CY2304">
        <v>0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25">
      <c r="A2305" t="str">
        <f t="shared" si="1266"/>
        <v>06/05/2020 14:54:37.989</v>
      </c>
      <c r="C2305" t="str">
        <f t="shared" si="1254"/>
        <v>FFDFD3C0</v>
      </c>
      <c r="D2305" t="s">
        <v>113</v>
      </c>
      <c r="E2305">
        <v>3</v>
      </c>
      <c r="H2305">
        <v>166</v>
      </c>
      <c r="I2305" t="s">
        <v>114</v>
      </c>
      <c r="J2305" t="s">
        <v>115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267"/>
        <v>14:54:43.648</v>
      </c>
      <c r="T2305" t="str">
        <f t="shared" si="1268"/>
        <v>14:54:43.548</v>
      </c>
      <c r="U2305" t="str">
        <f t="shared" si="1235"/>
        <v>ACC530</v>
      </c>
      <c r="V2305">
        <v>0</v>
      </c>
      <c r="W2305">
        <v>0</v>
      </c>
      <c r="X2305">
        <v>1</v>
      </c>
      <c r="Z2305">
        <v>0</v>
      </c>
      <c r="AA2305">
        <v>9</v>
      </c>
      <c r="AB2305">
        <v>3</v>
      </c>
      <c r="AC2305">
        <v>0</v>
      </c>
      <c r="AD2305">
        <v>9</v>
      </c>
      <c r="AE2305">
        <v>0</v>
      </c>
      <c r="AF2305">
        <v>3</v>
      </c>
      <c r="AG2305">
        <v>1</v>
      </c>
      <c r="AH2305">
        <v>0</v>
      </c>
      <c r="AI2305" t="s">
        <v>828</v>
      </c>
      <c r="AJ2305">
        <v>34.157373999999997</v>
      </c>
      <c r="AK2305" t="s">
        <v>829</v>
      </c>
      <c r="AL2305">
        <v>-117.043362</v>
      </c>
      <c r="AM2305">
        <v>100</v>
      </c>
      <c r="AN2305">
        <v>7400</v>
      </c>
      <c r="AO2305" t="s">
        <v>118</v>
      </c>
      <c r="AP2305">
        <v>-70</v>
      </c>
      <c r="AQ2305">
        <v>-93</v>
      </c>
      <c r="AR2305">
        <v>-960</v>
      </c>
      <c r="AZ2305">
        <v>1200</v>
      </c>
      <c r="BA2305">
        <v>1</v>
      </c>
      <c r="BB2305" t="str">
        <f t="shared" si="1236"/>
        <v xml:space="preserve">N9217B  </v>
      </c>
      <c r="BC2305">
        <v>1</v>
      </c>
      <c r="BE2305">
        <v>0</v>
      </c>
      <c r="BF2305">
        <v>0</v>
      </c>
      <c r="BG2305">
        <v>0</v>
      </c>
      <c r="BH2305">
        <v>7325</v>
      </c>
      <c r="BI2305">
        <v>1</v>
      </c>
      <c r="BJ2305">
        <v>0</v>
      </c>
      <c r="BK2305">
        <v>0</v>
      </c>
      <c r="BL2305">
        <v>0</v>
      </c>
      <c r="BO2305">
        <v>0</v>
      </c>
      <c r="BP2305">
        <v>0</v>
      </c>
      <c r="BW2305" t="str">
        <f t="shared" si="1269"/>
        <v>14:54:43.654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285</v>
      </c>
      <c r="CR2305">
        <v>0</v>
      </c>
      <c r="CW2305">
        <v>8864380</v>
      </c>
      <c r="CY2305">
        <v>0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25">
      <c r="A2306" t="str">
        <f t="shared" si="1266"/>
        <v>06/05/2020 14:54:37.989</v>
      </c>
      <c r="C2306" t="str">
        <f t="shared" si="1254"/>
        <v>FFDFD3C0</v>
      </c>
      <c r="D2306" t="s">
        <v>151</v>
      </c>
      <c r="E2306">
        <v>9</v>
      </c>
      <c r="H2306">
        <v>226</v>
      </c>
      <c r="I2306" t="s">
        <v>152</v>
      </c>
      <c r="J2306" t="s">
        <v>150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267"/>
        <v>14:54:43.648</v>
      </c>
      <c r="T2306" t="str">
        <f t="shared" si="1268"/>
        <v>14:54:43.548</v>
      </c>
      <c r="U2306" t="str">
        <f t="shared" ref="U2306:U2369" si="1270">"ACC530"</f>
        <v>ACC530</v>
      </c>
      <c r="V2306">
        <v>0</v>
      </c>
      <c r="W2306">
        <v>0</v>
      </c>
      <c r="X2306">
        <v>1</v>
      </c>
      <c r="Z2306">
        <v>0</v>
      </c>
      <c r="AA2306">
        <v>9</v>
      </c>
      <c r="AB2306">
        <v>3</v>
      </c>
      <c r="AC2306">
        <v>0</v>
      </c>
      <c r="AD2306">
        <v>9</v>
      </c>
      <c r="AE2306">
        <v>0</v>
      </c>
      <c r="AF2306">
        <v>3</v>
      </c>
      <c r="AG2306">
        <v>1</v>
      </c>
      <c r="AH2306">
        <v>0</v>
      </c>
      <c r="AI2306" t="s">
        <v>828</v>
      </c>
      <c r="AJ2306">
        <v>34.157373999999997</v>
      </c>
      <c r="AK2306" t="s">
        <v>829</v>
      </c>
      <c r="AL2306">
        <v>-117.043362</v>
      </c>
      <c r="AM2306">
        <v>100</v>
      </c>
      <c r="AN2306">
        <v>7400</v>
      </c>
      <c r="AO2306" t="s">
        <v>118</v>
      </c>
      <c r="AP2306">
        <v>-70</v>
      </c>
      <c r="AQ2306">
        <v>-93</v>
      </c>
      <c r="AR2306">
        <v>-960</v>
      </c>
      <c r="AZ2306">
        <v>1200</v>
      </c>
      <c r="BA2306">
        <v>1</v>
      </c>
      <c r="BB2306" t="str">
        <f t="shared" si="1236"/>
        <v xml:space="preserve">N9217B  </v>
      </c>
      <c r="BC2306">
        <v>1</v>
      </c>
      <c r="BE2306">
        <v>0</v>
      </c>
      <c r="BF2306">
        <v>0</v>
      </c>
      <c r="BG2306">
        <v>0</v>
      </c>
      <c r="BH2306">
        <v>7325</v>
      </c>
      <c r="BI2306">
        <v>1</v>
      </c>
      <c r="BJ2306">
        <v>0</v>
      </c>
      <c r="BK2306">
        <v>0</v>
      </c>
      <c r="BL2306">
        <v>0</v>
      </c>
      <c r="BO2306">
        <v>0</v>
      </c>
      <c r="BP2306">
        <v>0</v>
      </c>
      <c r="BW2306" t="str">
        <f t="shared" si="1269"/>
        <v>14:54:43.654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285</v>
      </c>
      <c r="CR2306">
        <v>0</v>
      </c>
      <c r="CW2306">
        <v>8864380</v>
      </c>
      <c r="CY2306">
        <v>0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25">
      <c r="A2307" t="str">
        <f t="shared" si="1266"/>
        <v>06/05/2020 14:54:37.989</v>
      </c>
      <c r="C2307" t="str">
        <f t="shared" si="1254"/>
        <v>FFDFD3C0</v>
      </c>
      <c r="D2307" t="s">
        <v>148</v>
      </c>
      <c r="E2307">
        <v>8</v>
      </c>
      <c r="H2307">
        <v>50</v>
      </c>
      <c r="I2307" t="s">
        <v>149</v>
      </c>
      <c r="J2307" t="s">
        <v>150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267"/>
        <v>14:54:43.648</v>
      </c>
      <c r="T2307" t="str">
        <f t="shared" si="1268"/>
        <v>14:54:43.548</v>
      </c>
      <c r="U2307" t="str">
        <f t="shared" si="1270"/>
        <v>ACC530</v>
      </c>
      <c r="V2307">
        <v>0</v>
      </c>
      <c r="W2307">
        <v>0</v>
      </c>
      <c r="X2307">
        <v>1</v>
      </c>
      <c r="Z2307">
        <v>0</v>
      </c>
      <c r="AA2307">
        <v>9</v>
      </c>
      <c r="AB2307">
        <v>3</v>
      </c>
      <c r="AC2307">
        <v>0</v>
      </c>
      <c r="AD2307">
        <v>9</v>
      </c>
      <c r="AE2307">
        <v>0</v>
      </c>
      <c r="AF2307">
        <v>3</v>
      </c>
      <c r="AG2307">
        <v>1</v>
      </c>
      <c r="AH2307">
        <v>0</v>
      </c>
      <c r="AI2307" t="s">
        <v>828</v>
      </c>
      <c r="AJ2307">
        <v>34.157373999999997</v>
      </c>
      <c r="AK2307" t="s">
        <v>829</v>
      </c>
      <c r="AL2307">
        <v>-117.043362</v>
      </c>
      <c r="AM2307">
        <v>100</v>
      </c>
      <c r="AN2307">
        <v>7400</v>
      </c>
      <c r="AO2307" t="s">
        <v>118</v>
      </c>
      <c r="AP2307">
        <v>-70</v>
      </c>
      <c r="AQ2307">
        <v>-93</v>
      </c>
      <c r="AR2307">
        <v>-960</v>
      </c>
      <c r="AZ2307">
        <v>1200</v>
      </c>
      <c r="BA2307">
        <v>1</v>
      </c>
      <c r="BB2307" t="str">
        <f t="shared" si="1236"/>
        <v xml:space="preserve">N9217B  </v>
      </c>
      <c r="BC2307">
        <v>1</v>
      </c>
      <c r="BE2307">
        <v>0</v>
      </c>
      <c r="BF2307">
        <v>0</v>
      </c>
      <c r="BG2307">
        <v>0</v>
      </c>
      <c r="BH2307">
        <v>7325</v>
      </c>
      <c r="BI2307">
        <v>1</v>
      </c>
      <c r="BJ2307">
        <v>0</v>
      </c>
      <c r="BK2307">
        <v>0</v>
      </c>
      <c r="BL2307">
        <v>0</v>
      </c>
      <c r="BO2307">
        <v>0</v>
      </c>
      <c r="BP2307">
        <v>0</v>
      </c>
      <c r="BW2307" t="str">
        <f t="shared" si="1269"/>
        <v>14:54:43.654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285</v>
      </c>
      <c r="CR2307">
        <v>0</v>
      </c>
      <c r="CW2307">
        <v>8864380</v>
      </c>
      <c r="CY2307">
        <v>0</v>
      </c>
      <c r="CZ2307">
        <v>0</v>
      </c>
      <c r="DA2307">
        <v>1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25">
      <c r="A2308" t="str">
        <f t="shared" si="1266"/>
        <v>06/05/2020 14:54:37.989</v>
      </c>
      <c r="C2308" t="str">
        <f t="shared" si="1254"/>
        <v>FFDFD3C0</v>
      </c>
      <c r="D2308" t="s">
        <v>148</v>
      </c>
      <c r="E2308">
        <v>11</v>
      </c>
      <c r="H2308">
        <v>53</v>
      </c>
      <c r="I2308" t="s">
        <v>364</v>
      </c>
      <c r="J2308" t="s">
        <v>150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267"/>
        <v>14:54:43.648</v>
      </c>
      <c r="T2308" t="str">
        <f t="shared" si="1268"/>
        <v>14:54:43.548</v>
      </c>
      <c r="U2308" t="str">
        <f t="shared" si="1270"/>
        <v>ACC530</v>
      </c>
      <c r="V2308">
        <v>0</v>
      </c>
      <c r="W2308">
        <v>0</v>
      </c>
      <c r="X2308">
        <v>1</v>
      </c>
      <c r="Z2308">
        <v>0</v>
      </c>
      <c r="AA2308">
        <v>9</v>
      </c>
      <c r="AB2308">
        <v>3</v>
      </c>
      <c r="AC2308">
        <v>0</v>
      </c>
      <c r="AD2308">
        <v>9</v>
      </c>
      <c r="AE2308">
        <v>0</v>
      </c>
      <c r="AF2308">
        <v>3</v>
      </c>
      <c r="AG2308">
        <v>1</v>
      </c>
      <c r="AH2308">
        <v>0</v>
      </c>
      <c r="AI2308" t="s">
        <v>828</v>
      </c>
      <c r="AJ2308">
        <v>34.157373999999997</v>
      </c>
      <c r="AK2308" t="s">
        <v>829</v>
      </c>
      <c r="AL2308">
        <v>-117.043362</v>
      </c>
      <c r="AM2308">
        <v>100</v>
      </c>
      <c r="AN2308">
        <v>7400</v>
      </c>
      <c r="AO2308" t="s">
        <v>118</v>
      </c>
      <c r="AP2308">
        <v>-70</v>
      </c>
      <c r="AQ2308">
        <v>-93</v>
      </c>
      <c r="AR2308">
        <v>-960</v>
      </c>
      <c r="AZ2308">
        <v>1200</v>
      </c>
      <c r="BA2308">
        <v>1</v>
      </c>
      <c r="BB2308" t="str">
        <f t="shared" si="1236"/>
        <v xml:space="preserve">N9217B  </v>
      </c>
      <c r="BC2308">
        <v>1</v>
      </c>
      <c r="BE2308">
        <v>0</v>
      </c>
      <c r="BF2308">
        <v>0</v>
      </c>
      <c r="BG2308">
        <v>0</v>
      </c>
      <c r="BH2308">
        <v>7325</v>
      </c>
      <c r="BI2308">
        <v>1</v>
      </c>
      <c r="BJ2308">
        <v>0</v>
      </c>
      <c r="BK2308">
        <v>0</v>
      </c>
      <c r="BL2308">
        <v>0</v>
      </c>
      <c r="BO2308">
        <v>0</v>
      </c>
      <c r="BP2308">
        <v>0</v>
      </c>
      <c r="BW2308" t="str">
        <f t="shared" si="1269"/>
        <v>14:54:43.654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285</v>
      </c>
      <c r="CR2308">
        <v>0</v>
      </c>
      <c r="CW2308">
        <v>8864380</v>
      </c>
      <c r="CY2308">
        <v>0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25">
      <c r="A2309" t="str">
        <f t="shared" ref="A2309:A2315" si="1271">"06/05/2020 14:54:38.876"</f>
        <v>06/05/2020 14:54:38.876</v>
      </c>
      <c r="C2309" t="str">
        <f t="shared" si="1254"/>
        <v>FFDFD3C0</v>
      </c>
      <c r="D2309" t="s">
        <v>151</v>
      </c>
      <c r="E2309">
        <v>9</v>
      </c>
      <c r="H2309">
        <v>226</v>
      </c>
      <c r="I2309" t="s">
        <v>152</v>
      </c>
      <c r="J2309" t="s">
        <v>150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ref="S2309:S2315" si="1272">"14:54:44.492"</f>
        <v>14:54:44.492</v>
      </c>
      <c r="T2309" t="str">
        <f>"14:54:43.492"</f>
        <v>14:54:43.492</v>
      </c>
      <c r="U2309" t="str">
        <f t="shared" si="1270"/>
        <v>ACC530</v>
      </c>
      <c r="V2309">
        <v>0</v>
      </c>
      <c r="W2309">
        <v>0</v>
      </c>
      <c r="X2309">
        <v>1</v>
      </c>
      <c r="Z2309">
        <v>0</v>
      </c>
      <c r="AA2309">
        <v>9</v>
      </c>
      <c r="AB2309">
        <v>3</v>
      </c>
      <c r="AC2309">
        <v>0</v>
      </c>
      <c r="AD2309">
        <v>9</v>
      </c>
      <c r="AE2309">
        <v>0</v>
      </c>
      <c r="AF2309">
        <v>3</v>
      </c>
      <c r="AG2309">
        <v>1</v>
      </c>
      <c r="AH2309">
        <v>0</v>
      </c>
      <c r="AI2309" t="s">
        <v>830</v>
      </c>
      <c r="AJ2309">
        <v>34.157052</v>
      </c>
      <c r="AK2309" t="s">
        <v>831</v>
      </c>
      <c r="AL2309">
        <v>-117.043684</v>
      </c>
      <c r="AM2309">
        <v>100</v>
      </c>
      <c r="AN2309">
        <v>7400</v>
      </c>
      <c r="AO2309" t="s">
        <v>118</v>
      </c>
      <c r="AP2309">
        <v>-70</v>
      </c>
      <c r="AQ2309">
        <v>-93</v>
      </c>
      <c r="AR2309">
        <v>-960</v>
      </c>
      <c r="AZ2309">
        <v>1200</v>
      </c>
      <c r="BA2309">
        <v>1</v>
      </c>
      <c r="BB2309" t="str">
        <f t="shared" ref="BB2309:BB2372" si="1273">"N9217B  "</f>
        <v xml:space="preserve">N9217B  </v>
      </c>
      <c r="BC2309">
        <v>1</v>
      </c>
      <c r="BE2309">
        <v>0</v>
      </c>
      <c r="BF2309">
        <v>0</v>
      </c>
      <c r="BG2309">
        <v>0</v>
      </c>
      <c r="BH2309">
        <v>7325</v>
      </c>
      <c r="BI2309">
        <v>1</v>
      </c>
      <c r="BJ2309">
        <v>0</v>
      </c>
      <c r="BK2309">
        <v>0</v>
      </c>
      <c r="BL2309">
        <v>0</v>
      </c>
      <c r="BO2309">
        <v>0</v>
      </c>
      <c r="BP2309">
        <v>0</v>
      </c>
      <c r="BW2309" t="str">
        <f>"14:54:44.494"</f>
        <v>14:54:44.494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285</v>
      </c>
      <c r="CR2309">
        <v>0</v>
      </c>
      <c r="CW2309">
        <v>8864453</v>
      </c>
      <c r="CY2309">
        <v>0</v>
      </c>
      <c r="CZ2309">
        <v>0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25">
      <c r="A2310" t="str">
        <f t="shared" si="1271"/>
        <v>06/05/2020 14:54:38.876</v>
      </c>
      <c r="C2310" t="str">
        <f t="shared" si="1254"/>
        <v>FFDFD3C0</v>
      </c>
      <c r="D2310" t="s">
        <v>148</v>
      </c>
      <c r="E2310">
        <v>11</v>
      </c>
      <c r="H2310">
        <v>53</v>
      </c>
      <c r="I2310" t="s">
        <v>364</v>
      </c>
      <c r="J2310" t="s">
        <v>150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272"/>
        <v>14:54:44.492</v>
      </c>
      <c r="T2310" t="str">
        <f t="shared" ref="T2310:T2315" si="1274">"14:54:44.092"</f>
        <v>14:54:44.092</v>
      </c>
      <c r="U2310" t="str">
        <f t="shared" si="1270"/>
        <v>ACC530</v>
      </c>
      <c r="V2310">
        <v>0</v>
      </c>
      <c r="W2310">
        <v>0</v>
      </c>
      <c r="X2310">
        <v>1</v>
      </c>
      <c r="Z2310">
        <v>0</v>
      </c>
      <c r="AA2310">
        <v>9</v>
      </c>
      <c r="AB2310">
        <v>3</v>
      </c>
      <c r="AC2310">
        <v>0</v>
      </c>
      <c r="AD2310">
        <v>9</v>
      </c>
      <c r="AE2310">
        <v>0</v>
      </c>
      <c r="AF2310">
        <v>3</v>
      </c>
      <c r="AG2310">
        <v>1</v>
      </c>
      <c r="AH2310">
        <v>0</v>
      </c>
      <c r="AI2310" t="s">
        <v>830</v>
      </c>
      <c r="AJ2310">
        <v>34.157052</v>
      </c>
      <c r="AK2310" t="s">
        <v>831</v>
      </c>
      <c r="AL2310">
        <v>-117.043684</v>
      </c>
      <c r="AM2310">
        <v>100</v>
      </c>
      <c r="AN2310">
        <v>7400</v>
      </c>
      <c r="AO2310" t="s">
        <v>118</v>
      </c>
      <c r="AP2310">
        <v>-69</v>
      </c>
      <c r="AQ2310">
        <v>-93</v>
      </c>
      <c r="AR2310">
        <v>-896</v>
      </c>
      <c r="AZ2310">
        <v>1200</v>
      </c>
      <c r="BA2310">
        <v>1</v>
      </c>
      <c r="BB2310" t="str">
        <f t="shared" si="1273"/>
        <v xml:space="preserve">N9217B  </v>
      </c>
      <c r="BC2310">
        <v>1</v>
      </c>
      <c r="BE2310">
        <v>0</v>
      </c>
      <c r="BF2310">
        <v>0</v>
      </c>
      <c r="BG2310">
        <v>0</v>
      </c>
      <c r="BH2310">
        <v>7300</v>
      </c>
      <c r="BI2310">
        <v>1</v>
      </c>
      <c r="BJ2310">
        <v>0</v>
      </c>
      <c r="BK2310">
        <v>0</v>
      </c>
      <c r="BL2310">
        <v>0</v>
      </c>
      <c r="BO2310">
        <v>0</v>
      </c>
      <c r="BP2310">
        <v>0</v>
      </c>
      <c r="BW2310" t="str">
        <f>"14:54:44.494"</f>
        <v>14:54:44.494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4</v>
      </c>
      <c r="CP2310" t="s">
        <v>119</v>
      </c>
      <c r="CQ2310">
        <v>298</v>
      </c>
      <c r="CR2310">
        <v>0</v>
      </c>
      <c r="CW2310">
        <v>10437580</v>
      </c>
      <c r="CY2310">
        <v>0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25">
      <c r="A2311" t="str">
        <f t="shared" si="1271"/>
        <v>06/05/2020 14:54:38.876</v>
      </c>
      <c r="C2311" t="str">
        <f t="shared" si="1254"/>
        <v>FFDFD3C0</v>
      </c>
      <c r="D2311" t="s">
        <v>151</v>
      </c>
      <c r="E2311">
        <v>8</v>
      </c>
      <c r="H2311">
        <v>225</v>
      </c>
      <c r="I2311" t="s">
        <v>353</v>
      </c>
      <c r="J2311" t="s">
        <v>150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272"/>
        <v>14:54:44.492</v>
      </c>
      <c r="T2311" t="str">
        <f t="shared" si="1274"/>
        <v>14:54:44.092</v>
      </c>
      <c r="U2311" t="str">
        <f t="shared" si="1270"/>
        <v>ACC530</v>
      </c>
      <c r="V2311">
        <v>0</v>
      </c>
      <c r="W2311">
        <v>0</v>
      </c>
      <c r="X2311">
        <v>1</v>
      </c>
      <c r="Z2311">
        <v>0</v>
      </c>
      <c r="AA2311">
        <v>9</v>
      </c>
      <c r="AB2311">
        <v>3</v>
      </c>
      <c r="AC2311">
        <v>0</v>
      </c>
      <c r="AD2311">
        <v>9</v>
      </c>
      <c r="AE2311">
        <v>0</v>
      </c>
      <c r="AF2311">
        <v>3</v>
      </c>
      <c r="AG2311">
        <v>1</v>
      </c>
      <c r="AH2311">
        <v>0</v>
      </c>
      <c r="AI2311" t="s">
        <v>830</v>
      </c>
      <c r="AJ2311">
        <v>34.157052</v>
      </c>
      <c r="AK2311" t="s">
        <v>831</v>
      </c>
      <c r="AL2311">
        <v>-117.043684</v>
      </c>
      <c r="AM2311">
        <v>100</v>
      </c>
      <c r="AN2311">
        <v>7400</v>
      </c>
      <c r="AO2311" t="s">
        <v>118</v>
      </c>
      <c r="AP2311">
        <v>-69</v>
      </c>
      <c r="AQ2311">
        <v>-93</v>
      </c>
      <c r="AR2311">
        <v>-896</v>
      </c>
      <c r="AZ2311">
        <v>1200</v>
      </c>
      <c r="BA2311">
        <v>1</v>
      </c>
      <c r="BB2311" t="str">
        <f t="shared" si="1273"/>
        <v xml:space="preserve">N9217B  </v>
      </c>
      <c r="BC2311">
        <v>1</v>
      </c>
      <c r="BE2311">
        <v>0</v>
      </c>
      <c r="BF2311">
        <v>0</v>
      </c>
      <c r="BG2311">
        <v>0</v>
      </c>
      <c r="BH2311">
        <v>7300</v>
      </c>
      <c r="BI2311">
        <v>1</v>
      </c>
      <c r="BJ2311">
        <v>0</v>
      </c>
      <c r="BK2311">
        <v>0</v>
      </c>
      <c r="BL2311">
        <v>0</v>
      </c>
      <c r="BO2311">
        <v>0</v>
      </c>
      <c r="BP2311">
        <v>0</v>
      </c>
      <c r="BW2311" t="str">
        <f>"14:54:44.494"</f>
        <v>14:54:44.494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4</v>
      </c>
      <c r="CP2311" t="s">
        <v>119</v>
      </c>
      <c r="CQ2311">
        <v>298</v>
      </c>
      <c r="CR2311">
        <v>0</v>
      </c>
      <c r="CW2311">
        <v>10437580</v>
      </c>
      <c r="CY2311">
        <v>0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25">
      <c r="A2312" t="str">
        <f t="shared" si="1271"/>
        <v>06/05/2020 14:54:38.876</v>
      </c>
      <c r="C2312" t="str">
        <f t="shared" si="1254"/>
        <v>FFDFD3C0</v>
      </c>
      <c r="D2312" t="s">
        <v>141</v>
      </c>
      <c r="E2312">
        <v>20</v>
      </c>
      <c r="F2312">
        <v>1020</v>
      </c>
      <c r="G2312" t="s">
        <v>114</v>
      </c>
      <c r="J2312" t="s">
        <v>142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272"/>
        <v>14:54:44.492</v>
      </c>
      <c r="T2312" t="str">
        <f t="shared" si="1274"/>
        <v>14:54:44.092</v>
      </c>
      <c r="U2312" t="str">
        <f t="shared" si="1270"/>
        <v>ACC530</v>
      </c>
      <c r="V2312">
        <v>0</v>
      </c>
      <c r="W2312">
        <v>0</v>
      </c>
      <c r="X2312">
        <v>1</v>
      </c>
      <c r="Z2312">
        <v>0</v>
      </c>
      <c r="AA2312">
        <v>9</v>
      </c>
      <c r="AB2312">
        <v>3</v>
      </c>
      <c r="AC2312">
        <v>0</v>
      </c>
      <c r="AD2312">
        <v>9</v>
      </c>
      <c r="AE2312">
        <v>0</v>
      </c>
      <c r="AF2312">
        <v>3</v>
      </c>
      <c r="AG2312">
        <v>1</v>
      </c>
      <c r="AH2312">
        <v>0</v>
      </c>
      <c r="AI2312" t="s">
        <v>830</v>
      </c>
      <c r="AJ2312">
        <v>34.157052</v>
      </c>
      <c r="AK2312" t="s">
        <v>831</v>
      </c>
      <c r="AL2312">
        <v>-117.043684</v>
      </c>
      <c r="AM2312">
        <v>100</v>
      </c>
      <c r="AN2312">
        <v>7400</v>
      </c>
      <c r="AO2312" t="s">
        <v>118</v>
      </c>
      <c r="AP2312">
        <v>-69</v>
      </c>
      <c r="AQ2312">
        <v>-93</v>
      </c>
      <c r="AR2312">
        <v>-896</v>
      </c>
      <c r="AZ2312">
        <v>1200</v>
      </c>
      <c r="BA2312">
        <v>1</v>
      </c>
      <c r="BB2312" t="str">
        <f t="shared" si="1273"/>
        <v xml:space="preserve">N9217B  </v>
      </c>
      <c r="BC2312">
        <v>1</v>
      </c>
      <c r="BE2312">
        <v>0</v>
      </c>
      <c r="BF2312">
        <v>0</v>
      </c>
      <c r="BG2312">
        <v>0</v>
      </c>
      <c r="BH2312">
        <v>7300</v>
      </c>
      <c r="BI2312">
        <v>1</v>
      </c>
      <c r="BJ2312">
        <v>0</v>
      </c>
      <c r="BK2312">
        <v>0</v>
      </c>
      <c r="BL2312">
        <v>0</v>
      </c>
      <c r="BO2312">
        <v>0</v>
      </c>
      <c r="BP2312">
        <v>0</v>
      </c>
      <c r="BW2312" t="str">
        <f>"14:54:44.495"</f>
        <v>14:54:44.495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5</v>
      </c>
      <c r="CP2312" t="s">
        <v>119</v>
      </c>
      <c r="CQ2312">
        <v>295</v>
      </c>
      <c r="CR2312">
        <v>1</v>
      </c>
      <c r="CW2312">
        <v>12447826</v>
      </c>
      <c r="CY2312">
        <v>0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25">
      <c r="A2313" t="str">
        <f t="shared" si="1271"/>
        <v>06/05/2020 14:54:38.876</v>
      </c>
      <c r="C2313" t="str">
        <f t="shared" si="1254"/>
        <v>FFDFD3C0</v>
      </c>
      <c r="D2313" t="s">
        <v>113</v>
      </c>
      <c r="E2313">
        <v>3</v>
      </c>
      <c r="H2313">
        <v>166</v>
      </c>
      <c r="I2313" t="s">
        <v>114</v>
      </c>
      <c r="J2313" t="s">
        <v>115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272"/>
        <v>14:54:44.492</v>
      </c>
      <c r="T2313" t="str">
        <f t="shared" si="1274"/>
        <v>14:54:44.092</v>
      </c>
      <c r="U2313" t="str">
        <f t="shared" si="1270"/>
        <v>ACC530</v>
      </c>
      <c r="V2313">
        <v>0</v>
      </c>
      <c r="W2313">
        <v>0</v>
      </c>
      <c r="X2313">
        <v>1</v>
      </c>
      <c r="Z2313">
        <v>0</v>
      </c>
      <c r="AA2313">
        <v>9</v>
      </c>
      <c r="AB2313">
        <v>3</v>
      </c>
      <c r="AC2313">
        <v>0</v>
      </c>
      <c r="AD2313">
        <v>9</v>
      </c>
      <c r="AE2313">
        <v>0</v>
      </c>
      <c r="AF2313">
        <v>3</v>
      </c>
      <c r="AG2313">
        <v>1</v>
      </c>
      <c r="AH2313">
        <v>0</v>
      </c>
      <c r="AI2313" t="s">
        <v>830</v>
      </c>
      <c r="AJ2313">
        <v>34.157052</v>
      </c>
      <c r="AK2313" t="s">
        <v>831</v>
      </c>
      <c r="AL2313">
        <v>-117.043684</v>
      </c>
      <c r="AM2313">
        <v>100</v>
      </c>
      <c r="AN2313">
        <v>7400</v>
      </c>
      <c r="AO2313" t="s">
        <v>118</v>
      </c>
      <c r="AP2313">
        <v>-69</v>
      </c>
      <c r="AQ2313">
        <v>-93</v>
      </c>
      <c r="AR2313">
        <v>-896</v>
      </c>
      <c r="AZ2313">
        <v>1200</v>
      </c>
      <c r="BA2313">
        <v>1</v>
      </c>
      <c r="BB2313" t="str">
        <f t="shared" si="1273"/>
        <v xml:space="preserve">N9217B  </v>
      </c>
      <c r="BC2313">
        <v>1</v>
      </c>
      <c r="BE2313">
        <v>0</v>
      </c>
      <c r="BF2313">
        <v>0</v>
      </c>
      <c r="BG2313">
        <v>0</v>
      </c>
      <c r="BH2313">
        <v>7300</v>
      </c>
      <c r="BI2313">
        <v>1</v>
      </c>
      <c r="BJ2313">
        <v>0</v>
      </c>
      <c r="BK2313">
        <v>0</v>
      </c>
      <c r="BL2313">
        <v>0</v>
      </c>
      <c r="BO2313">
        <v>0</v>
      </c>
      <c r="BP2313">
        <v>0</v>
      </c>
      <c r="BW2313" t="str">
        <f>"14:54:44.495"</f>
        <v>14:54:44.495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5</v>
      </c>
      <c r="CP2313" t="s">
        <v>119</v>
      </c>
      <c r="CQ2313">
        <v>295</v>
      </c>
      <c r="CR2313">
        <v>1</v>
      </c>
      <c r="CW2313">
        <v>12447826</v>
      </c>
      <c r="CY2313">
        <v>0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25">
      <c r="A2314" t="str">
        <f t="shared" si="1271"/>
        <v>06/05/2020 14:54:38.876</v>
      </c>
      <c r="C2314" t="str">
        <f t="shared" si="1254"/>
        <v>FFDFD3C0</v>
      </c>
      <c r="D2314" t="s">
        <v>134</v>
      </c>
      <c r="E2314">
        <v>7</v>
      </c>
      <c r="F2314">
        <v>2007</v>
      </c>
      <c r="G2314" t="s">
        <v>135</v>
      </c>
      <c r="J2314" t="s">
        <v>136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272"/>
        <v>14:54:44.492</v>
      </c>
      <c r="T2314" t="str">
        <f t="shared" si="1274"/>
        <v>14:54:44.092</v>
      </c>
      <c r="U2314" t="str">
        <f t="shared" si="1270"/>
        <v>ACC530</v>
      </c>
      <c r="V2314">
        <v>0</v>
      </c>
      <c r="W2314">
        <v>0</v>
      </c>
      <c r="X2314">
        <v>1</v>
      </c>
      <c r="Z2314">
        <v>0</v>
      </c>
      <c r="AA2314">
        <v>9</v>
      </c>
      <c r="AB2314">
        <v>3</v>
      </c>
      <c r="AC2314">
        <v>0</v>
      </c>
      <c r="AD2314">
        <v>9</v>
      </c>
      <c r="AE2314">
        <v>0</v>
      </c>
      <c r="AF2314">
        <v>3</v>
      </c>
      <c r="AG2314">
        <v>1</v>
      </c>
      <c r="AH2314">
        <v>0</v>
      </c>
      <c r="AI2314" t="s">
        <v>830</v>
      </c>
      <c r="AJ2314">
        <v>34.157052</v>
      </c>
      <c r="AK2314" t="s">
        <v>831</v>
      </c>
      <c r="AL2314">
        <v>-117.043684</v>
      </c>
      <c r="AM2314">
        <v>100</v>
      </c>
      <c r="AN2314">
        <v>7400</v>
      </c>
      <c r="AO2314" t="s">
        <v>118</v>
      </c>
      <c r="AP2314">
        <v>-69</v>
      </c>
      <c r="AQ2314">
        <v>-93</v>
      </c>
      <c r="AR2314">
        <v>-896</v>
      </c>
      <c r="AZ2314">
        <v>1200</v>
      </c>
      <c r="BA2314">
        <v>1</v>
      </c>
      <c r="BB2314" t="str">
        <f t="shared" si="1273"/>
        <v xml:space="preserve">N9217B  </v>
      </c>
      <c r="BC2314">
        <v>1</v>
      </c>
      <c r="BE2314">
        <v>0</v>
      </c>
      <c r="BF2314">
        <v>0</v>
      </c>
      <c r="BG2314">
        <v>0</v>
      </c>
      <c r="BH2314">
        <v>7300</v>
      </c>
      <c r="BI2314">
        <v>1</v>
      </c>
      <c r="BJ2314">
        <v>0</v>
      </c>
      <c r="BK2314">
        <v>0</v>
      </c>
      <c r="BL2314">
        <v>0</v>
      </c>
      <c r="BO2314">
        <v>0</v>
      </c>
      <c r="BP2314">
        <v>0</v>
      </c>
      <c r="BW2314" t="str">
        <f>"14:54:44.495"</f>
        <v>14:54:44.495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5</v>
      </c>
      <c r="CP2314" t="s">
        <v>119</v>
      </c>
      <c r="CQ2314">
        <v>295</v>
      </c>
      <c r="CR2314">
        <v>1</v>
      </c>
      <c r="CW2314">
        <v>12447826</v>
      </c>
      <c r="CY2314">
        <v>0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25">
      <c r="A2315" t="str">
        <f t="shared" si="1271"/>
        <v>06/05/2020 14:54:38.876</v>
      </c>
      <c r="C2315" t="str">
        <f t="shared" si="1254"/>
        <v>FFDFD3C0</v>
      </c>
      <c r="D2315" t="s">
        <v>148</v>
      </c>
      <c r="E2315">
        <v>8</v>
      </c>
      <c r="H2315">
        <v>50</v>
      </c>
      <c r="I2315" t="s">
        <v>149</v>
      </c>
      <c r="J2315" t="s">
        <v>150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272"/>
        <v>14:54:44.492</v>
      </c>
      <c r="T2315" t="str">
        <f t="shared" si="1274"/>
        <v>14:54:44.092</v>
      </c>
      <c r="U2315" t="str">
        <f t="shared" si="1270"/>
        <v>ACC530</v>
      </c>
      <c r="V2315">
        <v>0</v>
      </c>
      <c r="W2315">
        <v>0</v>
      </c>
      <c r="X2315">
        <v>1</v>
      </c>
      <c r="Z2315">
        <v>0</v>
      </c>
      <c r="AA2315">
        <v>9</v>
      </c>
      <c r="AB2315">
        <v>3</v>
      </c>
      <c r="AC2315">
        <v>0</v>
      </c>
      <c r="AD2315">
        <v>9</v>
      </c>
      <c r="AE2315">
        <v>0</v>
      </c>
      <c r="AF2315">
        <v>3</v>
      </c>
      <c r="AG2315">
        <v>1</v>
      </c>
      <c r="AH2315">
        <v>0</v>
      </c>
      <c r="AI2315" t="s">
        <v>830</v>
      </c>
      <c r="AJ2315">
        <v>34.157052</v>
      </c>
      <c r="AK2315" t="s">
        <v>831</v>
      </c>
      <c r="AL2315">
        <v>-117.043684</v>
      </c>
      <c r="AM2315">
        <v>100</v>
      </c>
      <c r="AN2315">
        <v>7400</v>
      </c>
      <c r="AO2315" t="s">
        <v>118</v>
      </c>
      <c r="AP2315">
        <v>-69</v>
      </c>
      <c r="AQ2315">
        <v>-93</v>
      </c>
      <c r="AR2315">
        <v>-896</v>
      </c>
      <c r="AZ2315">
        <v>1200</v>
      </c>
      <c r="BA2315">
        <v>1</v>
      </c>
      <c r="BB2315" t="str">
        <f t="shared" si="1273"/>
        <v xml:space="preserve">N9217B  </v>
      </c>
      <c r="BC2315">
        <v>1</v>
      </c>
      <c r="BE2315">
        <v>0</v>
      </c>
      <c r="BF2315">
        <v>0</v>
      </c>
      <c r="BG2315">
        <v>0</v>
      </c>
      <c r="BH2315">
        <v>7300</v>
      </c>
      <c r="BI2315">
        <v>1</v>
      </c>
      <c r="BJ2315">
        <v>0</v>
      </c>
      <c r="BK2315">
        <v>0</v>
      </c>
      <c r="BL2315">
        <v>0</v>
      </c>
      <c r="BO2315">
        <v>0</v>
      </c>
      <c r="BP2315">
        <v>0</v>
      </c>
      <c r="BW2315" t="str">
        <f>"14:54:44.495"</f>
        <v>14:54:44.495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5</v>
      </c>
      <c r="CP2315" t="s">
        <v>119</v>
      </c>
      <c r="CQ2315">
        <v>295</v>
      </c>
      <c r="CR2315">
        <v>1</v>
      </c>
      <c r="CW2315">
        <v>12447826</v>
      </c>
      <c r="CY2315">
        <v>0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25">
      <c r="A2316" t="str">
        <f t="shared" ref="A2316:A2322" si="1275">"06/05/2020 14:54:39.840"</f>
        <v>06/05/2020 14:54:39.840</v>
      </c>
      <c r="C2316" t="str">
        <f t="shared" si="1254"/>
        <v>FFDFD3C0</v>
      </c>
      <c r="D2316" t="s">
        <v>148</v>
      </c>
      <c r="E2316">
        <v>8</v>
      </c>
      <c r="H2316">
        <v>50</v>
      </c>
      <c r="I2316" t="s">
        <v>149</v>
      </c>
      <c r="J2316" t="s">
        <v>150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ref="S2316:S2322" si="1276">"14:54:45.469"</f>
        <v>14:54:45.469</v>
      </c>
      <c r="T2316" t="str">
        <f t="shared" ref="T2316:T2322" si="1277">"14:54:45.069"</f>
        <v>14:54:45.069</v>
      </c>
      <c r="U2316" t="str">
        <f t="shared" si="1270"/>
        <v>ACC530</v>
      </c>
      <c r="V2316">
        <v>0</v>
      </c>
      <c r="W2316">
        <v>0</v>
      </c>
      <c r="X2316">
        <v>1</v>
      </c>
      <c r="Z2316">
        <v>0</v>
      </c>
      <c r="AA2316">
        <v>9</v>
      </c>
      <c r="AB2316">
        <v>3</v>
      </c>
      <c r="AC2316">
        <v>0</v>
      </c>
      <c r="AD2316">
        <v>9</v>
      </c>
      <c r="AE2316">
        <v>0</v>
      </c>
      <c r="AF2316">
        <v>3</v>
      </c>
      <c r="AG2316">
        <v>1</v>
      </c>
      <c r="AH2316">
        <v>0</v>
      </c>
      <c r="AI2316" t="s">
        <v>832</v>
      </c>
      <c r="AJ2316">
        <v>34.156579999999998</v>
      </c>
      <c r="AK2316" t="s">
        <v>833</v>
      </c>
      <c r="AL2316">
        <v>-117.044048</v>
      </c>
      <c r="AM2316">
        <v>100</v>
      </c>
      <c r="AN2316">
        <v>7300</v>
      </c>
      <c r="AO2316" t="s">
        <v>118</v>
      </c>
      <c r="AP2316">
        <v>-68</v>
      </c>
      <c r="AQ2316">
        <v>-94</v>
      </c>
      <c r="AR2316">
        <v>-896</v>
      </c>
      <c r="AZ2316">
        <v>1200</v>
      </c>
      <c r="BA2316">
        <v>1</v>
      </c>
      <c r="BB2316" t="str">
        <f t="shared" si="1273"/>
        <v xml:space="preserve">N9217B  </v>
      </c>
      <c r="BC2316">
        <v>1</v>
      </c>
      <c r="BE2316">
        <v>0</v>
      </c>
      <c r="BF2316">
        <v>0</v>
      </c>
      <c r="BG2316">
        <v>0</v>
      </c>
      <c r="BH2316">
        <v>7300</v>
      </c>
      <c r="BI2316">
        <v>1</v>
      </c>
      <c r="BJ2316">
        <v>0</v>
      </c>
      <c r="BK2316">
        <v>0</v>
      </c>
      <c r="BL2316">
        <v>0</v>
      </c>
      <c r="BO2316">
        <v>0</v>
      </c>
      <c r="BP2316">
        <v>0</v>
      </c>
      <c r="BW2316" t="str">
        <f t="shared" ref="BW2316:BW2322" si="1278">"14:54:45.469"</f>
        <v>14:54:45.469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285</v>
      </c>
      <c r="CR2316">
        <v>0</v>
      </c>
      <c r="CW2316">
        <v>8864541</v>
      </c>
      <c r="CY2316">
        <v>0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25">
      <c r="A2317" t="str">
        <f t="shared" si="1275"/>
        <v>06/05/2020 14:54:39.840</v>
      </c>
      <c r="C2317" t="str">
        <f t="shared" si="1254"/>
        <v>FFDFD3C0</v>
      </c>
      <c r="D2317" t="s">
        <v>134</v>
      </c>
      <c r="E2317">
        <v>7</v>
      </c>
      <c r="F2317">
        <v>2007</v>
      </c>
      <c r="G2317" t="s">
        <v>135</v>
      </c>
      <c r="J2317" t="s">
        <v>136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276"/>
        <v>14:54:45.469</v>
      </c>
      <c r="T2317" t="str">
        <f t="shared" si="1277"/>
        <v>14:54:45.069</v>
      </c>
      <c r="U2317" t="str">
        <f t="shared" si="1270"/>
        <v>ACC530</v>
      </c>
      <c r="V2317">
        <v>0</v>
      </c>
      <c r="W2317">
        <v>0</v>
      </c>
      <c r="X2317">
        <v>1</v>
      </c>
      <c r="Z2317">
        <v>0</v>
      </c>
      <c r="AA2317">
        <v>9</v>
      </c>
      <c r="AB2317">
        <v>3</v>
      </c>
      <c r="AC2317">
        <v>0</v>
      </c>
      <c r="AD2317">
        <v>9</v>
      </c>
      <c r="AE2317">
        <v>0</v>
      </c>
      <c r="AF2317">
        <v>3</v>
      </c>
      <c r="AG2317">
        <v>1</v>
      </c>
      <c r="AH2317">
        <v>0</v>
      </c>
      <c r="AI2317" t="s">
        <v>832</v>
      </c>
      <c r="AJ2317">
        <v>34.156579999999998</v>
      </c>
      <c r="AK2317" t="s">
        <v>833</v>
      </c>
      <c r="AL2317">
        <v>-117.044048</v>
      </c>
      <c r="AM2317">
        <v>100</v>
      </c>
      <c r="AN2317">
        <v>7300</v>
      </c>
      <c r="AO2317" t="s">
        <v>118</v>
      </c>
      <c r="AP2317">
        <v>-68</v>
      </c>
      <c r="AQ2317">
        <v>-94</v>
      </c>
      <c r="AR2317">
        <v>-896</v>
      </c>
      <c r="AZ2317">
        <v>1200</v>
      </c>
      <c r="BA2317">
        <v>1</v>
      </c>
      <c r="BB2317" t="str">
        <f t="shared" si="1273"/>
        <v xml:space="preserve">N9217B  </v>
      </c>
      <c r="BC2317">
        <v>1</v>
      </c>
      <c r="BE2317">
        <v>0</v>
      </c>
      <c r="BF2317">
        <v>0</v>
      </c>
      <c r="BG2317">
        <v>0</v>
      </c>
      <c r="BH2317">
        <v>7300</v>
      </c>
      <c r="BI2317">
        <v>1</v>
      </c>
      <c r="BJ2317">
        <v>0</v>
      </c>
      <c r="BK2317">
        <v>0</v>
      </c>
      <c r="BL2317">
        <v>0</v>
      </c>
      <c r="BO2317">
        <v>0</v>
      </c>
      <c r="BP2317">
        <v>0</v>
      </c>
      <c r="BW2317" t="str">
        <f t="shared" si="1278"/>
        <v>14:54:45.469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285</v>
      </c>
      <c r="CR2317">
        <v>0</v>
      </c>
      <c r="CW2317">
        <v>8864541</v>
      </c>
      <c r="CY2317">
        <v>0</v>
      </c>
      <c r="CZ2317">
        <v>0</v>
      </c>
      <c r="DA2317">
        <v>1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25">
      <c r="A2318" t="str">
        <f t="shared" si="1275"/>
        <v>06/05/2020 14:54:39.840</v>
      </c>
      <c r="C2318" t="str">
        <f t="shared" si="1254"/>
        <v>FFDFD3C0</v>
      </c>
      <c r="D2318" t="s">
        <v>148</v>
      </c>
      <c r="E2318">
        <v>11</v>
      </c>
      <c r="H2318">
        <v>53</v>
      </c>
      <c r="I2318" t="s">
        <v>364</v>
      </c>
      <c r="J2318" t="s">
        <v>150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276"/>
        <v>14:54:45.469</v>
      </c>
      <c r="T2318" t="str">
        <f t="shared" si="1277"/>
        <v>14:54:45.069</v>
      </c>
      <c r="U2318" t="str">
        <f t="shared" si="1270"/>
        <v>ACC530</v>
      </c>
      <c r="V2318">
        <v>0</v>
      </c>
      <c r="W2318">
        <v>0</v>
      </c>
      <c r="X2318">
        <v>1</v>
      </c>
      <c r="Z2318">
        <v>0</v>
      </c>
      <c r="AA2318">
        <v>9</v>
      </c>
      <c r="AB2318">
        <v>3</v>
      </c>
      <c r="AC2318">
        <v>0</v>
      </c>
      <c r="AD2318">
        <v>9</v>
      </c>
      <c r="AE2318">
        <v>0</v>
      </c>
      <c r="AF2318">
        <v>3</v>
      </c>
      <c r="AG2318">
        <v>1</v>
      </c>
      <c r="AH2318">
        <v>0</v>
      </c>
      <c r="AI2318" t="s">
        <v>832</v>
      </c>
      <c r="AJ2318">
        <v>34.156579999999998</v>
      </c>
      <c r="AK2318" t="s">
        <v>833</v>
      </c>
      <c r="AL2318">
        <v>-117.044048</v>
      </c>
      <c r="AM2318">
        <v>100</v>
      </c>
      <c r="AN2318">
        <v>7300</v>
      </c>
      <c r="AO2318" t="s">
        <v>118</v>
      </c>
      <c r="AP2318">
        <v>-68</v>
      </c>
      <c r="AQ2318">
        <v>-94</v>
      </c>
      <c r="AR2318">
        <v>-896</v>
      </c>
      <c r="AZ2318">
        <v>1200</v>
      </c>
      <c r="BA2318">
        <v>1</v>
      </c>
      <c r="BB2318" t="str">
        <f t="shared" si="1273"/>
        <v xml:space="preserve">N9217B  </v>
      </c>
      <c r="BC2318">
        <v>1</v>
      </c>
      <c r="BE2318">
        <v>0</v>
      </c>
      <c r="BF2318">
        <v>0</v>
      </c>
      <c r="BG2318">
        <v>0</v>
      </c>
      <c r="BH2318">
        <v>7300</v>
      </c>
      <c r="BI2318">
        <v>1</v>
      </c>
      <c r="BJ2318">
        <v>0</v>
      </c>
      <c r="BK2318">
        <v>0</v>
      </c>
      <c r="BL2318">
        <v>0</v>
      </c>
      <c r="BO2318">
        <v>0</v>
      </c>
      <c r="BP2318">
        <v>0</v>
      </c>
      <c r="BW2318" t="str">
        <f t="shared" si="1278"/>
        <v>14:54:45.469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285</v>
      </c>
      <c r="CR2318">
        <v>0</v>
      </c>
      <c r="CW2318">
        <v>8864541</v>
      </c>
      <c r="CY2318">
        <v>0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25">
      <c r="A2319" t="str">
        <f t="shared" si="1275"/>
        <v>06/05/2020 14:54:39.840</v>
      </c>
      <c r="C2319" t="str">
        <f t="shared" si="1254"/>
        <v>FFDFD3C0</v>
      </c>
      <c r="D2319" t="s">
        <v>151</v>
      </c>
      <c r="E2319">
        <v>8</v>
      </c>
      <c r="H2319">
        <v>225</v>
      </c>
      <c r="I2319" t="s">
        <v>353</v>
      </c>
      <c r="J2319" t="s">
        <v>150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276"/>
        <v>14:54:45.469</v>
      </c>
      <c r="T2319" t="str">
        <f t="shared" si="1277"/>
        <v>14:54:45.069</v>
      </c>
      <c r="U2319" t="str">
        <f t="shared" si="1270"/>
        <v>ACC530</v>
      </c>
      <c r="V2319">
        <v>0</v>
      </c>
      <c r="W2319">
        <v>0</v>
      </c>
      <c r="X2319">
        <v>1</v>
      </c>
      <c r="Z2319">
        <v>0</v>
      </c>
      <c r="AA2319">
        <v>9</v>
      </c>
      <c r="AB2319">
        <v>3</v>
      </c>
      <c r="AC2319">
        <v>0</v>
      </c>
      <c r="AD2319">
        <v>9</v>
      </c>
      <c r="AE2319">
        <v>0</v>
      </c>
      <c r="AF2319">
        <v>3</v>
      </c>
      <c r="AG2319">
        <v>1</v>
      </c>
      <c r="AH2319">
        <v>0</v>
      </c>
      <c r="AI2319" t="s">
        <v>832</v>
      </c>
      <c r="AJ2319">
        <v>34.156579999999998</v>
      </c>
      <c r="AK2319" t="s">
        <v>833</v>
      </c>
      <c r="AL2319">
        <v>-117.044048</v>
      </c>
      <c r="AM2319">
        <v>100</v>
      </c>
      <c r="AN2319">
        <v>7300</v>
      </c>
      <c r="AO2319" t="s">
        <v>118</v>
      </c>
      <c r="AP2319">
        <v>-68</v>
      </c>
      <c r="AQ2319">
        <v>-94</v>
      </c>
      <c r="AR2319">
        <v>-896</v>
      </c>
      <c r="AZ2319">
        <v>1200</v>
      </c>
      <c r="BA2319">
        <v>1</v>
      </c>
      <c r="BB2319" t="str">
        <f t="shared" si="1273"/>
        <v xml:space="preserve">N9217B  </v>
      </c>
      <c r="BC2319">
        <v>1</v>
      </c>
      <c r="BE2319">
        <v>0</v>
      </c>
      <c r="BF2319">
        <v>0</v>
      </c>
      <c r="BG2319">
        <v>0</v>
      </c>
      <c r="BH2319">
        <v>7300</v>
      </c>
      <c r="BI2319">
        <v>1</v>
      </c>
      <c r="BJ2319">
        <v>0</v>
      </c>
      <c r="BK2319">
        <v>0</v>
      </c>
      <c r="BL2319">
        <v>0</v>
      </c>
      <c r="BO2319">
        <v>0</v>
      </c>
      <c r="BP2319">
        <v>0</v>
      </c>
      <c r="BW2319" t="str">
        <f t="shared" si="1278"/>
        <v>14:54:45.469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285</v>
      </c>
      <c r="CR2319">
        <v>0</v>
      </c>
      <c r="CW2319">
        <v>8864541</v>
      </c>
      <c r="CY2319">
        <v>0</v>
      </c>
      <c r="CZ2319">
        <v>0</v>
      </c>
      <c r="DA2319">
        <v>1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25">
      <c r="A2320" t="str">
        <f t="shared" si="1275"/>
        <v>06/05/2020 14:54:39.840</v>
      </c>
      <c r="C2320" t="str">
        <f t="shared" si="1254"/>
        <v>FFDFD3C0</v>
      </c>
      <c r="D2320" t="s">
        <v>141</v>
      </c>
      <c r="E2320">
        <v>20</v>
      </c>
      <c r="F2320">
        <v>1020</v>
      </c>
      <c r="G2320" t="s">
        <v>114</v>
      </c>
      <c r="J2320" t="s">
        <v>142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276"/>
        <v>14:54:45.469</v>
      </c>
      <c r="T2320" t="str">
        <f t="shared" si="1277"/>
        <v>14:54:45.069</v>
      </c>
      <c r="U2320" t="str">
        <f t="shared" si="1270"/>
        <v>ACC530</v>
      </c>
      <c r="V2320">
        <v>0</v>
      </c>
      <c r="W2320">
        <v>0</v>
      </c>
      <c r="X2320">
        <v>1</v>
      </c>
      <c r="Z2320">
        <v>0</v>
      </c>
      <c r="AA2320">
        <v>9</v>
      </c>
      <c r="AB2320">
        <v>3</v>
      </c>
      <c r="AC2320">
        <v>0</v>
      </c>
      <c r="AD2320">
        <v>9</v>
      </c>
      <c r="AE2320">
        <v>0</v>
      </c>
      <c r="AF2320">
        <v>3</v>
      </c>
      <c r="AG2320">
        <v>1</v>
      </c>
      <c r="AH2320">
        <v>0</v>
      </c>
      <c r="AI2320" t="s">
        <v>832</v>
      </c>
      <c r="AJ2320">
        <v>34.156579999999998</v>
      </c>
      <c r="AK2320" t="s">
        <v>833</v>
      </c>
      <c r="AL2320">
        <v>-117.044048</v>
      </c>
      <c r="AM2320">
        <v>100</v>
      </c>
      <c r="AN2320">
        <v>7300</v>
      </c>
      <c r="AO2320" t="s">
        <v>118</v>
      </c>
      <c r="AP2320">
        <v>-68</v>
      </c>
      <c r="AQ2320">
        <v>-94</v>
      </c>
      <c r="AR2320">
        <v>-896</v>
      </c>
      <c r="AZ2320">
        <v>1200</v>
      </c>
      <c r="BA2320">
        <v>1</v>
      </c>
      <c r="BB2320" t="str">
        <f t="shared" si="1273"/>
        <v xml:space="preserve">N9217B  </v>
      </c>
      <c r="BC2320">
        <v>1</v>
      </c>
      <c r="BE2320">
        <v>0</v>
      </c>
      <c r="BF2320">
        <v>0</v>
      </c>
      <c r="BG2320">
        <v>0</v>
      </c>
      <c r="BH2320">
        <v>7300</v>
      </c>
      <c r="BI2320">
        <v>1</v>
      </c>
      <c r="BJ2320">
        <v>0</v>
      </c>
      <c r="BK2320">
        <v>0</v>
      </c>
      <c r="BL2320">
        <v>0</v>
      </c>
      <c r="BO2320">
        <v>0</v>
      </c>
      <c r="BP2320">
        <v>0</v>
      </c>
      <c r="BW2320" t="str">
        <f t="shared" si="1278"/>
        <v>14:54:45.469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285</v>
      </c>
      <c r="CR2320">
        <v>0</v>
      </c>
      <c r="CW2320">
        <v>8864541</v>
      </c>
      <c r="CY2320">
        <v>0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25">
      <c r="A2321" t="str">
        <f t="shared" si="1275"/>
        <v>06/05/2020 14:54:39.840</v>
      </c>
      <c r="C2321" t="str">
        <f t="shared" si="1254"/>
        <v>FFDFD3C0</v>
      </c>
      <c r="D2321" t="s">
        <v>113</v>
      </c>
      <c r="E2321">
        <v>3</v>
      </c>
      <c r="H2321">
        <v>166</v>
      </c>
      <c r="I2321" t="s">
        <v>114</v>
      </c>
      <c r="J2321" t="s">
        <v>115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276"/>
        <v>14:54:45.469</v>
      </c>
      <c r="T2321" t="str">
        <f t="shared" si="1277"/>
        <v>14:54:45.069</v>
      </c>
      <c r="U2321" t="str">
        <f t="shared" si="1270"/>
        <v>ACC530</v>
      </c>
      <c r="V2321">
        <v>0</v>
      </c>
      <c r="W2321">
        <v>0</v>
      </c>
      <c r="X2321">
        <v>1</v>
      </c>
      <c r="Z2321">
        <v>0</v>
      </c>
      <c r="AA2321">
        <v>9</v>
      </c>
      <c r="AB2321">
        <v>3</v>
      </c>
      <c r="AC2321">
        <v>0</v>
      </c>
      <c r="AD2321">
        <v>9</v>
      </c>
      <c r="AE2321">
        <v>0</v>
      </c>
      <c r="AF2321">
        <v>3</v>
      </c>
      <c r="AG2321">
        <v>1</v>
      </c>
      <c r="AH2321">
        <v>0</v>
      </c>
      <c r="AI2321" t="s">
        <v>832</v>
      </c>
      <c r="AJ2321">
        <v>34.156579999999998</v>
      </c>
      <c r="AK2321" t="s">
        <v>833</v>
      </c>
      <c r="AL2321">
        <v>-117.044048</v>
      </c>
      <c r="AM2321">
        <v>100</v>
      </c>
      <c r="AN2321">
        <v>7300</v>
      </c>
      <c r="AO2321" t="s">
        <v>118</v>
      </c>
      <c r="AP2321">
        <v>-68</v>
      </c>
      <c r="AQ2321">
        <v>-94</v>
      </c>
      <c r="AR2321">
        <v>-896</v>
      </c>
      <c r="AZ2321">
        <v>1200</v>
      </c>
      <c r="BA2321">
        <v>1</v>
      </c>
      <c r="BB2321" t="str">
        <f t="shared" si="1273"/>
        <v xml:space="preserve">N9217B  </v>
      </c>
      <c r="BC2321">
        <v>1</v>
      </c>
      <c r="BE2321">
        <v>0</v>
      </c>
      <c r="BF2321">
        <v>0</v>
      </c>
      <c r="BG2321">
        <v>0</v>
      </c>
      <c r="BH2321">
        <v>7300</v>
      </c>
      <c r="BI2321">
        <v>1</v>
      </c>
      <c r="BJ2321">
        <v>0</v>
      </c>
      <c r="BK2321">
        <v>0</v>
      </c>
      <c r="BL2321">
        <v>0</v>
      </c>
      <c r="BO2321">
        <v>0</v>
      </c>
      <c r="BP2321">
        <v>0</v>
      </c>
      <c r="BW2321" t="str">
        <f t="shared" si="1278"/>
        <v>14:54:45.469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285</v>
      </c>
      <c r="CR2321">
        <v>0</v>
      </c>
      <c r="CW2321">
        <v>8864541</v>
      </c>
      <c r="CY2321">
        <v>0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25">
      <c r="A2322" t="str">
        <f t="shared" si="1275"/>
        <v>06/05/2020 14:54:39.840</v>
      </c>
      <c r="C2322" t="str">
        <f t="shared" si="1254"/>
        <v>FFDFD3C0</v>
      </c>
      <c r="D2322" t="s">
        <v>151</v>
      </c>
      <c r="E2322">
        <v>9</v>
      </c>
      <c r="H2322">
        <v>226</v>
      </c>
      <c r="I2322" t="s">
        <v>152</v>
      </c>
      <c r="J2322" t="s">
        <v>150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276"/>
        <v>14:54:45.469</v>
      </c>
      <c r="T2322" t="str">
        <f t="shared" si="1277"/>
        <v>14:54:45.069</v>
      </c>
      <c r="U2322" t="str">
        <f t="shared" si="1270"/>
        <v>ACC530</v>
      </c>
      <c r="V2322">
        <v>0</v>
      </c>
      <c r="W2322">
        <v>0</v>
      </c>
      <c r="X2322">
        <v>1</v>
      </c>
      <c r="Z2322">
        <v>0</v>
      </c>
      <c r="AA2322">
        <v>9</v>
      </c>
      <c r="AB2322">
        <v>3</v>
      </c>
      <c r="AC2322">
        <v>0</v>
      </c>
      <c r="AD2322">
        <v>9</v>
      </c>
      <c r="AE2322">
        <v>0</v>
      </c>
      <c r="AF2322">
        <v>3</v>
      </c>
      <c r="AG2322">
        <v>1</v>
      </c>
      <c r="AH2322">
        <v>0</v>
      </c>
      <c r="AI2322" t="s">
        <v>832</v>
      </c>
      <c r="AJ2322">
        <v>34.156579999999998</v>
      </c>
      <c r="AK2322" t="s">
        <v>833</v>
      </c>
      <c r="AL2322">
        <v>-117.044048</v>
      </c>
      <c r="AM2322">
        <v>100</v>
      </c>
      <c r="AN2322">
        <v>7300</v>
      </c>
      <c r="AO2322" t="s">
        <v>118</v>
      </c>
      <c r="AP2322">
        <v>-68</v>
      </c>
      <c r="AQ2322">
        <v>-94</v>
      </c>
      <c r="AR2322">
        <v>-896</v>
      </c>
      <c r="AZ2322">
        <v>1200</v>
      </c>
      <c r="BA2322">
        <v>1</v>
      </c>
      <c r="BB2322" t="str">
        <f t="shared" si="1273"/>
        <v xml:space="preserve">N9217B  </v>
      </c>
      <c r="BC2322">
        <v>1</v>
      </c>
      <c r="BE2322">
        <v>0</v>
      </c>
      <c r="BF2322">
        <v>0</v>
      </c>
      <c r="BG2322">
        <v>0</v>
      </c>
      <c r="BH2322">
        <v>7300</v>
      </c>
      <c r="BI2322">
        <v>1</v>
      </c>
      <c r="BJ2322">
        <v>0</v>
      </c>
      <c r="BK2322">
        <v>0</v>
      </c>
      <c r="BL2322">
        <v>0</v>
      </c>
      <c r="BO2322">
        <v>0</v>
      </c>
      <c r="BP2322">
        <v>0</v>
      </c>
      <c r="BW2322" t="str">
        <f t="shared" si="1278"/>
        <v>14:54:45.469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285</v>
      </c>
      <c r="CR2322">
        <v>0</v>
      </c>
      <c r="CW2322">
        <v>8864541</v>
      </c>
      <c r="CY2322">
        <v>0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25">
      <c r="A2323" t="str">
        <f t="shared" ref="A2323:A2329" si="1279">"06/05/2020 14:54:40.937"</f>
        <v>06/05/2020 14:54:40.937</v>
      </c>
      <c r="C2323" t="str">
        <f t="shared" si="1254"/>
        <v>FFDFD3C0</v>
      </c>
      <c r="D2323" t="s">
        <v>113</v>
      </c>
      <c r="E2323">
        <v>3</v>
      </c>
      <c r="H2323">
        <v>166</v>
      </c>
      <c r="I2323" t="s">
        <v>114</v>
      </c>
      <c r="J2323" t="s">
        <v>115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ref="S2323:S2329" si="1280">"14:54:46.563"</f>
        <v>14:54:46.563</v>
      </c>
      <c r="T2323" t="str">
        <f t="shared" ref="T2323:T2329" si="1281">"14:54:46.463"</f>
        <v>14:54:46.463</v>
      </c>
      <c r="U2323" t="str">
        <f t="shared" si="1270"/>
        <v>ACC530</v>
      </c>
      <c r="V2323">
        <v>0</v>
      </c>
      <c r="W2323">
        <v>0</v>
      </c>
      <c r="X2323">
        <v>1</v>
      </c>
      <c r="Z2323">
        <v>0</v>
      </c>
      <c r="AA2323">
        <v>9</v>
      </c>
      <c r="AB2323">
        <v>3</v>
      </c>
      <c r="AC2323">
        <v>0</v>
      </c>
      <c r="AD2323">
        <v>9</v>
      </c>
      <c r="AE2323">
        <v>0</v>
      </c>
      <c r="AF2323">
        <v>3</v>
      </c>
      <c r="AG2323">
        <v>1</v>
      </c>
      <c r="AH2323">
        <v>0</v>
      </c>
      <c r="AI2323" t="s">
        <v>834</v>
      </c>
      <c r="AJ2323">
        <v>34.156129</v>
      </c>
      <c r="AK2323" t="s">
        <v>835</v>
      </c>
      <c r="AL2323">
        <v>-117.044456</v>
      </c>
      <c r="AM2323">
        <v>100</v>
      </c>
      <c r="AN2323">
        <v>7300</v>
      </c>
      <c r="AO2323" t="s">
        <v>118</v>
      </c>
      <c r="AP2323">
        <v>-66</v>
      </c>
      <c r="AQ2323">
        <v>-95</v>
      </c>
      <c r="AR2323">
        <v>-832</v>
      </c>
      <c r="AZ2323">
        <v>1200</v>
      </c>
      <c r="BA2323">
        <v>1</v>
      </c>
      <c r="BB2323" t="str">
        <f t="shared" si="1273"/>
        <v xml:space="preserve">N9217B  </v>
      </c>
      <c r="BC2323">
        <v>1</v>
      </c>
      <c r="BE2323">
        <v>0</v>
      </c>
      <c r="BF2323">
        <v>0</v>
      </c>
      <c r="BG2323">
        <v>0</v>
      </c>
      <c r="BH2323">
        <v>7275</v>
      </c>
      <c r="BI2323">
        <v>1</v>
      </c>
      <c r="BJ2323">
        <v>0</v>
      </c>
      <c r="BK2323">
        <v>0</v>
      </c>
      <c r="BL2323">
        <v>0</v>
      </c>
      <c r="BO2323">
        <v>0</v>
      </c>
      <c r="BP2323">
        <v>0</v>
      </c>
      <c r="BW2323" t="str">
        <f t="shared" ref="BW2323:BW2329" si="1282">"14:54:46.564"</f>
        <v>14:54:46.564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285</v>
      </c>
      <c r="CR2323">
        <v>0</v>
      </c>
      <c r="CW2323">
        <v>8864638</v>
      </c>
      <c r="CY2323">
        <v>0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25">
      <c r="A2324" t="str">
        <f t="shared" si="1279"/>
        <v>06/05/2020 14:54:40.937</v>
      </c>
      <c r="C2324" t="str">
        <f t="shared" si="1254"/>
        <v>FFDFD3C0</v>
      </c>
      <c r="D2324" t="s">
        <v>151</v>
      </c>
      <c r="E2324">
        <v>9</v>
      </c>
      <c r="H2324">
        <v>226</v>
      </c>
      <c r="I2324" t="s">
        <v>152</v>
      </c>
      <c r="J2324" t="s">
        <v>150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280"/>
        <v>14:54:46.563</v>
      </c>
      <c r="T2324" t="str">
        <f t="shared" si="1281"/>
        <v>14:54:46.463</v>
      </c>
      <c r="U2324" t="str">
        <f t="shared" si="1270"/>
        <v>ACC530</v>
      </c>
      <c r="V2324">
        <v>0</v>
      </c>
      <c r="W2324">
        <v>0</v>
      </c>
      <c r="X2324">
        <v>1</v>
      </c>
      <c r="Z2324">
        <v>0</v>
      </c>
      <c r="AA2324">
        <v>9</v>
      </c>
      <c r="AB2324">
        <v>3</v>
      </c>
      <c r="AC2324">
        <v>0</v>
      </c>
      <c r="AD2324">
        <v>9</v>
      </c>
      <c r="AE2324">
        <v>0</v>
      </c>
      <c r="AF2324">
        <v>3</v>
      </c>
      <c r="AG2324">
        <v>1</v>
      </c>
      <c r="AH2324">
        <v>0</v>
      </c>
      <c r="AI2324" t="s">
        <v>834</v>
      </c>
      <c r="AJ2324">
        <v>34.156129</v>
      </c>
      <c r="AK2324" t="s">
        <v>835</v>
      </c>
      <c r="AL2324">
        <v>-117.044456</v>
      </c>
      <c r="AM2324">
        <v>100</v>
      </c>
      <c r="AN2324">
        <v>7300</v>
      </c>
      <c r="AO2324" t="s">
        <v>118</v>
      </c>
      <c r="AP2324">
        <v>-66</v>
      </c>
      <c r="AQ2324">
        <v>-95</v>
      </c>
      <c r="AR2324">
        <v>-832</v>
      </c>
      <c r="AZ2324">
        <v>1200</v>
      </c>
      <c r="BA2324">
        <v>1</v>
      </c>
      <c r="BB2324" t="str">
        <f t="shared" si="1273"/>
        <v xml:space="preserve">N9217B  </v>
      </c>
      <c r="BC2324">
        <v>1</v>
      </c>
      <c r="BE2324">
        <v>0</v>
      </c>
      <c r="BF2324">
        <v>0</v>
      </c>
      <c r="BG2324">
        <v>0</v>
      </c>
      <c r="BH2324">
        <v>7275</v>
      </c>
      <c r="BI2324">
        <v>1</v>
      </c>
      <c r="BJ2324">
        <v>0</v>
      </c>
      <c r="BK2324">
        <v>0</v>
      </c>
      <c r="BL2324">
        <v>0</v>
      </c>
      <c r="BO2324">
        <v>0</v>
      </c>
      <c r="BP2324">
        <v>0</v>
      </c>
      <c r="BW2324" t="str">
        <f t="shared" si="1282"/>
        <v>14:54:46.564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285</v>
      </c>
      <c r="CR2324">
        <v>0</v>
      </c>
      <c r="CW2324">
        <v>8864638</v>
      </c>
      <c r="CY2324">
        <v>0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25">
      <c r="A2325" t="str">
        <f t="shared" si="1279"/>
        <v>06/05/2020 14:54:40.937</v>
      </c>
      <c r="C2325" t="str">
        <f t="shared" si="1254"/>
        <v>FFDFD3C0</v>
      </c>
      <c r="D2325" t="s">
        <v>148</v>
      </c>
      <c r="E2325">
        <v>8</v>
      </c>
      <c r="H2325">
        <v>50</v>
      </c>
      <c r="I2325" t="s">
        <v>149</v>
      </c>
      <c r="J2325" t="s">
        <v>150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280"/>
        <v>14:54:46.563</v>
      </c>
      <c r="T2325" t="str">
        <f t="shared" si="1281"/>
        <v>14:54:46.463</v>
      </c>
      <c r="U2325" t="str">
        <f t="shared" si="1270"/>
        <v>ACC530</v>
      </c>
      <c r="V2325">
        <v>0</v>
      </c>
      <c r="W2325">
        <v>0</v>
      </c>
      <c r="X2325">
        <v>1</v>
      </c>
      <c r="Z2325">
        <v>0</v>
      </c>
      <c r="AA2325">
        <v>9</v>
      </c>
      <c r="AB2325">
        <v>3</v>
      </c>
      <c r="AC2325">
        <v>0</v>
      </c>
      <c r="AD2325">
        <v>9</v>
      </c>
      <c r="AE2325">
        <v>0</v>
      </c>
      <c r="AF2325">
        <v>3</v>
      </c>
      <c r="AG2325">
        <v>1</v>
      </c>
      <c r="AH2325">
        <v>0</v>
      </c>
      <c r="AI2325" t="s">
        <v>834</v>
      </c>
      <c r="AJ2325">
        <v>34.156129</v>
      </c>
      <c r="AK2325" t="s">
        <v>835</v>
      </c>
      <c r="AL2325">
        <v>-117.044456</v>
      </c>
      <c r="AM2325">
        <v>100</v>
      </c>
      <c r="AN2325">
        <v>7300</v>
      </c>
      <c r="AO2325" t="s">
        <v>118</v>
      </c>
      <c r="AP2325">
        <v>-66</v>
      </c>
      <c r="AQ2325">
        <v>-95</v>
      </c>
      <c r="AR2325">
        <v>-832</v>
      </c>
      <c r="AZ2325">
        <v>1200</v>
      </c>
      <c r="BA2325">
        <v>1</v>
      </c>
      <c r="BB2325" t="str">
        <f t="shared" si="1273"/>
        <v xml:space="preserve">N9217B  </v>
      </c>
      <c r="BC2325">
        <v>1</v>
      </c>
      <c r="BE2325">
        <v>0</v>
      </c>
      <c r="BF2325">
        <v>0</v>
      </c>
      <c r="BG2325">
        <v>0</v>
      </c>
      <c r="BH2325">
        <v>7275</v>
      </c>
      <c r="BI2325">
        <v>1</v>
      </c>
      <c r="BJ2325">
        <v>0</v>
      </c>
      <c r="BK2325">
        <v>0</v>
      </c>
      <c r="BL2325">
        <v>0</v>
      </c>
      <c r="BO2325">
        <v>0</v>
      </c>
      <c r="BP2325">
        <v>0</v>
      </c>
      <c r="BW2325" t="str">
        <f t="shared" si="1282"/>
        <v>14:54:46.564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285</v>
      </c>
      <c r="CR2325">
        <v>0</v>
      </c>
      <c r="CW2325">
        <v>8864638</v>
      </c>
      <c r="CY2325">
        <v>0</v>
      </c>
      <c r="CZ2325">
        <v>0</v>
      </c>
      <c r="DA2325">
        <v>1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25">
      <c r="A2326" t="str">
        <f t="shared" si="1279"/>
        <v>06/05/2020 14:54:40.937</v>
      </c>
      <c r="C2326" t="str">
        <f t="shared" si="1254"/>
        <v>FFDFD3C0</v>
      </c>
      <c r="D2326" t="s">
        <v>134</v>
      </c>
      <c r="E2326">
        <v>7</v>
      </c>
      <c r="F2326">
        <v>2007</v>
      </c>
      <c r="G2326" t="s">
        <v>135</v>
      </c>
      <c r="J2326" t="s">
        <v>136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280"/>
        <v>14:54:46.563</v>
      </c>
      <c r="T2326" t="str">
        <f t="shared" si="1281"/>
        <v>14:54:46.463</v>
      </c>
      <c r="U2326" t="str">
        <f t="shared" si="1270"/>
        <v>ACC530</v>
      </c>
      <c r="V2326">
        <v>0</v>
      </c>
      <c r="W2326">
        <v>0</v>
      </c>
      <c r="X2326">
        <v>1</v>
      </c>
      <c r="Z2326">
        <v>0</v>
      </c>
      <c r="AA2326">
        <v>9</v>
      </c>
      <c r="AB2326">
        <v>3</v>
      </c>
      <c r="AC2326">
        <v>0</v>
      </c>
      <c r="AD2326">
        <v>9</v>
      </c>
      <c r="AE2326">
        <v>0</v>
      </c>
      <c r="AF2326">
        <v>3</v>
      </c>
      <c r="AG2326">
        <v>1</v>
      </c>
      <c r="AH2326">
        <v>0</v>
      </c>
      <c r="AI2326" t="s">
        <v>834</v>
      </c>
      <c r="AJ2326">
        <v>34.156129</v>
      </c>
      <c r="AK2326" t="s">
        <v>835</v>
      </c>
      <c r="AL2326">
        <v>-117.044456</v>
      </c>
      <c r="AM2326">
        <v>100</v>
      </c>
      <c r="AN2326">
        <v>7300</v>
      </c>
      <c r="AO2326" t="s">
        <v>118</v>
      </c>
      <c r="AP2326">
        <v>-66</v>
      </c>
      <c r="AQ2326">
        <v>-95</v>
      </c>
      <c r="AR2326">
        <v>-832</v>
      </c>
      <c r="AZ2326">
        <v>1200</v>
      </c>
      <c r="BA2326">
        <v>1</v>
      </c>
      <c r="BB2326" t="str">
        <f t="shared" si="1273"/>
        <v xml:space="preserve">N9217B  </v>
      </c>
      <c r="BC2326">
        <v>1</v>
      </c>
      <c r="BE2326">
        <v>0</v>
      </c>
      <c r="BF2326">
        <v>0</v>
      </c>
      <c r="BG2326">
        <v>0</v>
      </c>
      <c r="BH2326">
        <v>7275</v>
      </c>
      <c r="BI2326">
        <v>1</v>
      </c>
      <c r="BJ2326">
        <v>0</v>
      </c>
      <c r="BK2326">
        <v>0</v>
      </c>
      <c r="BL2326">
        <v>0</v>
      </c>
      <c r="BO2326">
        <v>0</v>
      </c>
      <c r="BP2326">
        <v>0</v>
      </c>
      <c r="BW2326" t="str">
        <f t="shared" si="1282"/>
        <v>14:54:46.564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285</v>
      </c>
      <c r="CR2326">
        <v>0</v>
      </c>
      <c r="CW2326">
        <v>8864638</v>
      </c>
      <c r="CY2326">
        <v>0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25">
      <c r="A2327" t="str">
        <f t="shared" si="1279"/>
        <v>06/05/2020 14:54:40.937</v>
      </c>
      <c r="C2327" t="str">
        <f t="shared" si="1254"/>
        <v>FFDFD3C0</v>
      </c>
      <c r="D2327" t="s">
        <v>148</v>
      </c>
      <c r="E2327">
        <v>11</v>
      </c>
      <c r="H2327">
        <v>53</v>
      </c>
      <c r="I2327" t="s">
        <v>364</v>
      </c>
      <c r="J2327" t="s">
        <v>150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280"/>
        <v>14:54:46.563</v>
      </c>
      <c r="T2327" t="str">
        <f t="shared" si="1281"/>
        <v>14:54:46.463</v>
      </c>
      <c r="U2327" t="str">
        <f t="shared" si="1270"/>
        <v>ACC530</v>
      </c>
      <c r="V2327">
        <v>0</v>
      </c>
      <c r="W2327">
        <v>0</v>
      </c>
      <c r="X2327">
        <v>1</v>
      </c>
      <c r="Z2327">
        <v>0</v>
      </c>
      <c r="AA2327">
        <v>9</v>
      </c>
      <c r="AB2327">
        <v>3</v>
      </c>
      <c r="AC2327">
        <v>0</v>
      </c>
      <c r="AD2327">
        <v>9</v>
      </c>
      <c r="AE2327">
        <v>0</v>
      </c>
      <c r="AF2327">
        <v>3</v>
      </c>
      <c r="AG2327">
        <v>1</v>
      </c>
      <c r="AH2327">
        <v>0</v>
      </c>
      <c r="AI2327" t="s">
        <v>834</v>
      </c>
      <c r="AJ2327">
        <v>34.156129</v>
      </c>
      <c r="AK2327" t="s">
        <v>835</v>
      </c>
      <c r="AL2327">
        <v>-117.044456</v>
      </c>
      <c r="AM2327">
        <v>100</v>
      </c>
      <c r="AN2327">
        <v>7300</v>
      </c>
      <c r="AO2327" t="s">
        <v>118</v>
      </c>
      <c r="AP2327">
        <v>-66</v>
      </c>
      <c r="AQ2327">
        <v>-95</v>
      </c>
      <c r="AR2327">
        <v>-832</v>
      </c>
      <c r="AZ2327">
        <v>1200</v>
      </c>
      <c r="BA2327">
        <v>1</v>
      </c>
      <c r="BB2327" t="str">
        <f t="shared" si="1273"/>
        <v xml:space="preserve">N9217B  </v>
      </c>
      <c r="BC2327">
        <v>1</v>
      </c>
      <c r="BE2327">
        <v>0</v>
      </c>
      <c r="BF2327">
        <v>0</v>
      </c>
      <c r="BG2327">
        <v>0</v>
      </c>
      <c r="BH2327">
        <v>7275</v>
      </c>
      <c r="BI2327">
        <v>1</v>
      </c>
      <c r="BJ2327">
        <v>0</v>
      </c>
      <c r="BK2327">
        <v>0</v>
      </c>
      <c r="BL2327">
        <v>0</v>
      </c>
      <c r="BO2327">
        <v>0</v>
      </c>
      <c r="BP2327">
        <v>0</v>
      </c>
      <c r="BW2327" t="str">
        <f t="shared" si="1282"/>
        <v>14:54:46.564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285</v>
      </c>
      <c r="CR2327">
        <v>0</v>
      </c>
      <c r="CW2327">
        <v>8864638</v>
      </c>
      <c r="CY2327">
        <v>0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25">
      <c r="A2328" t="str">
        <f t="shared" si="1279"/>
        <v>06/05/2020 14:54:40.937</v>
      </c>
      <c r="C2328" t="str">
        <f t="shared" si="1254"/>
        <v>FFDFD3C0</v>
      </c>
      <c r="D2328" t="s">
        <v>141</v>
      </c>
      <c r="E2328">
        <v>20</v>
      </c>
      <c r="F2328">
        <v>1020</v>
      </c>
      <c r="G2328" t="s">
        <v>114</v>
      </c>
      <c r="J2328" t="s">
        <v>142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280"/>
        <v>14:54:46.563</v>
      </c>
      <c r="T2328" t="str">
        <f t="shared" si="1281"/>
        <v>14:54:46.463</v>
      </c>
      <c r="U2328" t="str">
        <f t="shared" si="1270"/>
        <v>ACC530</v>
      </c>
      <c r="V2328">
        <v>0</v>
      </c>
      <c r="W2328">
        <v>0</v>
      </c>
      <c r="X2328">
        <v>1</v>
      </c>
      <c r="Z2328">
        <v>0</v>
      </c>
      <c r="AA2328">
        <v>9</v>
      </c>
      <c r="AB2328">
        <v>3</v>
      </c>
      <c r="AC2328">
        <v>0</v>
      </c>
      <c r="AD2328">
        <v>9</v>
      </c>
      <c r="AE2328">
        <v>0</v>
      </c>
      <c r="AF2328">
        <v>3</v>
      </c>
      <c r="AG2328">
        <v>1</v>
      </c>
      <c r="AH2328">
        <v>0</v>
      </c>
      <c r="AI2328" t="s">
        <v>834</v>
      </c>
      <c r="AJ2328">
        <v>34.156129</v>
      </c>
      <c r="AK2328" t="s">
        <v>835</v>
      </c>
      <c r="AL2328">
        <v>-117.044456</v>
      </c>
      <c r="AM2328">
        <v>100</v>
      </c>
      <c r="AN2328">
        <v>7300</v>
      </c>
      <c r="AO2328" t="s">
        <v>118</v>
      </c>
      <c r="AP2328">
        <v>-66</v>
      </c>
      <c r="AQ2328">
        <v>-95</v>
      </c>
      <c r="AR2328">
        <v>-832</v>
      </c>
      <c r="AZ2328">
        <v>1200</v>
      </c>
      <c r="BA2328">
        <v>1</v>
      </c>
      <c r="BB2328" t="str">
        <f t="shared" si="1273"/>
        <v xml:space="preserve">N9217B  </v>
      </c>
      <c r="BC2328">
        <v>1</v>
      </c>
      <c r="BE2328">
        <v>0</v>
      </c>
      <c r="BF2328">
        <v>0</v>
      </c>
      <c r="BG2328">
        <v>0</v>
      </c>
      <c r="BH2328">
        <v>7275</v>
      </c>
      <c r="BI2328">
        <v>1</v>
      </c>
      <c r="BJ2328">
        <v>0</v>
      </c>
      <c r="BK2328">
        <v>0</v>
      </c>
      <c r="BL2328">
        <v>0</v>
      </c>
      <c r="BO2328">
        <v>0</v>
      </c>
      <c r="BP2328">
        <v>0</v>
      </c>
      <c r="BW2328" t="str">
        <f t="shared" si="1282"/>
        <v>14:54:46.564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285</v>
      </c>
      <c r="CR2328">
        <v>0</v>
      </c>
      <c r="CW2328">
        <v>8864638</v>
      </c>
      <c r="CY2328">
        <v>0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25">
      <c r="A2329" t="str">
        <f t="shared" si="1279"/>
        <v>06/05/2020 14:54:40.937</v>
      </c>
      <c r="C2329" t="str">
        <f t="shared" si="1254"/>
        <v>FFDFD3C0</v>
      </c>
      <c r="D2329" t="s">
        <v>151</v>
      </c>
      <c r="E2329">
        <v>8</v>
      </c>
      <c r="H2329">
        <v>225</v>
      </c>
      <c r="I2329" t="s">
        <v>353</v>
      </c>
      <c r="J2329" t="s">
        <v>150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280"/>
        <v>14:54:46.563</v>
      </c>
      <c r="T2329" t="str">
        <f t="shared" si="1281"/>
        <v>14:54:46.463</v>
      </c>
      <c r="U2329" t="str">
        <f t="shared" si="1270"/>
        <v>ACC530</v>
      </c>
      <c r="V2329">
        <v>0</v>
      </c>
      <c r="W2329">
        <v>0</v>
      </c>
      <c r="X2329">
        <v>1</v>
      </c>
      <c r="Z2329">
        <v>0</v>
      </c>
      <c r="AA2329">
        <v>9</v>
      </c>
      <c r="AB2329">
        <v>3</v>
      </c>
      <c r="AC2329">
        <v>0</v>
      </c>
      <c r="AD2329">
        <v>9</v>
      </c>
      <c r="AE2329">
        <v>0</v>
      </c>
      <c r="AF2329">
        <v>3</v>
      </c>
      <c r="AG2329">
        <v>1</v>
      </c>
      <c r="AH2329">
        <v>0</v>
      </c>
      <c r="AI2329" t="s">
        <v>834</v>
      </c>
      <c r="AJ2329">
        <v>34.156129</v>
      </c>
      <c r="AK2329" t="s">
        <v>835</v>
      </c>
      <c r="AL2329">
        <v>-117.044456</v>
      </c>
      <c r="AM2329">
        <v>100</v>
      </c>
      <c r="AN2329">
        <v>7300</v>
      </c>
      <c r="AO2329" t="s">
        <v>118</v>
      </c>
      <c r="AP2329">
        <v>-66</v>
      </c>
      <c r="AQ2329">
        <v>-95</v>
      </c>
      <c r="AR2329">
        <v>-832</v>
      </c>
      <c r="AZ2329">
        <v>1200</v>
      </c>
      <c r="BA2329">
        <v>1</v>
      </c>
      <c r="BB2329" t="str">
        <f t="shared" si="1273"/>
        <v xml:space="preserve">N9217B  </v>
      </c>
      <c r="BC2329">
        <v>1</v>
      </c>
      <c r="BE2329">
        <v>0</v>
      </c>
      <c r="BF2329">
        <v>0</v>
      </c>
      <c r="BG2329">
        <v>0</v>
      </c>
      <c r="BH2329">
        <v>7275</v>
      </c>
      <c r="BI2329">
        <v>1</v>
      </c>
      <c r="BJ2329">
        <v>0</v>
      </c>
      <c r="BK2329">
        <v>0</v>
      </c>
      <c r="BL2329">
        <v>0</v>
      </c>
      <c r="BO2329">
        <v>0</v>
      </c>
      <c r="BP2329">
        <v>0</v>
      </c>
      <c r="BW2329" t="str">
        <f t="shared" si="1282"/>
        <v>14:54:46.564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285</v>
      </c>
      <c r="CR2329">
        <v>0</v>
      </c>
      <c r="CW2329">
        <v>8864638</v>
      </c>
      <c r="CY2329">
        <v>0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25">
      <c r="A2330" t="str">
        <f t="shared" ref="A2330:A2336" si="1283">"06/05/2020 14:54:42.066"</f>
        <v>06/05/2020 14:54:42.066</v>
      </c>
      <c r="C2330" t="str">
        <f t="shared" si="1254"/>
        <v>FFDFD3C0</v>
      </c>
      <c r="D2330" t="s">
        <v>148</v>
      </c>
      <c r="E2330">
        <v>8</v>
      </c>
      <c r="H2330">
        <v>50</v>
      </c>
      <c r="I2330" t="s">
        <v>149</v>
      </c>
      <c r="J2330" t="s">
        <v>150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ref="S2330:S2336" si="1284">"14:54:47.719"</f>
        <v>14:54:47.719</v>
      </c>
      <c r="T2330" t="str">
        <f t="shared" ref="T2330:T2336" si="1285">"14:54:47.419"</f>
        <v>14:54:47.419</v>
      </c>
      <c r="U2330" t="str">
        <f t="shared" si="1270"/>
        <v>ACC530</v>
      </c>
      <c r="V2330">
        <v>0</v>
      </c>
      <c r="W2330">
        <v>0</v>
      </c>
      <c r="X2330">
        <v>1</v>
      </c>
      <c r="Z2330">
        <v>0</v>
      </c>
      <c r="AA2330">
        <v>9</v>
      </c>
      <c r="AB2330">
        <v>3</v>
      </c>
      <c r="AC2330">
        <v>0</v>
      </c>
      <c r="AD2330">
        <v>9</v>
      </c>
      <c r="AE2330">
        <v>0</v>
      </c>
      <c r="AF2330">
        <v>3</v>
      </c>
      <c r="AG2330">
        <v>1</v>
      </c>
      <c r="AH2330">
        <v>0</v>
      </c>
      <c r="AI2330" t="s">
        <v>836</v>
      </c>
      <c r="AJ2330">
        <v>34.155571000000002</v>
      </c>
      <c r="AK2330" t="s">
        <v>837</v>
      </c>
      <c r="AL2330">
        <v>-117.044864</v>
      </c>
      <c r="AM2330">
        <v>100</v>
      </c>
      <c r="AN2330">
        <v>7300</v>
      </c>
      <c r="AO2330" t="s">
        <v>118</v>
      </c>
      <c r="AP2330">
        <v>-64</v>
      </c>
      <c r="AQ2330">
        <v>-95</v>
      </c>
      <c r="AR2330">
        <v>-768</v>
      </c>
      <c r="AZ2330">
        <v>1200</v>
      </c>
      <c r="BA2330">
        <v>1</v>
      </c>
      <c r="BB2330" t="str">
        <f t="shared" si="1273"/>
        <v xml:space="preserve">N9217B  </v>
      </c>
      <c r="BC2330">
        <v>1</v>
      </c>
      <c r="BE2330">
        <v>0</v>
      </c>
      <c r="BF2330">
        <v>0</v>
      </c>
      <c r="BG2330">
        <v>0</v>
      </c>
      <c r="BH2330">
        <v>7250</v>
      </c>
      <c r="BI2330">
        <v>1</v>
      </c>
      <c r="BJ2330">
        <v>0</v>
      </c>
      <c r="BK2330">
        <v>0</v>
      </c>
      <c r="BL2330">
        <v>0</v>
      </c>
      <c r="BO2330">
        <v>0</v>
      </c>
      <c r="BP2330">
        <v>0</v>
      </c>
      <c r="BW2330" t="str">
        <f t="shared" ref="BW2330:BW2336" si="1286">"14:54:47.719"</f>
        <v>14:54:47.719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285</v>
      </c>
      <c r="CR2330">
        <v>0</v>
      </c>
      <c r="CW2330">
        <v>8864744</v>
      </c>
      <c r="CY2330">
        <v>0</v>
      </c>
      <c r="CZ2330">
        <v>0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25">
      <c r="A2331" t="str">
        <f t="shared" si="1283"/>
        <v>06/05/2020 14:54:42.066</v>
      </c>
      <c r="C2331" t="str">
        <f t="shared" si="1254"/>
        <v>FFDFD3C0</v>
      </c>
      <c r="D2331" t="s">
        <v>148</v>
      </c>
      <c r="E2331">
        <v>11</v>
      </c>
      <c r="H2331">
        <v>53</v>
      </c>
      <c r="I2331" t="s">
        <v>364</v>
      </c>
      <c r="J2331" t="s">
        <v>150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284"/>
        <v>14:54:47.719</v>
      </c>
      <c r="T2331" t="str">
        <f t="shared" si="1285"/>
        <v>14:54:47.419</v>
      </c>
      <c r="U2331" t="str">
        <f t="shared" si="1270"/>
        <v>ACC530</v>
      </c>
      <c r="V2331">
        <v>0</v>
      </c>
      <c r="W2331">
        <v>0</v>
      </c>
      <c r="X2331">
        <v>1</v>
      </c>
      <c r="Z2331">
        <v>0</v>
      </c>
      <c r="AA2331">
        <v>9</v>
      </c>
      <c r="AB2331">
        <v>3</v>
      </c>
      <c r="AC2331">
        <v>0</v>
      </c>
      <c r="AD2331">
        <v>9</v>
      </c>
      <c r="AE2331">
        <v>0</v>
      </c>
      <c r="AF2331">
        <v>3</v>
      </c>
      <c r="AG2331">
        <v>1</v>
      </c>
      <c r="AH2331">
        <v>0</v>
      </c>
      <c r="AI2331" t="s">
        <v>836</v>
      </c>
      <c r="AJ2331">
        <v>34.155571000000002</v>
      </c>
      <c r="AK2331" t="s">
        <v>837</v>
      </c>
      <c r="AL2331">
        <v>-117.044864</v>
      </c>
      <c r="AM2331">
        <v>100</v>
      </c>
      <c r="AN2331">
        <v>7300</v>
      </c>
      <c r="AO2331" t="s">
        <v>118</v>
      </c>
      <c r="AP2331">
        <v>-64</v>
      </c>
      <c r="AQ2331">
        <v>-95</v>
      </c>
      <c r="AR2331">
        <v>-768</v>
      </c>
      <c r="AZ2331">
        <v>1200</v>
      </c>
      <c r="BA2331">
        <v>1</v>
      </c>
      <c r="BB2331" t="str">
        <f t="shared" si="1273"/>
        <v xml:space="preserve">N9217B  </v>
      </c>
      <c r="BC2331">
        <v>1</v>
      </c>
      <c r="BE2331">
        <v>0</v>
      </c>
      <c r="BF2331">
        <v>0</v>
      </c>
      <c r="BG2331">
        <v>0</v>
      </c>
      <c r="BH2331">
        <v>7250</v>
      </c>
      <c r="BI2331">
        <v>1</v>
      </c>
      <c r="BJ2331">
        <v>0</v>
      </c>
      <c r="BK2331">
        <v>0</v>
      </c>
      <c r="BL2331">
        <v>0</v>
      </c>
      <c r="BO2331">
        <v>0</v>
      </c>
      <c r="BP2331">
        <v>0</v>
      </c>
      <c r="BW2331" t="str">
        <f t="shared" si="1286"/>
        <v>14:54:47.719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285</v>
      </c>
      <c r="CR2331">
        <v>0</v>
      </c>
      <c r="CW2331">
        <v>8864744</v>
      </c>
      <c r="CY2331">
        <v>0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25">
      <c r="A2332" t="str">
        <f t="shared" si="1283"/>
        <v>06/05/2020 14:54:42.066</v>
      </c>
      <c r="C2332" t="str">
        <f t="shared" si="1254"/>
        <v>FFDFD3C0</v>
      </c>
      <c r="D2332" t="s">
        <v>141</v>
      </c>
      <c r="E2332">
        <v>20</v>
      </c>
      <c r="F2332">
        <v>1020</v>
      </c>
      <c r="G2332" t="s">
        <v>114</v>
      </c>
      <c r="J2332" t="s">
        <v>142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284"/>
        <v>14:54:47.719</v>
      </c>
      <c r="T2332" t="str">
        <f t="shared" si="1285"/>
        <v>14:54:47.419</v>
      </c>
      <c r="U2332" t="str">
        <f t="shared" si="1270"/>
        <v>ACC530</v>
      </c>
      <c r="V2332">
        <v>0</v>
      </c>
      <c r="W2332">
        <v>0</v>
      </c>
      <c r="X2332">
        <v>1</v>
      </c>
      <c r="Z2332">
        <v>0</v>
      </c>
      <c r="AA2332">
        <v>9</v>
      </c>
      <c r="AB2332">
        <v>3</v>
      </c>
      <c r="AC2332">
        <v>0</v>
      </c>
      <c r="AD2332">
        <v>9</v>
      </c>
      <c r="AE2332">
        <v>0</v>
      </c>
      <c r="AF2332">
        <v>3</v>
      </c>
      <c r="AG2332">
        <v>1</v>
      </c>
      <c r="AH2332">
        <v>0</v>
      </c>
      <c r="AI2332" t="s">
        <v>836</v>
      </c>
      <c r="AJ2332">
        <v>34.155571000000002</v>
      </c>
      <c r="AK2332" t="s">
        <v>837</v>
      </c>
      <c r="AL2332">
        <v>-117.044864</v>
      </c>
      <c r="AM2332">
        <v>100</v>
      </c>
      <c r="AN2332">
        <v>7300</v>
      </c>
      <c r="AO2332" t="s">
        <v>118</v>
      </c>
      <c r="AP2332">
        <v>-64</v>
      </c>
      <c r="AQ2332">
        <v>-95</v>
      </c>
      <c r="AR2332">
        <v>-768</v>
      </c>
      <c r="AZ2332">
        <v>1200</v>
      </c>
      <c r="BA2332">
        <v>1</v>
      </c>
      <c r="BB2332" t="str">
        <f t="shared" si="1273"/>
        <v xml:space="preserve">N9217B  </v>
      </c>
      <c r="BC2332">
        <v>1</v>
      </c>
      <c r="BE2332">
        <v>0</v>
      </c>
      <c r="BF2332">
        <v>0</v>
      </c>
      <c r="BG2332">
        <v>0</v>
      </c>
      <c r="BH2332">
        <v>7250</v>
      </c>
      <c r="BI2332">
        <v>1</v>
      </c>
      <c r="BJ2332">
        <v>0</v>
      </c>
      <c r="BK2332">
        <v>0</v>
      </c>
      <c r="BL2332">
        <v>0</v>
      </c>
      <c r="BO2332">
        <v>0</v>
      </c>
      <c r="BP2332">
        <v>0</v>
      </c>
      <c r="BW2332" t="str">
        <f t="shared" si="1286"/>
        <v>14:54:47.719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285</v>
      </c>
      <c r="CR2332">
        <v>0</v>
      </c>
      <c r="CW2332">
        <v>8864744</v>
      </c>
      <c r="CY2332">
        <v>0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25">
      <c r="A2333" t="str">
        <f t="shared" si="1283"/>
        <v>06/05/2020 14:54:42.066</v>
      </c>
      <c r="C2333" t="str">
        <f t="shared" si="1254"/>
        <v>FFDFD3C0</v>
      </c>
      <c r="D2333" t="s">
        <v>151</v>
      </c>
      <c r="E2333">
        <v>8</v>
      </c>
      <c r="H2333">
        <v>225</v>
      </c>
      <c r="I2333" t="s">
        <v>353</v>
      </c>
      <c r="J2333" t="s">
        <v>150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284"/>
        <v>14:54:47.719</v>
      </c>
      <c r="T2333" t="str">
        <f t="shared" si="1285"/>
        <v>14:54:47.419</v>
      </c>
      <c r="U2333" t="str">
        <f t="shared" si="1270"/>
        <v>ACC530</v>
      </c>
      <c r="V2333">
        <v>0</v>
      </c>
      <c r="W2333">
        <v>0</v>
      </c>
      <c r="X2333">
        <v>1</v>
      </c>
      <c r="Z2333">
        <v>0</v>
      </c>
      <c r="AA2333">
        <v>9</v>
      </c>
      <c r="AB2333">
        <v>3</v>
      </c>
      <c r="AC2333">
        <v>0</v>
      </c>
      <c r="AD2333">
        <v>9</v>
      </c>
      <c r="AE2333">
        <v>0</v>
      </c>
      <c r="AF2333">
        <v>3</v>
      </c>
      <c r="AG2333">
        <v>1</v>
      </c>
      <c r="AH2333">
        <v>0</v>
      </c>
      <c r="AI2333" t="s">
        <v>836</v>
      </c>
      <c r="AJ2333">
        <v>34.155571000000002</v>
      </c>
      <c r="AK2333" t="s">
        <v>837</v>
      </c>
      <c r="AL2333">
        <v>-117.044864</v>
      </c>
      <c r="AM2333">
        <v>100</v>
      </c>
      <c r="AN2333">
        <v>7300</v>
      </c>
      <c r="AO2333" t="s">
        <v>118</v>
      </c>
      <c r="AP2333">
        <v>-64</v>
      </c>
      <c r="AQ2333">
        <v>-95</v>
      </c>
      <c r="AR2333">
        <v>-768</v>
      </c>
      <c r="AZ2333">
        <v>1200</v>
      </c>
      <c r="BA2333">
        <v>1</v>
      </c>
      <c r="BB2333" t="str">
        <f t="shared" si="1273"/>
        <v xml:space="preserve">N9217B  </v>
      </c>
      <c r="BC2333">
        <v>1</v>
      </c>
      <c r="BE2333">
        <v>0</v>
      </c>
      <c r="BF2333">
        <v>0</v>
      </c>
      <c r="BG2333">
        <v>0</v>
      </c>
      <c r="BH2333">
        <v>7250</v>
      </c>
      <c r="BI2333">
        <v>1</v>
      </c>
      <c r="BJ2333">
        <v>0</v>
      </c>
      <c r="BK2333">
        <v>0</v>
      </c>
      <c r="BL2333">
        <v>0</v>
      </c>
      <c r="BO2333">
        <v>0</v>
      </c>
      <c r="BP2333">
        <v>0</v>
      </c>
      <c r="BW2333" t="str">
        <f t="shared" si="1286"/>
        <v>14:54:47.719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285</v>
      </c>
      <c r="CR2333">
        <v>0</v>
      </c>
      <c r="CW2333">
        <v>8864744</v>
      </c>
      <c r="CY2333">
        <v>0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25">
      <c r="A2334" t="str">
        <f t="shared" si="1283"/>
        <v>06/05/2020 14:54:42.066</v>
      </c>
      <c r="C2334" t="str">
        <f t="shared" si="1254"/>
        <v>FFDFD3C0</v>
      </c>
      <c r="D2334" t="s">
        <v>113</v>
      </c>
      <c r="E2334">
        <v>3</v>
      </c>
      <c r="H2334">
        <v>166</v>
      </c>
      <c r="I2334" t="s">
        <v>114</v>
      </c>
      <c r="J2334" t="s">
        <v>115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284"/>
        <v>14:54:47.719</v>
      </c>
      <c r="T2334" t="str">
        <f t="shared" si="1285"/>
        <v>14:54:47.419</v>
      </c>
      <c r="U2334" t="str">
        <f t="shared" si="1270"/>
        <v>ACC530</v>
      </c>
      <c r="V2334">
        <v>0</v>
      </c>
      <c r="W2334">
        <v>0</v>
      </c>
      <c r="X2334">
        <v>1</v>
      </c>
      <c r="Z2334">
        <v>0</v>
      </c>
      <c r="AA2334">
        <v>9</v>
      </c>
      <c r="AB2334">
        <v>3</v>
      </c>
      <c r="AC2334">
        <v>0</v>
      </c>
      <c r="AD2334">
        <v>9</v>
      </c>
      <c r="AE2334">
        <v>0</v>
      </c>
      <c r="AF2334">
        <v>3</v>
      </c>
      <c r="AG2334">
        <v>1</v>
      </c>
      <c r="AH2334">
        <v>0</v>
      </c>
      <c r="AI2334" t="s">
        <v>836</v>
      </c>
      <c r="AJ2334">
        <v>34.155571000000002</v>
      </c>
      <c r="AK2334" t="s">
        <v>837</v>
      </c>
      <c r="AL2334">
        <v>-117.044864</v>
      </c>
      <c r="AM2334">
        <v>100</v>
      </c>
      <c r="AN2334">
        <v>7300</v>
      </c>
      <c r="AO2334" t="s">
        <v>118</v>
      </c>
      <c r="AP2334">
        <v>-64</v>
      </c>
      <c r="AQ2334">
        <v>-95</v>
      </c>
      <c r="AR2334">
        <v>-768</v>
      </c>
      <c r="AZ2334">
        <v>1200</v>
      </c>
      <c r="BA2334">
        <v>1</v>
      </c>
      <c r="BB2334" t="str">
        <f t="shared" si="1273"/>
        <v xml:space="preserve">N9217B  </v>
      </c>
      <c r="BC2334">
        <v>1</v>
      </c>
      <c r="BE2334">
        <v>0</v>
      </c>
      <c r="BF2334">
        <v>0</v>
      </c>
      <c r="BG2334">
        <v>0</v>
      </c>
      <c r="BH2334">
        <v>7250</v>
      </c>
      <c r="BI2334">
        <v>1</v>
      </c>
      <c r="BJ2334">
        <v>0</v>
      </c>
      <c r="BK2334">
        <v>0</v>
      </c>
      <c r="BL2334">
        <v>0</v>
      </c>
      <c r="BO2334">
        <v>0</v>
      </c>
      <c r="BP2334">
        <v>0</v>
      </c>
      <c r="BW2334" t="str">
        <f t="shared" si="1286"/>
        <v>14:54:47.719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285</v>
      </c>
      <c r="CR2334">
        <v>0</v>
      </c>
      <c r="CW2334">
        <v>8864744</v>
      </c>
      <c r="CY2334">
        <v>0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25">
      <c r="A2335" t="str">
        <f t="shared" si="1283"/>
        <v>06/05/2020 14:54:42.066</v>
      </c>
      <c r="C2335" t="str">
        <f t="shared" si="1254"/>
        <v>FFDFD3C0</v>
      </c>
      <c r="D2335" t="s">
        <v>151</v>
      </c>
      <c r="E2335">
        <v>9</v>
      </c>
      <c r="H2335">
        <v>226</v>
      </c>
      <c r="I2335" t="s">
        <v>152</v>
      </c>
      <c r="J2335" t="s">
        <v>150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284"/>
        <v>14:54:47.719</v>
      </c>
      <c r="T2335" t="str">
        <f t="shared" si="1285"/>
        <v>14:54:47.419</v>
      </c>
      <c r="U2335" t="str">
        <f t="shared" si="1270"/>
        <v>ACC530</v>
      </c>
      <c r="V2335">
        <v>0</v>
      </c>
      <c r="W2335">
        <v>0</v>
      </c>
      <c r="X2335">
        <v>1</v>
      </c>
      <c r="Z2335">
        <v>0</v>
      </c>
      <c r="AA2335">
        <v>9</v>
      </c>
      <c r="AB2335">
        <v>3</v>
      </c>
      <c r="AC2335">
        <v>0</v>
      </c>
      <c r="AD2335">
        <v>9</v>
      </c>
      <c r="AE2335">
        <v>0</v>
      </c>
      <c r="AF2335">
        <v>3</v>
      </c>
      <c r="AG2335">
        <v>1</v>
      </c>
      <c r="AH2335">
        <v>0</v>
      </c>
      <c r="AI2335" t="s">
        <v>836</v>
      </c>
      <c r="AJ2335">
        <v>34.155571000000002</v>
      </c>
      <c r="AK2335" t="s">
        <v>837</v>
      </c>
      <c r="AL2335">
        <v>-117.044864</v>
      </c>
      <c r="AM2335">
        <v>100</v>
      </c>
      <c r="AN2335">
        <v>7300</v>
      </c>
      <c r="AO2335" t="s">
        <v>118</v>
      </c>
      <c r="AP2335">
        <v>-64</v>
      </c>
      <c r="AQ2335">
        <v>-95</v>
      </c>
      <c r="AR2335">
        <v>-768</v>
      </c>
      <c r="AZ2335">
        <v>1200</v>
      </c>
      <c r="BA2335">
        <v>1</v>
      </c>
      <c r="BB2335" t="str">
        <f t="shared" si="1273"/>
        <v xml:space="preserve">N9217B  </v>
      </c>
      <c r="BC2335">
        <v>1</v>
      </c>
      <c r="BE2335">
        <v>0</v>
      </c>
      <c r="BF2335">
        <v>0</v>
      </c>
      <c r="BG2335">
        <v>0</v>
      </c>
      <c r="BH2335">
        <v>7250</v>
      </c>
      <c r="BI2335">
        <v>1</v>
      </c>
      <c r="BJ2335">
        <v>0</v>
      </c>
      <c r="BK2335">
        <v>0</v>
      </c>
      <c r="BL2335">
        <v>0</v>
      </c>
      <c r="BO2335">
        <v>0</v>
      </c>
      <c r="BP2335">
        <v>0</v>
      </c>
      <c r="BW2335" t="str">
        <f t="shared" si="1286"/>
        <v>14:54:47.719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285</v>
      </c>
      <c r="CR2335">
        <v>0</v>
      </c>
      <c r="CW2335">
        <v>8864744</v>
      </c>
      <c r="CY2335">
        <v>0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25">
      <c r="A2336" t="str">
        <f t="shared" si="1283"/>
        <v>06/05/2020 14:54:42.066</v>
      </c>
      <c r="C2336" t="str">
        <f t="shared" si="1254"/>
        <v>FFDFD3C0</v>
      </c>
      <c r="D2336" t="s">
        <v>134</v>
      </c>
      <c r="E2336">
        <v>7</v>
      </c>
      <c r="F2336">
        <v>2007</v>
      </c>
      <c r="G2336" t="s">
        <v>135</v>
      </c>
      <c r="J2336" t="s">
        <v>136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284"/>
        <v>14:54:47.719</v>
      </c>
      <c r="T2336" t="str">
        <f t="shared" si="1285"/>
        <v>14:54:47.419</v>
      </c>
      <c r="U2336" t="str">
        <f t="shared" si="1270"/>
        <v>ACC530</v>
      </c>
      <c r="V2336">
        <v>0</v>
      </c>
      <c r="W2336">
        <v>0</v>
      </c>
      <c r="X2336">
        <v>1</v>
      </c>
      <c r="Z2336">
        <v>0</v>
      </c>
      <c r="AA2336">
        <v>9</v>
      </c>
      <c r="AB2336">
        <v>3</v>
      </c>
      <c r="AC2336">
        <v>0</v>
      </c>
      <c r="AD2336">
        <v>9</v>
      </c>
      <c r="AE2336">
        <v>0</v>
      </c>
      <c r="AF2336">
        <v>3</v>
      </c>
      <c r="AG2336">
        <v>1</v>
      </c>
      <c r="AH2336">
        <v>0</v>
      </c>
      <c r="AI2336" t="s">
        <v>836</v>
      </c>
      <c r="AJ2336">
        <v>34.155571000000002</v>
      </c>
      <c r="AK2336" t="s">
        <v>837</v>
      </c>
      <c r="AL2336">
        <v>-117.044864</v>
      </c>
      <c r="AM2336">
        <v>100</v>
      </c>
      <c r="AN2336">
        <v>7300</v>
      </c>
      <c r="AO2336" t="s">
        <v>118</v>
      </c>
      <c r="AP2336">
        <v>-64</v>
      </c>
      <c r="AQ2336">
        <v>-95</v>
      </c>
      <c r="AR2336">
        <v>-768</v>
      </c>
      <c r="AZ2336">
        <v>1200</v>
      </c>
      <c r="BA2336">
        <v>1</v>
      </c>
      <c r="BB2336" t="str">
        <f t="shared" si="1273"/>
        <v xml:space="preserve">N9217B  </v>
      </c>
      <c r="BC2336">
        <v>1</v>
      </c>
      <c r="BE2336">
        <v>0</v>
      </c>
      <c r="BF2336">
        <v>0</v>
      </c>
      <c r="BG2336">
        <v>0</v>
      </c>
      <c r="BH2336">
        <v>7250</v>
      </c>
      <c r="BI2336">
        <v>1</v>
      </c>
      <c r="BJ2336">
        <v>0</v>
      </c>
      <c r="BK2336">
        <v>0</v>
      </c>
      <c r="BL2336">
        <v>0</v>
      </c>
      <c r="BO2336">
        <v>0</v>
      </c>
      <c r="BP2336">
        <v>0</v>
      </c>
      <c r="BW2336" t="str">
        <f t="shared" si="1286"/>
        <v>14:54:47.719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285</v>
      </c>
      <c r="CR2336">
        <v>0</v>
      </c>
      <c r="CW2336">
        <v>8864744</v>
      </c>
      <c r="CY2336">
        <v>0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25">
      <c r="A2337" t="str">
        <f t="shared" ref="A2337:A2343" si="1287">"06/05/2020 14:54:42.985"</f>
        <v>06/05/2020 14:54:42.985</v>
      </c>
      <c r="C2337" t="str">
        <f t="shared" si="1254"/>
        <v>FFDFD3C0</v>
      </c>
      <c r="D2337" t="s">
        <v>148</v>
      </c>
      <c r="E2337">
        <v>11</v>
      </c>
      <c r="H2337">
        <v>53</v>
      </c>
      <c r="I2337" t="s">
        <v>364</v>
      </c>
      <c r="J2337" t="s">
        <v>150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ref="S2337:S2343" si="1288">"14:54:48.648"</f>
        <v>14:54:48.648</v>
      </c>
      <c r="T2337" t="str">
        <f t="shared" ref="T2337:T2343" si="1289">"14:54:48.548"</f>
        <v>14:54:48.548</v>
      </c>
      <c r="U2337" t="str">
        <f t="shared" si="1270"/>
        <v>ACC530</v>
      </c>
      <c r="V2337">
        <v>0</v>
      </c>
      <c r="W2337">
        <v>0</v>
      </c>
      <c r="X2337">
        <v>1</v>
      </c>
      <c r="Z2337">
        <v>0</v>
      </c>
      <c r="AA2337">
        <v>9</v>
      </c>
      <c r="AB2337">
        <v>3</v>
      </c>
      <c r="AC2337">
        <v>0</v>
      </c>
      <c r="AD2337">
        <v>9</v>
      </c>
      <c r="AE2337">
        <v>0</v>
      </c>
      <c r="AF2337">
        <v>3</v>
      </c>
      <c r="AG2337">
        <v>1</v>
      </c>
      <c r="AH2337">
        <v>0</v>
      </c>
      <c r="AI2337" t="s">
        <v>838</v>
      </c>
      <c r="AJ2337">
        <v>34.155185000000003</v>
      </c>
      <c r="AK2337" t="s">
        <v>839</v>
      </c>
      <c r="AL2337">
        <v>-117.045186</v>
      </c>
      <c r="AM2337">
        <v>100</v>
      </c>
      <c r="AN2337">
        <v>7300</v>
      </c>
      <c r="AO2337" t="s">
        <v>118</v>
      </c>
      <c r="AP2337">
        <v>-62</v>
      </c>
      <c r="AQ2337">
        <v>-96</v>
      </c>
      <c r="AR2337">
        <v>-704</v>
      </c>
      <c r="AZ2337">
        <v>1200</v>
      </c>
      <c r="BA2337">
        <v>1</v>
      </c>
      <c r="BB2337" t="str">
        <f t="shared" si="1273"/>
        <v xml:space="preserve">N9217B  </v>
      </c>
      <c r="BC2337">
        <v>1</v>
      </c>
      <c r="BE2337">
        <v>0</v>
      </c>
      <c r="BF2337">
        <v>0</v>
      </c>
      <c r="BG2337">
        <v>0</v>
      </c>
      <c r="BH2337">
        <v>7250</v>
      </c>
      <c r="BI2337">
        <v>1</v>
      </c>
      <c r="BJ2337">
        <v>0</v>
      </c>
      <c r="BK2337">
        <v>0</v>
      </c>
      <c r="BL2337">
        <v>0</v>
      </c>
      <c r="BO2337">
        <v>0</v>
      </c>
      <c r="BP2337">
        <v>0</v>
      </c>
      <c r="BW2337" t="str">
        <f t="shared" ref="BW2337:BW2343" si="1290">"14:54:48.649"</f>
        <v>14:54:48.649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285</v>
      </c>
      <c r="CR2337">
        <v>0</v>
      </c>
      <c r="CW2337">
        <v>8864827</v>
      </c>
      <c r="CY2337">
        <v>0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25">
      <c r="A2338" t="str">
        <f t="shared" si="1287"/>
        <v>06/05/2020 14:54:42.985</v>
      </c>
      <c r="C2338" t="str">
        <f t="shared" si="1254"/>
        <v>FFDFD3C0</v>
      </c>
      <c r="D2338" t="s">
        <v>141</v>
      </c>
      <c r="E2338">
        <v>20</v>
      </c>
      <c r="F2338">
        <v>1020</v>
      </c>
      <c r="G2338" t="s">
        <v>114</v>
      </c>
      <c r="J2338" t="s">
        <v>142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288"/>
        <v>14:54:48.648</v>
      </c>
      <c r="T2338" t="str">
        <f t="shared" si="1289"/>
        <v>14:54:48.548</v>
      </c>
      <c r="U2338" t="str">
        <f t="shared" si="1270"/>
        <v>ACC530</v>
      </c>
      <c r="V2338">
        <v>0</v>
      </c>
      <c r="W2338">
        <v>0</v>
      </c>
      <c r="X2338">
        <v>1</v>
      </c>
      <c r="Z2338">
        <v>0</v>
      </c>
      <c r="AA2338">
        <v>9</v>
      </c>
      <c r="AB2338">
        <v>3</v>
      </c>
      <c r="AC2338">
        <v>0</v>
      </c>
      <c r="AD2338">
        <v>9</v>
      </c>
      <c r="AE2338">
        <v>0</v>
      </c>
      <c r="AF2338">
        <v>3</v>
      </c>
      <c r="AG2338">
        <v>1</v>
      </c>
      <c r="AH2338">
        <v>0</v>
      </c>
      <c r="AI2338" t="s">
        <v>838</v>
      </c>
      <c r="AJ2338">
        <v>34.155185000000003</v>
      </c>
      <c r="AK2338" t="s">
        <v>839</v>
      </c>
      <c r="AL2338">
        <v>-117.045186</v>
      </c>
      <c r="AM2338">
        <v>100</v>
      </c>
      <c r="AN2338">
        <v>7300</v>
      </c>
      <c r="AO2338" t="s">
        <v>118</v>
      </c>
      <c r="AP2338">
        <v>-62</v>
      </c>
      <c r="AQ2338">
        <v>-96</v>
      </c>
      <c r="AR2338">
        <v>-704</v>
      </c>
      <c r="AZ2338">
        <v>1200</v>
      </c>
      <c r="BA2338">
        <v>1</v>
      </c>
      <c r="BB2338" t="str">
        <f t="shared" si="1273"/>
        <v xml:space="preserve">N9217B  </v>
      </c>
      <c r="BC2338">
        <v>1</v>
      </c>
      <c r="BE2338">
        <v>0</v>
      </c>
      <c r="BF2338">
        <v>0</v>
      </c>
      <c r="BG2338">
        <v>0</v>
      </c>
      <c r="BH2338">
        <v>7250</v>
      </c>
      <c r="BI2338">
        <v>1</v>
      </c>
      <c r="BJ2338">
        <v>0</v>
      </c>
      <c r="BK2338">
        <v>0</v>
      </c>
      <c r="BL2338">
        <v>0</v>
      </c>
      <c r="BO2338">
        <v>0</v>
      </c>
      <c r="BP2338">
        <v>0</v>
      </c>
      <c r="BW2338" t="str">
        <f t="shared" si="1290"/>
        <v>14:54:48.649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285</v>
      </c>
      <c r="CR2338">
        <v>0</v>
      </c>
      <c r="CW2338">
        <v>8864827</v>
      </c>
      <c r="CY2338">
        <v>0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25">
      <c r="A2339" t="str">
        <f t="shared" si="1287"/>
        <v>06/05/2020 14:54:42.985</v>
      </c>
      <c r="C2339" t="str">
        <f t="shared" ref="C2339:C2402" si="1291">"FFDFD3C0"</f>
        <v>FFDFD3C0</v>
      </c>
      <c r="D2339" t="s">
        <v>151</v>
      </c>
      <c r="E2339">
        <v>8</v>
      </c>
      <c r="H2339">
        <v>225</v>
      </c>
      <c r="I2339" t="s">
        <v>353</v>
      </c>
      <c r="J2339" t="s">
        <v>150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288"/>
        <v>14:54:48.648</v>
      </c>
      <c r="T2339" t="str">
        <f t="shared" si="1289"/>
        <v>14:54:48.548</v>
      </c>
      <c r="U2339" t="str">
        <f t="shared" si="1270"/>
        <v>ACC530</v>
      </c>
      <c r="V2339">
        <v>0</v>
      </c>
      <c r="W2339">
        <v>0</v>
      </c>
      <c r="X2339">
        <v>1</v>
      </c>
      <c r="Z2339">
        <v>0</v>
      </c>
      <c r="AA2339">
        <v>9</v>
      </c>
      <c r="AB2339">
        <v>3</v>
      </c>
      <c r="AC2339">
        <v>0</v>
      </c>
      <c r="AD2339">
        <v>9</v>
      </c>
      <c r="AE2339">
        <v>0</v>
      </c>
      <c r="AF2339">
        <v>3</v>
      </c>
      <c r="AG2339">
        <v>1</v>
      </c>
      <c r="AH2339">
        <v>0</v>
      </c>
      <c r="AI2339" t="s">
        <v>838</v>
      </c>
      <c r="AJ2339">
        <v>34.155185000000003</v>
      </c>
      <c r="AK2339" t="s">
        <v>839</v>
      </c>
      <c r="AL2339">
        <v>-117.045186</v>
      </c>
      <c r="AM2339">
        <v>100</v>
      </c>
      <c r="AN2339">
        <v>7300</v>
      </c>
      <c r="AO2339" t="s">
        <v>118</v>
      </c>
      <c r="AP2339">
        <v>-62</v>
      </c>
      <c r="AQ2339">
        <v>-96</v>
      </c>
      <c r="AR2339">
        <v>-704</v>
      </c>
      <c r="AZ2339">
        <v>1200</v>
      </c>
      <c r="BA2339">
        <v>1</v>
      </c>
      <c r="BB2339" t="str">
        <f t="shared" si="1273"/>
        <v xml:space="preserve">N9217B  </v>
      </c>
      <c r="BC2339">
        <v>1</v>
      </c>
      <c r="BE2339">
        <v>0</v>
      </c>
      <c r="BF2339">
        <v>0</v>
      </c>
      <c r="BG2339">
        <v>0</v>
      </c>
      <c r="BH2339">
        <v>7250</v>
      </c>
      <c r="BI2339">
        <v>1</v>
      </c>
      <c r="BJ2339">
        <v>0</v>
      </c>
      <c r="BK2339">
        <v>0</v>
      </c>
      <c r="BL2339">
        <v>0</v>
      </c>
      <c r="BO2339">
        <v>0</v>
      </c>
      <c r="BP2339">
        <v>0</v>
      </c>
      <c r="BW2339" t="str">
        <f t="shared" si="1290"/>
        <v>14:54:48.649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285</v>
      </c>
      <c r="CR2339">
        <v>0</v>
      </c>
      <c r="CW2339">
        <v>8864827</v>
      </c>
      <c r="CY2339">
        <v>0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25">
      <c r="A2340" t="str">
        <f t="shared" si="1287"/>
        <v>06/05/2020 14:54:42.985</v>
      </c>
      <c r="C2340" t="str">
        <f t="shared" si="1291"/>
        <v>FFDFD3C0</v>
      </c>
      <c r="D2340" t="s">
        <v>113</v>
      </c>
      <c r="E2340">
        <v>3</v>
      </c>
      <c r="H2340">
        <v>166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288"/>
        <v>14:54:48.648</v>
      </c>
      <c r="T2340" t="str">
        <f t="shared" si="1289"/>
        <v>14:54:48.548</v>
      </c>
      <c r="U2340" t="str">
        <f t="shared" si="1270"/>
        <v>ACC530</v>
      </c>
      <c r="V2340">
        <v>0</v>
      </c>
      <c r="W2340">
        <v>0</v>
      </c>
      <c r="X2340">
        <v>1</v>
      </c>
      <c r="Z2340">
        <v>0</v>
      </c>
      <c r="AA2340">
        <v>9</v>
      </c>
      <c r="AB2340">
        <v>3</v>
      </c>
      <c r="AC2340">
        <v>0</v>
      </c>
      <c r="AD2340">
        <v>9</v>
      </c>
      <c r="AE2340">
        <v>0</v>
      </c>
      <c r="AF2340">
        <v>3</v>
      </c>
      <c r="AG2340">
        <v>1</v>
      </c>
      <c r="AH2340">
        <v>0</v>
      </c>
      <c r="AI2340" t="s">
        <v>838</v>
      </c>
      <c r="AJ2340">
        <v>34.155185000000003</v>
      </c>
      <c r="AK2340" t="s">
        <v>839</v>
      </c>
      <c r="AL2340">
        <v>-117.045186</v>
      </c>
      <c r="AM2340">
        <v>100</v>
      </c>
      <c r="AN2340">
        <v>7300</v>
      </c>
      <c r="AO2340" t="s">
        <v>118</v>
      </c>
      <c r="AP2340">
        <v>-62</v>
      </c>
      <c r="AQ2340">
        <v>-96</v>
      </c>
      <c r="AR2340">
        <v>-704</v>
      </c>
      <c r="AZ2340">
        <v>1200</v>
      </c>
      <c r="BA2340">
        <v>1</v>
      </c>
      <c r="BB2340" t="str">
        <f t="shared" si="1273"/>
        <v xml:space="preserve">N9217B  </v>
      </c>
      <c r="BC2340">
        <v>1</v>
      </c>
      <c r="BE2340">
        <v>0</v>
      </c>
      <c r="BF2340">
        <v>0</v>
      </c>
      <c r="BG2340">
        <v>0</v>
      </c>
      <c r="BH2340">
        <v>7250</v>
      </c>
      <c r="BI2340">
        <v>1</v>
      </c>
      <c r="BJ2340">
        <v>0</v>
      </c>
      <c r="BK2340">
        <v>0</v>
      </c>
      <c r="BL2340">
        <v>0</v>
      </c>
      <c r="BO2340">
        <v>0</v>
      </c>
      <c r="BP2340">
        <v>0</v>
      </c>
      <c r="BW2340" t="str">
        <f t="shared" si="1290"/>
        <v>14:54:48.649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285</v>
      </c>
      <c r="CR2340">
        <v>0</v>
      </c>
      <c r="CW2340">
        <v>8864827</v>
      </c>
      <c r="CY2340">
        <v>0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25">
      <c r="A2341" t="str">
        <f t="shared" si="1287"/>
        <v>06/05/2020 14:54:42.985</v>
      </c>
      <c r="C2341" t="str">
        <f t="shared" si="1291"/>
        <v>FFDFD3C0</v>
      </c>
      <c r="D2341" t="s">
        <v>134</v>
      </c>
      <c r="E2341">
        <v>7</v>
      </c>
      <c r="F2341">
        <v>2007</v>
      </c>
      <c r="G2341" t="s">
        <v>135</v>
      </c>
      <c r="J2341" t="s">
        <v>136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288"/>
        <v>14:54:48.648</v>
      </c>
      <c r="T2341" t="str">
        <f t="shared" si="1289"/>
        <v>14:54:48.548</v>
      </c>
      <c r="U2341" t="str">
        <f t="shared" si="1270"/>
        <v>ACC530</v>
      </c>
      <c r="V2341">
        <v>0</v>
      </c>
      <c r="W2341">
        <v>0</v>
      </c>
      <c r="X2341">
        <v>1</v>
      </c>
      <c r="Z2341">
        <v>0</v>
      </c>
      <c r="AA2341">
        <v>9</v>
      </c>
      <c r="AB2341">
        <v>3</v>
      </c>
      <c r="AC2341">
        <v>0</v>
      </c>
      <c r="AD2341">
        <v>9</v>
      </c>
      <c r="AE2341">
        <v>0</v>
      </c>
      <c r="AF2341">
        <v>3</v>
      </c>
      <c r="AG2341">
        <v>1</v>
      </c>
      <c r="AH2341">
        <v>0</v>
      </c>
      <c r="AI2341" t="s">
        <v>838</v>
      </c>
      <c r="AJ2341">
        <v>34.155185000000003</v>
      </c>
      <c r="AK2341" t="s">
        <v>839</v>
      </c>
      <c r="AL2341">
        <v>-117.045186</v>
      </c>
      <c r="AM2341">
        <v>100</v>
      </c>
      <c r="AN2341">
        <v>7300</v>
      </c>
      <c r="AO2341" t="s">
        <v>118</v>
      </c>
      <c r="AP2341">
        <v>-62</v>
      </c>
      <c r="AQ2341">
        <v>-96</v>
      </c>
      <c r="AR2341">
        <v>-704</v>
      </c>
      <c r="AZ2341">
        <v>1200</v>
      </c>
      <c r="BA2341">
        <v>1</v>
      </c>
      <c r="BB2341" t="str">
        <f t="shared" si="1273"/>
        <v xml:space="preserve">N9217B  </v>
      </c>
      <c r="BC2341">
        <v>1</v>
      </c>
      <c r="BE2341">
        <v>0</v>
      </c>
      <c r="BF2341">
        <v>0</v>
      </c>
      <c r="BG2341">
        <v>0</v>
      </c>
      <c r="BH2341">
        <v>7250</v>
      </c>
      <c r="BI2341">
        <v>1</v>
      </c>
      <c r="BJ2341">
        <v>0</v>
      </c>
      <c r="BK2341">
        <v>0</v>
      </c>
      <c r="BL2341">
        <v>0</v>
      </c>
      <c r="BO2341">
        <v>0</v>
      </c>
      <c r="BP2341">
        <v>0</v>
      </c>
      <c r="BW2341" t="str">
        <f t="shared" si="1290"/>
        <v>14:54:48.649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285</v>
      </c>
      <c r="CR2341">
        <v>0</v>
      </c>
      <c r="CW2341">
        <v>8864827</v>
      </c>
      <c r="CY2341">
        <v>0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25">
      <c r="A2342" t="str">
        <f t="shared" si="1287"/>
        <v>06/05/2020 14:54:42.985</v>
      </c>
      <c r="C2342" t="str">
        <f t="shared" si="1291"/>
        <v>FFDFD3C0</v>
      </c>
      <c r="D2342" t="s">
        <v>151</v>
      </c>
      <c r="E2342">
        <v>9</v>
      </c>
      <c r="H2342">
        <v>226</v>
      </c>
      <c r="I2342" t="s">
        <v>152</v>
      </c>
      <c r="J2342" t="s">
        <v>150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288"/>
        <v>14:54:48.648</v>
      </c>
      <c r="T2342" t="str">
        <f t="shared" si="1289"/>
        <v>14:54:48.548</v>
      </c>
      <c r="U2342" t="str">
        <f t="shared" si="1270"/>
        <v>ACC530</v>
      </c>
      <c r="V2342">
        <v>0</v>
      </c>
      <c r="W2342">
        <v>0</v>
      </c>
      <c r="X2342">
        <v>1</v>
      </c>
      <c r="Z2342">
        <v>0</v>
      </c>
      <c r="AA2342">
        <v>9</v>
      </c>
      <c r="AB2342">
        <v>3</v>
      </c>
      <c r="AC2342">
        <v>0</v>
      </c>
      <c r="AD2342">
        <v>9</v>
      </c>
      <c r="AE2342">
        <v>0</v>
      </c>
      <c r="AF2342">
        <v>3</v>
      </c>
      <c r="AG2342">
        <v>1</v>
      </c>
      <c r="AH2342">
        <v>0</v>
      </c>
      <c r="AI2342" t="s">
        <v>838</v>
      </c>
      <c r="AJ2342">
        <v>34.155185000000003</v>
      </c>
      <c r="AK2342" t="s">
        <v>839</v>
      </c>
      <c r="AL2342">
        <v>-117.045186</v>
      </c>
      <c r="AM2342">
        <v>100</v>
      </c>
      <c r="AN2342">
        <v>7300</v>
      </c>
      <c r="AO2342" t="s">
        <v>118</v>
      </c>
      <c r="AP2342">
        <v>-62</v>
      </c>
      <c r="AQ2342">
        <v>-96</v>
      </c>
      <c r="AR2342">
        <v>-704</v>
      </c>
      <c r="AZ2342">
        <v>1200</v>
      </c>
      <c r="BA2342">
        <v>1</v>
      </c>
      <c r="BB2342" t="str">
        <f t="shared" si="1273"/>
        <v xml:space="preserve">N9217B  </v>
      </c>
      <c r="BC2342">
        <v>1</v>
      </c>
      <c r="BE2342">
        <v>0</v>
      </c>
      <c r="BF2342">
        <v>0</v>
      </c>
      <c r="BG2342">
        <v>0</v>
      </c>
      <c r="BH2342">
        <v>7250</v>
      </c>
      <c r="BI2342">
        <v>1</v>
      </c>
      <c r="BJ2342">
        <v>0</v>
      </c>
      <c r="BK2342">
        <v>0</v>
      </c>
      <c r="BL2342">
        <v>0</v>
      </c>
      <c r="BO2342">
        <v>0</v>
      </c>
      <c r="BP2342">
        <v>0</v>
      </c>
      <c r="BW2342" t="str">
        <f t="shared" si="1290"/>
        <v>14:54:48.649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285</v>
      </c>
      <c r="CR2342">
        <v>0</v>
      </c>
      <c r="CW2342">
        <v>8864827</v>
      </c>
      <c r="CY2342">
        <v>0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25">
      <c r="A2343" t="str">
        <f t="shared" si="1287"/>
        <v>06/05/2020 14:54:42.985</v>
      </c>
      <c r="C2343" t="str">
        <f t="shared" si="1291"/>
        <v>FFDFD3C0</v>
      </c>
      <c r="D2343" t="s">
        <v>148</v>
      </c>
      <c r="E2343">
        <v>8</v>
      </c>
      <c r="H2343">
        <v>50</v>
      </c>
      <c r="I2343" t="s">
        <v>149</v>
      </c>
      <c r="J2343" t="s">
        <v>150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288"/>
        <v>14:54:48.648</v>
      </c>
      <c r="T2343" t="str">
        <f t="shared" si="1289"/>
        <v>14:54:48.548</v>
      </c>
      <c r="U2343" t="str">
        <f t="shared" si="1270"/>
        <v>ACC530</v>
      </c>
      <c r="V2343">
        <v>0</v>
      </c>
      <c r="W2343">
        <v>0</v>
      </c>
      <c r="X2343">
        <v>1</v>
      </c>
      <c r="Z2343">
        <v>0</v>
      </c>
      <c r="AA2343">
        <v>9</v>
      </c>
      <c r="AB2343">
        <v>3</v>
      </c>
      <c r="AC2343">
        <v>0</v>
      </c>
      <c r="AD2343">
        <v>9</v>
      </c>
      <c r="AE2343">
        <v>0</v>
      </c>
      <c r="AF2343">
        <v>3</v>
      </c>
      <c r="AG2343">
        <v>1</v>
      </c>
      <c r="AH2343">
        <v>0</v>
      </c>
      <c r="AI2343" t="s">
        <v>838</v>
      </c>
      <c r="AJ2343">
        <v>34.155185000000003</v>
      </c>
      <c r="AK2343" t="s">
        <v>839</v>
      </c>
      <c r="AL2343">
        <v>-117.045186</v>
      </c>
      <c r="AM2343">
        <v>100</v>
      </c>
      <c r="AN2343">
        <v>7300</v>
      </c>
      <c r="AO2343" t="s">
        <v>118</v>
      </c>
      <c r="AP2343">
        <v>-62</v>
      </c>
      <c r="AQ2343">
        <v>-96</v>
      </c>
      <c r="AR2343">
        <v>-704</v>
      </c>
      <c r="AZ2343">
        <v>1200</v>
      </c>
      <c r="BA2343">
        <v>1</v>
      </c>
      <c r="BB2343" t="str">
        <f t="shared" si="1273"/>
        <v xml:space="preserve">N9217B  </v>
      </c>
      <c r="BC2343">
        <v>1</v>
      </c>
      <c r="BE2343">
        <v>0</v>
      </c>
      <c r="BF2343">
        <v>0</v>
      </c>
      <c r="BG2343">
        <v>0</v>
      </c>
      <c r="BH2343">
        <v>7250</v>
      </c>
      <c r="BI2343">
        <v>1</v>
      </c>
      <c r="BJ2343">
        <v>0</v>
      </c>
      <c r="BK2343">
        <v>0</v>
      </c>
      <c r="BL2343">
        <v>0</v>
      </c>
      <c r="BO2343">
        <v>0</v>
      </c>
      <c r="BP2343">
        <v>0</v>
      </c>
      <c r="BW2343" t="str">
        <f t="shared" si="1290"/>
        <v>14:54:48.649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285</v>
      </c>
      <c r="CR2343">
        <v>0</v>
      </c>
      <c r="CW2343">
        <v>8864827</v>
      </c>
      <c r="CY2343">
        <v>0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25">
      <c r="A2344" t="str">
        <f t="shared" ref="A2344:A2350" si="1292">"06/05/2020 14:54:43.998"</f>
        <v>06/05/2020 14:54:43.998</v>
      </c>
      <c r="C2344" t="str">
        <f t="shared" si="1291"/>
        <v>FFDFD3C0</v>
      </c>
      <c r="D2344" t="s">
        <v>148</v>
      </c>
      <c r="E2344">
        <v>11</v>
      </c>
      <c r="H2344">
        <v>53</v>
      </c>
      <c r="I2344" t="s">
        <v>364</v>
      </c>
      <c r="J2344" t="s">
        <v>150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ref="S2344:T2350" si="1293">"14:54:49.664"</f>
        <v>14:54:49.664</v>
      </c>
      <c r="T2344" t="str">
        <f t="shared" si="1293"/>
        <v>14:54:49.664</v>
      </c>
      <c r="U2344" t="str">
        <f t="shared" si="1270"/>
        <v>ACC530</v>
      </c>
      <c r="V2344">
        <v>0</v>
      </c>
      <c r="W2344">
        <v>0</v>
      </c>
      <c r="X2344">
        <v>1</v>
      </c>
      <c r="Z2344">
        <v>0</v>
      </c>
      <c r="AA2344">
        <v>9</v>
      </c>
      <c r="AB2344">
        <v>3</v>
      </c>
      <c r="AC2344">
        <v>0</v>
      </c>
      <c r="AD2344">
        <v>9</v>
      </c>
      <c r="AE2344">
        <v>0</v>
      </c>
      <c r="AF2344">
        <v>3</v>
      </c>
      <c r="AG2344">
        <v>1</v>
      </c>
      <c r="AH2344">
        <v>0</v>
      </c>
      <c r="AI2344" t="s">
        <v>840</v>
      </c>
      <c r="AJ2344">
        <v>34.154713000000001</v>
      </c>
      <c r="AK2344" t="s">
        <v>841</v>
      </c>
      <c r="AL2344">
        <v>-117.045529</v>
      </c>
      <c r="AM2344">
        <v>100</v>
      </c>
      <c r="AN2344">
        <v>7300</v>
      </c>
      <c r="AO2344" t="s">
        <v>118</v>
      </c>
      <c r="AP2344">
        <v>-60</v>
      </c>
      <c r="AQ2344">
        <v>-96</v>
      </c>
      <c r="AR2344">
        <v>-704</v>
      </c>
      <c r="AZ2344">
        <v>1200</v>
      </c>
      <c r="BA2344">
        <v>1</v>
      </c>
      <c r="BB2344" t="str">
        <f t="shared" si="1273"/>
        <v xml:space="preserve">N9217B  </v>
      </c>
      <c r="BC2344">
        <v>1</v>
      </c>
      <c r="BE2344">
        <v>0</v>
      </c>
      <c r="BF2344">
        <v>0</v>
      </c>
      <c r="BG2344">
        <v>0</v>
      </c>
      <c r="BH2344">
        <v>7225</v>
      </c>
      <c r="BI2344">
        <v>1</v>
      </c>
      <c r="BJ2344">
        <v>0</v>
      </c>
      <c r="BK2344">
        <v>0</v>
      </c>
      <c r="BL2344">
        <v>0</v>
      </c>
      <c r="BO2344">
        <v>0</v>
      </c>
      <c r="BP2344">
        <v>0</v>
      </c>
      <c r="BW2344" t="str">
        <f t="shared" ref="BW2344:BW2350" si="1294">"14:54:49.669"</f>
        <v>14:54:49.669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285</v>
      </c>
      <c r="CR2344">
        <v>0</v>
      </c>
      <c r="CW2344">
        <v>8864919</v>
      </c>
      <c r="CY2344">
        <v>0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25">
      <c r="A2345" t="str">
        <f t="shared" si="1292"/>
        <v>06/05/2020 14:54:43.998</v>
      </c>
      <c r="C2345" t="str">
        <f t="shared" si="1291"/>
        <v>FFDFD3C0</v>
      </c>
      <c r="D2345" t="s">
        <v>151</v>
      </c>
      <c r="E2345">
        <v>8</v>
      </c>
      <c r="H2345">
        <v>225</v>
      </c>
      <c r="I2345" t="s">
        <v>353</v>
      </c>
      <c r="J2345" t="s">
        <v>150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293"/>
        <v>14:54:49.664</v>
      </c>
      <c r="T2345" t="str">
        <f t="shared" si="1293"/>
        <v>14:54:49.664</v>
      </c>
      <c r="U2345" t="str">
        <f t="shared" si="1270"/>
        <v>ACC530</v>
      </c>
      <c r="V2345">
        <v>0</v>
      </c>
      <c r="W2345">
        <v>0</v>
      </c>
      <c r="X2345">
        <v>1</v>
      </c>
      <c r="Z2345">
        <v>0</v>
      </c>
      <c r="AA2345">
        <v>9</v>
      </c>
      <c r="AB2345">
        <v>3</v>
      </c>
      <c r="AC2345">
        <v>0</v>
      </c>
      <c r="AD2345">
        <v>9</v>
      </c>
      <c r="AE2345">
        <v>0</v>
      </c>
      <c r="AF2345">
        <v>3</v>
      </c>
      <c r="AG2345">
        <v>1</v>
      </c>
      <c r="AH2345">
        <v>0</v>
      </c>
      <c r="AI2345" t="s">
        <v>840</v>
      </c>
      <c r="AJ2345">
        <v>34.154713000000001</v>
      </c>
      <c r="AK2345" t="s">
        <v>841</v>
      </c>
      <c r="AL2345">
        <v>-117.045529</v>
      </c>
      <c r="AM2345">
        <v>100</v>
      </c>
      <c r="AN2345">
        <v>7300</v>
      </c>
      <c r="AO2345" t="s">
        <v>118</v>
      </c>
      <c r="AP2345">
        <v>-60</v>
      </c>
      <c r="AQ2345">
        <v>-96</v>
      </c>
      <c r="AR2345">
        <v>-704</v>
      </c>
      <c r="AZ2345">
        <v>1200</v>
      </c>
      <c r="BA2345">
        <v>1</v>
      </c>
      <c r="BB2345" t="str">
        <f t="shared" si="1273"/>
        <v xml:space="preserve">N9217B  </v>
      </c>
      <c r="BC2345">
        <v>1</v>
      </c>
      <c r="BE2345">
        <v>0</v>
      </c>
      <c r="BF2345">
        <v>0</v>
      </c>
      <c r="BG2345">
        <v>0</v>
      </c>
      <c r="BH2345">
        <v>7225</v>
      </c>
      <c r="BI2345">
        <v>1</v>
      </c>
      <c r="BJ2345">
        <v>0</v>
      </c>
      <c r="BK2345">
        <v>0</v>
      </c>
      <c r="BL2345">
        <v>0</v>
      </c>
      <c r="BO2345">
        <v>0</v>
      </c>
      <c r="BP2345">
        <v>0</v>
      </c>
      <c r="BW2345" t="str">
        <f t="shared" si="1294"/>
        <v>14:54:49.669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285</v>
      </c>
      <c r="CR2345">
        <v>0</v>
      </c>
      <c r="CW2345">
        <v>8864919</v>
      </c>
      <c r="CY2345">
        <v>0</v>
      </c>
      <c r="CZ2345">
        <v>0</v>
      </c>
      <c r="DA2345">
        <v>1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25">
      <c r="A2346" t="str">
        <f t="shared" si="1292"/>
        <v>06/05/2020 14:54:43.998</v>
      </c>
      <c r="C2346" t="str">
        <f t="shared" si="1291"/>
        <v>FFDFD3C0</v>
      </c>
      <c r="D2346" t="s">
        <v>113</v>
      </c>
      <c r="E2346">
        <v>3</v>
      </c>
      <c r="H2346">
        <v>166</v>
      </c>
      <c r="I2346" t="s">
        <v>114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293"/>
        <v>14:54:49.664</v>
      </c>
      <c r="T2346" t="str">
        <f t="shared" si="1293"/>
        <v>14:54:49.664</v>
      </c>
      <c r="U2346" t="str">
        <f t="shared" si="1270"/>
        <v>ACC530</v>
      </c>
      <c r="V2346">
        <v>0</v>
      </c>
      <c r="W2346">
        <v>0</v>
      </c>
      <c r="X2346">
        <v>1</v>
      </c>
      <c r="Z2346">
        <v>0</v>
      </c>
      <c r="AA2346">
        <v>9</v>
      </c>
      <c r="AB2346">
        <v>3</v>
      </c>
      <c r="AC2346">
        <v>0</v>
      </c>
      <c r="AD2346">
        <v>9</v>
      </c>
      <c r="AE2346">
        <v>0</v>
      </c>
      <c r="AF2346">
        <v>3</v>
      </c>
      <c r="AG2346">
        <v>1</v>
      </c>
      <c r="AH2346">
        <v>0</v>
      </c>
      <c r="AI2346" t="s">
        <v>840</v>
      </c>
      <c r="AJ2346">
        <v>34.154713000000001</v>
      </c>
      <c r="AK2346" t="s">
        <v>841</v>
      </c>
      <c r="AL2346">
        <v>-117.045529</v>
      </c>
      <c r="AM2346">
        <v>100</v>
      </c>
      <c r="AN2346">
        <v>7300</v>
      </c>
      <c r="AO2346" t="s">
        <v>118</v>
      </c>
      <c r="AP2346">
        <v>-60</v>
      </c>
      <c r="AQ2346">
        <v>-96</v>
      </c>
      <c r="AR2346">
        <v>-704</v>
      </c>
      <c r="AZ2346">
        <v>1200</v>
      </c>
      <c r="BA2346">
        <v>1</v>
      </c>
      <c r="BB2346" t="str">
        <f t="shared" si="1273"/>
        <v xml:space="preserve">N9217B  </v>
      </c>
      <c r="BC2346">
        <v>1</v>
      </c>
      <c r="BE2346">
        <v>0</v>
      </c>
      <c r="BF2346">
        <v>0</v>
      </c>
      <c r="BG2346">
        <v>0</v>
      </c>
      <c r="BH2346">
        <v>7225</v>
      </c>
      <c r="BI2346">
        <v>1</v>
      </c>
      <c r="BJ2346">
        <v>0</v>
      </c>
      <c r="BK2346">
        <v>0</v>
      </c>
      <c r="BL2346">
        <v>0</v>
      </c>
      <c r="BO2346">
        <v>0</v>
      </c>
      <c r="BP2346">
        <v>0</v>
      </c>
      <c r="BW2346" t="str">
        <f t="shared" si="1294"/>
        <v>14:54:49.669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285</v>
      </c>
      <c r="CR2346">
        <v>0</v>
      </c>
      <c r="CW2346">
        <v>8864919</v>
      </c>
      <c r="CY2346">
        <v>0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25">
      <c r="A2347" t="str">
        <f t="shared" si="1292"/>
        <v>06/05/2020 14:54:43.998</v>
      </c>
      <c r="C2347" t="str">
        <f t="shared" si="1291"/>
        <v>FFDFD3C0</v>
      </c>
      <c r="D2347" t="s">
        <v>134</v>
      </c>
      <c r="E2347">
        <v>7</v>
      </c>
      <c r="F2347">
        <v>2007</v>
      </c>
      <c r="G2347" t="s">
        <v>135</v>
      </c>
      <c r="J2347" t="s">
        <v>136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293"/>
        <v>14:54:49.664</v>
      </c>
      <c r="T2347" t="str">
        <f t="shared" si="1293"/>
        <v>14:54:49.664</v>
      </c>
      <c r="U2347" t="str">
        <f t="shared" si="1270"/>
        <v>ACC530</v>
      </c>
      <c r="V2347">
        <v>0</v>
      </c>
      <c r="W2347">
        <v>0</v>
      </c>
      <c r="X2347">
        <v>1</v>
      </c>
      <c r="Z2347">
        <v>0</v>
      </c>
      <c r="AA2347">
        <v>9</v>
      </c>
      <c r="AB2347">
        <v>3</v>
      </c>
      <c r="AC2347">
        <v>0</v>
      </c>
      <c r="AD2347">
        <v>9</v>
      </c>
      <c r="AE2347">
        <v>0</v>
      </c>
      <c r="AF2347">
        <v>3</v>
      </c>
      <c r="AG2347">
        <v>1</v>
      </c>
      <c r="AH2347">
        <v>0</v>
      </c>
      <c r="AI2347" t="s">
        <v>840</v>
      </c>
      <c r="AJ2347">
        <v>34.154713000000001</v>
      </c>
      <c r="AK2347" t="s">
        <v>841</v>
      </c>
      <c r="AL2347">
        <v>-117.045529</v>
      </c>
      <c r="AM2347">
        <v>100</v>
      </c>
      <c r="AN2347">
        <v>7300</v>
      </c>
      <c r="AO2347" t="s">
        <v>118</v>
      </c>
      <c r="AP2347">
        <v>-60</v>
      </c>
      <c r="AQ2347">
        <v>-96</v>
      </c>
      <c r="AR2347">
        <v>-704</v>
      </c>
      <c r="AZ2347">
        <v>1200</v>
      </c>
      <c r="BA2347">
        <v>1</v>
      </c>
      <c r="BB2347" t="str">
        <f t="shared" si="1273"/>
        <v xml:space="preserve">N9217B  </v>
      </c>
      <c r="BC2347">
        <v>1</v>
      </c>
      <c r="BE2347">
        <v>0</v>
      </c>
      <c r="BF2347">
        <v>0</v>
      </c>
      <c r="BG2347">
        <v>0</v>
      </c>
      <c r="BH2347">
        <v>7225</v>
      </c>
      <c r="BI2347">
        <v>1</v>
      </c>
      <c r="BJ2347">
        <v>0</v>
      </c>
      <c r="BK2347">
        <v>0</v>
      </c>
      <c r="BL2347">
        <v>0</v>
      </c>
      <c r="BO2347">
        <v>0</v>
      </c>
      <c r="BP2347">
        <v>0</v>
      </c>
      <c r="BW2347" t="str">
        <f t="shared" si="1294"/>
        <v>14:54:49.669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285</v>
      </c>
      <c r="CR2347">
        <v>0</v>
      </c>
      <c r="CW2347">
        <v>8864919</v>
      </c>
      <c r="CY2347">
        <v>0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25">
      <c r="A2348" t="str">
        <f t="shared" si="1292"/>
        <v>06/05/2020 14:54:43.998</v>
      </c>
      <c r="C2348" t="str">
        <f t="shared" si="1291"/>
        <v>FFDFD3C0</v>
      </c>
      <c r="D2348" t="s">
        <v>151</v>
      </c>
      <c r="E2348">
        <v>9</v>
      </c>
      <c r="H2348">
        <v>226</v>
      </c>
      <c r="I2348" t="s">
        <v>152</v>
      </c>
      <c r="J2348" t="s">
        <v>150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293"/>
        <v>14:54:49.664</v>
      </c>
      <c r="T2348" t="str">
        <f t="shared" si="1293"/>
        <v>14:54:49.664</v>
      </c>
      <c r="U2348" t="str">
        <f t="shared" si="1270"/>
        <v>ACC530</v>
      </c>
      <c r="V2348">
        <v>0</v>
      </c>
      <c r="W2348">
        <v>0</v>
      </c>
      <c r="X2348">
        <v>1</v>
      </c>
      <c r="Z2348">
        <v>0</v>
      </c>
      <c r="AA2348">
        <v>9</v>
      </c>
      <c r="AB2348">
        <v>3</v>
      </c>
      <c r="AC2348">
        <v>0</v>
      </c>
      <c r="AD2348">
        <v>9</v>
      </c>
      <c r="AE2348">
        <v>0</v>
      </c>
      <c r="AF2348">
        <v>3</v>
      </c>
      <c r="AG2348">
        <v>1</v>
      </c>
      <c r="AH2348">
        <v>0</v>
      </c>
      <c r="AI2348" t="s">
        <v>840</v>
      </c>
      <c r="AJ2348">
        <v>34.154713000000001</v>
      </c>
      <c r="AK2348" t="s">
        <v>841</v>
      </c>
      <c r="AL2348">
        <v>-117.045529</v>
      </c>
      <c r="AM2348">
        <v>100</v>
      </c>
      <c r="AN2348">
        <v>7300</v>
      </c>
      <c r="AO2348" t="s">
        <v>118</v>
      </c>
      <c r="AP2348">
        <v>-60</v>
      </c>
      <c r="AQ2348">
        <v>-96</v>
      </c>
      <c r="AR2348">
        <v>-704</v>
      </c>
      <c r="AZ2348">
        <v>1200</v>
      </c>
      <c r="BA2348">
        <v>1</v>
      </c>
      <c r="BB2348" t="str">
        <f t="shared" si="1273"/>
        <v xml:space="preserve">N9217B  </v>
      </c>
      <c r="BC2348">
        <v>1</v>
      </c>
      <c r="BE2348">
        <v>0</v>
      </c>
      <c r="BF2348">
        <v>0</v>
      </c>
      <c r="BG2348">
        <v>0</v>
      </c>
      <c r="BH2348">
        <v>7225</v>
      </c>
      <c r="BI2348">
        <v>1</v>
      </c>
      <c r="BJ2348">
        <v>0</v>
      </c>
      <c r="BK2348">
        <v>0</v>
      </c>
      <c r="BL2348">
        <v>0</v>
      </c>
      <c r="BO2348">
        <v>0</v>
      </c>
      <c r="BP2348">
        <v>0</v>
      </c>
      <c r="BW2348" t="str">
        <f t="shared" si="1294"/>
        <v>14:54:49.669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285</v>
      </c>
      <c r="CR2348">
        <v>0</v>
      </c>
      <c r="CW2348">
        <v>8864919</v>
      </c>
      <c r="CY2348">
        <v>0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25">
      <c r="A2349" t="str">
        <f t="shared" si="1292"/>
        <v>06/05/2020 14:54:43.998</v>
      </c>
      <c r="C2349" t="str">
        <f t="shared" si="1291"/>
        <v>FFDFD3C0</v>
      </c>
      <c r="D2349" t="s">
        <v>148</v>
      </c>
      <c r="E2349">
        <v>8</v>
      </c>
      <c r="H2349">
        <v>50</v>
      </c>
      <c r="I2349" t="s">
        <v>149</v>
      </c>
      <c r="J2349" t="s">
        <v>150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93"/>
        <v>14:54:49.664</v>
      </c>
      <c r="T2349" t="str">
        <f t="shared" si="1293"/>
        <v>14:54:49.664</v>
      </c>
      <c r="U2349" t="str">
        <f t="shared" si="1270"/>
        <v>ACC530</v>
      </c>
      <c r="V2349">
        <v>0</v>
      </c>
      <c r="W2349">
        <v>0</v>
      </c>
      <c r="X2349">
        <v>1</v>
      </c>
      <c r="Z2349">
        <v>0</v>
      </c>
      <c r="AA2349">
        <v>9</v>
      </c>
      <c r="AB2349">
        <v>3</v>
      </c>
      <c r="AC2349">
        <v>0</v>
      </c>
      <c r="AD2349">
        <v>9</v>
      </c>
      <c r="AE2349">
        <v>0</v>
      </c>
      <c r="AF2349">
        <v>3</v>
      </c>
      <c r="AG2349">
        <v>1</v>
      </c>
      <c r="AH2349">
        <v>0</v>
      </c>
      <c r="AI2349" t="s">
        <v>840</v>
      </c>
      <c r="AJ2349">
        <v>34.154713000000001</v>
      </c>
      <c r="AK2349" t="s">
        <v>841</v>
      </c>
      <c r="AL2349">
        <v>-117.045529</v>
      </c>
      <c r="AM2349">
        <v>100</v>
      </c>
      <c r="AN2349">
        <v>7300</v>
      </c>
      <c r="AO2349" t="s">
        <v>118</v>
      </c>
      <c r="AP2349">
        <v>-60</v>
      </c>
      <c r="AQ2349">
        <v>-96</v>
      </c>
      <c r="AR2349">
        <v>-704</v>
      </c>
      <c r="AZ2349">
        <v>1200</v>
      </c>
      <c r="BA2349">
        <v>1</v>
      </c>
      <c r="BB2349" t="str">
        <f t="shared" si="1273"/>
        <v xml:space="preserve">N9217B  </v>
      </c>
      <c r="BC2349">
        <v>1</v>
      </c>
      <c r="BE2349">
        <v>0</v>
      </c>
      <c r="BF2349">
        <v>0</v>
      </c>
      <c r="BG2349">
        <v>0</v>
      </c>
      <c r="BH2349">
        <v>7225</v>
      </c>
      <c r="BI2349">
        <v>1</v>
      </c>
      <c r="BJ2349">
        <v>0</v>
      </c>
      <c r="BK2349">
        <v>0</v>
      </c>
      <c r="BL2349">
        <v>0</v>
      </c>
      <c r="BO2349">
        <v>0</v>
      </c>
      <c r="BP2349">
        <v>0</v>
      </c>
      <c r="BW2349" t="str">
        <f t="shared" si="1294"/>
        <v>14:54:49.669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285</v>
      </c>
      <c r="CR2349">
        <v>0</v>
      </c>
      <c r="CW2349">
        <v>8864919</v>
      </c>
      <c r="CY2349">
        <v>0</v>
      </c>
      <c r="CZ2349">
        <v>0</v>
      </c>
      <c r="DA2349">
        <v>1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25">
      <c r="A2350" t="str">
        <f t="shared" si="1292"/>
        <v>06/05/2020 14:54:43.998</v>
      </c>
      <c r="C2350" t="str">
        <f t="shared" si="1291"/>
        <v>FFDFD3C0</v>
      </c>
      <c r="D2350" t="s">
        <v>141</v>
      </c>
      <c r="E2350">
        <v>20</v>
      </c>
      <c r="F2350">
        <v>1020</v>
      </c>
      <c r="G2350" t="s">
        <v>114</v>
      </c>
      <c r="J2350" t="s">
        <v>142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93"/>
        <v>14:54:49.664</v>
      </c>
      <c r="T2350" t="str">
        <f t="shared" si="1293"/>
        <v>14:54:49.664</v>
      </c>
      <c r="U2350" t="str">
        <f t="shared" si="1270"/>
        <v>ACC530</v>
      </c>
      <c r="V2350">
        <v>0</v>
      </c>
      <c r="W2350">
        <v>0</v>
      </c>
      <c r="X2350">
        <v>1</v>
      </c>
      <c r="Z2350">
        <v>0</v>
      </c>
      <c r="AA2350">
        <v>9</v>
      </c>
      <c r="AB2350">
        <v>3</v>
      </c>
      <c r="AC2350">
        <v>0</v>
      </c>
      <c r="AD2350">
        <v>9</v>
      </c>
      <c r="AE2350">
        <v>0</v>
      </c>
      <c r="AF2350">
        <v>3</v>
      </c>
      <c r="AG2350">
        <v>1</v>
      </c>
      <c r="AH2350">
        <v>0</v>
      </c>
      <c r="AI2350" t="s">
        <v>840</v>
      </c>
      <c r="AJ2350">
        <v>34.154713000000001</v>
      </c>
      <c r="AK2350" t="s">
        <v>841</v>
      </c>
      <c r="AL2350">
        <v>-117.045529</v>
      </c>
      <c r="AM2350">
        <v>100</v>
      </c>
      <c r="AN2350">
        <v>7300</v>
      </c>
      <c r="AO2350" t="s">
        <v>118</v>
      </c>
      <c r="AP2350">
        <v>-60</v>
      </c>
      <c r="AQ2350">
        <v>-96</v>
      </c>
      <c r="AR2350">
        <v>-704</v>
      </c>
      <c r="AZ2350">
        <v>1200</v>
      </c>
      <c r="BA2350">
        <v>1</v>
      </c>
      <c r="BB2350" t="str">
        <f t="shared" si="1273"/>
        <v xml:space="preserve">N9217B  </v>
      </c>
      <c r="BC2350">
        <v>1</v>
      </c>
      <c r="BE2350">
        <v>0</v>
      </c>
      <c r="BF2350">
        <v>0</v>
      </c>
      <c r="BG2350">
        <v>0</v>
      </c>
      <c r="BH2350">
        <v>7225</v>
      </c>
      <c r="BI2350">
        <v>1</v>
      </c>
      <c r="BJ2350">
        <v>0</v>
      </c>
      <c r="BK2350">
        <v>0</v>
      </c>
      <c r="BL2350">
        <v>0</v>
      </c>
      <c r="BO2350">
        <v>0</v>
      </c>
      <c r="BP2350">
        <v>0</v>
      </c>
      <c r="BW2350" t="str">
        <f t="shared" si="1294"/>
        <v>14:54:49.669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285</v>
      </c>
      <c r="CR2350">
        <v>0</v>
      </c>
      <c r="CW2350">
        <v>8864919</v>
      </c>
      <c r="CY2350">
        <v>0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25">
      <c r="A2351" t="str">
        <f t="shared" ref="A2351:A2357" si="1295">"06/05/2020 14:54:45.045"</f>
        <v>06/05/2020 14:54:45.045</v>
      </c>
      <c r="C2351" t="str">
        <f t="shared" si="1291"/>
        <v>FFDFD3C0</v>
      </c>
      <c r="D2351" t="s">
        <v>151</v>
      </c>
      <c r="E2351">
        <v>9</v>
      </c>
      <c r="H2351">
        <v>226</v>
      </c>
      <c r="I2351" t="s">
        <v>152</v>
      </c>
      <c r="J2351" t="s">
        <v>150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ref="S2351:S2357" si="1296">"14:54:50.703"</f>
        <v>14:54:50.703</v>
      </c>
      <c r="T2351" t="str">
        <f t="shared" ref="T2351:T2357" si="1297">"14:54:50.603"</f>
        <v>14:54:50.603</v>
      </c>
      <c r="U2351" t="str">
        <f t="shared" si="1270"/>
        <v>ACC530</v>
      </c>
      <c r="V2351">
        <v>0</v>
      </c>
      <c r="W2351">
        <v>0</v>
      </c>
      <c r="X2351">
        <v>1</v>
      </c>
      <c r="Z2351">
        <v>0</v>
      </c>
      <c r="AA2351">
        <v>9</v>
      </c>
      <c r="AB2351">
        <v>3</v>
      </c>
      <c r="AC2351">
        <v>0</v>
      </c>
      <c r="AD2351">
        <v>9</v>
      </c>
      <c r="AE2351">
        <v>0</v>
      </c>
      <c r="AF2351">
        <v>3</v>
      </c>
      <c r="AG2351">
        <v>1</v>
      </c>
      <c r="AH2351">
        <v>0</v>
      </c>
      <c r="AI2351" t="s">
        <v>842</v>
      </c>
      <c r="AJ2351">
        <v>34.154263</v>
      </c>
      <c r="AK2351" t="s">
        <v>843</v>
      </c>
      <c r="AL2351">
        <v>-117.045872</v>
      </c>
      <c r="AM2351">
        <v>100</v>
      </c>
      <c r="AN2351">
        <v>7300</v>
      </c>
      <c r="AO2351" t="s">
        <v>118</v>
      </c>
      <c r="AP2351">
        <v>-59</v>
      </c>
      <c r="AQ2351">
        <v>-96</v>
      </c>
      <c r="AR2351">
        <v>-640</v>
      </c>
      <c r="AZ2351">
        <v>1200</v>
      </c>
      <c r="BA2351">
        <v>1</v>
      </c>
      <c r="BB2351" t="str">
        <f t="shared" si="1273"/>
        <v xml:space="preserve">N9217B  </v>
      </c>
      <c r="BC2351">
        <v>1</v>
      </c>
      <c r="BE2351">
        <v>0</v>
      </c>
      <c r="BF2351">
        <v>0</v>
      </c>
      <c r="BG2351">
        <v>0</v>
      </c>
      <c r="BH2351">
        <v>7225</v>
      </c>
      <c r="BI2351">
        <v>1</v>
      </c>
      <c r="BJ2351">
        <v>0</v>
      </c>
      <c r="BK2351">
        <v>0</v>
      </c>
      <c r="BL2351">
        <v>0</v>
      </c>
      <c r="BO2351">
        <v>0</v>
      </c>
      <c r="BP2351">
        <v>0</v>
      </c>
      <c r="BW2351" t="str">
        <f t="shared" ref="BW2351:BW2357" si="1298">"14:54:50.704"</f>
        <v>14:54:50.704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285</v>
      </c>
      <c r="CR2351">
        <v>0</v>
      </c>
      <c r="CW2351">
        <v>8865010</v>
      </c>
      <c r="CY2351">
        <v>0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25">
      <c r="A2352" t="str">
        <f t="shared" si="1295"/>
        <v>06/05/2020 14:54:45.045</v>
      </c>
      <c r="C2352" t="str">
        <f t="shared" si="1291"/>
        <v>FFDFD3C0</v>
      </c>
      <c r="D2352" t="s">
        <v>148</v>
      </c>
      <c r="E2352">
        <v>8</v>
      </c>
      <c r="H2352">
        <v>50</v>
      </c>
      <c r="I2352" t="s">
        <v>149</v>
      </c>
      <c r="J2352" t="s">
        <v>150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296"/>
        <v>14:54:50.703</v>
      </c>
      <c r="T2352" t="str">
        <f t="shared" si="1297"/>
        <v>14:54:50.603</v>
      </c>
      <c r="U2352" t="str">
        <f t="shared" si="1270"/>
        <v>ACC530</v>
      </c>
      <c r="V2352">
        <v>0</v>
      </c>
      <c r="W2352">
        <v>0</v>
      </c>
      <c r="X2352">
        <v>1</v>
      </c>
      <c r="Z2352">
        <v>0</v>
      </c>
      <c r="AA2352">
        <v>9</v>
      </c>
      <c r="AB2352">
        <v>3</v>
      </c>
      <c r="AC2352">
        <v>0</v>
      </c>
      <c r="AD2352">
        <v>9</v>
      </c>
      <c r="AE2352">
        <v>0</v>
      </c>
      <c r="AF2352">
        <v>3</v>
      </c>
      <c r="AG2352">
        <v>1</v>
      </c>
      <c r="AH2352">
        <v>0</v>
      </c>
      <c r="AI2352" t="s">
        <v>842</v>
      </c>
      <c r="AJ2352">
        <v>34.154263</v>
      </c>
      <c r="AK2352" t="s">
        <v>843</v>
      </c>
      <c r="AL2352">
        <v>-117.045872</v>
      </c>
      <c r="AM2352">
        <v>100</v>
      </c>
      <c r="AN2352">
        <v>7300</v>
      </c>
      <c r="AO2352" t="s">
        <v>118</v>
      </c>
      <c r="AP2352">
        <v>-59</v>
      </c>
      <c r="AQ2352">
        <v>-96</v>
      </c>
      <c r="AR2352">
        <v>-640</v>
      </c>
      <c r="AZ2352">
        <v>1200</v>
      </c>
      <c r="BA2352">
        <v>1</v>
      </c>
      <c r="BB2352" t="str">
        <f t="shared" si="1273"/>
        <v xml:space="preserve">N9217B  </v>
      </c>
      <c r="BC2352">
        <v>1</v>
      </c>
      <c r="BE2352">
        <v>0</v>
      </c>
      <c r="BF2352">
        <v>0</v>
      </c>
      <c r="BG2352">
        <v>0</v>
      </c>
      <c r="BH2352">
        <v>7225</v>
      </c>
      <c r="BI2352">
        <v>1</v>
      </c>
      <c r="BJ2352">
        <v>0</v>
      </c>
      <c r="BK2352">
        <v>0</v>
      </c>
      <c r="BL2352">
        <v>0</v>
      </c>
      <c r="BO2352">
        <v>0</v>
      </c>
      <c r="BP2352">
        <v>0</v>
      </c>
      <c r="BW2352" t="str">
        <f t="shared" si="1298"/>
        <v>14:54:50.704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285</v>
      </c>
      <c r="CR2352">
        <v>0</v>
      </c>
      <c r="CW2352">
        <v>8865010</v>
      </c>
      <c r="CY2352">
        <v>0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25">
      <c r="A2353" t="str">
        <f t="shared" si="1295"/>
        <v>06/05/2020 14:54:45.045</v>
      </c>
      <c r="C2353" t="str">
        <f t="shared" si="1291"/>
        <v>FFDFD3C0</v>
      </c>
      <c r="D2353" t="s">
        <v>141</v>
      </c>
      <c r="E2353">
        <v>20</v>
      </c>
      <c r="F2353">
        <v>1020</v>
      </c>
      <c r="G2353" t="s">
        <v>114</v>
      </c>
      <c r="J2353" t="s">
        <v>142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296"/>
        <v>14:54:50.703</v>
      </c>
      <c r="T2353" t="str">
        <f t="shared" si="1297"/>
        <v>14:54:50.603</v>
      </c>
      <c r="U2353" t="str">
        <f t="shared" si="1270"/>
        <v>ACC530</v>
      </c>
      <c r="V2353">
        <v>0</v>
      </c>
      <c r="W2353">
        <v>0</v>
      </c>
      <c r="X2353">
        <v>1</v>
      </c>
      <c r="Z2353">
        <v>0</v>
      </c>
      <c r="AA2353">
        <v>9</v>
      </c>
      <c r="AB2353">
        <v>3</v>
      </c>
      <c r="AC2353">
        <v>0</v>
      </c>
      <c r="AD2353">
        <v>9</v>
      </c>
      <c r="AE2353">
        <v>0</v>
      </c>
      <c r="AF2353">
        <v>3</v>
      </c>
      <c r="AG2353">
        <v>1</v>
      </c>
      <c r="AH2353">
        <v>0</v>
      </c>
      <c r="AI2353" t="s">
        <v>842</v>
      </c>
      <c r="AJ2353">
        <v>34.154263</v>
      </c>
      <c r="AK2353" t="s">
        <v>843</v>
      </c>
      <c r="AL2353">
        <v>-117.045872</v>
      </c>
      <c r="AM2353">
        <v>100</v>
      </c>
      <c r="AN2353">
        <v>7300</v>
      </c>
      <c r="AO2353" t="s">
        <v>118</v>
      </c>
      <c r="AP2353">
        <v>-59</v>
      </c>
      <c r="AQ2353">
        <v>-96</v>
      </c>
      <c r="AR2353">
        <v>-640</v>
      </c>
      <c r="AZ2353">
        <v>1200</v>
      </c>
      <c r="BA2353">
        <v>1</v>
      </c>
      <c r="BB2353" t="str">
        <f t="shared" si="1273"/>
        <v xml:space="preserve">N9217B  </v>
      </c>
      <c r="BC2353">
        <v>1</v>
      </c>
      <c r="BE2353">
        <v>0</v>
      </c>
      <c r="BF2353">
        <v>0</v>
      </c>
      <c r="BG2353">
        <v>0</v>
      </c>
      <c r="BH2353">
        <v>7225</v>
      </c>
      <c r="BI2353">
        <v>1</v>
      </c>
      <c r="BJ2353">
        <v>0</v>
      </c>
      <c r="BK2353">
        <v>0</v>
      </c>
      <c r="BL2353">
        <v>0</v>
      </c>
      <c r="BO2353">
        <v>0</v>
      </c>
      <c r="BP2353">
        <v>0</v>
      </c>
      <c r="BW2353" t="str">
        <f t="shared" si="1298"/>
        <v>14:54:50.704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285</v>
      </c>
      <c r="CR2353">
        <v>0</v>
      </c>
      <c r="CW2353">
        <v>8865010</v>
      </c>
      <c r="CY2353">
        <v>0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25">
      <c r="A2354" t="str">
        <f t="shared" si="1295"/>
        <v>06/05/2020 14:54:45.045</v>
      </c>
      <c r="C2354" t="str">
        <f t="shared" si="1291"/>
        <v>FFDFD3C0</v>
      </c>
      <c r="D2354" t="s">
        <v>148</v>
      </c>
      <c r="E2354">
        <v>11</v>
      </c>
      <c r="H2354">
        <v>53</v>
      </c>
      <c r="I2354" t="s">
        <v>364</v>
      </c>
      <c r="J2354" t="s">
        <v>150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296"/>
        <v>14:54:50.703</v>
      </c>
      <c r="T2354" t="str">
        <f t="shared" si="1297"/>
        <v>14:54:50.603</v>
      </c>
      <c r="U2354" t="str">
        <f t="shared" si="1270"/>
        <v>ACC530</v>
      </c>
      <c r="V2354">
        <v>0</v>
      </c>
      <c r="W2354">
        <v>0</v>
      </c>
      <c r="X2354">
        <v>1</v>
      </c>
      <c r="Z2354">
        <v>0</v>
      </c>
      <c r="AA2354">
        <v>9</v>
      </c>
      <c r="AB2354">
        <v>3</v>
      </c>
      <c r="AC2354">
        <v>0</v>
      </c>
      <c r="AD2354">
        <v>9</v>
      </c>
      <c r="AE2354">
        <v>0</v>
      </c>
      <c r="AF2354">
        <v>3</v>
      </c>
      <c r="AG2354">
        <v>1</v>
      </c>
      <c r="AH2354">
        <v>0</v>
      </c>
      <c r="AI2354" t="s">
        <v>842</v>
      </c>
      <c r="AJ2354">
        <v>34.154263</v>
      </c>
      <c r="AK2354" t="s">
        <v>843</v>
      </c>
      <c r="AL2354">
        <v>-117.045872</v>
      </c>
      <c r="AM2354">
        <v>100</v>
      </c>
      <c r="AN2354">
        <v>7300</v>
      </c>
      <c r="AO2354" t="s">
        <v>118</v>
      </c>
      <c r="AP2354">
        <v>-59</v>
      </c>
      <c r="AQ2354">
        <v>-96</v>
      </c>
      <c r="AR2354">
        <v>-640</v>
      </c>
      <c r="AZ2354">
        <v>1200</v>
      </c>
      <c r="BA2354">
        <v>1</v>
      </c>
      <c r="BB2354" t="str">
        <f t="shared" si="1273"/>
        <v xml:space="preserve">N9217B  </v>
      </c>
      <c r="BC2354">
        <v>1</v>
      </c>
      <c r="BE2354">
        <v>0</v>
      </c>
      <c r="BF2354">
        <v>0</v>
      </c>
      <c r="BG2354">
        <v>0</v>
      </c>
      <c r="BH2354">
        <v>7225</v>
      </c>
      <c r="BI2354">
        <v>1</v>
      </c>
      <c r="BJ2354">
        <v>0</v>
      </c>
      <c r="BK2354">
        <v>0</v>
      </c>
      <c r="BL2354">
        <v>0</v>
      </c>
      <c r="BO2354">
        <v>0</v>
      </c>
      <c r="BP2354">
        <v>0</v>
      </c>
      <c r="BW2354" t="str">
        <f t="shared" si="1298"/>
        <v>14:54:50.704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285</v>
      </c>
      <c r="CR2354">
        <v>0</v>
      </c>
      <c r="CW2354">
        <v>8865010</v>
      </c>
      <c r="CY2354">
        <v>0</v>
      </c>
      <c r="CZ2354">
        <v>0</v>
      </c>
      <c r="DA2354">
        <v>1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25">
      <c r="A2355" t="str">
        <f t="shared" si="1295"/>
        <v>06/05/2020 14:54:45.045</v>
      </c>
      <c r="C2355" t="str">
        <f t="shared" si="1291"/>
        <v>FFDFD3C0</v>
      </c>
      <c r="D2355" t="s">
        <v>151</v>
      </c>
      <c r="E2355">
        <v>8</v>
      </c>
      <c r="H2355">
        <v>225</v>
      </c>
      <c r="I2355" t="s">
        <v>353</v>
      </c>
      <c r="J2355" t="s">
        <v>150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296"/>
        <v>14:54:50.703</v>
      </c>
      <c r="T2355" t="str">
        <f t="shared" si="1297"/>
        <v>14:54:50.603</v>
      </c>
      <c r="U2355" t="str">
        <f t="shared" si="1270"/>
        <v>ACC530</v>
      </c>
      <c r="V2355">
        <v>0</v>
      </c>
      <c r="W2355">
        <v>0</v>
      </c>
      <c r="X2355">
        <v>1</v>
      </c>
      <c r="Z2355">
        <v>0</v>
      </c>
      <c r="AA2355">
        <v>9</v>
      </c>
      <c r="AB2355">
        <v>3</v>
      </c>
      <c r="AC2355">
        <v>0</v>
      </c>
      <c r="AD2355">
        <v>9</v>
      </c>
      <c r="AE2355">
        <v>0</v>
      </c>
      <c r="AF2355">
        <v>3</v>
      </c>
      <c r="AG2355">
        <v>1</v>
      </c>
      <c r="AH2355">
        <v>0</v>
      </c>
      <c r="AI2355" t="s">
        <v>842</v>
      </c>
      <c r="AJ2355">
        <v>34.154263</v>
      </c>
      <c r="AK2355" t="s">
        <v>843</v>
      </c>
      <c r="AL2355">
        <v>-117.045872</v>
      </c>
      <c r="AM2355">
        <v>100</v>
      </c>
      <c r="AN2355">
        <v>7300</v>
      </c>
      <c r="AO2355" t="s">
        <v>118</v>
      </c>
      <c r="AP2355">
        <v>-59</v>
      </c>
      <c r="AQ2355">
        <v>-96</v>
      </c>
      <c r="AR2355">
        <v>-640</v>
      </c>
      <c r="AZ2355">
        <v>1200</v>
      </c>
      <c r="BA2355">
        <v>1</v>
      </c>
      <c r="BB2355" t="str">
        <f t="shared" si="1273"/>
        <v xml:space="preserve">N9217B  </v>
      </c>
      <c r="BC2355">
        <v>1</v>
      </c>
      <c r="BE2355">
        <v>0</v>
      </c>
      <c r="BF2355">
        <v>0</v>
      </c>
      <c r="BG2355">
        <v>0</v>
      </c>
      <c r="BH2355">
        <v>7225</v>
      </c>
      <c r="BI2355">
        <v>1</v>
      </c>
      <c r="BJ2355">
        <v>0</v>
      </c>
      <c r="BK2355">
        <v>0</v>
      </c>
      <c r="BL2355">
        <v>0</v>
      </c>
      <c r="BO2355">
        <v>0</v>
      </c>
      <c r="BP2355">
        <v>0</v>
      </c>
      <c r="BW2355" t="str">
        <f t="shared" si="1298"/>
        <v>14:54:50.704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285</v>
      </c>
      <c r="CR2355">
        <v>0</v>
      </c>
      <c r="CW2355">
        <v>8865010</v>
      </c>
      <c r="CY2355">
        <v>0</v>
      </c>
      <c r="CZ2355">
        <v>0</v>
      </c>
      <c r="DA2355">
        <v>1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25">
      <c r="A2356" t="str">
        <f t="shared" si="1295"/>
        <v>06/05/2020 14:54:45.045</v>
      </c>
      <c r="C2356" t="str">
        <f t="shared" si="1291"/>
        <v>FFDFD3C0</v>
      </c>
      <c r="D2356" t="s">
        <v>113</v>
      </c>
      <c r="E2356">
        <v>3</v>
      </c>
      <c r="H2356">
        <v>166</v>
      </c>
      <c r="I2356" t="s">
        <v>114</v>
      </c>
      <c r="J2356" t="s">
        <v>115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96"/>
        <v>14:54:50.703</v>
      </c>
      <c r="T2356" t="str">
        <f t="shared" si="1297"/>
        <v>14:54:50.603</v>
      </c>
      <c r="U2356" t="str">
        <f t="shared" si="1270"/>
        <v>ACC530</v>
      </c>
      <c r="V2356">
        <v>0</v>
      </c>
      <c r="W2356">
        <v>0</v>
      </c>
      <c r="X2356">
        <v>1</v>
      </c>
      <c r="Z2356">
        <v>0</v>
      </c>
      <c r="AA2356">
        <v>9</v>
      </c>
      <c r="AB2356">
        <v>3</v>
      </c>
      <c r="AC2356">
        <v>0</v>
      </c>
      <c r="AD2356">
        <v>9</v>
      </c>
      <c r="AE2356">
        <v>0</v>
      </c>
      <c r="AF2356">
        <v>3</v>
      </c>
      <c r="AG2356">
        <v>1</v>
      </c>
      <c r="AH2356">
        <v>0</v>
      </c>
      <c r="AI2356" t="s">
        <v>842</v>
      </c>
      <c r="AJ2356">
        <v>34.154263</v>
      </c>
      <c r="AK2356" t="s">
        <v>843</v>
      </c>
      <c r="AL2356">
        <v>-117.045872</v>
      </c>
      <c r="AM2356">
        <v>100</v>
      </c>
      <c r="AN2356">
        <v>7300</v>
      </c>
      <c r="AO2356" t="s">
        <v>118</v>
      </c>
      <c r="AP2356">
        <v>-59</v>
      </c>
      <c r="AQ2356">
        <v>-96</v>
      </c>
      <c r="AR2356">
        <v>-640</v>
      </c>
      <c r="AZ2356">
        <v>1200</v>
      </c>
      <c r="BA2356">
        <v>1</v>
      </c>
      <c r="BB2356" t="str">
        <f t="shared" si="1273"/>
        <v xml:space="preserve">N9217B  </v>
      </c>
      <c r="BC2356">
        <v>1</v>
      </c>
      <c r="BE2356">
        <v>0</v>
      </c>
      <c r="BF2356">
        <v>0</v>
      </c>
      <c r="BG2356">
        <v>0</v>
      </c>
      <c r="BH2356">
        <v>7225</v>
      </c>
      <c r="BI2356">
        <v>1</v>
      </c>
      <c r="BJ2356">
        <v>0</v>
      </c>
      <c r="BK2356">
        <v>0</v>
      </c>
      <c r="BL2356">
        <v>0</v>
      </c>
      <c r="BO2356">
        <v>0</v>
      </c>
      <c r="BP2356">
        <v>0</v>
      </c>
      <c r="BW2356" t="str">
        <f t="shared" si="1298"/>
        <v>14:54:50.704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285</v>
      </c>
      <c r="CR2356">
        <v>0</v>
      </c>
      <c r="CW2356">
        <v>8865010</v>
      </c>
      <c r="CY2356">
        <v>0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25">
      <c r="A2357" t="str">
        <f t="shared" si="1295"/>
        <v>06/05/2020 14:54:45.045</v>
      </c>
      <c r="C2357" t="str">
        <f t="shared" si="1291"/>
        <v>FFDFD3C0</v>
      </c>
      <c r="D2357" t="s">
        <v>134</v>
      </c>
      <c r="E2357">
        <v>7</v>
      </c>
      <c r="F2357">
        <v>2007</v>
      </c>
      <c r="G2357" t="s">
        <v>135</v>
      </c>
      <c r="J2357" t="s">
        <v>136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96"/>
        <v>14:54:50.703</v>
      </c>
      <c r="T2357" t="str">
        <f t="shared" si="1297"/>
        <v>14:54:50.603</v>
      </c>
      <c r="U2357" t="str">
        <f t="shared" si="1270"/>
        <v>ACC530</v>
      </c>
      <c r="V2357">
        <v>0</v>
      </c>
      <c r="W2357">
        <v>0</v>
      </c>
      <c r="X2357">
        <v>1</v>
      </c>
      <c r="Z2357">
        <v>0</v>
      </c>
      <c r="AA2357">
        <v>9</v>
      </c>
      <c r="AB2357">
        <v>3</v>
      </c>
      <c r="AC2357">
        <v>0</v>
      </c>
      <c r="AD2357">
        <v>9</v>
      </c>
      <c r="AE2357">
        <v>0</v>
      </c>
      <c r="AF2357">
        <v>3</v>
      </c>
      <c r="AG2357">
        <v>1</v>
      </c>
      <c r="AH2357">
        <v>0</v>
      </c>
      <c r="AI2357" t="s">
        <v>842</v>
      </c>
      <c r="AJ2357">
        <v>34.154263</v>
      </c>
      <c r="AK2357" t="s">
        <v>843</v>
      </c>
      <c r="AL2357">
        <v>-117.045872</v>
      </c>
      <c r="AM2357">
        <v>100</v>
      </c>
      <c r="AN2357">
        <v>7300</v>
      </c>
      <c r="AO2357" t="s">
        <v>118</v>
      </c>
      <c r="AP2357">
        <v>-59</v>
      </c>
      <c r="AQ2357">
        <v>-96</v>
      </c>
      <c r="AR2357">
        <v>-640</v>
      </c>
      <c r="AZ2357">
        <v>1200</v>
      </c>
      <c r="BA2357">
        <v>1</v>
      </c>
      <c r="BB2357" t="str">
        <f t="shared" si="1273"/>
        <v xml:space="preserve">N9217B  </v>
      </c>
      <c r="BC2357">
        <v>1</v>
      </c>
      <c r="BE2357">
        <v>0</v>
      </c>
      <c r="BF2357">
        <v>0</v>
      </c>
      <c r="BG2357">
        <v>0</v>
      </c>
      <c r="BH2357">
        <v>7225</v>
      </c>
      <c r="BI2357">
        <v>1</v>
      </c>
      <c r="BJ2357">
        <v>0</v>
      </c>
      <c r="BK2357">
        <v>0</v>
      </c>
      <c r="BL2357">
        <v>0</v>
      </c>
      <c r="BO2357">
        <v>0</v>
      </c>
      <c r="BP2357">
        <v>0</v>
      </c>
      <c r="BW2357" t="str">
        <f t="shared" si="1298"/>
        <v>14:54:50.704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285</v>
      </c>
      <c r="CR2357">
        <v>0</v>
      </c>
      <c r="CW2357">
        <v>8865010</v>
      </c>
      <c r="CY2357">
        <v>0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25">
      <c r="A2358" t="str">
        <f t="shared" ref="A2358:A2364" si="1299">"06/05/2020 14:54:46.045"</f>
        <v>06/05/2020 14:54:46.045</v>
      </c>
      <c r="C2358" t="str">
        <f t="shared" si="1291"/>
        <v>FFDFD3C0</v>
      </c>
      <c r="D2358" t="s">
        <v>134</v>
      </c>
      <c r="E2358">
        <v>7</v>
      </c>
      <c r="F2358">
        <v>2007</v>
      </c>
      <c r="G2358" t="s">
        <v>135</v>
      </c>
      <c r="J2358" t="s">
        <v>136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ref="S2358:S2364" si="1300">"14:54:51.719"</f>
        <v>14:54:51.719</v>
      </c>
      <c r="T2358" t="str">
        <f t="shared" ref="T2358:T2364" si="1301">"14:54:51.519"</f>
        <v>14:54:51.519</v>
      </c>
      <c r="U2358" t="str">
        <f t="shared" si="1270"/>
        <v>ACC530</v>
      </c>
      <c r="V2358">
        <v>0</v>
      </c>
      <c r="W2358">
        <v>0</v>
      </c>
      <c r="X2358">
        <v>1</v>
      </c>
      <c r="Z2358">
        <v>0</v>
      </c>
      <c r="AA2358">
        <v>9</v>
      </c>
      <c r="AB2358">
        <v>3</v>
      </c>
      <c r="AC2358">
        <v>0</v>
      </c>
      <c r="AD2358">
        <v>9</v>
      </c>
      <c r="AE2358">
        <v>0</v>
      </c>
      <c r="AF2358">
        <v>3</v>
      </c>
      <c r="AG2358">
        <v>1</v>
      </c>
      <c r="AH2358">
        <v>0</v>
      </c>
      <c r="AI2358" t="s">
        <v>844</v>
      </c>
      <c r="AJ2358">
        <v>34.153790000000001</v>
      </c>
      <c r="AK2358" t="s">
        <v>845</v>
      </c>
      <c r="AL2358">
        <v>-117.04615099999999</v>
      </c>
      <c r="AM2358">
        <v>100</v>
      </c>
      <c r="AN2358">
        <v>7300</v>
      </c>
      <c r="AO2358" t="s">
        <v>118</v>
      </c>
      <c r="AP2358">
        <v>-59</v>
      </c>
      <c r="AQ2358">
        <v>-96</v>
      </c>
      <c r="AR2358">
        <v>-640</v>
      </c>
      <c r="AZ2358">
        <v>1200</v>
      </c>
      <c r="BA2358">
        <v>1</v>
      </c>
      <c r="BB2358" t="str">
        <f t="shared" si="1273"/>
        <v xml:space="preserve">N9217B  </v>
      </c>
      <c r="BC2358">
        <v>1</v>
      </c>
      <c r="BE2358">
        <v>0</v>
      </c>
      <c r="BF2358">
        <v>0</v>
      </c>
      <c r="BG2358">
        <v>0</v>
      </c>
      <c r="BH2358">
        <v>7200</v>
      </c>
      <c r="BI2358">
        <v>1</v>
      </c>
      <c r="BJ2358">
        <v>0</v>
      </c>
      <c r="BK2358">
        <v>0</v>
      </c>
      <c r="BL2358">
        <v>0</v>
      </c>
      <c r="BO2358">
        <v>0</v>
      </c>
      <c r="BP2358">
        <v>0</v>
      </c>
      <c r="BW2358" t="str">
        <f t="shared" ref="BW2358:BW2364" si="1302">"14:54:51.724"</f>
        <v>14:54:51.724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285</v>
      </c>
      <c r="CR2358">
        <v>0</v>
      </c>
      <c r="CW2358">
        <v>8865098</v>
      </c>
      <c r="CY2358">
        <v>0</v>
      </c>
      <c r="CZ2358">
        <v>0</v>
      </c>
      <c r="DA2358">
        <v>0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25">
      <c r="A2359" t="str">
        <f t="shared" si="1299"/>
        <v>06/05/2020 14:54:46.045</v>
      </c>
      <c r="C2359" t="str">
        <f t="shared" si="1291"/>
        <v>FFDFD3C0</v>
      </c>
      <c r="D2359" t="s">
        <v>151</v>
      </c>
      <c r="E2359">
        <v>9</v>
      </c>
      <c r="H2359">
        <v>226</v>
      </c>
      <c r="I2359" t="s">
        <v>152</v>
      </c>
      <c r="J2359" t="s">
        <v>150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300"/>
        <v>14:54:51.719</v>
      </c>
      <c r="T2359" t="str">
        <f t="shared" si="1301"/>
        <v>14:54:51.519</v>
      </c>
      <c r="U2359" t="str">
        <f t="shared" si="1270"/>
        <v>ACC530</v>
      </c>
      <c r="V2359">
        <v>0</v>
      </c>
      <c r="W2359">
        <v>0</v>
      </c>
      <c r="X2359">
        <v>1</v>
      </c>
      <c r="Z2359">
        <v>0</v>
      </c>
      <c r="AA2359">
        <v>9</v>
      </c>
      <c r="AB2359">
        <v>3</v>
      </c>
      <c r="AC2359">
        <v>0</v>
      </c>
      <c r="AD2359">
        <v>9</v>
      </c>
      <c r="AE2359">
        <v>0</v>
      </c>
      <c r="AF2359">
        <v>3</v>
      </c>
      <c r="AG2359">
        <v>1</v>
      </c>
      <c r="AH2359">
        <v>0</v>
      </c>
      <c r="AI2359" t="s">
        <v>844</v>
      </c>
      <c r="AJ2359">
        <v>34.153790000000001</v>
      </c>
      <c r="AK2359" t="s">
        <v>845</v>
      </c>
      <c r="AL2359">
        <v>-117.04615099999999</v>
      </c>
      <c r="AM2359">
        <v>100</v>
      </c>
      <c r="AN2359">
        <v>7300</v>
      </c>
      <c r="AO2359" t="s">
        <v>118</v>
      </c>
      <c r="AP2359">
        <v>-59</v>
      </c>
      <c r="AQ2359">
        <v>-96</v>
      </c>
      <c r="AR2359">
        <v>-640</v>
      </c>
      <c r="AZ2359">
        <v>1200</v>
      </c>
      <c r="BA2359">
        <v>1</v>
      </c>
      <c r="BB2359" t="str">
        <f t="shared" si="1273"/>
        <v xml:space="preserve">N9217B  </v>
      </c>
      <c r="BC2359">
        <v>1</v>
      </c>
      <c r="BE2359">
        <v>0</v>
      </c>
      <c r="BF2359">
        <v>0</v>
      </c>
      <c r="BG2359">
        <v>0</v>
      </c>
      <c r="BH2359">
        <v>7200</v>
      </c>
      <c r="BI2359">
        <v>1</v>
      </c>
      <c r="BJ2359">
        <v>0</v>
      </c>
      <c r="BK2359">
        <v>0</v>
      </c>
      <c r="BL2359">
        <v>0</v>
      </c>
      <c r="BO2359">
        <v>0</v>
      </c>
      <c r="BP2359">
        <v>0</v>
      </c>
      <c r="BW2359" t="str">
        <f t="shared" si="1302"/>
        <v>14:54:51.724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285</v>
      </c>
      <c r="CR2359">
        <v>0</v>
      </c>
      <c r="CW2359">
        <v>8865098</v>
      </c>
      <c r="CY2359">
        <v>0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25">
      <c r="A2360" t="str">
        <f t="shared" si="1299"/>
        <v>06/05/2020 14:54:46.045</v>
      </c>
      <c r="C2360" t="str">
        <f t="shared" si="1291"/>
        <v>FFDFD3C0</v>
      </c>
      <c r="D2360" t="s">
        <v>141</v>
      </c>
      <c r="E2360">
        <v>20</v>
      </c>
      <c r="F2360">
        <v>1020</v>
      </c>
      <c r="G2360" t="s">
        <v>114</v>
      </c>
      <c r="J2360" t="s">
        <v>142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300"/>
        <v>14:54:51.719</v>
      </c>
      <c r="T2360" t="str">
        <f t="shared" si="1301"/>
        <v>14:54:51.519</v>
      </c>
      <c r="U2360" t="str">
        <f t="shared" si="1270"/>
        <v>ACC530</v>
      </c>
      <c r="V2360">
        <v>0</v>
      </c>
      <c r="W2360">
        <v>0</v>
      </c>
      <c r="X2360">
        <v>1</v>
      </c>
      <c r="Z2360">
        <v>0</v>
      </c>
      <c r="AA2360">
        <v>9</v>
      </c>
      <c r="AB2360">
        <v>3</v>
      </c>
      <c r="AC2360">
        <v>0</v>
      </c>
      <c r="AD2360">
        <v>9</v>
      </c>
      <c r="AE2360">
        <v>0</v>
      </c>
      <c r="AF2360">
        <v>3</v>
      </c>
      <c r="AG2360">
        <v>1</v>
      </c>
      <c r="AH2360">
        <v>0</v>
      </c>
      <c r="AI2360" t="s">
        <v>844</v>
      </c>
      <c r="AJ2360">
        <v>34.153790000000001</v>
      </c>
      <c r="AK2360" t="s">
        <v>845</v>
      </c>
      <c r="AL2360">
        <v>-117.04615099999999</v>
      </c>
      <c r="AM2360">
        <v>100</v>
      </c>
      <c r="AN2360">
        <v>7300</v>
      </c>
      <c r="AO2360" t="s">
        <v>118</v>
      </c>
      <c r="AP2360">
        <v>-59</v>
      </c>
      <c r="AQ2360">
        <v>-96</v>
      </c>
      <c r="AR2360">
        <v>-640</v>
      </c>
      <c r="AZ2360">
        <v>1200</v>
      </c>
      <c r="BA2360">
        <v>1</v>
      </c>
      <c r="BB2360" t="str">
        <f t="shared" si="1273"/>
        <v xml:space="preserve">N9217B  </v>
      </c>
      <c r="BC2360">
        <v>1</v>
      </c>
      <c r="BE2360">
        <v>0</v>
      </c>
      <c r="BF2360">
        <v>0</v>
      </c>
      <c r="BG2360">
        <v>0</v>
      </c>
      <c r="BH2360">
        <v>7200</v>
      </c>
      <c r="BI2360">
        <v>1</v>
      </c>
      <c r="BJ2360">
        <v>0</v>
      </c>
      <c r="BK2360">
        <v>0</v>
      </c>
      <c r="BL2360">
        <v>0</v>
      </c>
      <c r="BO2360">
        <v>0</v>
      </c>
      <c r="BP2360">
        <v>0</v>
      </c>
      <c r="BW2360" t="str">
        <f t="shared" si="1302"/>
        <v>14:54:51.724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285</v>
      </c>
      <c r="CR2360">
        <v>0</v>
      </c>
      <c r="CW2360">
        <v>8865098</v>
      </c>
      <c r="CY2360">
        <v>0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25">
      <c r="A2361" t="str">
        <f t="shared" si="1299"/>
        <v>06/05/2020 14:54:46.045</v>
      </c>
      <c r="C2361" t="str">
        <f t="shared" si="1291"/>
        <v>FFDFD3C0</v>
      </c>
      <c r="D2361" t="s">
        <v>148</v>
      </c>
      <c r="E2361">
        <v>8</v>
      </c>
      <c r="H2361">
        <v>50</v>
      </c>
      <c r="I2361" t="s">
        <v>149</v>
      </c>
      <c r="J2361" t="s">
        <v>150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si="1300"/>
        <v>14:54:51.719</v>
      </c>
      <c r="T2361" t="str">
        <f t="shared" si="1301"/>
        <v>14:54:51.519</v>
      </c>
      <c r="U2361" t="str">
        <f t="shared" si="1270"/>
        <v>ACC530</v>
      </c>
      <c r="V2361">
        <v>0</v>
      </c>
      <c r="W2361">
        <v>0</v>
      </c>
      <c r="X2361">
        <v>1</v>
      </c>
      <c r="Z2361">
        <v>0</v>
      </c>
      <c r="AA2361">
        <v>9</v>
      </c>
      <c r="AB2361">
        <v>3</v>
      </c>
      <c r="AC2361">
        <v>0</v>
      </c>
      <c r="AD2361">
        <v>9</v>
      </c>
      <c r="AE2361">
        <v>0</v>
      </c>
      <c r="AF2361">
        <v>3</v>
      </c>
      <c r="AG2361">
        <v>1</v>
      </c>
      <c r="AH2361">
        <v>0</v>
      </c>
      <c r="AI2361" t="s">
        <v>844</v>
      </c>
      <c r="AJ2361">
        <v>34.153790000000001</v>
      </c>
      <c r="AK2361" t="s">
        <v>845</v>
      </c>
      <c r="AL2361">
        <v>-117.04615099999999</v>
      </c>
      <c r="AM2361">
        <v>100</v>
      </c>
      <c r="AN2361">
        <v>7300</v>
      </c>
      <c r="AO2361" t="s">
        <v>118</v>
      </c>
      <c r="AP2361">
        <v>-59</v>
      </c>
      <c r="AQ2361">
        <v>-96</v>
      </c>
      <c r="AR2361">
        <v>-640</v>
      </c>
      <c r="AZ2361">
        <v>1200</v>
      </c>
      <c r="BA2361">
        <v>1</v>
      </c>
      <c r="BB2361" t="str">
        <f t="shared" si="1273"/>
        <v xml:space="preserve">N9217B  </v>
      </c>
      <c r="BC2361">
        <v>1</v>
      </c>
      <c r="BE2361">
        <v>0</v>
      </c>
      <c r="BF2361">
        <v>0</v>
      </c>
      <c r="BG2361">
        <v>0</v>
      </c>
      <c r="BH2361">
        <v>7200</v>
      </c>
      <c r="BI2361">
        <v>1</v>
      </c>
      <c r="BJ2361">
        <v>0</v>
      </c>
      <c r="BK2361">
        <v>0</v>
      </c>
      <c r="BL2361">
        <v>0</v>
      </c>
      <c r="BO2361">
        <v>0</v>
      </c>
      <c r="BP2361">
        <v>0</v>
      </c>
      <c r="BW2361" t="str">
        <f t="shared" si="1302"/>
        <v>14:54:51.724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285</v>
      </c>
      <c r="CR2361">
        <v>0</v>
      </c>
      <c r="CW2361">
        <v>8865098</v>
      </c>
      <c r="CY2361">
        <v>0</v>
      </c>
      <c r="CZ2361">
        <v>0</v>
      </c>
      <c r="DA2361">
        <v>1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25">
      <c r="A2362" t="str">
        <f t="shared" si="1299"/>
        <v>06/05/2020 14:54:46.045</v>
      </c>
      <c r="C2362" t="str">
        <f t="shared" si="1291"/>
        <v>FFDFD3C0</v>
      </c>
      <c r="D2362" t="s">
        <v>148</v>
      </c>
      <c r="E2362">
        <v>11</v>
      </c>
      <c r="H2362">
        <v>53</v>
      </c>
      <c r="I2362" t="s">
        <v>364</v>
      </c>
      <c r="J2362" t="s">
        <v>150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300"/>
        <v>14:54:51.719</v>
      </c>
      <c r="T2362" t="str">
        <f t="shared" si="1301"/>
        <v>14:54:51.519</v>
      </c>
      <c r="U2362" t="str">
        <f t="shared" si="1270"/>
        <v>ACC530</v>
      </c>
      <c r="V2362">
        <v>0</v>
      </c>
      <c r="W2362">
        <v>0</v>
      </c>
      <c r="X2362">
        <v>1</v>
      </c>
      <c r="Z2362">
        <v>0</v>
      </c>
      <c r="AA2362">
        <v>9</v>
      </c>
      <c r="AB2362">
        <v>3</v>
      </c>
      <c r="AC2362">
        <v>0</v>
      </c>
      <c r="AD2362">
        <v>9</v>
      </c>
      <c r="AE2362">
        <v>0</v>
      </c>
      <c r="AF2362">
        <v>3</v>
      </c>
      <c r="AG2362">
        <v>1</v>
      </c>
      <c r="AH2362">
        <v>0</v>
      </c>
      <c r="AI2362" t="s">
        <v>844</v>
      </c>
      <c r="AJ2362">
        <v>34.153790000000001</v>
      </c>
      <c r="AK2362" t="s">
        <v>845</v>
      </c>
      <c r="AL2362">
        <v>-117.04615099999999</v>
      </c>
      <c r="AM2362">
        <v>100</v>
      </c>
      <c r="AN2362">
        <v>7300</v>
      </c>
      <c r="AO2362" t="s">
        <v>118</v>
      </c>
      <c r="AP2362">
        <v>-59</v>
      </c>
      <c r="AQ2362">
        <v>-96</v>
      </c>
      <c r="AR2362">
        <v>-640</v>
      </c>
      <c r="AZ2362">
        <v>1200</v>
      </c>
      <c r="BA2362">
        <v>1</v>
      </c>
      <c r="BB2362" t="str">
        <f t="shared" si="1273"/>
        <v xml:space="preserve">N9217B  </v>
      </c>
      <c r="BC2362">
        <v>1</v>
      </c>
      <c r="BE2362">
        <v>0</v>
      </c>
      <c r="BF2362">
        <v>0</v>
      </c>
      <c r="BG2362">
        <v>0</v>
      </c>
      <c r="BH2362">
        <v>7200</v>
      </c>
      <c r="BI2362">
        <v>1</v>
      </c>
      <c r="BJ2362">
        <v>0</v>
      </c>
      <c r="BK2362">
        <v>0</v>
      </c>
      <c r="BL2362">
        <v>0</v>
      </c>
      <c r="BO2362">
        <v>0</v>
      </c>
      <c r="BP2362">
        <v>0</v>
      </c>
      <c r="BW2362" t="str">
        <f t="shared" si="1302"/>
        <v>14:54:51.724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285</v>
      </c>
      <c r="CR2362">
        <v>0</v>
      </c>
      <c r="CW2362">
        <v>8865098</v>
      </c>
      <c r="CY2362">
        <v>0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25">
      <c r="A2363" t="str">
        <f t="shared" si="1299"/>
        <v>06/05/2020 14:54:46.045</v>
      </c>
      <c r="C2363" t="str">
        <f t="shared" si="1291"/>
        <v>FFDFD3C0</v>
      </c>
      <c r="D2363" t="s">
        <v>151</v>
      </c>
      <c r="E2363">
        <v>8</v>
      </c>
      <c r="H2363">
        <v>225</v>
      </c>
      <c r="I2363" t="s">
        <v>353</v>
      </c>
      <c r="J2363" t="s">
        <v>150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300"/>
        <v>14:54:51.719</v>
      </c>
      <c r="T2363" t="str">
        <f t="shared" si="1301"/>
        <v>14:54:51.519</v>
      </c>
      <c r="U2363" t="str">
        <f t="shared" si="1270"/>
        <v>ACC530</v>
      </c>
      <c r="V2363">
        <v>0</v>
      </c>
      <c r="W2363">
        <v>0</v>
      </c>
      <c r="X2363">
        <v>1</v>
      </c>
      <c r="Z2363">
        <v>0</v>
      </c>
      <c r="AA2363">
        <v>9</v>
      </c>
      <c r="AB2363">
        <v>3</v>
      </c>
      <c r="AC2363">
        <v>0</v>
      </c>
      <c r="AD2363">
        <v>9</v>
      </c>
      <c r="AE2363">
        <v>0</v>
      </c>
      <c r="AF2363">
        <v>3</v>
      </c>
      <c r="AG2363">
        <v>1</v>
      </c>
      <c r="AH2363">
        <v>0</v>
      </c>
      <c r="AI2363" t="s">
        <v>844</v>
      </c>
      <c r="AJ2363">
        <v>34.153790000000001</v>
      </c>
      <c r="AK2363" t="s">
        <v>845</v>
      </c>
      <c r="AL2363">
        <v>-117.04615099999999</v>
      </c>
      <c r="AM2363">
        <v>100</v>
      </c>
      <c r="AN2363">
        <v>7300</v>
      </c>
      <c r="AO2363" t="s">
        <v>118</v>
      </c>
      <c r="AP2363">
        <v>-59</v>
      </c>
      <c r="AQ2363">
        <v>-96</v>
      </c>
      <c r="AR2363">
        <v>-640</v>
      </c>
      <c r="AZ2363">
        <v>1200</v>
      </c>
      <c r="BA2363">
        <v>1</v>
      </c>
      <c r="BB2363" t="str">
        <f t="shared" si="1273"/>
        <v xml:space="preserve">N9217B  </v>
      </c>
      <c r="BC2363">
        <v>1</v>
      </c>
      <c r="BE2363">
        <v>0</v>
      </c>
      <c r="BF2363">
        <v>0</v>
      </c>
      <c r="BG2363">
        <v>0</v>
      </c>
      <c r="BH2363">
        <v>7200</v>
      </c>
      <c r="BI2363">
        <v>1</v>
      </c>
      <c r="BJ2363">
        <v>0</v>
      </c>
      <c r="BK2363">
        <v>0</v>
      </c>
      <c r="BL2363">
        <v>0</v>
      </c>
      <c r="BO2363">
        <v>0</v>
      </c>
      <c r="BP2363">
        <v>0</v>
      </c>
      <c r="BW2363" t="str">
        <f t="shared" si="1302"/>
        <v>14:54:51.724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285</v>
      </c>
      <c r="CR2363">
        <v>0</v>
      </c>
      <c r="CW2363">
        <v>8865098</v>
      </c>
      <c r="CY2363">
        <v>0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25">
      <c r="A2364" t="str">
        <f t="shared" si="1299"/>
        <v>06/05/2020 14:54:46.045</v>
      </c>
      <c r="C2364" t="str">
        <f t="shared" si="1291"/>
        <v>FFDFD3C0</v>
      </c>
      <c r="D2364" t="s">
        <v>113</v>
      </c>
      <c r="E2364">
        <v>3</v>
      </c>
      <c r="H2364">
        <v>166</v>
      </c>
      <c r="I2364" t="s">
        <v>114</v>
      </c>
      <c r="J2364" t="s">
        <v>115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300"/>
        <v>14:54:51.719</v>
      </c>
      <c r="T2364" t="str">
        <f t="shared" si="1301"/>
        <v>14:54:51.519</v>
      </c>
      <c r="U2364" t="str">
        <f t="shared" si="1270"/>
        <v>ACC530</v>
      </c>
      <c r="V2364">
        <v>0</v>
      </c>
      <c r="W2364">
        <v>0</v>
      </c>
      <c r="X2364">
        <v>1</v>
      </c>
      <c r="Z2364">
        <v>0</v>
      </c>
      <c r="AA2364">
        <v>9</v>
      </c>
      <c r="AB2364">
        <v>3</v>
      </c>
      <c r="AC2364">
        <v>0</v>
      </c>
      <c r="AD2364">
        <v>9</v>
      </c>
      <c r="AE2364">
        <v>0</v>
      </c>
      <c r="AF2364">
        <v>3</v>
      </c>
      <c r="AG2364">
        <v>1</v>
      </c>
      <c r="AH2364">
        <v>0</v>
      </c>
      <c r="AI2364" t="s">
        <v>844</v>
      </c>
      <c r="AJ2364">
        <v>34.153790000000001</v>
      </c>
      <c r="AK2364" t="s">
        <v>845</v>
      </c>
      <c r="AL2364">
        <v>-117.04615099999999</v>
      </c>
      <c r="AM2364">
        <v>100</v>
      </c>
      <c r="AN2364">
        <v>7300</v>
      </c>
      <c r="AO2364" t="s">
        <v>118</v>
      </c>
      <c r="AP2364">
        <v>-59</v>
      </c>
      <c r="AQ2364">
        <v>-96</v>
      </c>
      <c r="AR2364">
        <v>-640</v>
      </c>
      <c r="AZ2364">
        <v>1200</v>
      </c>
      <c r="BA2364">
        <v>1</v>
      </c>
      <c r="BB2364" t="str">
        <f t="shared" si="1273"/>
        <v xml:space="preserve">N9217B  </v>
      </c>
      <c r="BC2364">
        <v>1</v>
      </c>
      <c r="BE2364">
        <v>0</v>
      </c>
      <c r="BF2364">
        <v>0</v>
      </c>
      <c r="BG2364">
        <v>0</v>
      </c>
      <c r="BH2364">
        <v>7200</v>
      </c>
      <c r="BI2364">
        <v>1</v>
      </c>
      <c r="BJ2364">
        <v>0</v>
      </c>
      <c r="BK2364">
        <v>0</v>
      </c>
      <c r="BL2364">
        <v>0</v>
      </c>
      <c r="BO2364">
        <v>0</v>
      </c>
      <c r="BP2364">
        <v>0</v>
      </c>
      <c r="BW2364" t="str">
        <f t="shared" si="1302"/>
        <v>14:54:51.724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285</v>
      </c>
      <c r="CR2364">
        <v>0</v>
      </c>
      <c r="CW2364">
        <v>8865098</v>
      </c>
      <c r="CY2364">
        <v>0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25">
      <c r="A2365" t="str">
        <f t="shared" ref="A2365:A2371" si="1303">"06/05/2020 14:54:47.098"</f>
        <v>06/05/2020 14:54:47.098</v>
      </c>
      <c r="C2365" t="str">
        <f t="shared" si="1291"/>
        <v>FFDFD3C0</v>
      </c>
      <c r="D2365" t="s">
        <v>113</v>
      </c>
      <c r="E2365">
        <v>3</v>
      </c>
      <c r="H2365">
        <v>166</v>
      </c>
      <c r="I2365" t="s">
        <v>114</v>
      </c>
      <c r="J2365" t="s">
        <v>115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ref="S2365:S2371" si="1304">"14:54:52.758"</f>
        <v>14:54:52.758</v>
      </c>
      <c r="T2365" t="str">
        <f t="shared" ref="T2365:T2371" si="1305">"14:54:52.558"</f>
        <v>14:54:52.558</v>
      </c>
      <c r="U2365" t="str">
        <f t="shared" si="1270"/>
        <v>ACC530</v>
      </c>
      <c r="V2365">
        <v>0</v>
      </c>
      <c r="W2365">
        <v>0</v>
      </c>
      <c r="X2365">
        <v>1</v>
      </c>
      <c r="Z2365">
        <v>0</v>
      </c>
      <c r="AA2365">
        <v>9</v>
      </c>
      <c r="AB2365">
        <v>3</v>
      </c>
      <c r="AC2365">
        <v>0</v>
      </c>
      <c r="AD2365">
        <v>9</v>
      </c>
      <c r="AE2365">
        <v>0</v>
      </c>
      <c r="AF2365">
        <v>3</v>
      </c>
      <c r="AG2365">
        <v>1</v>
      </c>
      <c r="AH2365">
        <v>0</v>
      </c>
      <c r="AI2365" t="s">
        <v>846</v>
      </c>
      <c r="AJ2365">
        <v>34.15334</v>
      </c>
      <c r="AK2365" t="s">
        <v>847</v>
      </c>
      <c r="AL2365">
        <v>-117.046494</v>
      </c>
      <c r="AM2365">
        <v>100</v>
      </c>
      <c r="AN2365">
        <v>7300</v>
      </c>
      <c r="AO2365" t="s">
        <v>118</v>
      </c>
      <c r="AP2365">
        <v>-58</v>
      </c>
      <c r="AQ2365">
        <v>-96</v>
      </c>
      <c r="AR2365">
        <v>-640</v>
      </c>
      <c r="AZ2365">
        <v>1200</v>
      </c>
      <c r="BA2365">
        <v>1</v>
      </c>
      <c r="BB2365" t="str">
        <f t="shared" si="1273"/>
        <v xml:space="preserve">N9217B  </v>
      </c>
      <c r="BC2365">
        <v>1</v>
      </c>
      <c r="BE2365">
        <v>0</v>
      </c>
      <c r="BF2365">
        <v>0</v>
      </c>
      <c r="BG2365">
        <v>0</v>
      </c>
      <c r="BH2365">
        <v>7200</v>
      </c>
      <c r="BI2365">
        <v>1</v>
      </c>
      <c r="BJ2365">
        <v>0</v>
      </c>
      <c r="BK2365">
        <v>0</v>
      </c>
      <c r="BL2365">
        <v>0</v>
      </c>
      <c r="BO2365">
        <v>0</v>
      </c>
      <c r="BP2365">
        <v>0</v>
      </c>
      <c r="BW2365" t="str">
        <f t="shared" ref="BW2365:BW2371" si="1306">"14:54:52.758"</f>
        <v>14:54:52.758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285</v>
      </c>
      <c r="CR2365">
        <v>0</v>
      </c>
      <c r="CW2365">
        <v>8865195</v>
      </c>
      <c r="CY2365">
        <v>0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25">
      <c r="A2366" t="str">
        <f t="shared" si="1303"/>
        <v>06/05/2020 14:54:47.098</v>
      </c>
      <c r="C2366" t="str">
        <f t="shared" si="1291"/>
        <v>FFDFD3C0</v>
      </c>
      <c r="D2366" t="s">
        <v>151</v>
      </c>
      <c r="E2366">
        <v>8</v>
      </c>
      <c r="H2366">
        <v>225</v>
      </c>
      <c r="I2366" t="s">
        <v>353</v>
      </c>
      <c r="J2366" t="s">
        <v>150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304"/>
        <v>14:54:52.758</v>
      </c>
      <c r="T2366" t="str">
        <f t="shared" si="1305"/>
        <v>14:54:52.558</v>
      </c>
      <c r="U2366" t="str">
        <f t="shared" si="1270"/>
        <v>ACC530</v>
      </c>
      <c r="V2366">
        <v>0</v>
      </c>
      <c r="W2366">
        <v>0</v>
      </c>
      <c r="X2366">
        <v>1</v>
      </c>
      <c r="Z2366">
        <v>0</v>
      </c>
      <c r="AA2366">
        <v>9</v>
      </c>
      <c r="AB2366">
        <v>3</v>
      </c>
      <c r="AC2366">
        <v>0</v>
      </c>
      <c r="AD2366">
        <v>9</v>
      </c>
      <c r="AE2366">
        <v>0</v>
      </c>
      <c r="AF2366">
        <v>3</v>
      </c>
      <c r="AG2366">
        <v>1</v>
      </c>
      <c r="AH2366">
        <v>0</v>
      </c>
      <c r="AI2366" t="s">
        <v>846</v>
      </c>
      <c r="AJ2366">
        <v>34.15334</v>
      </c>
      <c r="AK2366" t="s">
        <v>847</v>
      </c>
      <c r="AL2366">
        <v>-117.046494</v>
      </c>
      <c r="AM2366">
        <v>100</v>
      </c>
      <c r="AN2366">
        <v>7300</v>
      </c>
      <c r="AO2366" t="s">
        <v>118</v>
      </c>
      <c r="AP2366">
        <v>-58</v>
      </c>
      <c r="AQ2366">
        <v>-96</v>
      </c>
      <c r="AR2366">
        <v>-640</v>
      </c>
      <c r="AZ2366">
        <v>1200</v>
      </c>
      <c r="BA2366">
        <v>1</v>
      </c>
      <c r="BB2366" t="str">
        <f t="shared" si="1273"/>
        <v xml:space="preserve">N9217B  </v>
      </c>
      <c r="BC2366">
        <v>1</v>
      </c>
      <c r="BE2366">
        <v>0</v>
      </c>
      <c r="BF2366">
        <v>0</v>
      </c>
      <c r="BG2366">
        <v>0</v>
      </c>
      <c r="BH2366">
        <v>7200</v>
      </c>
      <c r="BI2366">
        <v>1</v>
      </c>
      <c r="BJ2366">
        <v>0</v>
      </c>
      <c r="BK2366">
        <v>0</v>
      </c>
      <c r="BL2366">
        <v>0</v>
      </c>
      <c r="BO2366">
        <v>0</v>
      </c>
      <c r="BP2366">
        <v>0</v>
      </c>
      <c r="BW2366" t="str">
        <f t="shared" si="1306"/>
        <v>14:54:52.758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285</v>
      </c>
      <c r="CR2366">
        <v>0</v>
      </c>
      <c r="CW2366">
        <v>8865195</v>
      </c>
      <c r="CY2366">
        <v>0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25">
      <c r="A2367" t="str">
        <f t="shared" si="1303"/>
        <v>06/05/2020 14:54:47.098</v>
      </c>
      <c r="C2367" t="str">
        <f t="shared" si="1291"/>
        <v>FFDFD3C0</v>
      </c>
      <c r="D2367" t="s">
        <v>134</v>
      </c>
      <c r="E2367">
        <v>7</v>
      </c>
      <c r="F2367">
        <v>2007</v>
      </c>
      <c r="G2367" t="s">
        <v>135</v>
      </c>
      <c r="J2367" t="s">
        <v>136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304"/>
        <v>14:54:52.758</v>
      </c>
      <c r="T2367" t="str">
        <f t="shared" si="1305"/>
        <v>14:54:52.558</v>
      </c>
      <c r="U2367" t="str">
        <f t="shared" si="1270"/>
        <v>ACC530</v>
      </c>
      <c r="V2367">
        <v>0</v>
      </c>
      <c r="W2367">
        <v>0</v>
      </c>
      <c r="X2367">
        <v>1</v>
      </c>
      <c r="Z2367">
        <v>0</v>
      </c>
      <c r="AA2367">
        <v>9</v>
      </c>
      <c r="AB2367">
        <v>3</v>
      </c>
      <c r="AC2367">
        <v>0</v>
      </c>
      <c r="AD2367">
        <v>9</v>
      </c>
      <c r="AE2367">
        <v>0</v>
      </c>
      <c r="AF2367">
        <v>3</v>
      </c>
      <c r="AG2367">
        <v>1</v>
      </c>
      <c r="AH2367">
        <v>0</v>
      </c>
      <c r="AI2367" t="s">
        <v>846</v>
      </c>
      <c r="AJ2367">
        <v>34.15334</v>
      </c>
      <c r="AK2367" t="s">
        <v>847</v>
      </c>
      <c r="AL2367">
        <v>-117.046494</v>
      </c>
      <c r="AM2367">
        <v>100</v>
      </c>
      <c r="AN2367">
        <v>7300</v>
      </c>
      <c r="AO2367" t="s">
        <v>118</v>
      </c>
      <c r="AP2367">
        <v>-58</v>
      </c>
      <c r="AQ2367">
        <v>-96</v>
      </c>
      <c r="AR2367">
        <v>-640</v>
      </c>
      <c r="AZ2367">
        <v>1200</v>
      </c>
      <c r="BA2367">
        <v>1</v>
      </c>
      <c r="BB2367" t="str">
        <f t="shared" si="1273"/>
        <v xml:space="preserve">N9217B  </v>
      </c>
      <c r="BC2367">
        <v>1</v>
      </c>
      <c r="BE2367">
        <v>0</v>
      </c>
      <c r="BF2367">
        <v>0</v>
      </c>
      <c r="BG2367">
        <v>0</v>
      </c>
      <c r="BH2367">
        <v>7200</v>
      </c>
      <c r="BI2367">
        <v>1</v>
      </c>
      <c r="BJ2367">
        <v>0</v>
      </c>
      <c r="BK2367">
        <v>0</v>
      </c>
      <c r="BL2367">
        <v>0</v>
      </c>
      <c r="BO2367">
        <v>0</v>
      </c>
      <c r="BP2367">
        <v>0</v>
      </c>
      <c r="BW2367" t="str">
        <f t="shared" si="1306"/>
        <v>14:54:52.758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285</v>
      </c>
      <c r="CR2367">
        <v>0</v>
      </c>
      <c r="CW2367">
        <v>8865195</v>
      </c>
      <c r="CY2367">
        <v>0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25">
      <c r="A2368" t="str">
        <f t="shared" si="1303"/>
        <v>06/05/2020 14:54:47.098</v>
      </c>
      <c r="C2368" t="str">
        <f t="shared" si="1291"/>
        <v>FFDFD3C0</v>
      </c>
      <c r="D2368" t="s">
        <v>151</v>
      </c>
      <c r="E2368">
        <v>9</v>
      </c>
      <c r="H2368">
        <v>226</v>
      </c>
      <c r="I2368" t="s">
        <v>152</v>
      </c>
      <c r="J2368" t="s">
        <v>150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304"/>
        <v>14:54:52.758</v>
      </c>
      <c r="T2368" t="str">
        <f t="shared" si="1305"/>
        <v>14:54:52.558</v>
      </c>
      <c r="U2368" t="str">
        <f t="shared" si="1270"/>
        <v>ACC530</v>
      </c>
      <c r="V2368">
        <v>0</v>
      </c>
      <c r="W2368">
        <v>0</v>
      </c>
      <c r="X2368">
        <v>1</v>
      </c>
      <c r="Z2368">
        <v>0</v>
      </c>
      <c r="AA2368">
        <v>9</v>
      </c>
      <c r="AB2368">
        <v>3</v>
      </c>
      <c r="AC2368">
        <v>0</v>
      </c>
      <c r="AD2368">
        <v>9</v>
      </c>
      <c r="AE2368">
        <v>0</v>
      </c>
      <c r="AF2368">
        <v>3</v>
      </c>
      <c r="AG2368">
        <v>1</v>
      </c>
      <c r="AH2368">
        <v>0</v>
      </c>
      <c r="AI2368" t="s">
        <v>846</v>
      </c>
      <c r="AJ2368">
        <v>34.15334</v>
      </c>
      <c r="AK2368" t="s">
        <v>847</v>
      </c>
      <c r="AL2368">
        <v>-117.046494</v>
      </c>
      <c r="AM2368">
        <v>100</v>
      </c>
      <c r="AN2368">
        <v>7300</v>
      </c>
      <c r="AO2368" t="s">
        <v>118</v>
      </c>
      <c r="AP2368">
        <v>-58</v>
      </c>
      <c r="AQ2368">
        <v>-96</v>
      </c>
      <c r="AR2368">
        <v>-640</v>
      </c>
      <c r="AZ2368">
        <v>1200</v>
      </c>
      <c r="BA2368">
        <v>1</v>
      </c>
      <c r="BB2368" t="str">
        <f t="shared" si="1273"/>
        <v xml:space="preserve">N9217B  </v>
      </c>
      <c r="BC2368">
        <v>1</v>
      </c>
      <c r="BE2368">
        <v>0</v>
      </c>
      <c r="BF2368">
        <v>0</v>
      </c>
      <c r="BG2368">
        <v>0</v>
      </c>
      <c r="BH2368">
        <v>7200</v>
      </c>
      <c r="BI2368">
        <v>1</v>
      </c>
      <c r="BJ2368">
        <v>0</v>
      </c>
      <c r="BK2368">
        <v>0</v>
      </c>
      <c r="BL2368">
        <v>0</v>
      </c>
      <c r="BO2368">
        <v>0</v>
      </c>
      <c r="BP2368">
        <v>0</v>
      </c>
      <c r="BW2368" t="str">
        <f t="shared" si="1306"/>
        <v>14:54:52.758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285</v>
      </c>
      <c r="CR2368">
        <v>0</v>
      </c>
      <c r="CW2368">
        <v>8865195</v>
      </c>
      <c r="CY2368">
        <v>0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25">
      <c r="A2369" t="str">
        <f t="shared" si="1303"/>
        <v>06/05/2020 14:54:47.098</v>
      </c>
      <c r="C2369" t="str">
        <f t="shared" si="1291"/>
        <v>FFDFD3C0</v>
      </c>
      <c r="D2369" t="s">
        <v>141</v>
      </c>
      <c r="E2369">
        <v>20</v>
      </c>
      <c r="F2369">
        <v>1020</v>
      </c>
      <c r="G2369" t="s">
        <v>114</v>
      </c>
      <c r="J2369" t="s">
        <v>142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1304"/>
        <v>14:54:52.758</v>
      </c>
      <c r="T2369" t="str">
        <f t="shared" si="1305"/>
        <v>14:54:52.558</v>
      </c>
      <c r="U2369" t="str">
        <f t="shared" si="1270"/>
        <v>ACC530</v>
      </c>
      <c r="V2369">
        <v>0</v>
      </c>
      <c r="W2369">
        <v>0</v>
      </c>
      <c r="X2369">
        <v>1</v>
      </c>
      <c r="Z2369">
        <v>0</v>
      </c>
      <c r="AA2369">
        <v>9</v>
      </c>
      <c r="AB2369">
        <v>3</v>
      </c>
      <c r="AC2369">
        <v>0</v>
      </c>
      <c r="AD2369">
        <v>9</v>
      </c>
      <c r="AE2369">
        <v>0</v>
      </c>
      <c r="AF2369">
        <v>3</v>
      </c>
      <c r="AG2369">
        <v>1</v>
      </c>
      <c r="AH2369">
        <v>0</v>
      </c>
      <c r="AI2369" t="s">
        <v>846</v>
      </c>
      <c r="AJ2369">
        <v>34.15334</v>
      </c>
      <c r="AK2369" t="s">
        <v>847</v>
      </c>
      <c r="AL2369">
        <v>-117.046494</v>
      </c>
      <c r="AM2369">
        <v>100</v>
      </c>
      <c r="AN2369">
        <v>7300</v>
      </c>
      <c r="AO2369" t="s">
        <v>118</v>
      </c>
      <c r="AP2369">
        <v>-58</v>
      </c>
      <c r="AQ2369">
        <v>-96</v>
      </c>
      <c r="AR2369">
        <v>-640</v>
      </c>
      <c r="AZ2369">
        <v>1200</v>
      </c>
      <c r="BA2369">
        <v>1</v>
      </c>
      <c r="BB2369" t="str">
        <f t="shared" si="1273"/>
        <v xml:space="preserve">N9217B  </v>
      </c>
      <c r="BC2369">
        <v>1</v>
      </c>
      <c r="BE2369">
        <v>0</v>
      </c>
      <c r="BF2369">
        <v>0</v>
      </c>
      <c r="BG2369">
        <v>0</v>
      </c>
      <c r="BH2369">
        <v>7200</v>
      </c>
      <c r="BI2369">
        <v>1</v>
      </c>
      <c r="BJ2369">
        <v>0</v>
      </c>
      <c r="BK2369">
        <v>0</v>
      </c>
      <c r="BL2369">
        <v>0</v>
      </c>
      <c r="BO2369">
        <v>0</v>
      </c>
      <c r="BP2369">
        <v>0</v>
      </c>
      <c r="BW2369" t="str">
        <f t="shared" si="1306"/>
        <v>14:54:52.758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285</v>
      </c>
      <c r="CR2369">
        <v>0</v>
      </c>
      <c r="CW2369">
        <v>8865195</v>
      </c>
      <c r="CY2369">
        <v>0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25">
      <c r="A2370" t="str">
        <f t="shared" si="1303"/>
        <v>06/05/2020 14:54:47.098</v>
      </c>
      <c r="C2370" t="str">
        <f t="shared" si="1291"/>
        <v>FFDFD3C0</v>
      </c>
      <c r="D2370" t="s">
        <v>148</v>
      </c>
      <c r="E2370">
        <v>8</v>
      </c>
      <c r="H2370">
        <v>50</v>
      </c>
      <c r="I2370" t="s">
        <v>149</v>
      </c>
      <c r="J2370" t="s">
        <v>150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304"/>
        <v>14:54:52.758</v>
      </c>
      <c r="T2370" t="str">
        <f t="shared" si="1305"/>
        <v>14:54:52.558</v>
      </c>
      <c r="U2370" t="str">
        <f t="shared" ref="U2370:U2433" si="1307">"ACC530"</f>
        <v>ACC530</v>
      </c>
      <c r="V2370">
        <v>0</v>
      </c>
      <c r="W2370">
        <v>0</v>
      </c>
      <c r="X2370">
        <v>1</v>
      </c>
      <c r="Z2370">
        <v>0</v>
      </c>
      <c r="AA2370">
        <v>9</v>
      </c>
      <c r="AB2370">
        <v>3</v>
      </c>
      <c r="AC2370">
        <v>0</v>
      </c>
      <c r="AD2370">
        <v>9</v>
      </c>
      <c r="AE2370">
        <v>0</v>
      </c>
      <c r="AF2370">
        <v>3</v>
      </c>
      <c r="AG2370">
        <v>1</v>
      </c>
      <c r="AH2370">
        <v>0</v>
      </c>
      <c r="AI2370" t="s">
        <v>846</v>
      </c>
      <c r="AJ2370">
        <v>34.15334</v>
      </c>
      <c r="AK2370" t="s">
        <v>847</v>
      </c>
      <c r="AL2370">
        <v>-117.046494</v>
      </c>
      <c r="AM2370">
        <v>100</v>
      </c>
      <c r="AN2370">
        <v>7300</v>
      </c>
      <c r="AO2370" t="s">
        <v>118</v>
      </c>
      <c r="AP2370">
        <v>-58</v>
      </c>
      <c r="AQ2370">
        <v>-96</v>
      </c>
      <c r="AR2370">
        <v>-640</v>
      </c>
      <c r="AZ2370">
        <v>1200</v>
      </c>
      <c r="BA2370">
        <v>1</v>
      </c>
      <c r="BB2370" t="str">
        <f t="shared" si="1273"/>
        <v xml:space="preserve">N9217B  </v>
      </c>
      <c r="BC2370">
        <v>1</v>
      </c>
      <c r="BE2370">
        <v>0</v>
      </c>
      <c r="BF2370">
        <v>0</v>
      </c>
      <c r="BG2370">
        <v>0</v>
      </c>
      <c r="BH2370">
        <v>7200</v>
      </c>
      <c r="BI2370">
        <v>1</v>
      </c>
      <c r="BJ2370">
        <v>0</v>
      </c>
      <c r="BK2370">
        <v>0</v>
      </c>
      <c r="BL2370">
        <v>0</v>
      </c>
      <c r="BO2370">
        <v>0</v>
      </c>
      <c r="BP2370">
        <v>0</v>
      </c>
      <c r="BW2370" t="str">
        <f t="shared" si="1306"/>
        <v>14:54:52.758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285</v>
      </c>
      <c r="CR2370">
        <v>0</v>
      </c>
      <c r="CW2370">
        <v>8865195</v>
      </c>
      <c r="CY2370">
        <v>0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25">
      <c r="A2371" t="str">
        <f t="shared" si="1303"/>
        <v>06/05/2020 14:54:47.098</v>
      </c>
      <c r="C2371" t="str">
        <f t="shared" si="1291"/>
        <v>FFDFD3C0</v>
      </c>
      <c r="D2371" t="s">
        <v>148</v>
      </c>
      <c r="E2371">
        <v>11</v>
      </c>
      <c r="H2371">
        <v>53</v>
      </c>
      <c r="I2371" t="s">
        <v>364</v>
      </c>
      <c r="J2371" t="s">
        <v>150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304"/>
        <v>14:54:52.758</v>
      </c>
      <c r="T2371" t="str">
        <f t="shared" si="1305"/>
        <v>14:54:52.558</v>
      </c>
      <c r="U2371" t="str">
        <f t="shared" si="1307"/>
        <v>ACC530</v>
      </c>
      <c r="V2371">
        <v>0</v>
      </c>
      <c r="W2371">
        <v>0</v>
      </c>
      <c r="X2371">
        <v>1</v>
      </c>
      <c r="Z2371">
        <v>0</v>
      </c>
      <c r="AA2371">
        <v>9</v>
      </c>
      <c r="AB2371">
        <v>3</v>
      </c>
      <c r="AC2371">
        <v>0</v>
      </c>
      <c r="AD2371">
        <v>9</v>
      </c>
      <c r="AE2371">
        <v>0</v>
      </c>
      <c r="AF2371">
        <v>3</v>
      </c>
      <c r="AG2371">
        <v>1</v>
      </c>
      <c r="AH2371">
        <v>0</v>
      </c>
      <c r="AI2371" t="s">
        <v>846</v>
      </c>
      <c r="AJ2371">
        <v>34.15334</v>
      </c>
      <c r="AK2371" t="s">
        <v>847</v>
      </c>
      <c r="AL2371">
        <v>-117.046494</v>
      </c>
      <c r="AM2371">
        <v>100</v>
      </c>
      <c r="AN2371">
        <v>7300</v>
      </c>
      <c r="AO2371" t="s">
        <v>118</v>
      </c>
      <c r="AP2371">
        <v>-58</v>
      </c>
      <c r="AQ2371">
        <v>-96</v>
      </c>
      <c r="AR2371">
        <v>-640</v>
      </c>
      <c r="AZ2371">
        <v>1200</v>
      </c>
      <c r="BA2371">
        <v>1</v>
      </c>
      <c r="BB2371" t="str">
        <f t="shared" si="1273"/>
        <v xml:space="preserve">N9217B  </v>
      </c>
      <c r="BC2371">
        <v>1</v>
      </c>
      <c r="BE2371">
        <v>0</v>
      </c>
      <c r="BF2371">
        <v>0</v>
      </c>
      <c r="BG2371">
        <v>0</v>
      </c>
      <c r="BH2371">
        <v>7200</v>
      </c>
      <c r="BI2371">
        <v>1</v>
      </c>
      <c r="BJ2371">
        <v>0</v>
      </c>
      <c r="BK2371">
        <v>0</v>
      </c>
      <c r="BL2371">
        <v>0</v>
      </c>
      <c r="BO2371">
        <v>0</v>
      </c>
      <c r="BP2371">
        <v>0</v>
      </c>
      <c r="BW2371" t="str">
        <f t="shared" si="1306"/>
        <v>14:54:52.758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285</v>
      </c>
      <c r="CR2371">
        <v>0</v>
      </c>
      <c r="CW2371">
        <v>8865195</v>
      </c>
      <c r="CY2371">
        <v>0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25">
      <c r="A2372" t="str">
        <f t="shared" ref="A2372:A2378" si="1308">"06/05/2020 14:54:48.043"</f>
        <v>06/05/2020 14:54:48.043</v>
      </c>
      <c r="C2372" t="str">
        <f t="shared" si="1291"/>
        <v>FFDFD3C0</v>
      </c>
      <c r="D2372" t="s">
        <v>148</v>
      </c>
      <c r="E2372">
        <v>11</v>
      </c>
      <c r="H2372">
        <v>53</v>
      </c>
      <c r="I2372" t="s">
        <v>364</v>
      </c>
      <c r="J2372" t="s">
        <v>150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ref="S2372:T2378" si="1309">"14:54:53.703"</f>
        <v>14:54:53.703</v>
      </c>
      <c r="T2372" t="str">
        <f t="shared" si="1309"/>
        <v>14:54:53.703</v>
      </c>
      <c r="U2372" t="str">
        <f t="shared" si="1307"/>
        <v>ACC530</v>
      </c>
      <c r="V2372">
        <v>0</v>
      </c>
      <c r="W2372">
        <v>0</v>
      </c>
      <c r="X2372">
        <v>1</v>
      </c>
      <c r="Z2372">
        <v>0</v>
      </c>
      <c r="AA2372">
        <v>9</v>
      </c>
      <c r="AB2372">
        <v>3</v>
      </c>
      <c r="AC2372">
        <v>0</v>
      </c>
      <c r="AD2372">
        <v>9</v>
      </c>
      <c r="AE2372">
        <v>0</v>
      </c>
      <c r="AF2372">
        <v>3</v>
      </c>
      <c r="AG2372">
        <v>1</v>
      </c>
      <c r="AH2372">
        <v>0</v>
      </c>
      <c r="AI2372" t="s">
        <v>848</v>
      </c>
      <c r="AJ2372">
        <v>34.152932</v>
      </c>
      <c r="AK2372" t="s">
        <v>849</v>
      </c>
      <c r="AL2372">
        <v>-117.04681600000001</v>
      </c>
      <c r="AM2372">
        <v>100</v>
      </c>
      <c r="AN2372">
        <v>7300</v>
      </c>
      <c r="AO2372" t="s">
        <v>118</v>
      </c>
      <c r="AP2372">
        <v>-57</v>
      </c>
      <c r="AQ2372">
        <v>-96</v>
      </c>
      <c r="AR2372">
        <v>-704</v>
      </c>
      <c r="AZ2372">
        <v>1200</v>
      </c>
      <c r="BA2372">
        <v>1</v>
      </c>
      <c r="BB2372" t="str">
        <f t="shared" si="1273"/>
        <v xml:space="preserve">N9217B  </v>
      </c>
      <c r="BC2372">
        <v>1</v>
      </c>
      <c r="BE2372">
        <v>0</v>
      </c>
      <c r="BF2372">
        <v>0</v>
      </c>
      <c r="BG2372">
        <v>0</v>
      </c>
      <c r="BH2372">
        <v>7200</v>
      </c>
      <c r="BI2372">
        <v>1</v>
      </c>
      <c r="BJ2372">
        <v>0</v>
      </c>
      <c r="BK2372">
        <v>0</v>
      </c>
      <c r="BL2372">
        <v>0</v>
      </c>
      <c r="BO2372">
        <v>0</v>
      </c>
      <c r="BP2372">
        <v>0</v>
      </c>
      <c r="BW2372" t="str">
        <f t="shared" ref="BW2372:BW2378" si="1310">"14:54:53.703"</f>
        <v>14:54:53.703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285</v>
      </c>
      <c r="CR2372">
        <v>0</v>
      </c>
      <c r="CW2372">
        <v>8865285</v>
      </c>
      <c r="CY2372">
        <v>0</v>
      </c>
      <c r="CZ2372">
        <v>0</v>
      </c>
      <c r="DA2372">
        <v>0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25">
      <c r="A2373" t="str">
        <f t="shared" si="1308"/>
        <v>06/05/2020 14:54:48.043</v>
      </c>
      <c r="C2373" t="str">
        <f t="shared" si="1291"/>
        <v>FFDFD3C0</v>
      </c>
      <c r="D2373" t="s">
        <v>113</v>
      </c>
      <c r="E2373">
        <v>3</v>
      </c>
      <c r="H2373">
        <v>166</v>
      </c>
      <c r="I2373" t="s">
        <v>114</v>
      </c>
      <c r="J2373" t="s">
        <v>115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309"/>
        <v>14:54:53.703</v>
      </c>
      <c r="T2373" t="str">
        <f t="shared" si="1309"/>
        <v>14:54:53.703</v>
      </c>
      <c r="U2373" t="str">
        <f t="shared" si="1307"/>
        <v>ACC530</v>
      </c>
      <c r="V2373">
        <v>0</v>
      </c>
      <c r="W2373">
        <v>0</v>
      </c>
      <c r="X2373">
        <v>1</v>
      </c>
      <c r="Z2373">
        <v>0</v>
      </c>
      <c r="AA2373">
        <v>9</v>
      </c>
      <c r="AB2373">
        <v>3</v>
      </c>
      <c r="AC2373">
        <v>0</v>
      </c>
      <c r="AD2373">
        <v>9</v>
      </c>
      <c r="AE2373">
        <v>0</v>
      </c>
      <c r="AF2373">
        <v>3</v>
      </c>
      <c r="AG2373">
        <v>1</v>
      </c>
      <c r="AH2373">
        <v>0</v>
      </c>
      <c r="AI2373" t="s">
        <v>848</v>
      </c>
      <c r="AJ2373">
        <v>34.152932</v>
      </c>
      <c r="AK2373" t="s">
        <v>849</v>
      </c>
      <c r="AL2373">
        <v>-117.04681600000001</v>
      </c>
      <c r="AM2373">
        <v>100</v>
      </c>
      <c r="AN2373">
        <v>7300</v>
      </c>
      <c r="AO2373" t="s">
        <v>118</v>
      </c>
      <c r="AP2373">
        <v>-57</v>
      </c>
      <c r="AQ2373">
        <v>-96</v>
      </c>
      <c r="AR2373">
        <v>-704</v>
      </c>
      <c r="AZ2373">
        <v>1200</v>
      </c>
      <c r="BA2373">
        <v>1</v>
      </c>
      <c r="BB2373" t="str">
        <f t="shared" ref="BB2373:BB2436" si="1311">"N9217B  "</f>
        <v xml:space="preserve">N9217B  </v>
      </c>
      <c r="BC2373">
        <v>1</v>
      </c>
      <c r="BE2373">
        <v>0</v>
      </c>
      <c r="BF2373">
        <v>0</v>
      </c>
      <c r="BG2373">
        <v>0</v>
      </c>
      <c r="BH2373">
        <v>7200</v>
      </c>
      <c r="BI2373">
        <v>1</v>
      </c>
      <c r="BJ2373">
        <v>0</v>
      </c>
      <c r="BK2373">
        <v>0</v>
      </c>
      <c r="BL2373">
        <v>0</v>
      </c>
      <c r="BO2373">
        <v>0</v>
      </c>
      <c r="BP2373">
        <v>0</v>
      </c>
      <c r="BW2373" t="str">
        <f t="shared" si="1310"/>
        <v>14:54:53.703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285</v>
      </c>
      <c r="CR2373">
        <v>0</v>
      </c>
      <c r="CW2373">
        <v>8865285</v>
      </c>
      <c r="CY2373">
        <v>0</v>
      </c>
      <c r="CZ2373">
        <v>0</v>
      </c>
      <c r="DA2373">
        <v>1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25">
      <c r="A2374" t="str">
        <f t="shared" si="1308"/>
        <v>06/05/2020 14:54:48.043</v>
      </c>
      <c r="C2374" t="str">
        <f t="shared" si="1291"/>
        <v>FFDFD3C0</v>
      </c>
      <c r="D2374" t="s">
        <v>151</v>
      </c>
      <c r="E2374">
        <v>8</v>
      </c>
      <c r="H2374">
        <v>225</v>
      </c>
      <c r="I2374" t="s">
        <v>353</v>
      </c>
      <c r="J2374" t="s">
        <v>150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309"/>
        <v>14:54:53.703</v>
      </c>
      <c r="T2374" t="str">
        <f t="shared" si="1309"/>
        <v>14:54:53.703</v>
      </c>
      <c r="U2374" t="str">
        <f t="shared" si="1307"/>
        <v>ACC530</v>
      </c>
      <c r="V2374">
        <v>0</v>
      </c>
      <c r="W2374">
        <v>0</v>
      </c>
      <c r="X2374">
        <v>1</v>
      </c>
      <c r="Z2374">
        <v>0</v>
      </c>
      <c r="AA2374">
        <v>9</v>
      </c>
      <c r="AB2374">
        <v>3</v>
      </c>
      <c r="AC2374">
        <v>0</v>
      </c>
      <c r="AD2374">
        <v>9</v>
      </c>
      <c r="AE2374">
        <v>0</v>
      </c>
      <c r="AF2374">
        <v>3</v>
      </c>
      <c r="AG2374">
        <v>1</v>
      </c>
      <c r="AH2374">
        <v>0</v>
      </c>
      <c r="AI2374" t="s">
        <v>848</v>
      </c>
      <c r="AJ2374">
        <v>34.152932</v>
      </c>
      <c r="AK2374" t="s">
        <v>849</v>
      </c>
      <c r="AL2374">
        <v>-117.04681600000001</v>
      </c>
      <c r="AM2374">
        <v>100</v>
      </c>
      <c r="AN2374">
        <v>7300</v>
      </c>
      <c r="AO2374" t="s">
        <v>118</v>
      </c>
      <c r="AP2374">
        <v>-57</v>
      </c>
      <c r="AQ2374">
        <v>-96</v>
      </c>
      <c r="AR2374">
        <v>-704</v>
      </c>
      <c r="AZ2374">
        <v>1200</v>
      </c>
      <c r="BA2374">
        <v>1</v>
      </c>
      <c r="BB2374" t="str">
        <f t="shared" si="1311"/>
        <v xml:space="preserve">N9217B  </v>
      </c>
      <c r="BC2374">
        <v>1</v>
      </c>
      <c r="BE2374">
        <v>0</v>
      </c>
      <c r="BF2374">
        <v>0</v>
      </c>
      <c r="BG2374">
        <v>0</v>
      </c>
      <c r="BH2374">
        <v>7200</v>
      </c>
      <c r="BI2374">
        <v>1</v>
      </c>
      <c r="BJ2374">
        <v>0</v>
      </c>
      <c r="BK2374">
        <v>0</v>
      </c>
      <c r="BL2374">
        <v>0</v>
      </c>
      <c r="BO2374">
        <v>0</v>
      </c>
      <c r="BP2374">
        <v>0</v>
      </c>
      <c r="BW2374" t="str">
        <f t="shared" si="1310"/>
        <v>14:54:53.703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285</v>
      </c>
      <c r="CR2374">
        <v>0</v>
      </c>
      <c r="CW2374">
        <v>8865285</v>
      </c>
      <c r="CY2374">
        <v>0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25">
      <c r="A2375" t="str">
        <f t="shared" si="1308"/>
        <v>06/05/2020 14:54:48.043</v>
      </c>
      <c r="C2375" t="str">
        <f t="shared" si="1291"/>
        <v>FFDFD3C0</v>
      </c>
      <c r="D2375" t="s">
        <v>134</v>
      </c>
      <c r="E2375">
        <v>7</v>
      </c>
      <c r="F2375">
        <v>2007</v>
      </c>
      <c r="G2375" t="s">
        <v>135</v>
      </c>
      <c r="J2375" t="s">
        <v>136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309"/>
        <v>14:54:53.703</v>
      </c>
      <c r="T2375" t="str">
        <f t="shared" si="1309"/>
        <v>14:54:53.703</v>
      </c>
      <c r="U2375" t="str">
        <f t="shared" si="1307"/>
        <v>ACC530</v>
      </c>
      <c r="V2375">
        <v>0</v>
      </c>
      <c r="W2375">
        <v>0</v>
      </c>
      <c r="X2375">
        <v>1</v>
      </c>
      <c r="Z2375">
        <v>0</v>
      </c>
      <c r="AA2375">
        <v>9</v>
      </c>
      <c r="AB2375">
        <v>3</v>
      </c>
      <c r="AC2375">
        <v>0</v>
      </c>
      <c r="AD2375">
        <v>9</v>
      </c>
      <c r="AE2375">
        <v>0</v>
      </c>
      <c r="AF2375">
        <v>3</v>
      </c>
      <c r="AG2375">
        <v>1</v>
      </c>
      <c r="AH2375">
        <v>0</v>
      </c>
      <c r="AI2375" t="s">
        <v>848</v>
      </c>
      <c r="AJ2375">
        <v>34.152932</v>
      </c>
      <c r="AK2375" t="s">
        <v>849</v>
      </c>
      <c r="AL2375">
        <v>-117.04681600000001</v>
      </c>
      <c r="AM2375">
        <v>100</v>
      </c>
      <c r="AN2375">
        <v>7300</v>
      </c>
      <c r="AO2375" t="s">
        <v>118</v>
      </c>
      <c r="AP2375">
        <v>-57</v>
      </c>
      <c r="AQ2375">
        <v>-96</v>
      </c>
      <c r="AR2375">
        <v>-704</v>
      </c>
      <c r="AZ2375">
        <v>1200</v>
      </c>
      <c r="BA2375">
        <v>1</v>
      </c>
      <c r="BB2375" t="str">
        <f t="shared" si="1311"/>
        <v xml:space="preserve">N9217B  </v>
      </c>
      <c r="BC2375">
        <v>1</v>
      </c>
      <c r="BE2375">
        <v>0</v>
      </c>
      <c r="BF2375">
        <v>0</v>
      </c>
      <c r="BG2375">
        <v>0</v>
      </c>
      <c r="BH2375">
        <v>7200</v>
      </c>
      <c r="BI2375">
        <v>1</v>
      </c>
      <c r="BJ2375">
        <v>0</v>
      </c>
      <c r="BK2375">
        <v>0</v>
      </c>
      <c r="BL2375">
        <v>0</v>
      </c>
      <c r="BO2375">
        <v>0</v>
      </c>
      <c r="BP2375">
        <v>0</v>
      </c>
      <c r="BW2375" t="str">
        <f t="shared" si="1310"/>
        <v>14:54:53.703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285</v>
      </c>
      <c r="CR2375">
        <v>0</v>
      </c>
      <c r="CW2375">
        <v>8865285</v>
      </c>
      <c r="CY2375">
        <v>0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25">
      <c r="A2376" t="str">
        <f t="shared" si="1308"/>
        <v>06/05/2020 14:54:48.043</v>
      </c>
      <c r="C2376" t="str">
        <f t="shared" si="1291"/>
        <v>FFDFD3C0</v>
      </c>
      <c r="D2376" t="s">
        <v>151</v>
      </c>
      <c r="E2376">
        <v>9</v>
      </c>
      <c r="H2376">
        <v>226</v>
      </c>
      <c r="I2376" t="s">
        <v>152</v>
      </c>
      <c r="J2376" t="s">
        <v>150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309"/>
        <v>14:54:53.703</v>
      </c>
      <c r="T2376" t="str">
        <f t="shared" si="1309"/>
        <v>14:54:53.703</v>
      </c>
      <c r="U2376" t="str">
        <f t="shared" si="1307"/>
        <v>ACC530</v>
      </c>
      <c r="V2376">
        <v>0</v>
      </c>
      <c r="W2376">
        <v>0</v>
      </c>
      <c r="X2376">
        <v>1</v>
      </c>
      <c r="Z2376">
        <v>0</v>
      </c>
      <c r="AA2376">
        <v>9</v>
      </c>
      <c r="AB2376">
        <v>3</v>
      </c>
      <c r="AC2376">
        <v>0</v>
      </c>
      <c r="AD2376">
        <v>9</v>
      </c>
      <c r="AE2376">
        <v>0</v>
      </c>
      <c r="AF2376">
        <v>3</v>
      </c>
      <c r="AG2376">
        <v>1</v>
      </c>
      <c r="AH2376">
        <v>0</v>
      </c>
      <c r="AI2376" t="s">
        <v>848</v>
      </c>
      <c r="AJ2376">
        <v>34.152932</v>
      </c>
      <c r="AK2376" t="s">
        <v>849</v>
      </c>
      <c r="AL2376">
        <v>-117.04681600000001</v>
      </c>
      <c r="AM2376">
        <v>100</v>
      </c>
      <c r="AN2376">
        <v>7300</v>
      </c>
      <c r="AO2376" t="s">
        <v>118</v>
      </c>
      <c r="AP2376">
        <v>-57</v>
      </c>
      <c r="AQ2376">
        <v>-96</v>
      </c>
      <c r="AR2376">
        <v>-704</v>
      </c>
      <c r="AZ2376">
        <v>1200</v>
      </c>
      <c r="BA2376">
        <v>1</v>
      </c>
      <c r="BB2376" t="str">
        <f t="shared" si="1311"/>
        <v xml:space="preserve">N9217B  </v>
      </c>
      <c r="BC2376">
        <v>1</v>
      </c>
      <c r="BE2376">
        <v>0</v>
      </c>
      <c r="BF2376">
        <v>0</v>
      </c>
      <c r="BG2376">
        <v>0</v>
      </c>
      <c r="BH2376">
        <v>7200</v>
      </c>
      <c r="BI2376">
        <v>1</v>
      </c>
      <c r="BJ2376">
        <v>0</v>
      </c>
      <c r="BK2376">
        <v>0</v>
      </c>
      <c r="BL2376">
        <v>0</v>
      </c>
      <c r="BO2376">
        <v>0</v>
      </c>
      <c r="BP2376">
        <v>0</v>
      </c>
      <c r="BW2376" t="str">
        <f t="shared" si="1310"/>
        <v>14:54:53.703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285</v>
      </c>
      <c r="CR2376">
        <v>0</v>
      </c>
      <c r="CW2376">
        <v>8865285</v>
      </c>
      <c r="CY2376">
        <v>0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25">
      <c r="A2377" t="str">
        <f t="shared" si="1308"/>
        <v>06/05/2020 14:54:48.043</v>
      </c>
      <c r="C2377" t="str">
        <f t="shared" si="1291"/>
        <v>FFDFD3C0</v>
      </c>
      <c r="D2377" t="s">
        <v>141</v>
      </c>
      <c r="E2377">
        <v>20</v>
      </c>
      <c r="F2377">
        <v>1020</v>
      </c>
      <c r="G2377" t="s">
        <v>114</v>
      </c>
      <c r="J2377" t="s">
        <v>142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309"/>
        <v>14:54:53.703</v>
      </c>
      <c r="T2377" t="str">
        <f t="shared" si="1309"/>
        <v>14:54:53.703</v>
      </c>
      <c r="U2377" t="str">
        <f t="shared" si="1307"/>
        <v>ACC530</v>
      </c>
      <c r="V2377">
        <v>0</v>
      </c>
      <c r="W2377">
        <v>0</v>
      </c>
      <c r="X2377">
        <v>1</v>
      </c>
      <c r="Z2377">
        <v>0</v>
      </c>
      <c r="AA2377">
        <v>9</v>
      </c>
      <c r="AB2377">
        <v>3</v>
      </c>
      <c r="AC2377">
        <v>0</v>
      </c>
      <c r="AD2377">
        <v>9</v>
      </c>
      <c r="AE2377">
        <v>0</v>
      </c>
      <c r="AF2377">
        <v>3</v>
      </c>
      <c r="AG2377">
        <v>1</v>
      </c>
      <c r="AH2377">
        <v>0</v>
      </c>
      <c r="AI2377" t="s">
        <v>848</v>
      </c>
      <c r="AJ2377">
        <v>34.152932</v>
      </c>
      <c r="AK2377" t="s">
        <v>849</v>
      </c>
      <c r="AL2377">
        <v>-117.04681600000001</v>
      </c>
      <c r="AM2377">
        <v>100</v>
      </c>
      <c r="AN2377">
        <v>7300</v>
      </c>
      <c r="AO2377" t="s">
        <v>118</v>
      </c>
      <c r="AP2377">
        <v>-57</v>
      </c>
      <c r="AQ2377">
        <v>-96</v>
      </c>
      <c r="AR2377">
        <v>-704</v>
      </c>
      <c r="AZ2377">
        <v>1200</v>
      </c>
      <c r="BA2377">
        <v>1</v>
      </c>
      <c r="BB2377" t="str">
        <f t="shared" si="1311"/>
        <v xml:space="preserve">N9217B  </v>
      </c>
      <c r="BC2377">
        <v>1</v>
      </c>
      <c r="BE2377">
        <v>0</v>
      </c>
      <c r="BF2377">
        <v>0</v>
      </c>
      <c r="BG2377">
        <v>0</v>
      </c>
      <c r="BH2377">
        <v>7200</v>
      </c>
      <c r="BI2377">
        <v>1</v>
      </c>
      <c r="BJ2377">
        <v>0</v>
      </c>
      <c r="BK2377">
        <v>0</v>
      </c>
      <c r="BL2377">
        <v>0</v>
      </c>
      <c r="BO2377">
        <v>0</v>
      </c>
      <c r="BP2377">
        <v>0</v>
      </c>
      <c r="BW2377" t="str">
        <f t="shared" si="1310"/>
        <v>14:54:53.703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285</v>
      </c>
      <c r="CR2377">
        <v>0</v>
      </c>
      <c r="CW2377">
        <v>8865285</v>
      </c>
      <c r="CY2377">
        <v>0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25">
      <c r="A2378" t="str">
        <f t="shared" si="1308"/>
        <v>06/05/2020 14:54:48.043</v>
      </c>
      <c r="C2378" t="str">
        <f t="shared" si="1291"/>
        <v>FFDFD3C0</v>
      </c>
      <c r="D2378" t="s">
        <v>148</v>
      </c>
      <c r="E2378">
        <v>8</v>
      </c>
      <c r="H2378">
        <v>50</v>
      </c>
      <c r="I2378" t="s">
        <v>149</v>
      </c>
      <c r="J2378" t="s">
        <v>150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309"/>
        <v>14:54:53.703</v>
      </c>
      <c r="T2378" t="str">
        <f t="shared" si="1309"/>
        <v>14:54:53.703</v>
      </c>
      <c r="U2378" t="str">
        <f t="shared" si="1307"/>
        <v>ACC530</v>
      </c>
      <c r="V2378">
        <v>0</v>
      </c>
      <c r="W2378">
        <v>0</v>
      </c>
      <c r="X2378">
        <v>1</v>
      </c>
      <c r="Z2378">
        <v>0</v>
      </c>
      <c r="AA2378">
        <v>9</v>
      </c>
      <c r="AB2378">
        <v>3</v>
      </c>
      <c r="AC2378">
        <v>0</v>
      </c>
      <c r="AD2378">
        <v>9</v>
      </c>
      <c r="AE2378">
        <v>0</v>
      </c>
      <c r="AF2378">
        <v>3</v>
      </c>
      <c r="AG2378">
        <v>1</v>
      </c>
      <c r="AH2378">
        <v>0</v>
      </c>
      <c r="AI2378" t="s">
        <v>848</v>
      </c>
      <c r="AJ2378">
        <v>34.152932</v>
      </c>
      <c r="AK2378" t="s">
        <v>849</v>
      </c>
      <c r="AL2378">
        <v>-117.04681600000001</v>
      </c>
      <c r="AM2378">
        <v>100</v>
      </c>
      <c r="AN2378">
        <v>7300</v>
      </c>
      <c r="AO2378" t="s">
        <v>118</v>
      </c>
      <c r="AP2378">
        <v>-57</v>
      </c>
      <c r="AQ2378">
        <v>-96</v>
      </c>
      <c r="AR2378">
        <v>-704</v>
      </c>
      <c r="AZ2378">
        <v>1200</v>
      </c>
      <c r="BA2378">
        <v>1</v>
      </c>
      <c r="BB2378" t="str">
        <f t="shared" si="1311"/>
        <v xml:space="preserve">N9217B  </v>
      </c>
      <c r="BC2378">
        <v>1</v>
      </c>
      <c r="BE2378">
        <v>0</v>
      </c>
      <c r="BF2378">
        <v>0</v>
      </c>
      <c r="BG2378">
        <v>0</v>
      </c>
      <c r="BH2378">
        <v>7200</v>
      </c>
      <c r="BI2378">
        <v>1</v>
      </c>
      <c r="BJ2378">
        <v>0</v>
      </c>
      <c r="BK2378">
        <v>0</v>
      </c>
      <c r="BL2378">
        <v>0</v>
      </c>
      <c r="BO2378">
        <v>0</v>
      </c>
      <c r="BP2378">
        <v>0</v>
      </c>
      <c r="BW2378" t="str">
        <f t="shared" si="1310"/>
        <v>14:54:53.703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285</v>
      </c>
      <c r="CR2378">
        <v>0</v>
      </c>
      <c r="CW2378">
        <v>8865285</v>
      </c>
      <c r="CY2378">
        <v>0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25">
      <c r="A2379" t="str">
        <f t="shared" ref="A2379:A2385" si="1312">"06/05/2020 14:54:48.969"</f>
        <v>06/05/2020 14:54:48.969</v>
      </c>
      <c r="C2379" t="str">
        <f t="shared" si="1291"/>
        <v>FFDFD3C0</v>
      </c>
      <c r="D2379" t="s">
        <v>151</v>
      </c>
      <c r="E2379">
        <v>8</v>
      </c>
      <c r="H2379">
        <v>225</v>
      </c>
      <c r="I2379" t="s">
        <v>353</v>
      </c>
      <c r="J2379" t="s">
        <v>150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ref="S2379:S2385" si="1313">"14:54:54.602"</f>
        <v>14:54:54.602</v>
      </c>
      <c r="T2379" t="str">
        <f t="shared" ref="T2379:T2385" si="1314">"14:54:54.202"</f>
        <v>14:54:54.202</v>
      </c>
      <c r="U2379" t="str">
        <f t="shared" si="1307"/>
        <v>ACC530</v>
      </c>
      <c r="V2379">
        <v>0</v>
      </c>
      <c r="W2379">
        <v>0</v>
      </c>
      <c r="X2379">
        <v>1</v>
      </c>
      <c r="Z2379">
        <v>0</v>
      </c>
      <c r="AA2379">
        <v>9</v>
      </c>
      <c r="AB2379">
        <v>3</v>
      </c>
      <c r="AC2379">
        <v>0</v>
      </c>
      <c r="AD2379">
        <v>9</v>
      </c>
      <c r="AE2379">
        <v>0</v>
      </c>
      <c r="AF2379">
        <v>3</v>
      </c>
      <c r="AG2379">
        <v>1</v>
      </c>
      <c r="AH2379">
        <v>0</v>
      </c>
      <c r="AI2379" t="s">
        <v>850</v>
      </c>
      <c r="AJ2379">
        <v>34.152546000000001</v>
      </c>
      <c r="AK2379" t="s">
        <v>851</v>
      </c>
      <c r="AL2379">
        <v>-117.04707399999999</v>
      </c>
      <c r="AM2379">
        <v>100</v>
      </c>
      <c r="AN2379">
        <v>7200</v>
      </c>
      <c r="AO2379" t="s">
        <v>118</v>
      </c>
      <c r="AP2379">
        <v>-57</v>
      </c>
      <c r="AQ2379">
        <v>-96</v>
      </c>
      <c r="AR2379">
        <v>-640</v>
      </c>
      <c r="AZ2379">
        <v>1200</v>
      </c>
      <c r="BA2379">
        <v>1</v>
      </c>
      <c r="BB2379" t="str">
        <f t="shared" si="1311"/>
        <v xml:space="preserve">N9217B  </v>
      </c>
      <c r="BC2379">
        <v>1</v>
      </c>
      <c r="BE2379">
        <v>0</v>
      </c>
      <c r="BF2379">
        <v>0</v>
      </c>
      <c r="BG2379">
        <v>0</v>
      </c>
      <c r="BH2379">
        <v>7075</v>
      </c>
      <c r="BI2379">
        <v>1</v>
      </c>
      <c r="BJ2379">
        <v>0</v>
      </c>
      <c r="BK2379">
        <v>0</v>
      </c>
      <c r="BL2379">
        <v>0</v>
      </c>
      <c r="BO2379">
        <v>0</v>
      </c>
      <c r="BP2379">
        <v>0</v>
      </c>
      <c r="BW2379" t="str">
        <f t="shared" ref="BW2379:BW2385" si="1315">"14:54:54.603"</f>
        <v>14:54:54.603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285</v>
      </c>
      <c r="CR2379">
        <v>0</v>
      </c>
      <c r="CW2379">
        <v>8865368</v>
      </c>
      <c r="CY2379">
        <v>0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25">
      <c r="A2380" t="str">
        <f t="shared" si="1312"/>
        <v>06/05/2020 14:54:48.969</v>
      </c>
      <c r="C2380" t="str">
        <f t="shared" si="1291"/>
        <v>FFDFD3C0</v>
      </c>
      <c r="D2380" t="s">
        <v>134</v>
      </c>
      <c r="E2380">
        <v>7</v>
      </c>
      <c r="F2380">
        <v>2007</v>
      </c>
      <c r="G2380" t="s">
        <v>135</v>
      </c>
      <c r="J2380" t="s">
        <v>136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313"/>
        <v>14:54:54.602</v>
      </c>
      <c r="T2380" t="str">
        <f t="shared" si="1314"/>
        <v>14:54:54.202</v>
      </c>
      <c r="U2380" t="str">
        <f t="shared" si="1307"/>
        <v>ACC530</v>
      </c>
      <c r="V2380">
        <v>0</v>
      </c>
      <c r="W2380">
        <v>0</v>
      </c>
      <c r="X2380">
        <v>1</v>
      </c>
      <c r="Z2380">
        <v>0</v>
      </c>
      <c r="AA2380">
        <v>9</v>
      </c>
      <c r="AB2380">
        <v>3</v>
      </c>
      <c r="AC2380">
        <v>0</v>
      </c>
      <c r="AD2380">
        <v>9</v>
      </c>
      <c r="AE2380">
        <v>0</v>
      </c>
      <c r="AF2380">
        <v>3</v>
      </c>
      <c r="AG2380">
        <v>1</v>
      </c>
      <c r="AH2380">
        <v>0</v>
      </c>
      <c r="AI2380" t="s">
        <v>850</v>
      </c>
      <c r="AJ2380">
        <v>34.152546000000001</v>
      </c>
      <c r="AK2380" t="s">
        <v>851</v>
      </c>
      <c r="AL2380">
        <v>-117.04707399999999</v>
      </c>
      <c r="AM2380">
        <v>100</v>
      </c>
      <c r="AN2380">
        <v>7200</v>
      </c>
      <c r="AO2380" t="s">
        <v>118</v>
      </c>
      <c r="AP2380">
        <v>-57</v>
      </c>
      <c r="AQ2380">
        <v>-96</v>
      </c>
      <c r="AR2380">
        <v>-640</v>
      </c>
      <c r="AZ2380">
        <v>1200</v>
      </c>
      <c r="BA2380">
        <v>1</v>
      </c>
      <c r="BB2380" t="str">
        <f t="shared" si="1311"/>
        <v xml:space="preserve">N9217B  </v>
      </c>
      <c r="BC2380">
        <v>1</v>
      </c>
      <c r="BE2380">
        <v>0</v>
      </c>
      <c r="BF2380">
        <v>0</v>
      </c>
      <c r="BG2380">
        <v>0</v>
      </c>
      <c r="BH2380">
        <v>7075</v>
      </c>
      <c r="BI2380">
        <v>1</v>
      </c>
      <c r="BJ2380">
        <v>0</v>
      </c>
      <c r="BK2380">
        <v>0</v>
      </c>
      <c r="BL2380">
        <v>0</v>
      </c>
      <c r="BO2380">
        <v>0</v>
      </c>
      <c r="BP2380">
        <v>0</v>
      </c>
      <c r="BW2380" t="str">
        <f t="shared" si="1315"/>
        <v>14:54:54.603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285</v>
      </c>
      <c r="CR2380">
        <v>0</v>
      </c>
      <c r="CW2380">
        <v>8865368</v>
      </c>
      <c r="CY2380">
        <v>0</v>
      </c>
      <c r="CZ2380">
        <v>0</v>
      </c>
      <c r="DA2380">
        <v>1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25">
      <c r="A2381" t="str">
        <f t="shared" si="1312"/>
        <v>06/05/2020 14:54:48.969</v>
      </c>
      <c r="C2381" t="str">
        <f t="shared" si="1291"/>
        <v>FFDFD3C0</v>
      </c>
      <c r="D2381" t="s">
        <v>151</v>
      </c>
      <c r="E2381">
        <v>9</v>
      </c>
      <c r="H2381">
        <v>226</v>
      </c>
      <c r="I2381" t="s">
        <v>152</v>
      </c>
      <c r="J2381" t="s">
        <v>150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313"/>
        <v>14:54:54.602</v>
      </c>
      <c r="T2381" t="str">
        <f t="shared" si="1314"/>
        <v>14:54:54.202</v>
      </c>
      <c r="U2381" t="str">
        <f t="shared" si="1307"/>
        <v>ACC530</v>
      </c>
      <c r="V2381">
        <v>0</v>
      </c>
      <c r="W2381">
        <v>0</v>
      </c>
      <c r="X2381">
        <v>1</v>
      </c>
      <c r="Z2381">
        <v>0</v>
      </c>
      <c r="AA2381">
        <v>9</v>
      </c>
      <c r="AB2381">
        <v>3</v>
      </c>
      <c r="AC2381">
        <v>0</v>
      </c>
      <c r="AD2381">
        <v>9</v>
      </c>
      <c r="AE2381">
        <v>0</v>
      </c>
      <c r="AF2381">
        <v>3</v>
      </c>
      <c r="AG2381">
        <v>1</v>
      </c>
      <c r="AH2381">
        <v>0</v>
      </c>
      <c r="AI2381" t="s">
        <v>850</v>
      </c>
      <c r="AJ2381">
        <v>34.152546000000001</v>
      </c>
      <c r="AK2381" t="s">
        <v>851</v>
      </c>
      <c r="AL2381">
        <v>-117.04707399999999</v>
      </c>
      <c r="AM2381">
        <v>100</v>
      </c>
      <c r="AN2381">
        <v>7200</v>
      </c>
      <c r="AO2381" t="s">
        <v>118</v>
      </c>
      <c r="AP2381">
        <v>-57</v>
      </c>
      <c r="AQ2381">
        <v>-96</v>
      </c>
      <c r="AR2381">
        <v>-640</v>
      </c>
      <c r="AZ2381">
        <v>1200</v>
      </c>
      <c r="BA2381">
        <v>1</v>
      </c>
      <c r="BB2381" t="str">
        <f t="shared" si="1311"/>
        <v xml:space="preserve">N9217B  </v>
      </c>
      <c r="BC2381">
        <v>1</v>
      </c>
      <c r="BE2381">
        <v>0</v>
      </c>
      <c r="BF2381">
        <v>0</v>
      </c>
      <c r="BG2381">
        <v>0</v>
      </c>
      <c r="BH2381">
        <v>7075</v>
      </c>
      <c r="BI2381">
        <v>1</v>
      </c>
      <c r="BJ2381">
        <v>0</v>
      </c>
      <c r="BK2381">
        <v>0</v>
      </c>
      <c r="BL2381">
        <v>0</v>
      </c>
      <c r="BO2381">
        <v>0</v>
      </c>
      <c r="BP2381">
        <v>0</v>
      </c>
      <c r="BW2381" t="str">
        <f t="shared" si="1315"/>
        <v>14:54:54.603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285</v>
      </c>
      <c r="CR2381">
        <v>0</v>
      </c>
      <c r="CW2381">
        <v>8865368</v>
      </c>
      <c r="CY2381">
        <v>0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25">
      <c r="A2382" t="str">
        <f t="shared" si="1312"/>
        <v>06/05/2020 14:54:48.969</v>
      </c>
      <c r="C2382" t="str">
        <f t="shared" si="1291"/>
        <v>FFDFD3C0</v>
      </c>
      <c r="D2382" t="s">
        <v>141</v>
      </c>
      <c r="E2382">
        <v>20</v>
      </c>
      <c r="F2382">
        <v>1020</v>
      </c>
      <c r="G2382" t="s">
        <v>114</v>
      </c>
      <c r="J2382" t="s">
        <v>142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313"/>
        <v>14:54:54.602</v>
      </c>
      <c r="T2382" t="str">
        <f t="shared" si="1314"/>
        <v>14:54:54.202</v>
      </c>
      <c r="U2382" t="str">
        <f t="shared" si="1307"/>
        <v>ACC530</v>
      </c>
      <c r="V2382">
        <v>0</v>
      </c>
      <c r="W2382">
        <v>0</v>
      </c>
      <c r="X2382">
        <v>1</v>
      </c>
      <c r="Z2382">
        <v>0</v>
      </c>
      <c r="AA2382">
        <v>9</v>
      </c>
      <c r="AB2382">
        <v>3</v>
      </c>
      <c r="AC2382">
        <v>0</v>
      </c>
      <c r="AD2382">
        <v>9</v>
      </c>
      <c r="AE2382">
        <v>0</v>
      </c>
      <c r="AF2382">
        <v>3</v>
      </c>
      <c r="AG2382">
        <v>1</v>
      </c>
      <c r="AH2382">
        <v>0</v>
      </c>
      <c r="AI2382" t="s">
        <v>850</v>
      </c>
      <c r="AJ2382">
        <v>34.152546000000001</v>
      </c>
      <c r="AK2382" t="s">
        <v>851</v>
      </c>
      <c r="AL2382">
        <v>-117.04707399999999</v>
      </c>
      <c r="AM2382">
        <v>100</v>
      </c>
      <c r="AN2382">
        <v>7200</v>
      </c>
      <c r="AO2382" t="s">
        <v>118</v>
      </c>
      <c r="AP2382">
        <v>-57</v>
      </c>
      <c r="AQ2382">
        <v>-96</v>
      </c>
      <c r="AR2382">
        <v>-640</v>
      </c>
      <c r="AZ2382">
        <v>1200</v>
      </c>
      <c r="BA2382">
        <v>1</v>
      </c>
      <c r="BB2382" t="str">
        <f t="shared" si="1311"/>
        <v xml:space="preserve">N9217B  </v>
      </c>
      <c r="BC2382">
        <v>1</v>
      </c>
      <c r="BE2382">
        <v>0</v>
      </c>
      <c r="BF2382">
        <v>0</v>
      </c>
      <c r="BG2382">
        <v>0</v>
      </c>
      <c r="BH2382">
        <v>7075</v>
      </c>
      <c r="BI2382">
        <v>1</v>
      </c>
      <c r="BJ2382">
        <v>0</v>
      </c>
      <c r="BK2382">
        <v>0</v>
      </c>
      <c r="BL2382">
        <v>0</v>
      </c>
      <c r="BO2382">
        <v>0</v>
      </c>
      <c r="BP2382">
        <v>0</v>
      </c>
      <c r="BW2382" t="str">
        <f t="shared" si="1315"/>
        <v>14:54:54.603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285</v>
      </c>
      <c r="CR2382">
        <v>0</v>
      </c>
      <c r="CW2382">
        <v>8865368</v>
      </c>
      <c r="CY2382">
        <v>0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25">
      <c r="A2383" t="str">
        <f t="shared" si="1312"/>
        <v>06/05/2020 14:54:48.969</v>
      </c>
      <c r="C2383" t="str">
        <f t="shared" si="1291"/>
        <v>FFDFD3C0</v>
      </c>
      <c r="D2383" t="s">
        <v>148</v>
      </c>
      <c r="E2383">
        <v>8</v>
      </c>
      <c r="H2383">
        <v>50</v>
      </c>
      <c r="I2383" t="s">
        <v>149</v>
      </c>
      <c r="J2383" t="s">
        <v>150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313"/>
        <v>14:54:54.602</v>
      </c>
      <c r="T2383" t="str">
        <f t="shared" si="1314"/>
        <v>14:54:54.202</v>
      </c>
      <c r="U2383" t="str">
        <f t="shared" si="1307"/>
        <v>ACC530</v>
      </c>
      <c r="V2383">
        <v>0</v>
      </c>
      <c r="W2383">
        <v>0</v>
      </c>
      <c r="X2383">
        <v>1</v>
      </c>
      <c r="Z2383">
        <v>0</v>
      </c>
      <c r="AA2383">
        <v>9</v>
      </c>
      <c r="AB2383">
        <v>3</v>
      </c>
      <c r="AC2383">
        <v>0</v>
      </c>
      <c r="AD2383">
        <v>9</v>
      </c>
      <c r="AE2383">
        <v>0</v>
      </c>
      <c r="AF2383">
        <v>3</v>
      </c>
      <c r="AG2383">
        <v>1</v>
      </c>
      <c r="AH2383">
        <v>0</v>
      </c>
      <c r="AI2383" t="s">
        <v>850</v>
      </c>
      <c r="AJ2383">
        <v>34.152546000000001</v>
      </c>
      <c r="AK2383" t="s">
        <v>851</v>
      </c>
      <c r="AL2383">
        <v>-117.04707399999999</v>
      </c>
      <c r="AM2383">
        <v>100</v>
      </c>
      <c r="AN2383">
        <v>7200</v>
      </c>
      <c r="AO2383" t="s">
        <v>118</v>
      </c>
      <c r="AP2383">
        <v>-57</v>
      </c>
      <c r="AQ2383">
        <v>-96</v>
      </c>
      <c r="AR2383">
        <v>-640</v>
      </c>
      <c r="AZ2383">
        <v>1200</v>
      </c>
      <c r="BA2383">
        <v>1</v>
      </c>
      <c r="BB2383" t="str">
        <f t="shared" si="1311"/>
        <v xml:space="preserve">N9217B  </v>
      </c>
      <c r="BC2383">
        <v>1</v>
      </c>
      <c r="BE2383">
        <v>0</v>
      </c>
      <c r="BF2383">
        <v>0</v>
      </c>
      <c r="BG2383">
        <v>0</v>
      </c>
      <c r="BH2383">
        <v>7075</v>
      </c>
      <c r="BI2383">
        <v>1</v>
      </c>
      <c r="BJ2383">
        <v>0</v>
      </c>
      <c r="BK2383">
        <v>0</v>
      </c>
      <c r="BL2383">
        <v>0</v>
      </c>
      <c r="BO2383">
        <v>0</v>
      </c>
      <c r="BP2383">
        <v>0</v>
      </c>
      <c r="BW2383" t="str">
        <f t="shared" si="1315"/>
        <v>14:54:54.603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285</v>
      </c>
      <c r="CR2383">
        <v>0</v>
      </c>
      <c r="CW2383">
        <v>8865368</v>
      </c>
      <c r="CY2383">
        <v>0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25">
      <c r="A2384" t="str">
        <f t="shared" si="1312"/>
        <v>06/05/2020 14:54:48.969</v>
      </c>
      <c r="C2384" t="str">
        <f t="shared" si="1291"/>
        <v>FFDFD3C0</v>
      </c>
      <c r="D2384" t="s">
        <v>148</v>
      </c>
      <c r="E2384">
        <v>11</v>
      </c>
      <c r="H2384">
        <v>53</v>
      </c>
      <c r="I2384" t="s">
        <v>364</v>
      </c>
      <c r="J2384" t="s">
        <v>150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313"/>
        <v>14:54:54.602</v>
      </c>
      <c r="T2384" t="str">
        <f t="shared" si="1314"/>
        <v>14:54:54.202</v>
      </c>
      <c r="U2384" t="str">
        <f t="shared" si="1307"/>
        <v>ACC530</v>
      </c>
      <c r="V2384">
        <v>0</v>
      </c>
      <c r="W2384">
        <v>0</v>
      </c>
      <c r="X2384">
        <v>1</v>
      </c>
      <c r="Z2384">
        <v>0</v>
      </c>
      <c r="AA2384">
        <v>9</v>
      </c>
      <c r="AB2384">
        <v>3</v>
      </c>
      <c r="AC2384">
        <v>0</v>
      </c>
      <c r="AD2384">
        <v>9</v>
      </c>
      <c r="AE2384">
        <v>0</v>
      </c>
      <c r="AF2384">
        <v>3</v>
      </c>
      <c r="AG2384">
        <v>1</v>
      </c>
      <c r="AH2384">
        <v>0</v>
      </c>
      <c r="AI2384" t="s">
        <v>850</v>
      </c>
      <c r="AJ2384">
        <v>34.152546000000001</v>
      </c>
      <c r="AK2384" t="s">
        <v>851</v>
      </c>
      <c r="AL2384">
        <v>-117.04707399999999</v>
      </c>
      <c r="AM2384">
        <v>100</v>
      </c>
      <c r="AN2384">
        <v>7200</v>
      </c>
      <c r="AO2384" t="s">
        <v>118</v>
      </c>
      <c r="AP2384">
        <v>-57</v>
      </c>
      <c r="AQ2384">
        <v>-96</v>
      </c>
      <c r="AR2384">
        <v>-640</v>
      </c>
      <c r="AZ2384">
        <v>1200</v>
      </c>
      <c r="BA2384">
        <v>1</v>
      </c>
      <c r="BB2384" t="str">
        <f t="shared" si="1311"/>
        <v xml:space="preserve">N9217B  </v>
      </c>
      <c r="BC2384">
        <v>1</v>
      </c>
      <c r="BE2384">
        <v>0</v>
      </c>
      <c r="BF2384">
        <v>0</v>
      </c>
      <c r="BG2384">
        <v>0</v>
      </c>
      <c r="BH2384">
        <v>7075</v>
      </c>
      <c r="BI2384">
        <v>1</v>
      </c>
      <c r="BJ2384">
        <v>0</v>
      </c>
      <c r="BK2384">
        <v>0</v>
      </c>
      <c r="BL2384">
        <v>0</v>
      </c>
      <c r="BO2384">
        <v>0</v>
      </c>
      <c r="BP2384">
        <v>0</v>
      </c>
      <c r="BW2384" t="str">
        <f t="shared" si="1315"/>
        <v>14:54:54.603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285</v>
      </c>
      <c r="CR2384">
        <v>0</v>
      </c>
      <c r="CW2384">
        <v>8865368</v>
      </c>
      <c r="CY2384">
        <v>0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25">
      <c r="A2385" t="str">
        <f t="shared" si="1312"/>
        <v>06/05/2020 14:54:48.969</v>
      </c>
      <c r="C2385" t="str">
        <f t="shared" si="1291"/>
        <v>FFDFD3C0</v>
      </c>
      <c r="D2385" t="s">
        <v>113</v>
      </c>
      <c r="E2385">
        <v>3</v>
      </c>
      <c r="H2385">
        <v>166</v>
      </c>
      <c r="I2385" t="s">
        <v>114</v>
      </c>
      <c r="J2385" t="s">
        <v>115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313"/>
        <v>14:54:54.602</v>
      </c>
      <c r="T2385" t="str">
        <f t="shared" si="1314"/>
        <v>14:54:54.202</v>
      </c>
      <c r="U2385" t="str">
        <f t="shared" si="1307"/>
        <v>ACC530</v>
      </c>
      <c r="V2385">
        <v>0</v>
      </c>
      <c r="W2385">
        <v>0</v>
      </c>
      <c r="X2385">
        <v>1</v>
      </c>
      <c r="Z2385">
        <v>0</v>
      </c>
      <c r="AA2385">
        <v>9</v>
      </c>
      <c r="AB2385">
        <v>3</v>
      </c>
      <c r="AC2385">
        <v>0</v>
      </c>
      <c r="AD2385">
        <v>9</v>
      </c>
      <c r="AE2385">
        <v>0</v>
      </c>
      <c r="AF2385">
        <v>3</v>
      </c>
      <c r="AG2385">
        <v>1</v>
      </c>
      <c r="AH2385">
        <v>0</v>
      </c>
      <c r="AI2385" t="s">
        <v>850</v>
      </c>
      <c r="AJ2385">
        <v>34.152546000000001</v>
      </c>
      <c r="AK2385" t="s">
        <v>851</v>
      </c>
      <c r="AL2385">
        <v>-117.04707399999999</v>
      </c>
      <c r="AM2385">
        <v>100</v>
      </c>
      <c r="AN2385">
        <v>7200</v>
      </c>
      <c r="AO2385" t="s">
        <v>118</v>
      </c>
      <c r="AP2385">
        <v>-57</v>
      </c>
      <c r="AQ2385">
        <v>-96</v>
      </c>
      <c r="AR2385">
        <v>-640</v>
      </c>
      <c r="AZ2385">
        <v>1200</v>
      </c>
      <c r="BA2385">
        <v>1</v>
      </c>
      <c r="BB2385" t="str">
        <f t="shared" si="1311"/>
        <v xml:space="preserve">N9217B  </v>
      </c>
      <c r="BC2385">
        <v>1</v>
      </c>
      <c r="BE2385">
        <v>0</v>
      </c>
      <c r="BF2385">
        <v>0</v>
      </c>
      <c r="BG2385">
        <v>0</v>
      </c>
      <c r="BH2385">
        <v>7075</v>
      </c>
      <c r="BI2385">
        <v>1</v>
      </c>
      <c r="BJ2385">
        <v>0</v>
      </c>
      <c r="BK2385">
        <v>0</v>
      </c>
      <c r="BL2385">
        <v>0</v>
      </c>
      <c r="BO2385">
        <v>0</v>
      </c>
      <c r="BP2385">
        <v>0</v>
      </c>
      <c r="BW2385" t="str">
        <f t="shared" si="1315"/>
        <v>14:54:54.603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285</v>
      </c>
      <c r="CR2385">
        <v>0</v>
      </c>
      <c r="CW2385">
        <v>8865368</v>
      </c>
      <c r="CY2385">
        <v>0</v>
      </c>
      <c r="CZ2385">
        <v>0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25">
      <c r="A2386" t="str">
        <f t="shared" ref="A2386:A2392" si="1316">"06/05/2020 14:54:50.009"</f>
        <v>06/05/2020 14:54:50.009</v>
      </c>
      <c r="C2386" t="str">
        <f t="shared" si="1291"/>
        <v>FFDFD3C0</v>
      </c>
      <c r="D2386" t="s">
        <v>148</v>
      </c>
      <c r="E2386">
        <v>8</v>
      </c>
      <c r="H2386">
        <v>50</v>
      </c>
      <c r="I2386" t="s">
        <v>149</v>
      </c>
      <c r="J2386" t="s">
        <v>150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ref="S2386:S2392" si="1317">"14:54:55.664"</f>
        <v>14:54:55.664</v>
      </c>
      <c r="T2386" t="str">
        <f t="shared" ref="T2386:T2392" si="1318">"14:54:55.364"</f>
        <v>14:54:55.364</v>
      </c>
      <c r="U2386" t="str">
        <f t="shared" si="1307"/>
        <v>ACC530</v>
      </c>
      <c r="V2386">
        <v>0</v>
      </c>
      <c r="W2386">
        <v>0</v>
      </c>
      <c r="X2386">
        <v>1</v>
      </c>
      <c r="Z2386">
        <v>0</v>
      </c>
      <c r="AA2386">
        <v>9</v>
      </c>
      <c r="AB2386">
        <v>3</v>
      </c>
      <c r="AC2386">
        <v>0</v>
      </c>
      <c r="AD2386">
        <v>9</v>
      </c>
      <c r="AE2386">
        <v>0</v>
      </c>
      <c r="AF2386">
        <v>3</v>
      </c>
      <c r="AG2386">
        <v>1</v>
      </c>
      <c r="AH2386">
        <v>0</v>
      </c>
      <c r="AI2386" t="s">
        <v>852</v>
      </c>
      <c r="AJ2386">
        <v>34.152051999999998</v>
      </c>
      <c r="AK2386" t="s">
        <v>853</v>
      </c>
      <c r="AL2386">
        <v>-117.047439</v>
      </c>
      <c r="AM2386">
        <v>100</v>
      </c>
      <c r="AN2386">
        <v>7200</v>
      </c>
      <c r="AO2386" t="s">
        <v>118</v>
      </c>
      <c r="AP2386">
        <v>-56</v>
      </c>
      <c r="AQ2386">
        <v>-95</v>
      </c>
      <c r="AR2386">
        <v>-640</v>
      </c>
      <c r="AZ2386">
        <v>1200</v>
      </c>
      <c r="BA2386">
        <v>1</v>
      </c>
      <c r="BB2386" t="str">
        <f t="shared" si="1311"/>
        <v xml:space="preserve">N9217B  </v>
      </c>
      <c r="BC2386">
        <v>1</v>
      </c>
      <c r="BE2386">
        <v>0</v>
      </c>
      <c r="BF2386">
        <v>0</v>
      </c>
      <c r="BG2386">
        <v>0</v>
      </c>
      <c r="BH2386">
        <v>7175</v>
      </c>
      <c r="BI2386">
        <v>1</v>
      </c>
      <c r="BJ2386">
        <v>0</v>
      </c>
      <c r="BK2386">
        <v>0</v>
      </c>
      <c r="BL2386">
        <v>0</v>
      </c>
      <c r="BO2386">
        <v>0</v>
      </c>
      <c r="BP2386">
        <v>0</v>
      </c>
      <c r="BW2386" t="str">
        <f t="shared" ref="BW2386:BW2392" si="1319">"14:54:55.668"</f>
        <v>14:54:55.668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285</v>
      </c>
      <c r="CR2386">
        <v>0</v>
      </c>
      <c r="CW2386">
        <v>8865466</v>
      </c>
      <c r="CY2386">
        <v>0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25">
      <c r="A2387" t="str">
        <f t="shared" si="1316"/>
        <v>06/05/2020 14:54:50.009</v>
      </c>
      <c r="C2387" t="str">
        <f t="shared" si="1291"/>
        <v>FFDFD3C0</v>
      </c>
      <c r="D2387" t="s">
        <v>148</v>
      </c>
      <c r="E2387">
        <v>11</v>
      </c>
      <c r="H2387">
        <v>53</v>
      </c>
      <c r="I2387" t="s">
        <v>364</v>
      </c>
      <c r="J2387" t="s">
        <v>150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317"/>
        <v>14:54:55.664</v>
      </c>
      <c r="T2387" t="str">
        <f t="shared" si="1318"/>
        <v>14:54:55.364</v>
      </c>
      <c r="U2387" t="str">
        <f t="shared" si="1307"/>
        <v>ACC530</v>
      </c>
      <c r="V2387">
        <v>0</v>
      </c>
      <c r="W2387">
        <v>0</v>
      </c>
      <c r="X2387">
        <v>1</v>
      </c>
      <c r="Z2387">
        <v>0</v>
      </c>
      <c r="AA2387">
        <v>9</v>
      </c>
      <c r="AB2387">
        <v>3</v>
      </c>
      <c r="AC2387">
        <v>0</v>
      </c>
      <c r="AD2387">
        <v>9</v>
      </c>
      <c r="AE2387">
        <v>0</v>
      </c>
      <c r="AF2387">
        <v>3</v>
      </c>
      <c r="AG2387">
        <v>1</v>
      </c>
      <c r="AH2387">
        <v>0</v>
      </c>
      <c r="AI2387" t="s">
        <v>852</v>
      </c>
      <c r="AJ2387">
        <v>34.152051999999998</v>
      </c>
      <c r="AK2387" t="s">
        <v>853</v>
      </c>
      <c r="AL2387">
        <v>-117.047439</v>
      </c>
      <c r="AM2387">
        <v>100</v>
      </c>
      <c r="AN2387">
        <v>7200</v>
      </c>
      <c r="AO2387" t="s">
        <v>118</v>
      </c>
      <c r="AP2387">
        <v>-56</v>
      </c>
      <c r="AQ2387">
        <v>-95</v>
      </c>
      <c r="AR2387">
        <v>-640</v>
      </c>
      <c r="AZ2387">
        <v>1200</v>
      </c>
      <c r="BA2387">
        <v>1</v>
      </c>
      <c r="BB2387" t="str">
        <f t="shared" si="1311"/>
        <v xml:space="preserve">N9217B  </v>
      </c>
      <c r="BC2387">
        <v>1</v>
      </c>
      <c r="BE2387">
        <v>0</v>
      </c>
      <c r="BF2387">
        <v>0</v>
      </c>
      <c r="BG2387">
        <v>0</v>
      </c>
      <c r="BH2387">
        <v>7175</v>
      </c>
      <c r="BI2387">
        <v>1</v>
      </c>
      <c r="BJ2387">
        <v>0</v>
      </c>
      <c r="BK2387">
        <v>0</v>
      </c>
      <c r="BL2387">
        <v>0</v>
      </c>
      <c r="BO2387">
        <v>0</v>
      </c>
      <c r="BP2387">
        <v>0</v>
      </c>
      <c r="BW2387" t="str">
        <f t="shared" si="1319"/>
        <v>14:54:55.668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285</v>
      </c>
      <c r="CR2387">
        <v>0</v>
      </c>
      <c r="CW2387">
        <v>8865466</v>
      </c>
      <c r="CY2387">
        <v>0</v>
      </c>
      <c r="CZ2387">
        <v>0</v>
      </c>
      <c r="DA2387">
        <v>1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25">
      <c r="A2388" t="str">
        <f t="shared" si="1316"/>
        <v>06/05/2020 14:54:50.009</v>
      </c>
      <c r="C2388" t="str">
        <f t="shared" si="1291"/>
        <v>FFDFD3C0</v>
      </c>
      <c r="D2388" t="s">
        <v>113</v>
      </c>
      <c r="E2388">
        <v>3</v>
      </c>
      <c r="H2388">
        <v>166</v>
      </c>
      <c r="I2388" t="s">
        <v>114</v>
      </c>
      <c r="J2388" t="s">
        <v>115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317"/>
        <v>14:54:55.664</v>
      </c>
      <c r="T2388" t="str">
        <f t="shared" si="1318"/>
        <v>14:54:55.364</v>
      </c>
      <c r="U2388" t="str">
        <f t="shared" si="1307"/>
        <v>ACC530</v>
      </c>
      <c r="V2388">
        <v>0</v>
      </c>
      <c r="W2388">
        <v>0</v>
      </c>
      <c r="X2388">
        <v>1</v>
      </c>
      <c r="Z2388">
        <v>0</v>
      </c>
      <c r="AA2388">
        <v>9</v>
      </c>
      <c r="AB2388">
        <v>3</v>
      </c>
      <c r="AC2388">
        <v>0</v>
      </c>
      <c r="AD2388">
        <v>9</v>
      </c>
      <c r="AE2388">
        <v>0</v>
      </c>
      <c r="AF2388">
        <v>3</v>
      </c>
      <c r="AG2388">
        <v>1</v>
      </c>
      <c r="AH2388">
        <v>0</v>
      </c>
      <c r="AI2388" t="s">
        <v>852</v>
      </c>
      <c r="AJ2388">
        <v>34.152051999999998</v>
      </c>
      <c r="AK2388" t="s">
        <v>853</v>
      </c>
      <c r="AL2388">
        <v>-117.047439</v>
      </c>
      <c r="AM2388">
        <v>100</v>
      </c>
      <c r="AN2388">
        <v>7200</v>
      </c>
      <c r="AO2388" t="s">
        <v>118</v>
      </c>
      <c r="AP2388">
        <v>-56</v>
      </c>
      <c r="AQ2388">
        <v>-95</v>
      </c>
      <c r="AR2388">
        <v>-640</v>
      </c>
      <c r="AZ2388">
        <v>1200</v>
      </c>
      <c r="BA2388">
        <v>1</v>
      </c>
      <c r="BB2388" t="str">
        <f t="shared" si="1311"/>
        <v xml:space="preserve">N9217B  </v>
      </c>
      <c r="BC2388">
        <v>1</v>
      </c>
      <c r="BE2388">
        <v>0</v>
      </c>
      <c r="BF2388">
        <v>0</v>
      </c>
      <c r="BG2388">
        <v>0</v>
      </c>
      <c r="BH2388">
        <v>7175</v>
      </c>
      <c r="BI2388">
        <v>1</v>
      </c>
      <c r="BJ2388">
        <v>0</v>
      </c>
      <c r="BK2388">
        <v>0</v>
      </c>
      <c r="BL2388">
        <v>0</v>
      </c>
      <c r="BO2388">
        <v>0</v>
      </c>
      <c r="BP2388">
        <v>0</v>
      </c>
      <c r="BW2388" t="str">
        <f t="shared" si="1319"/>
        <v>14:54:55.668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285</v>
      </c>
      <c r="CR2388">
        <v>0</v>
      </c>
      <c r="CW2388">
        <v>8865466</v>
      </c>
      <c r="CY2388">
        <v>0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25">
      <c r="A2389" t="str">
        <f t="shared" si="1316"/>
        <v>06/05/2020 14:54:50.009</v>
      </c>
      <c r="C2389" t="str">
        <f t="shared" si="1291"/>
        <v>FFDFD3C0</v>
      </c>
      <c r="D2389" t="s">
        <v>134</v>
      </c>
      <c r="E2389">
        <v>7</v>
      </c>
      <c r="F2389">
        <v>2007</v>
      </c>
      <c r="G2389" t="s">
        <v>135</v>
      </c>
      <c r="J2389" t="s">
        <v>136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317"/>
        <v>14:54:55.664</v>
      </c>
      <c r="T2389" t="str">
        <f t="shared" si="1318"/>
        <v>14:54:55.364</v>
      </c>
      <c r="U2389" t="str">
        <f t="shared" si="1307"/>
        <v>ACC530</v>
      </c>
      <c r="V2389">
        <v>0</v>
      </c>
      <c r="W2389">
        <v>0</v>
      </c>
      <c r="X2389">
        <v>1</v>
      </c>
      <c r="Z2389">
        <v>0</v>
      </c>
      <c r="AA2389">
        <v>9</v>
      </c>
      <c r="AB2389">
        <v>3</v>
      </c>
      <c r="AC2389">
        <v>0</v>
      </c>
      <c r="AD2389">
        <v>9</v>
      </c>
      <c r="AE2389">
        <v>0</v>
      </c>
      <c r="AF2389">
        <v>3</v>
      </c>
      <c r="AG2389">
        <v>1</v>
      </c>
      <c r="AH2389">
        <v>0</v>
      </c>
      <c r="AI2389" t="s">
        <v>852</v>
      </c>
      <c r="AJ2389">
        <v>34.152051999999998</v>
      </c>
      <c r="AK2389" t="s">
        <v>853</v>
      </c>
      <c r="AL2389">
        <v>-117.047439</v>
      </c>
      <c r="AM2389">
        <v>100</v>
      </c>
      <c r="AN2389">
        <v>7200</v>
      </c>
      <c r="AO2389" t="s">
        <v>118</v>
      </c>
      <c r="AP2389">
        <v>-56</v>
      </c>
      <c r="AQ2389">
        <v>-95</v>
      </c>
      <c r="AR2389">
        <v>-640</v>
      </c>
      <c r="AZ2389">
        <v>1200</v>
      </c>
      <c r="BA2389">
        <v>1</v>
      </c>
      <c r="BB2389" t="str">
        <f t="shared" si="1311"/>
        <v xml:space="preserve">N9217B  </v>
      </c>
      <c r="BC2389">
        <v>1</v>
      </c>
      <c r="BE2389">
        <v>0</v>
      </c>
      <c r="BF2389">
        <v>0</v>
      </c>
      <c r="BG2389">
        <v>0</v>
      </c>
      <c r="BH2389">
        <v>7175</v>
      </c>
      <c r="BI2389">
        <v>1</v>
      </c>
      <c r="BJ2389">
        <v>0</v>
      </c>
      <c r="BK2389">
        <v>0</v>
      </c>
      <c r="BL2389">
        <v>0</v>
      </c>
      <c r="BO2389">
        <v>0</v>
      </c>
      <c r="BP2389">
        <v>0</v>
      </c>
      <c r="BW2389" t="str">
        <f t="shared" si="1319"/>
        <v>14:54:55.668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285</v>
      </c>
      <c r="CR2389">
        <v>0</v>
      </c>
      <c r="CW2389">
        <v>8865466</v>
      </c>
      <c r="CY2389">
        <v>0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25">
      <c r="A2390" t="str">
        <f t="shared" si="1316"/>
        <v>06/05/2020 14:54:50.009</v>
      </c>
      <c r="C2390" t="str">
        <f t="shared" si="1291"/>
        <v>FFDFD3C0</v>
      </c>
      <c r="D2390" t="s">
        <v>151</v>
      </c>
      <c r="E2390">
        <v>8</v>
      </c>
      <c r="H2390">
        <v>225</v>
      </c>
      <c r="I2390" t="s">
        <v>353</v>
      </c>
      <c r="J2390" t="s">
        <v>150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317"/>
        <v>14:54:55.664</v>
      </c>
      <c r="T2390" t="str">
        <f t="shared" si="1318"/>
        <v>14:54:55.364</v>
      </c>
      <c r="U2390" t="str">
        <f t="shared" si="1307"/>
        <v>ACC530</v>
      </c>
      <c r="V2390">
        <v>0</v>
      </c>
      <c r="W2390">
        <v>0</v>
      </c>
      <c r="X2390">
        <v>1</v>
      </c>
      <c r="Z2390">
        <v>0</v>
      </c>
      <c r="AA2390">
        <v>9</v>
      </c>
      <c r="AB2390">
        <v>3</v>
      </c>
      <c r="AC2390">
        <v>0</v>
      </c>
      <c r="AD2390">
        <v>9</v>
      </c>
      <c r="AE2390">
        <v>0</v>
      </c>
      <c r="AF2390">
        <v>3</v>
      </c>
      <c r="AG2390">
        <v>1</v>
      </c>
      <c r="AH2390">
        <v>0</v>
      </c>
      <c r="AI2390" t="s">
        <v>852</v>
      </c>
      <c r="AJ2390">
        <v>34.152051999999998</v>
      </c>
      <c r="AK2390" t="s">
        <v>853</v>
      </c>
      <c r="AL2390">
        <v>-117.047439</v>
      </c>
      <c r="AM2390">
        <v>100</v>
      </c>
      <c r="AN2390">
        <v>7200</v>
      </c>
      <c r="AO2390" t="s">
        <v>118</v>
      </c>
      <c r="AP2390">
        <v>-56</v>
      </c>
      <c r="AQ2390">
        <v>-95</v>
      </c>
      <c r="AR2390">
        <v>-640</v>
      </c>
      <c r="AZ2390">
        <v>1200</v>
      </c>
      <c r="BA2390">
        <v>1</v>
      </c>
      <c r="BB2390" t="str">
        <f t="shared" si="1311"/>
        <v xml:space="preserve">N9217B  </v>
      </c>
      <c r="BC2390">
        <v>1</v>
      </c>
      <c r="BE2390">
        <v>0</v>
      </c>
      <c r="BF2390">
        <v>0</v>
      </c>
      <c r="BG2390">
        <v>0</v>
      </c>
      <c r="BH2390">
        <v>7175</v>
      </c>
      <c r="BI2390">
        <v>1</v>
      </c>
      <c r="BJ2390">
        <v>0</v>
      </c>
      <c r="BK2390">
        <v>0</v>
      </c>
      <c r="BL2390">
        <v>0</v>
      </c>
      <c r="BO2390">
        <v>0</v>
      </c>
      <c r="BP2390">
        <v>0</v>
      </c>
      <c r="BW2390" t="str">
        <f t="shared" si="1319"/>
        <v>14:54:55.668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285</v>
      </c>
      <c r="CR2390">
        <v>0</v>
      </c>
      <c r="CW2390">
        <v>8865466</v>
      </c>
      <c r="CY2390">
        <v>0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25">
      <c r="A2391" t="str">
        <f t="shared" si="1316"/>
        <v>06/05/2020 14:54:50.009</v>
      </c>
      <c r="C2391" t="str">
        <f t="shared" si="1291"/>
        <v>FFDFD3C0</v>
      </c>
      <c r="D2391" t="s">
        <v>141</v>
      </c>
      <c r="E2391">
        <v>20</v>
      </c>
      <c r="F2391">
        <v>1020</v>
      </c>
      <c r="G2391" t="s">
        <v>114</v>
      </c>
      <c r="J2391" t="s">
        <v>142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317"/>
        <v>14:54:55.664</v>
      </c>
      <c r="T2391" t="str">
        <f t="shared" si="1318"/>
        <v>14:54:55.364</v>
      </c>
      <c r="U2391" t="str">
        <f t="shared" si="1307"/>
        <v>ACC530</v>
      </c>
      <c r="V2391">
        <v>0</v>
      </c>
      <c r="W2391">
        <v>0</v>
      </c>
      <c r="X2391">
        <v>1</v>
      </c>
      <c r="Z2391">
        <v>0</v>
      </c>
      <c r="AA2391">
        <v>9</v>
      </c>
      <c r="AB2391">
        <v>3</v>
      </c>
      <c r="AC2391">
        <v>0</v>
      </c>
      <c r="AD2391">
        <v>9</v>
      </c>
      <c r="AE2391">
        <v>0</v>
      </c>
      <c r="AF2391">
        <v>3</v>
      </c>
      <c r="AG2391">
        <v>1</v>
      </c>
      <c r="AH2391">
        <v>0</v>
      </c>
      <c r="AI2391" t="s">
        <v>852</v>
      </c>
      <c r="AJ2391">
        <v>34.152051999999998</v>
      </c>
      <c r="AK2391" t="s">
        <v>853</v>
      </c>
      <c r="AL2391">
        <v>-117.047439</v>
      </c>
      <c r="AM2391">
        <v>100</v>
      </c>
      <c r="AN2391">
        <v>7200</v>
      </c>
      <c r="AO2391" t="s">
        <v>118</v>
      </c>
      <c r="AP2391">
        <v>-56</v>
      </c>
      <c r="AQ2391">
        <v>-95</v>
      </c>
      <c r="AR2391">
        <v>-640</v>
      </c>
      <c r="AZ2391">
        <v>1200</v>
      </c>
      <c r="BA2391">
        <v>1</v>
      </c>
      <c r="BB2391" t="str">
        <f t="shared" si="1311"/>
        <v xml:space="preserve">N9217B  </v>
      </c>
      <c r="BC2391">
        <v>1</v>
      </c>
      <c r="BE2391">
        <v>0</v>
      </c>
      <c r="BF2391">
        <v>0</v>
      </c>
      <c r="BG2391">
        <v>0</v>
      </c>
      <c r="BH2391">
        <v>7175</v>
      </c>
      <c r="BI2391">
        <v>1</v>
      </c>
      <c r="BJ2391">
        <v>0</v>
      </c>
      <c r="BK2391">
        <v>0</v>
      </c>
      <c r="BL2391">
        <v>0</v>
      </c>
      <c r="BO2391">
        <v>0</v>
      </c>
      <c r="BP2391">
        <v>0</v>
      </c>
      <c r="BW2391" t="str">
        <f t="shared" si="1319"/>
        <v>14:54:55.668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285</v>
      </c>
      <c r="CR2391">
        <v>0</v>
      </c>
      <c r="CW2391">
        <v>8865466</v>
      </c>
      <c r="CY2391">
        <v>0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25">
      <c r="A2392" t="str">
        <f t="shared" si="1316"/>
        <v>06/05/2020 14:54:50.009</v>
      </c>
      <c r="C2392" t="str">
        <f t="shared" si="1291"/>
        <v>FFDFD3C0</v>
      </c>
      <c r="D2392" t="s">
        <v>151</v>
      </c>
      <c r="E2392">
        <v>9</v>
      </c>
      <c r="H2392">
        <v>226</v>
      </c>
      <c r="I2392" t="s">
        <v>152</v>
      </c>
      <c r="J2392" t="s">
        <v>150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317"/>
        <v>14:54:55.664</v>
      </c>
      <c r="T2392" t="str">
        <f t="shared" si="1318"/>
        <v>14:54:55.364</v>
      </c>
      <c r="U2392" t="str">
        <f t="shared" si="1307"/>
        <v>ACC530</v>
      </c>
      <c r="V2392">
        <v>0</v>
      </c>
      <c r="W2392">
        <v>0</v>
      </c>
      <c r="X2392">
        <v>1</v>
      </c>
      <c r="Z2392">
        <v>0</v>
      </c>
      <c r="AA2392">
        <v>9</v>
      </c>
      <c r="AB2392">
        <v>3</v>
      </c>
      <c r="AC2392">
        <v>0</v>
      </c>
      <c r="AD2392">
        <v>9</v>
      </c>
      <c r="AE2392">
        <v>0</v>
      </c>
      <c r="AF2392">
        <v>3</v>
      </c>
      <c r="AG2392">
        <v>1</v>
      </c>
      <c r="AH2392">
        <v>0</v>
      </c>
      <c r="AI2392" t="s">
        <v>852</v>
      </c>
      <c r="AJ2392">
        <v>34.152051999999998</v>
      </c>
      <c r="AK2392" t="s">
        <v>853</v>
      </c>
      <c r="AL2392">
        <v>-117.047439</v>
      </c>
      <c r="AM2392">
        <v>100</v>
      </c>
      <c r="AN2392">
        <v>7200</v>
      </c>
      <c r="AO2392" t="s">
        <v>118</v>
      </c>
      <c r="AP2392">
        <v>-56</v>
      </c>
      <c r="AQ2392">
        <v>-95</v>
      </c>
      <c r="AR2392">
        <v>-640</v>
      </c>
      <c r="AZ2392">
        <v>1200</v>
      </c>
      <c r="BA2392">
        <v>1</v>
      </c>
      <c r="BB2392" t="str">
        <f t="shared" si="1311"/>
        <v xml:space="preserve">N9217B  </v>
      </c>
      <c r="BC2392">
        <v>1</v>
      </c>
      <c r="BE2392">
        <v>0</v>
      </c>
      <c r="BF2392">
        <v>0</v>
      </c>
      <c r="BG2392">
        <v>0</v>
      </c>
      <c r="BH2392">
        <v>7175</v>
      </c>
      <c r="BI2392">
        <v>1</v>
      </c>
      <c r="BJ2392">
        <v>0</v>
      </c>
      <c r="BK2392">
        <v>0</v>
      </c>
      <c r="BL2392">
        <v>0</v>
      </c>
      <c r="BO2392">
        <v>0</v>
      </c>
      <c r="BP2392">
        <v>0</v>
      </c>
      <c r="BW2392" t="str">
        <f t="shared" si="1319"/>
        <v>14:54:55.668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285</v>
      </c>
      <c r="CR2392">
        <v>0</v>
      </c>
      <c r="CW2392">
        <v>8865466</v>
      </c>
      <c r="CY2392">
        <v>0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25">
      <c r="A2393" t="str">
        <f t="shared" ref="A2393:A2399" si="1320">"06/05/2020 14:54:51.072"</f>
        <v>06/05/2020 14:54:51.072</v>
      </c>
      <c r="C2393" t="str">
        <f t="shared" si="1291"/>
        <v>FFDFD3C0</v>
      </c>
      <c r="D2393" t="s">
        <v>148</v>
      </c>
      <c r="E2393">
        <v>8</v>
      </c>
      <c r="H2393">
        <v>50</v>
      </c>
      <c r="I2393" t="s">
        <v>149</v>
      </c>
      <c r="J2393" t="s">
        <v>150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ref="S2393:T2399" si="1321">"14:54:56.695"</f>
        <v>14:54:56.695</v>
      </c>
      <c r="T2393" t="str">
        <f t="shared" si="1321"/>
        <v>14:54:56.695</v>
      </c>
      <c r="U2393" t="str">
        <f t="shared" si="1307"/>
        <v>ACC530</v>
      </c>
      <c r="V2393">
        <v>0</v>
      </c>
      <c r="W2393">
        <v>0</v>
      </c>
      <c r="X2393">
        <v>1</v>
      </c>
      <c r="Z2393">
        <v>0</v>
      </c>
      <c r="AA2393">
        <v>9</v>
      </c>
      <c r="AB2393">
        <v>3</v>
      </c>
      <c r="AC2393">
        <v>0</v>
      </c>
      <c r="AD2393">
        <v>9</v>
      </c>
      <c r="AE2393">
        <v>0</v>
      </c>
      <c r="AF2393">
        <v>3</v>
      </c>
      <c r="AG2393">
        <v>1</v>
      </c>
      <c r="AH2393">
        <v>0</v>
      </c>
      <c r="AI2393" t="s">
        <v>854</v>
      </c>
      <c r="AJ2393">
        <v>34.151601999999997</v>
      </c>
      <c r="AK2393" t="s">
        <v>855</v>
      </c>
      <c r="AL2393">
        <v>-117.04776</v>
      </c>
      <c r="AM2393">
        <v>100</v>
      </c>
      <c r="AN2393">
        <v>7200</v>
      </c>
      <c r="AO2393" t="s">
        <v>118</v>
      </c>
      <c r="AP2393">
        <v>-57</v>
      </c>
      <c r="AQ2393">
        <v>-95</v>
      </c>
      <c r="AR2393">
        <v>-640</v>
      </c>
      <c r="AZ2393">
        <v>1200</v>
      </c>
      <c r="BA2393">
        <v>1</v>
      </c>
      <c r="BB2393" t="str">
        <f t="shared" si="1311"/>
        <v xml:space="preserve">N9217B  </v>
      </c>
      <c r="BC2393">
        <v>1</v>
      </c>
      <c r="BE2393">
        <v>0</v>
      </c>
      <c r="BF2393">
        <v>0</v>
      </c>
      <c r="BG2393">
        <v>0</v>
      </c>
      <c r="BH2393">
        <v>7150</v>
      </c>
      <c r="BI2393">
        <v>1</v>
      </c>
      <c r="BJ2393">
        <v>0</v>
      </c>
      <c r="BK2393">
        <v>0</v>
      </c>
      <c r="BL2393">
        <v>0</v>
      </c>
      <c r="BO2393">
        <v>0</v>
      </c>
      <c r="BP2393">
        <v>0</v>
      </c>
      <c r="BW2393" t="str">
        <f t="shared" ref="BW2393:BW2399" si="1322">"14:54:56.703"</f>
        <v>14:54:56.703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285</v>
      </c>
      <c r="CR2393">
        <v>0</v>
      </c>
      <c r="CW2393">
        <v>8865561</v>
      </c>
      <c r="CY2393">
        <v>0</v>
      </c>
      <c r="CZ2393">
        <v>0</v>
      </c>
      <c r="DA2393">
        <v>0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25">
      <c r="A2394" t="str">
        <f t="shared" si="1320"/>
        <v>06/05/2020 14:54:51.072</v>
      </c>
      <c r="C2394" t="str">
        <f t="shared" si="1291"/>
        <v>FFDFD3C0</v>
      </c>
      <c r="D2394" t="s">
        <v>148</v>
      </c>
      <c r="E2394">
        <v>11</v>
      </c>
      <c r="H2394">
        <v>53</v>
      </c>
      <c r="I2394" t="s">
        <v>364</v>
      </c>
      <c r="J2394" t="s">
        <v>150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321"/>
        <v>14:54:56.695</v>
      </c>
      <c r="T2394" t="str">
        <f t="shared" si="1321"/>
        <v>14:54:56.695</v>
      </c>
      <c r="U2394" t="str">
        <f t="shared" si="1307"/>
        <v>ACC530</v>
      </c>
      <c r="V2394">
        <v>0</v>
      </c>
      <c r="W2394">
        <v>0</v>
      </c>
      <c r="X2394">
        <v>1</v>
      </c>
      <c r="Z2394">
        <v>0</v>
      </c>
      <c r="AA2394">
        <v>9</v>
      </c>
      <c r="AB2394">
        <v>3</v>
      </c>
      <c r="AC2394">
        <v>0</v>
      </c>
      <c r="AD2394">
        <v>9</v>
      </c>
      <c r="AE2394">
        <v>0</v>
      </c>
      <c r="AF2394">
        <v>3</v>
      </c>
      <c r="AG2394">
        <v>1</v>
      </c>
      <c r="AH2394">
        <v>0</v>
      </c>
      <c r="AI2394" t="s">
        <v>854</v>
      </c>
      <c r="AJ2394">
        <v>34.151601999999997</v>
      </c>
      <c r="AK2394" t="s">
        <v>855</v>
      </c>
      <c r="AL2394">
        <v>-117.04776</v>
      </c>
      <c r="AM2394">
        <v>100</v>
      </c>
      <c r="AN2394">
        <v>7200</v>
      </c>
      <c r="AO2394" t="s">
        <v>118</v>
      </c>
      <c r="AP2394">
        <v>-57</v>
      </c>
      <c r="AQ2394">
        <v>-95</v>
      </c>
      <c r="AR2394">
        <v>-640</v>
      </c>
      <c r="AZ2394">
        <v>1200</v>
      </c>
      <c r="BA2394">
        <v>1</v>
      </c>
      <c r="BB2394" t="str">
        <f t="shared" si="1311"/>
        <v xml:space="preserve">N9217B  </v>
      </c>
      <c r="BC2394">
        <v>1</v>
      </c>
      <c r="BE2394">
        <v>0</v>
      </c>
      <c r="BF2394">
        <v>0</v>
      </c>
      <c r="BG2394">
        <v>0</v>
      </c>
      <c r="BH2394">
        <v>7150</v>
      </c>
      <c r="BI2394">
        <v>1</v>
      </c>
      <c r="BJ2394">
        <v>0</v>
      </c>
      <c r="BK2394">
        <v>0</v>
      </c>
      <c r="BL2394">
        <v>0</v>
      </c>
      <c r="BO2394">
        <v>0</v>
      </c>
      <c r="BP2394">
        <v>0</v>
      </c>
      <c r="BW2394" t="str">
        <f t="shared" si="1322"/>
        <v>14:54:56.703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285</v>
      </c>
      <c r="CR2394">
        <v>0</v>
      </c>
      <c r="CW2394">
        <v>8865561</v>
      </c>
      <c r="CY2394">
        <v>0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25">
      <c r="A2395" t="str">
        <f t="shared" si="1320"/>
        <v>06/05/2020 14:54:51.072</v>
      </c>
      <c r="C2395" t="str">
        <f t="shared" si="1291"/>
        <v>FFDFD3C0</v>
      </c>
      <c r="D2395" t="s">
        <v>134</v>
      </c>
      <c r="E2395">
        <v>7</v>
      </c>
      <c r="F2395">
        <v>2007</v>
      </c>
      <c r="G2395" t="s">
        <v>135</v>
      </c>
      <c r="J2395" t="s">
        <v>136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321"/>
        <v>14:54:56.695</v>
      </c>
      <c r="T2395" t="str">
        <f t="shared" si="1321"/>
        <v>14:54:56.695</v>
      </c>
      <c r="U2395" t="str">
        <f t="shared" si="1307"/>
        <v>ACC530</v>
      </c>
      <c r="V2395">
        <v>0</v>
      </c>
      <c r="W2395">
        <v>0</v>
      </c>
      <c r="X2395">
        <v>1</v>
      </c>
      <c r="Z2395">
        <v>0</v>
      </c>
      <c r="AA2395">
        <v>9</v>
      </c>
      <c r="AB2395">
        <v>3</v>
      </c>
      <c r="AC2395">
        <v>0</v>
      </c>
      <c r="AD2395">
        <v>9</v>
      </c>
      <c r="AE2395">
        <v>0</v>
      </c>
      <c r="AF2395">
        <v>3</v>
      </c>
      <c r="AG2395">
        <v>1</v>
      </c>
      <c r="AH2395">
        <v>0</v>
      </c>
      <c r="AI2395" t="s">
        <v>854</v>
      </c>
      <c r="AJ2395">
        <v>34.151601999999997</v>
      </c>
      <c r="AK2395" t="s">
        <v>855</v>
      </c>
      <c r="AL2395">
        <v>-117.04776</v>
      </c>
      <c r="AM2395">
        <v>100</v>
      </c>
      <c r="AN2395">
        <v>7200</v>
      </c>
      <c r="AO2395" t="s">
        <v>118</v>
      </c>
      <c r="AP2395">
        <v>-57</v>
      </c>
      <c r="AQ2395">
        <v>-95</v>
      </c>
      <c r="AR2395">
        <v>-640</v>
      </c>
      <c r="AZ2395">
        <v>1200</v>
      </c>
      <c r="BA2395">
        <v>1</v>
      </c>
      <c r="BB2395" t="str">
        <f t="shared" si="1311"/>
        <v xml:space="preserve">N9217B  </v>
      </c>
      <c r="BC2395">
        <v>1</v>
      </c>
      <c r="BE2395">
        <v>0</v>
      </c>
      <c r="BF2395">
        <v>0</v>
      </c>
      <c r="BG2395">
        <v>0</v>
      </c>
      <c r="BH2395">
        <v>7150</v>
      </c>
      <c r="BI2395">
        <v>1</v>
      </c>
      <c r="BJ2395">
        <v>0</v>
      </c>
      <c r="BK2395">
        <v>0</v>
      </c>
      <c r="BL2395">
        <v>0</v>
      </c>
      <c r="BO2395">
        <v>0</v>
      </c>
      <c r="BP2395">
        <v>0</v>
      </c>
      <c r="BW2395" t="str">
        <f t="shared" si="1322"/>
        <v>14:54:56.703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285</v>
      </c>
      <c r="CR2395">
        <v>0</v>
      </c>
      <c r="CW2395">
        <v>8865561</v>
      </c>
      <c r="CY2395">
        <v>0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25">
      <c r="A2396" t="str">
        <f t="shared" si="1320"/>
        <v>06/05/2020 14:54:51.072</v>
      </c>
      <c r="C2396" t="str">
        <f t="shared" si="1291"/>
        <v>FFDFD3C0</v>
      </c>
      <c r="D2396" t="s">
        <v>113</v>
      </c>
      <c r="E2396">
        <v>3</v>
      </c>
      <c r="H2396">
        <v>166</v>
      </c>
      <c r="I2396" t="s">
        <v>114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321"/>
        <v>14:54:56.695</v>
      </c>
      <c r="T2396" t="str">
        <f t="shared" si="1321"/>
        <v>14:54:56.695</v>
      </c>
      <c r="U2396" t="str">
        <f t="shared" si="1307"/>
        <v>ACC530</v>
      </c>
      <c r="V2396">
        <v>0</v>
      </c>
      <c r="W2396">
        <v>0</v>
      </c>
      <c r="X2396">
        <v>1</v>
      </c>
      <c r="Z2396">
        <v>0</v>
      </c>
      <c r="AA2396">
        <v>9</v>
      </c>
      <c r="AB2396">
        <v>3</v>
      </c>
      <c r="AC2396">
        <v>0</v>
      </c>
      <c r="AD2396">
        <v>9</v>
      </c>
      <c r="AE2396">
        <v>0</v>
      </c>
      <c r="AF2396">
        <v>3</v>
      </c>
      <c r="AG2396">
        <v>1</v>
      </c>
      <c r="AH2396">
        <v>0</v>
      </c>
      <c r="AI2396" t="s">
        <v>854</v>
      </c>
      <c r="AJ2396">
        <v>34.151601999999997</v>
      </c>
      <c r="AK2396" t="s">
        <v>855</v>
      </c>
      <c r="AL2396">
        <v>-117.04776</v>
      </c>
      <c r="AM2396">
        <v>100</v>
      </c>
      <c r="AN2396">
        <v>7200</v>
      </c>
      <c r="AO2396" t="s">
        <v>118</v>
      </c>
      <c r="AP2396">
        <v>-57</v>
      </c>
      <c r="AQ2396">
        <v>-95</v>
      </c>
      <c r="AR2396">
        <v>-640</v>
      </c>
      <c r="AZ2396">
        <v>1200</v>
      </c>
      <c r="BA2396">
        <v>1</v>
      </c>
      <c r="BB2396" t="str">
        <f t="shared" si="1311"/>
        <v xml:space="preserve">N9217B  </v>
      </c>
      <c r="BC2396">
        <v>1</v>
      </c>
      <c r="BE2396">
        <v>0</v>
      </c>
      <c r="BF2396">
        <v>0</v>
      </c>
      <c r="BG2396">
        <v>0</v>
      </c>
      <c r="BH2396">
        <v>7150</v>
      </c>
      <c r="BI2396">
        <v>1</v>
      </c>
      <c r="BJ2396">
        <v>0</v>
      </c>
      <c r="BK2396">
        <v>0</v>
      </c>
      <c r="BL2396">
        <v>0</v>
      </c>
      <c r="BO2396">
        <v>0</v>
      </c>
      <c r="BP2396">
        <v>0</v>
      </c>
      <c r="BW2396" t="str">
        <f t="shared" si="1322"/>
        <v>14:54:56.703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285</v>
      </c>
      <c r="CR2396">
        <v>0</v>
      </c>
      <c r="CW2396">
        <v>8865561</v>
      </c>
      <c r="CY2396">
        <v>0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25">
      <c r="A2397" t="str">
        <f t="shared" si="1320"/>
        <v>06/05/2020 14:54:51.072</v>
      </c>
      <c r="C2397" t="str">
        <f t="shared" si="1291"/>
        <v>FFDFD3C0</v>
      </c>
      <c r="D2397" t="s">
        <v>151</v>
      </c>
      <c r="E2397">
        <v>8</v>
      </c>
      <c r="H2397">
        <v>225</v>
      </c>
      <c r="I2397" t="s">
        <v>353</v>
      </c>
      <c r="J2397" t="s">
        <v>150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321"/>
        <v>14:54:56.695</v>
      </c>
      <c r="T2397" t="str">
        <f t="shared" si="1321"/>
        <v>14:54:56.695</v>
      </c>
      <c r="U2397" t="str">
        <f t="shared" si="1307"/>
        <v>ACC530</v>
      </c>
      <c r="V2397">
        <v>0</v>
      </c>
      <c r="W2397">
        <v>0</v>
      </c>
      <c r="X2397">
        <v>1</v>
      </c>
      <c r="Z2397">
        <v>0</v>
      </c>
      <c r="AA2397">
        <v>9</v>
      </c>
      <c r="AB2397">
        <v>3</v>
      </c>
      <c r="AC2397">
        <v>0</v>
      </c>
      <c r="AD2397">
        <v>9</v>
      </c>
      <c r="AE2397">
        <v>0</v>
      </c>
      <c r="AF2397">
        <v>3</v>
      </c>
      <c r="AG2397">
        <v>1</v>
      </c>
      <c r="AH2397">
        <v>0</v>
      </c>
      <c r="AI2397" t="s">
        <v>854</v>
      </c>
      <c r="AJ2397">
        <v>34.151601999999997</v>
      </c>
      <c r="AK2397" t="s">
        <v>855</v>
      </c>
      <c r="AL2397">
        <v>-117.04776</v>
      </c>
      <c r="AM2397">
        <v>100</v>
      </c>
      <c r="AN2397">
        <v>7200</v>
      </c>
      <c r="AO2397" t="s">
        <v>118</v>
      </c>
      <c r="AP2397">
        <v>-57</v>
      </c>
      <c r="AQ2397">
        <v>-95</v>
      </c>
      <c r="AR2397">
        <v>-640</v>
      </c>
      <c r="AZ2397">
        <v>1200</v>
      </c>
      <c r="BA2397">
        <v>1</v>
      </c>
      <c r="BB2397" t="str">
        <f t="shared" si="1311"/>
        <v xml:space="preserve">N9217B  </v>
      </c>
      <c r="BC2397">
        <v>1</v>
      </c>
      <c r="BE2397">
        <v>0</v>
      </c>
      <c r="BF2397">
        <v>0</v>
      </c>
      <c r="BG2397">
        <v>0</v>
      </c>
      <c r="BH2397">
        <v>7150</v>
      </c>
      <c r="BI2397">
        <v>1</v>
      </c>
      <c r="BJ2397">
        <v>0</v>
      </c>
      <c r="BK2397">
        <v>0</v>
      </c>
      <c r="BL2397">
        <v>0</v>
      </c>
      <c r="BO2397">
        <v>0</v>
      </c>
      <c r="BP2397">
        <v>0</v>
      </c>
      <c r="BW2397" t="str">
        <f t="shared" si="1322"/>
        <v>14:54:56.703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285</v>
      </c>
      <c r="CR2397">
        <v>0</v>
      </c>
      <c r="CW2397">
        <v>8865561</v>
      </c>
      <c r="CY2397">
        <v>0</v>
      </c>
      <c r="CZ2397">
        <v>0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25">
      <c r="A2398" t="str">
        <f t="shared" si="1320"/>
        <v>06/05/2020 14:54:51.072</v>
      </c>
      <c r="C2398" t="str">
        <f t="shared" si="1291"/>
        <v>FFDFD3C0</v>
      </c>
      <c r="D2398" t="s">
        <v>141</v>
      </c>
      <c r="E2398">
        <v>20</v>
      </c>
      <c r="F2398">
        <v>1020</v>
      </c>
      <c r="G2398" t="s">
        <v>114</v>
      </c>
      <c r="J2398" t="s">
        <v>142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321"/>
        <v>14:54:56.695</v>
      </c>
      <c r="T2398" t="str">
        <f t="shared" si="1321"/>
        <v>14:54:56.695</v>
      </c>
      <c r="U2398" t="str">
        <f t="shared" si="1307"/>
        <v>ACC530</v>
      </c>
      <c r="V2398">
        <v>0</v>
      </c>
      <c r="W2398">
        <v>0</v>
      </c>
      <c r="X2398">
        <v>1</v>
      </c>
      <c r="Z2398">
        <v>0</v>
      </c>
      <c r="AA2398">
        <v>9</v>
      </c>
      <c r="AB2398">
        <v>3</v>
      </c>
      <c r="AC2398">
        <v>0</v>
      </c>
      <c r="AD2398">
        <v>9</v>
      </c>
      <c r="AE2398">
        <v>0</v>
      </c>
      <c r="AF2398">
        <v>3</v>
      </c>
      <c r="AG2398">
        <v>1</v>
      </c>
      <c r="AH2398">
        <v>0</v>
      </c>
      <c r="AI2398" t="s">
        <v>854</v>
      </c>
      <c r="AJ2398">
        <v>34.151601999999997</v>
      </c>
      <c r="AK2398" t="s">
        <v>855</v>
      </c>
      <c r="AL2398">
        <v>-117.04776</v>
      </c>
      <c r="AM2398">
        <v>100</v>
      </c>
      <c r="AN2398">
        <v>7200</v>
      </c>
      <c r="AO2398" t="s">
        <v>118</v>
      </c>
      <c r="AP2398">
        <v>-57</v>
      </c>
      <c r="AQ2398">
        <v>-95</v>
      </c>
      <c r="AR2398">
        <v>-640</v>
      </c>
      <c r="AZ2398">
        <v>1200</v>
      </c>
      <c r="BA2398">
        <v>1</v>
      </c>
      <c r="BB2398" t="str">
        <f t="shared" si="1311"/>
        <v xml:space="preserve">N9217B  </v>
      </c>
      <c r="BC2398">
        <v>1</v>
      </c>
      <c r="BE2398">
        <v>0</v>
      </c>
      <c r="BF2398">
        <v>0</v>
      </c>
      <c r="BG2398">
        <v>0</v>
      </c>
      <c r="BH2398">
        <v>7150</v>
      </c>
      <c r="BI2398">
        <v>1</v>
      </c>
      <c r="BJ2398">
        <v>0</v>
      </c>
      <c r="BK2398">
        <v>0</v>
      </c>
      <c r="BL2398">
        <v>0</v>
      </c>
      <c r="BO2398">
        <v>0</v>
      </c>
      <c r="BP2398">
        <v>0</v>
      </c>
      <c r="BW2398" t="str">
        <f t="shared" si="1322"/>
        <v>14:54:56.703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285</v>
      </c>
      <c r="CR2398">
        <v>0</v>
      </c>
      <c r="CW2398">
        <v>8865561</v>
      </c>
      <c r="CY2398">
        <v>0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25">
      <c r="A2399" t="str">
        <f t="shared" si="1320"/>
        <v>06/05/2020 14:54:51.072</v>
      </c>
      <c r="C2399" t="str">
        <f t="shared" si="1291"/>
        <v>FFDFD3C0</v>
      </c>
      <c r="D2399" t="s">
        <v>151</v>
      </c>
      <c r="E2399">
        <v>9</v>
      </c>
      <c r="H2399">
        <v>226</v>
      </c>
      <c r="I2399" t="s">
        <v>152</v>
      </c>
      <c r="J2399" t="s">
        <v>150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321"/>
        <v>14:54:56.695</v>
      </c>
      <c r="T2399" t="str">
        <f t="shared" si="1321"/>
        <v>14:54:56.695</v>
      </c>
      <c r="U2399" t="str">
        <f t="shared" si="1307"/>
        <v>ACC530</v>
      </c>
      <c r="V2399">
        <v>0</v>
      </c>
      <c r="W2399">
        <v>0</v>
      </c>
      <c r="X2399">
        <v>1</v>
      </c>
      <c r="Z2399">
        <v>0</v>
      </c>
      <c r="AA2399">
        <v>9</v>
      </c>
      <c r="AB2399">
        <v>3</v>
      </c>
      <c r="AC2399">
        <v>0</v>
      </c>
      <c r="AD2399">
        <v>9</v>
      </c>
      <c r="AE2399">
        <v>0</v>
      </c>
      <c r="AF2399">
        <v>3</v>
      </c>
      <c r="AG2399">
        <v>1</v>
      </c>
      <c r="AH2399">
        <v>0</v>
      </c>
      <c r="AI2399" t="s">
        <v>854</v>
      </c>
      <c r="AJ2399">
        <v>34.151601999999997</v>
      </c>
      <c r="AK2399" t="s">
        <v>855</v>
      </c>
      <c r="AL2399">
        <v>-117.04776</v>
      </c>
      <c r="AM2399">
        <v>100</v>
      </c>
      <c r="AN2399">
        <v>7200</v>
      </c>
      <c r="AO2399" t="s">
        <v>118</v>
      </c>
      <c r="AP2399">
        <v>-57</v>
      </c>
      <c r="AQ2399">
        <v>-95</v>
      </c>
      <c r="AR2399">
        <v>-640</v>
      </c>
      <c r="AZ2399">
        <v>1200</v>
      </c>
      <c r="BA2399">
        <v>1</v>
      </c>
      <c r="BB2399" t="str">
        <f t="shared" si="1311"/>
        <v xml:space="preserve">N9217B  </v>
      </c>
      <c r="BC2399">
        <v>1</v>
      </c>
      <c r="BE2399">
        <v>0</v>
      </c>
      <c r="BF2399">
        <v>0</v>
      </c>
      <c r="BG2399">
        <v>0</v>
      </c>
      <c r="BH2399">
        <v>7150</v>
      </c>
      <c r="BI2399">
        <v>1</v>
      </c>
      <c r="BJ2399">
        <v>0</v>
      </c>
      <c r="BK2399">
        <v>0</v>
      </c>
      <c r="BL2399">
        <v>0</v>
      </c>
      <c r="BO2399">
        <v>0</v>
      </c>
      <c r="BP2399">
        <v>0</v>
      </c>
      <c r="BW2399" t="str">
        <f t="shared" si="1322"/>
        <v>14:54:56.703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285</v>
      </c>
      <c r="CR2399">
        <v>0</v>
      </c>
      <c r="CW2399">
        <v>8865561</v>
      </c>
      <c r="CY2399">
        <v>0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25">
      <c r="A2400" t="str">
        <f t="shared" ref="A2400:A2406" si="1323">"06/05/2020 14:54:52.039"</f>
        <v>06/05/2020 14:54:52.039</v>
      </c>
      <c r="C2400" t="str">
        <f t="shared" si="1291"/>
        <v>FFDFD3C0</v>
      </c>
      <c r="D2400" t="s">
        <v>148</v>
      </c>
      <c r="E2400">
        <v>11</v>
      </c>
      <c r="H2400">
        <v>53</v>
      </c>
      <c r="I2400" t="s">
        <v>364</v>
      </c>
      <c r="J2400" t="s">
        <v>150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ref="S2400:S2406" si="1324">"14:54:57.719"</f>
        <v>14:54:57.719</v>
      </c>
      <c r="T2400" t="str">
        <f t="shared" ref="T2400:T2406" si="1325">"14:54:57.519"</f>
        <v>14:54:57.519</v>
      </c>
      <c r="U2400" t="str">
        <f t="shared" si="1307"/>
        <v>ACC530</v>
      </c>
      <c r="V2400">
        <v>0</v>
      </c>
      <c r="W2400">
        <v>0</v>
      </c>
      <c r="X2400">
        <v>1</v>
      </c>
      <c r="Z2400">
        <v>0</v>
      </c>
      <c r="AA2400">
        <v>9</v>
      </c>
      <c r="AB2400">
        <v>3</v>
      </c>
      <c r="AC2400">
        <v>0</v>
      </c>
      <c r="AD2400">
        <v>9</v>
      </c>
      <c r="AE2400">
        <v>0</v>
      </c>
      <c r="AF2400">
        <v>3</v>
      </c>
      <c r="AG2400">
        <v>1</v>
      </c>
      <c r="AH2400">
        <v>0</v>
      </c>
      <c r="AI2400" t="s">
        <v>856</v>
      </c>
      <c r="AJ2400">
        <v>34.151130000000002</v>
      </c>
      <c r="AK2400" t="s">
        <v>857</v>
      </c>
      <c r="AL2400">
        <v>-117.048125</v>
      </c>
      <c r="AM2400">
        <v>100</v>
      </c>
      <c r="AN2400">
        <v>7200</v>
      </c>
      <c r="AO2400" t="s">
        <v>118</v>
      </c>
      <c r="AP2400">
        <v>-57</v>
      </c>
      <c r="AQ2400">
        <v>-94</v>
      </c>
      <c r="AR2400">
        <v>-704</v>
      </c>
      <c r="AZ2400">
        <v>1200</v>
      </c>
      <c r="BA2400">
        <v>1</v>
      </c>
      <c r="BB2400" t="str">
        <f t="shared" si="1311"/>
        <v xml:space="preserve">N9217B  </v>
      </c>
      <c r="BC2400">
        <v>1</v>
      </c>
      <c r="BE2400">
        <v>0</v>
      </c>
      <c r="BF2400">
        <v>0</v>
      </c>
      <c r="BG2400">
        <v>0</v>
      </c>
      <c r="BH2400">
        <v>7150</v>
      </c>
      <c r="BI2400">
        <v>1</v>
      </c>
      <c r="BJ2400">
        <v>0</v>
      </c>
      <c r="BK2400">
        <v>0</v>
      </c>
      <c r="BL2400">
        <v>0</v>
      </c>
      <c r="BO2400">
        <v>0</v>
      </c>
      <c r="BP2400">
        <v>0</v>
      </c>
      <c r="BW2400" t="str">
        <f t="shared" ref="BW2400:BW2406" si="1326">"14:54:57.723"</f>
        <v>14:54:57.723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285</v>
      </c>
      <c r="CR2400">
        <v>0</v>
      </c>
      <c r="CW2400">
        <v>8865655</v>
      </c>
      <c r="CY2400">
        <v>0</v>
      </c>
      <c r="CZ2400">
        <v>0</v>
      </c>
      <c r="DA2400">
        <v>0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25">
      <c r="A2401" t="str">
        <f t="shared" si="1323"/>
        <v>06/05/2020 14:54:52.039</v>
      </c>
      <c r="C2401" t="str">
        <f t="shared" si="1291"/>
        <v>FFDFD3C0</v>
      </c>
      <c r="D2401" t="s">
        <v>134</v>
      </c>
      <c r="E2401">
        <v>7</v>
      </c>
      <c r="F2401">
        <v>2007</v>
      </c>
      <c r="G2401" t="s">
        <v>135</v>
      </c>
      <c r="J2401" t="s">
        <v>136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324"/>
        <v>14:54:57.719</v>
      </c>
      <c r="T2401" t="str">
        <f t="shared" si="1325"/>
        <v>14:54:57.519</v>
      </c>
      <c r="U2401" t="str">
        <f t="shared" si="1307"/>
        <v>ACC530</v>
      </c>
      <c r="V2401">
        <v>0</v>
      </c>
      <c r="W2401">
        <v>0</v>
      </c>
      <c r="X2401">
        <v>1</v>
      </c>
      <c r="Z2401">
        <v>0</v>
      </c>
      <c r="AA2401">
        <v>9</v>
      </c>
      <c r="AB2401">
        <v>3</v>
      </c>
      <c r="AC2401">
        <v>0</v>
      </c>
      <c r="AD2401">
        <v>9</v>
      </c>
      <c r="AE2401">
        <v>0</v>
      </c>
      <c r="AF2401">
        <v>3</v>
      </c>
      <c r="AG2401">
        <v>1</v>
      </c>
      <c r="AH2401">
        <v>0</v>
      </c>
      <c r="AI2401" t="s">
        <v>856</v>
      </c>
      <c r="AJ2401">
        <v>34.151130000000002</v>
      </c>
      <c r="AK2401" t="s">
        <v>857</v>
      </c>
      <c r="AL2401">
        <v>-117.048125</v>
      </c>
      <c r="AM2401">
        <v>100</v>
      </c>
      <c r="AN2401">
        <v>7200</v>
      </c>
      <c r="AO2401" t="s">
        <v>118</v>
      </c>
      <c r="AP2401">
        <v>-57</v>
      </c>
      <c r="AQ2401">
        <v>-94</v>
      </c>
      <c r="AR2401">
        <v>-704</v>
      </c>
      <c r="AZ2401">
        <v>1200</v>
      </c>
      <c r="BA2401">
        <v>1</v>
      </c>
      <c r="BB2401" t="str">
        <f t="shared" si="1311"/>
        <v xml:space="preserve">N9217B  </v>
      </c>
      <c r="BC2401">
        <v>1</v>
      </c>
      <c r="BE2401">
        <v>0</v>
      </c>
      <c r="BF2401">
        <v>0</v>
      </c>
      <c r="BG2401">
        <v>0</v>
      </c>
      <c r="BH2401">
        <v>7150</v>
      </c>
      <c r="BI2401">
        <v>1</v>
      </c>
      <c r="BJ2401">
        <v>0</v>
      </c>
      <c r="BK2401">
        <v>0</v>
      </c>
      <c r="BL2401">
        <v>0</v>
      </c>
      <c r="BO2401">
        <v>0</v>
      </c>
      <c r="BP2401">
        <v>0</v>
      </c>
      <c r="BW2401" t="str">
        <f t="shared" si="1326"/>
        <v>14:54:57.723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285</v>
      </c>
      <c r="CR2401">
        <v>0</v>
      </c>
      <c r="CW2401">
        <v>8865655</v>
      </c>
      <c r="CY2401">
        <v>0</v>
      </c>
      <c r="CZ2401">
        <v>0</v>
      </c>
      <c r="DA2401">
        <v>1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25">
      <c r="A2402" t="str">
        <f t="shared" si="1323"/>
        <v>06/05/2020 14:54:52.039</v>
      </c>
      <c r="C2402" t="str">
        <f t="shared" si="1291"/>
        <v>FFDFD3C0</v>
      </c>
      <c r="D2402" t="s">
        <v>113</v>
      </c>
      <c r="E2402">
        <v>3</v>
      </c>
      <c r="H2402">
        <v>166</v>
      </c>
      <c r="I2402" t="s">
        <v>114</v>
      </c>
      <c r="J2402" t="s">
        <v>115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324"/>
        <v>14:54:57.719</v>
      </c>
      <c r="T2402" t="str">
        <f t="shared" si="1325"/>
        <v>14:54:57.519</v>
      </c>
      <c r="U2402" t="str">
        <f t="shared" si="1307"/>
        <v>ACC530</v>
      </c>
      <c r="V2402">
        <v>0</v>
      </c>
      <c r="W2402">
        <v>0</v>
      </c>
      <c r="X2402">
        <v>1</v>
      </c>
      <c r="Z2402">
        <v>0</v>
      </c>
      <c r="AA2402">
        <v>9</v>
      </c>
      <c r="AB2402">
        <v>3</v>
      </c>
      <c r="AC2402">
        <v>0</v>
      </c>
      <c r="AD2402">
        <v>9</v>
      </c>
      <c r="AE2402">
        <v>0</v>
      </c>
      <c r="AF2402">
        <v>3</v>
      </c>
      <c r="AG2402">
        <v>1</v>
      </c>
      <c r="AH2402">
        <v>0</v>
      </c>
      <c r="AI2402" t="s">
        <v>856</v>
      </c>
      <c r="AJ2402">
        <v>34.151130000000002</v>
      </c>
      <c r="AK2402" t="s">
        <v>857</v>
      </c>
      <c r="AL2402">
        <v>-117.048125</v>
      </c>
      <c r="AM2402">
        <v>100</v>
      </c>
      <c r="AN2402">
        <v>7200</v>
      </c>
      <c r="AO2402" t="s">
        <v>118</v>
      </c>
      <c r="AP2402">
        <v>-57</v>
      </c>
      <c r="AQ2402">
        <v>-94</v>
      </c>
      <c r="AR2402">
        <v>-704</v>
      </c>
      <c r="AZ2402">
        <v>1200</v>
      </c>
      <c r="BA2402">
        <v>1</v>
      </c>
      <c r="BB2402" t="str">
        <f t="shared" si="1311"/>
        <v xml:space="preserve">N9217B  </v>
      </c>
      <c r="BC2402">
        <v>1</v>
      </c>
      <c r="BE2402">
        <v>0</v>
      </c>
      <c r="BF2402">
        <v>0</v>
      </c>
      <c r="BG2402">
        <v>0</v>
      </c>
      <c r="BH2402">
        <v>7150</v>
      </c>
      <c r="BI2402">
        <v>1</v>
      </c>
      <c r="BJ2402">
        <v>0</v>
      </c>
      <c r="BK2402">
        <v>0</v>
      </c>
      <c r="BL2402">
        <v>0</v>
      </c>
      <c r="BO2402">
        <v>0</v>
      </c>
      <c r="BP2402">
        <v>0</v>
      </c>
      <c r="BW2402" t="str">
        <f t="shared" si="1326"/>
        <v>14:54:57.723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285</v>
      </c>
      <c r="CR2402">
        <v>0</v>
      </c>
      <c r="CW2402">
        <v>8865655</v>
      </c>
      <c r="CY2402">
        <v>0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25">
      <c r="A2403" t="str">
        <f t="shared" si="1323"/>
        <v>06/05/2020 14:54:52.039</v>
      </c>
      <c r="C2403" t="str">
        <f t="shared" ref="C2403:C2466" si="1327">"FFDFD3C0"</f>
        <v>FFDFD3C0</v>
      </c>
      <c r="D2403" t="s">
        <v>151</v>
      </c>
      <c r="E2403">
        <v>8</v>
      </c>
      <c r="H2403">
        <v>225</v>
      </c>
      <c r="I2403" t="s">
        <v>353</v>
      </c>
      <c r="J2403" t="s">
        <v>150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324"/>
        <v>14:54:57.719</v>
      </c>
      <c r="T2403" t="str">
        <f t="shared" si="1325"/>
        <v>14:54:57.519</v>
      </c>
      <c r="U2403" t="str">
        <f t="shared" si="1307"/>
        <v>ACC530</v>
      </c>
      <c r="V2403">
        <v>0</v>
      </c>
      <c r="W2403">
        <v>0</v>
      </c>
      <c r="X2403">
        <v>1</v>
      </c>
      <c r="Z2403">
        <v>0</v>
      </c>
      <c r="AA2403">
        <v>9</v>
      </c>
      <c r="AB2403">
        <v>3</v>
      </c>
      <c r="AC2403">
        <v>0</v>
      </c>
      <c r="AD2403">
        <v>9</v>
      </c>
      <c r="AE2403">
        <v>0</v>
      </c>
      <c r="AF2403">
        <v>3</v>
      </c>
      <c r="AG2403">
        <v>1</v>
      </c>
      <c r="AH2403">
        <v>0</v>
      </c>
      <c r="AI2403" t="s">
        <v>856</v>
      </c>
      <c r="AJ2403">
        <v>34.151130000000002</v>
      </c>
      <c r="AK2403" t="s">
        <v>857</v>
      </c>
      <c r="AL2403">
        <v>-117.048125</v>
      </c>
      <c r="AM2403">
        <v>100</v>
      </c>
      <c r="AN2403">
        <v>7200</v>
      </c>
      <c r="AO2403" t="s">
        <v>118</v>
      </c>
      <c r="AP2403">
        <v>-57</v>
      </c>
      <c r="AQ2403">
        <v>-94</v>
      </c>
      <c r="AR2403">
        <v>-704</v>
      </c>
      <c r="AZ2403">
        <v>1200</v>
      </c>
      <c r="BA2403">
        <v>1</v>
      </c>
      <c r="BB2403" t="str">
        <f t="shared" si="1311"/>
        <v xml:space="preserve">N9217B  </v>
      </c>
      <c r="BC2403">
        <v>1</v>
      </c>
      <c r="BE2403">
        <v>0</v>
      </c>
      <c r="BF2403">
        <v>0</v>
      </c>
      <c r="BG2403">
        <v>0</v>
      </c>
      <c r="BH2403">
        <v>7150</v>
      </c>
      <c r="BI2403">
        <v>1</v>
      </c>
      <c r="BJ2403">
        <v>0</v>
      </c>
      <c r="BK2403">
        <v>0</v>
      </c>
      <c r="BL2403">
        <v>0</v>
      </c>
      <c r="BO2403">
        <v>0</v>
      </c>
      <c r="BP2403">
        <v>0</v>
      </c>
      <c r="BW2403" t="str">
        <f t="shared" si="1326"/>
        <v>14:54:57.723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285</v>
      </c>
      <c r="CR2403">
        <v>0</v>
      </c>
      <c r="CW2403">
        <v>8865655</v>
      </c>
      <c r="CY2403">
        <v>0</v>
      </c>
      <c r="CZ2403">
        <v>0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25">
      <c r="A2404" t="str">
        <f t="shared" si="1323"/>
        <v>06/05/2020 14:54:52.039</v>
      </c>
      <c r="C2404" t="str">
        <f t="shared" si="1327"/>
        <v>FFDFD3C0</v>
      </c>
      <c r="D2404" t="s">
        <v>141</v>
      </c>
      <c r="E2404">
        <v>20</v>
      </c>
      <c r="F2404">
        <v>1020</v>
      </c>
      <c r="G2404" t="s">
        <v>114</v>
      </c>
      <c r="J2404" t="s">
        <v>142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324"/>
        <v>14:54:57.719</v>
      </c>
      <c r="T2404" t="str">
        <f t="shared" si="1325"/>
        <v>14:54:57.519</v>
      </c>
      <c r="U2404" t="str">
        <f t="shared" si="1307"/>
        <v>ACC530</v>
      </c>
      <c r="V2404">
        <v>0</v>
      </c>
      <c r="W2404">
        <v>0</v>
      </c>
      <c r="X2404">
        <v>1</v>
      </c>
      <c r="Z2404">
        <v>0</v>
      </c>
      <c r="AA2404">
        <v>9</v>
      </c>
      <c r="AB2404">
        <v>3</v>
      </c>
      <c r="AC2404">
        <v>0</v>
      </c>
      <c r="AD2404">
        <v>9</v>
      </c>
      <c r="AE2404">
        <v>0</v>
      </c>
      <c r="AF2404">
        <v>3</v>
      </c>
      <c r="AG2404">
        <v>1</v>
      </c>
      <c r="AH2404">
        <v>0</v>
      </c>
      <c r="AI2404" t="s">
        <v>856</v>
      </c>
      <c r="AJ2404">
        <v>34.151130000000002</v>
      </c>
      <c r="AK2404" t="s">
        <v>857</v>
      </c>
      <c r="AL2404">
        <v>-117.048125</v>
      </c>
      <c r="AM2404">
        <v>100</v>
      </c>
      <c r="AN2404">
        <v>7200</v>
      </c>
      <c r="AO2404" t="s">
        <v>118</v>
      </c>
      <c r="AP2404">
        <v>-57</v>
      </c>
      <c r="AQ2404">
        <v>-94</v>
      </c>
      <c r="AR2404">
        <v>-704</v>
      </c>
      <c r="AZ2404">
        <v>1200</v>
      </c>
      <c r="BA2404">
        <v>1</v>
      </c>
      <c r="BB2404" t="str">
        <f t="shared" si="1311"/>
        <v xml:space="preserve">N9217B  </v>
      </c>
      <c r="BC2404">
        <v>1</v>
      </c>
      <c r="BE2404">
        <v>0</v>
      </c>
      <c r="BF2404">
        <v>0</v>
      </c>
      <c r="BG2404">
        <v>0</v>
      </c>
      <c r="BH2404">
        <v>7150</v>
      </c>
      <c r="BI2404">
        <v>1</v>
      </c>
      <c r="BJ2404">
        <v>0</v>
      </c>
      <c r="BK2404">
        <v>0</v>
      </c>
      <c r="BL2404">
        <v>0</v>
      </c>
      <c r="BO2404">
        <v>0</v>
      </c>
      <c r="BP2404">
        <v>0</v>
      </c>
      <c r="BW2404" t="str">
        <f t="shared" si="1326"/>
        <v>14:54:57.723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285</v>
      </c>
      <c r="CR2404">
        <v>0</v>
      </c>
      <c r="CW2404">
        <v>8865655</v>
      </c>
      <c r="CY2404">
        <v>0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25">
      <c r="A2405" t="str">
        <f t="shared" si="1323"/>
        <v>06/05/2020 14:54:52.039</v>
      </c>
      <c r="C2405" t="str">
        <f t="shared" si="1327"/>
        <v>FFDFD3C0</v>
      </c>
      <c r="D2405" t="s">
        <v>151</v>
      </c>
      <c r="E2405">
        <v>9</v>
      </c>
      <c r="H2405">
        <v>226</v>
      </c>
      <c r="I2405" t="s">
        <v>152</v>
      </c>
      <c r="J2405" t="s">
        <v>150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324"/>
        <v>14:54:57.719</v>
      </c>
      <c r="T2405" t="str">
        <f t="shared" si="1325"/>
        <v>14:54:57.519</v>
      </c>
      <c r="U2405" t="str">
        <f t="shared" si="1307"/>
        <v>ACC530</v>
      </c>
      <c r="V2405">
        <v>0</v>
      </c>
      <c r="W2405">
        <v>0</v>
      </c>
      <c r="X2405">
        <v>1</v>
      </c>
      <c r="Z2405">
        <v>0</v>
      </c>
      <c r="AA2405">
        <v>9</v>
      </c>
      <c r="AB2405">
        <v>3</v>
      </c>
      <c r="AC2405">
        <v>0</v>
      </c>
      <c r="AD2405">
        <v>9</v>
      </c>
      <c r="AE2405">
        <v>0</v>
      </c>
      <c r="AF2405">
        <v>3</v>
      </c>
      <c r="AG2405">
        <v>1</v>
      </c>
      <c r="AH2405">
        <v>0</v>
      </c>
      <c r="AI2405" t="s">
        <v>856</v>
      </c>
      <c r="AJ2405">
        <v>34.151130000000002</v>
      </c>
      <c r="AK2405" t="s">
        <v>857</v>
      </c>
      <c r="AL2405">
        <v>-117.048125</v>
      </c>
      <c r="AM2405">
        <v>100</v>
      </c>
      <c r="AN2405">
        <v>7200</v>
      </c>
      <c r="AO2405" t="s">
        <v>118</v>
      </c>
      <c r="AP2405">
        <v>-57</v>
      </c>
      <c r="AQ2405">
        <v>-94</v>
      </c>
      <c r="AR2405">
        <v>-704</v>
      </c>
      <c r="AZ2405">
        <v>1200</v>
      </c>
      <c r="BA2405">
        <v>1</v>
      </c>
      <c r="BB2405" t="str">
        <f t="shared" si="1311"/>
        <v xml:space="preserve">N9217B  </v>
      </c>
      <c r="BC2405">
        <v>1</v>
      </c>
      <c r="BE2405">
        <v>0</v>
      </c>
      <c r="BF2405">
        <v>0</v>
      </c>
      <c r="BG2405">
        <v>0</v>
      </c>
      <c r="BH2405">
        <v>7150</v>
      </c>
      <c r="BI2405">
        <v>1</v>
      </c>
      <c r="BJ2405">
        <v>0</v>
      </c>
      <c r="BK2405">
        <v>0</v>
      </c>
      <c r="BL2405">
        <v>0</v>
      </c>
      <c r="BO2405">
        <v>0</v>
      </c>
      <c r="BP2405">
        <v>0</v>
      </c>
      <c r="BW2405" t="str">
        <f t="shared" si="1326"/>
        <v>14:54:57.723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285</v>
      </c>
      <c r="CR2405">
        <v>0</v>
      </c>
      <c r="CW2405">
        <v>8865655</v>
      </c>
      <c r="CY2405">
        <v>0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25">
      <c r="A2406" t="str">
        <f t="shared" si="1323"/>
        <v>06/05/2020 14:54:52.039</v>
      </c>
      <c r="C2406" t="str">
        <f t="shared" si="1327"/>
        <v>FFDFD3C0</v>
      </c>
      <c r="D2406" t="s">
        <v>148</v>
      </c>
      <c r="E2406">
        <v>8</v>
      </c>
      <c r="H2406">
        <v>50</v>
      </c>
      <c r="I2406" t="s">
        <v>149</v>
      </c>
      <c r="J2406" t="s">
        <v>150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324"/>
        <v>14:54:57.719</v>
      </c>
      <c r="T2406" t="str">
        <f t="shared" si="1325"/>
        <v>14:54:57.519</v>
      </c>
      <c r="U2406" t="str">
        <f t="shared" si="1307"/>
        <v>ACC530</v>
      </c>
      <c r="V2406">
        <v>0</v>
      </c>
      <c r="W2406">
        <v>0</v>
      </c>
      <c r="X2406">
        <v>1</v>
      </c>
      <c r="Z2406">
        <v>0</v>
      </c>
      <c r="AA2406">
        <v>9</v>
      </c>
      <c r="AB2406">
        <v>3</v>
      </c>
      <c r="AC2406">
        <v>0</v>
      </c>
      <c r="AD2406">
        <v>9</v>
      </c>
      <c r="AE2406">
        <v>0</v>
      </c>
      <c r="AF2406">
        <v>3</v>
      </c>
      <c r="AG2406">
        <v>1</v>
      </c>
      <c r="AH2406">
        <v>0</v>
      </c>
      <c r="AI2406" t="s">
        <v>856</v>
      </c>
      <c r="AJ2406">
        <v>34.151130000000002</v>
      </c>
      <c r="AK2406" t="s">
        <v>857</v>
      </c>
      <c r="AL2406">
        <v>-117.048125</v>
      </c>
      <c r="AM2406">
        <v>100</v>
      </c>
      <c r="AN2406">
        <v>7200</v>
      </c>
      <c r="AO2406" t="s">
        <v>118</v>
      </c>
      <c r="AP2406">
        <v>-57</v>
      </c>
      <c r="AQ2406">
        <v>-94</v>
      </c>
      <c r="AR2406">
        <v>-704</v>
      </c>
      <c r="AZ2406">
        <v>1200</v>
      </c>
      <c r="BA2406">
        <v>1</v>
      </c>
      <c r="BB2406" t="str">
        <f t="shared" si="1311"/>
        <v xml:space="preserve">N9217B  </v>
      </c>
      <c r="BC2406">
        <v>1</v>
      </c>
      <c r="BE2406">
        <v>0</v>
      </c>
      <c r="BF2406">
        <v>0</v>
      </c>
      <c r="BG2406">
        <v>0</v>
      </c>
      <c r="BH2406">
        <v>7150</v>
      </c>
      <c r="BI2406">
        <v>1</v>
      </c>
      <c r="BJ2406">
        <v>0</v>
      </c>
      <c r="BK2406">
        <v>0</v>
      </c>
      <c r="BL2406">
        <v>0</v>
      </c>
      <c r="BO2406">
        <v>0</v>
      </c>
      <c r="BP2406">
        <v>0</v>
      </c>
      <c r="BW2406" t="str">
        <f t="shared" si="1326"/>
        <v>14:54:57.723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285</v>
      </c>
      <c r="CR2406">
        <v>0</v>
      </c>
      <c r="CW2406">
        <v>8865655</v>
      </c>
      <c r="CY2406">
        <v>0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25">
      <c r="A2407" t="str">
        <f t="shared" ref="A2407:A2413" si="1328">"06/05/2020 14:54:53.097"</f>
        <v>06/05/2020 14:54:53.097</v>
      </c>
      <c r="C2407" t="str">
        <f t="shared" si="1327"/>
        <v>FFDFD3C0</v>
      </c>
      <c r="D2407" t="s">
        <v>148</v>
      </c>
      <c r="E2407">
        <v>8</v>
      </c>
      <c r="H2407">
        <v>50</v>
      </c>
      <c r="I2407" t="s">
        <v>149</v>
      </c>
      <c r="J2407" t="s">
        <v>150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ref="S2407:S2413" si="1329">"14:54:58.742"</f>
        <v>14:54:58.742</v>
      </c>
      <c r="T2407" t="str">
        <f t="shared" ref="T2407:T2413" si="1330">"14:54:58.642"</f>
        <v>14:54:58.642</v>
      </c>
      <c r="U2407" t="str">
        <f t="shared" si="1307"/>
        <v>ACC530</v>
      </c>
      <c r="V2407">
        <v>0</v>
      </c>
      <c r="W2407">
        <v>0</v>
      </c>
      <c r="X2407">
        <v>1</v>
      </c>
      <c r="Z2407">
        <v>0</v>
      </c>
      <c r="AA2407">
        <v>9</v>
      </c>
      <c r="AB2407">
        <v>3</v>
      </c>
      <c r="AC2407">
        <v>0</v>
      </c>
      <c r="AD2407">
        <v>9</v>
      </c>
      <c r="AE2407">
        <v>0</v>
      </c>
      <c r="AF2407">
        <v>3</v>
      </c>
      <c r="AG2407">
        <v>1</v>
      </c>
      <c r="AH2407">
        <v>0</v>
      </c>
      <c r="AI2407" t="s">
        <v>858</v>
      </c>
      <c r="AJ2407">
        <v>34.150722000000002</v>
      </c>
      <c r="AK2407" t="s">
        <v>859</v>
      </c>
      <c r="AL2407">
        <v>-117.048404</v>
      </c>
      <c r="AM2407">
        <v>100</v>
      </c>
      <c r="AN2407">
        <v>7200</v>
      </c>
      <c r="AO2407" t="s">
        <v>118</v>
      </c>
      <c r="AP2407">
        <v>-58</v>
      </c>
      <c r="AQ2407">
        <v>-93</v>
      </c>
      <c r="AR2407">
        <v>-704</v>
      </c>
      <c r="AZ2407">
        <v>1200</v>
      </c>
      <c r="BA2407">
        <v>1</v>
      </c>
      <c r="BB2407" t="str">
        <f t="shared" si="1311"/>
        <v xml:space="preserve">N9217B  </v>
      </c>
      <c r="BC2407">
        <v>1</v>
      </c>
      <c r="BE2407">
        <v>0</v>
      </c>
      <c r="BF2407">
        <v>0</v>
      </c>
      <c r="BG2407">
        <v>0</v>
      </c>
      <c r="BH2407">
        <v>7125</v>
      </c>
      <c r="BI2407">
        <v>1</v>
      </c>
      <c r="BJ2407">
        <v>0</v>
      </c>
      <c r="BK2407">
        <v>0</v>
      </c>
      <c r="BL2407">
        <v>0</v>
      </c>
      <c r="BO2407">
        <v>0</v>
      </c>
      <c r="BP2407">
        <v>0</v>
      </c>
      <c r="BW2407" t="str">
        <f t="shared" ref="BW2407:BW2413" si="1331">"14:54:58.743"</f>
        <v>14:54:58.743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285</v>
      </c>
      <c r="CR2407">
        <v>0</v>
      </c>
      <c r="CW2407">
        <v>8865740</v>
      </c>
      <c r="CY2407">
        <v>0</v>
      </c>
      <c r="CZ2407">
        <v>0</v>
      </c>
      <c r="DA2407">
        <v>0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25">
      <c r="A2408" t="str">
        <f t="shared" si="1328"/>
        <v>06/05/2020 14:54:53.097</v>
      </c>
      <c r="C2408" t="str">
        <f t="shared" si="1327"/>
        <v>FFDFD3C0</v>
      </c>
      <c r="D2408" t="s">
        <v>148</v>
      </c>
      <c r="E2408">
        <v>11</v>
      </c>
      <c r="H2408">
        <v>53</v>
      </c>
      <c r="I2408" t="s">
        <v>364</v>
      </c>
      <c r="J2408" t="s">
        <v>150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329"/>
        <v>14:54:58.742</v>
      </c>
      <c r="T2408" t="str">
        <f t="shared" si="1330"/>
        <v>14:54:58.642</v>
      </c>
      <c r="U2408" t="str">
        <f t="shared" si="1307"/>
        <v>ACC530</v>
      </c>
      <c r="V2408">
        <v>0</v>
      </c>
      <c r="W2408">
        <v>0</v>
      </c>
      <c r="X2408">
        <v>1</v>
      </c>
      <c r="Z2408">
        <v>0</v>
      </c>
      <c r="AA2408">
        <v>9</v>
      </c>
      <c r="AB2408">
        <v>3</v>
      </c>
      <c r="AC2408">
        <v>0</v>
      </c>
      <c r="AD2408">
        <v>9</v>
      </c>
      <c r="AE2408">
        <v>0</v>
      </c>
      <c r="AF2408">
        <v>3</v>
      </c>
      <c r="AG2408">
        <v>1</v>
      </c>
      <c r="AH2408">
        <v>0</v>
      </c>
      <c r="AI2408" t="s">
        <v>858</v>
      </c>
      <c r="AJ2408">
        <v>34.150722000000002</v>
      </c>
      <c r="AK2408" t="s">
        <v>859</v>
      </c>
      <c r="AL2408">
        <v>-117.048404</v>
      </c>
      <c r="AM2408">
        <v>100</v>
      </c>
      <c r="AN2408">
        <v>7200</v>
      </c>
      <c r="AO2408" t="s">
        <v>118</v>
      </c>
      <c r="AP2408">
        <v>-58</v>
      </c>
      <c r="AQ2408">
        <v>-93</v>
      </c>
      <c r="AR2408">
        <v>-704</v>
      </c>
      <c r="AZ2408">
        <v>1200</v>
      </c>
      <c r="BA2408">
        <v>1</v>
      </c>
      <c r="BB2408" t="str">
        <f t="shared" si="1311"/>
        <v xml:space="preserve">N9217B  </v>
      </c>
      <c r="BC2408">
        <v>1</v>
      </c>
      <c r="BE2408">
        <v>0</v>
      </c>
      <c r="BF2408">
        <v>0</v>
      </c>
      <c r="BG2408">
        <v>0</v>
      </c>
      <c r="BH2408">
        <v>7125</v>
      </c>
      <c r="BI2408">
        <v>1</v>
      </c>
      <c r="BJ2408">
        <v>0</v>
      </c>
      <c r="BK2408">
        <v>0</v>
      </c>
      <c r="BL2408">
        <v>0</v>
      </c>
      <c r="BO2408">
        <v>0</v>
      </c>
      <c r="BP2408">
        <v>0</v>
      </c>
      <c r="BW2408" t="str">
        <f t="shared" si="1331"/>
        <v>14:54:58.743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285</v>
      </c>
      <c r="CR2408">
        <v>0</v>
      </c>
      <c r="CW2408">
        <v>8865740</v>
      </c>
      <c r="CY2408">
        <v>0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25">
      <c r="A2409" t="str">
        <f t="shared" si="1328"/>
        <v>06/05/2020 14:54:53.097</v>
      </c>
      <c r="C2409" t="str">
        <f t="shared" si="1327"/>
        <v>FFDFD3C0</v>
      </c>
      <c r="D2409" t="s">
        <v>134</v>
      </c>
      <c r="E2409">
        <v>7</v>
      </c>
      <c r="F2409">
        <v>2007</v>
      </c>
      <c r="G2409" t="s">
        <v>135</v>
      </c>
      <c r="J2409" t="s">
        <v>136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329"/>
        <v>14:54:58.742</v>
      </c>
      <c r="T2409" t="str">
        <f t="shared" si="1330"/>
        <v>14:54:58.642</v>
      </c>
      <c r="U2409" t="str">
        <f t="shared" si="1307"/>
        <v>ACC530</v>
      </c>
      <c r="V2409">
        <v>0</v>
      </c>
      <c r="W2409">
        <v>0</v>
      </c>
      <c r="X2409">
        <v>1</v>
      </c>
      <c r="Z2409">
        <v>0</v>
      </c>
      <c r="AA2409">
        <v>9</v>
      </c>
      <c r="AB2409">
        <v>3</v>
      </c>
      <c r="AC2409">
        <v>0</v>
      </c>
      <c r="AD2409">
        <v>9</v>
      </c>
      <c r="AE2409">
        <v>0</v>
      </c>
      <c r="AF2409">
        <v>3</v>
      </c>
      <c r="AG2409">
        <v>1</v>
      </c>
      <c r="AH2409">
        <v>0</v>
      </c>
      <c r="AI2409" t="s">
        <v>858</v>
      </c>
      <c r="AJ2409">
        <v>34.150722000000002</v>
      </c>
      <c r="AK2409" t="s">
        <v>859</v>
      </c>
      <c r="AL2409">
        <v>-117.048404</v>
      </c>
      <c r="AM2409">
        <v>100</v>
      </c>
      <c r="AN2409">
        <v>7200</v>
      </c>
      <c r="AO2409" t="s">
        <v>118</v>
      </c>
      <c r="AP2409">
        <v>-58</v>
      </c>
      <c r="AQ2409">
        <v>-93</v>
      </c>
      <c r="AR2409">
        <v>-704</v>
      </c>
      <c r="AZ2409">
        <v>1200</v>
      </c>
      <c r="BA2409">
        <v>1</v>
      </c>
      <c r="BB2409" t="str">
        <f t="shared" si="1311"/>
        <v xml:space="preserve">N9217B  </v>
      </c>
      <c r="BC2409">
        <v>1</v>
      </c>
      <c r="BE2409">
        <v>0</v>
      </c>
      <c r="BF2409">
        <v>0</v>
      </c>
      <c r="BG2409">
        <v>0</v>
      </c>
      <c r="BH2409">
        <v>7125</v>
      </c>
      <c r="BI2409">
        <v>1</v>
      </c>
      <c r="BJ2409">
        <v>0</v>
      </c>
      <c r="BK2409">
        <v>0</v>
      </c>
      <c r="BL2409">
        <v>0</v>
      </c>
      <c r="BO2409">
        <v>0</v>
      </c>
      <c r="BP2409">
        <v>0</v>
      </c>
      <c r="BW2409" t="str">
        <f t="shared" si="1331"/>
        <v>14:54:58.743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285</v>
      </c>
      <c r="CR2409">
        <v>0</v>
      </c>
      <c r="CW2409">
        <v>8865740</v>
      </c>
      <c r="CY2409">
        <v>0</v>
      </c>
      <c r="CZ2409">
        <v>0</v>
      </c>
      <c r="DA2409">
        <v>1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25">
      <c r="A2410" t="str">
        <f t="shared" si="1328"/>
        <v>06/05/2020 14:54:53.097</v>
      </c>
      <c r="C2410" t="str">
        <f t="shared" si="1327"/>
        <v>FFDFD3C0</v>
      </c>
      <c r="D2410" t="s">
        <v>113</v>
      </c>
      <c r="E2410">
        <v>3</v>
      </c>
      <c r="H2410">
        <v>166</v>
      </c>
      <c r="I2410" t="s">
        <v>114</v>
      </c>
      <c r="J2410" t="s">
        <v>115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329"/>
        <v>14:54:58.742</v>
      </c>
      <c r="T2410" t="str">
        <f t="shared" si="1330"/>
        <v>14:54:58.642</v>
      </c>
      <c r="U2410" t="str">
        <f t="shared" si="1307"/>
        <v>ACC530</v>
      </c>
      <c r="V2410">
        <v>0</v>
      </c>
      <c r="W2410">
        <v>0</v>
      </c>
      <c r="X2410">
        <v>1</v>
      </c>
      <c r="Z2410">
        <v>0</v>
      </c>
      <c r="AA2410">
        <v>9</v>
      </c>
      <c r="AB2410">
        <v>3</v>
      </c>
      <c r="AC2410">
        <v>0</v>
      </c>
      <c r="AD2410">
        <v>9</v>
      </c>
      <c r="AE2410">
        <v>0</v>
      </c>
      <c r="AF2410">
        <v>3</v>
      </c>
      <c r="AG2410">
        <v>1</v>
      </c>
      <c r="AH2410">
        <v>0</v>
      </c>
      <c r="AI2410" t="s">
        <v>858</v>
      </c>
      <c r="AJ2410">
        <v>34.150722000000002</v>
      </c>
      <c r="AK2410" t="s">
        <v>859</v>
      </c>
      <c r="AL2410">
        <v>-117.048404</v>
      </c>
      <c r="AM2410">
        <v>100</v>
      </c>
      <c r="AN2410">
        <v>7200</v>
      </c>
      <c r="AO2410" t="s">
        <v>118</v>
      </c>
      <c r="AP2410">
        <v>-58</v>
      </c>
      <c r="AQ2410">
        <v>-93</v>
      </c>
      <c r="AR2410">
        <v>-704</v>
      </c>
      <c r="AZ2410">
        <v>1200</v>
      </c>
      <c r="BA2410">
        <v>1</v>
      </c>
      <c r="BB2410" t="str">
        <f t="shared" si="1311"/>
        <v xml:space="preserve">N9217B  </v>
      </c>
      <c r="BC2410">
        <v>1</v>
      </c>
      <c r="BE2410">
        <v>0</v>
      </c>
      <c r="BF2410">
        <v>0</v>
      </c>
      <c r="BG2410">
        <v>0</v>
      </c>
      <c r="BH2410">
        <v>7125</v>
      </c>
      <c r="BI2410">
        <v>1</v>
      </c>
      <c r="BJ2410">
        <v>0</v>
      </c>
      <c r="BK2410">
        <v>0</v>
      </c>
      <c r="BL2410">
        <v>0</v>
      </c>
      <c r="BO2410">
        <v>0</v>
      </c>
      <c r="BP2410">
        <v>0</v>
      </c>
      <c r="BW2410" t="str">
        <f t="shared" si="1331"/>
        <v>14:54:58.743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285</v>
      </c>
      <c r="CR2410">
        <v>0</v>
      </c>
      <c r="CW2410">
        <v>8865740</v>
      </c>
      <c r="CY2410">
        <v>0</v>
      </c>
      <c r="CZ2410">
        <v>0</v>
      </c>
      <c r="DA2410">
        <v>1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25">
      <c r="A2411" t="str">
        <f t="shared" si="1328"/>
        <v>06/05/2020 14:54:53.097</v>
      </c>
      <c r="C2411" t="str">
        <f t="shared" si="1327"/>
        <v>FFDFD3C0</v>
      </c>
      <c r="D2411" t="s">
        <v>151</v>
      </c>
      <c r="E2411">
        <v>8</v>
      </c>
      <c r="H2411">
        <v>225</v>
      </c>
      <c r="I2411" t="s">
        <v>353</v>
      </c>
      <c r="J2411" t="s">
        <v>150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329"/>
        <v>14:54:58.742</v>
      </c>
      <c r="T2411" t="str">
        <f t="shared" si="1330"/>
        <v>14:54:58.642</v>
      </c>
      <c r="U2411" t="str">
        <f t="shared" si="1307"/>
        <v>ACC530</v>
      </c>
      <c r="V2411">
        <v>0</v>
      </c>
      <c r="W2411">
        <v>0</v>
      </c>
      <c r="X2411">
        <v>1</v>
      </c>
      <c r="Z2411">
        <v>0</v>
      </c>
      <c r="AA2411">
        <v>9</v>
      </c>
      <c r="AB2411">
        <v>3</v>
      </c>
      <c r="AC2411">
        <v>0</v>
      </c>
      <c r="AD2411">
        <v>9</v>
      </c>
      <c r="AE2411">
        <v>0</v>
      </c>
      <c r="AF2411">
        <v>3</v>
      </c>
      <c r="AG2411">
        <v>1</v>
      </c>
      <c r="AH2411">
        <v>0</v>
      </c>
      <c r="AI2411" t="s">
        <v>858</v>
      </c>
      <c r="AJ2411">
        <v>34.150722000000002</v>
      </c>
      <c r="AK2411" t="s">
        <v>859</v>
      </c>
      <c r="AL2411">
        <v>-117.048404</v>
      </c>
      <c r="AM2411">
        <v>100</v>
      </c>
      <c r="AN2411">
        <v>7200</v>
      </c>
      <c r="AO2411" t="s">
        <v>118</v>
      </c>
      <c r="AP2411">
        <v>-58</v>
      </c>
      <c r="AQ2411">
        <v>-93</v>
      </c>
      <c r="AR2411">
        <v>-704</v>
      </c>
      <c r="AZ2411">
        <v>1200</v>
      </c>
      <c r="BA2411">
        <v>1</v>
      </c>
      <c r="BB2411" t="str">
        <f t="shared" si="1311"/>
        <v xml:space="preserve">N9217B  </v>
      </c>
      <c r="BC2411">
        <v>1</v>
      </c>
      <c r="BE2411">
        <v>0</v>
      </c>
      <c r="BF2411">
        <v>0</v>
      </c>
      <c r="BG2411">
        <v>0</v>
      </c>
      <c r="BH2411">
        <v>7125</v>
      </c>
      <c r="BI2411">
        <v>1</v>
      </c>
      <c r="BJ2411">
        <v>0</v>
      </c>
      <c r="BK2411">
        <v>0</v>
      </c>
      <c r="BL2411">
        <v>0</v>
      </c>
      <c r="BO2411">
        <v>0</v>
      </c>
      <c r="BP2411">
        <v>0</v>
      </c>
      <c r="BW2411" t="str">
        <f t="shared" si="1331"/>
        <v>14:54:58.743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285</v>
      </c>
      <c r="CR2411">
        <v>0</v>
      </c>
      <c r="CW2411">
        <v>8865740</v>
      </c>
      <c r="CY2411">
        <v>0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25">
      <c r="A2412" t="str">
        <f t="shared" si="1328"/>
        <v>06/05/2020 14:54:53.097</v>
      </c>
      <c r="C2412" t="str">
        <f t="shared" si="1327"/>
        <v>FFDFD3C0</v>
      </c>
      <c r="D2412" t="s">
        <v>141</v>
      </c>
      <c r="E2412">
        <v>20</v>
      </c>
      <c r="F2412">
        <v>1020</v>
      </c>
      <c r="G2412" t="s">
        <v>114</v>
      </c>
      <c r="J2412" t="s">
        <v>142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329"/>
        <v>14:54:58.742</v>
      </c>
      <c r="T2412" t="str">
        <f t="shared" si="1330"/>
        <v>14:54:58.642</v>
      </c>
      <c r="U2412" t="str">
        <f t="shared" si="1307"/>
        <v>ACC530</v>
      </c>
      <c r="V2412">
        <v>0</v>
      </c>
      <c r="W2412">
        <v>0</v>
      </c>
      <c r="X2412">
        <v>1</v>
      </c>
      <c r="Z2412">
        <v>0</v>
      </c>
      <c r="AA2412">
        <v>9</v>
      </c>
      <c r="AB2412">
        <v>3</v>
      </c>
      <c r="AC2412">
        <v>0</v>
      </c>
      <c r="AD2412">
        <v>9</v>
      </c>
      <c r="AE2412">
        <v>0</v>
      </c>
      <c r="AF2412">
        <v>3</v>
      </c>
      <c r="AG2412">
        <v>1</v>
      </c>
      <c r="AH2412">
        <v>0</v>
      </c>
      <c r="AI2412" t="s">
        <v>858</v>
      </c>
      <c r="AJ2412">
        <v>34.150722000000002</v>
      </c>
      <c r="AK2412" t="s">
        <v>859</v>
      </c>
      <c r="AL2412">
        <v>-117.048404</v>
      </c>
      <c r="AM2412">
        <v>100</v>
      </c>
      <c r="AN2412">
        <v>7200</v>
      </c>
      <c r="AO2412" t="s">
        <v>118</v>
      </c>
      <c r="AP2412">
        <v>-58</v>
      </c>
      <c r="AQ2412">
        <v>-93</v>
      </c>
      <c r="AR2412">
        <v>-704</v>
      </c>
      <c r="AZ2412">
        <v>1200</v>
      </c>
      <c r="BA2412">
        <v>1</v>
      </c>
      <c r="BB2412" t="str">
        <f t="shared" si="1311"/>
        <v xml:space="preserve">N9217B  </v>
      </c>
      <c r="BC2412">
        <v>1</v>
      </c>
      <c r="BE2412">
        <v>0</v>
      </c>
      <c r="BF2412">
        <v>0</v>
      </c>
      <c r="BG2412">
        <v>0</v>
      </c>
      <c r="BH2412">
        <v>7125</v>
      </c>
      <c r="BI2412">
        <v>1</v>
      </c>
      <c r="BJ2412">
        <v>0</v>
      </c>
      <c r="BK2412">
        <v>0</v>
      </c>
      <c r="BL2412">
        <v>0</v>
      </c>
      <c r="BO2412">
        <v>0</v>
      </c>
      <c r="BP2412">
        <v>0</v>
      </c>
      <c r="BW2412" t="str">
        <f t="shared" si="1331"/>
        <v>14:54:58.743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285</v>
      </c>
      <c r="CR2412">
        <v>0</v>
      </c>
      <c r="CW2412">
        <v>8865740</v>
      </c>
      <c r="CY2412">
        <v>0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25">
      <c r="A2413" t="str">
        <f t="shared" si="1328"/>
        <v>06/05/2020 14:54:53.097</v>
      </c>
      <c r="C2413" t="str">
        <f t="shared" si="1327"/>
        <v>FFDFD3C0</v>
      </c>
      <c r="D2413" t="s">
        <v>151</v>
      </c>
      <c r="E2413">
        <v>9</v>
      </c>
      <c r="H2413">
        <v>226</v>
      </c>
      <c r="I2413" t="s">
        <v>152</v>
      </c>
      <c r="J2413" t="s">
        <v>150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329"/>
        <v>14:54:58.742</v>
      </c>
      <c r="T2413" t="str">
        <f t="shared" si="1330"/>
        <v>14:54:58.642</v>
      </c>
      <c r="U2413" t="str">
        <f t="shared" si="1307"/>
        <v>ACC530</v>
      </c>
      <c r="V2413">
        <v>0</v>
      </c>
      <c r="W2413">
        <v>0</v>
      </c>
      <c r="X2413">
        <v>1</v>
      </c>
      <c r="Z2413">
        <v>0</v>
      </c>
      <c r="AA2413">
        <v>9</v>
      </c>
      <c r="AB2413">
        <v>3</v>
      </c>
      <c r="AC2413">
        <v>0</v>
      </c>
      <c r="AD2413">
        <v>9</v>
      </c>
      <c r="AE2413">
        <v>0</v>
      </c>
      <c r="AF2413">
        <v>3</v>
      </c>
      <c r="AG2413">
        <v>1</v>
      </c>
      <c r="AH2413">
        <v>0</v>
      </c>
      <c r="AI2413" t="s">
        <v>858</v>
      </c>
      <c r="AJ2413">
        <v>34.150722000000002</v>
      </c>
      <c r="AK2413" t="s">
        <v>859</v>
      </c>
      <c r="AL2413">
        <v>-117.048404</v>
      </c>
      <c r="AM2413">
        <v>100</v>
      </c>
      <c r="AN2413">
        <v>7200</v>
      </c>
      <c r="AO2413" t="s">
        <v>118</v>
      </c>
      <c r="AP2413">
        <v>-58</v>
      </c>
      <c r="AQ2413">
        <v>-93</v>
      </c>
      <c r="AR2413">
        <v>-704</v>
      </c>
      <c r="AZ2413">
        <v>1200</v>
      </c>
      <c r="BA2413">
        <v>1</v>
      </c>
      <c r="BB2413" t="str">
        <f t="shared" si="1311"/>
        <v xml:space="preserve">N9217B  </v>
      </c>
      <c r="BC2413">
        <v>1</v>
      </c>
      <c r="BE2413">
        <v>0</v>
      </c>
      <c r="BF2413">
        <v>0</v>
      </c>
      <c r="BG2413">
        <v>0</v>
      </c>
      <c r="BH2413">
        <v>7125</v>
      </c>
      <c r="BI2413">
        <v>1</v>
      </c>
      <c r="BJ2413">
        <v>0</v>
      </c>
      <c r="BK2413">
        <v>0</v>
      </c>
      <c r="BL2413">
        <v>0</v>
      </c>
      <c r="BO2413">
        <v>0</v>
      </c>
      <c r="BP2413">
        <v>0</v>
      </c>
      <c r="BW2413" t="str">
        <f t="shared" si="1331"/>
        <v>14:54:58.743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285</v>
      </c>
      <c r="CR2413">
        <v>0</v>
      </c>
      <c r="CW2413">
        <v>8865740</v>
      </c>
      <c r="CY2413">
        <v>0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25">
      <c r="A2414" t="str">
        <f t="shared" ref="A2414:A2420" si="1332">"06/05/2020 14:54:54.093"</f>
        <v>06/05/2020 14:54:54.093</v>
      </c>
      <c r="C2414" t="str">
        <f t="shared" si="1327"/>
        <v>FFDFD3C0</v>
      </c>
      <c r="D2414" t="s">
        <v>151</v>
      </c>
      <c r="E2414">
        <v>9</v>
      </c>
      <c r="H2414">
        <v>226</v>
      </c>
      <c r="I2414" t="s">
        <v>152</v>
      </c>
      <c r="J2414" t="s">
        <v>150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ref="S2414:S2420" si="1333">"14:54:59.727"</f>
        <v>14:54:59.727</v>
      </c>
      <c r="T2414" t="str">
        <f t="shared" ref="T2414:T2420" si="1334">"14:54:59.627"</f>
        <v>14:54:59.627</v>
      </c>
      <c r="U2414" t="str">
        <f t="shared" si="1307"/>
        <v>ACC530</v>
      </c>
      <c r="V2414">
        <v>0</v>
      </c>
      <c r="W2414">
        <v>0</v>
      </c>
      <c r="X2414">
        <v>1</v>
      </c>
      <c r="Z2414">
        <v>0</v>
      </c>
      <c r="AA2414">
        <v>9</v>
      </c>
      <c r="AB2414">
        <v>3</v>
      </c>
      <c r="AC2414">
        <v>0</v>
      </c>
      <c r="AD2414">
        <v>9</v>
      </c>
      <c r="AE2414">
        <v>0</v>
      </c>
      <c r="AF2414">
        <v>3</v>
      </c>
      <c r="AG2414">
        <v>1</v>
      </c>
      <c r="AH2414">
        <v>0</v>
      </c>
      <c r="AI2414" t="s">
        <v>860</v>
      </c>
      <c r="AJ2414">
        <v>34.150270999999996</v>
      </c>
      <c r="AK2414" t="s">
        <v>861</v>
      </c>
      <c r="AL2414">
        <v>-117.048726</v>
      </c>
      <c r="AM2414">
        <v>100</v>
      </c>
      <c r="AN2414">
        <v>7200</v>
      </c>
      <c r="AO2414" t="s">
        <v>118</v>
      </c>
      <c r="AP2414">
        <v>-58</v>
      </c>
      <c r="AQ2414">
        <v>-93</v>
      </c>
      <c r="AR2414">
        <v>-704</v>
      </c>
      <c r="AZ2414">
        <v>1200</v>
      </c>
      <c r="BA2414">
        <v>1</v>
      </c>
      <c r="BB2414" t="str">
        <f t="shared" si="1311"/>
        <v xml:space="preserve">N9217B  </v>
      </c>
      <c r="BC2414">
        <v>1</v>
      </c>
      <c r="BE2414">
        <v>0</v>
      </c>
      <c r="BF2414">
        <v>0</v>
      </c>
      <c r="BG2414">
        <v>0</v>
      </c>
      <c r="BH2414">
        <v>7125</v>
      </c>
      <c r="BI2414">
        <v>1</v>
      </c>
      <c r="BJ2414">
        <v>0</v>
      </c>
      <c r="BK2414">
        <v>0</v>
      </c>
      <c r="BL2414">
        <v>0</v>
      </c>
      <c r="BO2414">
        <v>0</v>
      </c>
      <c r="BP2414">
        <v>0</v>
      </c>
      <c r="BW2414" t="str">
        <f t="shared" ref="BW2414:BW2420" si="1335">"14:54:59.733"</f>
        <v>14:54:59.733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285</v>
      </c>
      <c r="CR2414">
        <v>0</v>
      </c>
      <c r="CW2414">
        <v>8865835</v>
      </c>
      <c r="CY2414">
        <v>0</v>
      </c>
      <c r="CZ2414">
        <v>0</v>
      </c>
      <c r="DA2414">
        <v>0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25">
      <c r="A2415" t="str">
        <f t="shared" si="1332"/>
        <v>06/05/2020 14:54:54.093</v>
      </c>
      <c r="C2415" t="str">
        <f t="shared" si="1327"/>
        <v>FFDFD3C0</v>
      </c>
      <c r="D2415" t="s">
        <v>148</v>
      </c>
      <c r="E2415">
        <v>8</v>
      </c>
      <c r="H2415">
        <v>50</v>
      </c>
      <c r="I2415" t="s">
        <v>149</v>
      </c>
      <c r="J2415" t="s">
        <v>150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333"/>
        <v>14:54:59.727</v>
      </c>
      <c r="T2415" t="str">
        <f t="shared" si="1334"/>
        <v>14:54:59.627</v>
      </c>
      <c r="U2415" t="str">
        <f t="shared" si="1307"/>
        <v>ACC530</v>
      </c>
      <c r="V2415">
        <v>0</v>
      </c>
      <c r="W2415">
        <v>0</v>
      </c>
      <c r="X2415">
        <v>1</v>
      </c>
      <c r="Z2415">
        <v>0</v>
      </c>
      <c r="AA2415">
        <v>9</v>
      </c>
      <c r="AB2415">
        <v>3</v>
      </c>
      <c r="AC2415">
        <v>0</v>
      </c>
      <c r="AD2415">
        <v>9</v>
      </c>
      <c r="AE2415">
        <v>0</v>
      </c>
      <c r="AF2415">
        <v>3</v>
      </c>
      <c r="AG2415">
        <v>1</v>
      </c>
      <c r="AH2415">
        <v>0</v>
      </c>
      <c r="AI2415" t="s">
        <v>860</v>
      </c>
      <c r="AJ2415">
        <v>34.150270999999996</v>
      </c>
      <c r="AK2415" t="s">
        <v>861</v>
      </c>
      <c r="AL2415">
        <v>-117.048726</v>
      </c>
      <c r="AM2415">
        <v>100</v>
      </c>
      <c r="AN2415">
        <v>7200</v>
      </c>
      <c r="AO2415" t="s">
        <v>118</v>
      </c>
      <c r="AP2415">
        <v>-58</v>
      </c>
      <c r="AQ2415">
        <v>-93</v>
      </c>
      <c r="AR2415">
        <v>-704</v>
      </c>
      <c r="AZ2415">
        <v>1200</v>
      </c>
      <c r="BA2415">
        <v>1</v>
      </c>
      <c r="BB2415" t="str">
        <f t="shared" si="1311"/>
        <v xml:space="preserve">N9217B  </v>
      </c>
      <c r="BC2415">
        <v>1</v>
      </c>
      <c r="BE2415">
        <v>0</v>
      </c>
      <c r="BF2415">
        <v>0</v>
      </c>
      <c r="BG2415">
        <v>0</v>
      </c>
      <c r="BH2415">
        <v>7125</v>
      </c>
      <c r="BI2415">
        <v>1</v>
      </c>
      <c r="BJ2415">
        <v>0</v>
      </c>
      <c r="BK2415">
        <v>0</v>
      </c>
      <c r="BL2415">
        <v>0</v>
      </c>
      <c r="BO2415">
        <v>0</v>
      </c>
      <c r="BP2415">
        <v>0</v>
      </c>
      <c r="BW2415" t="str">
        <f t="shared" si="1335"/>
        <v>14:54:59.733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285</v>
      </c>
      <c r="CR2415">
        <v>0</v>
      </c>
      <c r="CW2415">
        <v>8865835</v>
      </c>
      <c r="CY2415">
        <v>0</v>
      </c>
      <c r="CZ2415">
        <v>0</v>
      </c>
      <c r="DA2415">
        <v>1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25">
      <c r="A2416" t="str">
        <f t="shared" si="1332"/>
        <v>06/05/2020 14:54:54.093</v>
      </c>
      <c r="C2416" t="str">
        <f t="shared" si="1327"/>
        <v>FFDFD3C0</v>
      </c>
      <c r="D2416" t="s">
        <v>134</v>
      </c>
      <c r="E2416">
        <v>7</v>
      </c>
      <c r="F2416">
        <v>2007</v>
      </c>
      <c r="G2416" t="s">
        <v>135</v>
      </c>
      <c r="J2416" t="s">
        <v>136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333"/>
        <v>14:54:59.727</v>
      </c>
      <c r="T2416" t="str">
        <f t="shared" si="1334"/>
        <v>14:54:59.627</v>
      </c>
      <c r="U2416" t="str">
        <f t="shared" si="1307"/>
        <v>ACC530</v>
      </c>
      <c r="V2416">
        <v>0</v>
      </c>
      <c r="W2416">
        <v>0</v>
      </c>
      <c r="X2416">
        <v>1</v>
      </c>
      <c r="Z2416">
        <v>0</v>
      </c>
      <c r="AA2416">
        <v>9</v>
      </c>
      <c r="AB2416">
        <v>3</v>
      </c>
      <c r="AC2416">
        <v>0</v>
      </c>
      <c r="AD2416">
        <v>9</v>
      </c>
      <c r="AE2416">
        <v>0</v>
      </c>
      <c r="AF2416">
        <v>3</v>
      </c>
      <c r="AG2416">
        <v>1</v>
      </c>
      <c r="AH2416">
        <v>0</v>
      </c>
      <c r="AI2416" t="s">
        <v>860</v>
      </c>
      <c r="AJ2416">
        <v>34.150270999999996</v>
      </c>
      <c r="AK2416" t="s">
        <v>861</v>
      </c>
      <c r="AL2416">
        <v>-117.048726</v>
      </c>
      <c r="AM2416">
        <v>100</v>
      </c>
      <c r="AN2416">
        <v>7200</v>
      </c>
      <c r="AO2416" t="s">
        <v>118</v>
      </c>
      <c r="AP2416">
        <v>-58</v>
      </c>
      <c r="AQ2416">
        <v>-93</v>
      </c>
      <c r="AR2416">
        <v>-704</v>
      </c>
      <c r="AZ2416">
        <v>1200</v>
      </c>
      <c r="BA2416">
        <v>1</v>
      </c>
      <c r="BB2416" t="str">
        <f t="shared" si="1311"/>
        <v xml:space="preserve">N9217B  </v>
      </c>
      <c r="BC2416">
        <v>1</v>
      </c>
      <c r="BE2416">
        <v>0</v>
      </c>
      <c r="BF2416">
        <v>0</v>
      </c>
      <c r="BG2416">
        <v>0</v>
      </c>
      <c r="BH2416">
        <v>7125</v>
      </c>
      <c r="BI2416">
        <v>1</v>
      </c>
      <c r="BJ2416">
        <v>0</v>
      </c>
      <c r="BK2416">
        <v>0</v>
      </c>
      <c r="BL2416">
        <v>0</v>
      </c>
      <c r="BO2416">
        <v>0</v>
      </c>
      <c r="BP2416">
        <v>0</v>
      </c>
      <c r="BW2416" t="str">
        <f t="shared" si="1335"/>
        <v>14:54:59.733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285</v>
      </c>
      <c r="CR2416">
        <v>0</v>
      </c>
      <c r="CW2416">
        <v>8865835</v>
      </c>
      <c r="CY2416">
        <v>0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25">
      <c r="A2417" t="str">
        <f t="shared" si="1332"/>
        <v>06/05/2020 14:54:54.093</v>
      </c>
      <c r="C2417" t="str">
        <f t="shared" si="1327"/>
        <v>FFDFD3C0</v>
      </c>
      <c r="D2417" t="s">
        <v>148</v>
      </c>
      <c r="E2417">
        <v>11</v>
      </c>
      <c r="H2417">
        <v>53</v>
      </c>
      <c r="I2417" t="s">
        <v>364</v>
      </c>
      <c r="J2417" t="s">
        <v>150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333"/>
        <v>14:54:59.727</v>
      </c>
      <c r="T2417" t="str">
        <f t="shared" si="1334"/>
        <v>14:54:59.627</v>
      </c>
      <c r="U2417" t="str">
        <f t="shared" si="1307"/>
        <v>ACC530</v>
      </c>
      <c r="V2417">
        <v>0</v>
      </c>
      <c r="W2417">
        <v>0</v>
      </c>
      <c r="X2417">
        <v>1</v>
      </c>
      <c r="Z2417">
        <v>0</v>
      </c>
      <c r="AA2417">
        <v>9</v>
      </c>
      <c r="AB2417">
        <v>3</v>
      </c>
      <c r="AC2417">
        <v>0</v>
      </c>
      <c r="AD2417">
        <v>9</v>
      </c>
      <c r="AE2417">
        <v>0</v>
      </c>
      <c r="AF2417">
        <v>3</v>
      </c>
      <c r="AG2417">
        <v>1</v>
      </c>
      <c r="AH2417">
        <v>0</v>
      </c>
      <c r="AI2417" t="s">
        <v>860</v>
      </c>
      <c r="AJ2417">
        <v>34.150270999999996</v>
      </c>
      <c r="AK2417" t="s">
        <v>861</v>
      </c>
      <c r="AL2417">
        <v>-117.048726</v>
      </c>
      <c r="AM2417">
        <v>100</v>
      </c>
      <c r="AN2417">
        <v>7200</v>
      </c>
      <c r="AO2417" t="s">
        <v>118</v>
      </c>
      <c r="AP2417">
        <v>-58</v>
      </c>
      <c r="AQ2417">
        <v>-93</v>
      </c>
      <c r="AR2417">
        <v>-704</v>
      </c>
      <c r="AZ2417">
        <v>1200</v>
      </c>
      <c r="BA2417">
        <v>1</v>
      </c>
      <c r="BB2417" t="str">
        <f t="shared" si="1311"/>
        <v xml:space="preserve">N9217B  </v>
      </c>
      <c r="BC2417">
        <v>1</v>
      </c>
      <c r="BE2417">
        <v>0</v>
      </c>
      <c r="BF2417">
        <v>0</v>
      </c>
      <c r="BG2417">
        <v>0</v>
      </c>
      <c r="BH2417">
        <v>7125</v>
      </c>
      <c r="BI2417">
        <v>1</v>
      </c>
      <c r="BJ2417">
        <v>0</v>
      </c>
      <c r="BK2417">
        <v>0</v>
      </c>
      <c r="BL2417">
        <v>0</v>
      </c>
      <c r="BO2417">
        <v>0</v>
      </c>
      <c r="BP2417">
        <v>0</v>
      </c>
      <c r="BW2417" t="str">
        <f t="shared" si="1335"/>
        <v>14:54:59.733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285</v>
      </c>
      <c r="CR2417">
        <v>0</v>
      </c>
      <c r="CW2417">
        <v>8865835</v>
      </c>
      <c r="CY2417">
        <v>0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25">
      <c r="A2418" t="str">
        <f t="shared" si="1332"/>
        <v>06/05/2020 14:54:54.093</v>
      </c>
      <c r="C2418" t="str">
        <f t="shared" si="1327"/>
        <v>FFDFD3C0</v>
      </c>
      <c r="D2418" t="s">
        <v>113</v>
      </c>
      <c r="E2418">
        <v>3</v>
      </c>
      <c r="H2418">
        <v>166</v>
      </c>
      <c r="I2418" t="s">
        <v>114</v>
      </c>
      <c r="J2418" t="s">
        <v>115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333"/>
        <v>14:54:59.727</v>
      </c>
      <c r="T2418" t="str">
        <f t="shared" si="1334"/>
        <v>14:54:59.627</v>
      </c>
      <c r="U2418" t="str">
        <f t="shared" si="1307"/>
        <v>ACC530</v>
      </c>
      <c r="V2418">
        <v>0</v>
      </c>
      <c r="W2418">
        <v>0</v>
      </c>
      <c r="X2418">
        <v>1</v>
      </c>
      <c r="Z2418">
        <v>0</v>
      </c>
      <c r="AA2418">
        <v>9</v>
      </c>
      <c r="AB2418">
        <v>3</v>
      </c>
      <c r="AC2418">
        <v>0</v>
      </c>
      <c r="AD2418">
        <v>9</v>
      </c>
      <c r="AE2418">
        <v>0</v>
      </c>
      <c r="AF2418">
        <v>3</v>
      </c>
      <c r="AG2418">
        <v>1</v>
      </c>
      <c r="AH2418">
        <v>0</v>
      </c>
      <c r="AI2418" t="s">
        <v>860</v>
      </c>
      <c r="AJ2418">
        <v>34.150270999999996</v>
      </c>
      <c r="AK2418" t="s">
        <v>861</v>
      </c>
      <c r="AL2418">
        <v>-117.048726</v>
      </c>
      <c r="AM2418">
        <v>100</v>
      </c>
      <c r="AN2418">
        <v>7200</v>
      </c>
      <c r="AO2418" t="s">
        <v>118</v>
      </c>
      <c r="AP2418">
        <v>-58</v>
      </c>
      <c r="AQ2418">
        <v>-93</v>
      </c>
      <c r="AR2418">
        <v>-704</v>
      </c>
      <c r="AZ2418">
        <v>1200</v>
      </c>
      <c r="BA2418">
        <v>1</v>
      </c>
      <c r="BB2418" t="str">
        <f t="shared" si="1311"/>
        <v xml:space="preserve">N9217B  </v>
      </c>
      <c r="BC2418">
        <v>1</v>
      </c>
      <c r="BE2418">
        <v>0</v>
      </c>
      <c r="BF2418">
        <v>0</v>
      </c>
      <c r="BG2418">
        <v>0</v>
      </c>
      <c r="BH2418">
        <v>7125</v>
      </c>
      <c r="BI2418">
        <v>1</v>
      </c>
      <c r="BJ2418">
        <v>0</v>
      </c>
      <c r="BK2418">
        <v>0</v>
      </c>
      <c r="BL2418">
        <v>0</v>
      </c>
      <c r="BO2418">
        <v>0</v>
      </c>
      <c r="BP2418">
        <v>0</v>
      </c>
      <c r="BW2418" t="str">
        <f t="shared" si="1335"/>
        <v>14:54:59.733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285</v>
      </c>
      <c r="CR2418">
        <v>0</v>
      </c>
      <c r="CW2418">
        <v>8865835</v>
      </c>
      <c r="CY2418">
        <v>0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25">
      <c r="A2419" t="str">
        <f t="shared" si="1332"/>
        <v>06/05/2020 14:54:54.093</v>
      </c>
      <c r="C2419" t="str">
        <f t="shared" si="1327"/>
        <v>FFDFD3C0</v>
      </c>
      <c r="D2419" t="s">
        <v>141</v>
      </c>
      <c r="E2419">
        <v>20</v>
      </c>
      <c r="F2419">
        <v>1020</v>
      </c>
      <c r="G2419" t="s">
        <v>114</v>
      </c>
      <c r="J2419" t="s">
        <v>142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333"/>
        <v>14:54:59.727</v>
      </c>
      <c r="T2419" t="str">
        <f t="shared" si="1334"/>
        <v>14:54:59.627</v>
      </c>
      <c r="U2419" t="str">
        <f t="shared" si="1307"/>
        <v>ACC530</v>
      </c>
      <c r="V2419">
        <v>0</v>
      </c>
      <c r="W2419">
        <v>0</v>
      </c>
      <c r="X2419">
        <v>1</v>
      </c>
      <c r="Z2419">
        <v>0</v>
      </c>
      <c r="AA2419">
        <v>9</v>
      </c>
      <c r="AB2419">
        <v>3</v>
      </c>
      <c r="AC2419">
        <v>0</v>
      </c>
      <c r="AD2419">
        <v>9</v>
      </c>
      <c r="AE2419">
        <v>0</v>
      </c>
      <c r="AF2419">
        <v>3</v>
      </c>
      <c r="AG2419">
        <v>1</v>
      </c>
      <c r="AH2419">
        <v>0</v>
      </c>
      <c r="AI2419" t="s">
        <v>860</v>
      </c>
      <c r="AJ2419">
        <v>34.150270999999996</v>
      </c>
      <c r="AK2419" t="s">
        <v>861</v>
      </c>
      <c r="AL2419">
        <v>-117.048726</v>
      </c>
      <c r="AM2419">
        <v>100</v>
      </c>
      <c r="AN2419">
        <v>7200</v>
      </c>
      <c r="AO2419" t="s">
        <v>118</v>
      </c>
      <c r="AP2419">
        <v>-58</v>
      </c>
      <c r="AQ2419">
        <v>-93</v>
      </c>
      <c r="AR2419">
        <v>-704</v>
      </c>
      <c r="AZ2419">
        <v>1200</v>
      </c>
      <c r="BA2419">
        <v>1</v>
      </c>
      <c r="BB2419" t="str">
        <f t="shared" si="1311"/>
        <v xml:space="preserve">N9217B  </v>
      </c>
      <c r="BC2419">
        <v>1</v>
      </c>
      <c r="BE2419">
        <v>0</v>
      </c>
      <c r="BF2419">
        <v>0</v>
      </c>
      <c r="BG2419">
        <v>0</v>
      </c>
      <c r="BH2419">
        <v>7125</v>
      </c>
      <c r="BI2419">
        <v>1</v>
      </c>
      <c r="BJ2419">
        <v>0</v>
      </c>
      <c r="BK2419">
        <v>0</v>
      </c>
      <c r="BL2419">
        <v>0</v>
      </c>
      <c r="BO2419">
        <v>0</v>
      </c>
      <c r="BP2419">
        <v>0</v>
      </c>
      <c r="BW2419" t="str">
        <f t="shared" si="1335"/>
        <v>14:54:59.733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285</v>
      </c>
      <c r="CR2419">
        <v>0</v>
      </c>
      <c r="CW2419">
        <v>8865835</v>
      </c>
      <c r="CY2419">
        <v>0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25">
      <c r="A2420" t="str">
        <f t="shared" si="1332"/>
        <v>06/05/2020 14:54:54.093</v>
      </c>
      <c r="C2420" t="str">
        <f t="shared" si="1327"/>
        <v>FFDFD3C0</v>
      </c>
      <c r="D2420" t="s">
        <v>151</v>
      </c>
      <c r="E2420">
        <v>8</v>
      </c>
      <c r="H2420">
        <v>225</v>
      </c>
      <c r="I2420" t="s">
        <v>353</v>
      </c>
      <c r="J2420" t="s">
        <v>150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333"/>
        <v>14:54:59.727</v>
      </c>
      <c r="T2420" t="str">
        <f t="shared" si="1334"/>
        <v>14:54:59.627</v>
      </c>
      <c r="U2420" t="str">
        <f t="shared" si="1307"/>
        <v>ACC530</v>
      </c>
      <c r="V2420">
        <v>0</v>
      </c>
      <c r="W2420">
        <v>0</v>
      </c>
      <c r="X2420">
        <v>1</v>
      </c>
      <c r="Z2420">
        <v>0</v>
      </c>
      <c r="AA2420">
        <v>9</v>
      </c>
      <c r="AB2420">
        <v>3</v>
      </c>
      <c r="AC2420">
        <v>0</v>
      </c>
      <c r="AD2420">
        <v>9</v>
      </c>
      <c r="AE2420">
        <v>0</v>
      </c>
      <c r="AF2420">
        <v>3</v>
      </c>
      <c r="AG2420">
        <v>1</v>
      </c>
      <c r="AH2420">
        <v>0</v>
      </c>
      <c r="AI2420" t="s">
        <v>860</v>
      </c>
      <c r="AJ2420">
        <v>34.150270999999996</v>
      </c>
      <c r="AK2420" t="s">
        <v>861</v>
      </c>
      <c r="AL2420">
        <v>-117.048726</v>
      </c>
      <c r="AM2420">
        <v>100</v>
      </c>
      <c r="AN2420">
        <v>7200</v>
      </c>
      <c r="AO2420" t="s">
        <v>118</v>
      </c>
      <c r="AP2420">
        <v>-58</v>
      </c>
      <c r="AQ2420">
        <v>-93</v>
      </c>
      <c r="AR2420">
        <v>-704</v>
      </c>
      <c r="AZ2420">
        <v>1200</v>
      </c>
      <c r="BA2420">
        <v>1</v>
      </c>
      <c r="BB2420" t="str">
        <f t="shared" si="1311"/>
        <v xml:space="preserve">N9217B  </v>
      </c>
      <c r="BC2420">
        <v>1</v>
      </c>
      <c r="BE2420">
        <v>0</v>
      </c>
      <c r="BF2420">
        <v>0</v>
      </c>
      <c r="BG2420">
        <v>0</v>
      </c>
      <c r="BH2420">
        <v>7125</v>
      </c>
      <c r="BI2420">
        <v>1</v>
      </c>
      <c r="BJ2420">
        <v>0</v>
      </c>
      <c r="BK2420">
        <v>0</v>
      </c>
      <c r="BL2420">
        <v>0</v>
      </c>
      <c r="BO2420">
        <v>0</v>
      </c>
      <c r="BP2420">
        <v>0</v>
      </c>
      <c r="BW2420" t="str">
        <f t="shared" si="1335"/>
        <v>14:54:59.733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285</v>
      </c>
      <c r="CR2420">
        <v>0</v>
      </c>
      <c r="CW2420">
        <v>8865835</v>
      </c>
      <c r="CY2420">
        <v>0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25">
      <c r="A2421" t="str">
        <f t="shared" ref="A2421:A2427" si="1336">"06/05/2020 14:54:55.078"</f>
        <v>06/05/2020 14:54:55.078</v>
      </c>
      <c r="C2421" t="str">
        <f t="shared" si="1327"/>
        <v>FFDFD3C0</v>
      </c>
      <c r="D2421" t="s">
        <v>113</v>
      </c>
      <c r="E2421">
        <v>3</v>
      </c>
      <c r="H2421">
        <v>166</v>
      </c>
      <c r="I2421" t="s">
        <v>114</v>
      </c>
      <c r="J2421" t="s">
        <v>115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ref="S2421:T2427" si="1337">"14:55:00.734"</f>
        <v>14:55:00.734</v>
      </c>
      <c r="T2421" t="str">
        <f t="shared" si="1337"/>
        <v>14:55:00.734</v>
      </c>
      <c r="U2421" t="str">
        <f t="shared" si="1307"/>
        <v>ACC530</v>
      </c>
      <c r="V2421">
        <v>0</v>
      </c>
      <c r="W2421">
        <v>0</v>
      </c>
      <c r="X2421">
        <v>1</v>
      </c>
      <c r="Z2421">
        <v>0</v>
      </c>
      <c r="AA2421">
        <v>9</v>
      </c>
      <c r="AB2421">
        <v>3</v>
      </c>
      <c r="AC2421">
        <v>0</v>
      </c>
      <c r="AD2421">
        <v>9</v>
      </c>
      <c r="AE2421">
        <v>0</v>
      </c>
      <c r="AF2421">
        <v>3</v>
      </c>
      <c r="AG2421">
        <v>1</v>
      </c>
      <c r="AH2421">
        <v>0</v>
      </c>
      <c r="AI2421" t="s">
        <v>862</v>
      </c>
      <c r="AJ2421">
        <v>34.149842</v>
      </c>
      <c r="AK2421" t="s">
        <v>863</v>
      </c>
      <c r="AL2421">
        <v>-117.049091</v>
      </c>
      <c r="AM2421">
        <v>100</v>
      </c>
      <c r="AN2421">
        <v>7200</v>
      </c>
      <c r="AO2421" t="s">
        <v>118</v>
      </c>
      <c r="AP2421">
        <v>-58</v>
      </c>
      <c r="AQ2421">
        <v>-93</v>
      </c>
      <c r="AR2421">
        <v>-704</v>
      </c>
      <c r="AZ2421">
        <v>1200</v>
      </c>
      <c r="BA2421">
        <v>1</v>
      </c>
      <c r="BB2421" t="str">
        <f t="shared" si="1311"/>
        <v xml:space="preserve">N9217B  </v>
      </c>
      <c r="BC2421">
        <v>1</v>
      </c>
      <c r="BE2421">
        <v>0</v>
      </c>
      <c r="BF2421">
        <v>0</v>
      </c>
      <c r="BG2421">
        <v>0</v>
      </c>
      <c r="BH2421">
        <v>7100</v>
      </c>
      <c r="BI2421">
        <v>1</v>
      </c>
      <c r="BJ2421">
        <v>0</v>
      </c>
      <c r="BK2421">
        <v>0</v>
      </c>
      <c r="BL2421">
        <v>0</v>
      </c>
      <c r="BO2421">
        <v>0</v>
      </c>
      <c r="BP2421">
        <v>0</v>
      </c>
      <c r="BW2421" t="str">
        <f t="shared" ref="BW2421:BW2427" si="1338">"14:55:00.738"</f>
        <v>14:55:00.738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285</v>
      </c>
      <c r="CR2421">
        <v>0</v>
      </c>
      <c r="CW2421">
        <v>8865921</v>
      </c>
      <c r="CY2421">
        <v>0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25">
      <c r="A2422" t="str">
        <f t="shared" si="1336"/>
        <v>06/05/2020 14:54:55.078</v>
      </c>
      <c r="C2422" t="str">
        <f t="shared" si="1327"/>
        <v>FFDFD3C0</v>
      </c>
      <c r="D2422" t="s">
        <v>141</v>
      </c>
      <c r="E2422">
        <v>20</v>
      </c>
      <c r="F2422">
        <v>1020</v>
      </c>
      <c r="G2422" t="s">
        <v>114</v>
      </c>
      <c r="J2422" t="s">
        <v>142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337"/>
        <v>14:55:00.734</v>
      </c>
      <c r="T2422" t="str">
        <f t="shared" si="1337"/>
        <v>14:55:00.734</v>
      </c>
      <c r="U2422" t="str">
        <f t="shared" si="1307"/>
        <v>ACC530</v>
      </c>
      <c r="V2422">
        <v>0</v>
      </c>
      <c r="W2422">
        <v>0</v>
      </c>
      <c r="X2422">
        <v>1</v>
      </c>
      <c r="Z2422">
        <v>0</v>
      </c>
      <c r="AA2422">
        <v>9</v>
      </c>
      <c r="AB2422">
        <v>3</v>
      </c>
      <c r="AC2422">
        <v>0</v>
      </c>
      <c r="AD2422">
        <v>9</v>
      </c>
      <c r="AE2422">
        <v>0</v>
      </c>
      <c r="AF2422">
        <v>3</v>
      </c>
      <c r="AG2422">
        <v>1</v>
      </c>
      <c r="AH2422">
        <v>0</v>
      </c>
      <c r="AI2422" t="s">
        <v>862</v>
      </c>
      <c r="AJ2422">
        <v>34.149842</v>
      </c>
      <c r="AK2422" t="s">
        <v>863</v>
      </c>
      <c r="AL2422">
        <v>-117.049091</v>
      </c>
      <c r="AM2422">
        <v>100</v>
      </c>
      <c r="AN2422">
        <v>7200</v>
      </c>
      <c r="AO2422" t="s">
        <v>118</v>
      </c>
      <c r="AP2422">
        <v>-58</v>
      </c>
      <c r="AQ2422">
        <v>-93</v>
      </c>
      <c r="AR2422">
        <v>-704</v>
      </c>
      <c r="AZ2422">
        <v>1200</v>
      </c>
      <c r="BA2422">
        <v>1</v>
      </c>
      <c r="BB2422" t="str">
        <f t="shared" si="1311"/>
        <v xml:space="preserve">N9217B  </v>
      </c>
      <c r="BC2422">
        <v>1</v>
      </c>
      <c r="BE2422">
        <v>0</v>
      </c>
      <c r="BF2422">
        <v>0</v>
      </c>
      <c r="BG2422">
        <v>0</v>
      </c>
      <c r="BH2422">
        <v>7100</v>
      </c>
      <c r="BI2422">
        <v>1</v>
      </c>
      <c r="BJ2422">
        <v>0</v>
      </c>
      <c r="BK2422">
        <v>0</v>
      </c>
      <c r="BL2422">
        <v>0</v>
      </c>
      <c r="BO2422">
        <v>0</v>
      </c>
      <c r="BP2422">
        <v>0</v>
      </c>
      <c r="BW2422" t="str">
        <f t="shared" si="1338"/>
        <v>14:55:00.738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285</v>
      </c>
      <c r="CR2422">
        <v>0</v>
      </c>
      <c r="CW2422">
        <v>8865921</v>
      </c>
      <c r="CY2422">
        <v>0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25">
      <c r="A2423" t="str">
        <f t="shared" si="1336"/>
        <v>06/05/2020 14:54:55.078</v>
      </c>
      <c r="C2423" t="str">
        <f t="shared" si="1327"/>
        <v>FFDFD3C0</v>
      </c>
      <c r="D2423" t="s">
        <v>151</v>
      </c>
      <c r="E2423">
        <v>8</v>
      </c>
      <c r="H2423">
        <v>225</v>
      </c>
      <c r="I2423" t="s">
        <v>353</v>
      </c>
      <c r="J2423" t="s">
        <v>150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337"/>
        <v>14:55:00.734</v>
      </c>
      <c r="T2423" t="str">
        <f t="shared" si="1337"/>
        <v>14:55:00.734</v>
      </c>
      <c r="U2423" t="str">
        <f t="shared" si="1307"/>
        <v>ACC530</v>
      </c>
      <c r="V2423">
        <v>0</v>
      </c>
      <c r="W2423">
        <v>0</v>
      </c>
      <c r="X2423">
        <v>1</v>
      </c>
      <c r="Z2423">
        <v>0</v>
      </c>
      <c r="AA2423">
        <v>9</v>
      </c>
      <c r="AB2423">
        <v>3</v>
      </c>
      <c r="AC2423">
        <v>0</v>
      </c>
      <c r="AD2423">
        <v>9</v>
      </c>
      <c r="AE2423">
        <v>0</v>
      </c>
      <c r="AF2423">
        <v>3</v>
      </c>
      <c r="AG2423">
        <v>1</v>
      </c>
      <c r="AH2423">
        <v>0</v>
      </c>
      <c r="AI2423" t="s">
        <v>862</v>
      </c>
      <c r="AJ2423">
        <v>34.149842</v>
      </c>
      <c r="AK2423" t="s">
        <v>863</v>
      </c>
      <c r="AL2423">
        <v>-117.049091</v>
      </c>
      <c r="AM2423">
        <v>100</v>
      </c>
      <c r="AN2423">
        <v>7200</v>
      </c>
      <c r="AO2423" t="s">
        <v>118</v>
      </c>
      <c r="AP2423">
        <v>-58</v>
      </c>
      <c r="AQ2423">
        <v>-93</v>
      </c>
      <c r="AR2423">
        <v>-704</v>
      </c>
      <c r="AZ2423">
        <v>1200</v>
      </c>
      <c r="BA2423">
        <v>1</v>
      </c>
      <c r="BB2423" t="str">
        <f t="shared" si="1311"/>
        <v xml:space="preserve">N9217B  </v>
      </c>
      <c r="BC2423">
        <v>1</v>
      </c>
      <c r="BE2423">
        <v>0</v>
      </c>
      <c r="BF2423">
        <v>0</v>
      </c>
      <c r="BG2423">
        <v>0</v>
      </c>
      <c r="BH2423">
        <v>7100</v>
      </c>
      <c r="BI2423">
        <v>1</v>
      </c>
      <c r="BJ2423">
        <v>0</v>
      </c>
      <c r="BK2423">
        <v>0</v>
      </c>
      <c r="BL2423">
        <v>0</v>
      </c>
      <c r="BO2423">
        <v>0</v>
      </c>
      <c r="BP2423">
        <v>0</v>
      </c>
      <c r="BW2423" t="str">
        <f t="shared" si="1338"/>
        <v>14:55:00.738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285</v>
      </c>
      <c r="CR2423">
        <v>0</v>
      </c>
      <c r="CW2423">
        <v>8865921</v>
      </c>
      <c r="CY2423">
        <v>0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25">
      <c r="A2424" t="str">
        <f t="shared" si="1336"/>
        <v>06/05/2020 14:54:55.078</v>
      </c>
      <c r="C2424" t="str">
        <f t="shared" si="1327"/>
        <v>FFDFD3C0</v>
      </c>
      <c r="D2424" t="s">
        <v>151</v>
      </c>
      <c r="E2424">
        <v>9</v>
      </c>
      <c r="H2424">
        <v>226</v>
      </c>
      <c r="I2424" t="s">
        <v>152</v>
      </c>
      <c r="J2424" t="s">
        <v>150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337"/>
        <v>14:55:00.734</v>
      </c>
      <c r="T2424" t="str">
        <f t="shared" si="1337"/>
        <v>14:55:00.734</v>
      </c>
      <c r="U2424" t="str">
        <f t="shared" si="1307"/>
        <v>ACC530</v>
      </c>
      <c r="V2424">
        <v>0</v>
      </c>
      <c r="W2424">
        <v>0</v>
      </c>
      <c r="X2424">
        <v>1</v>
      </c>
      <c r="Z2424">
        <v>0</v>
      </c>
      <c r="AA2424">
        <v>9</v>
      </c>
      <c r="AB2424">
        <v>3</v>
      </c>
      <c r="AC2424">
        <v>0</v>
      </c>
      <c r="AD2424">
        <v>9</v>
      </c>
      <c r="AE2424">
        <v>0</v>
      </c>
      <c r="AF2424">
        <v>3</v>
      </c>
      <c r="AG2424">
        <v>1</v>
      </c>
      <c r="AH2424">
        <v>0</v>
      </c>
      <c r="AI2424" t="s">
        <v>862</v>
      </c>
      <c r="AJ2424">
        <v>34.149842</v>
      </c>
      <c r="AK2424" t="s">
        <v>863</v>
      </c>
      <c r="AL2424">
        <v>-117.049091</v>
      </c>
      <c r="AM2424">
        <v>100</v>
      </c>
      <c r="AN2424">
        <v>7200</v>
      </c>
      <c r="AO2424" t="s">
        <v>118</v>
      </c>
      <c r="AP2424">
        <v>-58</v>
      </c>
      <c r="AQ2424">
        <v>-93</v>
      </c>
      <c r="AR2424">
        <v>-704</v>
      </c>
      <c r="AZ2424">
        <v>1200</v>
      </c>
      <c r="BA2424">
        <v>1</v>
      </c>
      <c r="BB2424" t="str">
        <f t="shared" si="1311"/>
        <v xml:space="preserve">N9217B  </v>
      </c>
      <c r="BC2424">
        <v>1</v>
      </c>
      <c r="BE2424">
        <v>0</v>
      </c>
      <c r="BF2424">
        <v>0</v>
      </c>
      <c r="BG2424">
        <v>0</v>
      </c>
      <c r="BH2424">
        <v>7100</v>
      </c>
      <c r="BI2424">
        <v>1</v>
      </c>
      <c r="BJ2424">
        <v>0</v>
      </c>
      <c r="BK2424">
        <v>0</v>
      </c>
      <c r="BL2424">
        <v>0</v>
      </c>
      <c r="BO2424">
        <v>0</v>
      </c>
      <c r="BP2424">
        <v>0</v>
      </c>
      <c r="BW2424" t="str">
        <f t="shared" si="1338"/>
        <v>14:55:00.738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285</v>
      </c>
      <c r="CR2424">
        <v>0</v>
      </c>
      <c r="CW2424">
        <v>8865921</v>
      </c>
      <c r="CY2424">
        <v>0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25">
      <c r="A2425" t="str">
        <f t="shared" si="1336"/>
        <v>06/05/2020 14:54:55.078</v>
      </c>
      <c r="C2425" t="str">
        <f t="shared" si="1327"/>
        <v>FFDFD3C0</v>
      </c>
      <c r="D2425" t="s">
        <v>134</v>
      </c>
      <c r="E2425">
        <v>7</v>
      </c>
      <c r="F2425">
        <v>2007</v>
      </c>
      <c r="G2425" t="s">
        <v>135</v>
      </c>
      <c r="J2425" t="s">
        <v>136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337"/>
        <v>14:55:00.734</v>
      </c>
      <c r="T2425" t="str">
        <f t="shared" si="1337"/>
        <v>14:55:00.734</v>
      </c>
      <c r="U2425" t="str">
        <f t="shared" si="1307"/>
        <v>ACC530</v>
      </c>
      <c r="V2425">
        <v>0</v>
      </c>
      <c r="W2425">
        <v>0</v>
      </c>
      <c r="X2425">
        <v>1</v>
      </c>
      <c r="Z2425">
        <v>0</v>
      </c>
      <c r="AA2425">
        <v>9</v>
      </c>
      <c r="AB2425">
        <v>3</v>
      </c>
      <c r="AC2425">
        <v>0</v>
      </c>
      <c r="AD2425">
        <v>9</v>
      </c>
      <c r="AE2425">
        <v>0</v>
      </c>
      <c r="AF2425">
        <v>3</v>
      </c>
      <c r="AG2425">
        <v>1</v>
      </c>
      <c r="AH2425">
        <v>0</v>
      </c>
      <c r="AI2425" t="s">
        <v>862</v>
      </c>
      <c r="AJ2425">
        <v>34.149842</v>
      </c>
      <c r="AK2425" t="s">
        <v>863</v>
      </c>
      <c r="AL2425">
        <v>-117.049091</v>
      </c>
      <c r="AM2425">
        <v>100</v>
      </c>
      <c r="AN2425">
        <v>7200</v>
      </c>
      <c r="AO2425" t="s">
        <v>118</v>
      </c>
      <c r="AP2425">
        <v>-58</v>
      </c>
      <c r="AQ2425">
        <v>-93</v>
      </c>
      <c r="AR2425">
        <v>-704</v>
      </c>
      <c r="AZ2425">
        <v>1200</v>
      </c>
      <c r="BA2425">
        <v>1</v>
      </c>
      <c r="BB2425" t="str">
        <f t="shared" si="1311"/>
        <v xml:space="preserve">N9217B  </v>
      </c>
      <c r="BC2425">
        <v>1</v>
      </c>
      <c r="BE2425">
        <v>0</v>
      </c>
      <c r="BF2425">
        <v>0</v>
      </c>
      <c r="BG2425">
        <v>0</v>
      </c>
      <c r="BH2425">
        <v>7100</v>
      </c>
      <c r="BI2425">
        <v>1</v>
      </c>
      <c r="BJ2425">
        <v>0</v>
      </c>
      <c r="BK2425">
        <v>0</v>
      </c>
      <c r="BL2425">
        <v>0</v>
      </c>
      <c r="BO2425">
        <v>0</v>
      </c>
      <c r="BP2425">
        <v>0</v>
      </c>
      <c r="BW2425" t="str">
        <f t="shared" si="1338"/>
        <v>14:55:00.738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285</v>
      </c>
      <c r="CR2425">
        <v>0</v>
      </c>
      <c r="CW2425">
        <v>8865921</v>
      </c>
      <c r="CY2425">
        <v>0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25">
      <c r="A2426" t="str">
        <f t="shared" si="1336"/>
        <v>06/05/2020 14:54:55.078</v>
      </c>
      <c r="C2426" t="str">
        <f t="shared" si="1327"/>
        <v>FFDFD3C0</v>
      </c>
      <c r="D2426" t="s">
        <v>148</v>
      </c>
      <c r="E2426">
        <v>8</v>
      </c>
      <c r="H2426">
        <v>50</v>
      </c>
      <c r="I2426" t="s">
        <v>149</v>
      </c>
      <c r="J2426" t="s">
        <v>150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337"/>
        <v>14:55:00.734</v>
      </c>
      <c r="T2426" t="str">
        <f t="shared" si="1337"/>
        <v>14:55:00.734</v>
      </c>
      <c r="U2426" t="str">
        <f t="shared" si="1307"/>
        <v>ACC530</v>
      </c>
      <c r="V2426">
        <v>0</v>
      </c>
      <c r="W2426">
        <v>0</v>
      </c>
      <c r="X2426">
        <v>1</v>
      </c>
      <c r="Z2426">
        <v>0</v>
      </c>
      <c r="AA2426">
        <v>9</v>
      </c>
      <c r="AB2426">
        <v>3</v>
      </c>
      <c r="AC2426">
        <v>0</v>
      </c>
      <c r="AD2426">
        <v>9</v>
      </c>
      <c r="AE2426">
        <v>0</v>
      </c>
      <c r="AF2426">
        <v>3</v>
      </c>
      <c r="AG2426">
        <v>1</v>
      </c>
      <c r="AH2426">
        <v>0</v>
      </c>
      <c r="AI2426" t="s">
        <v>862</v>
      </c>
      <c r="AJ2426">
        <v>34.149842</v>
      </c>
      <c r="AK2426" t="s">
        <v>863</v>
      </c>
      <c r="AL2426">
        <v>-117.049091</v>
      </c>
      <c r="AM2426">
        <v>100</v>
      </c>
      <c r="AN2426">
        <v>7200</v>
      </c>
      <c r="AO2426" t="s">
        <v>118</v>
      </c>
      <c r="AP2426">
        <v>-58</v>
      </c>
      <c r="AQ2426">
        <v>-93</v>
      </c>
      <c r="AR2426">
        <v>-704</v>
      </c>
      <c r="AZ2426">
        <v>1200</v>
      </c>
      <c r="BA2426">
        <v>1</v>
      </c>
      <c r="BB2426" t="str">
        <f t="shared" si="1311"/>
        <v xml:space="preserve">N9217B  </v>
      </c>
      <c r="BC2426">
        <v>1</v>
      </c>
      <c r="BE2426">
        <v>0</v>
      </c>
      <c r="BF2426">
        <v>0</v>
      </c>
      <c r="BG2426">
        <v>0</v>
      </c>
      <c r="BH2426">
        <v>7100</v>
      </c>
      <c r="BI2426">
        <v>1</v>
      </c>
      <c r="BJ2426">
        <v>0</v>
      </c>
      <c r="BK2426">
        <v>0</v>
      </c>
      <c r="BL2426">
        <v>0</v>
      </c>
      <c r="BO2426">
        <v>0</v>
      </c>
      <c r="BP2426">
        <v>0</v>
      </c>
      <c r="BW2426" t="str">
        <f t="shared" si="1338"/>
        <v>14:55:00.738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285</v>
      </c>
      <c r="CR2426">
        <v>0</v>
      </c>
      <c r="CW2426">
        <v>8865921</v>
      </c>
      <c r="CY2426">
        <v>0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25">
      <c r="A2427" t="str">
        <f t="shared" si="1336"/>
        <v>06/05/2020 14:54:55.078</v>
      </c>
      <c r="C2427" t="str">
        <f t="shared" si="1327"/>
        <v>FFDFD3C0</v>
      </c>
      <c r="D2427" t="s">
        <v>148</v>
      </c>
      <c r="E2427">
        <v>11</v>
      </c>
      <c r="H2427">
        <v>53</v>
      </c>
      <c r="I2427" t="s">
        <v>364</v>
      </c>
      <c r="J2427" t="s">
        <v>150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337"/>
        <v>14:55:00.734</v>
      </c>
      <c r="T2427" t="str">
        <f t="shared" si="1337"/>
        <v>14:55:00.734</v>
      </c>
      <c r="U2427" t="str">
        <f t="shared" si="1307"/>
        <v>ACC530</v>
      </c>
      <c r="V2427">
        <v>0</v>
      </c>
      <c r="W2427">
        <v>0</v>
      </c>
      <c r="X2427">
        <v>1</v>
      </c>
      <c r="Z2427">
        <v>0</v>
      </c>
      <c r="AA2427">
        <v>9</v>
      </c>
      <c r="AB2427">
        <v>3</v>
      </c>
      <c r="AC2427">
        <v>0</v>
      </c>
      <c r="AD2427">
        <v>9</v>
      </c>
      <c r="AE2427">
        <v>0</v>
      </c>
      <c r="AF2427">
        <v>3</v>
      </c>
      <c r="AG2427">
        <v>1</v>
      </c>
      <c r="AH2427">
        <v>0</v>
      </c>
      <c r="AI2427" t="s">
        <v>862</v>
      </c>
      <c r="AJ2427">
        <v>34.149842</v>
      </c>
      <c r="AK2427" t="s">
        <v>863</v>
      </c>
      <c r="AL2427">
        <v>-117.049091</v>
      </c>
      <c r="AM2427">
        <v>100</v>
      </c>
      <c r="AN2427">
        <v>7200</v>
      </c>
      <c r="AO2427" t="s">
        <v>118</v>
      </c>
      <c r="AP2427">
        <v>-58</v>
      </c>
      <c r="AQ2427">
        <v>-93</v>
      </c>
      <c r="AR2427">
        <v>-704</v>
      </c>
      <c r="AZ2427">
        <v>1200</v>
      </c>
      <c r="BA2427">
        <v>1</v>
      </c>
      <c r="BB2427" t="str">
        <f t="shared" si="1311"/>
        <v xml:space="preserve">N9217B  </v>
      </c>
      <c r="BC2427">
        <v>1</v>
      </c>
      <c r="BE2427">
        <v>0</v>
      </c>
      <c r="BF2427">
        <v>0</v>
      </c>
      <c r="BG2427">
        <v>0</v>
      </c>
      <c r="BH2427">
        <v>7100</v>
      </c>
      <c r="BI2427">
        <v>1</v>
      </c>
      <c r="BJ2427">
        <v>0</v>
      </c>
      <c r="BK2427">
        <v>0</v>
      </c>
      <c r="BL2427">
        <v>0</v>
      </c>
      <c r="BO2427">
        <v>0</v>
      </c>
      <c r="BP2427">
        <v>0</v>
      </c>
      <c r="BW2427" t="str">
        <f t="shared" si="1338"/>
        <v>14:55:00.738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285</v>
      </c>
      <c r="CR2427">
        <v>0</v>
      </c>
      <c r="CW2427">
        <v>8865921</v>
      </c>
      <c r="CY2427">
        <v>0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25">
      <c r="A2428" t="str">
        <f t="shared" ref="A2428:A2434" si="1339">"06/05/2020 14:54:55.981"</f>
        <v>06/05/2020 14:54:55.981</v>
      </c>
      <c r="C2428" t="str">
        <f t="shared" si="1327"/>
        <v>FFDFD3C0</v>
      </c>
      <c r="D2428" t="s">
        <v>148</v>
      </c>
      <c r="E2428">
        <v>8</v>
      </c>
      <c r="H2428">
        <v>50</v>
      </c>
      <c r="I2428" t="s">
        <v>149</v>
      </c>
      <c r="J2428" t="s">
        <v>150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ref="S2428:S2434" si="1340">"14:55:01.648"</f>
        <v>14:55:01.648</v>
      </c>
      <c r="T2428" t="str">
        <f t="shared" ref="T2428:T2434" si="1341">"14:55:01.148"</f>
        <v>14:55:01.148</v>
      </c>
      <c r="U2428" t="str">
        <f t="shared" si="1307"/>
        <v>ACC530</v>
      </c>
      <c r="V2428">
        <v>0</v>
      </c>
      <c r="W2428">
        <v>0</v>
      </c>
      <c r="X2428">
        <v>1</v>
      </c>
      <c r="Z2428">
        <v>0</v>
      </c>
      <c r="AA2428">
        <v>9</v>
      </c>
      <c r="AB2428">
        <v>3</v>
      </c>
      <c r="AC2428">
        <v>0</v>
      </c>
      <c r="AD2428">
        <v>9</v>
      </c>
      <c r="AE2428">
        <v>0</v>
      </c>
      <c r="AF2428">
        <v>3</v>
      </c>
      <c r="AG2428">
        <v>1</v>
      </c>
      <c r="AH2428">
        <v>0</v>
      </c>
      <c r="AI2428" t="s">
        <v>864</v>
      </c>
      <c r="AJ2428">
        <v>34.149434999999997</v>
      </c>
      <c r="AK2428" t="s">
        <v>865</v>
      </c>
      <c r="AL2428">
        <v>-117.04934799999999</v>
      </c>
      <c r="AM2428">
        <v>100</v>
      </c>
      <c r="AN2428">
        <v>7200</v>
      </c>
      <c r="AO2428" t="s">
        <v>118</v>
      </c>
      <c r="AP2428">
        <v>-58</v>
      </c>
      <c r="AQ2428">
        <v>-92</v>
      </c>
      <c r="AR2428">
        <v>-704</v>
      </c>
      <c r="AZ2428">
        <v>1200</v>
      </c>
      <c r="BA2428">
        <v>1</v>
      </c>
      <c r="BB2428" t="str">
        <f t="shared" si="1311"/>
        <v xml:space="preserve">N9217B  </v>
      </c>
      <c r="BC2428">
        <v>1</v>
      </c>
      <c r="BE2428">
        <v>0</v>
      </c>
      <c r="BF2428">
        <v>0</v>
      </c>
      <c r="BG2428">
        <v>0</v>
      </c>
      <c r="BH2428">
        <v>7100</v>
      </c>
      <c r="BI2428">
        <v>1</v>
      </c>
      <c r="BJ2428">
        <v>0</v>
      </c>
      <c r="BK2428">
        <v>0</v>
      </c>
      <c r="BL2428">
        <v>0</v>
      </c>
      <c r="BO2428">
        <v>0</v>
      </c>
      <c r="BP2428">
        <v>0</v>
      </c>
      <c r="BW2428" t="str">
        <f t="shared" ref="BW2428:BW2434" si="1342">"14:55:01.653"</f>
        <v>14:55:01.653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285</v>
      </c>
      <c r="CR2428">
        <v>0</v>
      </c>
      <c r="CW2428">
        <v>8865999</v>
      </c>
      <c r="CY2428">
        <v>0</v>
      </c>
      <c r="CZ2428">
        <v>0</v>
      </c>
      <c r="DA2428">
        <v>0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25">
      <c r="A2429" t="str">
        <f t="shared" si="1339"/>
        <v>06/05/2020 14:54:55.981</v>
      </c>
      <c r="C2429" t="str">
        <f t="shared" si="1327"/>
        <v>FFDFD3C0</v>
      </c>
      <c r="D2429" t="s">
        <v>148</v>
      </c>
      <c r="E2429">
        <v>11</v>
      </c>
      <c r="H2429">
        <v>53</v>
      </c>
      <c r="I2429" t="s">
        <v>364</v>
      </c>
      <c r="J2429" t="s">
        <v>150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340"/>
        <v>14:55:01.648</v>
      </c>
      <c r="T2429" t="str">
        <f t="shared" si="1341"/>
        <v>14:55:01.148</v>
      </c>
      <c r="U2429" t="str">
        <f t="shared" si="1307"/>
        <v>ACC530</v>
      </c>
      <c r="V2429">
        <v>0</v>
      </c>
      <c r="W2429">
        <v>0</v>
      </c>
      <c r="X2429">
        <v>1</v>
      </c>
      <c r="Z2429">
        <v>0</v>
      </c>
      <c r="AA2429">
        <v>9</v>
      </c>
      <c r="AB2429">
        <v>3</v>
      </c>
      <c r="AC2429">
        <v>0</v>
      </c>
      <c r="AD2429">
        <v>9</v>
      </c>
      <c r="AE2429">
        <v>0</v>
      </c>
      <c r="AF2429">
        <v>3</v>
      </c>
      <c r="AG2429">
        <v>1</v>
      </c>
      <c r="AH2429">
        <v>0</v>
      </c>
      <c r="AI2429" t="s">
        <v>864</v>
      </c>
      <c r="AJ2429">
        <v>34.149434999999997</v>
      </c>
      <c r="AK2429" t="s">
        <v>865</v>
      </c>
      <c r="AL2429">
        <v>-117.04934799999999</v>
      </c>
      <c r="AM2429">
        <v>100</v>
      </c>
      <c r="AN2429">
        <v>7200</v>
      </c>
      <c r="AO2429" t="s">
        <v>118</v>
      </c>
      <c r="AP2429">
        <v>-58</v>
      </c>
      <c r="AQ2429">
        <v>-92</v>
      </c>
      <c r="AR2429">
        <v>-704</v>
      </c>
      <c r="AZ2429">
        <v>1200</v>
      </c>
      <c r="BA2429">
        <v>1</v>
      </c>
      <c r="BB2429" t="str">
        <f t="shared" si="1311"/>
        <v xml:space="preserve">N9217B  </v>
      </c>
      <c r="BC2429">
        <v>1</v>
      </c>
      <c r="BE2429">
        <v>0</v>
      </c>
      <c r="BF2429">
        <v>0</v>
      </c>
      <c r="BG2429">
        <v>0</v>
      </c>
      <c r="BH2429">
        <v>7100</v>
      </c>
      <c r="BI2429">
        <v>1</v>
      </c>
      <c r="BJ2429">
        <v>0</v>
      </c>
      <c r="BK2429">
        <v>0</v>
      </c>
      <c r="BL2429">
        <v>0</v>
      </c>
      <c r="BO2429">
        <v>0</v>
      </c>
      <c r="BP2429">
        <v>0</v>
      </c>
      <c r="BW2429" t="str">
        <f t="shared" si="1342"/>
        <v>14:55:01.653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285</v>
      </c>
      <c r="CR2429">
        <v>0</v>
      </c>
      <c r="CW2429">
        <v>8865999</v>
      </c>
      <c r="CY2429">
        <v>0</v>
      </c>
      <c r="CZ2429">
        <v>0</v>
      </c>
      <c r="DA2429">
        <v>1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25">
      <c r="A2430" t="str">
        <f t="shared" si="1339"/>
        <v>06/05/2020 14:54:55.981</v>
      </c>
      <c r="C2430" t="str">
        <f t="shared" si="1327"/>
        <v>FFDFD3C0</v>
      </c>
      <c r="D2430" t="s">
        <v>113</v>
      </c>
      <c r="E2430">
        <v>3</v>
      </c>
      <c r="H2430">
        <v>166</v>
      </c>
      <c r="I2430" t="s">
        <v>114</v>
      </c>
      <c r="J2430" t="s">
        <v>115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340"/>
        <v>14:55:01.648</v>
      </c>
      <c r="T2430" t="str">
        <f t="shared" si="1341"/>
        <v>14:55:01.148</v>
      </c>
      <c r="U2430" t="str">
        <f t="shared" si="1307"/>
        <v>ACC530</v>
      </c>
      <c r="V2430">
        <v>0</v>
      </c>
      <c r="W2430">
        <v>0</v>
      </c>
      <c r="X2430">
        <v>1</v>
      </c>
      <c r="Z2430">
        <v>0</v>
      </c>
      <c r="AA2430">
        <v>9</v>
      </c>
      <c r="AB2430">
        <v>3</v>
      </c>
      <c r="AC2430">
        <v>0</v>
      </c>
      <c r="AD2430">
        <v>9</v>
      </c>
      <c r="AE2430">
        <v>0</v>
      </c>
      <c r="AF2430">
        <v>3</v>
      </c>
      <c r="AG2430">
        <v>1</v>
      </c>
      <c r="AH2430">
        <v>0</v>
      </c>
      <c r="AI2430" t="s">
        <v>864</v>
      </c>
      <c r="AJ2430">
        <v>34.149434999999997</v>
      </c>
      <c r="AK2430" t="s">
        <v>865</v>
      </c>
      <c r="AL2430">
        <v>-117.04934799999999</v>
      </c>
      <c r="AM2430">
        <v>100</v>
      </c>
      <c r="AN2430">
        <v>7200</v>
      </c>
      <c r="AO2430" t="s">
        <v>118</v>
      </c>
      <c r="AP2430">
        <v>-58</v>
      </c>
      <c r="AQ2430">
        <v>-92</v>
      </c>
      <c r="AR2430">
        <v>-704</v>
      </c>
      <c r="AZ2430">
        <v>1200</v>
      </c>
      <c r="BA2430">
        <v>1</v>
      </c>
      <c r="BB2430" t="str">
        <f t="shared" si="1311"/>
        <v xml:space="preserve">N9217B  </v>
      </c>
      <c r="BC2430">
        <v>1</v>
      </c>
      <c r="BE2430">
        <v>0</v>
      </c>
      <c r="BF2430">
        <v>0</v>
      </c>
      <c r="BG2430">
        <v>0</v>
      </c>
      <c r="BH2430">
        <v>7100</v>
      </c>
      <c r="BI2430">
        <v>1</v>
      </c>
      <c r="BJ2430">
        <v>0</v>
      </c>
      <c r="BK2430">
        <v>0</v>
      </c>
      <c r="BL2430">
        <v>0</v>
      </c>
      <c r="BO2430">
        <v>0</v>
      </c>
      <c r="BP2430">
        <v>0</v>
      </c>
      <c r="BW2430" t="str">
        <f t="shared" si="1342"/>
        <v>14:55:01.653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285</v>
      </c>
      <c r="CR2430">
        <v>0</v>
      </c>
      <c r="CW2430">
        <v>8865999</v>
      </c>
      <c r="CY2430">
        <v>0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25">
      <c r="A2431" t="str">
        <f t="shared" si="1339"/>
        <v>06/05/2020 14:54:55.981</v>
      </c>
      <c r="C2431" t="str">
        <f t="shared" si="1327"/>
        <v>FFDFD3C0</v>
      </c>
      <c r="D2431" t="s">
        <v>141</v>
      </c>
      <c r="E2431">
        <v>20</v>
      </c>
      <c r="F2431">
        <v>1020</v>
      </c>
      <c r="G2431" t="s">
        <v>114</v>
      </c>
      <c r="J2431" t="s">
        <v>142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340"/>
        <v>14:55:01.648</v>
      </c>
      <c r="T2431" t="str">
        <f t="shared" si="1341"/>
        <v>14:55:01.148</v>
      </c>
      <c r="U2431" t="str">
        <f t="shared" si="1307"/>
        <v>ACC530</v>
      </c>
      <c r="V2431">
        <v>0</v>
      </c>
      <c r="W2431">
        <v>0</v>
      </c>
      <c r="X2431">
        <v>1</v>
      </c>
      <c r="Z2431">
        <v>0</v>
      </c>
      <c r="AA2431">
        <v>9</v>
      </c>
      <c r="AB2431">
        <v>3</v>
      </c>
      <c r="AC2431">
        <v>0</v>
      </c>
      <c r="AD2431">
        <v>9</v>
      </c>
      <c r="AE2431">
        <v>0</v>
      </c>
      <c r="AF2431">
        <v>3</v>
      </c>
      <c r="AG2431">
        <v>1</v>
      </c>
      <c r="AH2431">
        <v>0</v>
      </c>
      <c r="AI2431" t="s">
        <v>864</v>
      </c>
      <c r="AJ2431">
        <v>34.149434999999997</v>
      </c>
      <c r="AK2431" t="s">
        <v>865</v>
      </c>
      <c r="AL2431">
        <v>-117.04934799999999</v>
      </c>
      <c r="AM2431">
        <v>100</v>
      </c>
      <c r="AN2431">
        <v>7200</v>
      </c>
      <c r="AO2431" t="s">
        <v>118</v>
      </c>
      <c r="AP2431">
        <v>-58</v>
      </c>
      <c r="AQ2431">
        <v>-92</v>
      </c>
      <c r="AR2431">
        <v>-704</v>
      </c>
      <c r="AZ2431">
        <v>1200</v>
      </c>
      <c r="BA2431">
        <v>1</v>
      </c>
      <c r="BB2431" t="str">
        <f t="shared" si="1311"/>
        <v xml:space="preserve">N9217B  </v>
      </c>
      <c r="BC2431">
        <v>1</v>
      </c>
      <c r="BE2431">
        <v>0</v>
      </c>
      <c r="BF2431">
        <v>0</v>
      </c>
      <c r="BG2431">
        <v>0</v>
      </c>
      <c r="BH2431">
        <v>7100</v>
      </c>
      <c r="BI2431">
        <v>1</v>
      </c>
      <c r="BJ2431">
        <v>0</v>
      </c>
      <c r="BK2431">
        <v>0</v>
      </c>
      <c r="BL2431">
        <v>0</v>
      </c>
      <c r="BO2431">
        <v>0</v>
      </c>
      <c r="BP2431">
        <v>0</v>
      </c>
      <c r="BW2431" t="str">
        <f t="shared" si="1342"/>
        <v>14:55:01.653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285</v>
      </c>
      <c r="CR2431">
        <v>0</v>
      </c>
      <c r="CW2431">
        <v>8865999</v>
      </c>
      <c r="CY2431">
        <v>0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25">
      <c r="A2432" t="str">
        <f t="shared" si="1339"/>
        <v>06/05/2020 14:54:55.981</v>
      </c>
      <c r="C2432" t="str">
        <f t="shared" si="1327"/>
        <v>FFDFD3C0</v>
      </c>
      <c r="D2432" t="s">
        <v>151</v>
      </c>
      <c r="E2432">
        <v>8</v>
      </c>
      <c r="H2432">
        <v>225</v>
      </c>
      <c r="I2432" t="s">
        <v>353</v>
      </c>
      <c r="J2432" t="s">
        <v>150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340"/>
        <v>14:55:01.648</v>
      </c>
      <c r="T2432" t="str">
        <f t="shared" si="1341"/>
        <v>14:55:01.148</v>
      </c>
      <c r="U2432" t="str">
        <f t="shared" si="1307"/>
        <v>ACC530</v>
      </c>
      <c r="V2432">
        <v>0</v>
      </c>
      <c r="W2432">
        <v>0</v>
      </c>
      <c r="X2432">
        <v>1</v>
      </c>
      <c r="Z2432">
        <v>0</v>
      </c>
      <c r="AA2432">
        <v>9</v>
      </c>
      <c r="AB2432">
        <v>3</v>
      </c>
      <c r="AC2432">
        <v>0</v>
      </c>
      <c r="AD2432">
        <v>9</v>
      </c>
      <c r="AE2432">
        <v>0</v>
      </c>
      <c r="AF2432">
        <v>3</v>
      </c>
      <c r="AG2432">
        <v>1</v>
      </c>
      <c r="AH2432">
        <v>0</v>
      </c>
      <c r="AI2432" t="s">
        <v>864</v>
      </c>
      <c r="AJ2432">
        <v>34.149434999999997</v>
      </c>
      <c r="AK2432" t="s">
        <v>865</v>
      </c>
      <c r="AL2432">
        <v>-117.04934799999999</v>
      </c>
      <c r="AM2432">
        <v>100</v>
      </c>
      <c r="AN2432">
        <v>7200</v>
      </c>
      <c r="AO2432" t="s">
        <v>118</v>
      </c>
      <c r="AP2432">
        <v>-58</v>
      </c>
      <c r="AQ2432">
        <v>-92</v>
      </c>
      <c r="AR2432">
        <v>-704</v>
      </c>
      <c r="AZ2432">
        <v>1200</v>
      </c>
      <c r="BA2432">
        <v>1</v>
      </c>
      <c r="BB2432" t="str">
        <f t="shared" si="1311"/>
        <v xml:space="preserve">N9217B  </v>
      </c>
      <c r="BC2432">
        <v>1</v>
      </c>
      <c r="BE2432">
        <v>0</v>
      </c>
      <c r="BF2432">
        <v>0</v>
      </c>
      <c r="BG2432">
        <v>0</v>
      </c>
      <c r="BH2432">
        <v>7100</v>
      </c>
      <c r="BI2432">
        <v>1</v>
      </c>
      <c r="BJ2432">
        <v>0</v>
      </c>
      <c r="BK2432">
        <v>0</v>
      </c>
      <c r="BL2432">
        <v>0</v>
      </c>
      <c r="BO2432">
        <v>0</v>
      </c>
      <c r="BP2432">
        <v>0</v>
      </c>
      <c r="BW2432" t="str">
        <f t="shared" si="1342"/>
        <v>14:55:01.653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285</v>
      </c>
      <c r="CR2432">
        <v>0</v>
      </c>
      <c r="CW2432">
        <v>8865999</v>
      </c>
      <c r="CY2432">
        <v>0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25">
      <c r="A2433" t="str">
        <f t="shared" si="1339"/>
        <v>06/05/2020 14:54:55.981</v>
      </c>
      <c r="C2433" t="str">
        <f t="shared" si="1327"/>
        <v>FFDFD3C0</v>
      </c>
      <c r="D2433" t="s">
        <v>151</v>
      </c>
      <c r="E2433">
        <v>9</v>
      </c>
      <c r="H2433">
        <v>226</v>
      </c>
      <c r="I2433" t="s">
        <v>152</v>
      </c>
      <c r="J2433" t="s">
        <v>150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340"/>
        <v>14:55:01.648</v>
      </c>
      <c r="T2433" t="str">
        <f t="shared" si="1341"/>
        <v>14:55:01.148</v>
      </c>
      <c r="U2433" t="str">
        <f t="shared" si="1307"/>
        <v>ACC530</v>
      </c>
      <c r="V2433">
        <v>0</v>
      </c>
      <c r="W2433">
        <v>0</v>
      </c>
      <c r="X2433">
        <v>1</v>
      </c>
      <c r="Z2433">
        <v>0</v>
      </c>
      <c r="AA2433">
        <v>9</v>
      </c>
      <c r="AB2433">
        <v>3</v>
      </c>
      <c r="AC2433">
        <v>0</v>
      </c>
      <c r="AD2433">
        <v>9</v>
      </c>
      <c r="AE2433">
        <v>0</v>
      </c>
      <c r="AF2433">
        <v>3</v>
      </c>
      <c r="AG2433">
        <v>1</v>
      </c>
      <c r="AH2433">
        <v>0</v>
      </c>
      <c r="AI2433" t="s">
        <v>864</v>
      </c>
      <c r="AJ2433">
        <v>34.149434999999997</v>
      </c>
      <c r="AK2433" t="s">
        <v>865</v>
      </c>
      <c r="AL2433">
        <v>-117.04934799999999</v>
      </c>
      <c r="AM2433">
        <v>100</v>
      </c>
      <c r="AN2433">
        <v>7200</v>
      </c>
      <c r="AO2433" t="s">
        <v>118</v>
      </c>
      <c r="AP2433">
        <v>-58</v>
      </c>
      <c r="AQ2433">
        <v>-92</v>
      </c>
      <c r="AR2433">
        <v>-704</v>
      </c>
      <c r="AZ2433">
        <v>1200</v>
      </c>
      <c r="BA2433">
        <v>1</v>
      </c>
      <c r="BB2433" t="str">
        <f t="shared" si="1311"/>
        <v xml:space="preserve">N9217B  </v>
      </c>
      <c r="BC2433">
        <v>1</v>
      </c>
      <c r="BE2433">
        <v>0</v>
      </c>
      <c r="BF2433">
        <v>0</v>
      </c>
      <c r="BG2433">
        <v>0</v>
      </c>
      <c r="BH2433">
        <v>7100</v>
      </c>
      <c r="BI2433">
        <v>1</v>
      </c>
      <c r="BJ2433">
        <v>0</v>
      </c>
      <c r="BK2433">
        <v>0</v>
      </c>
      <c r="BL2433">
        <v>0</v>
      </c>
      <c r="BO2433">
        <v>0</v>
      </c>
      <c r="BP2433">
        <v>0</v>
      </c>
      <c r="BW2433" t="str">
        <f t="shared" si="1342"/>
        <v>14:55:01.653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285</v>
      </c>
      <c r="CR2433">
        <v>0</v>
      </c>
      <c r="CW2433">
        <v>8865999</v>
      </c>
      <c r="CY2433">
        <v>0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25">
      <c r="A2434" t="str">
        <f t="shared" si="1339"/>
        <v>06/05/2020 14:54:55.981</v>
      </c>
      <c r="C2434" t="str">
        <f t="shared" si="1327"/>
        <v>FFDFD3C0</v>
      </c>
      <c r="D2434" t="s">
        <v>134</v>
      </c>
      <c r="E2434">
        <v>7</v>
      </c>
      <c r="F2434">
        <v>2007</v>
      </c>
      <c r="G2434" t="s">
        <v>135</v>
      </c>
      <c r="J2434" t="s">
        <v>136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340"/>
        <v>14:55:01.648</v>
      </c>
      <c r="T2434" t="str">
        <f t="shared" si="1341"/>
        <v>14:55:01.148</v>
      </c>
      <c r="U2434" t="str">
        <f t="shared" ref="U2434:U2497" si="1343">"ACC530"</f>
        <v>ACC530</v>
      </c>
      <c r="V2434">
        <v>0</v>
      </c>
      <c r="W2434">
        <v>0</v>
      </c>
      <c r="X2434">
        <v>1</v>
      </c>
      <c r="Z2434">
        <v>0</v>
      </c>
      <c r="AA2434">
        <v>9</v>
      </c>
      <c r="AB2434">
        <v>3</v>
      </c>
      <c r="AC2434">
        <v>0</v>
      </c>
      <c r="AD2434">
        <v>9</v>
      </c>
      <c r="AE2434">
        <v>0</v>
      </c>
      <c r="AF2434">
        <v>3</v>
      </c>
      <c r="AG2434">
        <v>1</v>
      </c>
      <c r="AH2434">
        <v>0</v>
      </c>
      <c r="AI2434" t="s">
        <v>864</v>
      </c>
      <c r="AJ2434">
        <v>34.149434999999997</v>
      </c>
      <c r="AK2434" t="s">
        <v>865</v>
      </c>
      <c r="AL2434">
        <v>-117.04934799999999</v>
      </c>
      <c r="AM2434">
        <v>100</v>
      </c>
      <c r="AN2434">
        <v>7200</v>
      </c>
      <c r="AO2434" t="s">
        <v>118</v>
      </c>
      <c r="AP2434">
        <v>-58</v>
      </c>
      <c r="AQ2434">
        <v>-92</v>
      </c>
      <c r="AR2434">
        <v>-704</v>
      </c>
      <c r="AZ2434">
        <v>1200</v>
      </c>
      <c r="BA2434">
        <v>1</v>
      </c>
      <c r="BB2434" t="str">
        <f t="shared" si="1311"/>
        <v xml:space="preserve">N9217B  </v>
      </c>
      <c r="BC2434">
        <v>1</v>
      </c>
      <c r="BE2434">
        <v>0</v>
      </c>
      <c r="BF2434">
        <v>0</v>
      </c>
      <c r="BG2434">
        <v>0</v>
      </c>
      <c r="BH2434">
        <v>7100</v>
      </c>
      <c r="BI2434">
        <v>1</v>
      </c>
      <c r="BJ2434">
        <v>0</v>
      </c>
      <c r="BK2434">
        <v>0</v>
      </c>
      <c r="BL2434">
        <v>0</v>
      </c>
      <c r="BO2434">
        <v>0</v>
      </c>
      <c r="BP2434">
        <v>0</v>
      </c>
      <c r="BW2434" t="str">
        <f t="shared" si="1342"/>
        <v>14:55:01.653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285</v>
      </c>
      <c r="CR2434">
        <v>0</v>
      </c>
      <c r="CW2434">
        <v>8865999</v>
      </c>
      <c r="CY2434">
        <v>0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25">
      <c r="A2435" t="str">
        <f t="shared" ref="A2435:A2441" si="1344">"06/05/2020 14:54:57.025"</f>
        <v>06/05/2020 14:54:57.025</v>
      </c>
      <c r="C2435" t="str">
        <f t="shared" si="1327"/>
        <v>FFDFD3C0</v>
      </c>
      <c r="D2435" t="s">
        <v>151</v>
      </c>
      <c r="E2435">
        <v>9</v>
      </c>
      <c r="H2435">
        <v>226</v>
      </c>
      <c r="I2435" t="s">
        <v>152</v>
      </c>
      <c r="J2435" t="s">
        <v>150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ref="S2435:T2441" si="1345">"14:55:02.672"</f>
        <v>14:55:02.672</v>
      </c>
      <c r="T2435" t="str">
        <f t="shared" si="1345"/>
        <v>14:55:02.672</v>
      </c>
      <c r="U2435" t="str">
        <f t="shared" si="1343"/>
        <v>ACC530</v>
      </c>
      <c r="V2435">
        <v>0</v>
      </c>
      <c r="W2435">
        <v>0</v>
      </c>
      <c r="X2435">
        <v>1</v>
      </c>
      <c r="Z2435">
        <v>0</v>
      </c>
      <c r="AA2435">
        <v>9</v>
      </c>
      <c r="AB2435">
        <v>3</v>
      </c>
      <c r="AC2435">
        <v>0</v>
      </c>
      <c r="AD2435">
        <v>9</v>
      </c>
      <c r="AE2435">
        <v>0</v>
      </c>
      <c r="AF2435">
        <v>3</v>
      </c>
      <c r="AG2435">
        <v>1</v>
      </c>
      <c r="AH2435">
        <v>0</v>
      </c>
      <c r="AI2435" t="s">
        <v>866</v>
      </c>
      <c r="AJ2435">
        <v>34.149048000000001</v>
      </c>
      <c r="AK2435" t="s">
        <v>867</v>
      </c>
      <c r="AL2435">
        <v>-117.049649</v>
      </c>
      <c r="AM2435">
        <v>100</v>
      </c>
      <c r="AN2435">
        <v>7100</v>
      </c>
      <c r="AO2435" t="s">
        <v>118</v>
      </c>
      <c r="AP2435">
        <v>-58</v>
      </c>
      <c r="AQ2435">
        <v>-92</v>
      </c>
      <c r="AR2435">
        <v>-768</v>
      </c>
      <c r="AZ2435">
        <v>1200</v>
      </c>
      <c r="BA2435">
        <v>1</v>
      </c>
      <c r="BB2435" t="str">
        <f t="shared" si="1311"/>
        <v xml:space="preserve">N9217B  </v>
      </c>
      <c r="BC2435">
        <v>1</v>
      </c>
      <c r="BE2435">
        <v>0</v>
      </c>
      <c r="BF2435">
        <v>0</v>
      </c>
      <c r="BG2435">
        <v>0</v>
      </c>
      <c r="BH2435">
        <v>7075</v>
      </c>
      <c r="BI2435">
        <v>1</v>
      </c>
      <c r="BJ2435">
        <v>0</v>
      </c>
      <c r="BK2435">
        <v>0</v>
      </c>
      <c r="BL2435">
        <v>0</v>
      </c>
      <c r="BO2435">
        <v>0</v>
      </c>
      <c r="BP2435">
        <v>0</v>
      </c>
      <c r="BW2435" t="str">
        <f t="shared" ref="BW2435:BW2441" si="1346">"14:55:02.672"</f>
        <v>14:55:02.672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285</v>
      </c>
      <c r="CR2435">
        <v>0</v>
      </c>
      <c r="CW2435">
        <v>8866095</v>
      </c>
      <c r="CY2435">
        <v>0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25">
      <c r="A2436" t="str">
        <f t="shared" si="1344"/>
        <v>06/05/2020 14:54:57.025</v>
      </c>
      <c r="C2436" t="str">
        <f t="shared" si="1327"/>
        <v>FFDFD3C0</v>
      </c>
      <c r="D2436" t="s">
        <v>134</v>
      </c>
      <c r="E2436">
        <v>7</v>
      </c>
      <c r="F2436">
        <v>2007</v>
      </c>
      <c r="G2436" t="s">
        <v>135</v>
      </c>
      <c r="J2436" t="s">
        <v>136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345"/>
        <v>14:55:02.672</v>
      </c>
      <c r="T2436" t="str">
        <f t="shared" si="1345"/>
        <v>14:55:02.672</v>
      </c>
      <c r="U2436" t="str">
        <f t="shared" si="1343"/>
        <v>ACC530</v>
      </c>
      <c r="V2436">
        <v>0</v>
      </c>
      <c r="W2436">
        <v>0</v>
      </c>
      <c r="X2436">
        <v>1</v>
      </c>
      <c r="Z2436">
        <v>0</v>
      </c>
      <c r="AA2436">
        <v>9</v>
      </c>
      <c r="AB2436">
        <v>3</v>
      </c>
      <c r="AC2436">
        <v>0</v>
      </c>
      <c r="AD2436">
        <v>9</v>
      </c>
      <c r="AE2436">
        <v>0</v>
      </c>
      <c r="AF2436">
        <v>3</v>
      </c>
      <c r="AG2436">
        <v>1</v>
      </c>
      <c r="AH2436">
        <v>0</v>
      </c>
      <c r="AI2436" t="s">
        <v>866</v>
      </c>
      <c r="AJ2436">
        <v>34.149048000000001</v>
      </c>
      <c r="AK2436" t="s">
        <v>867</v>
      </c>
      <c r="AL2436">
        <v>-117.049649</v>
      </c>
      <c r="AM2436">
        <v>100</v>
      </c>
      <c r="AN2436">
        <v>7100</v>
      </c>
      <c r="AO2436" t="s">
        <v>118</v>
      </c>
      <c r="AP2436">
        <v>-58</v>
      </c>
      <c r="AQ2436">
        <v>-92</v>
      </c>
      <c r="AR2436">
        <v>-768</v>
      </c>
      <c r="AZ2436">
        <v>1200</v>
      </c>
      <c r="BA2436">
        <v>1</v>
      </c>
      <c r="BB2436" t="str">
        <f t="shared" si="1311"/>
        <v xml:space="preserve">N9217B  </v>
      </c>
      <c r="BC2436">
        <v>1</v>
      </c>
      <c r="BE2436">
        <v>0</v>
      </c>
      <c r="BF2436">
        <v>0</v>
      </c>
      <c r="BG2436">
        <v>0</v>
      </c>
      <c r="BH2436">
        <v>7075</v>
      </c>
      <c r="BI2436">
        <v>1</v>
      </c>
      <c r="BJ2436">
        <v>0</v>
      </c>
      <c r="BK2436">
        <v>0</v>
      </c>
      <c r="BL2436">
        <v>0</v>
      </c>
      <c r="BO2436">
        <v>0</v>
      </c>
      <c r="BP2436">
        <v>0</v>
      </c>
      <c r="BW2436" t="str">
        <f t="shared" si="1346"/>
        <v>14:55:02.672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285</v>
      </c>
      <c r="CR2436">
        <v>0</v>
      </c>
      <c r="CW2436">
        <v>8866095</v>
      </c>
      <c r="CY2436">
        <v>0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25">
      <c r="A2437" t="str">
        <f t="shared" si="1344"/>
        <v>06/05/2020 14:54:57.025</v>
      </c>
      <c r="C2437" t="str">
        <f t="shared" si="1327"/>
        <v>FFDFD3C0</v>
      </c>
      <c r="D2437" t="s">
        <v>148</v>
      </c>
      <c r="E2437">
        <v>8</v>
      </c>
      <c r="H2437">
        <v>50</v>
      </c>
      <c r="I2437" t="s">
        <v>149</v>
      </c>
      <c r="J2437" t="s">
        <v>150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345"/>
        <v>14:55:02.672</v>
      </c>
      <c r="T2437" t="str">
        <f t="shared" si="1345"/>
        <v>14:55:02.672</v>
      </c>
      <c r="U2437" t="str">
        <f t="shared" si="1343"/>
        <v>ACC530</v>
      </c>
      <c r="V2437">
        <v>0</v>
      </c>
      <c r="W2437">
        <v>0</v>
      </c>
      <c r="X2437">
        <v>1</v>
      </c>
      <c r="Z2437">
        <v>0</v>
      </c>
      <c r="AA2437">
        <v>9</v>
      </c>
      <c r="AB2437">
        <v>3</v>
      </c>
      <c r="AC2437">
        <v>0</v>
      </c>
      <c r="AD2437">
        <v>9</v>
      </c>
      <c r="AE2437">
        <v>0</v>
      </c>
      <c r="AF2437">
        <v>3</v>
      </c>
      <c r="AG2437">
        <v>1</v>
      </c>
      <c r="AH2437">
        <v>0</v>
      </c>
      <c r="AI2437" t="s">
        <v>866</v>
      </c>
      <c r="AJ2437">
        <v>34.149048000000001</v>
      </c>
      <c r="AK2437" t="s">
        <v>867</v>
      </c>
      <c r="AL2437">
        <v>-117.049649</v>
      </c>
      <c r="AM2437">
        <v>100</v>
      </c>
      <c r="AN2437">
        <v>7100</v>
      </c>
      <c r="AO2437" t="s">
        <v>118</v>
      </c>
      <c r="AP2437">
        <v>-58</v>
      </c>
      <c r="AQ2437">
        <v>-92</v>
      </c>
      <c r="AR2437">
        <v>-768</v>
      </c>
      <c r="AZ2437">
        <v>1200</v>
      </c>
      <c r="BA2437">
        <v>1</v>
      </c>
      <c r="BB2437" t="str">
        <f t="shared" ref="BB2437:BB2500" si="1347">"N9217B  "</f>
        <v xml:space="preserve">N9217B  </v>
      </c>
      <c r="BC2437">
        <v>1</v>
      </c>
      <c r="BE2437">
        <v>0</v>
      </c>
      <c r="BF2437">
        <v>0</v>
      </c>
      <c r="BG2437">
        <v>0</v>
      </c>
      <c r="BH2437">
        <v>7075</v>
      </c>
      <c r="BI2437">
        <v>1</v>
      </c>
      <c r="BJ2437">
        <v>0</v>
      </c>
      <c r="BK2437">
        <v>0</v>
      </c>
      <c r="BL2437">
        <v>0</v>
      </c>
      <c r="BO2437">
        <v>0</v>
      </c>
      <c r="BP2437">
        <v>0</v>
      </c>
      <c r="BW2437" t="str">
        <f t="shared" si="1346"/>
        <v>14:55:02.672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285</v>
      </c>
      <c r="CR2437">
        <v>0</v>
      </c>
      <c r="CW2437">
        <v>8866095</v>
      </c>
      <c r="CY2437">
        <v>0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25">
      <c r="A2438" t="str">
        <f t="shared" si="1344"/>
        <v>06/05/2020 14:54:57.025</v>
      </c>
      <c r="C2438" t="str">
        <f t="shared" si="1327"/>
        <v>FFDFD3C0</v>
      </c>
      <c r="D2438" t="s">
        <v>113</v>
      </c>
      <c r="E2438">
        <v>3</v>
      </c>
      <c r="H2438">
        <v>166</v>
      </c>
      <c r="I2438" t="s">
        <v>114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345"/>
        <v>14:55:02.672</v>
      </c>
      <c r="T2438" t="str">
        <f t="shared" si="1345"/>
        <v>14:55:02.672</v>
      </c>
      <c r="U2438" t="str">
        <f t="shared" si="1343"/>
        <v>ACC530</v>
      </c>
      <c r="V2438">
        <v>0</v>
      </c>
      <c r="W2438">
        <v>0</v>
      </c>
      <c r="X2438">
        <v>1</v>
      </c>
      <c r="Z2438">
        <v>0</v>
      </c>
      <c r="AA2438">
        <v>9</v>
      </c>
      <c r="AB2438">
        <v>3</v>
      </c>
      <c r="AC2438">
        <v>0</v>
      </c>
      <c r="AD2438">
        <v>9</v>
      </c>
      <c r="AE2438">
        <v>0</v>
      </c>
      <c r="AF2438">
        <v>3</v>
      </c>
      <c r="AG2438">
        <v>1</v>
      </c>
      <c r="AH2438">
        <v>0</v>
      </c>
      <c r="AI2438" t="s">
        <v>866</v>
      </c>
      <c r="AJ2438">
        <v>34.149048000000001</v>
      </c>
      <c r="AK2438" t="s">
        <v>867</v>
      </c>
      <c r="AL2438">
        <v>-117.049649</v>
      </c>
      <c r="AM2438">
        <v>100</v>
      </c>
      <c r="AN2438">
        <v>7100</v>
      </c>
      <c r="AO2438" t="s">
        <v>118</v>
      </c>
      <c r="AP2438">
        <v>-58</v>
      </c>
      <c r="AQ2438">
        <v>-92</v>
      </c>
      <c r="AR2438">
        <v>-768</v>
      </c>
      <c r="AZ2438">
        <v>1200</v>
      </c>
      <c r="BA2438">
        <v>1</v>
      </c>
      <c r="BB2438" t="str">
        <f t="shared" si="1347"/>
        <v xml:space="preserve">N9217B  </v>
      </c>
      <c r="BC2438">
        <v>1</v>
      </c>
      <c r="BE2438">
        <v>0</v>
      </c>
      <c r="BF2438">
        <v>0</v>
      </c>
      <c r="BG2438">
        <v>0</v>
      </c>
      <c r="BH2438">
        <v>7075</v>
      </c>
      <c r="BI2438">
        <v>1</v>
      </c>
      <c r="BJ2438">
        <v>0</v>
      </c>
      <c r="BK2438">
        <v>0</v>
      </c>
      <c r="BL2438">
        <v>0</v>
      </c>
      <c r="BO2438">
        <v>0</v>
      </c>
      <c r="BP2438">
        <v>0</v>
      </c>
      <c r="BW2438" t="str">
        <f t="shared" si="1346"/>
        <v>14:55:02.672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285</v>
      </c>
      <c r="CR2438">
        <v>0</v>
      </c>
      <c r="CW2438">
        <v>8866095</v>
      </c>
      <c r="CY2438">
        <v>0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25">
      <c r="A2439" t="str">
        <f t="shared" si="1344"/>
        <v>06/05/2020 14:54:57.025</v>
      </c>
      <c r="C2439" t="str">
        <f t="shared" si="1327"/>
        <v>FFDFD3C0</v>
      </c>
      <c r="D2439" t="s">
        <v>141</v>
      </c>
      <c r="E2439">
        <v>20</v>
      </c>
      <c r="F2439">
        <v>1020</v>
      </c>
      <c r="G2439" t="s">
        <v>114</v>
      </c>
      <c r="J2439" t="s">
        <v>142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345"/>
        <v>14:55:02.672</v>
      </c>
      <c r="T2439" t="str">
        <f t="shared" si="1345"/>
        <v>14:55:02.672</v>
      </c>
      <c r="U2439" t="str">
        <f t="shared" si="1343"/>
        <v>ACC530</v>
      </c>
      <c r="V2439">
        <v>0</v>
      </c>
      <c r="W2439">
        <v>0</v>
      </c>
      <c r="X2439">
        <v>1</v>
      </c>
      <c r="Z2439">
        <v>0</v>
      </c>
      <c r="AA2439">
        <v>9</v>
      </c>
      <c r="AB2439">
        <v>3</v>
      </c>
      <c r="AC2439">
        <v>0</v>
      </c>
      <c r="AD2439">
        <v>9</v>
      </c>
      <c r="AE2439">
        <v>0</v>
      </c>
      <c r="AF2439">
        <v>3</v>
      </c>
      <c r="AG2439">
        <v>1</v>
      </c>
      <c r="AH2439">
        <v>0</v>
      </c>
      <c r="AI2439" t="s">
        <v>866</v>
      </c>
      <c r="AJ2439">
        <v>34.149048000000001</v>
      </c>
      <c r="AK2439" t="s">
        <v>867</v>
      </c>
      <c r="AL2439">
        <v>-117.049649</v>
      </c>
      <c r="AM2439">
        <v>100</v>
      </c>
      <c r="AN2439">
        <v>7100</v>
      </c>
      <c r="AO2439" t="s">
        <v>118</v>
      </c>
      <c r="AP2439">
        <v>-58</v>
      </c>
      <c r="AQ2439">
        <v>-92</v>
      </c>
      <c r="AR2439">
        <v>-768</v>
      </c>
      <c r="AZ2439">
        <v>1200</v>
      </c>
      <c r="BA2439">
        <v>1</v>
      </c>
      <c r="BB2439" t="str">
        <f t="shared" si="1347"/>
        <v xml:space="preserve">N9217B  </v>
      </c>
      <c r="BC2439">
        <v>1</v>
      </c>
      <c r="BE2439">
        <v>0</v>
      </c>
      <c r="BF2439">
        <v>0</v>
      </c>
      <c r="BG2439">
        <v>0</v>
      </c>
      <c r="BH2439">
        <v>7075</v>
      </c>
      <c r="BI2439">
        <v>1</v>
      </c>
      <c r="BJ2439">
        <v>0</v>
      </c>
      <c r="BK2439">
        <v>0</v>
      </c>
      <c r="BL2439">
        <v>0</v>
      </c>
      <c r="BO2439">
        <v>0</v>
      </c>
      <c r="BP2439">
        <v>0</v>
      </c>
      <c r="BW2439" t="str">
        <f t="shared" si="1346"/>
        <v>14:55:02.672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285</v>
      </c>
      <c r="CR2439">
        <v>0</v>
      </c>
      <c r="CW2439">
        <v>8866095</v>
      </c>
      <c r="CY2439">
        <v>0</v>
      </c>
      <c r="CZ2439">
        <v>0</v>
      </c>
      <c r="DA2439">
        <v>1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25">
      <c r="A2440" t="str">
        <f t="shared" si="1344"/>
        <v>06/05/2020 14:54:57.025</v>
      </c>
      <c r="C2440" t="str">
        <f t="shared" si="1327"/>
        <v>FFDFD3C0</v>
      </c>
      <c r="D2440" t="s">
        <v>148</v>
      </c>
      <c r="E2440">
        <v>11</v>
      </c>
      <c r="H2440">
        <v>53</v>
      </c>
      <c r="I2440" t="s">
        <v>364</v>
      </c>
      <c r="J2440" t="s">
        <v>150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345"/>
        <v>14:55:02.672</v>
      </c>
      <c r="T2440" t="str">
        <f t="shared" si="1345"/>
        <v>14:55:02.672</v>
      </c>
      <c r="U2440" t="str">
        <f t="shared" si="1343"/>
        <v>ACC530</v>
      </c>
      <c r="V2440">
        <v>0</v>
      </c>
      <c r="W2440">
        <v>0</v>
      </c>
      <c r="X2440">
        <v>1</v>
      </c>
      <c r="Z2440">
        <v>0</v>
      </c>
      <c r="AA2440">
        <v>9</v>
      </c>
      <c r="AB2440">
        <v>3</v>
      </c>
      <c r="AC2440">
        <v>0</v>
      </c>
      <c r="AD2440">
        <v>9</v>
      </c>
      <c r="AE2440">
        <v>0</v>
      </c>
      <c r="AF2440">
        <v>3</v>
      </c>
      <c r="AG2440">
        <v>1</v>
      </c>
      <c r="AH2440">
        <v>0</v>
      </c>
      <c r="AI2440" t="s">
        <v>866</v>
      </c>
      <c r="AJ2440">
        <v>34.149048000000001</v>
      </c>
      <c r="AK2440" t="s">
        <v>867</v>
      </c>
      <c r="AL2440">
        <v>-117.049649</v>
      </c>
      <c r="AM2440">
        <v>100</v>
      </c>
      <c r="AN2440">
        <v>7100</v>
      </c>
      <c r="AO2440" t="s">
        <v>118</v>
      </c>
      <c r="AP2440">
        <v>-58</v>
      </c>
      <c r="AQ2440">
        <v>-92</v>
      </c>
      <c r="AR2440">
        <v>-768</v>
      </c>
      <c r="AZ2440">
        <v>1200</v>
      </c>
      <c r="BA2440">
        <v>1</v>
      </c>
      <c r="BB2440" t="str">
        <f t="shared" si="1347"/>
        <v xml:space="preserve">N9217B  </v>
      </c>
      <c r="BC2440">
        <v>1</v>
      </c>
      <c r="BE2440">
        <v>0</v>
      </c>
      <c r="BF2440">
        <v>0</v>
      </c>
      <c r="BG2440">
        <v>0</v>
      </c>
      <c r="BH2440">
        <v>7075</v>
      </c>
      <c r="BI2440">
        <v>1</v>
      </c>
      <c r="BJ2440">
        <v>0</v>
      </c>
      <c r="BK2440">
        <v>0</v>
      </c>
      <c r="BL2440">
        <v>0</v>
      </c>
      <c r="BO2440">
        <v>0</v>
      </c>
      <c r="BP2440">
        <v>0</v>
      </c>
      <c r="BW2440" t="str">
        <f t="shared" si="1346"/>
        <v>14:55:02.672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285</v>
      </c>
      <c r="CR2440">
        <v>0</v>
      </c>
      <c r="CW2440">
        <v>8866095</v>
      </c>
      <c r="CY2440">
        <v>0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25">
      <c r="A2441" t="str">
        <f t="shared" si="1344"/>
        <v>06/05/2020 14:54:57.025</v>
      </c>
      <c r="C2441" t="str">
        <f t="shared" si="1327"/>
        <v>FFDFD3C0</v>
      </c>
      <c r="D2441" t="s">
        <v>151</v>
      </c>
      <c r="E2441">
        <v>8</v>
      </c>
      <c r="H2441">
        <v>225</v>
      </c>
      <c r="I2441" t="s">
        <v>353</v>
      </c>
      <c r="J2441" t="s">
        <v>150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345"/>
        <v>14:55:02.672</v>
      </c>
      <c r="T2441" t="str">
        <f t="shared" si="1345"/>
        <v>14:55:02.672</v>
      </c>
      <c r="U2441" t="str">
        <f t="shared" si="1343"/>
        <v>ACC530</v>
      </c>
      <c r="V2441">
        <v>0</v>
      </c>
      <c r="W2441">
        <v>0</v>
      </c>
      <c r="X2441">
        <v>1</v>
      </c>
      <c r="Z2441">
        <v>0</v>
      </c>
      <c r="AA2441">
        <v>9</v>
      </c>
      <c r="AB2441">
        <v>3</v>
      </c>
      <c r="AC2441">
        <v>0</v>
      </c>
      <c r="AD2441">
        <v>9</v>
      </c>
      <c r="AE2441">
        <v>0</v>
      </c>
      <c r="AF2441">
        <v>3</v>
      </c>
      <c r="AG2441">
        <v>1</v>
      </c>
      <c r="AH2441">
        <v>0</v>
      </c>
      <c r="AI2441" t="s">
        <v>866</v>
      </c>
      <c r="AJ2441">
        <v>34.149048000000001</v>
      </c>
      <c r="AK2441" t="s">
        <v>867</v>
      </c>
      <c r="AL2441">
        <v>-117.049649</v>
      </c>
      <c r="AM2441">
        <v>100</v>
      </c>
      <c r="AN2441">
        <v>7100</v>
      </c>
      <c r="AO2441" t="s">
        <v>118</v>
      </c>
      <c r="AP2441">
        <v>-58</v>
      </c>
      <c r="AQ2441">
        <v>-92</v>
      </c>
      <c r="AR2441">
        <v>-768</v>
      </c>
      <c r="AZ2441">
        <v>1200</v>
      </c>
      <c r="BA2441">
        <v>1</v>
      </c>
      <c r="BB2441" t="str">
        <f t="shared" si="1347"/>
        <v xml:space="preserve">N9217B  </v>
      </c>
      <c r="BC2441">
        <v>1</v>
      </c>
      <c r="BE2441">
        <v>0</v>
      </c>
      <c r="BF2441">
        <v>0</v>
      </c>
      <c r="BG2441">
        <v>0</v>
      </c>
      <c r="BH2441">
        <v>7075</v>
      </c>
      <c r="BI2441">
        <v>1</v>
      </c>
      <c r="BJ2441">
        <v>0</v>
      </c>
      <c r="BK2441">
        <v>0</v>
      </c>
      <c r="BL2441">
        <v>0</v>
      </c>
      <c r="BO2441">
        <v>0</v>
      </c>
      <c r="BP2441">
        <v>0</v>
      </c>
      <c r="BW2441" t="str">
        <f t="shared" si="1346"/>
        <v>14:55:02.672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285</v>
      </c>
      <c r="CR2441">
        <v>0</v>
      </c>
      <c r="CW2441">
        <v>8866095</v>
      </c>
      <c r="CY2441">
        <v>0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25">
      <c r="A2442" t="str">
        <f t="shared" ref="A2442:A2448" si="1348">"06/05/2020 14:54:58.073"</f>
        <v>06/05/2020 14:54:58.073</v>
      </c>
      <c r="C2442" t="str">
        <f t="shared" si="1327"/>
        <v>FFDFD3C0</v>
      </c>
      <c r="D2442" t="s">
        <v>151</v>
      </c>
      <c r="E2442">
        <v>8</v>
      </c>
      <c r="H2442">
        <v>225</v>
      </c>
      <c r="I2442" t="s">
        <v>353</v>
      </c>
      <c r="J2442" t="s">
        <v>150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ref="S2442:T2448" si="1349">"14:55:03.734"</f>
        <v>14:55:03.734</v>
      </c>
      <c r="T2442" t="str">
        <f t="shared" si="1349"/>
        <v>14:55:03.734</v>
      </c>
      <c r="U2442" t="str">
        <f t="shared" si="1343"/>
        <v>ACC530</v>
      </c>
      <c r="V2442">
        <v>0</v>
      </c>
      <c r="W2442">
        <v>0</v>
      </c>
      <c r="X2442">
        <v>1</v>
      </c>
      <c r="Z2442">
        <v>0</v>
      </c>
      <c r="AA2442">
        <v>9</v>
      </c>
      <c r="AB2442">
        <v>3</v>
      </c>
      <c r="AC2442">
        <v>0</v>
      </c>
      <c r="AD2442">
        <v>9</v>
      </c>
      <c r="AE2442">
        <v>0</v>
      </c>
      <c r="AF2442">
        <v>3</v>
      </c>
      <c r="AG2442">
        <v>1</v>
      </c>
      <c r="AH2442">
        <v>0</v>
      </c>
      <c r="AI2442" t="s">
        <v>868</v>
      </c>
      <c r="AJ2442">
        <v>34.148575999999998</v>
      </c>
      <c r="AK2442" t="s">
        <v>869</v>
      </c>
      <c r="AL2442">
        <v>-117.050014</v>
      </c>
      <c r="AM2442">
        <v>100</v>
      </c>
      <c r="AN2442">
        <v>7100</v>
      </c>
      <c r="AO2442" t="s">
        <v>118</v>
      </c>
      <c r="AP2442">
        <v>-58</v>
      </c>
      <c r="AQ2442">
        <v>-92</v>
      </c>
      <c r="AR2442">
        <v>-832</v>
      </c>
      <c r="AZ2442">
        <v>1200</v>
      </c>
      <c r="BA2442">
        <v>1</v>
      </c>
      <c r="BB2442" t="str">
        <f t="shared" si="1347"/>
        <v xml:space="preserve">N9217B  </v>
      </c>
      <c r="BC2442">
        <v>1</v>
      </c>
      <c r="BE2442">
        <v>0</v>
      </c>
      <c r="BF2442">
        <v>0</v>
      </c>
      <c r="BG2442">
        <v>0</v>
      </c>
      <c r="BH2442">
        <v>7075</v>
      </c>
      <c r="BI2442">
        <v>1</v>
      </c>
      <c r="BJ2442">
        <v>0</v>
      </c>
      <c r="BK2442">
        <v>0</v>
      </c>
      <c r="BL2442">
        <v>0</v>
      </c>
      <c r="BO2442">
        <v>0</v>
      </c>
      <c r="BP2442">
        <v>0</v>
      </c>
      <c r="BW2442" t="str">
        <f t="shared" ref="BW2442:BW2448" si="1350">"14:55:03.737"</f>
        <v>14:55:03.737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285</v>
      </c>
      <c r="CR2442">
        <v>0</v>
      </c>
      <c r="CW2442">
        <v>8866186</v>
      </c>
      <c r="CY2442">
        <v>0</v>
      </c>
      <c r="CZ2442">
        <v>0</v>
      </c>
      <c r="DA2442">
        <v>0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25">
      <c r="A2443" t="str">
        <f t="shared" si="1348"/>
        <v>06/05/2020 14:54:58.073</v>
      </c>
      <c r="C2443" t="str">
        <f t="shared" si="1327"/>
        <v>FFDFD3C0</v>
      </c>
      <c r="D2443" t="s">
        <v>151</v>
      </c>
      <c r="E2443">
        <v>9</v>
      </c>
      <c r="H2443">
        <v>226</v>
      </c>
      <c r="I2443" t="s">
        <v>152</v>
      </c>
      <c r="J2443" t="s">
        <v>150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349"/>
        <v>14:55:03.734</v>
      </c>
      <c r="T2443" t="str">
        <f t="shared" si="1349"/>
        <v>14:55:03.734</v>
      </c>
      <c r="U2443" t="str">
        <f t="shared" si="1343"/>
        <v>ACC530</v>
      </c>
      <c r="V2443">
        <v>0</v>
      </c>
      <c r="W2443">
        <v>0</v>
      </c>
      <c r="X2443">
        <v>1</v>
      </c>
      <c r="Z2443">
        <v>0</v>
      </c>
      <c r="AA2443">
        <v>9</v>
      </c>
      <c r="AB2443">
        <v>3</v>
      </c>
      <c r="AC2443">
        <v>0</v>
      </c>
      <c r="AD2443">
        <v>9</v>
      </c>
      <c r="AE2443">
        <v>0</v>
      </c>
      <c r="AF2443">
        <v>3</v>
      </c>
      <c r="AG2443">
        <v>1</v>
      </c>
      <c r="AH2443">
        <v>0</v>
      </c>
      <c r="AI2443" t="s">
        <v>868</v>
      </c>
      <c r="AJ2443">
        <v>34.148575999999998</v>
      </c>
      <c r="AK2443" t="s">
        <v>869</v>
      </c>
      <c r="AL2443">
        <v>-117.050014</v>
      </c>
      <c r="AM2443">
        <v>100</v>
      </c>
      <c r="AN2443">
        <v>7100</v>
      </c>
      <c r="AO2443" t="s">
        <v>118</v>
      </c>
      <c r="AP2443">
        <v>-58</v>
      </c>
      <c r="AQ2443">
        <v>-92</v>
      </c>
      <c r="AR2443">
        <v>-832</v>
      </c>
      <c r="AZ2443">
        <v>1200</v>
      </c>
      <c r="BA2443">
        <v>1</v>
      </c>
      <c r="BB2443" t="str">
        <f t="shared" si="1347"/>
        <v xml:space="preserve">N9217B  </v>
      </c>
      <c r="BC2443">
        <v>1</v>
      </c>
      <c r="BE2443">
        <v>0</v>
      </c>
      <c r="BF2443">
        <v>0</v>
      </c>
      <c r="BG2443">
        <v>0</v>
      </c>
      <c r="BH2443">
        <v>7075</v>
      </c>
      <c r="BI2443">
        <v>1</v>
      </c>
      <c r="BJ2443">
        <v>0</v>
      </c>
      <c r="BK2443">
        <v>0</v>
      </c>
      <c r="BL2443">
        <v>0</v>
      </c>
      <c r="BO2443">
        <v>0</v>
      </c>
      <c r="BP2443">
        <v>0</v>
      </c>
      <c r="BW2443" t="str">
        <f t="shared" si="1350"/>
        <v>14:55:03.737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285</v>
      </c>
      <c r="CR2443">
        <v>0</v>
      </c>
      <c r="CW2443">
        <v>8866186</v>
      </c>
      <c r="CY2443">
        <v>0</v>
      </c>
      <c r="CZ2443">
        <v>0</v>
      </c>
      <c r="DA2443">
        <v>1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25">
      <c r="A2444" t="str">
        <f t="shared" si="1348"/>
        <v>06/05/2020 14:54:58.073</v>
      </c>
      <c r="C2444" t="str">
        <f t="shared" si="1327"/>
        <v>FFDFD3C0</v>
      </c>
      <c r="D2444" t="s">
        <v>134</v>
      </c>
      <c r="E2444">
        <v>7</v>
      </c>
      <c r="F2444">
        <v>2007</v>
      </c>
      <c r="G2444" t="s">
        <v>135</v>
      </c>
      <c r="J2444" t="s">
        <v>136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349"/>
        <v>14:55:03.734</v>
      </c>
      <c r="T2444" t="str">
        <f t="shared" si="1349"/>
        <v>14:55:03.734</v>
      </c>
      <c r="U2444" t="str">
        <f t="shared" si="1343"/>
        <v>ACC530</v>
      </c>
      <c r="V2444">
        <v>0</v>
      </c>
      <c r="W2444">
        <v>0</v>
      </c>
      <c r="X2444">
        <v>1</v>
      </c>
      <c r="Z2444">
        <v>0</v>
      </c>
      <c r="AA2444">
        <v>9</v>
      </c>
      <c r="AB2444">
        <v>3</v>
      </c>
      <c r="AC2444">
        <v>0</v>
      </c>
      <c r="AD2444">
        <v>9</v>
      </c>
      <c r="AE2444">
        <v>0</v>
      </c>
      <c r="AF2444">
        <v>3</v>
      </c>
      <c r="AG2444">
        <v>1</v>
      </c>
      <c r="AH2444">
        <v>0</v>
      </c>
      <c r="AI2444" t="s">
        <v>868</v>
      </c>
      <c r="AJ2444">
        <v>34.148575999999998</v>
      </c>
      <c r="AK2444" t="s">
        <v>869</v>
      </c>
      <c r="AL2444">
        <v>-117.050014</v>
      </c>
      <c r="AM2444">
        <v>100</v>
      </c>
      <c r="AN2444">
        <v>7100</v>
      </c>
      <c r="AO2444" t="s">
        <v>118</v>
      </c>
      <c r="AP2444">
        <v>-58</v>
      </c>
      <c r="AQ2444">
        <v>-92</v>
      </c>
      <c r="AR2444">
        <v>-832</v>
      </c>
      <c r="AZ2444">
        <v>1200</v>
      </c>
      <c r="BA2444">
        <v>1</v>
      </c>
      <c r="BB2444" t="str">
        <f t="shared" si="1347"/>
        <v xml:space="preserve">N9217B  </v>
      </c>
      <c r="BC2444">
        <v>1</v>
      </c>
      <c r="BE2444">
        <v>0</v>
      </c>
      <c r="BF2444">
        <v>0</v>
      </c>
      <c r="BG2444">
        <v>0</v>
      </c>
      <c r="BH2444">
        <v>7075</v>
      </c>
      <c r="BI2444">
        <v>1</v>
      </c>
      <c r="BJ2444">
        <v>0</v>
      </c>
      <c r="BK2444">
        <v>0</v>
      </c>
      <c r="BL2444">
        <v>0</v>
      </c>
      <c r="BO2444">
        <v>0</v>
      </c>
      <c r="BP2444">
        <v>0</v>
      </c>
      <c r="BW2444" t="str">
        <f t="shared" si="1350"/>
        <v>14:55:03.737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285</v>
      </c>
      <c r="CR2444">
        <v>0</v>
      </c>
      <c r="CW2444">
        <v>8866186</v>
      </c>
      <c r="CY2444">
        <v>0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25">
      <c r="A2445" t="str">
        <f t="shared" si="1348"/>
        <v>06/05/2020 14:54:58.073</v>
      </c>
      <c r="C2445" t="str">
        <f t="shared" si="1327"/>
        <v>FFDFD3C0</v>
      </c>
      <c r="D2445" t="s">
        <v>141</v>
      </c>
      <c r="E2445">
        <v>20</v>
      </c>
      <c r="F2445">
        <v>1020</v>
      </c>
      <c r="G2445" t="s">
        <v>114</v>
      </c>
      <c r="J2445" t="s">
        <v>142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349"/>
        <v>14:55:03.734</v>
      </c>
      <c r="T2445" t="str">
        <f t="shared" si="1349"/>
        <v>14:55:03.734</v>
      </c>
      <c r="U2445" t="str">
        <f t="shared" si="1343"/>
        <v>ACC530</v>
      </c>
      <c r="V2445">
        <v>0</v>
      </c>
      <c r="W2445">
        <v>0</v>
      </c>
      <c r="X2445">
        <v>1</v>
      </c>
      <c r="Z2445">
        <v>0</v>
      </c>
      <c r="AA2445">
        <v>9</v>
      </c>
      <c r="AB2445">
        <v>3</v>
      </c>
      <c r="AC2445">
        <v>0</v>
      </c>
      <c r="AD2445">
        <v>9</v>
      </c>
      <c r="AE2445">
        <v>0</v>
      </c>
      <c r="AF2445">
        <v>3</v>
      </c>
      <c r="AG2445">
        <v>1</v>
      </c>
      <c r="AH2445">
        <v>0</v>
      </c>
      <c r="AI2445" t="s">
        <v>868</v>
      </c>
      <c r="AJ2445">
        <v>34.148575999999998</v>
      </c>
      <c r="AK2445" t="s">
        <v>869</v>
      </c>
      <c r="AL2445">
        <v>-117.050014</v>
      </c>
      <c r="AM2445">
        <v>100</v>
      </c>
      <c r="AN2445">
        <v>7100</v>
      </c>
      <c r="AO2445" t="s">
        <v>118</v>
      </c>
      <c r="AP2445">
        <v>-58</v>
      </c>
      <c r="AQ2445">
        <v>-92</v>
      </c>
      <c r="AR2445">
        <v>-832</v>
      </c>
      <c r="AZ2445">
        <v>1200</v>
      </c>
      <c r="BA2445">
        <v>1</v>
      </c>
      <c r="BB2445" t="str">
        <f t="shared" si="1347"/>
        <v xml:space="preserve">N9217B  </v>
      </c>
      <c r="BC2445">
        <v>1</v>
      </c>
      <c r="BE2445">
        <v>0</v>
      </c>
      <c r="BF2445">
        <v>0</v>
      </c>
      <c r="BG2445">
        <v>0</v>
      </c>
      <c r="BH2445">
        <v>7075</v>
      </c>
      <c r="BI2445">
        <v>1</v>
      </c>
      <c r="BJ2445">
        <v>0</v>
      </c>
      <c r="BK2445">
        <v>0</v>
      </c>
      <c r="BL2445">
        <v>0</v>
      </c>
      <c r="BO2445">
        <v>0</v>
      </c>
      <c r="BP2445">
        <v>0</v>
      </c>
      <c r="BW2445" t="str">
        <f t="shared" si="1350"/>
        <v>14:55:03.737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285</v>
      </c>
      <c r="CR2445">
        <v>0</v>
      </c>
      <c r="CW2445">
        <v>8866186</v>
      </c>
      <c r="CY2445">
        <v>0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25">
      <c r="A2446" t="str">
        <f t="shared" si="1348"/>
        <v>06/05/2020 14:54:58.073</v>
      </c>
      <c r="C2446" t="str">
        <f t="shared" si="1327"/>
        <v>FFDFD3C0</v>
      </c>
      <c r="D2446" t="s">
        <v>148</v>
      </c>
      <c r="E2446">
        <v>8</v>
      </c>
      <c r="H2446">
        <v>50</v>
      </c>
      <c r="I2446" t="s">
        <v>149</v>
      </c>
      <c r="J2446" t="s">
        <v>150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349"/>
        <v>14:55:03.734</v>
      </c>
      <c r="T2446" t="str">
        <f t="shared" si="1349"/>
        <v>14:55:03.734</v>
      </c>
      <c r="U2446" t="str">
        <f t="shared" si="1343"/>
        <v>ACC530</v>
      </c>
      <c r="V2446">
        <v>0</v>
      </c>
      <c r="W2446">
        <v>0</v>
      </c>
      <c r="X2446">
        <v>1</v>
      </c>
      <c r="Z2446">
        <v>0</v>
      </c>
      <c r="AA2446">
        <v>9</v>
      </c>
      <c r="AB2446">
        <v>3</v>
      </c>
      <c r="AC2446">
        <v>0</v>
      </c>
      <c r="AD2446">
        <v>9</v>
      </c>
      <c r="AE2446">
        <v>0</v>
      </c>
      <c r="AF2446">
        <v>3</v>
      </c>
      <c r="AG2446">
        <v>1</v>
      </c>
      <c r="AH2446">
        <v>0</v>
      </c>
      <c r="AI2446" t="s">
        <v>868</v>
      </c>
      <c r="AJ2446">
        <v>34.148575999999998</v>
      </c>
      <c r="AK2446" t="s">
        <v>869</v>
      </c>
      <c r="AL2446">
        <v>-117.050014</v>
      </c>
      <c r="AM2446">
        <v>100</v>
      </c>
      <c r="AN2446">
        <v>7100</v>
      </c>
      <c r="AO2446" t="s">
        <v>118</v>
      </c>
      <c r="AP2446">
        <v>-58</v>
      </c>
      <c r="AQ2446">
        <v>-92</v>
      </c>
      <c r="AR2446">
        <v>-832</v>
      </c>
      <c r="AZ2446">
        <v>1200</v>
      </c>
      <c r="BA2446">
        <v>1</v>
      </c>
      <c r="BB2446" t="str">
        <f t="shared" si="1347"/>
        <v xml:space="preserve">N9217B  </v>
      </c>
      <c r="BC2446">
        <v>1</v>
      </c>
      <c r="BE2446">
        <v>0</v>
      </c>
      <c r="BF2446">
        <v>0</v>
      </c>
      <c r="BG2446">
        <v>0</v>
      </c>
      <c r="BH2446">
        <v>7075</v>
      </c>
      <c r="BI2446">
        <v>1</v>
      </c>
      <c r="BJ2446">
        <v>0</v>
      </c>
      <c r="BK2446">
        <v>0</v>
      </c>
      <c r="BL2446">
        <v>0</v>
      </c>
      <c r="BO2446">
        <v>0</v>
      </c>
      <c r="BP2446">
        <v>0</v>
      </c>
      <c r="BW2446" t="str">
        <f t="shared" si="1350"/>
        <v>14:55:03.737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285</v>
      </c>
      <c r="CR2446">
        <v>0</v>
      </c>
      <c r="CW2446">
        <v>8866186</v>
      </c>
      <c r="CY2446">
        <v>0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25">
      <c r="A2447" t="str">
        <f t="shared" si="1348"/>
        <v>06/05/2020 14:54:58.073</v>
      </c>
      <c r="C2447" t="str">
        <f t="shared" si="1327"/>
        <v>FFDFD3C0</v>
      </c>
      <c r="D2447" t="s">
        <v>113</v>
      </c>
      <c r="E2447">
        <v>3</v>
      </c>
      <c r="H2447">
        <v>166</v>
      </c>
      <c r="I2447" t="s">
        <v>114</v>
      </c>
      <c r="J2447" t="s">
        <v>115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349"/>
        <v>14:55:03.734</v>
      </c>
      <c r="T2447" t="str">
        <f t="shared" si="1349"/>
        <v>14:55:03.734</v>
      </c>
      <c r="U2447" t="str">
        <f t="shared" si="1343"/>
        <v>ACC530</v>
      </c>
      <c r="V2447">
        <v>0</v>
      </c>
      <c r="W2447">
        <v>0</v>
      </c>
      <c r="X2447">
        <v>1</v>
      </c>
      <c r="Z2447">
        <v>0</v>
      </c>
      <c r="AA2447">
        <v>9</v>
      </c>
      <c r="AB2447">
        <v>3</v>
      </c>
      <c r="AC2447">
        <v>0</v>
      </c>
      <c r="AD2447">
        <v>9</v>
      </c>
      <c r="AE2447">
        <v>0</v>
      </c>
      <c r="AF2447">
        <v>3</v>
      </c>
      <c r="AG2447">
        <v>1</v>
      </c>
      <c r="AH2447">
        <v>0</v>
      </c>
      <c r="AI2447" t="s">
        <v>868</v>
      </c>
      <c r="AJ2447">
        <v>34.148575999999998</v>
      </c>
      <c r="AK2447" t="s">
        <v>869</v>
      </c>
      <c r="AL2447">
        <v>-117.050014</v>
      </c>
      <c r="AM2447">
        <v>100</v>
      </c>
      <c r="AN2447">
        <v>7100</v>
      </c>
      <c r="AO2447" t="s">
        <v>118</v>
      </c>
      <c r="AP2447">
        <v>-58</v>
      </c>
      <c r="AQ2447">
        <v>-92</v>
      </c>
      <c r="AR2447">
        <v>-832</v>
      </c>
      <c r="AZ2447">
        <v>1200</v>
      </c>
      <c r="BA2447">
        <v>1</v>
      </c>
      <c r="BB2447" t="str">
        <f t="shared" si="1347"/>
        <v xml:space="preserve">N9217B  </v>
      </c>
      <c r="BC2447">
        <v>1</v>
      </c>
      <c r="BE2447">
        <v>0</v>
      </c>
      <c r="BF2447">
        <v>0</v>
      </c>
      <c r="BG2447">
        <v>0</v>
      </c>
      <c r="BH2447">
        <v>7075</v>
      </c>
      <c r="BI2447">
        <v>1</v>
      </c>
      <c r="BJ2447">
        <v>0</v>
      </c>
      <c r="BK2447">
        <v>0</v>
      </c>
      <c r="BL2447">
        <v>0</v>
      </c>
      <c r="BO2447">
        <v>0</v>
      </c>
      <c r="BP2447">
        <v>0</v>
      </c>
      <c r="BW2447" t="str">
        <f t="shared" si="1350"/>
        <v>14:55:03.737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285</v>
      </c>
      <c r="CR2447">
        <v>0</v>
      </c>
      <c r="CW2447">
        <v>8866186</v>
      </c>
      <c r="CY2447">
        <v>0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25">
      <c r="A2448" t="str">
        <f t="shared" si="1348"/>
        <v>06/05/2020 14:54:58.073</v>
      </c>
      <c r="C2448" t="str">
        <f t="shared" si="1327"/>
        <v>FFDFD3C0</v>
      </c>
      <c r="D2448" t="s">
        <v>148</v>
      </c>
      <c r="E2448">
        <v>11</v>
      </c>
      <c r="H2448">
        <v>53</v>
      </c>
      <c r="I2448" t="s">
        <v>364</v>
      </c>
      <c r="J2448" t="s">
        <v>150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349"/>
        <v>14:55:03.734</v>
      </c>
      <c r="T2448" t="str">
        <f t="shared" si="1349"/>
        <v>14:55:03.734</v>
      </c>
      <c r="U2448" t="str">
        <f t="shared" si="1343"/>
        <v>ACC530</v>
      </c>
      <c r="V2448">
        <v>0</v>
      </c>
      <c r="W2448">
        <v>0</v>
      </c>
      <c r="X2448">
        <v>1</v>
      </c>
      <c r="Z2448">
        <v>0</v>
      </c>
      <c r="AA2448">
        <v>9</v>
      </c>
      <c r="AB2448">
        <v>3</v>
      </c>
      <c r="AC2448">
        <v>0</v>
      </c>
      <c r="AD2448">
        <v>9</v>
      </c>
      <c r="AE2448">
        <v>0</v>
      </c>
      <c r="AF2448">
        <v>3</v>
      </c>
      <c r="AG2448">
        <v>1</v>
      </c>
      <c r="AH2448">
        <v>0</v>
      </c>
      <c r="AI2448" t="s">
        <v>868</v>
      </c>
      <c r="AJ2448">
        <v>34.148575999999998</v>
      </c>
      <c r="AK2448" t="s">
        <v>869</v>
      </c>
      <c r="AL2448">
        <v>-117.050014</v>
      </c>
      <c r="AM2448">
        <v>100</v>
      </c>
      <c r="AN2448">
        <v>7100</v>
      </c>
      <c r="AO2448" t="s">
        <v>118</v>
      </c>
      <c r="AP2448">
        <v>-58</v>
      </c>
      <c r="AQ2448">
        <v>-92</v>
      </c>
      <c r="AR2448">
        <v>-832</v>
      </c>
      <c r="AZ2448">
        <v>1200</v>
      </c>
      <c r="BA2448">
        <v>1</v>
      </c>
      <c r="BB2448" t="str">
        <f t="shared" si="1347"/>
        <v xml:space="preserve">N9217B  </v>
      </c>
      <c r="BC2448">
        <v>1</v>
      </c>
      <c r="BE2448">
        <v>0</v>
      </c>
      <c r="BF2448">
        <v>0</v>
      </c>
      <c r="BG2448">
        <v>0</v>
      </c>
      <c r="BH2448">
        <v>7075</v>
      </c>
      <c r="BI2448">
        <v>1</v>
      </c>
      <c r="BJ2448">
        <v>0</v>
      </c>
      <c r="BK2448">
        <v>0</v>
      </c>
      <c r="BL2448">
        <v>0</v>
      </c>
      <c r="BO2448">
        <v>0</v>
      </c>
      <c r="BP2448">
        <v>0</v>
      </c>
      <c r="BW2448" t="str">
        <f t="shared" si="1350"/>
        <v>14:55:03.737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285</v>
      </c>
      <c r="CR2448">
        <v>0</v>
      </c>
      <c r="CW2448">
        <v>8866186</v>
      </c>
      <c r="CY2448">
        <v>0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25">
      <c r="A2449" t="str">
        <f t="shared" ref="A2449:A2455" si="1351">"06/05/2020 14:54:59.134"</f>
        <v>06/05/2020 14:54:59.134</v>
      </c>
      <c r="C2449" t="str">
        <f t="shared" si="1327"/>
        <v>FFDFD3C0</v>
      </c>
      <c r="D2449" t="s">
        <v>151</v>
      </c>
      <c r="E2449">
        <v>8</v>
      </c>
      <c r="H2449">
        <v>225</v>
      </c>
      <c r="I2449" t="s">
        <v>353</v>
      </c>
      <c r="J2449" t="s">
        <v>150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ref="S2449:T2455" si="1352">"14:55:04.813"</f>
        <v>14:55:04.813</v>
      </c>
      <c r="T2449" t="str">
        <f t="shared" si="1352"/>
        <v>14:55:04.813</v>
      </c>
      <c r="U2449" t="str">
        <f t="shared" si="1343"/>
        <v>ACC530</v>
      </c>
      <c r="V2449">
        <v>0</v>
      </c>
      <c r="W2449">
        <v>0</v>
      </c>
      <c r="X2449">
        <v>1</v>
      </c>
      <c r="Z2449">
        <v>0</v>
      </c>
      <c r="AA2449">
        <v>9</v>
      </c>
      <c r="AB2449">
        <v>3</v>
      </c>
      <c r="AC2449">
        <v>0</v>
      </c>
      <c r="AD2449">
        <v>9</v>
      </c>
      <c r="AE2449">
        <v>0</v>
      </c>
      <c r="AF2449">
        <v>3</v>
      </c>
      <c r="AG2449">
        <v>1</v>
      </c>
      <c r="AH2449">
        <v>0</v>
      </c>
      <c r="AI2449" t="s">
        <v>870</v>
      </c>
      <c r="AJ2449">
        <v>34.148125999999998</v>
      </c>
      <c r="AK2449" t="s">
        <v>871</v>
      </c>
      <c r="AL2449">
        <v>-117.05035700000001</v>
      </c>
      <c r="AM2449">
        <v>100</v>
      </c>
      <c r="AN2449">
        <v>7100</v>
      </c>
      <c r="AO2449" t="s">
        <v>118</v>
      </c>
      <c r="AP2449">
        <v>-58</v>
      </c>
      <c r="AQ2449">
        <v>-92</v>
      </c>
      <c r="AR2449">
        <v>-832</v>
      </c>
      <c r="AZ2449">
        <v>1200</v>
      </c>
      <c r="BA2449">
        <v>1</v>
      </c>
      <c r="BB2449" t="str">
        <f t="shared" si="1347"/>
        <v xml:space="preserve">N9217B  </v>
      </c>
      <c r="BC2449">
        <v>1</v>
      </c>
      <c r="BE2449">
        <v>0</v>
      </c>
      <c r="BF2449">
        <v>0</v>
      </c>
      <c r="BG2449">
        <v>0</v>
      </c>
      <c r="BH2449">
        <v>7050</v>
      </c>
      <c r="BI2449">
        <v>1</v>
      </c>
      <c r="BJ2449">
        <v>0</v>
      </c>
      <c r="BK2449">
        <v>0</v>
      </c>
      <c r="BL2449">
        <v>0</v>
      </c>
      <c r="BO2449">
        <v>0</v>
      </c>
      <c r="BP2449">
        <v>0</v>
      </c>
      <c r="BW2449" t="str">
        <f t="shared" ref="BW2449:BW2455" si="1353">"14:55:04.817"</f>
        <v>14:55:04.817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285</v>
      </c>
      <c r="CR2449">
        <v>0</v>
      </c>
      <c r="CW2449">
        <v>8866289</v>
      </c>
      <c r="CY2449">
        <v>0</v>
      </c>
      <c r="CZ2449">
        <v>0</v>
      </c>
      <c r="DA2449">
        <v>0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25">
      <c r="A2450" t="str">
        <f t="shared" si="1351"/>
        <v>06/05/2020 14:54:59.134</v>
      </c>
      <c r="C2450" t="str">
        <f t="shared" si="1327"/>
        <v>FFDFD3C0</v>
      </c>
      <c r="D2450" t="s">
        <v>134</v>
      </c>
      <c r="E2450">
        <v>7</v>
      </c>
      <c r="F2450">
        <v>2007</v>
      </c>
      <c r="G2450" t="s">
        <v>135</v>
      </c>
      <c r="J2450" t="s">
        <v>136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352"/>
        <v>14:55:04.813</v>
      </c>
      <c r="T2450" t="str">
        <f t="shared" si="1352"/>
        <v>14:55:04.813</v>
      </c>
      <c r="U2450" t="str">
        <f t="shared" si="1343"/>
        <v>ACC530</v>
      </c>
      <c r="V2450">
        <v>0</v>
      </c>
      <c r="W2450">
        <v>0</v>
      </c>
      <c r="X2450">
        <v>1</v>
      </c>
      <c r="Z2450">
        <v>0</v>
      </c>
      <c r="AA2450">
        <v>9</v>
      </c>
      <c r="AB2450">
        <v>3</v>
      </c>
      <c r="AC2450">
        <v>0</v>
      </c>
      <c r="AD2450">
        <v>9</v>
      </c>
      <c r="AE2450">
        <v>0</v>
      </c>
      <c r="AF2450">
        <v>3</v>
      </c>
      <c r="AG2450">
        <v>1</v>
      </c>
      <c r="AH2450">
        <v>0</v>
      </c>
      <c r="AI2450" t="s">
        <v>870</v>
      </c>
      <c r="AJ2450">
        <v>34.148125999999998</v>
      </c>
      <c r="AK2450" t="s">
        <v>871</v>
      </c>
      <c r="AL2450">
        <v>-117.05035700000001</v>
      </c>
      <c r="AM2450">
        <v>100</v>
      </c>
      <c r="AN2450">
        <v>7100</v>
      </c>
      <c r="AO2450" t="s">
        <v>118</v>
      </c>
      <c r="AP2450">
        <v>-58</v>
      </c>
      <c r="AQ2450">
        <v>-92</v>
      </c>
      <c r="AR2450">
        <v>-832</v>
      </c>
      <c r="AZ2450">
        <v>1200</v>
      </c>
      <c r="BA2450">
        <v>1</v>
      </c>
      <c r="BB2450" t="str">
        <f t="shared" si="1347"/>
        <v xml:space="preserve">N9217B  </v>
      </c>
      <c r="BC2450">
        <v>1</v>
      </c>
      <c r="BE2450">
        <v>0</v>
      </c>
      <c r="BF2450">
        <v>0</v>
      </c>
      <c r="BG2450">
        <v>0</v>
      </c>
      <c r="BH2450">
        <v>7050</v>
      </c>
      <c r="BI2450">
        <v>1</v>
      </c>
      <c r="BJ2450">
        <v>0</v>
      </c>
      <c r="BK2450">
        <v>0</v>
      </c>
      <c r="BL2450">
        <v>0</v>
      </c>
      <c r="BO2450">
        <v>0</v>
      </c>
      <c r="BP2450">
        <v>0</v>
      </c>
      <c r="BW2450" t="str">
        <f t="shared" si="1353"/>
        <v>14:55:04.817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285</v>
      </c>
      <c r="CR2450">
        <v>0</v>
      </c>
      <c r="CW2450">
        <v>8866289</v>
      </c>
      <c r="CY2450">
        <v>0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25">
      <c r="A2451" t="str">
        <f t="shared" si="1351"/>
        <v>06/05/2020 14:54:59.134</v>
      </c>
      <c r="C2451" t="str">
        <f t="shared" si="1327"/>
        <v>FFDFD3C0</v>
      </c>
      <c r="D2451" t="s">
        <v>151</v>
      </c>
      <c r="E2451">
        <v>9</v>
      </c>
      <c r="H2451">
        <v>226</v>
      </c>
      <c r="I2451" t="s">
        <v>152</v>
      </c>
      <c r="J2451" t="s">
        <v>150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352"/>
        <v>14:55:04.813</v>
      </c>
      <c r="T2451" t="str">
        <f t="shared" si="1352"/>
        <v>14:55:04.813</v>
      </c>
      <c r="U2451" t="str">
        <f t="shared" si="1343"/>
        <v>ACC530</v>
      </c>
      <c r="V2451">
        <v>0</v>
      </c>
      <c r="W2451">
        <v>0</v>
      </c>
      <c r="X2451">
        <v>1</v>
      </c>
      <c r="Z2451">
        <v>0</v>
      </c>
      <c r="AA2451">
        <v>9</v>
      </c>
      <c r="AB2451">
        <v>3</v>
      </c>
      <c r="AC2451">
        <v>0</v>
      </c>
      <c r="AD2451">
        <v>9</v>
      </c>
      <c r="AE2451">
        <v>0</v>
      </c>
      <c r="AF2451">
        <v>3</v>
      </c>
      <c r="AG2451">
        <v>1</v>
      </c>
      <c r="AH2451">
        <v>0</v>
      </c>
      <c r="AI2451" t="s">
        <v>870</v>
      </c>
      <c r="AJ2451">
        <v>34.148125999999998</v>
      </c>
      <c r="AK2451" t="s">
        <v>871</v>
      </c>
      <c r="AL2451">
        <v>-117.05035700000001</v>
      </c>
      <c r="AM2451">
        <v>100</v>
      </c>
      <c r="AN2451">
        <v>7100</v>
      </c>
      <c r="AO2451" t="s">
        <v>118</v>
      </c>
      <c r="AP2451">
        <v>-58</v>
      </c>
      <c r="AQ2451">
        <v>-92</v>
      </c>
      <c r="AR2451">
        <v>-832</v>
      </c>
      <c r="AZ2451">
        <v>1200</v>
      </c>
      <c r="BA2451">
        <v>1</v>
      </c>
      <c r="BB2451" t="str">
        <f t="shared" si="1347"/>
        <v xml:space="preserve">N9217B  </v>
      </c>
      <c r="BC2451">
        <v>1</v>
      </c>
      <c r="BE2451">
        <v>0</v>
      </c>
      <c r="BF2451">
        <v>0</v>
      </c>
      <c r="BG2451">
        <v>0</v>
      </c>
      <c r="BH2451">
        <v>7050</v>
      </c>
      <c r="BI2451">
        <v>1</v>
      </c>
      <c r="BJ2451">
        <v>0</v>
      </c>
      <c r="BK2451">
        <v>0</v>
      </c>
      <c r="BL2451">
        <v>0</v>
      </c>
      <c r="BO2451">
        <v>0</v>
      </c>
      <c r="BP2451">
        <v>0</v>
      </c>
      <c r="BW2451" t="str">
        <f t="shared" si="1353"/>
        <v>14:55:04.817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285</v>
      </c>
      <c r="CR2451">
        <v>0</v>
      </c>
      <c r="CW2451">
        <v>8866289</v>
      </c>
      <c r="CY2451">
        <v>0</v>
      </c>
      <c r="CZ2451">
        <v>0</v>
      </c>
      <c r="DA2451">
        <v>1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25">
      <c r="A2452" t="str">
        <f t="shared" si="1351"/>
        <v>06/05/2020 14:54:59.134</v>
      </c>
      <c r="C2452" t="str">
        <f t="shared" si="1327"/>
        <v>FFDFD3C0</v>
      </c>
      <c r="D2452" t="s">
        <v>141</v>
      </c>
      <c r="E2452">
        <v>20</v>
      </c>
      <c r="F2452">
        <v>1020</v>
      </c>
      <c r="G2452" t="s">
        <v>114</v>
      </c>
      <c r="J2452" t="s">
        <v>142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352"/>
        <v>14:55:04.813</v>
      </c>
      <c r="T2452" t="str">
        <f t="shared" si="1352"/>
        <v>14:55:04.813</v>
      </c>
      <c r="U2452" t="str">
        <f t="shared" si="1343"/>
        <v>ACC530</v>
      </c>
      <c r="V2452">
        <v>0</v>
      </c>
      <c r="W2452">
        <v>0</v>
      </c>
      <c r="X2452">
        <v>1</v>
      </c>
      <c r="Z2452">
        <v>0</v>
      </c>
      <c r="AA2452">
        <v>9</v>
      </c>
      <c r="AB2452">
        <v>3</v>
      </c>
      <c r="AC2452">
        <v>0</v>
      </c>
      <c r="AD2452">
        <v>9</v>
      </c>
      <c r="AE2452">
        <v>0</v>
      </c>
      <c r="AF2452">
        <v>3</v>
      </c>
      <c r="AG2452">
        <v>1</v>
      </c>
      <c r="AH2452">
        <v>0</v>
      </c>
      <c r="AI2452" t="s">
        <v>870</v>
      </c>
      <c r="AJ2452">
        <v>34.148125999999998</v>
      </c>
      <c r="AK2452" t="s">
        <v>871</v>
      </c>
      <c r="AL2452">
        <v>-117.05035700000001</v>
      </c>
      <c r="AM2452">
        <v>100</v>
      </c>
      <c r="AN2452">
        <v>7100</v>
      </c>
      <c r="AO2452" t="s">
        <v>118</v>
      </c>
      <c r="AP2452">
        <v>-58</v>
      </c>
      <c r="AQ2452">
        <v>-92</v>
      </c>
      <c r="AR2452">
        <v>-832</v>
      </c>
      <c r="AZ2452">
        <v>1200</v>
      </c>
      <c r="BA2452">
        <v>1</v>
      </c>
      <c r="BB2452" t="str">
        <f t="shared" si="1347"/>
        <v xml:space="preserve">N9217B  </v>
      </c>
      <c r="BC2452">
        <v>1</v>
      </c>
      <c r="BE2452">
        <v>0</v>
      </c>
      <c r="BF2452">
        <v>0</v>
      </c>
      <c r="BG2452">
        <v>0</v>
      </c>
      <c r="BH2452">
        <v>7050</v>
      </c>
      <c r="BI2452">
        <v>1</v>
      </c>
      <c r="BJ2452">
        <v>0</v>
      </c>
      <c r="BK2452">
        <v>0</v>
      </c>
      <c r="BL2452">
        <v>0</v>
      </c>
      <c r="BO2452">
        <v>0</v>
      </c>
      <c r="BP2452">
        <v>0</v>
      </c>
      <c r="BW2452" t="str">
        <f t="shared" si="1353"/>
        <v>14:55:04.817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285</v>
      </c>
      <c r="CR2452">
        <v>0</v>
      </c>
      <c r="CW2452">
        <v>8866289</v>
      </c>
      <c r="CY2452">
        <v>0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25">
      <c r="A2453" t="str">
        <f t="shared" si="1351"/>
        <v>06/05/2020 14:54:59.134</v>
      </c>
      <c r="C2453" t="str">
        <f t="shared" si="1327"/>
        <v>FFDFD3C0</v>
      </c>
      <c r="D2453" t="s">
        <v>113</v>
      </c>
      <c r="E2453">
        <v>3</v>
      </c>
      <c r="H2453">
        <v>166</v>
      </c>
      <c r="I2453" t="s">
        <v>114</v>
      </c>
      <c r="J2453" t="s">
        <v>115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352"/>
        <v>14:55:04.813</v>
      </c>
      <c r="T2453" t="str">
        <f t="shared" si="1352"/>
        <v>14:55:04.813</v>
      </c>
      <c r="U2453" t="str">
        <f t="shared" si="1343"/>
        <v>ACC530</v>
      </c>
      <c r="V2453">
        <v>0</v>
      </c>
      <c r="W2453">
        <v>0</v>
      </c>
      <c r="X2453">
        <v>1</v>
      </c>
      <c r="Z2453">
        <v>0</v>
      </c>
      <c r="AA2453">
        <v>9</v>
      </c>
      <c r="AB2453">
        <v>3</v>
      </c>
      <c r="AC2453">
        <v>0</v>
      </c>
      <c r="AD2453">
        <v>9</v>
      </c>
      <c r="AE2453">
        <v>0</v>
      </c>
      <c r="AF2453">
        <v>3</v>
      </c>
      <c r="AG2453">
        <v>1</v>
      </c>
      <c r="AH2453">
        <v>0</v>
      </c>
      <c r="AI2453" t="s">
        <v>870</v>
      </c>
      <c r="AJ2453">
        <v>34.148125999999998</v>
      </c>
      <c r="AK2453" t="s">
        <v>871</v>
      </c>
      <c r="AL2453">
        <v>-117.05035700000001</v>
      </c>
      <c r="AM2453">
        <v>100</v>
      </c>
      <c r="AN2453">
        <v>7100</v>
      </c>
      <c r="AO2453" t="s">
        <v>118</v>
      </c>
      <c r="AP2453">
        <v>-58</v>
      </c>
      <c r="AQ2453">
        <v>-92</v>
      </c>
      <c r="AR2453">
        <v>-832</v>
      </c>
      <c r="AZ2453">
        <v>1200</v>
      </c>
      <c r="BA2453">
        <v>1</v>
      </c>
      <c r="BB2453" t="str">
        <f t="shared" si="1347"/>
        <v xml:space="preserve">N9217B  </v>
      </c>
      <c r="BC2453">
        <v>1</v>
      </c>
      <c r="BE2453">
        <v>0</v>
      </c>
      <c r="BF2453">
        <v>0</v>
      </c>
      <c r="BG2453">
        <v>0</v>
      </c>
      <c r="BH2453">
        <v>7050</v>
      </c>
      <c r="BI2453">
        <v>1</v>
      </c>
      <c r="BJ2453">
        <v>0</v>
      </c>
      <c r="BK2453">
        <v>0</v>
      </c>
      <c r="BL2453">
        <v>0</v>
      </c>
      <c r="BO2453">
        <v>0</v>
      </c>
      <c r="BP2453">
        <v>0</v>
      </c>
      <c r="BW2453" t="str">
        <f t="shared" si="1353"/>
        <v>14:55:04.817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285</v>
      </c>
      <c r="CR2453">
        <v>0</v>
      </c>
      <c r="CW2453">
        <v>8866289</v>
      </c>
      <c r="CY2453">
        <v>0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25">
      <c r="A2454" t="str">
        <f t="shared" si="1351"/>
        <v>06/05/2020 14:54:59.134</v>
      </c>
      <c r="C2454" t="str">
        <f t="shared" si="1327"/>
        <v>FFDFD3C0</v>
      </c>
      <c r="D2454" t="s">
        <v>148</v>
      </c>
      <c r="E2454">
        <v>8</v>
      </c>
      <c r="H2454">
        <v>50</v>
      </c>
      <c r="I2454" t="s">
        <v>149</v>
      </c>
      <c r="J2454" t="s">
        <v>150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352"/>
        <v>14:55:04.813</v>
      </c>
      <c r="T2454" t="str">
        <f t="shared" si="1352"/>
        <v>14:55:04.813</v>
      </c>
      <c r="U2454" t="str">
        <f t="shared" si="1343"/>
        <v>ACC530</v>
      </c>
      <c r="V2454">
        <v>0</v>
      </c>
      <c r="W2454">
        <v>0</v>
      </c>
      <c r="X2454">
        <v>1</v>
      </c>
      <c r="Z2454">
        <v>0</v>
      </c>
      <c r="AA2454">
        <v>9</v>
      </c>
      <c r="AB2454">
        <v>3</v>
      </c>
      <c r="AC2454">
        <v>0</v>
      </c>
      <c r="AD2454">
        <v>9</v>
      </c>
      <c r="AE2454">
        <v>0</v>
      </c>
      <c r="AF2454">
        <v>3</v>
      </c>
      <c r="AG2454">
        <v>1</v>
      </c>
      <c r="AH2454">
        <v>0</v>
      </c>
      <c r="AI2454" t="s">
        <v>870</v>
      </c>
      <c r="AJ2454">
        <v>34.148125999999998</v>
      </c>
      <c r="AK2454" t="s">
        <v>871</v>
      </c>
      <c r="AL2454">
        <v>-117.05035700000001</v>
      </c>
      <c r="AM2454">
        <v>100</v>
      </c>
      <c r="AN2454">
        <v>7100</v>
      </c>
      <c r="AO2454" t="s">
        <v>118</v>
      </c>
      <c r="AP2454">
        <v>-58</v>
      </c>
      <c r="AQ2454">
        <v>-92</v>
      </c>
      <c r="AR2454">
        <v>-832</v>
      </c>
      <c r="AZ2454">
        <v>1200</v>
      </c>
      <c r="BA2454">
        <v>1</v>
      </c>
      <c r="BB2454" t="str">
        <f t="shared" si="1347"/>
        <v xml:space="preserve">N9217B  </v>
      </c>
      <c r="BC2454">
        <v>1</v>
      </c>
      <c r="BE2454">
        <v>0</v>
      </c>
      <c r="BF2454">
        <v>0</v>
      </c>
      <c r="BG2454">
        <v>0</v>
      </c>
      <c r="BH2454">
        <v>7050</v>
      </c>
      <c r="BI2454">
        <v>1</v>
      </c>
      <c r="BJ2454">
        <v>0</v>
      </c>
      <c r="BK2454">
        <v>0</v>
      </c>
      <c r="BL2454">
        <v>0</v>
      </c>
      <c r="BO2454">
        <v>0</v>
      </c>
      <c r="BP2454">
        <v>0</v>
      </c>
      <c r="BW2454" t="str">
        <f t="shared" si="1353"/>
        <v>14:55:04.817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285</v>
      </c>
      <c r="CR2454">
        <v>0</v>
      </c>
      <c r="CW2454">
        <v>8866289</v>
      </c>
      <c r="CY2454">
        <v>0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25">
      <c r="A2455" t="str">
        <f t="shared" si="1351"/>
        <v>06/05/2020 14:54:59.134</v>
      </c>
      <c r="C2455" t="str">
        <f t="shared" si="1327"/>
        <v>FFDFD3C0</v>
      </c>
      <c r="D2455" t="s">
        <v>148</v>
      </c>
      <c r="E2455">
        <v>11</v>
      </c>
      <c r="H2455">
        <v>53</v>
      </c>
      <c r="I2455" t="s">
        <v>364</v>
      </c>
      <c r="J2455" t="s">
        <v>150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352"/>
        <v>14:55:04.813</v>
      </c>
      <c r="T2455" t="str">
        <f t="shared" si="1352"/>
        <v>14:55:04.813</v>
      </c>
      <c r="U2455" t="str">
        <f t="shared" si="1343"/>
        <v>ACC530</v>
      </c>
      <c r="V2455">
        <v>0</v>
      </c>
      <c r="W2455">
        <v>0</v>
      </c>
      <c r="X2455">
        <v>1</v>
      </c>
      <c r="Z2455">
        <v>0</v>
      </c>
      <c r="AA2455">
        <v>9</v>
      </c>
      <c r="AB2455">
        <v>3</v>
      </c>
      <c r="AC2455">
        <v>0</v>
      </c>
      <c r="AD2455">
        <v>9</v>
      </c>
      <c r="AE2455">
        <v>0</v>
      </c>
      <c r="AF2455">
        <v>3</v>
      </c>
      <c r="AG2455">
        <v>1</v>
      </c>
      <c r="AH2455">
        <v>0</v>
      </c>
      <c r="AI2455" t="s">
        <v>870</v>
      </c>
      <c r="AJ2455">
        <v>34.148125999999998</v>
      </c>
      <c r="AK2455" t="s">
        <v>871</v>
      </c>
      <c r="AL2455">
        <v>-117.05035700000001</v>
      </c>
      <c r="AM2455">
        <v>100</v>
      </c>
      <c r="AN2455">
        <v>7100</v>
      </c>
      <c r="AO2455" t="s">
        <v>118</v>
      </c>
      <c r="AP2455">
        <v>-58</v>
      </c>
      <c r="AQ2455">
        <v>-92</v>
      </c>
      <c r="AR2455">
        <v>-832</v>
      </c>
      <c r="AZ2455">
        <v>1200</v>
      </c>
      <c r="BA2455">
        <v>1</v>
      </c>
      <c r="BB2455" t="str">
        <f t="shared" si="1347"/>
        <v xml:space="preserve">N9217B  </v>
      </c>
      <c r="BC2455">
        <v>1</v>
      </c>
      <c r="BE2455">
        <v>0</v>
      </c>
      <c r="BF2455">
        <v>0</v>
      </c>
      <c r="BG2455">
        <v>0</v>
      </c>
      <c r="BH2455">
        <v>7050</v>
      </c>
      <c r="BI2455">
        <v>1</v>
      </c>
      <c r="BJ2455">
        <v>0</v>
      </c>
      <c r="BK2455">
        <v>0</v>
      </c>
      <c r="BL2455">
        <v>0</v>
      </c>
      <c r="BO2455">
        <v>0</v>
      </c>
      <c r="BP2455">
        <v>0</v>
      </c>
      <c r="BW2455" t="str">
        <f t="shared" si="1353"/>
        <v>14:55:04.817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285</v>
      </c>
      <c r="CR2455">
        <v>0</v>
      </c>
      <c r="CW2455">
        <v>8866289</v>
      </c>
      <c r="CY2455">
        <v>0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25">
      <c r="A2456" t="str">
        <f t="shared" ref="A2456:A2462" si="1354">"06/05/2020 14:55:00.148"</f>
        <v>06/05/2020 14:55:00.148</v>
      </c>
      <c r="C2456" t="str">
        <f t="shared" si="1327"/>
        <v>FFDFD3C0</v>
      </c>
      <c r="D2456" t="s">
        <v>151</v>
      </c>
      <c r="E2456">
        <v>8</v>
      </c>
      <c r="H2456">
        <v>225</v>
      </c>
      <c r="I2456" t="s">
        <v>353</v>
      </c>
      <c r="J2456" t="s">
        <v>150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ref="S2456:S2462" si="1355">"14:55:05.805"</f>
        <v>14:55:05.805</v>
      </c>
      <c r="T2456" t="str">
        <f t="shared" ref="T2456:T2462" si="1356">"14:55:05.405"</f>
        <v>14:55:05.405</v>
      </c>
      <c r="U2456" t="str">
        <f t="shared" si="1343"/>
        <v>ACC530</v>
      </c>
      <c r="V2456">
        <v>0</v>
      </c>
      <c r="W2456">
        <v>0</v>
      </c>
      <c r="X2456">
        <v>1</v>
      </c>
      <c r="Z2456">
        <v>0</v>
      </c>
      <c r="AA2456">
        <v>9</v>
      </c>
      <c r="AB2456">
        <v>3</v>
      </c>
      <c r="AC2456">
        <v>0</v>
      </c>
      <c r="AD2456">
        <v>9</v>
      </c>
      <c r="AE2456">
        <v>0</v>
      </c>
      <c r="AF2456">
        <v>3</v>
      </c>
      <c r="AG2456">
        <v>1</v>
      </c>
      <c r="AH2456">
        <v>0</v>
      </c>
      <c r="AI2456" t="s">
        <v>872</v>
      </c>
      <c r="AJ2456">
        <v>34.147696000000003</v>
      </c>
      <c r="AK2456" t="s">
        <v>873</v>
      </c>
      <c r="AL2456">
        <v>-117.050679</v>
      </c>
      <c r="AM2456">
        <v>100</v>
      </c>
      <c r="AN2456">
        <v>7100</v>
      </c>
      <c r="AO2456" t="s">
        <v>118</v>
      </c>
      <c r="AP2456">
        <v>-58</v>
      </c>
      <c r="AQ2456">
        <v>-92</v>
      </c>
      <c r="AR2456">
        <v>-832</v>
      </c>
      <c r="AZ2456">
        <v>1200</v>
      </c>
      <c r="BA2456">
        <v>1</v>
      </c>
      <c r="BB2456" t="str">
        <f t="shared" si="1347"/>
        <v xml:space="preserve">N9217B  </v>
      </c>
      <c r="BC2456">
        <v>1</v>
      </c>
      <c r="BE2456">
        <v>0</v>
      </c>
      <c r="BF2456">
        <v>0</v>
      </c>
      <c r="BG2456">
        <v>0</v>
      </c>
      <c r="BH2456">
        <v>7050</v>
      </c>
      <c r="BI2456">
        <v>1</v>
      </c>
      <c r="BJ2456">
        <v>0</v>
      </c>
      <c r="BK2456">
        <v>0</v>
      </c>
      <c r="BL2456">
        <v>0</v>
      </c>
      <c r="BO2456">
        <v>0</v>
      </c>
      <c r="BP2456">
        <v>0</v>
      </c>
      <c r="BW2456" t="str">
        <f t="shared" ref="BW2456:BW2462" si="1357">"14:55:05.807"</f>
        <v>14:55:05.807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285</v>
      </c>
      <c r="CR2456">
        <v>0</v>
      </c>
      <c r="CW2456">
        <v>8866383</v>
      </c>
      <c r="CY2456">
        <v>0</v>
      </c>
      <c r="CZ2456">
        <v>0</v>
      </c>
      <c r="DA2456">
        <v>0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25">
      <c r="A2457" t="str">
        <f t="shared" si="1354"/>
        <v>06/05/2020 14:55:00.148</v>
      </c>
      <c r="C2457" t="str">
        <f t="shared" si="1327"/>
        <v>FFDFD3C0</v>
      </c>
      <c r="D2457" t="s">
        <v>134</v>
      </c>
      <c r="E2457">
        <v>7</v>
      </c>
      <c r="F2457">
        <v>2007</v>
      </c>
      <c r="G2457" t="s">
        <v>135</v>
      </c>
      <c r="J2457" t="s">
        <v>136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355"/>
        <v>14:55:05.805</v>
      </c>
      <c r="T2457" t="str">
        <f t="shared" si="1356"/>
        <v>14:55:05.405</v>
      </c>
      <c r="U2457" t="str">
        <f t="shared" si="1343"/>
        <v>ACC530</v>
      </c>
      <c r="V2457">
        <v>0</v>
      </c>
      <c r="W2457">
        <v>0</v>
      </c>
      <c r="X2457">
        <v>1</v>
      </c>
      <c r="Z2457">
        <v>0</v>
      </c>
      <c r="AA2457">
        <v>9</v>
      </c>
      <c r="AB2457">
        <v>3</v>
      </c>
      <c r="AC2457">
        <v>0</v>
      </c>
      <c r="AD2457">
        <v>9</v>
      </c>
      <c r="AE2457">
        <v>0</v>
      </c>
      <c r="AF2457">
        <v>3</v>
      </c>
      <c r="AG2457">
        <v>1</v>
      </c>
      <c r="AH2457">
        <v>0</v>
      </c>
      <c r="AI2457" t="s">
        <v>872</v>
      </c>
      <c r="AJ2457">
        <v>34.147696000000003</v>
      </c>
      <c r="AK2457" t="s">
        <v>873</v>
      </c>
      <c r="AL2457">
        <v>-117.050679</v>
      </c>
      <c r="AM2457">
        <v>100</v>
      </c>
      <c r="AN2457">
        <v>7100</v>
      </c>
      <c r="AO2457" t="s">
        <v>118</v>
      </c>
      <c r="AP2457">
        <v>-58</v>
      </c>
      <c r="AQ2457">
        <v>-92</v>
      </c>
      <c r="AR2457">
        <v>-832</v>
      </c>
      <c r="AZ2457">
        <v>1200</v>
      </c>
      <c r="BA2457">
        <v>1</v>
      </c>
      <c r="BB2457" t="str">
        <f t="shared" si="1347"/>
        <v xml:space="preserve">N9217B  </v>
      </c>
      <c r="BC2457">
        <v>1</v>
      </c>
      <c r="BE2457">
        <v>0</v>
      </c>
      <c r="BF2457">
        <v>0</v>
      </c>
      <c r="BG2457">
        <v>0</v>
      </c>
      <c r="BH2457">
        <v>7050</v>
      </c>
      <c r="BI2457">
        <v>1</v>
      </c>
      <c r="BJ2457">
        <v>0</v>
      </c>
      <c r="BK2457">
        <v>0</v>
      </c>
      <c r="BL2457">
        <v>0</v>
      </c>
      <c r="BO2457">
        <v>0</v>
      </c>
      <c r="BP2457">
        <v>0</v>
      </c>
      <c r="BW2457" t="str">
        <f t="shared" si="1357"/>
        <v>14:55:05.807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285</v>
      </c>
      <c r="CR2457">
        <v>0</v>
      </c>
      <c r="CW2457">
        <v>8866383</v>
      </c>
      <c r="CY2457">
        <v>0</v>
      </c>
      <c r="CZ2457">
        <v>0</v>
      </c>
      <c r="DA2457">
        <v>1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25">
      <c r="A2458" t="str">
        <f t="shared" si="1354"/>
        <v>06/05/2020 14:55:00.148</v>
      </c>
      <c r="C2458" t="str">
        <f t="shared" si="1327"/>
        <v>FFDFD3C0</v>
      </c>
      <c r="D2458" t="s">
        <v>151</v>
      </c>
      <c r="E2458">
        <v>9</v>
      </c>
      <c r="H2458">
        <v>226</v>
      </c>
      <c r="I2458" t="s">
        <v>152</v>
      </c>
      <c r="J2458" t="s">
        <v>150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355"/>
        <v>14:55:05.805</v>
      </c>
      <c r="T2458" t="str">
        <f t="shared" si="1356"/>
        <v>14:55:05.405</v>
      </c>
      <c r="U2458" t="str">
        <f t="shared" si="1343"/>
        <v>ACC530</v>
      </c>
      <c r="V2458">
        <v>0</v>
      </c>
      <c r="W2458">
        <v>0</v>
      </c>
      <c r="X2458">
        <v>1</v>
      </c>
      <c r="Z2458">
        <v>0</v>
      </c>
      <c r="AA2458">
        <v>9</v>
      </c>
      <c r="AB2458">
        <v>3</v>
      </c>
      <c r="AC2458">
        <v>0</v>
      </c>
      <c r="AD2458">
        <v>9</v>
      </c>
      <c r="AE2458">
        <v>0</v>
      </c>
      <c r="AF2458">
        <v>3</v>
      </c>
      <c r="AG2458">
        <v>1</v>
      </c>
      <c r="AH2458">
        <v>0</v>
      </c>
      <c r="AI2458" t="s">
        <v>872</v>
      </c>
      <c r="AJ2458">
        <v>34.147696000000003</v>
      </c>
      <c r="AK2458" t="s">
        <v>873</v>
      </c>
      <c r="AL2458">
        <v>-117.050679</v>
      </c>
      <c r="AM2458">
        <v>100</v>
      </c>
      <c r="AN2458">
        <v>7100</v>
      </c>
      <c r="AO2458" t="s">
        <v>118</v>
      </c>
      <c r="AP2458">
        <v>-58</v>
      </c>
      <c r="AQ2458">
        <v>-92</v>
      </c>
      <c r="AR2458">
        <v>-832</v>
      </c>
      <c r="AZ2458">
        <v>1200</v>
      </c>
      <c r="BA2458">
        <v>1</v>
      </c>
      <c r="BB2458" t="str">
        <f t="shared" si="1347"/>
        <v xml:space="preserve">N9217B  </v>
      </c>
      <c r="BC2458">
        <v>1</v>
      </c>
      <c r="BE2458">
        <v>0</v>
      </c>
      <c r="BF2458">
        <v>0</v>
      </c>
      <c r="BG2458">
        <v>0</v>
      </c>
      <c r="BH2458">
        <v>7050</v>
      </c>
      <c r="BI2458">
        <v>1</v>
      </c>
      <c r="BJ2458">
        <v>0</v>
      </c>
      <c r="BK2458">
        <v>0</v>
      </c>
      <c r="BL2458">
        <v>0</v>
      </c>
      <c r="BO2458">
        <v>0</v>
      </c>
      <c r="BP2458">
        <v>0</v>
      </c>
      <c r="BW2458" t="str">
        <f t="shared" si="1357"/>
        <v>14:55:05.807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285</v>
      </c>
      <c r="CR2458">
        <v>0</v>
      </c>
      <c r="CW2458">
        <v>8866383</v>
      </c>
      <c r="CY2458">
        <v>0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25">
      <c r="A2459" t="str">
        <f t="shared" si="1354"/>
        <v>06/05/2020 14:55:00.148</v>
      </c>
      <c r="C2459" t="str">
        <f t="shared" si="1327"/>
        <v>FFDFD3C0</v>
      </c>
      <c r="D2459" t="s">
        <v>141</v>
      </c>
      <c r="E2459">
        <v>20</v>
      </c>
      <c r="F2459">
        <v>1020</v>
      </c>
      <c r="G2459" t="s">
        <v>114</v>
      </c>
      <c r="J2459" t="s">
        <v>142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355"/>
        <v>14:55:05.805</v>
      </c>
      <c r="T2459" t="str">
        <f t="shared" si="1356"/>
        <v>14:55:05.405</v>
      </c>
      <c r="U2459" t="str">
        <f t="shared" si="1343"/>
        <v>ACC530</v>
      </c>
      <c r="V2459">
        <v>0</v>
      </c>
      <c r="W2459">
        <v>0</v>
      </c>
      <c r="X2459">
        <v>1</v>
      </c>
      <c r="Z2459">
        <v>0</v>
      </c>
      <c r="AA2459">
        <v>9</v>
      </c>
      <c r="AB2459">
        <v>3</v>
      </c>
      <c r="AC2459">
        <v>0</v>
      </c>
      <c r="AD2459">
        <v>9</v>
      </c>
      <c r="AE2459">
        <v>0</v>
      </c>
      <c r="AF2459">
        <v>3</v>
      </c>
      <c r="AG2459">
        <v>1</v>
      </c>
      <c r="AH2459">
        <v>0</v>
      </c>
      <c r="AI2459" t="s">
        <v>872</v>
      </c>
      <c r="AJ2459">
        <v>34.147696000000003</v>
      </c>
      <c r="AK2459" t="s">
        <v>873</v>
      </c>
      <c r="AL2459">
        <v>-117.050679</v>
      </c>
      <c r="AM2459">
        <v>100</v>
      </c>
      <c r="AN2459">
        <v>7100</v>
      </c>
      <c r="AO2459" t="s">
        <v>118</v>
      </c>
      <c r="AP2459">
        <v>-58</v>
      </c>
      <c r="AQ2459">
        <v>-92</v>
      </c>
      <c r="AR2459">
        <v>-832</v>
      </c>
      <c r="AZ2459">
        <v>1200</v>
      </c>
      <c r="BA2459">
        <v>1</v>
      </c>
      <c r="BB2459" t="str">
        <f t="shared" si="1347"/>
        <v xml:space="preserve">N9217B  </v>
      </c>
      <c r="BC2459">
        <v>1</v>
      </c>
      <c r="BE2459">
        <v>0</v>
      </c>
      <c r="BF2459">
        <v>0</v>
      </c>
      <c r="BG2459">
        <v>0</v>
      </c>
      <c r="BH2459">
        <v>7050</v>
      </c>
      <c r="BI2459">
        <v>1</v>
      </c>
      <c r="BJ2459">
        <v>0</v>
      </c>
      <c r="BK2459">
        <v>0</v>
      </c>
      <c r="BL2459">
        <v>0</v>
      </c>
      <c r="BO2459">
        <v>0</v>
      </c>
      <c r="BP2459">
        <v>0</v>
      </c>
      <c r="BW2459" t="str">
        <f t="shared" si="1357"/>
        <v>14:55:05.807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285</v>
      </c>
      <c r="CR2459">
        <v>0</v>
      </c>
      <c r="CW2459">
        <v>8866383</v>
      </c>
      <c r="CY2459">
        <v>0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25">
      <c r="A2460" t="str">
        <f t="shared" si="1354"/>
        <v>06/05/2020 14:55:00.148</v>
      </c>
      <c r="C2460" t="str">
        <f t="shared" si="1327"/>
        <v>FFDFD3C0</v>
      </c>
      <c r="D2460" t="s">
        <v>113</v>
      </c>
      <c r="E2460">
        <v>3</v>
      </c>
      <c r="H2460">
        <v>166</v>
      </c>
      <c r="I2460" t="s">
        <v>114</v>
      </c>
      <c r="J2460" t="s">
        <v>115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355"/>
        <v>14:55:05.805</v>
      </c>
      <c r="T2460" t="str">
        <f t="shared" si="1356"/>
        <v>14:55:05.405</v>
      </c>
      <c r="U2460" t="str">
        <f t="shared" si="1343"/>
        <v>ACC530</v>
      </c>
      <c r="V2460">
        <v>0</v>
      </c>
      <c r="W2460">
        <v>0</v>
      </c>
      <c r="X2460">
        <v>1</v>
      </c>
      <c r="Z2460">
        <v>0</v>
      </c>
      <c r="AA2460">
        <v>9</v>
      </c>
      <c r="AB2460">
        <v>3</v>
      </c>
      <c r="AC2460">
        <v>0</v>
      </c>
      <c r="AD2460">
        <v>9</v>
      </c>
      <c r="AE2460">
        <v>0</v>
      </c>
      <c r="AF2460">
        <v>3</v>
      </c>
      <c r="AG2460">
        <v>1</v>
      </c>
      <c r="AH2460">
        <v>0</v>
      </c>
      <c r="AI2460" t="s">
        <v>872</v>
      </c>
      <c r="AJ2460">
        <v>34.147696000000003</v>
      </c>
      <c r="AK2460" t="s">
        <v>873</v>
      </c>
      <c r="AL2460">
        <v>-117.050679</v>
      </c>
      <c r="AM2460">
        <v>100</v>
      </c>
      <c r="AN2460">
        <v>7100</v>
      </c>
      <c r="AO2460" t="s">
        <v>118</v>
      </c>
      <c r="AP2460">
        <v>-58</v>
      </c>
      <c r="AQ2460">
        <v>-92</v>
      </c>
      <c r="AR2460">
        <v>-832</v>
      </c>
      <c r="AZ2460">
        <v>1200</v>
      </c>
      <c r="BA2460">
        <v>1</v>
      </c>
      <c r="BB2460" t="str">
        <f t="shared" si="1347"/>
        <v xml:space="preserve">N9217B  </v>
      </c>
      <c r="BC2460">
        <v>1</v>
      </c>
      <c r="BE2460">
        <v>0</v>
      </c>
      <c r="BF2460">
        <v>0</v>
      </c>
      <c r="BG2460">
        <v>0</v>
      </c>
      <c r="BH2460">
        <v>7050</v>
      </c>
      <c r="BI2460">
        <v>1</v>
      </c>
      <c r="BJ2460">
        <v>0</v>
      </c>
      <c r="BK2460">
        <v>0</v>
      </c>
      <c r="BL2460">
        <v>0</v>
      </c>
      <c r="BO2460">
        <v>0</v>
      </c>
      <c r="BP2460">
        <v>0</v>
      </c>
      <c r="BW2460" t="str">
        <f t="shared" si="1357"/>
        <v>14:55:05.807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285</v>
      </c>
      <c r="CR2460">
        <v>0</v>
      </c>
      <c r="CW2460">
        <v>8866383</v>
      </c>
      <c r="CY2460">
        <v>0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25">
      <c r="A2461" t="str">
        <f t="shared" si="1354"/>
        <v>06/05/2020 14:55:00.148</v>
      </c>
      <c r="C2461" t="str">
        <f t="shared" si="1327"/>
        <v>FFDFD3C0</v>
      </c>
      <c r="D2461" t="s">
        <v>148</v>
      </c>
      <c r="E2461">
        <v>8</v>
      </c>
      <c r="H2461">
        <v>50</v>
      </c>
      <c r="I2461" t="s">
        <v>149</v>
      </c>
      <c r="J2461" t="s">
        <v>150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355"/>
        <v>14:55:05.805</v>
      </c>
      <c r="T2461" t="str">
        <f t="shared" si="1356"/>
        <v>14:55:05.405</v>
      </c>
      <c r="U2461" t="str">
        <f t="shared" si="1343"/>
        <v>ACC530</v>
      </c>
      <c r="V2461">
        <v>0</v>
      </c>
      <c r="W2461">
        <v>0</v>
      </c>
      <c r="X2461">
        <v>1</v>
      </c>
      <c r="Z2461">
        <v>0</v>
      </c>
      <c r="AA2461">
        <v>9</v>
      </c>
      <c r="AB2461">
        <v>3</v>
      </c>
      <c r="AC2461">
        <v>0</v>
      </c>
      <c r="AD2461">
        <v>9</v>
      </c>
      <c r="AE2461">
        <v>0</v>
      </c>
      <c r="AF2461">
        <v>3</v>
      </c>
      <c r="AG2461">
        <v>1</v>
      </c>
      <c r="AH2461">
        <v>0</v>
      </c>
      <c r="AI2461" t="s">
        <v>872</v>
      </c>
      <c r="AJ2461">
        <v>34.147696000000003</v>
      </c>
      <c r="AK2461" t="s">
        <v>873</v>
      </c>
      <c r="AL2461">
        <v>-117.050679</v>
      </c>
      <c r="AM2461">
        <v>100</v>
      </c>
      <c r="AN2461">
        <v>7100</v>
      </c>
      <c r="AO2461" t="s">
        <v>118</v>
      </c>
      <c r="AP2461">
        <v>-58</v>
      </c>
      <c r="AQ2461">
        <v>-92</v>
      </c>
      <c r="AR2461">
        <v>-832</v>
      </c>
      <c r="AZ2461">
        <v>1200</v>
      </c>
      <c r="BA2461">
        <v>1</v>
      </c>
      <c r="BB2461" t="str">
        <f t="shared" si="1347"/>
        <v xml:space="preserve">N9217B  </v>
      </c>
      <c r="BC2461">
        <v>1</v>
      </c>
      <c r="BE2461">
        <v>0</v>
      </c>
      <c r="BF2461">
        <v>0</v>
      </c>
      <c r="BG2461">
        <v>0</v>
      </c>
      <c r="BH2461">
        <v>7050</v>
      </c>
      <c r="BI2461">
        <v>1</v>
      </c>
      <c r="BJ2461">
        <v>0</v>
      </c>
      <c r="BK2461">
        <v>0</v>
      </c>
      <c r="BL2461">
        <v>0</v>
      </c>
      <c r="BO2461">
        <v>0</v>
      </c>
      <c r="BP2461">
        <v>0</v>
      </c>
      <c r="BW2461" t="str">
        <f t="shared" si="1357"/>
        <v>14:55:05.807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285</v>
      </c>
      <c r="CR2461">
        <v>0</v>
      </c>
      <c r="CW2461">
        <v>8866383</v>
      </c>
      <c r="CY2461">
        <v>0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25">
      <c r="A2462" t="str">
        <f t="shared" si="1354"/>
        <v>06/05/2020 14:55:00.148</v>
      </c>
      <c r="C2462" t="str">
        <f t="shared" si="1327"/>
        <v>FFDFD3C0</v>
      </c>
      <c r="D2462" t="s">
        <v>148</v>
      </c>
      <c r="E2462">
        <v>11</v>
      </c>
      <c r="H2462">
        <v>53</v>
      </c>
      <c r="I2462" t="s">
        <v>364</v>
      </c>
      <c r="J2462" t="s">
        <v>150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355"/>
        <v>14:55:05.805</v>
      </c>
      <c r="T2462" t="str">
        <f t="shared" si="1356"/>
        <v>14:55:05.405</v>
      </c>
      <c r="U2462" t="str">
        <f t="shared" si="1343"/>
        <v>ACC530</v>
      </c>
      <c r="V2462">
        <v>0</v>
      </c>
      <c r="W2462">
        <v>0</v>
      </c>
      <c r="X2462">
        <v>1</v>
      </c>
      <c r="Z2462">
        <v>0</v>
      </c>
      <c r="AA2462">
        <v>9</v>
      </c>
      <c r="AB2462">
        <v>3</v>
      </c>
      <c r="AC2462">
        <v>0</v>
      </c>
      <c r="AD2462">
        <v>9</v>
      </c>
      <c r="AE2462">
        <v>0</v>
      </c>
      <c r="AF2462">
        <v>3</v>
      </c>
      <c r="AG2462">
        <v>1</v>
      </c>
      <c r="AH2462">
        <v>0</v>
      </c>
      <c r="AI2462" t="s">
        <v>872</v>
      </c>
      <c r="AJ2462">
        <v>34.147696000000003</v>
      </c>
      <c r="AK2462" t="s">
        <v>873</v>
      </c>
      <c r="AL2462">
        <v>-117.050679</v>
      </c>
      <c r="AM2462">
        <v>100</v>
      </c>
      <c r="AN2462">
        <v>7100</v>
      </c>
      <c r="AO2462" t="s">
        <v>118</v>
      </c>
      <c r="AP2462">
        <v>-58</v>
      </c>
      <c r="AQ2462">
        <v>-92</v>
      </c>
      <c r="AR2462">
        <v>-832</v>
      </c>
      <c r="AZ2462">
        <v>1200</v>
      </c>
      <c r="BA2462">
        <v>1</v>
      </c>
      <c r="BB2462" t="str">
        <f t="shared" si="1347"/>
        <v xml:space="preserve">N9217B  </v>
      </c>
      <c r="BC2462">
        <v>1</v>
      </c>
      <c r="BE2462">
        <v>0</v>
      </c>
      <c r="BF2462">
        <v>0</v>
      </c>
      <c r="BG2462">
        <v>0</v>
      </c>
      <c r="BH2462">
        <v>7050</v>
      </c>
      <c r="BI2462">
        <v>1</v>
      </c>
      <c r="BJ2462">
        <v>0</v>
      </c>
      <c r="BK2462">
        <v>0</v>
      </c>
      <c r="BL2462">
        <v>0</v>
      </c>
      <c r="BO2462">
        <v>0</v>
      </c>
      <c r="BP2462">
        <v>0</v>
      </c>
      <c r="BW2462" t="str">
        <f t="shared" si="1357"/>
        <v>14:55:05.807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285</v>
      </c>
      <c r="CR2462">
        <v>0</v>
      </c>
      <c r="CW2462">
        <v>8866383</v>
      </c>
      <c r="CY2462">
        <v>0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25">
      <c r="A2463" t="str">
        <f t="shared" ref="A2463:A2469" si="1358">"06/05/2020 14:55:01.172"</f>
        <v>06/05/2020 14:55:01.172</v>
      </c>
      <c r="C2463" t="str">
        <f t="shared" si="1327"/>
        <v>FFDFD3C0</v>
      </c>
      <c r="D2463" t="s">
        <v>141</v>
      </c>
      <c r="E2463">
        <v>20</v>
      </c>
      <c r="F2463">
        <v>1020</v>
      </c>
      <c r="G2463" t="s">
        <v>114</v>
      </c>
      <c r="J2463" t="s">
        <v>142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ref="S2463:S2469" si="1359">"14:55:06.820"</f>
        <v>14:55:06.820</v>
      </c>
      <c r="T2463" t="str">
        <f t="shared" ref="T2463:T2469" si="1360">"14:55:06.320"</f>
        <v>14:55:06.320</v>
      </c>
      <c r="U2463" t="str">
        <f t="shared" si="1343"/>
        <v>ACC530</v>
      </c>
      <c r="V2463">
        <v>0</v>
      </c>
      <c r="W2463">
        <v>0</v>
      </c>
      <c r="X2463">
        <v>1</v>
      </c>
      <c r="Z2463">
        <v>0</v>
      </c>
      <c r="AA2463">
        <v>9</v>
      </c>
      <c r="AB2463">
        <v>3</v>
      </c>
      <c r="AC2463">
        <v>0</v>
      </c>
      <c r="AD2463">
        <v>9</v>
      </c>
      <c r="AE2463">
        <v>0</v>
      </c>
      <c r="AF2463">
        <v>3</v>
      </c>
      <c r="AG2463">
        <v>1</v>
      </c>
      <c r="AH2463">
        <v>0</v>
      </c>
      <c r="AI2463" t="s">
        <v>874</v>
      </c>
      <c r="AJ2463">
        <v>34.147246000000003</v>
      </c>
      <c r="AK2463" t="s">
        <v>875</v>
      </c>
      <c r="AL2463">
        <v>-117.051022</v>
      </c>
      <c r="AM2463">
        <v>100</v>
      </c>
      <c r="AN2463">
        <v>7100</v>
      </c>
      <c r="AO2463" t="s">
        <v>118</v>
      </c>
      <c r="AP2463">
        <v>-57</v>
      </c>
      <c r="AQ2463">
        <v>-92</v>
      </c>
      <c r="AR2463">
        <v>-896</v>
      </c>
      <c r="AZ2463">
        <v>1200</v>
      </c>
      <c r="BA2463">
        <v>1</v>
      </c>
      <c r="BB2463" t="str">
        <f t="shared" si="1347"/>
        <v xml:space="preserve">N9217B  </v>
      </c>
      <c r="BC2463">
        <v>1</v>
      </c>
      <c r="BE2463">
        <v>0</v>
      </c>
      <c r="BF2463">
        <v>0</v>
      </c>
      <c r="BG2463">
        <v>0</v>
      </c>
      <c r="BH2463">
        <v>7025</v>
      </c>
      <c r="BI2463">
        <v>1</v>
      </c>
      <c r="BJ2463">
        <v>0</v>
      </c>
      <c r="BK2463">
        <v>0</v>
      </c>
      <c r="BL2463">
        <v>0</v>
      </c>
      <c r="BO2463">
        <v>0</v>
      </c>
      <c r="BP2463">
        <v>0</v>
      </c>
      <c r="BW2463" t="str">
        <f t="shared" ref="BW2463:BW2469" si="1361">"14:55:06.827"</f>
        <v>14:55:06.827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285</v>
      </c>
      <c r="CR2463">
        <v>0</v>
      </c>
      <c r="CW2463">
        <v>8866479</v>
      </c>
      <c r="CY2463">
        <v>0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25">
      <c r="A2464" t="str">
        <f t="shared" si="1358"/>
        <v>06/05/2020 14:55:01.172</v>
      </c>
      <c r="C2464" t="str">
        <f t="shared" si="1327"/>
        <v>FFDFD3C0</v>
      </c>
      <c r="D2464" t="s">
        <v>151</v>
      </c>
      <c r="E2464">
        <v>9</v>
      </c>
      <c r="H2464">
        <v>226</v>
      </c>
      <c r="I2464" t="s">
        <v>152</v>
      </c>
      <c r="J2464" t="s">
        <v>150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359"/>
        <v>14:55:06.820</v>
      </c>
      <c r="T2464" t="str">
        <f t="shared" si="1360"/>
        <v>14:55:06.320</v>
      </c>
      <c r="U2464" t="str">
        <f t="shared" si="1343"/>
        <v>ACC530</v>
      </c>
      <c r="V2464">
        <v>0</v>
      </c>
      <c r="W2464">
        <v>0</v>
      </c>
      <c r="X2464">
        <v>1</v>
      </c>
      <c r="Z2464">
        <v>0</v>
      </c>
      <c r="AA2464">
        <v>9</v>
      </c>
      <c r="AB2464">
        <v>3</v>
      </c>
      <c r="AC2464">
        <v>0</v>
      </c>
      <c r="AD2464">
        <v>9</v>
      </c>
      <c r="AE2464">
        <v>0</v>
      </c>
      <c r="AF2464">
        <v>3</v>
      </c>
      <c r="AG2464">
        <v>1</v>
      </c>
      <c r="AH2464">
        <v>0</v>
      </c>
      <c r="AI2464" t="s">
        <v>874</v>
      </c>
      <c r="AJ2464">
        <v>34.147246000000003</v>
      </c>
      <c r="AK2464" t="s">
        <v>875</v>
      </c>
      <c r="AL2464">
        <v>-117.051022</v>
      </c>
      <c r="AM2464">
        <v>100</v>
      </c>
      <c r="AN2464">
        <v>7100</v>
      </c>
      <c r="AO2464" t="s">
        <v>118</v>
      </c>
      <c r="AP2464">
        <v>-57</v>
      </c>
      <c r="AQ2464">
        <v>-92</v>
      </c>
      <c r="AR2464">
        <v>-896</v>
      </c>
      <c r="AZ2464">
        <v>1200</v>
      </c>
      <c r="BA2464">
        <v>1</v>
      </c>
      <c r="BB2464" t="str">
        <f t="shared" si="1347"/>
        <v xml:space="preserve">N9217B  </v>
      </c>
      <c r="BC2464">
        <v>1</v>
      </c>
      <c r="BE2464">
        <v>0</v>
      </c>
      <c r="BF2464">
        <v>0</v>
      </c>
      <c r="BG2464">
        <v>0</v>
      </c>
      <c r="BH2464">
        <v>7025</v>
      </c>
      <c r="BI2464">
        <v>1</v>
      </c>
      <c r="BJ2464">
        <v>0</v>
      </c>
      <c r="BK2464">
        <v>0</v>
      </c>
      <c r="BL2464">
        <v>0</v>
      </c>
      <c r="BO2464">
        <v>0</v>
      </c>
      <c r="BP2464">
        <v>0</v>
      </c>
      <c r="BW2464" t="str">
        <f t="shared" si="1361"/>
        <v>14:55:06.827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285</v>
      </c>
      <c r="CR2464">
        <v>0</v>
      </c>
      <c r="CW2464">
        <v>8866479</v>
      </c>
      <c r="CY2464">
        <v>0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25">
      <c r="A2465" t="str">
        <f t="shared" si="1358"/>
        <v>06/05/2020 14:55:01.172</v>
      </c>
      <c r="C2465" t="str">
        <f t="shared" si="1327"/>
        <v>FFDFD3C0</v>
      </c>
      <c r="D2465" t="s">
        <v>113</v>
      </c>
      <c r="E2465">
        <v>3</v>
      </c>
      <c r="H2465">
        <v>166</v>
      </c>
      <c r="I2465" t="s">
        <v>114</v>
      </c>
      <c r="J2465" t="s">
        <v>115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359"/>
        <v>14:55:06.820</v>
      </c>
      <c r="T2465" t="str">
        <f t="shared" si="1360"/>
        <v>14:55:06.320</v>
      </c>
      <c r="U2465" t="str">
        <f t="shared" si="1343"/>
        <v>ACC530</v>
      </c>
      <c r="V2465">
        <v>0</v>
      </c>
      <c r="W2465">
        <v>0</v>
      </c>
      <c r="X2465">
        <v>1</v>
      </c>
      <c r="Z2465">
        <v>0</v>
      </c>
      <c r="AA2465">
        <v>9</v>
      </c>
      <c r="AB2465">
        <v>3</v>
      </c>
      <c r="AC2465">
        <v>0</v>
      </c>
      <c r="AD2465">
        <v>9</v>
      </c>
      <c r="AE2465">
        <v>0</v>
      </c>
      <c r="AF2465">
        <v>3</v>
      </c>
      <c r="AG2465">
        <v>1</v>
      </c>
      <c r="AH2465">
        <v>0</v>
      </c>
      <c r="AI2465" t="s">
        <v>874</v>
      </c>
      <c r="AJ2465">
        <v>34.147246000000003</v>
      </c>
      <c r="AK2465" t="s">
        <v>875</v>
      </c>
      <c r="AL2465">
        <v>-117.051022</v>
      </c>
      <c r="AM2465">
        <v>100</v>
      </c>
      <c r="AN2465">
        <v>7100</v>
      </c>
      <c r="AO2465" t="s">
        <v>118</v>
      </c>
      <c r="AP2465">
        <v>-57</v>
      </c>
      <c r="AQ2465">
        <v>-92</v>
      </c>
      <c r="AR2465">
        <v>-896</v>
      </c>
      <c r="AZ2465">
        <v>1200</v>
      </c>
      <c r="BA2465">
        <v>1</v>
      </c>
      <c r="BB2465" t="str">
        <f t="shared" si="1347"/>
        <v xml:space="preserve">N9217B  </v>
      </c>
      <c r="BC2465">
        <v>1</v>
      </c>
      <c r="BE2465">
        <v>0</v>
      </c>
      <c r="BF2465">
        <v>0</v>
      </c>
      <c r="BG2465">
        <v>0</v>
      </c>
      <c r="BH2465">
        <v>7025</v>
      </c>
      <c r="BI2465">
        <v>1</v>
      </c>
      <c r="BJ2465">
        <v>0</v>
      </c>
      <c r="BK2465">
        <v>0</v>
      </c>
      <c r="BL2465">
        <v>0</v>
      </c>
      <c r="BO2465">
        <v>0</v>
      </c>
      <c r="BP2465">
        <v>0</v>
      </c>
      <c r="BW2465" t="str">
        <f t="shared" si="1361"/>
        <v>14:55:06.827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285</v>
      </c>
      <c r="CR2465">
        <v>0</v>
      </c>
      <c r="CW2465">
        <v>8866479</v>
      </c>
      <c r="CY2465">
        <v>0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25">
      <c r="A2466" t="str">
        <f t="shared" si="1358"/>
        <v>06/05/2020 14:55:01.172</v>
      </c>
      <c r="C2466" t="str">
        <f t="shared" si="1327"/>
        <v>FFDFD3C0</v>
      </c>
      <c r="D2466" t="s">
        <v>148</v>
      </c>
      <c r="E2466">
        <v>8</v>
      </c>
      <c r="H2466">
        <v>50</v>
      </c>
      <c r="I2466" t="s">
        <v>149</v>
      </c>
      <c r="J2466" t="s">
        <v>150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359"/>
        <v>14:55:06.820</v>
      </c>
      <c r="T2466" t="str">
        <f t="shared" si="1360"/>
        <v>14:55:06.320</v>
      </c>
      <c r="U2466" t="str">
        <f t="shared" si="1343"/>
        <v>ACC530</v>
      </c>
      <c r="V2466">
        <v>0</v>
      </c>
      <c r="W2466">
        <v>0</v>
      </c>
      <c r="X2466">
        <v>1</v>
      </c>
      <c r="Z2466">
        <v>0</v>
      </c>
      <c r="AA2466">
        <v>9</v>
      </c>
      <c r="AB2466">
        <v>3</v>
      </c>
      <c r="AC2466">
        <v>0</v>
      </c>
      <c r="AD2466">
        <v>9</v>
      </c>
      <c r="AE2466">
        <v>0</v>
      </c>
      <c r="AF2466">
        <v>3</v>
      </c>
      <c r="AG2466">
        <v>1</v>
      </c>
      <c r="AH2466">
        <v>0</v>
      </c>
      <c r="AI2466" t="s">
        <v>874</v>
      </c>
      <c r="AJ2466">
        <v>34.147246000000003</v>
      </c>
      <c r="AK2466" t="s">
        <v>875</v>
      </c>
      <c r="AL2466">
        <v>-117.051022</v>
      </c>
      <c r="AM2466">
        <v>100</v>
      </c>
      <c r="AN2466">
        <v>7100</v>
      </c>
      <c r="AO2466" t="s">
        <v>118</v>
      </c>
      <c r="AP2466">
        <v>-57</v>
      </c>
      <c r="AQ2466">
        <v>-92</v>
      </c>
      <c r="AR2466">
        <v>-896</v>
      </c>
      <c r="AZ2466">
        <v>1200</v>
      </c>
      <c r="BA2466">
        <v>1</v>
      </c>
      <c r="BB2466" t="str">
        <f t="shared" si="1347"/>
        <v xml:space="preserve">N9217B  </v>
      </c>
      <c r="BC2466">
        <v>1</v>
      </c>
      <c r="BE2466">
        <v>0</v>
      </c>
      <c r="BF2466">
        <v>0</v>
      </c>
      <c r="BG2466">
        <v>0</v>
      </c>
      <c r="BH2466">
        <v>7025</v>
      </c>
      <c r="BI2466">
        <v>1</v>
      </c>
      <c r="BJ2466">
        <v>0</v>
      </c>
      <c r="BK2466">
        <v>0</v>
      </c>
      <c r="BL2466">
        <v>0</v>
      </c>
      <c r="BO2466">
        <v>0</v>
      </c>
      <c r="BP2466">
        <v>0</v>
      </c>
      <c r="BW2466" t="str">
        <f t="shared" si="1361"/>
        <v>14:55:06.827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285</v>
      </c>
      <c r="CR2466">
        <v>0</v>
      </c>
      <c r="CW2466">
        <v>8866479</v>
      </c>
      <c r="CY2466">
        <v>0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25">
      <c r="A2467" t="str">
        <f t="shared" si="1358"/>
        <v>06/05/2020 14:55:01.172</v>
      </c>
      <c r="C2467" t="str">
        <f t="shared" ref="C2467:C2530" si="1362">"FFDFD3C0"</f>
        <v>FFDFD3C0</v>
      </c>
      <c r="D2467" t="s">
        <v>148</v>
      </c>
      <c r="E2467">
        <v>11</v>
      </c>
      <c r="H2467">
        <v>53</v>
      </c>
      <c r="I2467" t="s">
        <v>364</v>
      </c>
      <c r="J2467" t="s">
        <v>150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359"/>
        <v>14:55:06.820</v>
      </c>
      <c r="T2467" t="str">
        <f t="shared" si="1360"/>
        <v>14:55:06.320</v>
      </c>
      <c r="U2467" t="str">
        <f t="shared" si="1343"/>
        <v>ACC530</v>
      </c>
      <c r="V2467">
        <v>0</v>
      </c>
      <c r="W2467">
        <v>0</v>
      </c>
      <c r="X2467">
        <v>1</v>
      </c>
      <c r="Z2467">
        <v>0</v>
      </c>
      <c r="AA2467">
        <v>9</v>
      </c>
      <c r="AB2467">
        <v>3</v>
      </c>
      <c r="AC2467">
        <v>0</v>
      </c>
      <c r="AD2467">
        <v>9</v>
      </c>
      <c r="AE2467">
        <v>0</v>
      </c>
      <c r="AF2467">
        <v>3</v>
      </c>
      <c r="AG2467">
        <v>1</v>
      </c>
      <c r="AH2467">
        <v>0</v>
      </c>
      <c r="AI2467" t="s">
        <v>874</v>
      </c>
      <c r="AJ2467">
        <v>34.147246000000003</v>
      </c>
      <c r="AK2467" t="s">
        <v>875</v>
      </c>
      <c r="AL2467">
        <v>-117.051022</v>
      </c>
      <c r="AM2467">
        <v>100</v>
      </c>
      <c r="AN2467">
        <v>7100</v>
      </c>
      <c r="AO2467" t="s">
        <v>118</v>
      </c>
      <c r="AP2467">
        <v>-57</v>
      </c>
      <c r="AQ2467">
        <v>-92</v>
      </c>
      <c r="AR2467">
        <v>-896</v>
      </c>
      <c r="AZ2467">
        <v>1200</v>
      </c>
      <c r="BA2467">
        <v>1</v>
      </c>
      <c r="BB2467" t="str">
        <f t="shared" si="1347"/>
        <v xml:space="preserve">N9217B  </v>
      </c>
      <c r="BC2467">
        <v>1</v>
      </c>
      <c r="BE2467">
        <v>0</v>
      </c>
      <c r="BF2467">
        <v>0</v>
      </c>
      <c r="BG2467">
        <v>0</v>
      </c>
      <c r="BH2467">
        <v>7025</v>
      </c>
      <c r="BI2467">
        <v>1</v>
      </c>
      <c r="BJ2467">
        <v>0</v>
      </c>
      <c r="BK2467">
        <v>0</v>
      </c>
      <c r="BL2467">
        <v>0</v>
      </c>
      <c r="BO2467">
        <v>0</v>
      </c>
      <c r="BP2467">
        <v>0</v>
      </c>
      <c r="BW2467" t="str">
        <f t="shared" si="1361"/>
        <v>14:55:06.827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285</v>
      </c>
      <c r="CR2467">
        <v>0</v>
      </c>
      <c r="CW2467">
        <v>8866479</v>
      </c>
      <c r="CY2467">
        <v>0</v>
      </c>
      <c r="CZ2467">
        <v>0</v>
      </c>
      <c r="DA2467">
        <v>1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25">
      <c r="A2468" t="str">
        <f t="shared" si="1358"/>
        <v>06/05/2020 14:55:01.172</v>
      </c>
      <c r="C2468" t="str">
        <f t="shared" si="1362"/>
        <v>FFDFD3C0</v>
      </c>
      <c r="D2468" t="s">
        <v>151</v>
      </c>
      <c r="E2468">
        <v>8</v>
      </c>
      <c r="H2468">
        <v>225</v>
      </c>
      <c r="I2468" t="s">
        <v>353</v>
      </c>
      <c r="J2468" t="s">
        <v>150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359"/>
        <v>14:55:06.820</v>
      </c>
      <c r="T2468" t="str">
        <f t="shared" si="1360"/>
        <v>14:55:06.320</v>
      </c>
      <c r="U2468" t="str">
        <f t="shared" si="1343"/>
        <v>ACC530</v>
      </c>
      <c r="V2468">
        <v>0</v>
      </c>
      <c r="W2468">
        <v>0</v>
      </c>
      <c r="X2468">
        <v>1</v>
      </c>
      <c r="Z2468">
        <v>0</v>
      </c>
      <c r="AA2468">
        <v>9</v>
      </c>
      <c r="AB2468">
        <v>3</v>
      </c>
      <c r="AC2468">
        <v>0</v>
      </c>
      <c r="AD2468">
        <v>9</v>
      </c>
      <c r="AE2468">
        <v>0</v>
      </c>
      <c r="AF2468">
        <v>3</v>
      </c>
      <c r="AG2468">
        <v>1</v>
      </c>
      <c r="AH2468">
        <v>0</v>
      </c>
      <c r="AI2468" t="s">
        <v>874</v>
      </c>
      <c r="AJ2468">
        <v>34.147246000000003</v>
      </c>
      <c r="AK2468" t="s">
        <v>875</v>
      </c>
      <c r="AL2468">
        <v>-117.051022</v>
      </c>
      <c r="AM2468">
        <v>100</v>
      </c>
      <c r="AN2468">
        <v>7100</v>
      </c>
      <c r="AO2468" t="s">
        <v>118</v>
      </c>
      <c r="AP2468">
        <v>-57</v>
      </c>
      <c r="AQ2468">
        <v>-92</v>
      </c>
      <c r="AR2468">
        <v>-896</v>
      </c>
      <c r="AZ2468">
        <v>1200</v>
      </c>
      <c r="BA2468">
        <v>1</v>
      </c>
      <c r="BB2468" t="str">
        <f t="shared" si="1347"/>
        <v xml:space="preserve">N9217B  </v>
      </c>
      <c r="BC2468">
        <v>1</v>
      </c>
      <c r="BE2468">
        <v>0</v>
      </c>
      <c r="BF2468">
        <v>0</v>
      </c>
      <c r="BG2468">
        <v>0</v>
      </c>
      <c r="BH2468">
        <v>7025</v>
      </c>
      <c r="BI2468">
        <v>1</v>
      </c>
      <c r="BJ2468">
        <v>0</v>
      </c>
      <c r="BK2468">
        <v>0</v>
      </c>
      <c r="BL2468">
        <v>0</v>
      </c>
      <c r="BO2468">
        <v>0</v>
      </c>
      <c r="BP2468">
        <v>0</v>
      </c>
      <c r="BW2468" t="str">
        <f t="shared" si="1361"/>
        <v>14:55:06.827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285</v>
      </c>
      <c r="CR2468">
        <v>0</v>
      </c>
      <c r="CW2468">
        <v>8866479</v>
      </c>
      <c r="CY2468">
        <v>0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25">
      <c r="A2469" t="str">
        <f t="shared" si="1358"/>
        <v>06/05/2020 14:55:01.172</v>
      </c>
      <c r="C2469" t="str">
        <f t="shared" si="1362"/>
        <v>FFDFD3C0</v>
      </c>
      <c r="D2469" t="s">
        <v>134</v>
      </c>
      <c r="E2469">
        <v>7</v>
      </c>
      <c r="F2469">
        <v>2007</v>
      </c>
      <c r="G2469" t="s">
        <v>135</v>
      </c>
      <c r="J2469" t="s">
        <v>136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359"/>
        <v>14:55:06.820</v>
      </c>
      <c r="T2469" t="str">
        <f t="shared" si="1360"/>
        <v>14:55:06.320</v>
      </c>
      <c r="U2469" t="str">
        <f t="shared" si="1343"/>
        <v>ACC530</v>
      </c>
      <c r="V2469">
        <v>0</v>
      </c>
      <c r="W2469">
        <v>0</v>
      </c>
      <c r="X2469">
        <v>1</v>
      </c>
      <c r="Z2469">
        <v>0</v>
      </c>
      <c r="AA2469">
        <v>9</v>
      </c>
      <c r="AB2469">
        <v>3</v>
      </c>
      <c r="AC2469">
        <v>0</v>
      </c>
      <c r="AD2469">
        <v>9</v>
      </c>
      <c r="AE2469">
        <v>0</v>
      </c>
      <c r="AF2469">
        <v>3</v>
      </c>
      <c r="AG2469">
        <v>1</v>
      </c>
      <c r="AH2469">
        <v>0</v>
      </c>
      <c r="AI2469" t="s">
        <v>874</v>
      </c>
      <c r="AJ2469">
        <v>34.147246000000003</v>
      </c>
      <c r="AK2469" t="s">
        <v>875</v>
      </c>
      <c r="AL2469">
        <v>-117.051022</v>
      </c>
      <c r="AM2469">
        <v>100</v>
      </c>
      <c r="AN2469">
        <v>7100</v>
      </c>
      <c r="AO2469" t="s">
        <v>118</v>
      </c>
      <c r="AP2469">
        <v>-57</v>
      </c>
      <c r="AQ2469">
        <v>-92</v>
      </c>
      <c r="AR2469">
        <v>-896</v>
      </c>
      <c r="AZ2469">
        <v>1200</v>
      </c>
      <c r="BA2469">
        <v>1</v>
      </c>
      <c r="BB2469" t="str">
        <f t="shared" si="1347"/>
        <v xml:space="preserve">N9217B  </v>
      </c>
      <c r="BC2469">
        <v>1</v>
      </c>
      <c r="BE2469">
        <v>0</v>
      </c>
      <c r="BF2469">
        <v>0</v>
      </c>
      <c r="BG2469">
        <v>0</v>
      </c>
      <c r="BH2469">
        <v>7025</v>
      </c>
      <c r="BI2469">
        <v>1</v>
      </c>
      <c r="BJ2469">
        <v>0</v>
      </c>
      <c r="BK2469">
        <v>0</v>
      </c>
      <c r="BL2469">
        <v>0</v>
      </c>
      <c r="BO2469">
        <v>0</v>
      </c>
      <c r="BP2469">
        <v>0</v>
      </c>
      <c r="BW2469" t="str">
        <f t="shared" si="1361"/>
        <v>14:55:06.827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285</v>
      </c>
      <c r="CR2469">
        <v>0</v>
      </c>
      <c r="CW2469">
        <v>8866479</v>
      </c>
      <c r="CY2469">
        <v>0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25">
      <c r="A2470" t="str">
        <f t="shared" ref="A2470:A2476" si="1363">"06/05/2020 14:55:02.198"</f>
        <v>06/05/2020 14:55:02.198</v>
      </c>
      <c r="C2470" t="str">
        <f t="shared" si="1362"/>
        <v>FFDFD3C0</v>
      </c>
      <c r="D2470" t="s">
        <v>113</v>
      </c>
      <c r="E2470">
        <v>3</v>
      </c>
      <c r="H2470">
        <v>166</v>
      </c>
      <c r="I2470" t="s">
        <v>114</v>
      </c>
      <c r="J2470" t="s">
        <v>115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ref="S2470:S2476" si="1364">"14:55:07.875"</f>
        <v>14:55:07.875</v>
      </c>
      <c r="T2470" t="str">
        <f t="shared" ref="T2470:T2476" si="1365">"14:55:07.775"</f>
        <v>14:55:07.775</v>
      </c>
      <c r="U2470" t="str">
        <f t="shared" si="1343"/>
        <v>ACC530</v>
      </c>
      <c r="V2470">
        <v>0</v>
      </c>
      <c r="W2470">
        <v>0</v>
      </c>
      <c r="X2470">
        <v>1</v>
      </c>
      <c r="Z2470">
        <v>0</v>
      </c>
      <c r="AA2470">
        <v>9</v>
      </c>
      <c r="AB2470">
        <v>3</v>
      </c>
      <c r="AC2470">
        <v>0</v>
      </c>
      <c r="AD2470">
        <v>9</v>
      </c>
      <c r="AE2470">
        <v>0</v>
      </c>
      <c r="AF2470">
        <v>3</v>
      </c>
      <c r="AG2470">
        <v>1</v>
      </c>
      <c r="AH2470">
        <v>0</v>
      </c>
      <c r="AI2470" t="s">
        <v>876</v>
      </c>
      <c r="AJ2470">
        <v>34.146816999999999</v>
      </c>
      <c r="AK2470" t="s">
        <v>877</v>
      </c>
      <c r="AL2470">
        <v>-117.051365</v>
      </c>
      <c r="AM2470">
        <v>100</v>
      </c>
      <c r="AN2470">
        <v>7100</v>
      </c>
      <c r="AO2470" t="s">
        <v>118</v>
      </c>
      <c r="AP2470">
        <v>-57</v>
      </c>
      <c r="AQ2470">
        <v>-92</v>
      </c>
      <c r="AR2470">
        <v>-896</v>
      </c>
      <c r="AZ2470">
        <v>1200</v>
      </c>
      <c r="BA2470">
        <v>1</v>
      </c>
      <c r="BB2470" t="str">
        <f t="shared" si="1347"/>
        <v xml:space="preserve">N9217B  </v>
      </c>
      <c r="BC2470">
        <v>1</v>
      </c>
      <c r="BE2470">
        <v>0</v>
      </c>
      <c r="BF2470">
        <v>0</v>
      </c>
      <c r="BG2470">
        <v>0</v>
      </c>
      <c r="BH2470">
        <v>7025</v>
      </c>
      <c r="BI2470">
        <v>1</v>
      </c>
      <c r="BJ2470">
        <v>0</v>
      </c>
      <c r="BK2470">
        <v>0</v>
      </c>
      <c r="BL2470">
        <v>0</v>
      </c>
      <c r="BO2470">
        <v>0</v>
      </c>
      <c r="BP2470">
        <v>0</v>
      </c>
      <c r="BW2470" t="str">
        <f t="shared" ref="BW2470:BW2476" si="1366">"14:55:07.877"</f>
        <v>14:55:07.877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285</v>
      </c>
      <c r="CR2470">
        <v>0</v>
      </c>
      <c r="CW2470">
        <v>8866584</v>
      </c>
      <c r="CY2470">
        <v>0</v>
      </c>
      <c r="CZ2470">
        <v>0</v>
      </c>
      <c r="DA2470">
        <v>0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25">
      <c r="A2471" t="str">
        <f t="shared" si="1363"/>
        <v>06/05/2020 14:55:02.198</v>
      </c>
      <c r="C2471" t="str">
        <f t="shared" si="1362"/>
        <v>FFDFD3C0</v>
      </c>
      <c r="D2471" t="s">
        <v>148</v>
      </c>
      <c r="E2471">
        <v>8</v>
      </c>
      <c r="H2471">
        <v>50</v>
      </c>
      <c r="I2471" t="s">
        <v>149</v>
      </c>
      <c r="J2471" t="s">
        <v>150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364"/>
        <v>14:55:07.875</v>
      </c>
      <c r="T2471" t="str">
        <f t="shared" si="1365"/>
        <v>14:55:07.775</v>
      </c>
      <c r="U2471" t="str">
        <f t="shared" si="1343"/>
        <v>ACC530</v>
      </c>
      <c r="V2471">
        <v>0</v>
      </c>
      <c r="W2471">
        <v>0</v>
      </c>
      <c r="X2471">
        <v>1</v>
      </c>
      <c r="Z2471">
        <v>0</v>
      </c>
      <c r="AA2471">
        <v>9</v>
      </c>
      <c r="AB2471">
        <v>3</v>
      </c>
      <c r="AC2471">
        <v>0</v>
      </c>
      <c r="AD2471">
        <v>9</v>
      </c>
      <c r="AE2471">
        <v>0</v>
      </c>
      <c r="AF2471">
        <v>3</v>
      </c>
      <c r="AG2471">
        <v>1</v>
      </c>
      <c r="AH2471">
        <v>0</v>
      </c>
      <c r="AI2471" t="s">
        <v>876</v>
      </c>
      <c r="AJ2471">
        <v>34.146816999999999</v>
      </c>
      <c r="AK2471" t="s">
        <v>877</v>
      </c>
      <c r="AL2471">
        <v>-117.051365</v>
      </c>
      <c r="AM2471">
        <v>100</v>
      </c>
      <c r="AN2471">
        <v>7100</v>
      </c>
      <c r="AO2471" t="s">
        <v>118</v>
      </c>
      <c r="AP2471">
        <v>-57</v>
      </c>
      <c r="AQ2471">
        <v>-92</v>
      </c>
      <c r="AR2471">
        <v>-896</v>
      </c>
      <c r="AZ2471">
        <v>1200</v>
      </c>
      <c r="BA2471">
        <v>1</v>
      </c>
      <c r="BB2471" t="str">
        <f t="shared" si="1347"/>
        <v xml:space="preserve">N9217B  </v>
      </c>
      <c r="BC2471">
        <v>1</v>
      </c>
      <c r="BE2471">
        <v>0</v>
      </c>
      <c r="BF2471">
        <v>0</v>
      </c>
      <c r="BG2471">
        <v>0</v>
      </c>
      <c r="BH2471">
        <v>7025</v>
      </c>
      <c r="BI2471">
        <v>1</v>
      </c>
      <c r="BJ2471">
        <v>0</v>
      </c>
      <c r="BK2471">
        <v>0</v>
      </c>
      <c r="BL2471">
        <v>0</v>
      </c>
      <c r="BO2471">
        <v>0</v>
      </c>
      <c r="BP2471">
        <v>0</v>
      </c>
      <c r="BW2471" t="str">
        <f t="shared" si="1366"/>
        <v>14:55:07.877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285</v>
      </c>
      <c r="CR2471">
        <v>0</v>
      </c>
      <c r="CW2471">
        <v>8866584</v>
      </c>
      <c r="CY2471">
        <v>0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25">
      <c r="A2472" t="str">
        <f t="shared" si="1363"/>
        <v>06/05/2020 14:55:02.198</v>
      </c>
      <c r="C2472" t="str">
        <f t="shared" si="1362"/>
        <v>FFDFD3C0</v>
      </c>
      <c r="D2472" t="s">
        <v>148</v>
      </c>
      <c r="E2472">
        <v>11</v>
      </c>
      <c r="H2472">
        <v>53</v>
      </c>
      <c r="I2472" t="s">
        <v>364</v>
      </c>
      <c r="J2472" t="s">
        <v>150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364"/>
        <v>14:55:07.875</v>
      </c>
      <c r="T2472" t="str">
        <f t="shared" si="1365"/>
        <v>14:55:07.775</v>
      </c>
      <c r="U2472" t="str">
        <f t="shared" si="1343"/>
        <v>ACC530</v>
      </c>
      <c r="V2472">
        <v>0</v>
      </c>
      <c r="W2472">
        <v>0</v>
      </c>
      <c r="X2472">
        <v>1</v>
      </c>
      <c r="Z2472">
        <v>0</v>
      </c>
      <c r="AA2472">
        <v>9</v>
      </c>
      <c r="AB2472">
        <v>3</v>
      </c>
      <c r="AC2472">
        <v>0</v>
      </c>
      <c r="AD2472">
        <v>9</v>
      </c>
      <c r="AE2472">
        <v>0</v>
      </c>
      <c r="AF2472">
        <v>3</v>
      </c>
      <c r="AG2472">
        <v>1</v>
      </c>
      <c r="AH2472">
        <v>0</v>
      </c>
      <c r="AI2472" t="s">
        <v>876</v>
      </c>
      <c r="AJ2472">
        <v>34.146816999999999</v>
      </c>
      <c r="AK2472" t="s">
        <v>877</v>
      </c>
      <c r="AL2472">
        <v>-117.051365</v>
      </c>
      <c r="AM2472">
        <v>100</v>
      </c>
      <c r="AN2472">
        <v>7100</v>
      </c>
      <c r="AO2472" t="s">
        <v>118</v>
      </c>
      <c r="AP2472">
        <v>-57</v>
      </c>
      <c r="AQ2472">
        <v>-92</v>
      </c>
      <c r="AR2472">
        <v>-896</v>
      </c>
      <c r="AZ2472">
        <v>1200</v>
      </c>
      <c r="BA2472">
        <v>1</v>
      </c>
      <c r="BB2472" t="str">
        <f t="shared" si="1347"/>
        <v xml:space="preserve">N9217B  </v>
      </c>
      <c r="BC2472">
        <v>1</v>
      </c>
      <c r="BE2472">
        <v>0</v>
      </c>
      <c r="BF2472">
        <v>0</v>
      </c>
      <c r="BG2472">
        <v>0</v>
      </c>
      <c r="BH2472">
        <v>7025</v>
      </c>
      <c r="BI2472">
        <v>1</v>
      </c>
      <c r="BJ2472">
        <v>0</v>
      </c>
      <c r="BK2472">
        <v>0</v>
      </c>
      <c r="BL2472">
        <v>0</v>
      </c>
      <c r="BO2472">
        <v>0</v>
      </c>
      <c r="BP2472">
        <v>0</v>
      </c>
      <c r="BW2472" t="str">
        <f t="shared" si="1366"/>
        <v>14:55:07.877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285</v>
      </c>
      <c r="CR2472">
        <v>0</v>
      </c>
      <c r="CW2472">
        <v>8866584</v>
      </c>
      <c r="CY2472">
        <v>0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25">
      <c r="A2473" t="str">
        <f t="shared" si="1363"/>
        <v>06/05/2020 14:55:02.198</v>
      </c>
      <c r="C2473" t="str">
        <f t="shared" si="1362"/>
        <v>FFDFD3C0</v>
      </c>
      <c r="D2473" t="s">
        <v>134</v>
      </c>
      <c r="E2473">
        <v>7</v>
      </c>
      <c r="F2473">
        <v>2007</v>
      </c>
      <c r="G2473" t="s">
        <v>135</v>
      </c>
      <c r="J2473" t="s">
        <v>136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364"/>
        <v>14:55:07.875</v>
      </c>
      <c r="T2473" t="str">
        <f t="shared" si="1365"/>
        <v>14:55:07.775</v>
      </c>
      <c r="U2473" t="str">
        <f t="shared" si="1343"/>
        <v>ACC530</v>
      </c>
      <c r="V2473">
        <v>0</v>
      </c>
      <c r="W2473">
        <v>0</v>
      </c>
      <c r="X2473">
        <v>1</v>
      </c>
      <c r="Z2473">
        <v>0</v>
      </c>
      <c r="AA2473">
        <v>9</v>
      </c>
      <c r="AB2473">
        <v>3</v>
      </c>
      <c r="AC2473">
        <v>0</v>
      </c>
      <c r="AD2473">
        <v>9</v>
      </c>
      <c r="AE2473">
        <v>0</v>
      </c>
      <c r="AF2473">
        <v>3</v>
      </c>
      <c r="AG2473">
        <v>1</v>
      </c>
      <c r="AH2473">
        <v>0</v>
      </c>
      <c r="AI2473" t="s">
        <v>876</v>
      </c>
      <c r="AJ2473">
        <v>34.146816999999999</v>
      </c>
      <c r="AK2473" t="s">
        <v>877</v>
      </c>
      <c r="AL2473">
        <v>-117.051365</v>
      </c>
      <c r="AM2473">
        <v>100</v>
      </c>
      <c r="AN2473">
        <v>7100</v>
      </c>
      <c r="AO2473" t="s">
        <v>118</v>
      </c>
      <c r="AP2473">
        <v>-57</v>
      </c>
      <c r="AQ2473">
        <v>-92</v>
      </c>
      <c r="AR2473">
        <v>-896</v>
      </c>
      <c r="AZ2473">
        <v>1200</v>
      </c>
      <c r="BA2473">
        <v>1</v>
      </c>
      <c r="BB2473" t="str">
        <f t="shared" si="1347"/>
        <v xml:space="preserve">N9217B  </v>
      </c>
      <c r="BC2473">
        <v>1</v>
      </c>
      <c r="BE2473">
        <v>0</v>
      </c>
      <c r="BF2473">
        <v>0</v>
      </c>
      <c r="BG2473">
        <v>0</v>
      </c>
      <c r="BH2473">
        <v>7025</v>
      </c>
      <c r="BI2473">
        <v>1</v>
      </c>
      <c r="BJ2473">
        <v>0</v>
      </c>
      <c r="BK2473">
        <v>0</v>
      </c>
      <c r="BL2473">
        <v>0</v>
      </c>
      <c r="BO2473">
        <v>0</v>
      </c>
      <c r="BP2473">
        <v>0</v>
      </c>
      <c r="BW2473" t="str">
        <f t="shared" si="1366"/>
        <v>14:55:07.877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285</v>
      </c>
      <c r="CR2473">
        <v>0</v>
      </c>
      <c r="CW2473">
        <v>8866584</v>
      </c>
      <c r="CY2473">
        <v>0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25">
      <c r="A2474" t="str">
        <f t="shared" si="1363"/>
        <v>06/05/2020 14:55:02.198</v>
      </c>
      <c r="C2474" t="str">
        <f t="shared" si="1362"/>
        <v>FFDFD3C0</v>
      </c>
      <c r="D2474" t="s">
        <v>151</v>
      </c>
      <c r="E2474">
        <v>8</v>
      </c>
      <c r="H2474">
        <v>225</v>
      </c>
      <c r="I2474" t="s">
        <v>353</v>
      </c>
      <c r="J2474" t="s">
        <v>150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364"/>
        <v>14:55:07.875</v>
      </c>
      <c r="T2474" t="str">
        <f t="shared" si="1365"/>
        <v>14:55:07.775</v>
      </c>
      <c r="U2474" t="str">
        <f t="shared" si="1343"/>
        <v>ACC530</v>
      </c>
      <c r="V2474">
        <v>0</v>
      </c>
      <c r="W2474">
        <v>0</v>
      </c>
      <c r="X2474">
        <v>1</v>
      </c>
      <c r="Z2474">
        <v>0</v>
      </c>
      <c r="AA2474">
        <v>9</v>
      </c>
      <c r="AB2474">
        <v>3</v>
      </c>
      <c r="AC2474">
        <v>0</v>
      </c>
      <c r="AD2474">
        <v>9</v>
      </c>
      <c r="AE2474">
        <v>0</v>
      </c>
      <c r="AF2474">
        <v>3</v>
      </c>
      <c r="AG2474">
        <v>1</v>
      </c>
      <c r="AH2474">
        <v>0</v>
      </c>
      <c r="AI2474" t="s">
        <v>876</v>
      </c>
      <c r="AJ2474">
        <v>34.146816999999999</v>
      </c>
      <c r="AK2474" t="s">
        <v>877</v>
      </c>
      <c r="AL2474">
        <v>-117.051365</v>
      </c>
      <c r="AM2474">
        <v>100</v>
      </c>
      <c r="AN2474">
        <v>7100</v>
      </c>
      <c r="AO2474" t="s">
        <v>118</v>
      </c>
      <c r="AP2474">
        <v>-57</v>
      </c>
      <c r="AQ2474">
        <v>-92</v>
      </c>
      <c r="AR2474">
        <v>-896</v>
      </c>
      <c r="AZ2474">
        <v>1200</v>
      </c>
      <c r="BA2474">
        <v>1</v>
      </c>
      <c r="BB2474" t="str">
        <f t="shared" si="1347"/>
        <v xml:space="preserve">N9217B  </v>
      </c>
      <c r="BC2474">
        <v>1</v>
      </c>
      <c r="BE2474">
        <v>0</v>
      </c>
      <c r="BF2474">
        <v>0</v>
      </c>
      <c r="BG2474">
        <v>0</v>
      </c>
      <c r="BH2474">
        <v>7025</v>
      </c>
      <c r="BI2474">
        <v>1</v>
      </c>
      <c r="BJ2474">
        <v>0</v>
      </c>
      <c r="BK2474">
        <v>0</v>
      </c>
      <c r="BL2474">
        <v>0</v>
      </c>
      <c r="BO2474">
        <v>0</v>
      </c>
      <c r="BP2474">
        <v>0</v>
      </c>
      <c r="BW2474" t="str">
        <f t="shared" si="1366"/>
        <v>14:55:07.877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285</v>
      </c>
      <c r="CR2474">
        <v>0</v>
      </c>
      <c r="CW2474">
        <v>8866584</v>
      </c>
      <c r="CY2474">
        <v>0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25">
      <c r="A2475" t="str">
        <f t="shared" si="1363"/>
        <v>06/05/2020 14:55:02.198</v>
      </c>
      <c r="C2475" t="str">
        <f t="shared" si="1362"/>
        <v>FFDFD3C0</v>
      </c>
      <c r="D2475" t="s">
        <v>141</v>
      </c>
      <c r="E2475">
        <v>20</v>
      </c>
      <c r="F2475">
        <v>1020</v>
      </c>
      <c r="G2475" t="s">
        <v>114</v>
      </c>
      <c r="J2475" t="s">
        <v>142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364"/>
        <v>14:55:07.875</v>
      </c>
      <c r="T2475" t="str">
        <f t="shared" si="1365"/>
        <v>14:55:07.775</v>
      </c>
      <c r="U2475" t="str">
        <f t="shared" si="1343"/>
        <v>ACC530</v>
      </c>
      <c r="V2475">
        <v>0</v>
      </c>
      <c r="W2475">
        <v>0</v>
      </c>
      <c r="X2475">
        <v>1</v>
      </c>
      <c r="Z2475">
        <v>0</v>
      </c>
      <c r="AA2475">
        <v>9</v>
      </c>
      <c r="AB2475">
        <v>3</v>
      </c>
      <c r="AC2475">
        <v>0</v>
      </c>
      <c r="AD2475">
        <v>9</v>
      </c>
      <c r="AE2475">
        <v>0</v>
      </c>
      <c r="AF2475">
        <v>3</v>
      </c>
      <c r="AG2475">
        <v>1</v>
      </c>
      <c r="AH2475">
        <v>0</v>
      </c>
      <c r="AI2475" t="s">
        <v>876</v>
      </c>
      <c r="AJ2475">
        <v>34.146816999999999</v>
      </c>
      <c r="AK2475" t="s">
        <v>877</v>
      </c>
      <c r="AL2475">
        <v>-117.051365</v>
      </c>
      <c r="AM2475">
        <v>100</v>
      </c>
      <c r="AN2475">
        <v>7100</v>
      </c>
      <c r="AO2475" t="s">
        <v>118</v>
      </c>
      <c r="AP2475">
        <v>-57</v>
      </c>
      <c r="AQ2475">
        <v>-92</v>
      </c>
      <c r="AR2475">
        <v>-896</v>
      </c>
      <c r="AZ2475">
        <v>1200</v>
      </c>
      <c r="BA2475">
        <v>1</v>
      </c>
      <c r="BB2475" t="str">
        <f t="shared" si="1347"/>
        <v xml:space="preserve">N9217B  </v>
      </c>
      <c r="BC2475">
        <v>1</v>
      </c>
      <c r="BE2475">
        <v>0</v>
      </c>
      <c r="BF2475">
        <v>0</v>
      </c>
      <c r="BG2475">
        <v>0</v>
      </c>
      <c r="BH2475">
        <v>7025</v>
      </c>
      <c r="BI2475">
        <v>1</v>
      </c>
      <c r="BJ2475">
        <v>0</v>
      </c>
      <c r="BK2475">
        <v>0</v>
      </c>
      <c r="BL2475">
        <v>0</v>
      </c>
      <c r="BO2475">
        <v>0</v>
      </c>
      <c r="BP2475">
        <v>0</v>
      </c>
      <c r="BW2475" t="str">
        <f t="shared" si="1366"/>
        <v>14:55:07.877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285</v>
      </c>
      <c r="CR2475">
        <v>0</v>
      </c>
      <c r="CW2475">
        <v>8866584</v>
      </c>
      <c r="CY2475">
        <v>0</v>
      </c>
      <c r="CZ2475">
        <v>0</v>
      </c>
      <c r="DA2475">
        <v>1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25">
      <c r="A2476" t="str">
        <f t="shared" si="1363"/>
        <v>06/05/2020 14:55:02.198</v>
      </c>
      <c r="C2476" t="str">
        <f t="shared" si="1362"/>
        <v>FFDFD3C0</v>
      </c>
      <c r="D2476" t="s">
        <v>151</v>
      </c>
      <c r="E2476">
        <v>9</v>
      </c>
      <c r="H2476">
        <v>226</v>
      </c>
      <c r="I2476" t="s">
        <v>152</v>
      </c>
      <c r="J2476" t="s">
        <v>150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364"/>
        <v>14:55:07.875</v>
      </c>
      <c r="T2476" t="str">
        <f t="shared" si="1365"/>
        <v>14:55:07.775</v>
      </c>
      <c r="U2476" t="str">
        <f t="shared" si="1343"/>
        <v>ACC530</v>
      </c>
      <c r="V2476">
        <v>0</v>
      </c>
      <c r="W2476">
        <v>0</v>
      </c>
      <c r="X2476">
        <v>1</v>
      </c>
      <c r="Z2476">
        <v>0</v>
      </c>
      <c r="AA2476">
        <v>9</v>
      </c>
      <c r="AB2476">
        <v>3</v>
      </c>
      <c r="AC2476">
        <v>0</v>
      </c>
      <c r="AD2476">
        <v>9</v>
      </c>
      <c r="AE2476">
        <v>0</v>
      </c>
      <c r="AF2476">
        <v>3</v>
      </c>
      <c r="AG2476">
        <v>1</v>
      </c>
      <c r="AH2476">
        <v>0</v>
      </c>
      <c r="AI2476" t="s">
        <v>876</v>
      </c>
      <c r="AJ2476">
        <v>34.146816999999999</v>
      </c>
      <c r="AK2476" t="s">
        <v>877</v>
      </c>
      <c r="AL2476">
        <v>-117.051365</v>
      </c>
      <c r="AM2476">
        <v>100</v>
      </c>
      <c r="AN2476">
        <v>7100</v>
      </c>
      <c r="AO2476" t="s">
        <v>118</v>
      </c>
      <c r="AP2476">
        <v>-57</v>
      </c>
      <c r="AQ2476">
        <v>-92</v>
      </c>
      <c r="AR2476">
        <v>-896</v>
      </c>
      <c r="AZ2476">
        <v>1200</v>
      </c>
      <c r="BA2476">
        <v>1</v>
      </c>
      <c r="BB2476" t="str">
        <f t="shared" si="1347"/>
        <v xml:space="preserve">N9217B  </v>
      </c>
      <c r="BC2476">
        <v>1</v>
      </c>
      <c r="BE2476">
        <v>0</v>
      </c>
      <c r="BF2476">
        <v>0</v>
      </c>
      <c r="BG2476">
        <v>0</v>
      </c>
      <c r="BH2476">
        <v>7025</v>
      </c>
      <c r="BI2476">
        <v>1</v>
      </c>
      <c r="BJ2476">
        <v>0</v>
      </c>
      <c r="BK2476">
        <v>0</v>
      </c>
      <c r="BL2476">
        <v>0</v>
      </c>
      <c r="BO2476">
        <v>0</v>
      </c>
      <c r="BP2476">
        <v>0</v>
      </c>
      <c r="BW2476" t="str">
        <f t="shared" si="1366"/>
        <v>14:55:07.877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285</v>
      </c>
      <c r="CR2476">
        <v>0</v>
      </c>
      <c r="CW2476">
        <v>8866584</v>
      </c>
      <c r="CY2476">
        <v>0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25">
      <c r="A2477" t="str">
        <f t="shared" ref="A2477:A2483" si="1367">"06/05/2020 14:55:03.098"</f>
        <v>06/05/2020 14:55:03.098</v>
      </c>
      <c r="C2477" t="str">
        <f t="shared" si="1362"/>
        <v>FFDFD3C0</v>
      </c>
      <c r="D2477" t="s">
        <v>151</v>
      </c>
      <c r="E2477">
        <v>9</v>
      </c>
      <c r="H2477">
        <v>226</v>
      </c>
      <c r="I2477" t="s">
        <v>152</v>
      </c>
      <c r="J2477" t="s">
        <v>150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ref="S2477:T2483" si="1368">"14:55:08.758"</f>
        <v>14:55:08.758</v>
      </c>
      <c r="T2477" t="str">
        <f t="shared" si="1368"/>
        <v>14:55:08.758</v>
      </c>
      <c r="U2477" t="str">
        <f t="shared" si="1343"/>
        <v>ACC530</v>
      </c>
      <c r="V2477">
        <v>0</v>
      </c>
      <c r="W2477">
        <v>0</v>
      </c>
      <c r="X2477">
        <v>1</v>
      </c>
      <c r="Z2477">
        <v>0</v>
      </c>
      <c r="AA2477">
        <v>9</v>
      </c>
      <c r="AB2477">
        <v>3</v>
      </c>
      <c r="AC2477">
        <v>0</v>
      </c>
      <c r="AD2477">
        <v>9</v>
      </c>
      <c r="AE2477">
        <v>0</v>
      </c>
      <c r="AF2477">
        <v>3</v>
      </c>
      <c r="AG2477">
        <v>1</v>
      </c>
      <c r="AH2477">
        <v>0</v>
      </c>
      <c r="AI2477" t="s">
        <v>878</v>
      </c>
      <c r="AJ2477">
        <v>34.146430000000002</v>
      </c>
      <c r="AK2477" t="s">
        <v>879</v>
      </c>
      <c r="AL2477">
        <v>-117.05160100000001</v>
      </c>
      <c r="AM2477">
        <v>100</v>
      </c>
      <c r="AN2477">
        <v>7100</v>
      </c>
      <c r="AO2477" t="s">
        <v>118</v>
      </c>
      <c r="AP2477">
        <v>-57</v>
      </c>
      <c r="AQ2477">
        <v>-92</v>
      </c>
      <c r="AR2477">
        <v>-896</v>
      </c>
      <c r="AZ2477">
        <v>1200</v>
      </c>
      <c r="BA2477">
        <v>1</v>
      </c>
      <c r="BB2477" t="str">
        <f t="shared" si="1347"/>
        <v xml:space="preserve">N9217B  </v>
      </c>
      <c r="BC2477">
        <v>1</v>
      </c>
      <c r="BE2477">
        <v>0</v>
      </c>
      <c r="BF2477">
        <v>0</v>
      </c>
      <c r="BG2477">
        <v>0</v>
      </c>
      <c r="BH2477">
        <v>7000</v>
      </c>
      <c r="BI2477">
        <v>1</v>
      </c>
      <c r="BJ2477">
        <v>0</v>
      </c>
      <c r="BK2477">
        <v>0</v>
      </c>
      <c r="BL2477">
        <v>0</v>
      </c>
      <c r="BO2477">
        <v>0</v>
      </c>
      <c r="BP2477">
        <v>0</v>
      </c>
      <c r="BW2477" t="str">
        <f t="shared" ref="BW2477:BW2483" si="1369">"14:55:08.762"</f>
        <v>14:55:08.762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285</v>
      </c>
      <c r="CR2477">
        <v>0</v>
      </c>
      <c r="CW2477">
        <v>8866664</v>
      </c>
      <c r="CY2477">
        <v>0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25">
      <c r="A2478" t="str">
        <f t="shared" si="1367"/>
        <v>06/05/2020 14:55:03.098</v>
      </c>
      <c r="C2478" t="str">
        <f t="shared" si="1362"/>
        <v>FFDFD3C0</v>
      </c>
      <c r="D2478" t="s">
        <v>113</v>
      </c>
      <c r="E2478">
        <v>3</v>
      </c>
      <c r="H2478">
        <v>166</v>
      </c>
      <c r="I2478" t="s">
        <v>114</v>
      </c>
      <c r="J2478" t="s">
        <v>115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368"/>
        <v>14:55:08.758</v>
      </c>
      <c r="T2478" t="str">
        <f t="shared" si="1368"/>
        <v>14:55:08.758</v>
      </c>
      <c r="U2478" t="str">
        <f t="shared" si="1343"/>
        <v>ACC530</v>
      </c>
      <c r="V2478">
        <v>0</v>
      </c>
      <c r="W2478">
        <v>0</v>
      </c>
      <c r="X2478">
        <v>1</v>
      </c>
      <c r="Z2478">
        <v>0</v>
      </c>
      <c r="AA2478">
        <v>9</v>
      </c>
      <c r="AB2478">
        <v>3</v>
      </c>
      <c r="AC2478">
        <v>0</v>
      </c>
      <c r="AD2478">
        <v>9</v>
      </c>
      <c r="AE2478">
        <v>0</v>
      </c>
      <c r="AF2478">
        <v>3</v>
      </c>
      <c r="AG2478">
        <v>1</v>
      </c>
      <c r="AH2478">
        <v>0</v>
      </c>
      <c r="AI2478" t="s">
        <v>878</v>
      </c>
      <c r="AJ2478">
        <v>34.146430000000002</v>
      </c>
      <c r="AK2478" t="s">
        <v>879</v>
      </c>
      <c r="AL2478">
        <v>-117.05160100000001</v>
      </c>
      <c r="AM2478">
        <v>100</v>
      </c>
      <c r="AN2478">
        <v>7100</v>
      </c>
      <c r="AO2478" t="s">
        <v>118</v>
      </c>
      <c r="AP2478">
        <v>-57</v>
      </c>
      <c r="AQ2478">
        <v>-92</v>
      </c>
      <c r="AR2478">
        <v>-896</v>
      </c>
      <c r="AZ2478">
        <v>1200</v>
      </c>
      <c r="BA2478">
        <v>1</v>
      </c>
      <c r="BB2478" t="str">
        <f t="shared" si="1347"/>
        <v xml:space="preserve">N9217B  </v>
      </c>
      <c r="BC2478">
        <v>1</v>
      </c>
      <c r="BE2478">
        <v>0</v>
      </c>
      <c r="BF2478">
        <v>0</v>
      </c>
      <c r="BG2478">
        <v>0</v>
      </c>
      <c r="BH2478">
        <v>7000</v>
      </c>
      <c r="BI2478">
        <v>1</v>
      </c>
      <c r="BJ2478">
        <v>0</v>
      </c>
      <c r="BK2478">
        <v>0</v>
      </c>
      <c r="BL2478">
        <v>0</v>
      </c>
      <c r="BO2478">
        <v>0</v>
      </c>
      <c r="BP2478">
        <v>0</v>
      </c>
      <c r="BW2478" t="str">
        <f t="shared" si="1369"/>
        <v>14:55:08.762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285</v>
      </c>
      <c r="CR2478">
        <v>0</v>
      </c>
      <c r="CW2478">
        <v>8866664</v>
      </c>
      <c r="CY2478">
        <v>0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25">
      <c r="A2479" t="str">
        <f t="shared" si="1367"/>
        <v>06/05/2020 14:55:03.098</v>
      </c>
      <c r="C2479" t="str">
        <f t="shared" si="1362"/>
        <v>FFDFD3C0</v>
      </c>
      <c r="D2479" t="s">
        <v>148</v>
      </c>
      <c r="E2479">
        <v>8</v>
      </c>
      <c r="H2479">
        <v>50</v>
      </c>
      <c r="I2479" t="s">
        <v>149</v>
      </c>
      <c r="J2479" t="s">
        <v>150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368"/>
        <v>14:55:08.758</v>
      </c>
      <c r="T2479" t="str">
        <f t="shared" si="1368"/>
        <v>14:55:08.758</v>
      </c>
      <c r="U2479" t="str">
        <f t="shared" si="1343"/>
        <v>ACC530</v>
      </c>
      <c r="V2479">
        <v>0</v>
      </c>
      <c r="W2479">
        <v>0</v>
      </c>
      <c r="X2479">
        <v>1</v>
      </c>
      <c r="Z2479">
        <v>0</v>
      </c>
      <c r="AA2479">
        <v>9</v>
      </c>
      <c r="AB2479">
        <v>3</v>
      </c>
      <c r="AC2479">
        <v>0</v>
      </c>
      <c r="AD2479">
        <v>9</v>
      </c>
      <c r="AE2479">
        <v>0</v>
      </c>
      <c r="AF2479">
        <v>3</v>
      </c>
      <c r="AG2479">
        <v>1</v>
      </c>
      <c r="AH2479">
        <v>0</v>
      </c>
      <c r="AI2479" t="s">
        <v>878</v>
      </c>
      <c r="AJ2479">
        <v>34.146430000000002</v>
      </c>
      <c r="AK2479" t="s">
        <v>879</v>
      </c>
      <c r="AL2479">
        <v>-117.05160100000001</v>
      </c>
      <c r="AM2479">
        <v>100</v>
      </c>
      <c r="AN2479">
        <v>7100</v>
      </c>
      <c r="AO2479" t="s">
        <v>118</v>
      </c>
      <c r="AP2479">
        <v>-57</v>
      </c>
      <c r="AQ2479">
        <v>-92</v>
      </c>
      <c r="AR2479">
        <v>-896</v>
      </c>
      <c r="AZ2479">
        <v>1200</v>
      </c>
      <c r="BA2479">
        <v>1</v>
      </c>
      <c r="BB2479" t="str">
        <f t="shared" si="1347"/>
        <v xml:space="preserve">N9217B  </v>
      </c>
      <c r="BC2479">
        <v>1</v>
      </c>
      <c r="BE2479">
        <v>0</v>
      </c>
      <c r="BF2479">
        <v>0</v>
      </c>
      <c r="BG2479">
        <v>0</v>
      </c>
      <c r="BH2479">
        <v>7000</v>
      </c>
      <c r="BI2479">
        <v>1</v>
      </c>
      <c r="BJ2479">
        <v>0</v>
      </c>
      <c r="BK2479">
        <v>0</v>
      </c>
      <c r="BL2479">
        <v>0</v>
      </c>
      <c r="BO2479">
        <v>0</v>
      </c>
      <c r="BP2479">
        <v>0</v>
      </c>
      <c r="BW2479" t="str">
        <f t="shared" si="1369"/>
        <v>14:55:08.762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285</v>
      </c>
      <c r="CR2479">
        <v>0</v>
      </c>
      <c r="CW2479">
        <v>8866664</v>
      </c>
      <c r="CY2479">
        <v>0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25">
      <c r="A2480" t="str">
        <f t="shared" si="1367"/>
        <v>06/05/2020 14:55:03.098</v>
      </c>
      <c r="C2480" t="str">
        <f t="shared" si="1362"/>
        <v>FFDFD3C0</v>
      </c>
      <c r="D2480" t="s">
        <v>148</v>
      </c>
      <c r="E2480">
        <v>11</v>
      </c>
      <c r="H2480">
        <v>53</v>
      </c>
      <c r="I2480" t="s">
        <v>364</v>
      </c>
      <c r="J2480" t="s">
        <v>150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368"/>
        <v>14:55:08.758</v>
      </c>
      <c r="T2480" t="str">
        <f t="shared" si="1368"/>
        <v>14:55:08.758</v>
      </c>
      <c r="U2480" t="str">
        <f t="shared" si="1343"/>
        <v>ACC530</v>
      </c>
      <c r="V2480">
        <v>0</v>
      </c>
      <c r="W2480">
        <v>0</v>
      </c>
      <c r="X2480">
        <v>1</v>
      </c>
      <c r="Z2480">
        <v>0</v>
      </c>
      <c r="AA2480">
        <v>9</v>
      </c>
      <c r="AB2480">
        <v>3</v>
      </c>
      <c r="AC2480">
        <v>0</v>
      </c>
      <c r="AD2480">
        <v>9</v>
      </c>
      <c r="AE2480">
        <v>0</v>
      </c>
      <c r="AF2480">
        <v>3</v>
      </c>
      <c r="AG2480">
        <v>1</v>
      </c>
      <c r="AH2480">
        <v>0</v>
      </c>
      <c r="AI2480" t="s">
        <v>878</v>
      </c>
      <c r="AJ2480">
        <v>34.146430000000002</v>
      </c>
      <c r="AK2480" t="s">
        <v>879</v>
      </c>
      <c r="AL2480">
        <v>-117.05160100000001</v>
      </c>
      <c r="AM2480">
        <v>100</v>
      </c>
      <c r="AN2480">
        <v>7100</v>
      </c>
      <c r="AO2480" t="s">
        <v>118</v>
      </c>
      <c r="AP2480">
        <v>-57</v>
      </c>
      <c r="AQ2480">
        <v>-92</v>
      </c>
      <c r="AR2480">
        <v>-896</v>
      </c>
      <c r="AZ2480">
        <v>1200</v>
      </c>
      <c r="BA2480">
        <v>1</v>
      </c>
      <c r="BB2480" t="str">
        <f t="shared" si="1347"/>
        <v xml:space="preserve">N9217B  </v>
      </c>
      <c r="BC2480">
        <v>1</v>
      </c>
      <c r="BE2480">
        <v>0</v>
      </c>
      <c r="BF2480">
        <v>0</v>
      </c>
      <c r="BG2480">
        <v>0</v>
      </c>
      <c r="BH2480">
        <v>7000</v>
      </c>
      <c r="BI2480">
        <v>1</v>
      </c>
      <c r="BJ2480">
        <v>0</v>
      </c>
      <c r="BK2480">
        <v>0</v>
      </c>
      <c r="BL2480">
        <v>0</v>
      </c>
      <c r="BO2480">
        <v>0</v>
      </c>
      <c r="BP2480">
        <v>0</v>
      </c>
      <c r="BW2480" t="str">
        <f t="shared" si="1369"/>
        <v>14:55:08.762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285</v>
      </c>
      <c r="CR2480">
        <v>0</v>
      </c>
      <c r="CW2480">
        <v>8866664</v>
      </c>
      <c r="CY2480">
        <v>0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25">
      <c r="A2481" t="str">
        <f t="shared" si="1367"/>
        <v>06/05/2020 14:55:03.098</v>
      </c>
      <c r="C2481" t="str">
        <f t="shared" si="1362"/>
        <v>FFDFD3C0</v>
      </c>
      <c r="D2481" t="s">
        <v>134</v>
      </c>
      <c r="E2481">
        <v>7</v>
      </c>
      <c r="F2481">
        <v>2007</v>
      </c>
      <c r="G2481" t="s">
        <v>135</v>
      </c>
      <c r="J2481" t="s">
        <v>136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368"/>
        <v>14:55:08.758</v>
      </c>
      <c r="T2481" t="str">
        <f t="shared" si="1368"/>
        <v>14:55:08.758</v>
      </c>
      <c r="U2481" t="str">
        <f t="shared" si="1343"/>
        <v>ACC530</v>
      </c>
      <c r="V2481">
        <v>0</v>
      </c>
      <c r="W2481">
        <v>0</v>
      </c>
      <c r="X2481">
        <v>1</v>
      </c>
      <c r="Z2481">
        <v>0</v>
      </c>
      <c r="AA2481">
        <v>9</v>
      </c>
      <c r="AB2481">
        <v>3</v>
      </c>
      <c r="AC2481">
        <v>0</v>
      </c>
      <c r="AD2481">
        <v>9</v>
      </c>
      <c r="AE2481">
        <v>0</v>
      </c>
      <c r="AF2481">
        <v>3</v>
      </c>
      <c r="AG2481">
        <v>1</v>
      </c>
      <c r="AH2481">
        <v>0</v>
      </c>
      <c r="AI2481" t="s">
        <v>878</v>
      </c>
      <c r="AJ2481">
        <v>34.146430000000002</v>
      </c>
      <c r="AK2481" t="s">
        <v>879</v>
      </c>
      <c r="AL2481">
        <v>-117.05160100000001</v>
      </c>
      <c r="AM2481">
        <v>100</v>
      </c>
      <c r="AN2481">
        <v>7100</v>
      </c>
      <c r="AO2481" t="s">
        <v>118</v>
      </c>
      <c r="AP2481">
        <v>-57</v>
      </c>
      <c r="AQ2481">
        <v>-92</v>
      </c>
      <c r="AR2481">
        <v>-896</v>
      </c>
      <c r="AZ2481">
        <v>1200</v>
      </c>
      <c r="BA2481">
        <v>1</v>
      </c>
      <c r="BB2481" t="str">
        <f t="shared" si="1347"/>
        <v xml:space="preserve">N9217B  </v>
      </c>
      <c r="BC2481">
        <v>1</v>
      </c>
      <c r="BE2481">
        <v>0</v>
      </c>
      <c r="BF2481">
        <v>0</v>
      </c>
      <c r="BG2481">
        <v>0</v>
      </c>
      <c r="BH2481">
        <v>7000</v>
      </c>
      <c r="BI2481">
        <v>1</v>
      </c>
      <c r="BJ2481">
        <v>0</v>
      </c>
      <c r="BK2481">
        <v>0</v>
      </c>
      <c r="BL2481">
        <v>0</v>
      </c>
      <c r="BO2481">
        <v>0</v>
      </c>
      <c r="BP2481">
        <v>0</v>
      </c>
      <c r="BW2481" t="str">
        <f t="shared" si="1369"/>
        <v>14:55:08.762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285</v>
      </c>
      <c r="CR2481">
        <v>0</v>
      </c>
      <c r="CW2481">
        <v>8866664</v>
      </c>
      <c r="CY2481">
        <v>0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25">
      <c r="A2482" t="str">
        <f t="shared" si="1367"/>
        <v>06/05/2020 14:55:03.098</v>
      </c>
      <c r="C2482" t="str">
        <f t="shared" si="1362"/>
        <v>FFDFD3C0</v>
      </c>
      <c r="D2482" t="s">
        <v>151</v>
      </c>
      <c r="E2482">
        <v>8</v>
      </c>
      <c r="H2482">
        <v>225</v>
      </c>
      <c r="I2482" t="s">
        <v>353</v>
      </c>
      <c r="J2482" t="s">
        <v>150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368"/>
        <v>14:55:08.758</v>
      </c>
      <c r="T2482" t="str">
        <f t="shared" si="1368"/>
        <v>14:55:08.758</v>
      </c>
      <c r="U2482" t="str">
        <f t="shared" si="1343"/>
        <v>ACC530</v>
      </c>
      <c r="V2482">
        <v>0</v>
      </c>
      <c r="W2482">
        <v>0</v>
      </c>
      <c r="X2482">
        <v>1</v>
      </c>
      <c r="Z2482">
        <v>0</v>
      </c>
      <c r="AA2482">
        <v>9</v>
      </c>
      <c r="AB2482">
        <v>3</v>
      </c>
      <c r="AC2482">
        <v>0</v>
      </c>
      <c r="AD2482">
        <v>9</v>
      </c>
      <c r="AE2482">
        <v>0</v>
      </c>
      <c r="AF2482">
        <v>3</v>
      </c>
      <c r="AG2482">
        <v>1</v>
      </c>
      <c r="AH2482">
        <v>0</v>
      </c>
      <c r="AI2482" t="s">
        <v>878</v>
      </c>
      <c r="AJ2482">
        <v>34.146430000000002</v>
      </c>
      <c r="AK2482" t="s">
        <v>879</v>
      </c>
      <c r="AL2482">
        <v>-117.05160100000001</v>
      </c>
      <c r="AM2482">
        <v>100</v>
      </c>
      <c r="AN2482">
        <v>7100</v>
      </c>
      <c r="AO2482" t="s">
        <v>118</v>
      </c>
      <c r="AP2482">
        <v>-57</v>
      </c>
      <c r="AQ2482">
        <v>-92</v>
      </c>
      <c r="AR2482">
        <v>-896</v>
      </c>
      <c r="AZ2482">
        <v>1200</v>
      </c>
      <c r="BA2482">
        <v>1</v>
      </c>
      <c r="BB2482" t="str">
        <f t="shared" si="1347"/>
        <v xml:space="preserve">N9217B  </v>
      </c>
      <c r="BC2482">
        <v>1</v>
      </c>
      <c r="BE2482">
        <v>0</v>
      </c>
      <c r="BF2482">
        <v>0</v>
      </c>
      <c r="BG2482">
        <v>0</v>
      </c>
      <c r="BH2482">
        <v>7000</v>
      </c>
      <c r="BI2482">
        <v>1</v>
      </c>
      <c r="BJ2482">
        <v>0</v>
      </c>
      <c r="BK2482">
        <v>0</v>
      </c>
      <c r="BL2482">
        <v>0</v>
      </c>
      <c r="BO2482">
        <v>0</v>
      </c>
      <c r="BP2482">
        <v>0</v>
      </c>
      <c r="BW2482" t="str">
        <f t="shared" si="1369"/>
        <v>14:55:08.762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285</v>
      </c>
      <c r="CR2482">
        <v>0</v>
      </c>
      <c r="CW2482">
        <v>8866664</v>
      </c>
      <c r="CY2482">
        <v>0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25">
      <c r="A2483" t="str">
        <f t="shared" si="1367"/>
        <v>06/05/2020 14:55:03.098</v>
      </c>
      <c r="C2483" t="str">
        <f t="shared" si="1362"/>
        <v>FFDFD3C0</v>
      </c>
      <c r="D2483" t="s">
        <v>141</v>
      </c>
      <c r="E2483">
        <v>20</v>
      </c>
      <c r="F2483">
        <v>1020</v>
      </c>
      <c r="G2483" t="s">
        <v>114</v>
      </c>
      <c r="J2483" t="s">
        <v>142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368"/>
        <v>14:55:08.758</v>
      </c>
      <c r="T2483" t="str">
        <f t="shared" si="1368"/>
        <v>14:55:08.758</v>
      </c>
      <c r="U2483" t="str">
        <f t="shared" si="1343"/>
        <v>ACC530</v>
      </c>
      <c r="V2483">
        <v>0</v>
      </c>
      <c r="W2483">
        <v>0</v>
      </c>
      <c r="X2483">
        <v>1</v>
      </c>
      <c r="Z2483">
        <v>0</v>
      </c>
      <c r="AA2483">
        <v>9</v>
      </c>
      <c r="AB2483">
        <v>3</v>
      </c>
      <c r="AC2483">
        <v>0</v>
      </c>
      <c r="AD2483">
        <v>9</v>
      </c>
      <c r="AE2483">
        <v>0</v>
      </c>
      <c r="AF2483">
        <v>3</v>
      </c>
      <c r="AG2483">
        <v>1</v>
      </c>
      <c r="AH2483">
        <v>0</v>
      </c>
      <c r="AI2483" t="s">
        <v>878</v>
      </c>
      <c r="AJ2483">
        <v>34.146430000000002</v>
      </c>
      <c r="AK2483" t="s">
        <v>879</v>
      </c>
      <c r="AL2483">
        <v>-117.05160100000001</v>
      </c>
      <c r="AM2483">
        <v>100</v>
      </c>
      <c r="AN2483">
        <v>7100</v>
      </c>
      <c r="AO2483" t="s">
        <v>118</v>
      </c>
      <c r="AP2483">
        <v>-57</v>
      </c>
      <c r="AQ2483">
        <v>-92</v>
      </c>
      <c r="AR2483">
        <v>-896</v>
      </c>
      <c r="AZ2483">
        <v>1200</v>
      </c>
      <c r="BA2483">
        <v>1</v>
      </c>
      <c r="BB2483" t="str">
        <f t="shared" si="1347"/>
        <v xml:space="preserve">N9217B  </v>
      </c>
      <c r="BC2483">
        <v>1</v>
      </c>
      <c r="BE2483">
        <v>0</v>
      </c>
      <c r="BF2483">
        <v>0</v>
      </c>
      <c r="BG2483">
        <v>0</v>
      </c>
      <c r="BH2483">
        <v>7000</v>
      </c>
      <c r="BI2483">
        <v>1</v>
      </c>
      <c r="BJ2483">
        <v>0</v>
      </c>
      <c r="BK2483">
        <v>0</v>
      </c>
      <c r="BL2483">
        <v>0</v>
      </c>
      <c r="BO2483">
        <v>0</v>
      </c>
      <c r="BP2483">
        <v>0</v>
      </c>
      <c r="BW2483" t="str">
        <f t="shared" si="1369"/>
        <v>14:55:08.762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285</v>
      </c>
      <c r="CR2483">
        <v>0</v>
      </c>
      <c r="CW2483">
        <v>8866664</v>
      </c>
      <c r="CY2483">
        <v>0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25">
      <c r="A2484" t="str">
        <f t="shared" ref="A2484:A2490" si="1370">"06/05/2020 14:55:04.093"</f>
        <v>06/05/2020 14:55:04.093</v>
      </c>
      <c r="C2484" t="str">
        <f t="shared" si="1362"/>
        <v>FFDFD3C0</v>
      </c>
      <c r="D2484" t="s">
        <v>141</v>
      </c>
      <c r="E2484">
        <v>20</v>
      </c>
      <c r="F2484">
        <v>1020</v>
      </c>
      <c r="G2484" t="s">
        <v>114</v>
      </c>
      <c r="J2484" t="s">
        <v>142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ref="S2484:T2490" si="1371">"14:55:09.719"</f>
        <v>14:55:09.719</v>
      </c>
      <c r="T2484" t="str">
        <f t="shared" si="1371"/>
        <v>14:55:09.719</v>
      </c>
      <c r="U2484" t="str">
        <f t="shared" si="1343"/>
        <v>ACC530</v>
      </c>
      <c r="V2484">
        <v>0</v>
      </c>
      <c r="W2484">
        <v>0</v>
      </c>
      <c r="X2484">
        <v>1</v>
      </c>
      <c r="Z2484">
        <v>0</v>
      </c>
      <c r="AA2484">
        <v>9</v>
      </c>
      <c r="AB2484">
        <v>3</v>
      </c>
      <c r="AC2484">
        <v>0</v>
      </c>
      <c r="AD2484">
        <v>9</v>
      </c>
      <c r="AE2484">
        <v>0</v>
      </c>
      <c r="AF2484">
        <v>3</v>
      </c>
      <c r="AG2484">
        <v>1</v>
      </c>
      <c r="AH2484">
        <v>0</v>
      </c>
      <c r="AI2484" t="s">
        <v>880</v>
      </c>
      <c r="AJ2484">
        <v>34.146000999999998</v>
      </c>
      <c r="AK2484" t="s">
        <v>881</v>
      </c>
      <c r="AL2484">
        <v>-117.051923</v>
      </c>
      <c r="AM2484">
        <v>100</v>
      </c>
      <c r="AN2484">
        <v>7000</v>
      </c>
      <c r="AO2484" t="s">
        <v>118</v>
      </c>
      <c r="AP2484">
        <v>-56</v>
      </c>
      <c r="AQ2484">
        <v>-92</v>
      </c>
      <c r="AR2484">
        <v>-960</v>
      </c>
      <c r="AZ2484">
        <v>1200</v>
      </c>
      <c r="BA2484">
        <v>1</v>
      </c>
      <c r="BB2484" t="str">
        <f t="shared" si="1347"/>
        <v xml:space="preserve">N9217B  </v>
      </c>
      <c r="BC2484">
        <v>1</v>
      </c>
      <c r="BE2484">
        <v>0</v>
      </c>
      <c r="BF2484">
        <v>0</v>
      </c>
      <c r="BG2484">
        <v>0</v>
      </c>
      <c r="BH2484">
        <v>6975</v>
      </c>
      <c r="BI2484">
        <v>1</v>
      </c>
      <c r="BJ2484">
        <v>0</v>
      </c>
      <c r="BK2484">
        <v>0</v>
      </c>
      <c r="BL2484">
        <v>0</v>
      </c>
      <c r="BO2484">
        <v>0</v>
      </c>
      <c r="BP2484">
        <v>0</v>
      </c>
      <c r="BW2484" t="str">
        <f t="shared" ref="BW2484:BW2490" si="1372">"14:55:09.722"</f>
        <v>14:55:09.722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285</v>
      </c>
      <c r="CR2484">
        <v>0</v>
      </c>
      <c r="CW2484">
        <v>8866755</v>
      </c>
      <c r="CY2484">
        <v>0</v>
      </c>
      <c r="CZ2484">
        <v>0</v>
      </c>
      <c r="DA2484">
        <v>0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25">
      <c r="A2485" t="str">
        <f t="shared" si="1370"/>
        <v>06/05/2020 14:55:04.093</v>
      </c>
      <c r="C2485" t="str">
        <f t="shared" si="1362"/>
        <v>FFDFD3C0</v>
      </c>
      <c r="D2485" t="s">
        <v>151</v>
      </c>
      <c r="E2485">
        <v>8</v>
      </c>
      <c r="H2485">
        <v>225</v>
      </c>
      <c r="I2485" t="s">
        <v>353</v>
      </c>
      <c r="J2485" t="s">
        <v>150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371"/>
        <v>14:55:09.719</v>
      </c>
      <c r="T2485" t="str">
        <f t="shared" si="1371"/>
        <v>14:55:09.719</v>
      </c>
      <c r="U2485" t="str">
        <f t="shared" si="1343"/>
        <v>ACC530</v>
      </c>
      <c r="V2485">
        <v>0</v>
      </c>
      <c r="W2485">
        <v>0</v>
      </c>
      <c r="X2485">
        <v>1</v>
      </c>
      <c r="Z2485">
        <v>0</v>
      </c>
      <c r="AA2485">
        <v>9</v>
      </c>
      <c r="AB2485">
        <v>3</v>
      </c>
      <c r="AC2485">
        <v>0</v>
      </c>
      <c r="AD2485">
        <v>9</v>
      </c>
      <c r="AE2485">
        <v>0</v>
      </c>
      <c r="AF2485">
        <v>3</v>
      </c>
      <c r="AG2485">
        <v>1</v>
      </c>
      <c r="AH2485">
        <v>0</v>
      </c>
      <c r="AI2485" t="s">
        <v>880</v>
      </c>
      <c r="AJ2485">
        <v>34.146000999999998</v>
      </c>
      <c r="AK2485" t="s">
        <v>881</v>
      </c>
      <c r="AL2485">
        <v>-117.051923</v>
      </c>
      <c r="AM2485">
        <v>100</v>
      </c>
      <c r="AN2485">
        <v>7000</v>
      </c>
      <c r="AO2485" t="s">
        <v>118</v>
      </c>
      <c r="AP2485">
        <v>-56</v>
      </c>
      <c r="AQ2485">
        <v>-92</v>
      </c>
      <c r="AR2485">
        <v>-960</v>
      </c>
      <c r="AZ2485">
        <v>1200</v>
      </c>
      <c r="BA2485">
        <v>1</v>
      </c>
      <c r="BB2485" t="str">
        <f t="shared" si="1347"/>
        <v xml:space="preserve">N9217B  </v>
      </c>
      <c r="BC2485">
        <v>1</v>
      </c>
      <c r="BE2485">
        <v>0</v>
      </c>
      <c r="BF2485">
        <v>0</v>
      </c>
      <c r="BG2485">
        <v>0</v>
      </c>
      <c r="BH2485">
        <v>6975</v>
      </c>
      <c r="BI2485">
        <v>1</v>
      </c>
      <c r="BJ2485">
        <v>0</v>
      </c>
      <c r="BK2485">
        <v>0</v>
      </c>
      <c r="BL2485">
        <v>0</v>
      </c>
      <c r="BO2485">
        <v>0</v>
      </c>
      <c r="BP2485">
        <v>0</v>
      </c>
      <c r="BW2485" t="str">
        <f t="shared" si="1372"/>
        <v>14:55:09.722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285</v>
      </c>
      <c r="CR2485">
        <v>0</v>
      </c>
      <c r="CW2485">
        <v>8866755</v>
      </c>
      <c r="CY2485">
        <v>0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25">
      <c r="A2486" t="str">
        <f t="shared" si="1370"/>
        <v>06/05/2020 14:55:04.093</v>
      </c>
      <c r="C2486" t="str">
        <f t="shared" si="1362"/>
        <v>FFDFD3C0</v>
      </c>
      <c r="D2486" t="s">
        <v>151</v>
      </c>
      <c r="E2486">
        <v>9</v>
      </c>
      <c r="H2486">
        <v>226</v>
      </c>
      <c r="I2486" t="s">
        <v>152</v>
      </c>
      <c r="J2486" t="s">
        <v>150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371"/>
        <v>14:55:09.719</v>
      </c>
      <c r="T2486" t="str">
        <f t="shared" si="1371"/>
        <v>14:55:09.719</v>
      </c>
      <c r="U2486" t="str">
        <f t="shared" si="1343"/>
        <v>ACC530</v>
      </c>
      <c r="V2486">
        <v>0</v>
      </c>
      <c r="W2486">
        <v>0</v>
      </c>
      <c r="X2486">
        <v>1</v>
      </c>
      <c r="Z2486">
        <v>0</v>
      </c>
      <c r="AA2486">
        <v>9</v>
      </c>
      <c r="AB2486">
        <v>3</v>
      </c>
      <c r="AC2486">
        <v>0</v>
      </c>
      <c r="AD2486">
        <v>9</v>
      </c>
      <c r="AE2486">
        <v>0</v>
      </c>
      <c r="AF2486">
        <v>3</v>
      </c>
      <c r="AG2486">
        <v>1</v>
      </c>
      <c r="AH2486">
        <v>0</v>
      </c>
      <c r="AI2486" t="s">
        <v>880</v>
      </c>
      <c r="AJ2486">
        <v>34.146000999999998</v>
      </c>
      <c r="AK2486" t="s">
        <v>881</v>
      </c>
      <c r="AL2486">
        <v>-117.051923</v>
      </c>
      <c r="AM2486">
        <v>100</v>
      </c>
      <c r="AN2486">
        <v>7000</v>
      </c>
      <c r="AO2486" t="s">
        <v>118</v>
      </c>
      <c r="AP2486">
        <v>-56</v>
      </c>
      <c r="AQ2486">
        <v>-92</v>
      </c>
      <c r="AR2486">
        <v>-960</v>
      </c>
      <c r="AZ2486">
        <v>1200</v>
      </c>
      <c r="BA2486">
        <v>1</v>
      </c>
      <c r="BB2486" t="str">
        <f t="shared" si="1347"/>
        <v xml:space="preserve">N9217B  </v>
      </c>
      <c r="BC2486">
        <v>1</v>
      </c>
      <c r="BE2486">
        <v>0</v>
      </c>
      <c r="BF2486">
        <v>0</v>
      </c>
      <c r="BG2486">
        <v>0</v>
      </c>
      <c r="BH2486">
        <v>6975</v>
      </c>
      <c r="BI2486">
        <v>1</v>
      </c>
      <c r="BJ2486">
        <v>0</v>
      </c>
      <c r="BK2486">
        <v>0</v>
      </c>
      <c r="BL2486">
        <v>0</v>
      </c>
      <c r="BO2486">
        <v>0</v>
      </c>
      <c r="BP2486">
        <v>0</v>
      </c>
      <c r="BW2486" t="str">
        <f t="shared" si="1372"/>
        <v>14:55:09.722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285</v>
      </c>
      <c r="CR2486">
        <v>0</v>
      </c>
      <c r="CW2486">
        <v>8866755</v>
      </c>
      <c r="CY2486">
        <v>0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25">
      <c r="A2487" t="str">
        <f t="shared" si="1370"/>
        <v>06/05/2020 14:55:04.093</v>
      </c>
      <c r="C2487" t="str">
        <f t="shared" si="1362"/>
        <v>FFDFD3C0</v>
      </c>
      <c r="D2487" t="s">
        <v>113</v>
      </c>
      <c r="E2487">
        <v>3</v>
      </c>
      <c r="H2487">
        <v>166</v>
      </c>
      <c r="I2487" t="s">
        <v>114</v>
      </c>
      <c r="J2487" t="s">
        <v>115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371"/>
        <v>14:55:09.719</v>
      </c>
      <c r="T2487" t="str">
        <f t="shared" si="1371"/>
        <v>14:55:09.719</v>
      </c>
      <c r="U2487" t="str">
        <f t="shared" si="1343"/>
        <v>ACC530</v>
      </c>
      <c r="V2487">
        <v>0</v>
      </c>
      <c r="W2487">
        <v>0</v>
      </c>
      <c r="X2487">
        <v>1</v>
      </c>
      <c r="Z2487">
        <v>0</v>
      </c>
      <c r="AA2487">
        <v>9</v>
      </c>
      <c r="AB2487">
        <v>3</v>
      </c>
      <c r="AC2487">
        <v>0</v>
      </c>
      <c r="AD2487">
        <v>9</v>
      </c>
      <c r="AE2487">
        <v>0</v>
      </c>
      <c r="AF2487">
        <v>3</v>
      </c>
      <c r="AG2487">
        <v>1</v>
      </c>
      <c r="AH2487">
        <v>0</v>
      </c>
      <c r="AI2487" t="s">
        <v>880</v>
      </c>
      <c r="AJ2487">
        <v>34.146000999999998</v>
      </c>
      <c r="AK2487" t="s">
        <v>881</v>
      </c>
      <c r="AL2487">
        <v>-117.051923</v>
      </c>
      <c r="AM2487">
        <v>100</v>
      </c>
      <c r="AN2487">
        <v>7000</v>
      </c>
      <c r="AO2487" t="s">
        <v>118</v>
      </c>
      <c r="AP2487">
        <v>-56</v>
      </c>
      <c r="AQ2487">
        <v>-92</v>
      </c>
      <c r="AR2487">
        <v>-960</v>
      </c>
      <c r="AZ2487">
        <v>1200</v>
      </c>
      <c r="BA2487">
        <v>1</v>
      </c>
      <c r="BB2487" t="str">
        <f t="shared" si="1347"/>
        <v xml:space="preserve">N9217B  </v>
      </c>
      <c r="BC2487">
        <v>1</v>
      </c>
      <c r="BE2487">
        <v>0</v>
      </c>
      <c r="BF2487">
        <v>0</v>
      </c>
      <c r="BG2487">
        <v>0</v>
      </c>
      <c r="BH2487">
        <v>6975</v>
      </c>
      <c r="BI2487">
        <v>1</v>
      </c>
      <c r="BJ2487">
        <v>0</v>
      </c>
      <c r="BK2487">
        <v>0</v>
      </c>
      <c r="BL2487">
        <v>0</v>
      </c>
      <c r="BO2487">
        <v>0</v>
      </c>
      <c r="BP2487">
        <v>0</v>
      </c>
      <c r="BW2487" t="str">
        <f t="shared" si="1372"/>
        <v>14:55:09.722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285</v>
      </c>
      <c r="CR2487">
        <v>0</v>
      </c>
      <c r="CW2487">
        <v>8866755</v>
      </c>
      <c r="CY2487">
        <v>0</v>
      </c>
      <c r="CZ2487">
        <v>0</v>
      </c>
      <c r="DA2487">
        <v>1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25">
      <c r="A2488" t="str">
        <f t="shared" si="1370"/>
        <v>06/05/2020 14:55:04.093</v>
      </c>
      <c r="C2488" t="str">
        <f t="shared" si="1362"/>
        <v>FFDFD3C0</v>
      </c>
      <c r="D2488" t="s">
        <v>134</v>
      </c>
      <c r="E2488">
        <v>7</v>
      </c>
      <c r="F2488">
        <v>2007</v>
      </c>
      <c r="G2488" t="s">
        <v>135</v>
      </c>
      <c r="J2488" t="s">
        <v>136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371"/>
        <v>14:55:09.719</v>
      </c>
      <c r="T2488" t="str">
        <f t="shared" si="1371"/>
        <v>14:55:09.719</v>
      </c>
      <c r="U2488" t="str">
        <f t="shared" si="1343"/>
        <v>ACC530</v>
      </c>
      <c r="V2488">
        <v>0</v>
      </c>
      <c r="W2488">
        <v>0</v>
      </c>
      <c r="X2488">
        <v>1</v>
      </c>
      <c r="Z2488">
        <v>0</v>
      </c>
      <c r="AA2488">
        <v>9</v>
      </c>
      <c r="AB2488">
        <v>3</v>
      </c>
      <c r="AC2488">
        <v>0</v>
      </c>
      <c r="AD2488">
        <v>9</v>
      </c>
      <c r="AE2488">
        <v>0</v>
      </c>
      <c r="AF2488">
        <v>3</v>
      </c>
      <c r="AG2488">
        <v>1</v>
      </c>
      <c r="AH2488">
        <v>0</v>
      </c>
      <c r="AI2488" t="s">
        <v>880</v>
      </c>
      <c r="AJ2488">
        <v>34.146000999999998</v>
      </c>
      <c r="AK2488" t="s">
        <v>881</v>
      </c>
      <c r="AL2488">
        <v>-117.051923</v>
      </c>
      <c r="AM2488">
        <v>100</v>
      </c>
      <c r="AN2488">
        <v>7000</v>
      </c>
      <c r="AO2488" t="s">
        <v>118</v>
      </c>
      <c r="AP2488">
        <v>-56</v>
      </c>
      <c r="AQ2488">
        <v>-92</v>
      </c>
      <c r="AR2488">
        <v>-960</v>
      </c>
      <c r="AZ2488">
        <v>1200</v>
      </c>
      <c r="BA2488">
        <v>1</v>
      </c>
      <c r="BB2488" t="str">
        <f t="shared" si="1347"/>
        <v xml:space="preserve">N9217B  </v>
      </c>
      <c r="BC2488">
        <v>1</v>
      </c>
      <c r="BE2488">
        <v>0</v>
      </c>
      <c r="BF2488">
        <v>0</v>
      </c>
      <c r="BG2488">
        <v>0</v>
      </c>
      <c r="BH2488">
        <v>6975</v>
      </c>
      <c r="BI2488">
        <v>1</v>
      </c>
      <c r="BJ2488">
        <v>0</v>
      </c>
      <c r="BK2488">
        <v>0</v>
      </c>
      <c r="BL2488">
        <v>0</v>
      </c>
      <c r="BO2488">
        <v>0</v>
      </c>
      <c r="BP2488">
        <v>0</v>
      </c>
      <c r="BW2488" t="str">
        <f t="shared" si="1372"/>
        <v>14:55:09.722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285</v>
      </c>
      <c r="CR2488">
        <v>0</v>
      </c>
      <c r="CW2488">
        <v>8866755</v>
      </c>
      <c r="CY2488">
        <v>0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25">
      <c r="A2489" t="str">
        <f t="shared" si="1370"/>
        <v>06/05/2020 14:55:04.093</v>
      </c>
      <c r="C2489" t="str">
        <f t="shared" si="1362"/>
        <v>FFDFD3C0</v>
      </c>
      <c r="D2489" t="s">
        <v>148</v>
      </c>
      <c r="E2489">
        <v>8</v>
      </c>
      <c r="H2489">
        <v>50</v>
      </c>
      <c r="I2489" t="s">
        <v>149</v>
      </c>
      <c r="J2489" t="s">
        <v>150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371"/>
        <v>14:55:09.719</v>
      </c>
      <c r="T2489" t="str">
        <f t="shared" si="1371"/>
        <v>14:55:09.719</v>
      </c>
      <c r="U2489" t="str">
        <f t="shared" si="1343"/>
        <v>ACC530</v>
      </c>
      <c r="V2489">
        <v>0</v>
      </c>
      <c r="W2489">
        <v>0</v>
      </c>
      <c r="X2489">
        <v>1</v>
      </c>
      <c r="Z2489">
        <v>0</v>
      </c>
      <c r="AA2489">
        <v>9</v>
      </c>
      <c r="AB2489">
        <v>3</v>
      </c>
      <c r="AC2489">
        <v>0</v>
      </c>
      <c r="AD2489">
        <v>9</v>
      </c>
      <c r="AE2489">
        <v>0</v>
      </c>
      <c r="AF2489">
        <v>3</v>
      </c>
      <c r="AG2489">
        <v>1</v>
      </c>
      <c r="AH2489">
        <v>0</v>
      </c>
      <c r="AI2489" t="s">
        <v>880</v>
      </c>
      <c r="AJ2489">
        <v>34.146000999999998</v>
      </c>
      <c r="AK2489" t="s">
        <v>881</v>
      </c>
      <c r="AL2489">
        <v>-117.051923</v>
      </c>
      <c r="AM2489">
        <v>100</v>
      </c>
      <c r="AN2489">
        <v>7000</v>
      </c>
      <c r="AO2489" t="s">
        <v>118</v>
      </c>
      <c r="AP2489">
        <v>-56</v>
      </c>
      <c r="AQ2489">
        <v>-92</v>
      </c>
      <c r="AR2489">
        <v>-960</v>
      </c>
      <c r="AZ2489">
        <v>1200</v>
      </c>
      <c r="BA2489">
        <v>1</v>
      </c>
      <c r="BB2489" t="str">
        <f t="shared" si="1347"/>
        <v xml:space="preserve">N9217B  </v>
      </c>
      <c r="BC2489">
        <v>1</v>
      </c>
      <c r="BE2489">
        <v>0</v>
      </c>
      <c r="BF2489">
        <v>0</v>
      </c>
      <c r="BG2489">
        <v>0</v>
      </c>
      <c r="BH2489">
        <v>6975</v>
      </c>
      <c r="BI2489">
        <v>1</v>
      </c>
      <c r="BJ2489">
        <v>0</v>
      </c>
      <c r="BK2489">
        <v>0</v>
      </c>
      <c r="BL2489">
        <v>0</v>
      </c>
      <c r="BO2489">
        <v>0</v>
      </c>
      <c r="BP2489">
        <v>0</v>
      </c>
      <c r="BW2489" t="str">
        <f t="shared" si="1372"/>
        <v>14:55:09.722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285</v>
      </c>
      <c r="CR2489">
        <v>0</v>
      </c>
      <c r="CW2489">
        <v>8866755</v>
      </c>
      <c r="CY2489">
        <v>0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25">
      <c r="A2490" t="str">
        <f t="shared" si="1370"/>
        <v>06/05/2020 14:55:04.093</v>
      </c>
      <c r="C2490" t="str">
        <f t="shared" si="1362"/>
        <v>FFDFD3C0</v>
      </c>
      <c r="D2490" t="s">
        <v>148</v>
      </c>
      <c r="E2490">
        <v>11</v>
      </c>
      <c r="H2490">
        <v>53</v>
      </c>
      <c r="I2490" t="s">
        <v>364</v>
      </c>
      <c r="J2490" t="s">
        <v>150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371"/>
        <v>14:55:09.719</v>
      </c>
      <c r="T2490" t="str">
        <f t="shared" si="1371"/>
        <v>14:55:09.719</v>
      </c>
      <c r="U2490" t="str">
        <f t="shared" si="1343"/>
        <v>ACC530</v>
      </c>
      <c r="V2490">
        <v>0</v>
      </c>
      <c r="W2490">
        <v>0</v>
      </c>
      <c r="X2490">
        <v>1</v>
      </c>
      <c r="Z2490">
        <v>0</v>
      </c>
      <c r="AA2490">
        <v>9</v>
      </c>
      <c r="AB2490">
        <v>3</v>
      </c>
      <c r="AC2490">
        <v>0</v>
      </c>
      <c r="AD2490">
        <v>9</v>
      </c>
      <c r="AE2490">
        <v>0</v>
      </c>
      <c r="AF2490">
        <v>3</v>
      </c>
      <c r="AG2490">
        <v>1</v>
      </c>
      <c r="AH2490">
        <v>0</v>
      </c>
      <c r="AI2490" t="s">
        <v>880</v>
      </c>
      <c r="AJ2490">
        <v>34.146000999999998</v>
      </c>
      <c r="AK2490" t="s">
        <v>881</v>
      </c>
      <c r="AL2490">
        <v>-117.051923</v>
      </c>
      <c r="AM2490">
        <v>100</v>
      </c>
      <c r="AN2490">
        <v>7000</v>
      </c>
      <c r="AO2490" t="s">
        <v>118</v>
      </c>
      <c r="AP2490">
        <v>-56</v>
      </c>
      <c r="AQ2490">
        <v>-92</v>
      </c>
      <c r="AR2490">
        <v>-960</v>
      </c>
      <c r="AZ2490">
        <v>1200</v>
      </c>
      <c r="BA2490">
        <v>1</v>
      </c>
      <c r="BB2490" t="str">
        <f t="shared" si="1347"/>
        <v xml:space="preserve">N9217B  </v>
      </c>
      <c r="BC2490">
        <v>1</v>
      </c>
      <c r="BE2490">
        <v>0</v>
      </c>
      <c r="BF2490">
        <v>0</v>
      </c>
      <c r="BG2490">
        <v>0</v>
      </c>
      <c r="BH2490">
        <v>6975</v>
      </c>
      <c r="BI2490">
        <v>1</v>
      </c>
      <c r="BJ2490">
        <v>0</v>
      </c>
      <c r="BK2490">
        <v>0</v>
      </c>
      <c r="BL2490">
        <v>0</v>
      </c>
      <c r="BO2490">
        <v>0</v>
      </c>
      <c r="BP2490">
        <v>0</v>
      </c>
      <c r="BW2490" t="str">
        <f t="shared" si="1372"/>
        <v>14:55:09.722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285</v>
      </c>
      <c r="CR2490">
        <v>0</v>
      </c>
      <c r="CW2490">
        <v>8866755</v>
      </c>
      <c r="CY2490">
        <v>0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25">
      <c r="A2491" t="str">
        <f t="shared" ref="A2491:A2497" si="1373">"06/05/2020 14:55:05.121"</f>
        <v>06/05/2020 14:55:05.121</v>
      </c>
      <c r="C2491" t="str">
        <f t="shared" si="1362"/>
        <v>FFDFD3C0</v>
      </c>
      <c r="D2491" t="s">
        <v>151</v>
      </c>
      <c r="E2491">
        <v>9</v>
      </c>
      <c r="H2491">
        <v>226</v>
      </c>
      <c r="I2491" t="s">
        <v>152</v>
      </c>
      <c r="J2491" t="s">
        <v>150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ref="S2491:T2497" si="1374">"14:55:10.766"</f>
        <v>14:55:10.766</v>
      </c>
      <c r="T2491" t="str">
        <f t="shared" si="1374"/>
        <v>14:55:10.766</v>
      </c>
      <c r="U2491" t="str">
        <f t="shared" si="1343"/>
        <v>ACC530</v>
      </c>
      <c r="V2491">
        <v>0</v>
      </c>
      <c r="W2491">
        <v>0</v>
      </c>
      <c r="X2491">
        <v>1</v>
      </c>
      <c r="Z2491">
        <v>0</v>
      </c>
      <c r="AA2491">
        <v>9</v>
      </c>
      <c r="AB2491">
        <v>3</v>
      </c>
      <c r="AC2491">
        <v>0</v>
      </c>
      <c r="AD2491">
        <v>9</v>
      </c>
      <c r="AE2491">
        <v>0</v>
      </c>
      <c r="AF2491">
        <v>3</v>
      </c>
      <c r="AG2491">
        <v>1</v>
      </c>
      <c r="AH2491">
        <v>0</v>
      </c>
      <c r="AI2491" t="s">
        <v>882</v>
      </c>
      <c r="AJ2491">
        <v>34.145550999999998</v>
      </c>
      <c r="AK2491" t="s">
        <v>883</v>
      </c>
      <c r="AL2491">
        <v>-117.052267</v>
      </c>
      <c r="AM2491">
        <v>100</v>
      </c>
      <c r="AN2491">
        <v>7000</v>
      </c>
      <c r="AO2491" t="s">
        <v>118</v>
      </c>
      <c r="AP2491">
        <v>-56</v>
      </c>
      <c r="AQ2491">
        <v>-93</v>
      </c>
      <c r="AR2491">
        <v>-960</v>
      </c>
      <c r="AZ2491">
        <v>1200</v>
      </c>
      <c r="BA2491">
        <v>1</v>
      </c>
      <c r="BB2491" t="str">
        <f t="shared" si="1347"/>
        <v xml:space="preserve">N9217B  </v>
      </c>
      <c r="BC2491">
        <v>1</v>
      </c>
      <c r="BE2491">
        <v>0</v>
      </c>
      <c r="BF2491">
        <v>0</v>
      </c>
      <c r="BG2491">
        <v>0</v>
      </c>
      <c r="BH2491">
        <v>6975</v>
      </c>
      <c r="BI2491">
        <v>1</v>
      </c>
      <c r="BJ2491">
        <v>0</v>
      </c>
      <c r="BK2491">
        <v>0</v>
      </c>
      <c r="BL2491">
        <v>0</v>
      </c>
      <c r="BO2491">
        <v>0</v>
      </c>
      <c r="BP2491">
        <v>0</v>
      </c>
      <c r="BW2491" t="str">
        <f t="shared" ref="BW2491:BW2497" si="1375">"14:55:10.772"</f>
        <v>14:55:10.772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285</v>
      </c>
      <c r="CR2491">
        <v>0</v>
      </c>
      <c r="CW2491">
        <v>8866854</v>
      </c>
      <c r="CY2491">
        <v>0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25">
      <c r="A2492" t="str">
        <f t="shared" si="1373"/>
        <v>06/05/2020 14:55:05.121</v>
      </c>
      <c r="C2492" t="str">
        <f t="shared" si="1362"/>
        <v>FFDFD3C0</v>
      </c>
      <c r="D2492" t="s">
        <v>113</v>
      </c>
      <c r="E2492">
        <v>3</v>
      </c>
      <c r="H2492">
        <v>166</v>
      </c>
      <c r="I2492" t="s">
        <v>114</v>
      </c>
      <c r="J2492" t="s">
        <v>115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374"/>
        <v>14:55:10.766</v>
      </c>
      <c r="T2492" t="str">
        <f t="shared" si="1374"/>
        <v>14:55:10.766</v>
      </c>
      <c r="U2492" t="str">
        <f t="shared" si="1343"/>
        <v>ACC530</v>
      </c>
      <c r="V2492">
        <v>0</v>
      </c>
      <c r="W2492">
        <v>0</v>
      </c>
      <c r="X2492">
        <v>1</v>
      </c>
      <c r="Z2492">
        <v>0</v>
      </c>
      <c r="AA2492">
        <v>9</v>
      </c>
      <c r="AB2492">
        <v>3</v>
      </c>
      <c r="AC2492">
        <v>0</v>
      </c>
      <c r="AD2492">
        <v>9</v>
      </c>
      <c r="AE2492">
        <v>0</v>
      </c>
      <c r="AF2492">
        <v>3</v>
      </c>
      <c r="AG2492">
        <v>1</v>
      </c>
      <c r="AH2492">
        <v>0</v>
      </c>
      <c r="AI2492" t="s">
        <v>882</v>
      </c>
      <c r="AJ2492">
        <v>34.145550999999998</v>
      </c>
      <c r="AK2492" t="s">
        <v>883</v>
      </c>
      <c r="AL2492">
        <v>-117.052267</v>
      </c>
      <c r="AM2492">
        <v>100</v>
      </c>
      <c r="AN2492">
        <v>7000</v>
      </c>
      <c r="AO2492" t="s">
        <v>118</v>
      </c>
      <c r="AP2492">
        <v>-56</v>
      </c>
      <c r="AQ2492">
        <v>-93</v>
      </c>
      <c r="AR2492">
        <v>-960</v>
      </c>
      <c r="AZ2492">
        <v>1200</v>
      </c>
      <c r="BA2492">
        <v>1</v>
      </c>
      <c r="BB2492" t="str">
        <f t="shared" si="1347"/>
        <v xml:space="preserve">N9217B  </v>
      </c>
      <c r="BC2492">
        <v>1</v>
      </c>
      <c r="BE2492">
        <v>0</v>
      </c>
      <c r="BF2492">
        <v>0</v>
      </c>
      <c r="BG2492">
        <v>0</v>
      </c>
      <c r="BH2492">
        <v>6975</v>
      </c>
      <c r="BI2492">
        <v>1</v>
      </c>
      <c r="BJ2492">
        <v>0</v>
      </c>
      <c r="BK2492">
        <v>0</v>
      </c>
      <c r="BL2492">
        <v>0</v>
      </c>
      <c r="BO2492">
        <v>0</v>
      </c>
      <c r="BP2492">
        <v>0</v>
      </c>
      <c r="BW2492" t="str">
        <f t="shared" si="1375"/>
        <v>14:55:10.772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285</v>
      </c>
      <c r="CR2492">
        <v>0</v>
      </c>
      <c r="CW2492">
        <v>8866854</v>
      </c>
      <c r="CY2492">
        <v>0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25">
      <c r="A2493" t="str">
        <f t="shared" si="1373"/>
        <v>06/05/2020 14:55:05.121</v>
      </c>
      <c r="C2493" t="str">
        <f t="shared" si="1362"/>
        <v>FFDFD3C0</v>
      </c>
      <c r="D2493" t="s">
        <v>134</v>
      </c>
      <c r="E2493">
        <v>7</v>
      </c>
      <c r="F2493">
        <v>2007</v>
      </c>
      <c r="G2493" t="s">
        <v>135</v>
      </c>
      <c r="J2493" t="s">
        <v>136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374"/>
        <v>14:55:10.766</v>
      </c>
      <c r="T2493" t="str">
        <f t="shared" si="1374"/>
        <v>14:55:10.766</v>
      </c>
      <c r="U2493" t="str">
        <f t="shared" si="1343"/>
        <v>ACC530</v>
      </c>
      <c r="V2493">
        <v>0</v>
      </c>
      <c r="W2493">
        <v>0</v>
      </c>
      <c r="X2493">
        <v>1</v>
      </c>
      <c r="Z2493">
        <v>0</v>
      </c>
      <c r="AA2493">
        <v>9</v>
      </c>
      <c r="AB2493">
        <v>3</v>
      </c>
      <c r="AC2493">
        <v>0</v>
      </c>
      <c r="AD2493">
        <v>9</v>
      </c>
      <c r="AE2493">
        <v>0</v>
      </c>
      <c r="AF2493">
        <v>3</v>
      </c>
      <c r="AG2493">
        <v>1</v>
      </c>
      <c r="AH2493">
        <v>0</v>
      </c>
      <c r="AI2493" t="s">
        <v>882</v>
      </c>
      <c r="AJ2493">
        <v>34.145550999999998</v>
      </c>
      <c r="AK2493" t="s">
        <v>883</v>
      </c>
      <c r="AL2493">
        <v>-117.052267</v>
      </c>
      <c r="AM2493">
        <v>100</v>
      </c>
      <c r="AN2493">
        <v>7000</v>
      </c>
      <c r="AO2493" t="s">
        <v>118</v>
      </c>
      <c r="AP2493">
        <v>-56</v>
      </c>
      <c r="AQ2493">
        <v>-93</v>
      </c>
      <c r="AR2493">
        <v>-960</v>
      </c>
      <c r="AZ2493">
        <v>1200</v>
      </c>
      <c r="BA2493">
        <v>1</v>
      </c>
      <c r="BB2493" t="str">
        <f t="shared" si="1347"/>
        <v xml:space="preserve">N9217B  </v>
      </c>
      <c r="BC2493">
        <v>1</v>
      </c>
      <c r="BE2493">
        <v>0</v>
      </c>
      <c r="BF2493">
        <v>0</v>
      </c>
      <c r="BG2493">
        <v>0</v>
      </c>
      <c r="BH2493">
        <v>6975</v>
      </c>
      <c r="BI2493">
        <v>1</v>
      </c>
      <c r="BJ2493">
        <v>0</v>
      </c>
      <c r="BK2493">
        <v>0</v>
      </c>
      <c r="BL2493">
        <v>0</v>
      </c>
      <c r="BO2493">
        <v>0</v>
      </c>
      <c r="BP2493">
        <v>0</v>
      </c>
      <c r="BW2493" t="str">
        <f t="shared" si="1375"/>
        <v>14:55:10.772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285</v>
      </c>
      <c r="CR2493">
        <v>0</v>
      </c>
      <c r="CW2493">
        <v>8866854</v>
      </c>
      <c r="CY2493">
        <v>0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25">
      <c r="A2494" t="str">
        <f t="shared" si="1373"/>
        <v>06/05/2020 14:55:05.121</v>
      </c>
      <c r="C2494" t="str">
        <f t="shared" si="1362"/>
        <v>FFDFD3C0</v>
      </c>
      <c r="D2494" t="s">
        <v>148</v>
      </c>
      <c r="E2494">
        <v>8</v>
      </c>
      <c r="H2494">
        <v>50</v>
      </c>
      <c r="I2494" t="s">
        <v>149</v>
      </c>
      <c r="J2494" t="s">
        <v>150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374"/>
        <v>14:55:10.766</v>
      </c>
      <c r="T2494" t="str">
        <f t="shared" si="1374"/>
        <v>14:55:10.766</v>
      </c>
      <c r="U2494" t="str">
        <f t="shared" si="1343"/>
        <v>ACC530</v>
      </c>
      <c r="V2494">
        <v>0</v>
      </c>
      <c r="W2494">
        <v>0</v>
      </c>
      <c r="X2494">
        <v>1</v>
      </c>
      <c r="Z2494">
        <v>0</v>
      </c>
      <c r="AA2494">
        <v>9</v>
      </c>
      <c r="AB2494">
        <v>3</v>
      </c>
      <c r="AC2494">
        <v>0</v>
      </c>
      <c r="AD2494">
        <v>9</v>
      </c>
      <c r="AE2494">
        <v>0</v>
      </c>
      <c r="AF2494">
        <v>3</v>
      </c>
      <c r="AG2494">
        <v>1</v>
      </c>
      <c r="AH2494">
        <v>0</v>
      </c>
      <c r="AI2494" t="s">
        <v>882</v>
      </c>
      <c r="AJ2494">
        <v>34.145550999999998</v>
      </c>
      <c r="AK2494" t="s">
        <v>883</v>
      </c>
      <c r="AL2494">
        <v>-117.052267</v>
      </c>
      <c r="AM2494">
        <v>100</v>
      </c>
      <c r="AN2494">
        <v>7000</v>
      </c>
      <c r="AO2494" t="s">
        <v>118</v>
      </c>
      <c r="AP2494">
        <v>-56</v>
      </c>
      <c r="AQ2494">
        <v>-93</v>
      </c>
      <c r="AR2494">
        <v>-960</v>
      </c>
      <c r="AZ2494">
        <v>1200</v>
      </c>
      <c r="BA2494">
        <v>1</v>
      </c>
      <c r="BB2494" t="str">
        <f t="shared" si="1347"/>
        <v xml:space="preserve">N9217B  </v>
      </c>
      <c r="BC2494">
        <v>1</v>
      </c>
      <c r="BE2494">
        <v>0</v>
      </c>
      <c r="BF2494">
        <v>0</v>
      </c>
      <c r="BG2494">
        <v>0</v>
      </c>
      <c r="BH2494">
        <v>6975</v>
      </c>
      <c r="BI2494">
        <v>1</v>
      </c>
      <c r="BJ2494">
        <v>0</v>
      </c>
      <c r="BK2494">
        <v>0</v>
      </c>
      <c r="BL2494">
        <v>0</v>
      </c>
      <c r="BO2494">
        <v>0</v>
      </c>
      <c r="BP2494">
        <v>0</v>
      </c>
      <c r="BW2494" t="str">
        <f t="shared" si="1375"/>
        <v>14:55:10.772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285</v>
      </c>
      <c r="CR2494">
        <v>0</v>
      </c>
      <c r="CW2494">
        <v>8866854</v>
      </c>
      <c r="CY2494">
        <v>0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25">
      <c r="A2495" t="str">
        <f t="shared" si="1373"/>
        <v>06/05/2020 14:55:05.121</v>
      </c>
      <c r="C2495" t="str">
        <f t="shared" si="1362"/>
        <v>FFDFD3C0</v>
      </c>
      <c r="D2495" t="s">
        <v>148</v>
      </c>
      <c r="E2495">
        <v>11</v>
      </c>
      <c r="H2495">
        <v>53</v>
      </c>
      <c r="I2495" t="s">
        <v>364</v>
      </c>
      <c r="J2495" t="s">
        <v>150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374"/>
        <v>14:55:10.766</v>
      </c>
      <c r="T2495" t="str">
        <f t="shared" si="1374"/>
        <v>14:55:10.766</v>
      </c>
      <c r="U2495" t="str">
        <f t="shared" si="1343"/>
        <v>ACC530</v>
      </c>
      <c r="V2495">
        <v>0</v>
      </c>
      <c r="W2495">
        <v>0</v>
      </c>
      <c r="X2495">
        <v>1</v>
      </c>
      <c r="Z2495">
        <v>0</v>
      </c>
      <c r="AA2495">
        <v>9</v>
      </c>
      <c r="AB2495">
        <v>3</v>
      </c>
      <c r="AC2495">
        <v>0</v>
      </c>
      <c r="AD2495">
        <v>9</v>
      </c>
      <c r="AE2495">
        <v>0</v>
      </c>
      <c r="AF2495">
        <v>3</v>
      </c>
      <c r="AG2495">
        <v>1</v>
      </c>
      <c r="AH2495">
        <v>0</v>
      </c>
      <c r="AI2495" t="s">
        <v>882</v>
      </c>
      <c r="AJ2495">
        <v>34.145550999999998</v>
      </c>
      <c r="AK2495" t="s">
        <v>883</v>
      </c>
      <c r="AL2495">
        <v>-117.052267</v>
      </c>
      <c r="AM2495">
        <v>100</v>
      </c>
      <c r="AN2495">
        <v>7000</v>
      </c>
      <c r="AO2495" t="s">
        <v>118</v>
      </c>
      <c r="AP2495">
        <v>-56</v>
      </c>
      <c r="AQ2495">
        <v>-93</v>
      </c>
      <c r="AR2495">
        <v>-960</v>
      </c>
      <c r="AZ2495">
        <v>1200</v>
      </c>
      <c r="BA2495">
        <v>1</v>
      </c>
      <c r="BB2495" t="str">
        <f t="shared" si="1347"/>
        <v xml:space="preserve">N9217B  </v>
      </c>
      <c r="BC2495">
        <v>1</v>
      </c>
      <c r="BE2495">
        <v>0</v>
      </c>
      <c r="BF2495">
        <v>0</v>
      </c>
      <c r="BG2495">
        <v>0</v>
      </c>
      <c r="BH2495">
        <v>6975</v>
      </c>
      <c r="BI2495">
        <v>1</v>
      </c>
      <c r="BJ2495">
        <v>0</v>
      </c>
      <c r="BK2495">
        <v>0</v>
      </c>
      <c r="BL2495">
        <v>0</v>
      </c>
      <c r="BO2495">
        <v>0</v>
      </c>
      <c r="BP2495">
        <v>0</v>
      </c>
      <c r="BW2495" t="str">
        <f t="shared" si="1375"/>
        <v>14:55:10.772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285</v>
      </c>
      <c r="CR2495">
        <v>0</v>
      </c>
      <c r="CW2495">
        <v>8866854</v>
      </c>
      <c r="CY2495">
        <v>0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25">
      <c r="A2496" t="str">
        <f t="shared" si="1373"/>
        <v>06/05/2020 14:55:05.121</v>
      </c>
      <c r="C2496" t="str">
        <f t="shared" si="1362"/>
        <v>FFDFD3C0</v>
      </c>
      <c r="D2496" t="s">
        <v>141</v>
      </c>
      <c r="E2496">
        <v>20</v>
      </c>
      <c r="F2496">
        <v>1020</v>
      </c>
      <c r="G2496" t="s">
        <v>114</v>
      </c>
      <c r="J2496" t="s">
        <v>142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374"/>
        <v>14:55:10.766</v>
      </c>
      <c r="T2496" t="str">
        <f t="shared" si="1374"/>
        <v>14:55:10.766</v>
      </c>
      <c r="U2496" t="str">
        <f t="shared" si="1343"/>
        <v>ACC530</v>
      </c>
      <c r="V2496">
        <v>0</v>
      </c>
      <c r="W2496">
        <v>0</v>
      </c>
      <c r="X2496">
        <v>1</v>
      </c>
      <c r="Z2496">
        <v>0</v>
      </c>
      <c r="AA2496">
        <v>9</v>
      </c>
      <c r="AB2496">
        <v>3</v>
      </c>
      <c r="AC2496">
        <v>0</v>
      </c>
      <c r="AD2496">
        <v>9</v>
      </c>
      <c r="AE2496">
        <v>0</v>
      </c>
      <c r="AF2496">
        <v>3</v>
      </c>
      <c r="AG2496">
        <v>1</v>
      </c>
      <c r="AH2496">
        <v>0</v>
      </c>
      <c r="AI2496" t="s">
        <v>882</v>
      </c>
      <c r="AJ2496">
        <v>34.145550999999998</v>
      </c>
      <c r="AK2496" t="s">
        <v>883</v>
      </c>
      <c r="AL2496">
        <v>-117.052267</v>
      </c>
      <c r="AM2496">
        <v>100</v>
      </c>
      <c r="AN2496">
        <v>7000</v>
      </c>
      <c r="AO2496" t="s">
        <v>118</v>
      </c>
      <c r="AP2496">
        <v>-56</v>
      </c>
      <c r="AQ2496">
        <v>-93</v>
      </c>
      <c r="AR2496">
        <v>-960</v>
      </c>
      <c r="AZ2496">
        <v>1200</v>
      </c>
      <c r="BA2496">
        <v>1</v>
      </c>
      <c r="BB2496" t="str">
        <f t="shared" si="1347"/>
        <v xml:space="preserve">N9217B  </v>
      </c>
      <c r="BC2496">
        <v>1</v>
      </c>
      <c r="BE2496">
        <v>0</v>
      </c>
      <c r="BF2496">
        <v>0</v>
      </c>
      <c r="BG2496">
        <v>0</v>
      </c>
      <c r="BH2496">
        <v>6975</v>
      </c>
      <c r="BI2496">
        <v>1</v>
      </c>
      <c r="BJ2496">
        <v>0</v>
      </c>
      <c r="BK2496">
        <v>0</v>
      </c>
      <c r="BL2496">
        <v>0</v>
      </c>
      <c r="BO2496">
        <v>0</v>
      </c>
      <c r="BP2496">
        <v>0</v>
      </c>
      <c r="BW2496" t="str">
        <f t="shared" si="1375"/>
        <v>14:55:10.772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285</v>
      </c>
      <c r="CR2496">
        <v>0</v>
      </c>
      <c r="CW2496">
        <v>8866854</v>
      </c>
      <c r="CY2496">
        <v>0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25">
      <c r="A2497" t="str">
        <f t="shared" si="1373"/>
        <v>06/05/2020 14:55:05.121</v>
      </c>
      <c r="C2497" t="str">
        <f t="shared" si="1362"/>
        <v>FFDFD3C0</v>
      </c>
      <c r="D2497" t="s">
        <v>151</v>
      </c>
      <c r="E2497">
        <v>8</v>
      </c>
      <c r="H2497">
        <v>225</v>
      </c>
      <c r="I2497" t="s">
        <v>353</v>
      </c>
      <c r="J2497" t="s">
        <v>150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374"/>
        <v>14:55:10.766</v>
      </c>
      <c r="T2497" t="str">
        <f t="shared" si="1374"/>
        <v>14:55:10.766</v>
      </c>
      <c r="U2497" t="str">
        <f t="shared" si="1343"/>
        <v>ACC530</v>
      </c>
      <c r="V2497">
        <v>0</v>
      </c>
      <c r="W2497">
        <v>0</v>
      </c>
      <c r="X2497">
        <v>1</v>
      </c>
      <c r="Z2497">
        <v>0</v>
      </c>
      <c r="AA2497">
        <v>9</v>
      </c>
      <c r="AB2497">
        <v>3</v>
      </c>
      <c r="AC2497">
        <v>0</v>
      </c>
      <c r="AD2497">
        <v>9</v>
      </c>
      <c r="AE2497">
        <v>0</v>
      </c>
      <c r="AF2497">
        <v>3</v>
      </c>
      <c r="AG2497">
        <v>1</v>
      </c>
      <c r="AH2497">
        <v>0</v>
      </c>
      <c r="AI2497" t="s">
        <v>882</v>
      </c>
      <c r="AJ2497">
        <v>34.145550999999998</v>
      </c>
      <c r="AK2497" t="s">
        <v>883</v>
      </c>
      <c r="AL2497">
        <v>-117.052267</v>
      </c>
      <c r="AM2497">
        <v>100</v>
      </c>
      <c r="AN2497">
        <v>7000</v>
      </c>
      <c r="AO2497" t="s">
        <v>118</v>
      </c>
      <c r="AP2497">
        <v>-56</v>
      </c>
      <c r="AQ2497">
        <v>-93</v>
      </c>
      <c r="AR2497">
        <v>-960</v>
      </c>
      <c r="AZ2497">
        <v>1200</v>
      </c>
      <c r="BA2497">
        <v>1</v>
      </c>
      <c r="BB2497" t="str">
        <f t="shared" si="1347"/>
        <v xml:space="preserve">N9217B  </v>
      </c>
      <c r="BC2497">
        <v>1</v>
      </c>
      <c r="BE2497">
        <v>0</v>
      </c>
      <c r="BF2497">
        <v>0</v>
      </c>
      <c r="BG2497">
        <v>0</v>
      </c>
      <c r="BH2497">
        <v>6975</v>
      </c>
      <c r="BI2497">
        <v>1</v>
      </c>
      <c r="BJ2497">
        <v>0</v>
      </c>
      <c r="BK2497">
        <v>0</v>
      </c>
      <c r="BL2497">
        <v>0</v>
      </c>
      <c r="BO2497">
        <v>0</v>
      </c>
      <c r="BP2497">
        <v>0</v>
      </c>
      <c r="BW2497" t="str">
        <f t="shared" si="1375"/>
        <v>14:55:10.772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285</v>
      </c>
      <c r="CR2497">
        <v>0</v>
      </c>
      <c r="CW2497">
        <v>8866854</v>
      </c>
      <c r="CY2497">
        <v>0</v>
      </c>
      <c r="CZ2497">
        <v>0</v>
      </c>
      <c r="DA2497">
        <v>1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25">
      <c r="A2498" t="str">
        <f t="shared" ref="A2498:A2504" si="1376">"06/05/2020 14:55:06.016"</f>
        <v>06/05/2020 14:55:06.016</v>
      </c>
      <c r="C2498" t="str">
        <f t="shared" si="1362"/>
        <v>FFDFD3C0</v>
      </c>
      <c r="D2498" t="s">
        <v>151</v>
      </c>
      <c r="E2498">
        <v>8</v>
      </c>
      <c r="H2498">
        <v>225</v>
      </c>
      <c r="I2498" t="s">
        <v>353</v>
      </c>
      <c r="J2498" t="s">
        <v>150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ref="S2498:S2504" si="1377">"14:55:11.656"</f>
        <v>14:55:11.656</v>
      </c>
      <c r="T2498" t="str">
        <f t="shared" ref="T2498:T2504" si="1378">"14:55:11.456"</f>
        <v>14:55:11.456</v>
      </c>
      <c r="U2498" t="str">
        <f t="shared" ref="U2498:U2561" si="1379">"ACC530"</f>
        <v>ACC530</v>
      </c>
      <c r="V2498">
        <v>0</v>
      </c>
      <c r="W2498">
        <v>0</v>
      </c>
      <c r="X2498">
        <v>1</v>
      </c>
      <c r="Z2498">
        <v>0</v>
      </c>
      <c r="AA2498">
        <v>9</v>
      </c>
      <c r="AB2498">
        <v>3</v>
      </c>
      <c r="AC2498">
        <v>0</v>
      </c>
      <c r="AD2498">
        <v>9</v>
      </c>
      <c r="AE2498">
        <v>0</v>
      </c>
      <c r="AF2498">
        <v>3</v>
      </c>
      <c r="AG2498">
        <v>1</v>
      </c>
      <c r="AH2498">
        <v>0</v>
      </c>
      <c r="AI2498" t="s">
        <v>884</v>
      </c>
      <c r="AJ2498">
        <v>34.145186000000002</v>
      </c>
      <c r="AK2498" t="s">
        <v>885</v>
      </c>
      <c r="AL2498">
        <v>-117.052481</v>
      </c>
      <c r="AM2498">
        <v>100</v>
      </c>
      <c r="AN2498">
        <v>7000</v>
      </c>
      <c r="AO2498" t="s">
        <v>118</v>
      </c>
      <c r="AP2498">
        <v>-55</v>
      </c>
      <c r="AQ2498">
        <v>-93</v>
      </c>
      <c r="AR2498">
        <v>-960</v>
      </c>
      <c r="AZ2498">
        <v>1200</v>
      </c>
      <c r="BA2498">
        <v>1</v>
      </c>
      <c r="BB2498" t="str">
        <f t="shared" si="1347"/>
        <v xml:space="preserve">N9217B  </v>
      </c>
      <c r="BC2498">
        <v>1</v>
      </c>
      <c r="BE2498">
        <v>0</v>
      </c>
      <c r="BF2498">
        <v>0</v>
      </c>
      <c r="BG2498">
        <v>0</v>
      </c>
      <c r="BH2498">
        <v>6950</v>
      </c>
      <c r="BI2498">
        <v>1</v>
      </c>
      <c r="BJ2498">
        <v>0</v>
      </c>
      <c r="BK2498">
        <v>0</v>
      </c>
      <c r="BL2498">
        <v>0</v>
      </c>
      <c r="BO2498">
        <v>0</v>
      </c>
      <c r="BP2498">
        <v>0</v>
      </c>
      <c r="BW2498" t="str">
        <f t="shared" ref="BW2498:BW2504" si="1380">"14:55:11.657"</f>
        <v>14:55:11.657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285</v>
      </c>
      <c r="CR2498">
        <v>0</v>
      </c>
      <c r="CW2498">
        <v>8866940</v>
      </c>
      <c r="CY2498">
        <v>0</v>
      </c>
      <c r="CZ2498">
        <v>0</v>
      </c>
      <c r="DA2498">
        <v>0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25">
      <c r="A2499" t="str">
        <f t="shared" si="1376"/>
        <v>06/05/2020 14:55:06.016</v>
      </c>
      <c r="C2499" t="str">
        <f t="shared" si="1362"/>
        <v>FFDFD3C0</v>
      </c>
      <c r="D2499" t="s">
        <v>151</v>
      </c>
      <c r="E2499">
        <v>9</v>
      </c>
      <c r="H2499">
        <v>226</v>
      </c>
      <c r="I2499" t="s">
        <v>152</v>
      </c>
      <c r="J2499" t="s">
        <v>150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377"/>
        <v>14:55:11.656</v>
      </c>
      <c r="T2499" t="str">
        <f t="shared" si="1378"/>
        <v>14:55:11.456</v>
      </c>
      <c r="U2499" t="str">
        <f t="shared" si="1379"/>
        <v>ACC530</v>
      </c>
      <c r="V2499">
        <v>0</v>
      </c>
      <c r="W2499">
        <v>0</v>
      </c>
      <c r="X2499">
        <v>1</v>
      </c>
      <c r="Z2499">
        <v>0</v>
      </c>
      <c r="AA2499">
        <v>9</v>
      </c>
      <c r="AB2499">
        <v>3</v>
      </c>
      <c r="AC2499">
        <v>0</v>
      </c>
      <c r="AD2499">
        <v>9</v>
      </c>
      <c r="AE2499">
        <v>0</v>
      </c>
      <c r="AF2499">
        <v>3</v>
      </c>
      <c r="AG2499">
        <v>1</v>
      </c>
      <c r="AH2499">
        <v>0</v>
      </c>
      <c r="AI2499" t="s">
        <v>884</v>
      </c>
      <c r="AJ2499">
        <v>34.145186000000002</v>
      </c>
      <c r="AK2499" t="s">
        <v>885</v>
      </c>
      <c r="AL2499">
        <v>-117.052481</v>
      </c>
      <c r="AM2499">
        <v>100</v>
      </c>
      <c r="AN2499">
        <v>7000</v>
      </c>
      <c r="AO2499" t="s">
        <v>118</v>
      </c>
      <c r="AP2499">
        <v>-55</v>
      </c>
      <c r="AQ2499">
        <v>-93</v>
      </c>
      <c r="AR2499">
        <v>-960</v>
      </c>
      <c r="AZ2499">
        <v>1200</v>
      </c>
      <c r="BA2499">
        <v>1</v>
      </c>
      <c r="BB2499" t="str">
        <f t="shared" si="1347"/>
        <v xml:space="preserve">N9217B  </v>
      </c>
      <c r="BC2499">
        <v>1</v>
      </c>
      <c r="BE2499">
        <v>0</v>
      </c>
      <c r="BF2499">
        <v>0</v>
      </c>
      <c r="BG2499">
        <v>0</v>
      </c>
      <c r="BH2499">
        <v>6950</v>
      </c>
      <c r="BI2499">
        <v>1</v>
      </c>
      <c r="BJ2499">
        <v>0</v>
      </c>
      <c r="BK2499">
        <v>0</v>
      </c>
      <c r="BL2499">
        <v>0</v>
      </c>
      <c r="BO2499">
        <v>0</v>
      </c>
      <c r="BP2499">
        <v>0</v>
      </c>
      <c r="BW2499" t="str">
        <f t="shared" si="1380"/>
        <v>14:55:11.657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285</v>
      </c>
      <c r="CR2499">
        <v>0</v>
      </c>
      <c r="CW2499">
        <v>8866940</v>
      </c>
      <c r="CY2499">
        <v>0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25">
      <c r="A2500" t="str">
        <f t="shared" si="1376"/>
        <v>06/05/2020 14:55:06.016</v>
      </c>
      <c r="C2500" t="str">
        <f t="shared" si="1362"/>
        <v>FFDFD3C0</v>
      </c>
      <c r="D2500" t="s">
        <v>113</v>
      </c>
      <c r="E2500">
        <v>3</v>
      </c>
      <c r="H2500">
        <v>166</v>
      </c>
      <c r="I2500" t="s">
        <v>114</v>
      </c>
      <c r="J2500" t="s">
        <v>115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377"/>
        <v>14:55:11.656</v>
      </c>
      <c r="T2500" t="str">
        <f t="shared" si="1378"/>
        <v>14:55:11.456</v>
      </c>
      <c r="U2500" t="str">
        <f t="shared" si="1379"/>
        <v>ACC530</v>
      </c>
      <c r="V2500">
        <v>0</v>
      </c>
      <c r="W2500">
        <v>0</v>
      </c>
      <c r="X2500">
        <v>1</v>
      </c>
      <c r="Z2500">
        <v>0</v>
      </c>
      <c r="AA2500">
        <v>9</v>
      </c>
      <c r="AB2500">
        <v>3</v>
      </c>
      <c r="AC2500">
        <v>0</v>
      </c>
      <c r="AD2500">
        <v>9</v>
      </c>
      <c r="AE2500">
        <v>0</v>
      </c>
      <c r="AF2500">
        <v>3</v>
      </c>
      <c r="AG2500">
        <v>1</v>
      </c>
      <c r="AH2500">
        <v>0</v>
      </c>
      <c r="AI2500" t="s">
        <v>884</v>
      </c>
      <c r="AJ2500">
        <v>34.145186000000002</v>
      </c>
      <c r="AK2500" t="s">
        <v>885</v>
      </c>
      <c r="AL2500">
        <v>-117.052481</v>
      </c>
      <c r="AM2500">
        <v>100</v>
      </c>
      <c r="AN2500">
        <v>7000</v>
      </c>
      <c r="AO2500" t="s">
        <v>118</v>
      </c>
      <c r="AP2500">
        <v>-55</v>
      </c>
      <c r="AQ2500">
        <v>-93</v>
      </c>
      <c r="AR2500">
        <v>-960</v>
      </c>
      <c r="AZ2500">
        <v>1200</v>
      </c>
      <c r="BA2500">
        <v>1</v>
      </c>
      <c r="BB2500" t="str">
        <f t="shared" si="1347"/>
        <v xml:space="preserve">N9217B  </v>
      </c>
      <c r="BC2500">
        <v>1</v>
      </c>
      <c r="BE2500">
        <v>0</v>
      </c>
      <c r="BF2500">
        <v>0</v>
      </c>
      <c r="BG2500">
        <v>0</v>
      </c>
      <c r="BH2500">
        <v>6950</v>
      </c>
      <c r="BI2500">
        <v>1</v>
      </c>
      <c r="BJ2500">
        <v>0</v>
      </c>
      <c r="BK2500">
        <v>0</v>
      </c>
      <c r="BL2500">
        <v>0</v>
      </c>
      <c r="BO2500">
        <v>0</v>
      </c>
      <c r="BP2500">
        <v>0</v>
      </c>
      <c r="BW2500" t="str">
        <f t="shared" si="1380"/>
        <v>14:55:11.657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285</v>
      </c>
      <c r="CR2500">
        <v>0</v>
      </c>
      <c r="CW2500">
        <v>8866940</v>
      </c>
      <c r="CY2500">
        <v>0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25">
      <c r="A2501" t="str">
        <f t="shared" si="1376"/>
        <v>06/05/2020 14:55:06.016</v>
      </c>
      <c r="C2501" t="str">
        <f t="shared" si="1362"/>
        <v>FFDFD3C0</v>
      </c>
      <c r="D2501" t="s">
        <v>134</v>
      </c>
      <c r="E2501">
        <v>7</v>
      </c>
      <c r="F2501">
        <v>2007</v>
      </c>
      <c r="G2501" t="s">
        <v>135</v>
      </c>
      <c r="J2501" t="s">
        <v>136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377"/>
        <v>14:55:11.656</v>
      </c>
      <c r="T2501" t="str">
        <f t="shared" si="1378"/>
        <v>14:55:11.456</v>
      </c>
      <c r="U2501" t="str">
        <f t="shared" si="1379"/>
        <v>ACC530</v>
      </c>
      <c r="V2501">
        <v>0</v>
      </c>
      <c r="W2501">
        <v>0</v>
      </c>
      <c r="X2501">
        <v>1</v>
      </c>
      <c r="Z2501">
        <v>0</v>
      </c>
      <c r="AA2501">
        <v>9</v>
      </c>
      <c r="AB2501">
        <v>3</v>
      </c>
      <c r="AC2501">
        <v>0</v>
      </c>
      <c r="AD2501">
        <v>9</v>
      </c>
      <c r="AE2501">
        <v>0</v>
      </c>
      <c r="AF2501">
        <v>3</v>
      </c>
      <c r="AG2501">
        <v>1</v>
      </c>
      <c r="AH2501">
        <v>0</v>
      </c>
      <c r="AI2501" t="s">
        <v>884</v>
      </c>
      <c r="AJ2501">
        <v>34.145186000000002</v>
      </c>
      <c r="AK2501" t="s">
        <v>885</v>
      </c>
      <c r="AL2501">
        <v>-117.052481</v>
      </c>
      <c r="AM2501">
        <v>100</v>
      </c>
      <c r="AN2501">
        <v>7000</v>
      </c>
      <c r="AO2501" t="s">
        <v>118</v>
      </c>
      <c r="AP2501">
        <v>-55</v>
      </c>
      <c r="AQ2501">
        <v>-93</v>
      </c>
      <c r="AR2501">
        <v>-960</v>
      </c>
      <c r="AZ2501">
        <v>1200</v>
      </c>
      <c r="BA2501">
        <v>1</v>
      </c>
      <c r="BB2501" t="str">
        <f t="shared" ref="BB2501:BB2564" si="1381">"N9217B  "</f>
        <v xml:space="preserve">N9217B  </v>
      </c>
      <c r="BC2501">
        <v>1</v>
      </c>
      <c r="BE2501">
        <v>0</v>
      </c>
      <c r="BF2501">
        <v>0</v>
      </c>
      <c r="BG2501">
        <v>0</v>
      </c>
      <c r="BH2501">
        <v>6950</v>
      </c>
      <c r="BI2501">
        <v>1</v>
      </c>
      <c r="BJ2501">
        <v>0</v>
      </c>
      <c r="BK2501">
        <v>0</v>
      </c>
      <c r="BL2501">
        <v>0</v>
      </c>
      <c r="BO2501">
        <v>0</v>
      </c>
      <c r="BP2501">
        <v>0</v>
      </c>
      <c r="BW2501" t="str">
        <f t="shared" si="1380"/>
        <v>14:55:11.657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285</v>
      </c>
      <c r="CR2501">
        <v>0</v>
      </c>
      <c r="CW2501">
        <v>8866940</v>
      </c>
      <c r="CY2501">
        <v>0</v>
      </c>
      <c r="CZ2501">
        <v>0</v>
      </c>
      <c r="DA2501">
        <v>1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25">
      <c r="A2502" t="str">
        <f t="shared" si="1376"/>
        <v>06/05/2020 14:55:06.016</v>
      </c>
      <c r="C2502" t="str">
        <f t="shared" si="1362"/>
        <v>FFDFD3C0</v>
      </c>
      <c r="D2502" t="s">
        <v>148</v>
      </c>
      <c r="E2502">
        <v>11</v>
      </c>
      <c r="H2502">
        <v>53</v>
      </c>
      <c r="I2502" t="s">
        <v>364</v>
      </c>
      <c r="J2502" t="s">
        <v>150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377"/>
        <v>14:55:11.656</v>
      </c>
      <c r="T2502" t="str">
        <f t="shared" si="1378"/>
        <v>14:55:11.456</v>
      </c>
      <c r="U2502" t="str">
        <f t="shared" si="1379"/>
        <v>ACC530</v>
      </c>
      <c r="V2502">
        <v>0</v>
      </c>
      <c r="W2502">
        <v>0</v>
      </c>
      <c r="X2502">
        <v>1</v>
      </c>
      <c r="Z2502">
        <v>0</v>
      </c>
      <c r="AA2502">
        <v>9</v>
      </c>
      <c r="AB2502">
        <v>3</v>
      </c>
      <c r="AC2502">
        <v>0</v>
      </c>
      <c r="AD2502">
        <v>9</v>
      </c>
      <c r="AE2502">
        <v>0</v>
      </c>
      <c r="AF2502">
        <v>3</v>
      </c>
      <c r="AG2502">
        <v>1</v>
      </c>
      <c r="AH2502">
        <v>0</v>
      </c>
      <c r="AI2502" t="s">
        <v>884</v>
      </c>
      <c r="AJ2502">
        <v>34.145186000000002</v>
      </c>
      <c r="AK2502" t="s">
        <v>885</v>
      </c>
      <c r="AL2502">
        <v>-117.052481</v>
      </c>
      <c r="AM2502">
        <v>100</v>
      </c>
      <c r="AN2502">
        <v>7000</v>
      </c>
      <c r="AO2502" t="s">
        <v>118</v>
      </c>
      <c r="AP2502">
        <v>-55</v>
      </c>
      <c r="AQ2502">
        <v>-93</v>
      </c>
      <c r="AR2502">
        <v>-960</v>
      </c>
      <c r="AZ2502">
        <v>1200</v>
      </c>
      <c r="BA2502">
        <v>1</v>
      </c>
      <c r="BB2502" t="str">
        <f t="shared" si="1381"/>
        <v xml:space="preserve">N9217B  </v>
      </c>
      <c r="BC2502">
        <v>1</v>
      </c>
      <c r="BE2502">
        <v>0</v>
      </c>
      <c r="BF2502">
        <v>0</v>
      </c>
      <c r="BG2502">
        <v>0</v>
      </c>
      <c r="BH2502">
        <v>6950</v>
      </c>
      <c r="BI2502">
        <v>1</v>
      </c>
      <c r="BJ2502">
        <v>0</v>
      </c>
      <c r="BK2502">
        <v>0</v>
      </c>
      <c r="BL2502">
        <v>0</v>
      </c>
      <c r="BO2502">
        <v>0</v>
      </c>
      <c r="BP2502">
        <v>0</v>
      </c>
      <c r="BW2502" t="str">
        <f t="shared" si="1380"/>
        <v>14:55:11.657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285</v>
      </c>
      <c r="CR2502">
        <v>0</v>
      </c>
      <c r="CW2502">
        <v>8866940</v>
      </c>
      <c r="CY2502">
        <v>0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25">
      <c r="A2503" t="str">
        <f t="shared" si="1376"/>
        <v>06/05/2020 14:55:06.016</v>
      </c>
      <c r="C2503" t="str">
        <f t="shared" si="1362"/>
        <v>FFDFD3C0</v>
      </c>
      <c r="D2503" t="s">
        <v>148</v>
      </c>
      <c r="E2503">
        <v>8</v>
      </c>
      <c r="H2503">
        <v>50</v>
      </c>
      <c r="I2503" t="s">
        <v>149</v>
      </c>
      <c r="J2503" t="s">
        <v>150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377"/>
        <v>14:55:11.656</v>
      </c>
      <c r="T2503" t="str">
        <f t="shared" si="1378"/>
        <v>14:55:11.456</v>
      </c>
      <c r="U2503" t="str">
        <f t="shared" si="1379"/>
        <v>ACC530</v>
      </c>
      <c r="V2503">
        <v>0</v>
      </c>
      <c r="W2503">
        <v>0</v>
      </c>
      <c r="X2503">
        <v>1</v>
      </c>
      <c r="Z2503">
        <v>0</v>
      </c>
      <c r="AA2503">
        <v>9</v>
      </c>
      <c r="AB2503">
        <v>3</v>
      </c>
      <c r="AC2503">
        <v>0</v>
      </c>
      <c r="AD2503">
        <v>9</v>
      </c>
      <c r="AE2503">
        <v>0</v>
      </c>
      <c r="AF2503">
        <v>3</v>
      </c>
      <c r="AG2503">
        <v>1</v>
      </c>
      <c r="AH2503">
        <v>0</v>
      </c>
      <c r="AI2503" t="s">
        <v>884</v>
      </c>
      <c r="AJ2503">
        <v>34.145186000000002</v>
      </c>
      <c r="AK2503" t="s">
        <v>885</v>
      </c>
      <c r="AL2503">
        <v>-117.052481</v>
      </c>
      <c r="AM2503">
        <v>100</v>
      </c>
      <c r="AN2503">
        <v>7000</v>
      </c>
      <c r="AO2503" t="s">
        <v>118</v>
      </c>
      <c r="AP2503">
        <v>-55</v>
      </c>
      <c r="AQ2503">
        <v>-93</v>
      </c>
      <c r="AR2503">
        <v>-960</v>
      </c>
      <c r="AZ2503">
        <v>1200</v>
      </c>
      <c r="BA2503">
        <v>1</v>
      </c>
      <c r="BB2503" t="str">
        <f t="shared" si="1381"/>
        <v xml:space="preserve">N9217B  </v>
      </c>
      <c r="BC2503">
        <v>1</v>
      </c>
      <c r="BE2503">
        <v>0</v>
      </c>
      <c r="BF2503">
        <v>0</v>
      </c>
      <c r="BG2503">
        <v>0</v>
      </c>
      <c r="BH2503">
        <v>6950</v>
      </c>
      <c r="BI2503">
        <v>1</v>
      </c>
      <c r="BJ2503">
        <v>0</v>
      </c>
      <c r="BK2503">
        <v>0</v>
      </c>
      <c r="BL2503">
        <v>0</v>
      </c>
      <c r="BO2503">
        <v>0</v>
      </c>
      <c r="BP2503">
        <v>0</v>
      </c>
      <c r="BW2503" t="str">
        <f t="shared" si="1380"/>
        <v>14:55:11.657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285</v>
      </c>
      <c r="CR2503">
        <v>0</v>
      </c>
      <c r="CW2503">
        <v>8866940</v>
      </c>
      <c r="CY2503">
        <v>0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25">
      <c r="A2504" t="str">
        <f t="shared" si="1376"/>
        <v>06/05/2020 14:55:06.016</v>
      </c>
      <c r="C2504" t="str">
        <f t="shared" si="1362"/>
        <v>FFDFD3C0</v>
      </c>
      <c r="D2504" t="s">
        <v>141</v>
      </c>
      <c r="E2504">
        <v>20</v>
      </c>
      <c r="F2504">
        <v>1020</v>
      </c>
      <c r="G2504" t="s">
        <v>114</v>
      </c>
      <c r="J2504" t="s">
        <v>142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377"/>
        <v>14:55:11.656</v>
      </c>
      <c r="T2504" t="str">
        <f t="shared" si="1378"/>
        <v>14:55:11.456</v>
      </c>
      <c r="U2504" t="str">
        <f t="shared" si="1379"/>
        <v>ACC530</v>
      </c>
      <c r="V2504">
        <v>0</v>
      </c>
      <c r="W2504">
        <v>0</v>
      </c>
      <c r="X2504">
        <v>1</v>
      </c>
      <c r="Z2504">
        <v>0</v>
      </c>
      <c r="AA2504">
        <v>9</v>
      </c>
      <c r="AB2504">
        <v>3</v>
      </c>
      <c r="AC2504">
        <v>0</v>
      </c>
      <c r="AD2504">
        <v>9</v>
      </c>
      <c r="AE2504">
        <v>0</v>
      </c>
      <c r="AF2504">
        <v>3</v>
      </c>
      <c r="AG2504">
        <v>1</v>
      </c>
      <c r="AH2504">
        <v>0</v>
      </c>
      <c r="AI2504" t="s">
        <v>884</v>
      </c>
      <c r="AJ2504">
        <v>34.145186000000002</v>
      </c>
      <c r="AK2504" t="s">
        <v>885</v>
      </c>
      <c r="AL2504">
        <v>-117.052481</v>
      </c>
      <c r="AM2504">
        <v>100</v>
      </c>
      <c r="AN2504">
        <v>7000</v>
      </c>
      <c r="AO2504" t="s">
        <v>118</v>
      </c>
      <c r="AP2504">
        <v>-55</v>
      </c>
      <c r="AQ2504">
        <v>-93</v>
      </c>
      <c r="AR2504">
        <v>-960</v>
      </c>
      <c r="AZ2504">
        <v>1200</v>
      </c>
      <c r="BA2504">
        <v>1</v>
      </c>
      <c r="BB2504" t="str">
        <f t="shared" si="1381"/>
        <v xml:space="preserve">N9217B  </v>
      </c>
      <c r="BC2504">
        <v>1</v>
      </c>
      <c r="BE2504">
        <v>0</v>
      </c>
      <c r="BF2504">
        <v>0</v>
      </c>
      <c r="BG2504">
        <v>0</v>
      </c>
      <c r="BH2504">
        <v>6950</v>
      </c>
      <c r="BI2504">
        <v>1</v>
      </c>
      <c r="BJ2504">
        <v>0</v>
      </c>
      <c r="BK2504">
        <v>0</v>
      </c>
      <c r="BL2504">
        <v>0</v>
      </c>
      <c r="BO2504">
        <v>0</v>
      </c>
      <c r="BP2504">
        <v>0</v>
      </c>
      <c r="BW2504" t="str">
        <f t="shared" si="1380"/>
        <v>14:55:11.657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7</v>
      </c>
      <c r="CP2504" t="s">
        <v>119</v>
      </c>
      <c r="CQ2504">
        <v>285</v>
      </c>
      <c r="CR2504">
        <v>0</v>
      </c>
      <c r="CW2504">
        <v>8866940</v>
      </c>
      <c r="CY2504">
        <v>0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25">
      <c r="A2505" t="str">
        <f t="shared" ref="A2505:A2511" si="1382">"06/05/2020 14:55:06.963"</f>
        <v>06/05/2020 14:55:06.963</v>
      </c>
      <c r="C2505" t="str">
        <f t="shared" si="1362"/>
        <v>FFDFD3C0</v>
      </c>
      <c r="D2505" t="s">
        <v>148</v>
      </c>
      <c r="E2505">
        <v>11</v>
      </c>
      <c r="H2505">
        <v>53</v>
      </c>
      <c r="I2505" t="s">
        <v>364</v>
      </c>
      <c r="J2505" t="s">
        <v>150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ref="S2505:S2511" si="1383">"14:55:12.625"</f>
        <v>14:55:12.625</v>
      </c>
      <c r="T2505" t="str">
        <f t="shared" ref="T2505:T2511" si="1384">"14:55:12.425"</f>
        <v>14:55:12.425</v>
      </c>
      <c r="U2505" t="str">
        <f t="shared" si="1379"/>
        <v>ACC530</v>
      </c>
      <c r="V2505">
        <v>0</v>
      </c>
      <c r="W2505">
        <v>0</v>
      </c>
      <c r="X2505">
        <v>1</v>
      </c>
      <c r="Z2505">
        <v>0</v>
      </c>
      <c r="AA2505">
        <v>9</v>
      </c>
      <c r="AB2505">
        <v>3</v>
      </c>
      <c r="AC2505">
        <v>0</v>
      </c>
      <c r="AD2505">
        <v>9</v>
      </c>
      <c r="AE2505">
        <v>0</v>
      </c>
      <c r="AF2505">
        <v>3</v>
      </c>
      <c r="AG2505">
        <v>1</v>
      </c>
      <c r="AH2505">
        <v>0</v>
      </c>
      <c r="AI2505" t="s">
        <v>886</v>
      </c>
      <c r="AJ2505">
        <v>34.144756999999998</v>
      </c>
      <c r="AK2505" t="s">
        <v>887</v>
      </c>
      <c r="AL2505">
        <v>-117.052803</v>
      </c>
      <c r="AM2505">
        <v>100</v>
      </c>
      <c r="AN2505">
        <v>7000</v>
      </c>
      <c r="AO2505" t="s">
        <v>118</v>
      </c>
      <c r="AP2505">
        <v>-55</v>
      </c>
      <c r="AQ2505">
        <v>-93</v>
      </c>
      <c r="AR2505">
        <v>-1024</v>
      </c>
      <c r="AZ2505">
        <v>1200</v>
      </c>
      <c r="BA2505">
        <v>1</v>
      </c>
      <c r="BB2505" t="str">
        <f t="shared" si="1381"/>
        <v xml:space="preserve">N9217B  </v>
      </c>
      <c r="BC2505">
        <v>1</v>
      </c>
      <c r="BE2505">
        <v>0</v>
      </c>
      <c r="BF2505">
        <v>0</v>
      </c>
      <c r="BG2505">
        <v>0</v>
      </c>
      <c r="BH2505">
        <v>6925</v>
      </c>
      <c r="BI2505">
        <v>1</v>
      </c>
      <c r="BJ2505">
        <v>0</v>
      </c>
      <c r="BK2505">
        <v>0</v>
      </c>
      <c r="BL2505">
        <v>0</v>
      </c>
      <c r="BO2505">
        <v>0</v>
      </c>
      <c r="BP2505">
        <v>0</v>
      </c>
      <c r="BW2505" t="str">
        <f t="shared" ref="BW2505:BW2511" si="1385">"14:55:12.631"</f>
        <v>14:55:12.631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6</v>
      </c>
      <c r="CP2505" t="s">
        <v>119</v>
      </c>
      <c r="CQ2505">
        <v>285</v>
      </c>
      <c r="CR2505">
        <v>3</v>
      </c>
      <c r="CW2505">
        <v>8867026</v>
      </c>
      <c r="CY2505">
        <v>0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25">
      <c r="A2506" t="str">
        <f t="shared" si="1382"/>
        <v>06/05/2020 14:55:06.963</v>
      </c>
      <c r="C2506" t="str">
        <f t="shared" si="1362"/>
        <v>FFDFD3C0</v>
      </c>
      <c r="D2506" t="s">
        <v>141</v>
      </c>
      <c r="E2506">
        <v>20</v>
      </c>
      <c r="F2506">
        <v>1020</v>
      </c>
      <c r="G2506" t="s">
        <v>114</v>
      </c>
      <c r="J2506" t="s">
        <v>142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383"/>
        <v>14:55:12.625</v>
      </c>
      <c r="T2506" t="str">
        <f t="shared" si="1384"/>
        <v>14:55:12.425</v>
      </c>
      <c r="U2506" t="str">
        <f t="shared" si="1379"/>
        <v>ACC530</v>
      </c>
      <c r="V2506">
        <v>0</v>
      </c>
      <c r="W2506">
        <v>0</v>
      </c>
      <c r="X2506">
        <v>1</v>
      </c>
      <c r="Z2506">
        <v>0</v>
      </c>
      <c r="AA2506">
        <v>9</v>
      </c>
      <c r="AB2506">
        <v>3</v>
      </c>
      <c r="AC2506">
        <v>0</v>
      </c>
      <c r="AD2506">
        <v>9</v>
      </c>
      <c r="AE2506">
        <v>0</v>
      </c>
      <c r="AF2506">
        <v>3</v>
      </c>
      <c r="AG2506">
        <v>1</v>
      </c>
      <c r="AH2506">
        <v>0</v>
      </c>
      <c r="AI2506" t="s">
        <v>886</v>
      </c>
      <c r="AJ2506">
        <v>34.144756999999998</v>
      </c>
      <c r="AK2506" t="s">
        <v>887</v>
      </c>
      <c r="AL2506">
        <v>-117.052803</v>
      </c>
      <c r="AM2506">
        <v>100</v>
      </c>
      <c r="AN2506">
        <v>7000</v>
      </c>
      <c r="AO2506" t="s">
        <v>118</v>
      </c>
      <c r="AP2506">
        <v>-55</v>
      </c>
      <c r="AQ2506">
        <v>-93</v>
      </c>
      <c r="AR2506">
        <v>-1024</v>
      </c>
      <c r="AZ2506">
        <v>1200</v>
      </c>
      <c r="BA2506">
        <v>1</v>
      </c>
      <c r="BB2506" t="str">
        <f t="shared" si="1381"/>
        <v xml:space="preserve">N9217B  </v>
      </c>
      <c r="BC2506">
        <v>1</v>
      </c>
      <c r="BE2506">
        <v>0</v>
      </c>
      <c r="BF2506">
        <v>0</v>
      </c>
      <c r="BG2506">
        <v>0</v>
      </c>
      <c r="BH2506">
        <v>6925</v>
      </c>
      <c r="BI2506">
        <v>1</v>
      </c>
      <c r="BJ2506">
        <v>0</v>
      </c>
      <c r="BK2506">
        <v>0</v>
      </c>
      <c r="BL2506">
        <v>0</v>
      </c>
      <c r="BO2506">
        <v>0</v>
      </c>
      <c r="BP2506">
        <v>0</v>
      </c>
      <c r="BW2506" t="str">
        <f t="shared" si="1385"/>
        <v>14:55:12.631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6</v>
      </c>
      <c r="CP2506" t="s">
        <v>119</v>
      </c>
      <c r="CQ2506">
        <v>285</v>
      </c>
      <c r="CR2506">
        <v>3</v>
      </c>
      <c r="CW2506">
        <v>8867026</v>
      </c>
      <c r="CY2506">
        <v>0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25">
      <c r="A2507" t="str">
        <f t="shared" si="1382"/>
        <v>06/05/2020 14:55:06.963</v>
      </c>
      <c r="C2507" t="str">
        <f t="shared" si="1362"/>
        <v>FFDFD3C0</v>
      </c>
      <c r="D2507" t="s">
        <v>148</v>
      </c>
      <c r="E2507">
        <v>8</v>
      </c>
      <c r="H2507">
        <v>50</v>
      </c>
      <c r="I2507" t="s">
        <v>149</v>
      </c>
      <c r="J2507" t="s">
        <v>150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383"/>
        <v>14:55:12.625</v>
      </c>
      <c r="T2507" t="str">
        <f t="shared" si="1384"/>
        <v>14:55:12.425</v>
      </c>
      <c r="U2507" t="str">
        <f t="shared" si="1379"/>
        <v>ACC530</v>
      </c>
      <c r="V2507">
        <v>0</v>
      </c>
      <c r="W2507">
        <v>0</v>
      </c>
      <c r="X2507">
        <v>1</v>
      </c>
      <c r="Z2507">
        <v>0</v>
      </c>
      <c r="AA2507">
        <v>9</v>
      </c>
      <c r="AB2507">
        <v>3</v>
      </c>
      <c r="AC2507">
        <v>0</v>
      </c>
      <c r="AD2507">
        <v>9</v>
      </c>
      <c r="AE2507">
        <v>0</v>
      </c>
      <c r="AF2507">
        <v>3</v>
      </c>
      <c r="AG2507">
        <v>1</v>
      </c>
      <c r="AH2507">
        <v>0</v>
      </c>
      <c r="AI2507" t="s">
        <v>886</v>
      </c>
      <c r="AJ2507">
        <v>34.144756999999998</v>
      </c>
      <c r="AK2507" t="s">
        <v>887</v>
      </c>
      <c r="AL2507">
        <v>-117.052803</v>
      </c>
      <c r="AM2507">
        <v>100</v>
      </c>
      <c r="AN2507">
        <v>7000</v>
      </c>
      <c r="AO2507" t="s">
        <v>118</v>
      </c>
      <c r="AP2507">
        <v>-55</v>
      </c>
      <c r="AQ2507">
        <v>-93</v>
      </c>
      <c r="AR2507">
        <v>-1024</v>
      </c>
      <c r="AZ2507">
        <v>1200</v>
      </c>
      <c r="BA2507">
        <v>1</v>
      </c>
      <c r="BB2507" t="str">
        <f t="shared" si="1381"/>
        <v xml:space="preserve">N9217B  </v>
      </c>
      <c r="BC2507">
        <v>1</v>
      </c>
      <c r="BE2507">
        <v>0</v>
      </c>
      <c r="BF2507">
        <v>0</v>
      </c>
      <c r="BG2507">
        <v>0</v>
      </c>
      <c r="BH2507">
        <v>6925</v>
      </c>
      <c r="BI2507">
        <v>1</v>
      </c>
      <c r="BJ2507">
        <v>0</v>
      </c>
      <c r="BK2507">
        <v>0</v>
      </c>
      <c r="BL2507">
        <v>0</v>
      </c>
      <c r="BO2507">
        <v>0</v>
      </c>
      <c r="BP2507">
        <v>0</v>
      </c>
      <c r="BW2507" t="str">
        <f t="shared" si="1385"/>
        <v>14:55:12.631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6</v>
      </c>
      <c r="CP2507" t="s">
        <v>119</v>
      </c>
      <c r="CQ2507">
        <v>285</v>
      </c>
      <c r="CR2507">
        <v>3</v>
      </c>
      <c r="CW2507">
        <v>8867026</v>
      </c>
      <c r="CY2507">
        <v>0</v>
      </c>
      <c r="CZ2507">
        <v>0</v>
      </c>
      <c r="DA2507">
        <v>1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25">
      <c r="A2508" t="str">
        <f t="shared" si="1382"/>
        <v>06/05/2020 14:55:06.963</v>
      </c>
      <c r="C2508" t="str">
        <f t="shared" si="1362"/>
        <v>FFDFD3C0</v>
      </c>
      <c r="D2508" t="s">
        <v>151</v>
      </c>
      <c r="E2508">
        <v>8</v>
      </c>
      <c r="H2508">
        <v>225</v>
      </c>
      <c r="I2508" t="s">
        <v>353</v>
      </c>
      <c r="J2508" t="s">
        <v>150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383"/>
        <v>14:55:12.625</v>
      </c>
      <c r="T2508" t="str">
        <f t="shared" si="1384"/>
        <v>14:55:12.425</v>
      </c>
      <c r="U2508" t="str">
        <f t="shared" si="1379"/>
        <v>ACC530</v>
      </c>
      <c r="V2508">
        <v>0</v>
      </c>
      <c r="W2508">
        <v>0</v>
      </c>
      <c r="X2508">
        <v>1</v>
      </c>
      <c r="Z2508">
        <v>0</v>
      </c>
      <c r="AA2508">
        <v>9</v>
      </c>
      <c r="AB2508">
        <v>3</v>
      </c>
      <c r="AC2508">
        <v>0</v>
      </c>
      <c r="AD2508">
        <v>9</v>
      </c>
      <c r="AE2508">
        <v>0</v>
      </c>
      <c r="AF2508">
        <v>3</v>
      </c>
      <c r="AG2508">
        <v>1</v>
      </c>
      <c r="AH2508">
        <v>0</v>
      </c>
      <c r="AI2508" t="s">
        <v>886</v>
      </c>
      <c r="AJ2508">
        <v>34.144756999999998</v>
      </c>
      <c r="AK2508" t="s">
        <v>887</v>
      </c>
      <c r="AL2508">
        <v>-117.052803</v>
      </c>
      <c r="AM2508">
        <v>100</v>
      </c>
      <c r="AN2508">
        <v>7000</v>
      </c>
      <c r="AO2508" t="s">
        <v>118</v>
      </c>
      <c r="AP2508">
        <v>-55</v>
      </c>
      <c r="AQ2508">
        <v>-93</v>
      </c>
      <c r="AR2508">
        <v>-1024</v>
      </c>
      <c r="AZ2508">
        <v>1200</v>
      </c>
      <c r="BA2508">
        <v>1</v>
      </c>
      <c r="BB2508" t="str">
        <f t="shared" si="1381"/>
        <v xml:space="preserve">N9217B  </v>
      </c>
      <c r="BC2508">
        <v>1</v>
      </c>
      <c r="BE2508">
        <v>0</v>
      </c>
      <c r="BF2508">
        <v>0</v>
      </c>
      <c r="BG2508">
        <v>0</v>
      </c>
      <c r="BH2508">
        <v>6925</v>
      </c>
      <c r="BI2508">
        <v>1</v>
      </c>
      <c r="BJ2508">
        <v>0</v>
      </c>
      <c r="BK2508">
        <v>0</v>
      </c>
      <c r="BL2508">
        <v>0</v>
      </c>
      <c r="BO2508">
        <v>0</v>
      </c>
      <c r="BP2508">
        <v>0</v>
      </c>
      <c r="BW2508" t="str">
        <f t="shared" si="1385"/>
        <v>14:55:12.631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6</v>
      </c>
      <c r="CP2508" t="s">
        <v>119</v>
      </c>
      <c r="CQ2508">
        <v>285</v>
      </c>
      <c r="CR2508">
        <v>3</v>
      </c>
      <c r="CW2508">
        <v>8867026</v>
      </c>
      <c r="CY2508">
        <v>0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25">
      <c r="A2509" t="str">
        <f t="shared" si="1382"/>
        <v>06/05/2020 14:55:06.963</v>
      </c>
      <c r="C2509" t="str">
        <f t="shared" si="1362"/>
        <v>FFDFD3C0</v>
      </c>
      <c r="D2509" t="s">
        <v>151</v>
      </c>
      <c r="E2509">
        <v>9</v>
      </c>
      <c r="H2509">
        <v>226</v>
      </c>
      <c r="I2509" t="s">
        <v>152</v>
      </c>
      <c r="J2509" t="s">
        <v>150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383"/>
        <v>14:55:12.625</v>
      </c>
      <c r="T2509" t="str">
        <f t="shared" si="1384"/>
        <v>14:55:12.425</v>
      </c>
      <c r="U2509" t="str">
        <f t="shared" si="1379"/>
        <v>ACC530</v>
      </c>
      <c r="V2509">
        <v>0</v>
      </c>
      <c r="W2509">
        <v>0</v>
      </c>
      <c r="X2509">
        <v>1</v>
      </c>
      <c r="Z2509">
        <v>0</v>
      </c>
      <c r="AA2509">
        <v>9</v>
      </c>
      <c r="AB2509">
        <v>3</v>
      </c>
      <c r="AC2509">
        <v>0</v>
      </c>
      <c r="AD2509">
        <v>9</v>
      </c>
      <c r="AE2509">
        <v>0</v>
      </c>
      <c r="AF2509">
        <v>3</v>
      </c>
      <c r="AG2509">
        <v>1</v>
      </c>
      <c r="AH2509">
        <v>0</v>
      </c>
      <c r="AI2509" t="s">
        <v>886</v>
      </c>
      <c r="AJ2509">
        <v>34.144756999999998</v>
      </c>
      <c r="AK2509" t="s">
        <v>887</v>
      </c>
      <c r="AL2509">
        <v>-117.052803</v>
      </c>
      <c r="AM2509">
        <v>100</v>
      </c>
      <c r="AN2509">
        <v>7000</v>
      </c>
      <c r="AO2509" t="s">
        <v>118</v>
      </c>
      <c r="AP2509">
        <v>-55</v>
      </c>
      <c r="AQ2509">
        <v>-93</v>
      </c>
      <c r="AR2509">
        <v>-1024</v>
      </c>
      <c r="AZ2509">
        <v>1200</v>
      </c>
      <c r="BA2509">
        <v>1</v>
      </c>
      <c r="BB2509" t="str">
        <f t="shared" si="1381"/>
        <v xml:space="preserve">N9217B  </v>
      </c>
      <c r="BC2509">
        <v>1</v>
      </c>
      <c r="BE2509">
        <v>0</v>
      </c>
      <c r="BF2509">
        <v>0</v>
      </c>
      <c r="BG2509">
        <v>0</v>
      </c>
      <c r="BH2509">
        <v>6925</v>
      </c>
      <c r="BI2509">
        <v>1</v>
      </c>
      <c r="BJ2509">
        <v>0</v>
      </c>
      <c r="BK2509">
        <v>0</v>
      </c>
      <c r="BL2509">
        <v>0</v>
      </c>
      <c r="BO2509">
        <v>0</v>
      </c>
      <c r="BP2509">
        <v>0</v>
      </c>
      <c r="BW2509" t="str">
        <f t="shared" si="1385"/>
        <v>14:55:12.631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6</v>
      </c>
      <c r="CP2509" t="s">
        <v>119</v>
      </c>
      <c r="CQ2509">
        <v>285</v>
      </c>
      <c r="CR2509">
        <v>3</v>
      </c>
      <c r="CW2509">
        <v>8867026</v>
      </c>
      <c r="CY2509">
        <v>0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25">
      <c r="A2510" t="str">
        <f t="shared" si="1382"/>
        <v>06/05/2020 14:55:06.963</v>
      </c>
      <c r="C2510" t="str">
        <f t="shared" si="1362"/>
        <v>FFDFD3C0</v>
      </c>
      <c r="D2510" t="s">
        <v>113</v>
      </c>
      <c r="E2510">
        <v>3</v>
      </c>
      <c r="H2510">
        <v>166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383"/>
        <v>14:55:12.625</v>
      </c>
      <c r="T2510" t="str">
        <f t="shared" si="1384"/>
        <v>14:55:12.425</v>
      </c>
      <c r="U2510" t="str">
        <f t="shared" si="1379"/>
        <v>ACC530</v>
      </c>
      <c r="V2510">
        <v>0</v>
      </c>
      <c r="W2510">
        <v>0</v>
      </c>
      <c r="X2510">
        <v>1</v>
      </c>
      <c r="Z2510">
        <v>0</v>
      </c>
      <c r="AA2510">
        <v>9</v>
      </c>
      <c r="AB2510">
        <v>3</v>
      </c>
      <c r="AC2510">
        <v>0</v>
      </c>
      <c r="AD2510">
        <v>9</v>
      </c>
      <c r="AE2510">
        <v>0</v>
      </c>
      <c r="AF2510">
        <v>3</v>
      </c>
      <c r="AG2510">
        <v>1</v>
      </c>
      <c r="AH2510">
        <v>0</v>
      </c>
      <c r="AI2510" t="s">
        <v>886</v>
      </c>
      <c r="AJ2510">
        <v>34.144756999999998</v>
      </c>
      <c r="AK2510" t="s">
        <v>887</v>
      </c>
      <c r="AL2510">
        <v>-117.052803</v>
      </c>
      <c r="AM2510">
        <v>100</v>
      </c>
      <c r="AN2510">
        <v>7000</v>
      </c>
      <c r="AO2510" t="s">
        <v>118</v>
      </c>
      <c r="AP2510">
        <v>-55</v>
      </c>
      <c r="AQ2510">
        <v>-93</v>
      </c>
      <c r="AR2510">
        <v>-1024</v>
      </c>
      <c r="AZ2510">
        <v>1200</v>
      </c>
      <c r="BA2510">
        <v>1</v>
      </c>
      <c r="BB2510" t="str">
        <f t="shared" si="1381"/>
        <v xml:space="preserve">N9217B  </v>
      </c>
      <c r="BC2510">
        <v>1</v>
      </c>
      <c r="BE2510">
        <v>0</v>
      </c>
      <c r="BF2510">
        <v>0</v>
      </c>
      <c r="BG2510">
        <v>0</v>
      </c>
      <c r="BH2510">
        <v>6925</v>
      </c>
      <c r="BI2510">
        <v>1</v>
      </c>
      <c r="BJ2510">
        <v>0</v>
      </c>
      <c r="BK2510">
        <v>0</v>
      </c>
      <c r="BL2510">
        <v>0</v>
      </c>
      <c r="BO2510">
        <v>0</v>
      </c>
      <c r="BP2510">
        <v>0</v>
      </c>
      <c r="BW2510" t="str">
        <f t="shared" si="1385"/>
        <v>14:55:12.631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6</v>
      </c>
      <c r="CP2510" t="s">
        <v>119</v>
      </c>
      <c r="CQ2510">
        <v>285</v>
      </c>
      <c r="CR2510">
        <v>3</v>
      </c>
      <c r="CW2510">
        <v>8867026</v>
      </c>
      <c r="CY2510">
        <v>0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25">
      <c r="A2511" t="str">
        <f t="shared" si="1382"/>
        <v>06/05/2020 14:55:06.963</v>
      </c>
      <c r="C2511" t="str">
        <f t="shared" si="1362"/>
        <v>FFDFD3C0</v>
      </c>
      <c r="D2511" t="s">
        <v>134</v>
      </c>
      <c r="E2511">
        <v>7</v>
      </c>
      <c r="F2511">
        <v>2007</v>
      </c>
      <c r="G2511" t="s">
        <v>135</v>
      </c>
      <c r="J2511" t="s">
        <v>136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383"/>
        <v>14:55:12.625</v>
      </c>
      <c r="T2511" t="str">
        <f t="shared" si="1384"/>
        <v>14:55:12.425</v>
      </c>
      <c r="U2511" t="str">
        <f t="shared" si="1379"/>
        <v>ACC530</v>
      </c>
      <c r="V2511">
        <v>0</v>
      </c>
      <c r="W2511">
        <v>0</v>
      </c>
      <c r="X2511">
        <v>1</v>
      </c>
      <c r="Z2511">
        <v>0</v>
      </c>
      <c r="AA2511">
        <v>9</v>
      </c>
      <c r="AB2511">
        <v>3</v>
      </c>
      <c r="AC2511">
        <v>0</v>
      </c>
      <c r="AD2511">
        <v>9</v>
      </c>
      <c r="AE2511">
        <v>0</v>
      </c>
      <c r="AF2511">
        <v>3</v>
      </c>
      <c r="AG2511">
        <v>1</v>
      </c>
      <c r="AH2511">
        <v>0</v>
      </c>
      <c r="AI2511" t="s">
        <v>886</v>
      </c>
      <c r="AJ2511">
        <v>34.144756999999998</v>
      </c>
      <c r="AK2511" t="s">
        <v>887</v>
      </c>
      <c r="AL2511">
        <v>-117.052803</v>
      </c>
      <c r="AM2511">
        <v>100</v>
      </c>
      <c r="AN2511">
        <v>7000</v>
      </c>
      <c r="AO2511" t="s">
        <v>118</v>
      </c>
      <c r="AP2511">
        <v>-55</v>
      </c>
      <c r="AQ2511">
        <v>-93</v>
      </c>
      <c r="AR2511">
        <v>-1024</v>
      </c>
      <c r="AZ2511">
        <v>1200</v>
      </c>
      <c r="BA2511">
        <v>1</v>
      </c>
      <c r="BB2511" t="str">
        <f t="shared" si="1381"/>
        <v xml:space="preserve">N9217B  </v>
      </c>
      <c r="BC2511">
        <v>1</v>
      </c>
      <c r="BE2511">
        <v>0</v>
      </c>
      <c r="BF2511">
        <v>0</v>
      </c>
      <c r="BG2511">
        <v>0</v>
      </c>
      <c r="BH2511">
        <v>6925</v>
      </c>
      <c r="BI2511">
        <v>1</v>
      </c>
      <c r="BJ2511">
        <v>0</v>
      </c>
      <c r="BK2511">
        <v>0</v>
      </c>
      <c r="BL2511">
        <v>0</v>
      </c>
      <c r="BO2511">
        <v>0</v>
      </c>
      <c r="BP2511">
        <v>0</v>
      </c>
      <c r="BW2511" t="str">
        <f t="shared" si="1385"/>
        <v>14:55:12.631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6</v>
      </c>
      <c r="CP2511" t="s">
        <v>119</v>
      </c>
      <c r="CQ2511">
        <v>285</v>
      </c>
      <c r="CR2511">
        <v>3</v>
      </c>
      <c r="CW2511">
        <v>8867026</v>
      </c>
      <c r="CY2511">
        <v>0</v>
      </c>
      <c r="CZ2511">
        <v>0</v>
      </c>
      <c r="DA2511">
        <v>1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25">
      <c r="A2512" t="str">
        <f t="shared" ref="A2512:A2518" si="1386">"06/05/2020 14:55:08.106"</f>
        <v>06/05/2020 14:55:08.106</v>
      </c>
      <c r="C2512" t="str">
        <f t="shared" si="1362"/>
        <v>FFDFD3C0</v>
      </c>
      <c r="D2512" t="s">
        <v>151</v>
      </c>
      <c r="E2512">
        <v>9</v>
      </c>
      <c r="H2512">
        <v>226</v>
      </c>
      <c r="I2512" t="s">
        <v>152</v>
      </c>
      <c r="J2512" t="s">
        <v>150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ref="S2512:S2518" si="1387">"14:55:13.750"</f>
        <v>14:55:13.750</v>
      </c>
      <c r="T2512" t="str">
        <f t="shared" ref="T2512:T2518" si="1388">"14:55:13.450"</f>
        <v>14:55:13.450</v>
      </c>
      <c r="U2512" t="str">
        <f t="shared" si="1379"/>
        <v>ACC530</v>
      </c>
      <c r="V2512">
        <v>0</v>
      </c>
      <c r="W2512">
        <v>0</v>
      </c>
      <c r="X2512">
        <v>1</v>
      </c>
      <c r="Z2512">
        <v>0</v>
      </c>
      <c r="AA2512">
        <v>9</v>
      </c>
      <c r="AB2512">
        <v>3</v>
      </c>
      <c r="AC2512">
        <v>0</v>
      </c>
      <c r="AD2512">
        <v>9</v>
      </c>
      <c r="AE2512">
        <v>0</v>
      </c>
      <c r="AF2512">
        <v>3</v>
      </c>
      <c r="AG2512">
        <v>1</v>
      </c>
      <c r="AH2512">
        <v>0</v>
      </c>
      <c r="AI2512" t="s">
        <v>888</v>
      </c>
      <c r="AJ2512">
        <v>34.144263000000002</v>
      </c>
      <c r="AK2512" t="s">
        <v>889</v>
      </c>
      <c r="AL2512">
        <v>-117.053168</v>
      </c>
      <c r="AM2512">
        <v>100</v>
      </c>
      <c r="AN2512">
        <v>7000</v>
      </c>
      <c r="AO2512" t="s">
        <v>118</v>
      </c>
      <c r="AP2512">
        <v>-54</v>
      </c>
      <c r="AQ2512">
        <v>-94</v>
      </c>
      <c r="AR2512">
        <v>-960</v>
      </c>
      <c r="AZ2512">
        <v>1200</v>
      </c>
      <c r="BA2512">
        <v>1</v>
      </c>
      <c r="BB2512" t="str">
        <f t="shared" si="1381"/>
        <v xml:space="preserve">N9217B  </v>
      </c>
      <c r="BC2512">
        <v>1</v>
      </c>
      <c r="BE2512">
        <v>0</v>
      </c>
      <c r="BF2512">
        <v>0</v>
      </c>
      <c r="BG2512">
        <v>0</v>
      </c>
      <c r="BH2512">
        <v>6925</v>
      </c>
      <c r="BI2512">
        <v>1</v>
      </c>
      <c r="BJ2512">
        <v>0</v>
      </c>
      <c r="BK2512">
        <v>0</v>
      </c>
      <c r="BL2512">
        <v>0</v>
      </c>
      <c r="BO2512">
        <v>0</v>
      </c>
      <c r="BP2512">
        <v>0</v>
      </c>
      <c r="BW2512" t="str">
        <f t="shared" ref="BW2512:BW2518" si="1389">"14:55:13.756"</f>
        <v>14:55:13.756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285</v>
      </c>
      <c r="CR2512">
        <v>0</v>
      </c>
      <c r="CW2512">
        <v>8867130</v>
      </c>
      <c r="CY2512">
        <v>0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25">
      <c r="A2513" t="str">
        <f t="shared" si="1386"/>
        <v>06/05/2020 14:55:08.106</v>
      </c>
      <c r="C2513" t="str">
        <f t="shared" si="1362"/>
        <v>FFDFD3C0</v>
      </c>
      <c r="D2513" t="s">
        <v>134</v>
      </c>
      <c r="E2513">
        <v>7</v>
      </c>
      <c r="F2513">
        <v>2007</v>
      </c>
      <c r="G2513" t="s">
        <v>135</v>
      </c>
      <c r="J2513" t="s">
        <v>136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387"/>
        <v>14:55:13.750</v>
      </c>
      <c r="T2513" t="str">
        <f t="shared" si="1388"/>
        <v>14:55:13.450</v>
      </c>
      <c r="U2513" t="str">
        <f t="shared" si="1379"/>
        <v>ACC530</v>
      </c>
      <c r="V2513">
        <v>0</v>
      </c>
      <c r="W2513">
        <v>0</v>
      </c>
      <c r="X2513">
        <v>1</v>
      </c>
      <c r="Z2513">
        <v>0</v>
      </c>
      <c r="AA2513">
        <v>9</v>
      </c>
      <c r="AB2513">
        <v>3</v>
      </c>
      <c r="AC2513">
        <v>0</v>
      </c>
      <c r="AD2513">
        <v>9</v>
      </c>
      <c r="AE2513">
        <v>0</v>
      </c>
      <c r="AF2513">
        <v>3</v>
      </c>
      <c r="AG2513">
        <v>1</v>
      </c>
      <c r="AH2513">
        <v>0</v>
      </c>
      <c r="AI2513" t="s">
        <v>888</v>
      </c>
      <c r="AJ2513">
        <v>34.144263000000002</v>
      </c>
      <c r="AK2513" t="s">
        <v>889</v>
      </c>
      <c r="AL2513">
        <v>-117.053168</v>
      </c>
      <c r="AM2513">
        <v>100</v>
      </c>
      <c r="AN2513">
        <v>7000</v>
      </c>
      <c r="AO2513" t="s">
        <v>118</v>
      </c>
      <c r="AP2513">
        <v>-54</v>
      </c>
      <c r="AQ2513">
        <v>-94</v>
      </c>
      <c r="AR2513">
        <v>-960</v>
      </c>
      <c r="AZ2513">
        <v>1200</v>
      </c>
      <c r="BA2513">
        <v>1</v>
      </c>
      <c r="BB2513" t="str">
        <f t="shared" si="1381"/>
        <v xml:space="preserve">N9217B  </v>
      </c>
      <c r="BC2513">
        <v>1</v>
      </c>
      <c r="BE2513">
        <v>0</v>
      </c>
      <c r="BF2513">
        <v>0</v>
      </c>
      <c r="BG2513">
        <v>0</v>
      </c>
      <c r="BH2513">
        <v>6925</v>
      </c>
      <c r="BI2513">
        <v>1</v>
      </c>
      <c r="BJ2513">
        <v>0</v>
      </c>
      <c r="BK2513">
        <v>0</v>
      </c>
      <c r="BL2513">
        <v>0</v>
      </c>
      <c r="BO2513">
        <v>0</v>
      </c>
      <c r="BP2513">
        <v>0</v>
      </c>
      <c r="BW2513" t="str">
        <f t="shared" si="1389"/>
        <v>14:55:13.756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285</v>
      </c>
      <c r="CR2513">
        <v>0</v>
      </c>
      <c r="CW2513">
        <v>8867130</v>
      </c>
      <c r="CY2513">
        <v>0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25">
      <c r="A2514" t="str">
        <f t="shared" si="1386"/>
        <v>06/05/2020 14:55:08.106</v>
      </c>
      <c r="C2514" t="str">
        <f t="shared" si="1362"/>
        <v>FFDFD3C0</v>
      </c>
      <c r="D2514" t="s">
        <v>113</v>
      </c>
      <c r="E2514">
        <v>3</v>
      </c>
      <c r="H2514">
        <v>166</v>
      </c>
      <c r="I2514" t="s">
        <v>114</v>
      </c>
      <c r="J2514" t="s">
        <v>115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387"/>
        <v>14:55:13.750</v>
      </c>
      <c r="T2514" t="str">
        <f t="shared" si="1388"/>
        <v>14:55:13.450</v>
      </c>
      <c r="U2514" t="str">
        <f t="shared" si="1379"/>
        <v>ACC530</v>
      </c>
      <c r="V2514">
        <v>0</v>
      </c>
      <c r="W2514">
        <v>0</v>
      </c>
      <c r="X2514">
        <v>1</v>
      </c>
      <c r="Z2514">
        <v>0</v>
      </c>
      <c r="AA2514">
        <v>9</v>
      </c>
      <c r="AB2514">
        <v>3</v>
      </c>
      <c r="AC2514">
        <v>0</v>
      </c>
      <c r="AD2514">
        <v>9</v>
      </c>
      <c r="AE2514">
        <v>0</v>
      </c>
      <c r="AF2514">
        <v>3</v>
      </c>
      <c r="AG2514">
        <v>1</v>
      </c>
      <c r="AH2514">
        <v>0</v>
      </c>
      <c r="AI2514" t="s">
        <v>888</v>
      </c>
      <c r="AJ2514">
        <v>34.144263000000002</v>
      </c>
      <c r="AK2514" t="s">
        <v>889</v>
      </c>
      <c r="AL2514">
        <v>-117.053168</v>
      </c>
      <c r="AM2514">
        <v>100</v>
      </c>
      <c r="AN2514">
        <v>7000</v>
      </c>
      <c r="AO2514" t="s">
        <v>118</v>
      </c>
      <c r="AP2514">
        <v>-54</v>
      </c>
      <c r="AQ2514">
        <v>-94</v>
      </c>
      <c r="AR2514">
        <v>-960</v>
      </c>
      <c r="AZ2514">
        <v>1200</v>
      </c>
      <c r="BA2514">
        <v>1</v>
      </c>
      <c r="BB2514" t="str">
        <f t="shared" si="1381"/>
        <v xml:space="preserve">N9217B  </v>
      </c>
      <c r="BC2514">
        <v>1</v>
      </c>
      <c r="BE2514">
        <v>0</v>
      </c>
      <c r="BF2514">
        <v>0</v>
      </c>
      <c r="BG2514">
        <v>0</v>
      </c>
      <c r="BH2514">
        <v>6925</v>
      </c>
      <c r="BI2514">
        <v>1</v>
      </c>
      <c r="BJ2514">
        <v>0</v>
      </c>
      <c r="BK2514">
        <v>0</v>
      </c>
      <c r="BL2514">
        <v>0</v>
      </c>
      <c r="BO2514">
        <v>0</v>
      </c>
      <c r="BP2514">
        <v>0</v>
      </c>
      <c r="BW2514" t="str">
        <f t="shared" si="1389"/>
        <v>14:55:13.756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285</v>
      </c>
      <c r="CR2514">
        <v>0</v>
      </c>
      <c r="CW2514">
        <v>8867130</v>
      </c>
      <c r="CY2514">
        <v>0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25">
      <c r="A2515" t="str">
        <f t="shared" si="1386"/>
        <v>06/05/2020 14:55:08.106</v>
      </c>
      <c r="C2515" t="str">
        <f t="shared" si="1362"/>
        <v>FFDFD3C0</v>
      </c>
      <c r="D2515" t="s">
        <v>148</v>
      </c>
      <c r="E2515">
        <v>11</v>
      </c>
      <c r="H2515">
        <v>53</v>
      </c>
      <c r="I2515" t="s">
        <v>364</v>
      </c>
      <c r="J2515" t="s">
        <v>150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387"/>
        <v>14:55:13.750</v>
      </c>
      <c r="T2515" t="str">
        <f t="shared" si="1388"/>
        <v>14:55:13.450</v>
      </c>
      <c r="U2515" t="str">
        <f t="shared" si="1379"/>
        <v>ACC530</v>
      </c>
      <c r="V2515">
        <v>0</v>
      </c>
      <c r="W2515">
        <v>0</v>
      </c>
      <c r="X2515">
        <v>1</v>
      </c>
      <c r="Z2515">
        <v>0</v>
      </c>
      <c r="AA2515">
        <v>9</v>
      </c>
      <c r="AB2515">
        <v>3</v>
      </c>
      <c r="AC2515">
        <v>0</v>
      </c>
      <c r="AD2515">
        <v>9</v>
      </c>
      <c r="AE2515">
        <v>0</v>
      </c>
      <c r="AF2515">
        <v>3</v>
      </c>
      <c r="AG2515">
        <v>1</v>
      </c>
      <c r="AH2515">
        <v>0</v>
      </c>
      <c r="AI2515" t="s">
        <v>888</v>
      </c>
      <c r="AJ2515">
        <v>34.144263000000002</v>
      </c>
      <c r="AK2515" t="s">
        <v>889</v>
      </c>
      <c r="AL2515">
        <v>-117.053168</v>
      </c>
      <c r="AM2515">
        <v>100</v>
      </c>
      <c r="AN2515">
        <v>7000</v>
      </c>
      <c r="AO2515" t="s">
        <v>118</v>
      </c>
      <c r="AP2515">
        <v>-54</v>
      </c>
      <c r="AQ2515">
        <v>-94</v>
      </c>
      <c r="AR2515">
        <v>-960</v>
      </c>
      <c r="AZ2515">
        <v>1200</v>
      </c>
      <c r="BA2515">
        <v>1</v>
      </c>
      <c r="BB2515" t="str">
        <f t="shared" si="1381"/>
        <v xml:space="preserve">N9217B  </v>
      </c>
      <c r="BC2515">
        <v>1</v>
      </c>
      <c r="BE2515">
        <v>0</v>
      </c>
      <c r="BF2515">
        <v>0</v>
      </c>
      <c r="BG2515">
        <v>0</v>
      </c>
      <c r="BH2515">
        <v>6925</v>
      </c>
      <c r="BI2515">
        <v>1</v>
      </c>
      <c r="BJ2515">
        <v>0</v>
      </c>
      <c r="BK2515">
        <v>0</v>
      </c>
      <c r="BL2515">
        <v>0</v>
      </c>
      <c r="BO2515">
        <v>0</v>
      </c>
      <c r="BP2515">
        <v>0</v>
      </c>
      <c r="BW2515" t="str">
        <f t="shared" si="1389"/>
        <v>14:55:13.756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285</v>
      </c>
      <c r="CR2515">
        <v>0</v>
      </c>
      <c r="CW2515">
        <v>8867130</v>
      </c>
      <c r="CY2515">
        <v>0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25">
      <c r="A2516" t="str">
        <f t="shared" si="1386"/>
        <v>06/05/2020 14:55:08.106</v>
      </c>
      <c r="C2516" t="str">
        <f t="shared" si="1362"/>
        <v>FFDFD3C0</v>
      </c>
      <c r="D2516" t="s">
        <v>141</v>
      </c>
      <c r="E2516">
        <v>20</v>
      </c>
      <c r="F2516">
        <v>1020</v>
      </c>
      <c r="G2516" t="s">
        <v>114</v>
      </c>
      <c r="J2516" t="s">
        <v>142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387"/>
        <v>14:55:13.750</v>
      </c>
      <c r="T2516" t="str">
        <f t="shared" si="1388"/>
        <v>14:55:13.450</v>
      </c>
      <c r="U2516" t="str">
        <f t="shared" si="1379"/>
        <v>ACC530</v>
      </c>
      <c r="V2516">
        <v>0</v>
      </c>
      <c r="W2516">
        <v>0</v>
      </c>
      <c r="X2516">
        <v>1</v>
      </c>
      <c r="Z2516">
        <v>0</v>
      </c>
      <c r="AA2516">
        <v>9</v>
      </c>
      <c r="AB2516">
        <v>3</v>
      </c>
      <c r="AC2516">
        <v>0</v>
      </c>
      <c r="AD2516">
        <v>9</v>
      </c>
      <c r="AE2516">
        <v>0</v>
      </c>
      <c r="AF2516">
        <v>3</v>
      </c>
      <c r="AG2516">
        <v>1</v>
      </c>
      <c r="AH2516">
        <v>0</v>
      </c>
      <c r="AI2516" t="s">
        <v>888</v>
      </c>
      <c r="AJ2516">
        <v>34.144263000000002</v>
      </c>
      <c r="AK2516" t="s">
        <v>889</v>
      </c>
      <c r="AL2516">
        <v>-117.053168</v>
      </c>
      <c r="AM2516">
        <v>100</v>
      </c>
      <c r="AN2516">
        <v>7000</v>
      </c>
      <c r="AO2516" t="s">
        <v>118</v>
      </c>
      <c r="AP2516">
        <v>-54</v>
      </c>
      <c r="AQ2516">
        <v>-94</v>
      </c>
      <c r="AR2516">
        <v>-960</v>
      </c>
      <c r="AZ2516">
        <v>1200</v>
      </c>
      <c r="BA2516">
        <v>1</v>
      </c>
      <c r="BB2516" t="str">
        <f t="shared" si="1381"/>
        <v xml:space="preserve">N9217B  </v>
      </c>
      <c r="BC2516">
        <v>1</v>
      </c>
      <c r="BE2516">
        <v>0</v>
      </c>
      <c r="BF2516">
        <v>0</v>
      </c>
      <c r="BG2516">
        <v>0</v>
      </c>
      <c r="BH2516">
        <v>6925</v>
      </c>
      <c r="BI2516">
        <v>1</v>
      </c>
      <c r="BJ2516">
        <v>0</v>
      </c>
      <c r="BK2516">
        <v>0</v>
      </c>
      <c r="BL2516">
        <v>0</v>
      </c>
      <c r="BO2516">
        <v>0</v>
      </c>
      <c r="BP2516">
        <v>0</v>
      </c>
      <c r="BW2516" t="str">
        <f t="shared" si="1389"/>
        <v>14:55:13.756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285</v>
      </c>
      <c r="CR2516">
        <v>0</v>
      </c>
      <c r="CW2516">
        <v>8867130</v>
      </c>
      <c r="CY2516">
        <v>0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25">
      <c r="A2517" t="str">
        <f t="shared" si="1386"/>
        <v>06/05/2020 14:55:08.106</v>
      </c>
      <c r="C2517" t="str">
        <f t="shared" si="1362"/>
        <v>FFDFD3C0</v>
      </c>
      <c r="D2517" t="s">
        <v>148</v>
      </c>
      <c r="E2517">
        <v>8</v>
      </c>
      <c r="H2517">
        <v>50</v>
      </c>
      <c r="I2517" t="s">
        <v>149</v>
      </c>
      <c r="J2517" t="s">
        <v>150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387"/>
        <v>14:55:13.750</v>
      </c>
      <c r="T2517" t="str">
        <f t="shared" si="1388"/>
        <v>14:55:13.450</v>
      </c>
      <c r="U2517" t="str">
        <f t="shared" si="1379"/>
        <v>ACC530</v>
      </c>
      <c r="V2517">
        <v>0</v>
      </c>
      <c r="W2517">
        <v>0</v>
      </c>
      <c r="X2517">
        <v>1</v>
      </c>
      <c r="Z2517">
        <v>0</v>
      </c>
      <c r="AA2517">
        <v>9</v>
      </c>
      <c r="AB2517">
        <v>3</v>
      </c>
      <c r="AC2517">
        <v>0</v>
      </c>
      <c r="AD2517">
        <v>9</v>
      </c>
      <c r="AE2517">
        <v>0</v>
      </c>
      <c r="AF2517">
        <v>3</v>
      </c>
      <c r="AG2517">
        <v>1</v>
      </c>
      <c r="AH2517">
        <v>0</v>
      </c>
      <c r="AI2517" t="s">
        <v>888</v>
      </c>
      <c r="AJ2517">
        <v>34.144263000000002</v>
      </c>
      <c r="AK2517" t="s">
        <v>889</v>
      </c>
      <c r="AL2517">
        <v>-117.053168</v>
      </c>
      <c r="AM2517">
        <v>100</v>
      </c>
      <c r="AN2517">
        <v>7000</v>
      </c>
      <c r="AO2517" t="s">
        <v>118</v>
      </c>
      <c r="AP2517">
        <v>-54</v>
      </c>
      <c r="AQ2517">
        <v>-94</v>
      </c>
      <c r="AR2517">
        <v>-960</v>
      </c>
      <c r="AZ2517">
        <v>1200</v>
      </c>
      <c r="BA2517">
        <v>1</v>
      </c>
      <c r="BB2517" t="str">
        <f t="shared" si="1381"/>
        <v xml:space="preserve">N9217B  </v>
      </c>
      <c r="BC2517">
        <v>1</v>
      </c>
      <c r="BE2517">
        <v>0</v>
      </c>
      <c r="BF2517">
        <v>0</v>
      </c>
      <c r="BG2517">
        <v>0</v>
      </c>
      <c r="BH2517">
        <v>6925</v>
      </c>
      <c r="BI2517">
        <v>1</v>
      </c>
      <c r="BJ2517">
        <v>0</v>
      </c>
      <c r="BK2517">
        <v>0</v>
      </c>
      <c r="BL2517">
        <v>0</v>
      </c>
      <c r="BO2517">
        <v>0</v>
      </c>
      <c r="BP2517">
        <v>0</v>
      </c>
      <c r="BW2517" t="str">
        <f t="shared" si="1389"/>
        <v>14:55:13.756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285</v>
      </c>
      <c r="CR2517">
        <v>0</v>
      </c>
      <c r="CW2517">
        <v>8867130</v>
      </c>
      <c r="CY2517">
        <v>0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25">
      <c r="A2518" t="str">
        <f t="shared" si="1386"/>
        <v>06/05/2020 14:55:08.106</v>
      </c>
      <c r="C2518" t="str">
        <f t="shared" si="1362"/>
        <v>FFDFD3C0</v>
      </c>
      <c r="D2518" t="s">
        <v>151</v>
      </c>
      <c r="E2518">
        <v>8</v>
      </c>
      <c r="H2518">
        <v>225</v>
      </c>
      <c r="I2518" t="s">
        <v>353</v>
      </c>
      <c r="J2518" t="s">
        <v>150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387"/>
        <v>14:55:13.750</v>
      </c>
      <c r="T2518" t="str">
        <f t="shared" si="1388"/>
        <v>14:55:13.450</v>
      </c>
      <c r="U2518" t="str">
        <f t="shared" si="1379"/>
        <v>ACC530</v>
      </c>
      <c r="V2518">
        <v>0</v>
      </c>
      <c r="W2518">
        <v>0</v>
      </c>
      <c r="X2518">
        <v>1</v>
      </c>
      <c r="Z2518">
        <v>0</v>
      </c>
      <c r="AA2518">
        <v>9</v>
      </c>
      <c r="AB2518">
        <v>3</v>
      </c>
      <c r="AC2518">
        <v>0</v>
      </c>
      <c r="AD2518">
        <v>9</v>
      </c>
      <c r="AE2518">
        <v>0</v>
      </c>
      <c r="AF2518">
        <v>3</v>
      </c>
      <c r="AG2518">
        <v>1</v>
      </c>
      <c r="AH2518">
        <v>0</v>
      </c>
      <c r="AI2518" t="s">
        <v>888</v>
      </c>
      <c r="AJ2518">
        <v>34.144263000000002</v>
      </c>
      <c r="AK2518" t="s">
        <v>889</v>
      </c>
      <c r="AL2518">
        <v>-117.053168</v>
      </c>
      <c r="AM2518">
        <v>100</v>
      </c>
      <c r="AN2518">
        <v>7000</v>
      </c>
      <c r="AO2518" t="s">
        <v>118</v>
      </c>
      <c r="AP2518">
        <v>-54</v>
      </c>
      <c r="AQ2518">
        <v>-94</v>
      </c>
      <c r="AR2518">
        <v>-960</v>
      </c>
      <c r="AZ2518">
        <v>1200</v>
      </c>
      <c r="BA2518">
        <v>1</v>
      </c>
      <c r="BB2518" t="str">
        <f t="shared" si="1381"/>
        <v xml:space="preserve">N9217B  </v>
      </c>
      <c r="BC2518">
        <v>1</v>
      </c>
      <c r="BE2518">
        <v>0</v>
      </c>
      <c r="BF2518">
        <v>0</v>
      </c>
      <c r="BG2518">
        <v>0</v>
      </c>
      <c r="BH2518">
        <v>6925</v>
      </c>
      <c r="BI2518">
        <v>1</v>
      </c>
      <c r="BJ2518">
        <v>0</v>
      </c>
      <c r="BK2518">
        <v>0</v>
      </c>
      <c r="BL2518">
        <v>0</v>
      </c>
      <c r="BO2518">
        <v>0</v>
      </c>
      <c r="BP2518">
        <v>0</v>
      </c>
      <c r="BW2518" t="str">
        <f t="shared" si="1389"/>
        <v>14:55:13.756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285</v>
      </c>
      <c r="CR2518">
        <v>0</v>
      </c>
      <c r="CW2518">
        <v>8867130</v>
      </c>
      <c r="CY2518">
        <v>0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25">
      <c r="A2519" t="str">
        <f t="shared" ref="A2519:A2525" si="1390">"06/05/2020 14:55:09.014"</f>
        <v>06/05/2020 14:55:09.014</v>
      </c>
      <c r="C2519" t="str">
        <f t="shared" si="1362"/>
        <v>FFDFD3C0</v>
      </c>
      <c r="D2519" t="s">
        <v>134</v>
      </c>
      <c r="E2519">
        <v>7</v>
      </c>
      <c r="F2519">
        <v>2007</v>
      </c>
      <c r="G2519" t="s">
        <v>135</v>
      </c>
      <c r="J2519" t="s">
        <v>136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ref="S2519:S2525" si="1391">"14:55:14.664"</f>
        <v>14:55:14.664</v>
      </c>
      <c r="T2519" t="str">
        <f t="shared" ref="T2519:T2525" si="1392">"14:55:14.264"</f>
        <v>14:55:14.264</v>
      </c>
      <c r="U2519" t="str">
        <f t="shared" si="1379"/>
        <v>ACC530</v>
      </c>
      <c r="V2519">
        <v>0</v>
      </c>
      <c r="W2519">
        <v>0</v>
      </c>
      <c r="X2519">
        <v>1</v>
      </c>
      <c r="Z2519">
        <v>0</v>
      </c>
      <c r="AA2519">
        <v>9</v>
      </c>
      <c r="AB2519">
        <v>3</v>
      </c>
      <c r="AC2519">
        <v>0</v>
      </c>
      <c r="AD2519">
        <v>9</v>
      </c>
      <c r="AE2519">
        <v>0</v>
      </c>
      <c r="AF2519">
        <v>3</v>
      </c>
      <c r="AG2519">
        <v>1</v>
      </c>
      <c r="AH2519">
        <v>0</v>
      </c>
      <c r="AI2519" t="s">
        <v>890</v>
      </c>
      <c r="AJ2519">
        <v>34.143877000000003</v>
      </c>
      <c r="AK2519" t="s">
        <v>891</v>
      </c>
      <c r="AL2519">
        <v>-117.053425</v>
      </c>
      <c r="AM2519">
        <v>100</v>
      </c>
      <c r="AN2519">
        <v>7000</v>
      </c>
      <c r="AO2519" t="s">
        <v>118</v>
      </c>
      <c r="AP2519">
        <v>-53</v>
      </c>
      <c r="AQ2519">
        <v>-94</v>
      </c>
      <c r="AR2519">
        <v>-960</v>
      </c>
      <c r="AZ2519">
        <v>1200</v>
      </c>
      <c r="BA2519">
        <v>1</v>
      </c>
      <c r="BB2519" t="str">
        <f t="shared" si="1381"/>
        <v xml:space="preserve">N9217B  </v>
      </c>
      <c r="BC2519">
        <v>1</v>
      </c>
      <c r="BE2519">
        <v>0</v>
      </c>
      <c r="BF2519">
        <v>0</v>
      </c>
      <c r="BG2519">
        <v>0</v>
      </c>
      <c r="BH2519">
        <v>6900</v>
      </c>
      <c r="BI2519">
        <v>1</v>
      </c>
      <c r="BJ2519">
        <v>0</v>
      </c>
      <c r="BK2519">
        <v>0</v>
      </c>
      <c r="BL2519">
        <v>0</v>
      </c>
      <c r="BO2519">
        <v>0</v>
      </c>
      <c r="BP2519">
        <v>0</v>
      </c>
      <c r="BW2519" t="str">
        <f t="shared" ref="BW2519:BW2525" si="1393">"14:55:14.671"</f>
        <v>14:55:14.671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285</v>
      </c>
      <c r="CR2519">
        <v>0</v>
      </c>
      <c r="CW2519">
        <v>8867220</v>
      </c>
      <c r="CY2519">
        <v>0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25">
      <c r="A2520" t="str">
        <f t="shared" si="1390"/>
        <v>06/05/2020 14:55:09.014</v>
      </c>
      <c r="C2520" t="str">
        <f t="shared" si="1362"/>
        <v>FFDFD3C0</v>
      </c>
      <c r="D2520" t="s">
        <v>151</v>
      </c>
      <c r="E2520">
        <v>9</v>
      </c>
      <c r="H2520">
        <v>226</v>
      </c>
      <c r="I2520" t="s">
        <v>152</v>
      </c>
      <c r="J2520" t="s">
        <v>150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391"/>
        <v>14:55:14.664</v>
      </c>
      <c r="T2520" t="str">
        <f t="shared" si="1392"/>
        <v>14:55:14.264</v>
      </c>
      <c r="U2520" t="str">
        <f t="shared" si="1379"/>
        <v>ACC530</v>
      </c>
      <c r="V2520">
        <v>0</v>
      </c>
      <c r="W2520">
        <v>0</v>
      </c>
      <c r="X2520">
        <v>1</v>
      </c>
      <c r="Z2520">
        <v>0</v>
      </c>
      <c r="AA2520">
        <v>9</v>
      </c>
      <c r="AB2520">
        <v>3</v>
      </c>
      <c r="AC2520">
        <v>0</v>
      </c>
      <c r="AD2520">
        <v>9</v>
      </c>
      <c r="AE2520">
        <v>0</v>
      </c>
      <c r="AF2520">
        <v>3</v>
      </c>
      <c r="AG2520">
        <v>1</v>
      </c>
      <c r="AH2520">
        <v>0</v>
      </c>
      <c r="AI2520" t="s">
        <v>890</v>
      </c>
      <c r="AJ2520">
        <v>34.143877000000003</v>
      </c>
      <c r="AK2520" t="s">
        <v>891</v>
      </c>
      <c r="AL2520">
        <v>-117.053425</v>
      </c>
      <c r="AM2520">
        <v>100</v>
      </c>
      <c r="AN2520">
        <v>7000</v>
      </c>
      <c r="AO2520" t="s">
        <v>118</v>
      </c>
      <c r="AP2520">
        <v>-53</v>
      </c>
      <c r="AQ2520">
        <v>-94</v>
      </c>
      <c r="AR2520">
        <v>-960</v>
      </c>
      <c r="AZ2520">
        <v>1200</v>
      </c>
      <c r="BA2520">
        <v>1</v>
      </c>
      <c r="BB2520" t="str">
        <f t="shared" si="1381"/>
        <v xml:space="preserve">N9217B  </v>
      </c>
      <c r="BC2520">
        <v>1</v>
      </c>
      <c r="BE2520">
        <v>0</v>
      </c>
      <c r="BF2520">
        <v>0</v>
      </c>
      <c r="BG2520">
        <v>0</v>
      </c>
      <c r="BH2520">
        <v>6900</v>
      </c>
      <c r="BI2520">
        <v>1</v>
      </c>
      <c r="BJ2520">
        <v>0</v>
      </c>
      <c r="BK2520">
        <v>0</v>
      </c>
      <c r="BL2520">
        <v>0</v>
      </c>
      <c r="BO2520">
        <v>0</v>
      </c>
      <c r="BP2520">
        <v>0</v>
      </c>
      <c r="BW2520" t="str">
        <f t="shared" si="1393"/>
        <v>14:55:14.671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285</v>
      </c>
      <c r="CR2520">
        <v>0</v>
      </c>
      <c r="CW2520">
        <v>8867220</v>
      </c>
      <c r="CY2520">
        <v>0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25">
      <c r="A2521" t="str">
        <f t="shared" si="1390"/>
        <v>06/05/2020 14:55:09.014</v>
      </c>
      <c r="C2521" t="str">
        <f t="shared" si="1362"/>
        <v>FFDFD3C0</v>
      </c>
      <c r="D2521" t="s">
        <v>113</v>
      </c>
      <c r="E2521">
        <v>3</v>
      </c>
      <c r="H2521">
        <v>166</v>
      </c>
      <c r="I2521" t="s">
        <v>114</v>
      </c>
      <c r="J2521" t="s">
        <v>115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391"/>
        <v>14:55:14.664</v>
      </c>
      <c r="T2521" t="str">
        <f t="shared" si="1392"/>
        <v>14:55:14.264</v>
      </c>
      <c r="U2521" t="str">
        <f t="shared" si="1379"/>
        <v>ACC530</v>
      </c>
      <c r="V2521">
        <v>0</v>
      </c>
      <c r="W2521">
        <v>0</v>
      </c>
      <c r="X2521">
        <v>1</v>
      </c>
      <c r="Z2521">
        <v>0</v>
      </c>
      <c r="AA2521">
        <v>9</v>
      </c>
      <c r="AB2521">
        <v>3</v>
      </c>
      <c r="AC2521">
        <v>0</v>
      </c>
      <c r="AD2521">
        <v>9</v>
      </c>
      <c r="AE2521">
        <v>0</v>
      </c>
      <c r="AF2521">
        <v>3</v>
      </c>
      <c r="AG2521">
        <v>1</v>
      </c>
      <c r="AH2521">
        <v>0</v>
      </c>
      <c r="AI2521" t="s">
        <v>890</v>
      </c>
      <c r="AJ2521">
        <v>34.143877000000003</v>
      </c>
      <c r="AK2521" t="s">
        <v>891</v>
      </c>
      <c r="AL2521">
        <v>-117.053425</v>
      </c>
      <c r="AM2521">
        <v>100</v>
      </c>
      <c r="AN2521">
        <v>7000</v>
      </c>
      <c r="AO2521" t="s">
        <v>118</v>
      </c>
      <c r="AP2521">
        <v>-53</v>
      </c>
      <c r="AQ2521">
        <v>-94</v>
      </c>
      <c r="AR2521">
        <v>-960</v>
      </c>
      <c r="AZ2521">
        <v>1200</v>
      </c>
      <c r="BA2521">
        <v>1</v>
      </c>
      <c r="BB2521" t="str">
        <f t="shared" si="1381"/>
        <v xml:space="preserve">N9217B  </v>
      </c>
      <c r="BC2521">
        <v>1</v>
      </c>
      <c r="BE2521">
        <v>0</v>
      </c>
      <c r="BF2521">
        <v>0</v>
      </c>
      <c r="BG2521">
        <v>0</v>
      </c>
      <c r="BH2521">
        <v>6900</v>
      </c>
      <c r="BI2521">
        <v>1</v>
      </c>
      <c r="BJ2521">
        <v>0</v>
      </c>
      <c r="BK2521">
        <v>0</v>
      </c>
      <c r="BL2521">
        <v>0</v>
      </c>
      <c r="BO2521">
        <v>0</v>
      </c>
      <c r="BP2521">
        <v>0</v>
      </c>
      <c r="BW2521" t="str">
        <f t="shared" si="1393"/>
        <v>14:55:14.671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285</v>
      </c>
      <c r="CR2521">
        <v>0</v>
      </c>
      <c r="CW2521">
        <v>8867220</v>
      </c>
      <c r="CY2521">
        <v>0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25">
      <c r="A2522" t="str">
        <f t="shared" si="1390"/>
        <v>06/05/2020 14:55:09.014</v>
      </c>
      <c r="C2522" t="str">
        <f t="shared" si="1362"/>
        <v>FFDFD3C0</v>
      </c>
      <c r="D2522" t="s">
        <v>148</v>
      </c>
      <c r="E2522">
        <v>11</v>
      </c>
      <c r="H2522">
        <v>53</v>
      </c>
      <c r="I2522" t="s">
        <v>364</v>
      </c>
      <c r="J2522" t="s">
        <v>150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391"/>
        <v>14:55:14.664</v>
      </c>
      <c r="T2522" t="str">
        <f t="shared" si="1392"/>
        <v>14:55:14.264</v>
      </c>
      <c r="U2522" t="str">
        <f t="shared" si="1379"/>
        <v>ACC530</v>
      </c>
      <c r="V2522">
        <v>0</v>
      </c>
      <c r="W2522">
        <v>0</v>
      </c>
      <c r="X2522">
        <v>1</v>
      </c>
      <c r="Z2522">
        <v>0</v>
      </c>
      <c r="AA2522">
        <v>9</v>
      </c>
      <c r="AB2522">
        <v>3</v>
      </c>
      <c r="AC2522">
        <v>0</v>
      </c>
      <c r="AD2522">
        <v>9</v>
      </c>
      <c r="AE2522">
        <v>0</v>
      </c>
      <c r="AF2522">
        <v>3</v>
      </c>
      <c r="AG2522">
        <v>1</v>
      </c>
      <c r="AH2522">
        <v>0</v>
      </c>
      <c r="AI2522" t="s">
        <v>890</v>
      </c>
      <c r="AJ2522">
        <v>34.143877000000003</v>
      </c>
      <c r="AK2522" t="s">
        <v>891</v>
      </c>
      <c r="AL2522">
        <v>-117.053425</v>
      </c>
      <c r="AM2522">
        <v>100</v>
      </c>
      <c r="AN2522">
        <v>7000</v>
      </c>
      <c r="AO2522" t="s">
        <v>118</v>
      </c>
      <c r="AP2522">
        <v>-53</v>
      </c>
      <c r="AQ2522">
        <v>-94</v>
      </c>
      <c r="AR2522">
        <v>-960</v>
      </c>
      <c r="AZ2522">
        <v>1200</v>
      </c>
      <c r="BA2522">
        <v>1</v>
      </c>
      <c r="BB2522" t="str">
        <f t="shared" si="1381"/>
        <v xml:space="preserve">N9217B  </v>
      </c>
      <c r="BC2522">
        <v>1</v>
      </c>
      <c r="BE2522">
        <v>0</v>
      </c>
      <c r="BF2522">
        <v>0</v>
      </c>
      <c r="BG2522">
        <v>0</v>
      </c>
      <c r="BH2522">
        <v>6900</v>
      </c>
      <c r="BI2522">
        <v>1</v>
      </c>
      <c r="BJ2522">
        <v>0</v>
      </c>
      <c r="BK2522">
        <v>0</v>
      </c>
      <c r="BL2522">
        <v>0</v>
      </c>
      <c r="BO2522">
        <v>0</v>
      </c>
      <c r="BP2522">
        <v>0</v>
      </c>
      <c r="BW2522" t="str">
        <f t="shared" si="1393"/>
        <v>14:55:14.671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285</v>
      </c>
      <c r="CR2522">
        <v>0</v>
      </c>
      <c r="CW2522">
        <v>8867220</v>
      </c>
      <c r="CY2522">
        <v>0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25">
      <c r="A2523" t="str">
        <f t="shared" si="1390"/>
        <v>06/05/2020 14:55:09.014</v>
      </c>
      <c r="C2523" t="str">
        <f t="shared" si="1362"/>
        <v>FFDFD3C0</v>
      </c>
      <c r="D2523" t="s">
        <v>141</v>
      </c>
      <c r="E2523">
        <v>20</v>
      </c>
      <c r="F2523">
        <v>1020</v>
      </c>
      <c r="G2523" t="s">
        <v>114</v>
      </c>
      <c r="J2523" t="s">
        <v>142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391"/>
        <v>14:55:14.664</v>
      </c>
      <c r="T2523" t="str">
        <f t="shared" si="1392"/>
        <v>14:55:14.264</v>
      </c>
      <c r="U2523" t="str">
        <f t="shared" si="1379"/>
        <v>ACC530</v>
      </c>
      <c r="V2523">
        <v>0</v>
      </c>
      <c r="W2523">
        <v>0</v>
      </c>
      <c r="X2523">
        <v>1</v>
      </c>
      <c r="Z2523">
        <v>0</v>
      </c>
      <c r="AA2523">
        <v>9</v>
      </c>
      <c r="AB2523">
        <v>3</v>
      </c>
      <c r="AC2523">
        <v>0</v>
      </c>
      <c r="AD2523">
        <v>9</v>
      </c>
      <c r="AE2523">
        <v>0</v>
      </c>
      <c r="AF2523">
        <v>3</v>
      </c>
      <c r="AG2523">
        <v>1</v>
      </c>
      <c r="AH2523">
        <v>0</v>
      </c>
      <c r="AI2523" t="s">
        <v>890</v>
      </c>
      <c r="AJ2523">
        <v>34.143877000000003</v>
      </c>
      <c r="AK2523" t="s">
        <v>891</v>
      </c>
      <c r="AL2523">
        <v>-117.053425</v>
      </c>
      <c r="AM2523">
        <v>100</v>
      </c>
      <c r="AN2523">
        <v>7000</v>
      </c>
      <c r="AO2523" t="s">
        <v>118</v>
      </c>
      <c r="AP2523">
        <v>-53</v>
      </c>
      <c r="AQ2523">
        <v>-94</v>
      </c>
      <c r="AR2523">
        <v>-960</v>
      </c>
      <c r="AZ2523">
        <v>1200</v>
      </c>
      <c r="BA2523">
        <v>1</v>
      </c>
      <c r="BB2523" t="str">
        <f t="shared" si="1381"/>
        <v xml:space="preserve">N9217B  </v>
      </c>
      <c r="BC2523">
        <v>1</v>
      </c>
      <c r="BE2523">
        <v>0</v>
      </c>
      <c r="BF2523">
        <v>0</v>
      </c>
      <c r="BG2523">
        <v>0</v>
      </c>
      <c r="BH2523">
        <v>6900</v>
      </c>
      <c r="BI2523">
        <v>1</v>
      </c>
      <c r="BJ2523">
        <v>0</v>
      </c>
      <c r="BK2523">
        <v>0</v>
      </c>
      <c r="BL2523">
        <v>0</v>
      </c>
      <c r="BO2523">
        <v>0</v>
      </c>
      <c r="BP2523">
        <v>0</v>
      </c>
      <c r="BW2523" t="str">
        <f t="shared" si="1393"/>
        <v>14:55:14.671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285</v>
      </c>
      <c r="CR2523">
        <v>0</v>
      </c>
      <c r="CW2523">
        <v>8867220</v>
      </c>
      <c r="CY2523">
        <v>0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25">
      <c r="A2524" t="str">
        <f t="shared" si="1390"/>
        <v>06/05/2020 14:55:09.014</v>
      </c>
      <c r="C2524" t="str">
        <f t="shared" si="1362"/>
        <v>FFDFD3C0</v>
      </c>
      <c r="D2524" t="s">
        <v>148</v>
      </c>
      <c r="E2524">
        <v>8</v>
      </c>
      <c r="H2524">
        <v>50</v>
      </c>
      <c r="I2524" t="s">
        <v>149</v>
      </c>
      <c r="J2524" t="s">
        <v>150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391"/>
        <v>14:55:14.664</v>
      </c>
      <c r="T2524" t="str">
        <f t="shared" si="1392"/>
        <v>14:55:14.264</v>
      </c>
      <c r="U2524" t="str">
        <f t="shared" si="1379"/>
        <v>ACC530</v>
      </c>
      <c r="V2524">
        <v>0</v>
      </c>
      <c r="W2524">
        <v>0</v>
      </c>
      <c r="X2524">
        <v>1</v>
      </c>
      <c r="Z2524">
        <v>0</v>
      </c>
      <c r="AA2524">
        <v>9</v>
      </c>
      <c r="AB2524">
        <v>3</v>
      </c>
      <c r="AC2524">
        <v>0</v>
      </c>
      <c r="AD2524">
        <v>9</v>
      </c>
      <c r="AE2524">
        <v>0</v>
      </c>
      <c r="AF2524">
        <v>3</v>
      </c>
      <c r="AG2524">
        <v>1</v>
      </c>
      <c r="AH2524">
        <v>0</v>
      </c>
      <c r="AI2524" t="s">
        <v>890</v>
      </c>
      <c r="AJ2524">
        <v>34.143877000000003</v>
      </c>
      <c r="AK2524" t="s">
        <v>891</v>
      </c>
      <c r="AL2524">
        <v>-117.053425</v>
      </c>
      <c r="AM2524">
        <v>100</v>
      </c>
      <c r="AN2524">
        <v>7000</v>
      </c>
      <c r="AO2524" t="s">
        <v>118</v>
      </c>
      <c r="AP2524">
        <v>-53</v>
      </c>
      <c r="AQ2524">
        <v>-94</v>
      </c>
      <c r="AR2524">
        <v>-960</v>
      </c>
      <c r="AZ2524">
        <v>1200</v>
      </c>
      <c r="BA2524">
        <v>1</v>
      </c>
      <c r="BB2524" t="str">
        <f t="shared" si="1381"/>
        <v xml:space="preserve">N9217B  </v>
      </c>
      <c r="BC2524">
        <v>1</v>
      </c>
      <c r="BE2524">
        <v>0</v>
      </c>
      <c r="BF2524">
        <v>0</v>
      </c>
      <c r="BG2524">
        <v>0</v>
      </c>
      <c r="BH2524">
        <v>6900</v>
      </c>
      <c r="BI2524">
        <v>1</v>
      </c>
      <c r="BJ2524">
        <v>0</v>
      </c>
      <c r="BK2524">
        <v>0</v>
      </c>
      <c r="BL2524">
        <v>0</v>
      </c>
      <c r="BO2524">
        <v>0</v>
      </c>
      <c r="BP2524">
        <v>0</v>
      </c>
      <c r="BW2524" t="str">
        <f t="shared" si="1393"/>
        <v>14:55:14.671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285</v>
      </c>
      <c r="CR2524">
        <v>0</v>
      </c>
      <c r="CW2524">
        <v>8867220</v>
      </c>
      <c r="CY2524">
        <v>0</v>
      </c>
      <c r="CZ2524">
        <v>0</v>
      </c>
      <c r="DA2524">
        <v>1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25">
      <c r="A2525" t="str">
        <f t="shared" si="1390"/>
        <v>06/05/2020 14:55:09.014</v>
      </c>
      <c r="C2525" t="str">
        <f t="shared" si="1362"/>
        <v>FFDFD3C0</v>
      </c>
      <c r="D2525" t="s">
        <v>151</v>
      </c>
      <c r="E2525">
        <v>8</v>
      </c>
      <c r="H2525">
        <v>225</v>
      </c>
      <c r="I2525" t="s">
        <v>353</v>
      </c>
      <c r="J2525" t="s">
        <v>150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391"/>
        <v>14:55:14.664</v>
      </c>
      <c r="T2525" t="str">
        <f t="shared" si="1392"/>
        <v>14:55:14.264</v>
      </c>
      <c r="U2525" t="str">
        <f t="shared" si="1379"/>
        <v>ACC530</v>
      </c>
      <c r="V2525">
        <v>0</v>
      </c>
      <c r="W2525">
        <v>0</v>
      </c>
      <c r="X2525">
        <v>1</v>
      </c>
      <c r="Z2525">
        <v>0</v>
      </c>
      <c r="AA2525">
        <v>9</v>
      </c>
      <c r="AB2525">
        <v>3</v>
      </c>
      <c r="AC2525">
        <v>0</v>
      </c>
      <c r="AD2525">
        <v>9</v>
      </c>
      <c r="AE2525">
        <v>0</v>
      </c>
      <c r="AF2525">
        <v>3</v>
      </c>
      <c r="AG2525">
        <v>1</v>
      </c>
      <c r="AH2525">
        <v>0</v>
      </c>
      <c r="AI2525" t="s">
        <v>890</v>
      </c>
      <c r="AJ2525">
        <v>34.143877000000003</v>
      </c>
      <c r="AK2525" t="s">
        <v>891</v>
      </c>
      <c r="AL2525">
        <v>-117.053425</v>
      </c>
      <c r="AM2525">
        <v>100</v>
      </c>
      <c r="AN2525">
        <v>7000</v>
      </c>
      <c r="AO2525" t="s">
        <v>118</v>
      </c>
      <c r="AP2525">
        <v>-53</v>
      </c>
      <c r="AQ2525">
        <v>-94</v>
      </c>
      <c r="AR2525">
        <v>-960</v>
      </c>
      <c r="AZ2525">
        <v>1200</v>
      </c>
      <c r="BA2525">
        <v>1</v>
      </c>
      <c r="BB2525" t="str">
        <f t="shared" si="1381"/>
        <v xml:space="preserve">N9217B  </v>
      </c>
      <c r="BC2525">
        <v>1</v>
      </c>
      <c r="BE2525">
        <v>0</v>
      </c>
      <c r="BF2525">
        <v>0</v>
      </c>
      <c r="BG2525">
        <v>0</v>
      </c>
      <c r="BH2525">
        <v>6900</v>
      </c>
      <c r="BI2525">
        <v>1</v>
      </c>
      <c r="BJ2525">
        <v>0</v>
      </c>
      <c r="BK2525">
        <v>0</v>
      </c>
      <c r="BL2525">
        <v>0</v>
      </c>
      <c r="BO2525">
        <v>0</v>
      </c>
      <c r="BP2525">
        <v>0</v>
      </c>
      <c r="BW2525" t="str">
        <f t="shared" si="1393"/>
        <v>14:55:14.671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285</v>
      </c>
      <c r="CR2525">
        <v>0</v>
      </c>
      <c r="CW2525">
        <v>8867220</v>
      </c>
      <c r="CY2525">
        <v>0</v>
      </c>
      <c r="CZ2525">
        <v>0</v>
      </c>
      <c r="DA2525">
        <v>1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25">
      <c r="A2526" t="str">
        <f t="shared" ref="A2526:A2532" si="1394">"06/05/2020 14:55:10.043"</f>
        <v>06/05/2020 14:55:10.043</v>
      </c>
      <c r="C2526" t="str">
        <f t="shared" si="1362"/>
        <v>FFDFD3C0</v>
      </c>
      <c r="D2526" t="s">
        <v>148</v>
      </c>
      <c r="E2526">
        <v>11</v>
      </c>
      <c r="H2526">
        <v>53</v>
      </c>
      <c r="I2526" t="s">
        <v>364</v>
      </c>
      <c r="J2526" t="s">
        <v>150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ref="S2526:S2532" si="1395">"14:55:15.688"</f>
        <v>14:55:15.688</v>
      </c>
      <c r="T2526" t="str">
        <f t="shared" ref="T2526:T2532" si="1396">"14:55:15.388"</f>
        <v>14:55:15.388</v>
      </c>
      <c r="U2526" t="str">
        <f t="shared" si="1379"/>
        <v>ACC530</v>
      </c>
      <c r="V2526">
        <v>0</v>
      </c>
      <c r="W2526">
        <v>0</v>
      </c>
      <c r="X2526">
        <v>1</v>
      </c>
      <c r="Z2526">
        <v>0</v>
      </c>
      <c r="AA2526">
        <v>9</v>
      </c>
      <c r="AB2526">
        <v>3</v>
      </c>
      <c r="AC2526">
        <v>0</v>
      </c>
      <c r="AD2526">
        <v>9</v>
      </c>
      <c r="AE2526">
        <v>0</v>
      </c>
      <c r="AF2526">
        <v>3</v>
      </c>
      <c r="AG2526">
        <v>1</v>
      </c>
      <c r="AH2526">
        <v>0</v>
      </c>
      <c r="AI2526" t="s">
        <v>892</v>
      </c>
      <c r="AJ2526">
        <v>34.143447999999999</v>
      </c>
      <c r="AK2526" t="s">
        <v>893</v>
      </c>
      <c r="AL2526">
        <v>-117.053726</v>
      </c>
      <c r="AM2526">
        <v>100</v>
      </c>
      <c r="AN2526">
        <v>7000</v>
      </c>
      <c r="AO2526" t="s">
        <v>118</v>
      </c>
      <c r="AP2526">
        <v>-52</v>
      </c>
      <c r="AQ2526">
        <v>-95</v>
      </c>
      <c r="AR2526">
        <v>-960</v>
      </c>
      <c r="AZ2526">
        <v>1200</v>
      </c>
      <c r="BA2526">
        <v>1</v>
      </c>
      <c r="BB2526" t="str">
        <f t="shared" si="1381"/>
        <v xml:space="preserve">N9217B  </v>
      </c>
      <c r="BC2526">
        <v>1</v>
      </c>
      <c r="BE2526">
        <v>0</v>
      </c>
      <c r="BF2526">
        <v>0</v>
      </c>
      <c r="BG2526">
        <v>0</v>
      </c>
      <c r="BH2526">
        <v>6900</v>
      </c>
      <c r="BI2526">
        <v>1</v>
      </c>
      <c r="BJ2526">
        <v>0</v>
      </c>
      <c r="BK2526">
        <v>0</v>
      </c>
      <c r="BL2526">
        <v>0</v>
      </c>
      <c r="BO2526">
        <v>0</v>
      </c>
      <c r="BP2526">
        <v>0</v>
      </c>
      <c r="BW2526" t="str">
        <f t="shared" ref="BW2526:BW2532" si="1397">"14:55:15.691"</f>
        <v>14:55:15.691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285</v>
      </c>
      <c r="CR2526">
        <v>0</v>
      </c>
      <c r="CW2526">
        <v>8867320</v>
      </c>
      <c r="CY2526">
        <v>0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25">
      <c r="A2527" t="str">
        <f t="shared" si="1394"/>
        <v>06/05/2020 14:55:10.043</v>
      </c>
      <c r="C2527" t="str">
        <f t="shared" si="1362"/>
        <v>FFDFD3C0</v>
      </c>
      <c r="D2527" t="s">
        <v>141</v>
      </c>
      <c r="E2527">
        <v>20</v>
      </c>
      <c r="F2527">
        <v>1020</v>
      </c>
      <c r="G2527" t="s">
        <v>114</v>
      </c>
      <c r="J2527" t="s">
        <v>142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395"/>
        <v>14:55:15.688</v>
      </c>
      <c r="T2527" t="str">
        <f t="shared" si="1396"/>
        <v>14:55:15.388</v>
      </c>
      <c r="U2527" t="str">
        <f t="shared" si="1379"/>
        <v>ACC530</v>
      </c>
      <c r="V2527">
        <v>0</v>
      </c>
      <c r="W2527">
        <v>0</v>
      </c>
      <c r="X2527">
        <v>1</v>
      </c>
      <c r="Z2527">
        <v>0</v>
      </c>
      <c r="AA2527">
        <v>9</v>
      </c>
      <c r="AB2527">
        <v>3</v>
      </c>
      <c r="AC2527">
        <v>0</v>
      </c>
      <c r="AD2527">
        <v>9</v>
      </c>
      <c r="AE2527">
        <v>0</v>
      </c>
      <c r="AF2527">
        <v>3</v>
      </c>
      <c r="AG2527">
        <v>1</v>
      </c>
      <c r="AH2527">
        <v>0</v>
      </c>
      <c r="AI2527" t="s">
        <v>892</v>
      </c>
      <c r="AJ2527">
        <v>34.143447999999999</v>
      </c>
      <c r="AK2527" t="s">
        <v>893</v>
      </c>
      <c r="AL2527">
        <v>-117.053726</v>
      </c>
      <c r="AM2527">
        <v>100</v>
      </c>
      <c r="AN2527">
        <v>7000</v>
      </c>
      <c r="AO2527" t="s">
        <v>118</v>
      </c>
      <c r="AP2527">
        <v>-52</v>
      </c>
      <c r="AQ2527">
        <v>-95</v>
      </c>
      <c r="AR2527">
        <v>-960</v>
      </c>
      <c r="AZ2527">
        <v>1200</v>
      </c>
      <c r="BA2527">
        <v>1</v>
      </c>
      <c r="BB2527" t="str">
        <f t="shared" si="1381"/>
        <v xml:space="preserve">N9217B  </v>
      </c>
      <c r="BC2527">
        <v>1</v>
      </c>
      <c r="BE2527">
        <v>0</v>
      </c>
      <c r="BF2527">
        <v>0</v>
      </c>
      <c r="BG2527">
        <v>0</v>
      </c>
      <c r="BH2527">
        <v>6900</v>
      </c>
      <c r="BI2527">
        <v>1</v>
      </c>
      <c r="BJ2527">
        <v>0</v>
      </c>
      <c r="BK2527">
        <v>0</v>
      </c>
      <c r="BL2527">
        <v>0</v>
      </c>
      <c r="BO2527">
        <v>0</v>
      </c>
      <c r="BP2527">
        <v>0</v>
      </c>
      <c r="BW2527" t="str">
        <f t="shared" si="1397"/>
        <v>14:55:15.691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285</v>
      </c>
      <c r="CR2527">
        <v>0</v>
      </c>
      <c r="CW2527">
        <v>8867320</v>
      </c>
      <c r="CY2527">
        <v>0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25">
      <c r="A2528" t="str">
        <f t="shared" si="1394"/>
        <v>06/05/2020 14:55:10.043</v>
      </c>
      <c r="C2528" t="str">
        <f t="shared" si="1362"/>
        <v>FFDFD3C0</v>
      </c>
      <c r="D2528" t="s">
        <v>148</v>
      </c>
      <c r="E2528">
        <v>8</v>
      </c>
      <c r="H2528">
        <v>50</v>
      </c>
      <c r="I2528" t="s">
        <v>149</v>
      </c>
      <c r="J2528" t="s">
        <v>150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395"/>
        <v>14:55:15.688</v>
      </c>
      <c r="T2528" t="str">
        <f t="shared" si="1396"/>
        <v>14:55:15.388</v>
      </c>
      <c r="U2528" t="str">
        <f t="shared" si="1379"/>
        <v>ACC530</v>
      </c>
      <c r="V2528">
        <v>0</v>
      </c>
      <c r="W2528">
        <v>0</v>
      </c>
      <c r="X2528">
        <v>1</v>
      </c>
      <c r="Z2528">
        <v>0</v>
      </c>
      <c r="AA2528">
        <v>9</v>
      </c>
      <c r="AB2528">
        <v>3</v>
      </c>
      <c r="AC2528">
        <v>0</v>
      </c>
      <c r="AD2528">
        <v>9</v>
      </c>
      <c r="AE2528">
        <v>0</v>
      </c>
      <c r="AF2528">
        <v>3</v>
      </c>
      <c r="AG2528">
        <v>1</v>
      </c>
      <c r="AH2528">
        <v>0</v>
      </c>
      <c r="AI2528" t="s">
        <v>892</v>
      </c>
      <c r="AJ2528">
        <v>34.143447999999999</v>
      </c>
      <c r="AK2528" t="s">
        <v>893</v>
      </c>
      <c r="AL2528">
        <v>-117.053726</v>
      </c>
      <c r="AM2528">
        <v>100</v>
      </c>
      <c r="AN2528">
        <v>7000</v>
      </c>
      <c r="AO2528" t="s">
        <v>118</v>
      </c>
      <c r="AP2528">
        <v>-52</v>
      </c>
      <c r="AQ2528">
        <v>-95</v>
      </c>
      <c r="AR2528">
        <v>-960</v>
      </c>
      <c r="AZ2528">
        <v>1200</v>
      </c>
      <c r="BA2528">
        <v>1</v>
      </c>
      <c r="BB2528" t="str">
        <f t="shared" si="1381"/>
        <v xml:space="preserve">N9217B  </v>
      </c>
      <c r="BC2528">
        <v>1</v>
      </c>
      <c r="BE2528">
        <v>0</v>
      </c>
      <c r="BF2528">
        <v>0</v>
      </c>
      <c r="BG2528">
        <v>0</v>
      </c>
      <c r="BH2528">
        <v>6900</v>
      </c>
      <c r="BI2528">
        <v>1</v>
      </c>
      <c r="BJ2528">
        <v>0</v>
      </c>
      <c r="BK2528">
        <v>0</v>
      </c>
      <c r="BL2528">
        <v>0</v>
      </c>
      <c r="BO2528">
        <v>0</v>
      </c>
      <c r="BP2528">
        <v>0</v>
      </c>
      <c r="BW2528" t="str">
        <f t="shared" si="1397"/>
        <v>14:55:15.691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285</v>
      </c>
      <c r="CR2528">
        <v>0</v>
      </c>
      <c r="CW2528">
        <v>8867320</v>
      </c>
      <c r="CY2528">
        <v>0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25">
      <c r="A2529" t="str">
        <f t="shared" si="1394"/>
        <v>06/05/2020 14:55:10.043</v>
      </c>
      <c r="C2529" t="str">
        <f t="shared" si="1362"/>
        <v>FFDFD3C0</v>
      </c>
      <c r="D2529" t="s">
        <v>151</v>
      </c>
      <c r="E2529">
        <v>8</v>
      </c>
      <c r="H2529">
        <v>225</v>
      </c>
      <c r="I2529" t="s">
        <v>353</v>
      </c>
      <c r="J2529" t="s">
        <v>150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395"/>
        <v>14:55:15.688</v>
      </c>
      <c r="T2529" t="str">
        <f t="shared" si="1396"/>
        <v>14:55:15.388</v>
      </c>
      <c r="U2529" t="str">
        <f t="shared" si="1379"/>
        <v>ACC530</v>
      </c>
      <c r="V2529">
        <v>0</v>
      </c>
      <c r="W2529">
        <v>0</v>
      </c>
      <c r="X2529">
        <v>1</v>
      </c>
      <c r="Z2529">
        <v>0</v>
      </c>
      <c r="AA2529">
        <v>9</v>
      </c>
      <c r="AB2529">
        <v>3</v>
      </c>
      <c r="AC2529">
        <v>0</v>
      </c>
      <c r="AD2529">
        <v>9</v>
      </c>
      <c r="AE2529">
        <v>0</v>
      </c>
      <c r="AF2529">
        <v>3</v>
      </c>
      <c r="AG2529">
        <v>1</v>
      </c>
      <c r="AH2529">
        <v>0</v>
      </c>
      <c r="AI2529" t="s">
        <v>892</v>
      </c>
      <c r="AJ2529">
        <v>34.143447999999999</v>
      </c>
      <c r="AK2529" t="s">
        <v>893</v>
      </c>
      <c r="AL2529">
        <v>-117.053726</v>
      </c>
      <c r="AM2529">
        <v>100</v>
      </c>
      <c r="AN2529">
        <v>7000</v>
      </c>
      <c r="AO2529" t="s">
        <v>118</v>
      </c>
      <c r="AP2529">
        <v>-52</v>
      </c>
      <c r="AQ2529">
        <v>-95</v>
      </c>
      <c r="AR2529">
        <v>-960</v>
      </c>
      <c r="AZ2529">
        <v>1200</v>
      </c>
      <c r="BA2529">
        <v>1</v>
      </c>
      <c r="BB2529" t="str">
        <f t="shared" si="1381"/>
        <v xml:space="preserve">N9217B  </v>
      </c>
      <c r="BC2529">
        <v>1</v>
      </c>
      <c r="BE2529">
        <v>0</v>
      </c>
      <c r="BF2529">
        <v>0</v>
      </c>
      <c r="BG2529">
        <v>0</v>
      </c>
      <c r="BH2529">
        <v>6900</v>
      </c>
      <c r="BI2529">
        <v>1</v>
      </c>
      <c r="BJ2529">
        <v>0</v>
      </c>
      <c r="BK2529">
        <v>0</v>
      </c>
      <c r="BL2529">
        <v>0</v>
      </c>
      <c r="BO2529">
        <v>0</v>
      </c>
      <c r="BP2529">
        <v>0</v>
      </c>
      <c r="BW2529" t="str">
        <f t="shared" si="1397"/>
        <v>14:55:15.691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285</v>
      </c>
      <c r="CR2529">
        <v>0</v>
      </c>
      <c r="CW2529">
        <v>8867320</v>
      </c>
      <c r="CY2529">
        <v>0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25">
      <c r="A2530" t="str">
        <f t="shared" si="1394"/>
        <v>06/05/2020 14:55:10.043</v>
      </c>
      <c r="C2530" t="str">
        <f t="shared" si="1362"/>
        <v>FFDFD3C0</v>
      </c>
      <c r="D2530" t="s">
        <v>134</v>
      </c>
      <c r="E2530">
        <v>7</v>
      </c>
      <c r="F2530">
        <v>2007</v>
      </c>
      <c r="G2530" t="s">
        <v>135</v>
      </c>
      <c r="J2530" t="s">
        <v>136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395"/>
        <v>14:55:15.688</v>
      </c>
      <c r="T2530" t="str">
        <f t="shared" si="1396"/>
        <v>14:55:15.388</v>
      </c>
      <c r="U2530" t="str">
        <f t="shared" si="1379"/>
        <v>ACC530</v>
      </c>
      <c r="V2530">
        <v>0</v>
      </c>
      <c r="W2530">
        <v>0</v>
      </c>
      <c r="X2530">
        <v>1</v>
      </c>
      <c r="Z2530">
        <v>0</v>
      </c>
      <c r="AA2530">
        <v>9</v>
      </c>
      <c r="AB2530">
        <v>3</v>
      </c>
      <c r="AC2530">
        <v>0</v>
      </c>
      <c r="AD2530">
        <v>9</v>
      </c>
      <c r="AE2530">
        <v>0</v>
      </c>
      <c r="AF2530">
        <v>3</v>
      </c>
      <c r="AG2530">
        <v>1</v>
      </c>
      <c r="AH2530">
        <v>0</v>
      </c>
      <c r="AI2530" t="s">
        <v>892</v>
      </c>
      <c r="AJ2530">
        <v>34.143447999999999</v>
      </c>
      <c r="AK2530" t="s">
        <v>893</v>
      </c>
      <c r="AL2530">
        <v>-117.053726</v>
      </c>
      <c r="AM2530">
        <v>100</v>
      </c>
      <c r="AN2530">
        <v>7000</v>
      </c>
      <c r="AO2530" t="s">
        <v>118</v>
      </c>
      <c r="AP2530">
        <v>-52</v>
      </c>
      <c r="AQ2530">
        <v>-95</v>
      </c>
      <c r="AR2530">
        <v>-960</v>
      </c>
      <c r="AZ2530">
        <v>1200</v>
      </c>
      <c r="BA2530">
        <v>1</v>
      </c>
      <c r="BB2530" t="str">
        <f t="shared" si="1381"/>
        <v xml:space="preserve">N9217B  </v>
      </c>
      <c r="BC2530">
        <v>1</v>
      </c>
      <c r="BE2530">
        <v>0</v>
      </c>
      <c r="BF2530">
        <v>0</v>
      </c>
      <c r="BG2530">
        <v>0</v>
      </c>
      <c r="BH2530">
        <v>6900</v>
      </c>
      <c r="BI2530">
        <v>1</v>
      </c>
      <c r="BJ2530">
        <v>0</v>
      </c>
      <c r="BK2530">
        <v>0</v>
      </c>
      <c r="BL2530">
        <v>0</v>
      </c>
      <c r="BO2530">
        <v>0</v>
      </c>
      <c r="BP2530">
        <v>0</v>
      </c>
      <c r="BW2530" t="str">
        <f t="shared" si="1397"/>
        <v>14:55:15.691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285</v>
      </c>
      <c r="CR2530">
        <v>0</v>
      </c>
      <c r="CW2530">
        <v>8867320</v>
      </c>
      <c r="CY2530">
        <v>0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25">
      <c r="A2531" t="str">
        <f t="shared" si="1394"/>
        <v>06/05/2020 14:55:10.043</v>
      </c>
      <c r="C2531" t="str">
        <f t="shared" ref="C2531:C2594" si="1398">"FFDFD3C0"</f>
        <v>FFDFD3C0</v>
      </c>
      <c r="D2531" t="s">
        <v>151</v>
      </c>
      <c r="E2531">
        <v>9</v>
      </c>
      <c r="H2531">
        <v>226</v>
      </c>
      <c r="I2531" t="s">
        <v>152</v>
      </c>
      <c r="J2531" t="s">
        <v>150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395"/>
        <v>14:55:15.688</v>
      </c>
      <c r="T2531" t="str">
        <f t="shared" si="1396"/>
        <v>14:55:15.388</v>
      </c>
      <c r="U2531" t="str">
        <f t="shared" si="1379"/>
        <v>ACC530</v>
      </c>
      <c r="V2531">
        <v>0</v>
      </c>
      <c r="W2531">
        <v>0</v>
      </c>
      <c r="X2531">
        <v>1</v>
      </c>
      <c r="Z2531">
        <v>0</v>
      </c>
      <c r="AA2531">
        <v>9</v>
      </c>
      <c r="AB2531">
        <v>3</v>
      </c>
      <c r="AC2531">
        <v>0</v>
      </c>
      <c r="AD2531">
        <v>9</v>
      </c>
      <c r="AE2531">
        <v>0</v>
      </c>
      <c r="AF2531">
        <v>3</v>
      </c>
      <c r="AG2531">
        <v>1</v>
      </c>
      <c r="AH2531">
        <v>0</v>
      </c>
      <c r="AI2531" t="s">
        <v>892</v>
      </c>
      <c r="AJ2531">
        <v>34.143447999999999</v>
      </c>
      <c r="AK2531" t="s">
        <v>893</v>
      </c>
      <c r="AL2531">
        <v>-117.053726</v>
      </c>
      <c r="AM2531">
        <v>100</v>
      </c>
      <c r="AN2531">
        <v>7000</v>
      </c>
      <c r="AO2531" t="s">
        <v>118</v>
      </c>
      <c r="AP2531">
        <v>-52</v>
      </c>
      <c r="AQ2531">
        <v>-95</v>
      </c>
      <c r="AR2531">
        <v>-960</v>
      </c>
      <c r="AZ2531">
        <v>1200</v>
      </c>
      <c r="BA2531">
        <v>1</v>
      </c>
      <c r="BB2531" t="str">
        <f t="shared" si="1381"/>
        <v xml:space="preserve">N9217B  </v>
      </c>
      <c r="BC2531">
        <v>1</v>
      </c>
      <c r="BE2531">
        <v>0</v>
      </c>
      <c r="BF2531">
        <v>0</v>
      </c>
      <c r="BG2531">
        <v>0</v>
      </c>
      <c r="BH2531">
        <v>6900</v>
      </c>
      <c r="BI2531">
        <v>1</v>
      </c>
      <c r="BJ2531">
        <v>0</v>
      </c>
      <c r="BK2531">
        <v>0</v>
      </c>
      <c r="BL2531">
        <v>0</v>
      </c>
      <c r="BO2531">
        <v>0</v>
      </c>
      <c r="BP2531">
        <v>0</v>
      </c>
      <c r="BW2531" t="str">
        <f t="shared" si="1397"/>
        <v>14:55:15.691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285</v>
      </c>
      <c r="CR2531">
        <v>0</v>
      </c>
      <c r="CW2531">
        <v>8867320</v>
      </c>
      <c r="CY2531">
        <v>0</v>
      </c>
      <c r="CZ2531">
        <v>0</v>
      </c>
      <c r="DA2531">
        <v>1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25">
      <c r="A2532" t="str">
        <f t="shared" si="1394"/>
        <v>06/05/2020 14:55:10.043</v>
      </c>
      <c r="C2532" t="str">
        <f t="shared" si="1398"/>
        <v>FFDFD3C0</v>
      </c>
      <c r="D2532" t="s">
        <v>113</v>
      </c>
      <c r="E2532">
        <v>3</v>
      </c>
      <c r="H2532">
        <v>166</v>
      </c>
      <c r="I2532" t="s">
        <v>114</v>
      </c>
      <c r="J2532" t="s">
        <v>115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395"/>
        <v>14:55:15.688</v>
      </c>
      <c r="T2532" t="str">
        <f t="shared" si="1396"/>
        <v>14:55:15.388</v>
      </c>
      <c r="U2532" t="str">
        <f t="shared" si="1379"/>
        <v>ACC530</v>
      </c>
      <c r="V2532">
        <v>0</v>
      </c>
      <c r="W2532">
        <v>0</v>
      </c>
      <c r="X2532">
        <v>1</v>
      </c>
      <c r="Z2532">
        <v>0</v>
      </c>
      <c r="AA2532">
        <v>9</v>
      </c>
      <c r="AB2532">
        <v>3</v>
      </c>
      <c r="AC2532">
        <v>0</v>
      </c>
      <c r="AD2532">
        <v>9</v>
      </c>
      <c r="AE2532">
        <v>0</v>
      </c>
      <c r="AF2532">
        <v>3</v>
      </c>
      <c r="AG2532">
        <v>1</v>
      </c>
      <c r="AH2532">
        <v>0</v>
      </c>
      <c r="AI2532" t="s">
        <v>892</v>
      </c>
      <c r="AJ2532">
        <v>34.143447999999999</v>
      </c>
      <c r="AK2532" t="s">
        <v>893</v>
      </c>
      <c r="AL2532">
        <v>-117.053726</v>
      </c>
      <c r="AM2532">
        <v>100</v>
      </c>
      <c r="AN2532">
        <v>7000</v>
      </c>
      <c r="AO2532" t="s">
        <v>118</v>
      </c>
      <c r="AP2532">
        <v>-52</v>
      </c>
      <c r="AQ2532">
        <v>-95</v>
      </c>
      <c r="AR2532">
        <v>-960</v>
      </c>
      <c r="AZ2532">
        <v>1200</v>
      </c>
      <c r="BA2532">
        <v>1</v>
      </c>
      <c r="BB2532" t="str">
        <f t="shared" si="1381"/>
        <v xml:space="preserve">N9217B  </v>
      </c>
      <c r="BC2532">
        <v>1</v>
      </c>
      <c r="BE2532">
        <v>0</v>
      </c>
      <c r="BF2532">
        <v>0</v>
      </c>
      <c r="BG2532">
        <v>0</v>
      </c>
      <c r="BH2532">
        <v>6900</v>
      </c>
      <c r="BI2532">
        <v>1</v>
      </c>
      <c r="BJ2532">
        <v>0</v>
      </c>
      <c r="BK2532">
        <v>0</v>
      </c>
      <c r="BL2532">
        <v>0</v>
      </c>
      <c r="BO2532">
        <v>0</v>
      </c>
      <c r="BP2532">
        <v>0</v>
      </c>
      <c r="BW2532" t="str">
        <f t="shared" si="1397"/>
        <v>14:55:15.691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285</v>
      </c>
      <c r="CR2532">
        <v>0</v>
      </c>
      <c r="CW2532">
        <v>8867320</v>
      </c>
      <c r="CY2532">
        <v>0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25">
      <c r="A2533" t="str">
        <f t="shared" ref="A2533:A2539" si="1399">"06/05/2020 14:55:10.936"</f>
        <v>06/05/2020 14:55:10.936</v>
      </c>
      <c r="C2533" t="str">
        <f t="shared" si="1398"/>
        <v>FFDFD3C0</v>
      </c>
      <c r="D2533" t="s">
        <v>151</v>
      </c>
      <c r="E2533">
        <v>9</v>
      </c>
      <c r="H2533">
        <v>226</v>
      </c>
      <c r="I2533" t="s">
        <v>152</v>
      </c>
      <c r="J2533" t="s">
        <v>150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ref="S2533:S2539" si="1400">"14:55:16.617"</f>
        <v>14:55:16.617</v>
      </c>
      <c r="T2533" t="str">
        <f t="shared" ref="T2533:T2539" si="1401">"14:55:16.217"</f>
        <v>14:55:16.217</v>
      </c>
      <c r="U2533" t="str">
        <f t="shared" si="1379"/>
        <v>ACC530</v>
      </c>
      <c r="V2533">
        <v>0</v>
      </c>
      <c r="W2533">
        <v>0</v>
      </c>
      <c r="X2533">
        <v>1</v>
      </c>
      <c r="Z2533">
        <v>0</v>
      </c>
      <c r="AA2533">
        <v>9</v>
      </c>
      <c r="AB2533">
        <v>3</v>
      </c>
      <c r="AC2533">
        <v>0</v>
      </c>
      <c r="AD2533">
        <v>9</v>
      </c>
      <c r="AE2533">
        <v>0</v>
      </c>
      <c r="AF2533">
        <v>3</v>
      </c>
      <c r="AG2533">
        <v>1</v>
      </c>
      <c r="AH2533">
        <v>0</v>
      </c>
      <c r="AI2533" t="s">
        <v>894</v>
      </c>
      <c r="AJ2533">
        <v>34.143039999999999</v>
      </c>
      <c r="AK2533" t="s">
        <v>895</v>
      </c>
      <c r="AL2533">
        <v>-117.054005</v>
      </c>
      <c r="AM2533">
        <v>100</v>
      </c>
      <c r="AN2533">
        <v>6900</v>
      </c>
      <c r="AO2533" t="s">
        <v>118</v>
      </c>
      <c r="AP2533">
        <v>-50</v>
      </c>
      <c r="AQ2533">
        <v>-95</v>
      </c>
      <c r="AR2533">
        <v>-960</v>
      </c>
      <c r="AZ2533">
        <v>1200</v>
      </c>
      <c r="BA2533">
        <v>1</v>
      </c>
      <c r="BB2533" t="str">
        <f t="shared" si="1381"/>
        <v xml:space="preserve">N9217B  </v>
      </c>
      <c r="BC2533">
        <v>1</v>
      </c>
      <c r="BE2533">
        <v>0</v>
      </c>
      <c r="BF2533">
        <v>0</v>
      </c>
      <c r="BG2533">
        <v>0</v>
      </c>
      <c r="BH2533">
        <v>6775</v>
      </c>
      <c r="BI2533">
        <v>1</v>
      </c>
      <c r="BJ2533">
        <v>0</v>
      </c>
      <c r="BK2533">
        <v>0</v>
      </c>
      <c r="BL2533">
        <v>0</v>
      </c>
      <c r="BO2533">
        <v>0</v>
      </c>
      <c r="BP2533">
        <v>0</v>
      </c>
      <c r="BW2533" t="str">
        <f t="shared" ref="BW2533:BW2539" si="1402">"14:55:16.621"</f>
        <v>14:55:16.621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285</v>
      </c>
      <c r="CR2533">
        <v>0</v>
      </c>
      <c r="CW2533">
        <v>8867403</v>
      </c>
      <c r="CY2533">
        <v>0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25">
      <c r="A2534" t="str">
        <f t="shared" si="1399"/>
        <v>06/05/2020 14:55:10.936</v>
      </c>
      <c r="C2534" t="str">
        <f t="shared" si="1398"/>
        <v>FFDFD3C0</v>
      </c>
      <c r="D2534" t="s">
        <v>113</v>
      </c>
      <c r="E2534">
        <v>3</v>
      </c>
      <c r="H2534">
        <v>166</v>
      </c>
      <c r="I2534" t="s">
        <v>114</v>
      </c>
      <c r="J2534" t="s">
        <v>115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400"/>
        <v>14:55:16.617</v>
      </c>
      <c r="T2534" t="str">
        <f t="shared" si="1401"/>
        <v>14:55:16.217</v>
      </c>
      <c r="U2534" t="str">
        <f t="shared" si="1379"/>
        <v>ACC530</v>
      </c>
      <c r="V2534">
        <v>0</v>
      </c>
      <c r="W2534">
        <v>0</v>
      </c>
      <c r="X2534">
        <v>1</v>
      </c>
      <c r="Z2534">
        <v>0</v>
      </c>
      <c r="AA2534">
        <v>9</v>
      </c>
      <c r="AB2534">
        <v>3</v>
      </c>
      <c r="AC2534">
        <v>0</v>
      </c>
      <c r="AD2534">
        <v>9</v>
      </c>
      <c r="AE2534">
        <v>0</v>
      </c>
      <c r="AF2534">
        <v>3</v>
      </c>
      <c r="AG2534">
        <v>1</v>
      </c>
      <c r="AH2534">
        <v>0</v>
      </c>
      <c r="AI2534" t="s">
        <v>894</v>
      </c>
      <c r="AJ2534">
        <v>34.143039999999999</v>
      </c>
      <c r="AK2534" t="s">
        <v>895</v>
      </c>
      <c r="AL2534">
        <v>-117.054005</v>
      </c>
      <c r="AM2534">
        <v>100</v>
      </c>
      <c r="AN2534">
        <v>6900</v>
      </c>
      <c r="AO2534" t="s">
        <v>118</v>
      </c>
      <c r="AP2534">
        <v>-50</v>
      </c>
      <c r="AQ2534">
        <v>-95</v>
      </c>
      <c r="AR2534">
        <v>-960</v>
      </c>
      <c r="AZ2534">
        <v>1200</v>
      </c>
      <c r="BA2534">
        <v>1</v>
      </c>
      <c r="BB2534" t="str">
        <f t="shared" si="1381"/>
        <v xml:space="preserve">N9217B  </v>
      </c>
      <c r="BC2534">
        <v>1</v>
      </c>
      <c r="BE2534">
        <v>0</v>
      </c>
      <c r="BF2534">
        <v>0</v>
      </c>
      <c r="BG2534">
        <v>0</v>
      </c>
      <c r="BH2534">
        <v>6775</v>
      </c>
      <c r="BI2534">
        <v>1</v>
      </c>
      <c r="BJ2534">
        <v>0</v>
      </c>
      <c r="BK2534">
        <v>0</v>
      </c>
      <c r="BL2534">
        <v>0</v>
      </c>
      <c r="BO2534">
        <v>0</v>
      </c>
      <c r="BP2534">
        <v>0</v>
      </c>
      <c r="BW2534" t="str">
        <f t="shared" si="1402"/>
        <v>14:55:16.621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285</v>
      </c>
      <c r="CR2534">
        <v>0</v>
      </c>
      <c r="CW2534">
        <v>8867403</v>
      </c>
      <c r="CY2534">
        <v>0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25">
      <c r="A2535" t="str">
        <f t="shared" si="1399"/>
        <v>06/05/2020 14:55:10.936</v>
      </c>
      <c r="C2535" t="str">
        <f t="shared" si="1398"/>
        <v>FFDFD3C0</v>
      </c>
      <c r="D2535" t="s">
        <v>141</v>
      </c>
      <c r="E2535">
        <v>20</v>
      </c>
      <c r="F2535">
        <v>1020</v>
      </c>
      <c r="G2535" t="s">
        <v>114</v>
      </c>
      <c r="J2535" t="s">
        <v>142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400"/>
        <v>14:55:16.617</v>
      </c>
      <c r="T2535" t="str">
        <f t="shared" si="1401"/>
        <v>14:55:16.217</v>
      </c>
      <c r="U2535" t="str">
        <f t="shared" si="1379"/>
        <v>ACC530</v>
      </c>
      <c r="V2535">
        <v>0</v>
      </c>
      <c r="W2535">
        <v>0</v>
      </c>
      <c r="X2535">
        <v>1</v>
      </c>
      <c r="Z2535">
        <v>0</v>
      </c>
      <c r="AA2535">
        <v>9</v>
      </c>
      <c r="AB2535">
        <v>3</v>
      </c>
      <c r="AC2535">
        <v>0</v>
      </c>
      <c r="AD2535">
        <v>9</v>
      </c>
      <c r="AE2535">
        <v>0</v>
      </c>
      <c r="AF2535">
        <v>3</v>
      </c>
      <c r="AG2535">
        <v>1</v>
      </c>
      <c r="AH2535">
        <v>0</v>
      </c>
      <c r="AI2535" t="s">
        <v>894</v>
      </c>
      <c r="AJ2535">
        <v>34.143039999999999</v>
      </c>
      <c r="AK2535" t="s">
        <v>895</v>
      </c>
      <c r="AL2535">
        <v>-117.054005</v>
      </c>
      <c r="AM2535">
        <v>100</v>
      </c>
      <c r="AN2535">
        <v>6900</v>
      </c>
      <c r="AO2535" t="s">
        <v>118</v>
      </c>
      <c r="AP2535">
        <v>-50</v>
      </c>
      <c r="AQ2535">
        <v>-95</v>
      </c>
      <c r="AR2535">
        <v>-960</v>
      </c>
      <c r="AZ2535">
        <v>1200</v>
      </c>
      <c r="BA2535">
        <v>1</v>
      </c>
      <c r="BB2535" t="str">
        <f t="shared" si="1381"/>
        <v xml:space="preserve">N9217B  </v>
      </c>
      <c r="BC2535">
        <v>1</v>
      </c>
      <c r="BE2535">
        <v>0</v>
      </c>
      <c r="BF2535">
        <v>0</v>
      </c>
      <c r="BG2535">
        <v>0</v>
      </c>
      <c r="BH2535">
        <v>6775</v>
      </c>
      <c r="BI2535">
        <v>1</v>
      </c>
      <c r="BJ2535">
        <v>0</v>
      </c>
      <c r="BK2535">
        <v>0</v>
      </c>
      <c r="BL2535">
        <v>0</v>
      </c>
      <c r="BO2535">
        <v>0</v>
      </c>
      <c r="BP2535">
        <v>0</v>
      </c>
      <c r="BW2535" t="str">
        <f t="shared" si="1402"/>
        <v>14:55:16.621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285</v>
      </c>
      <c r="CR2535">
        <v>0</v>
      </c>
      <c r="CW2535">
        <v>8867403</v>
      </c>
      <c r="CY2535">
        <v>0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25">
      <c r="A2536" t="str">
        <f t="shared" si="1399"/>
        <v>06/05/2020 14:55:10.936</v>
      </c>
      <c r="C2536" t="str">
        <f t="shared" si="1398"/>
        <v>FFDFD3C0</v>
      </c>
      <c r="D2536" t="s">
        <v>148</v>
      </c>
      <c r="E2536">
        <v>11</v>
      </c>
      <c r="H2536">
        <v>53</v>
      </c>
      <c r="I2536" t="s">
        <v>364</v>
      </c>
      <c r="J2536" t="s">
        <v>150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400"/>
        <v>14:55:16.617</v>
      </c>
      <c r="T2536" t="str">
        <f t="shared" si="1401"/>
        <v>14:55:16.217</v>
      </c>
      <c r="U2536" t="str">
        <f t="shared" si="1379"/>
        <v>ACC530</v>
      </c>
      <c r="V2536">
        <v>0</v>
      </c>
      <c r="W2536">
        <v>0</v>
      </c>
      <c r="X2536">
        <v>1</v>
      </c>
      <c r="Z2536">
        <v>0</v>
      </c>
      <c r="AA2536">
        <v>9</v>
      </c>
      <c r="AB2536">
        <v>3</v>
      </c>
      <c r="AC2536">
        <v>0</v>
      </c>
      <c r="AD2536">
        <v>9</v>
      </c>
      <c r="AE2536">
        <v>0</v>
      </c>
      <c r="AF2536">
        <v>3</v>
      </c>
      <c r="AG2536">
        <v>1</v>
      </c>
      <c r="AH2536">
        <v>0</v>
      </c>
      <c r="AI2536" t="s">
        <v>894</v>
      </c>
      <c r="AJ2536">
        <v>34.143039999999999</v>
      </c>
      <c r="AK2536" t="s">
        <v>895</v>
      </c>
      <c r="AL2536">
        <v>-117.054005</v>
      </c>
      <c r="AM2536">
        <v>100</v>
      </c>
      <c r="AN2536">
        <v>6900</v>
      </c>
      <c r="AO2536" t="s">
        <v>118</v>
      </c>
      <c r="AP2536">
        <v>-50</v>
      </c>
      <c r="AQ2536">
        <v>-95</v>
      </c>
      <c r="AR2536">
        <v>-960</v>
      </c>
      <c r="AZ2536">
        <v>1200</v>
      </c>
      <c r="BA2536">
        <v>1</v>
      </c>
      <c r="BB2536" t="str">
        <f t="shared" si="1381"/>
        <v xml:space="preserve">N9217B  </v>
      </c>
      <c r="BC2536">
        <v>1</v>
      </c>
      <c r="BE2536">
        <v>0</v>
      </c>
      <c r="BF2536">
        <v>0</v>
      </c>
      <c r="BG2536">
        <v>0</v>
      </c>
      <c r="BH2536">
        <v>6775</v>
      </c>
      <c r="BI2536">
        <v>1</v>
      </c>
      <c r="BJ2536">
        <v>0</v>
      </c>
      <c r="BK2536">
        <v>0</v>
      </c>
      <c r="BL2536">
        <v>0</v>
      </c>
      <c r="BO2536">
        <v>0</v>
      </c>
      <c r="BP2536">
        <v>0</v>
      </c>
      <c r="BW2536" t="str">
        <f t="shared" si="1402"/>
        <v>14:55:16.621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285</v>
      </c>
      <c r="CR2536">
        <v>0</v>
      </c>
      <c r="CW2536">
        <v>8867403</v>
      </c>
      <c r="CY2536">
        <v>0</v>
      </c>
      <c r="CZ2536">
        <v>0</v>
      </c>
      <c r="DA2536">
        <v>1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25">
      <c r="A2537" t="str">
        <f t="shared" si="1399"/>
        <v>06/05/2020 14:55:10.936</v>
      </c>
      <c r="C2537" t="str">
        <f t="shared" si="1398"/>
        <v>FFDFD3C0</v>
      </c>
      <c r="D2537" t="s">
        <v>148</v>
      </c>
      <c r="E2537">
        <v>8</v>
      </c>
      <c r="H2537">
        <v>50</v>
      </c>
      <c r="I2537" t="s">
        <v>149</v>
      </c>
      <c r="J2537" t="s">
        <v>150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400"/>
        <v>14:55:16.617</v>
      </c>
      <c r="T2537" t="str">
        <f t="shared" si="1401"/>
        <v>14:55:16.217</v>
      </c>
      <c r="U2537" t="str">
        <f t="shared" si="1379"/>
        <v>ACC530</v>
      </c>
      <c r="V2537">
        <v>0</v>
      </c>
      <c r="W2537">
        <v>0</v>
      </c>
      <c r="X2537">
        <v>1</v>
      </c>
      <c r="Z2537">
        <v>0</v>
      </c>
      <c r="AA2537">
        <v>9</v>
      </c>
      <c r="AB2537">
        <v>3</v>
      </c>
      <c r="AC2537">
        <v>0</v>
      </c>
      <c r="AD2537">
        <v>9</v>
      </c>
      <c r="AE2537">
        <v>0</v>
      </c>
      <c r="AF2537">
        <v>3</v>
      </c>
      <c r="AG2537">
        <v>1</v>
      </c>
      <c r="AH2537">
        <v>0</v>
      </c>
      <c r="AI2537" t="s">
        <v>894</v>
      </c>
      <c r="AJ2537">
        <v>34.143039999999999</v>
      </c>
      <c r="AK2537" t="s">
        <v>895</v>
      </c>
      <c r="AL2537">
        <v>-117.054005</v>
      </c>
      <c r="AM2537">
        <v>100</v>
      </c>
      <c r="AN2537">
        <v>6900</v>
      </c>
      <c r="AO2537" t="s">
        <v>118</v>
      </c>
      <c r="AP2537">
        <v>-50</v>
      </c>
      <c r="AQ2537">
        <v>-95</v>
      </c>
      <c r="AR2537">
        <v>-960</v>
      </c>
      <c r="AZ2537">
        <v>1200</v>
      </c>
      <c r="BA2537">
        <v>1</v>
      </c>
      <c r="BB2537" t="str">
        <f t="shared" si="1381"/>
        <v xml:space="preserve">N9217B  </v>
      </c>
      <c r="BC2537">
        <v>1</v>
      </c>
      <c r="BE2537">
        <v>0</v>
      </c>
      <c r="BF2537">
        <v>0</v>
      </c>
      <c r="BG2537">
        <v>0</v>
      </c>
      <c r="BH2537">
        <v>6775</v>
      </c>
      <c r="BI2537">
        <v>1</v>
      </c>
      <c r="BJ2537">
        <v>0</v>
      </c>
      <c r="BK2537">
        <v>0</v>
      </c>
      <c r="BL2537">
        <v>0</v>
      </c>
      <c r="BO2537">
        <v>0</v>
      </c>
      <c r="BP2537">
        <v>0</v>
      </c>
      <c r="BW2537" t="str">
        <f t="shared" si="1402"/>
        <v>14:55:16.621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285</v>
      </c>
      <c r="CR2537">
        <v>0</v>
      </c>
      <c r="CW2537">
        <v>8867403</v>
      </c>
      <c r="CY2537">
        <v>0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25">
      <c r="A2538" t="str">
        <f t="shared" si="1399"/>
        <v>06/05/2020 14:55:10.936</v>
      </c>
      <c r="C2538" t="str">
        <f t="shared" si="1398"/>
        <v>FFDFD3C0</v>
      </c>
      <c r="D2538" t="s">
        <v>151</v>
      </c>
      <c r="E2538">
        <v>8</v>
      </c>
      <c r="H2538">
        <v>225</v>
      </c>
      <c r="I2538" t="s">
        <v>353</v>
      </c>
      <c r="J2538" t="s">
        <v>150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400"/>
        <v>14:55:16.617</v>
      </c>
      <c r="T2538" t="str">
        <f t="shared" si="1401"/>
        <v>14:55:16.217</v>
      </c>
      <c r="U2538" t="str">
        <f t="shared" si="1379"/>
        <v>ACC530</v>
      </c>
      <c r="V2538">
        <v>0</v>
      </c>
      <c r="W2538">
        <v>0</v>
      </c>
      <c r="X2538">
        <v>1</v>
      </c>
      <c r="Z2538">
        <v>0</v>
      </c>
      <c r="AA2538">
        <v>9</v>
      </c>
      <c r="AB2538">
        <v>3</v>
      </c>
      <c r="AC2538">
        <v>0</v>
      </c>
      <c r="AD2538">
        <v>9</v>
      </c>
      <c r="AE2538">
        <v>0</v>
      </c>
      <c r="AF2538">
        <v>3</v>
      </c>
      <c r="AG2538">
        <v>1</v>
      </c>
      <c r="AH2538">
        <v>0</v>
      </c>
      <c r="AI2538" t="s">
        <v>894</v>
      </c>
      <c r="AJ2538">
        <v>34.143039999999999</v>
      </c>
      <c r="AK2538" t="s">
        <v>895</v>
      </c>
      <c r="AL2538">
        <v>-117.054005</v>
      </c>
      <c r="AM2538">
        <v>100</v>
      </c>
      <c r="AN2538">
        <v>6900</v>
      </c>
      <c r="AO2538" t="s">
        <v>118</v>
      </c>
      <c r="AP2538">
        <v>-50</v>
      </c>
      <c r="AQ2538">
        <v>-95</v>
      </c>
      <c r="AR2538">
        <v>-960</v>
      </c>
      <c r="AZ2538">
        <v>1200</v>
      </c>
      <c r="BA2538">
        <v>1</v>
      </c>
      <c r="BB2538" t="str">
        <f t="shared" si="1381"/>
        <v xml:space="preserve">N9217B  </v>
      </c>
      <c r="BC2538">
        <v>1</v>
      </c>
      <c r="BE2538">
        <v>0</v>
      </c>
      <c r="BF2538">
        <v>0</v>
      </c>
      <c r="BG2538">
        <v>0</v>
      </c>
      <c r="BH2538">
        <v>6775</v>
      </c>
      <c r="BI2538">
        <v>1</v>
      </c>
      <c r="BJ2538">
        <v>0</v>
      </c>
      <c r="BK2538">
        <v>0</v>
      </c>
      <c r="BL2538">
        <v>0</v>
      </c>
      <c r="BO2538">
        <v>0</v>
      </c>
      <c r="BP2538">
        <v>0</v>
      </c>
      <c r="BW2538" t="str">
        <f t="shared" si="1402"/>
        <v>14:55:16.621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285</v>
      </c>
      <c r="CR2538">
        <v>0</v>
      </c>
      <c r="CW2538">
        <v>8867403</v>
      </c>
      <c r="CY2538">
        <v>0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25">
      <c r="A2539" t="str">
        <f t="shared" si="1399"/>
        <v>06/05/2020 14:55:10.936</v>
      </c>
      <c r="C2539" t="str">
        <f t="shared" si="1398"/>
        <v>FFDFD3C0</v>
      </c>
      <c r="D2539" t="s">
        <v>134</v>
      </c>
      <c r="E2539">
        <v>7</v>
      </c>
      <c r="F2539">
        <v>2007</v>
      </c>
      <c r="G2539" t="s">
        <v>135</v>
      </c>
      <c r="J2539" t="s">
        <v>136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400"/>
        <v>14:55:16.617</v>
      </c>
      <c r="T2539" t="str">
        <f t="shared" si="1401"/>
        <v>14:55:16.217</v>
      </c>
      <c r="U2539" t="str">
        <f t="shared" si="1379"/>
        <v>ACC530</v>
      </c>
      <c r="V2539">
        <v>0</v>
      </c>
      <c r="W2539">
        <v>0</v>
      </c>
      <c r="X2539">
        <v>1</v>
      </c>
      <c r="Z2539">
        <v>0</v>
      </c>
      <c r="AA2539">
        <v>9</v>
      </c>
      <c r="AB2539">
        <v>3</v>
      </c>
      <c r="AC2539">
        <v>0</v>
      </c>
      <c r="AD2539">
        <v>9</v>
      </c>
      <c r="AE2539">
        <v>0</v>
      </c>
      <c r="AF2539">
        <v>3</v>
      </c>
      <c r="AG2539">
        <v>1</v>
      </c>
      <c r="AH2539">
        <v>0</v>
      </c>
      <c r="AI2539" t="s">
        <v>894</v>
      </c>
      <c r="AJ2539">
        <v>34.143039999999999</v>
      </c>
      <c r="AK2539" t="s">
        <v>895</v>
      </c>
      <c r="AL2539">
        <v>-117.054005</v>
      </c>
      <c r="AM2539">
        <v>100</v>
      </c>
      <c r="AN2539">
        <v>6900</v>
      </c>
      <c r="AO2539" t="s">
        <v>118</v>
      </c>
      <c r="AP2539">
        <v>-50</v>
      </c>
      <c r="AQ2539">
        <v>-95</v>
      </c>
      <c r="AR2539">
        <v>-960</v>
      </c>
      <c r="AZ2539">
        <v>1200</v>
      </c>
      <c r="BA2539">
        <v>1</v>
      </c>
      <c r="BB2539" t="str">
        <f t="shared" si="1381"/>
        <v xml:space="preserve">N9217B  </v>
      </c>
      <c r="BC2539">
        <v>1</v>
      </c>
      <c r="BE2539">
        <v>0</v>
      </c>
      <c r="BF2539">
        <v>0</v>
      </c>
      <c r="BG2539">
        <v>0</v>
      </c>
      <c r="BH2539">
        <v>6775</v>
      </c>
      <c r="BI2539">
        <v>1</v>
      </c>
      <c r="BJ2539">
        <v>0</v>
      </c>
      <c r="BK2539">
        <v>0</v>
      </c>
      <c r="BL2539">
        <v>0</v>
      </c>
      <c r="BO2539">
        <v>0</v>
      </c>
      <c r="BP2539">
        <v>0</v>
      </c>
      <c r="BW2539" t="str">
        <f t="shared" si="1402"/>
        <v>14:55:16.621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285</v>
      </c>
      <c r="CR2539">
        <v>0</v>
      </c>
      <c r="CW2539">
        <v>8867403</v>
      </c>
      <c r="CY2539">
        <v>0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25">
      <c r="A2540" t="str">
        <f t="shared" ref="A2540:A2546" si="1403">"06/05/2020 14:55:12.163"</f>
        <v>06/05/2020 14:55:12.163</v>
      </c>
      <c r="C2540" t="str">
        <f t="shared" si="1398"/>
        <v>FFDFD3C0</v>
      </c>
      <c r="D2540" t="s">
        <v>141</v>
      </c>
      <c r="E2540">
        <v>20</v>
      </c>
      <c r="F2540">
        <v>1020</v>
      </c>
      <c r="G2540" t="s">
        <v>114</v>
      </c>
      <c r="J2540" t="s">
        <v>142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ref="S2540:T2546" si="1404">"14:55:17.805"</f>
        <v>14:55:17.805</v>
      </c>
      <c r="T2540" t="str">
        <f t="shared" si="1404"/>
        <v>14:55:17.805</v>
      </c>
      <c r="U2540" t="str">
        <f t="shared" si="1379"/>
        <v>ACC530</v>
      </c>
      <c r="V2540">
        <v>0</v>
      </c>
      <c r="W2540">
        <v>0</v>
      </c>
      <c r="X2540">
        <v>1</v>
      </c>
      <c r="Z2540">
        <v>0</v>
      </c>
      <c r="AA2540">
        <v>9</v>
      </c>
      <c r="AB2540">
        <v>3</v>
      </c>
      <c r="AC2540">
        <v>0</v>
      </c>
      <c r="AD2540">
        <v>9</v>
      </c>
      <c r="AE2540">
        <v>0</v>
      </c>
      <c r="AF2540">
        <v>3</v>
      </c>
      <c r="AG2540">
        <v>1</v>
      </c>
      <c r="AH2540">
        <v>0</v>
      </c>
      <c r="AI2540" t="s">
        <v>896</v>
      </c>
      <c r="AJ2540">
        <v>34.142482000000001</v>
      </c>
      <c r="AK2540" t="s">
        <v>897</v>
      </c>
      <c r="AL2540">
        <v>-117.054284</v>
      </c>
      <c r="AM2540">
        <v>100</v>
      </c>
      <c r="AN2540">
        <v>6900</v>
      </c>
      <c r="AO2540" t="s">
        <v>118</v>
      </c>
      <c r="AP2540">
        <v>-48</v>
      </c>
      <c r="AQ2540">
        <v>-96</v>
      </c>
      <c r="AR2540">
        <v>-960</v>
      </c>
      <c r="AZ2540">
        <v>1200</v>
      </c>
      <c r="BA2540">
        <v>1</v>
      </c>
      <c r="BB2540" t="str">
        <f t="shared" si="1381"/>
        <v xml:space="preserve">N9217B  </v>
      </c>
      <c r="BC2540">
        <v>1</v>
      </c>
      <c r="BE2540">
        <v>0</v>
      </c>
      <c r="BF2540">
        <v>0</v>
      </c>
      <c r="BG2540">
        <v>0</v>
      </c>
      <c r="BH2540">
        <v>6850</v>
      </c>
      <c r="BI2540">
        <v>1</v>
      </c>
      <c r="BJ2540">
        <v>0</v>
      </c>
      <c r="BK2540">
        <v>0</v>
      </c>
      <c r="BL2540">
        <v>0</v>
      </c>
      <c r="BO2540">
        <v>0</v>
      </c>
      <c r="BP2540">
        <v>0</v>
      </c>
      <c r="BW2540" t="str">
        <f t="shared" ref="BW2540:BW2546" si="1405">"14:55:17.806"</f>
        <v>14:55:17.806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285</v>
      </c>
      <c r="CR2540">
        <v>0</v>
      </c>
      <c r="CW2540">
        <v>8867509</v>
      </c>
      <c r="CY2540">
        <v>0</v>
      </c>
      <c r="CZ2540">
        <v>0</v>
      </c>
      <c r="DA2540">
        <v>0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25">
      <c r="A2541" t="str">
        <f t="shared" si="1403"/>
        <v>06/05/2020 14:55:12.163</v>
      </c>
      <c r="C2541" t="str">
        <f t="shared" si="1398"/>
        <v>FFDFD3C0</v>
      </c>
      <c r="D2541" t="s">
        <v>148</v>
      </c>
      <c r="E2541">
        <v>11</v>
      </c>
      <c r="H2541">
        <v>53</v>
      </c>
      <c r="I2541" t="s">
        <v>364</v>
      </c>
      <c r="J2541" t="s">
        <v>150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404"/>
        <v>14:55:17.805</v>
      </c>
      <c r="T2541" t="str">
        <f t="shared" si="1404"/>
        <v>14:55:17.805</v>
      </c>
      <c r="U2541" t="str">
        <f t="shared" si="1379"/>
        <v>ACC530</v>
      </c>
      <c r="V2541">
        <v>0</v>
      </c>
      <c r="W2541">
        <v>0</v>
      </c>
      <c r="X2541">
        <v>1</v>
      </c>
      <c r="Z2541">
        <v>0</v>
      </c>
      <c r="AA2541">
        <v>9</v>
      </c>
      <c r="AB2541">
        <v>3</v>
      </c>
      <c r="AC2541">
        <v>0</v>
      </c>
      <c r="AD2541">
        <v>9</v>
      </c>
      <c r="AE2541">
        <v>0</v>
      </c>
      <c r="AF2541">
        <v>3</v>
      </c>
      <c r="AG2541">
        <v>1</v>
      </c>
      <c r="AH2541">
        <v>0</v>
      </c>
      <c r="AI2541" t="s">
        <v>896</v>
      </c>
      <c r="AJ2541">
        <v>34.142482000000001</v>
      </c>
      <c r="AK2541" t="s">
        <v>897</v>
      </c>
      <c r="AL2541">
        <v>-117.054284</v>
      </c>
      <c r="AM2541">
        <v>100</v>
      </c>
      <c r="AN2541">
        <v>6900</v>
      </c>
      <c r="AO2541" t="s">
        <v>118</v>
      </c>
      <c r="AP2541">
        <v>-48</v>
      </c>
      <c r="AQ2541">
        <v>-96</v>
      </c>
      <c r="AR2541">
        <v>-960</v>
      </c>
      <c r="AZ2541">
        <v>1200</v>
      </c>
      <c r="BA2541">
        <v>1</v>
      </c>
      <c r="BB2541" t="str">
        <f t="shared" si="1381"/>
        <v xml:space="preserve">N9217B  </v>
      </c>
      <c r="BC2541">
        <v>1</v>
      </c>
      <c r="BE2541">
        <v>0</v>
      </c>
      <c r="BF2541">
        <v>0</v>
      </c>
      <c r="BG2541">
        <v>0</v>
      </c>
      <c r="BH2541">
        <v>6850</v>
      </c>
      <c r="BI2541">
        <v>1</v>
      </c>
      <c r="BJ2541">
        <v>0</v>
      </c>
      <c r="BK2541">
        <v>0</v>
      </c>
      <c r="BL2541">
        <v>0</v>
      </c>
      <c r="BO2541">
        <v>0</v>
      </c>
      <c r="BP2541">
        <v>0</v>
      </c>
      <c r="BW2541" t="str">
        <f t="shared" si="1405"/>
        <v>14:55:17.806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285</v>
      </c>
      <c r="CR2541">
        <v>0</v>
      </c>
      <c r="CW2541">
        <v>8867509</v>
      </c>
      <c r="CY2541">
        <v>0</v>
      </c>
      <c r="CZ2541">
        <v>0</v>
      </c>
      <c r="DA2541">
        <v>1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25">
      <c r="A2542" t="str">
        <f t="shared" si="1403"/>
        <v>06/05/2020 14:55:12.163</v>
      </c>
      <c r="C2542" t="str">
        <f t="shared" si="1398"/>
        <v>FFDFD3C0</v>
      </c>
      <c r="D2542" t="s">
        <v>148</v>
      </c>
      <c r="E2542">
        <v>8</v>
      </c>
      <c r="H2542">
        <v>50</v>
      </c>
      <c r="I2542" t="s">
        <v>149</v>
      </c>
      <c r="J2542" t="s">
        <v>150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si="1404"/>
        <v>14:55:17.805</v>
      </c>
      <c r="T2542" t="str">
        <f t="shared" si="1404"/>
        <v>14:55:17.805</v>
      </c>
      <c r="U2542" t="str">
        <f t="shared" si="1379"/>
        <v>ACC530</v>
      </c>
      <c r="V2542">
        <v>0</v>
      </c>
      <c r="W2542">
        <v>0</v>
      </c>
      <c r="X2542">
        <v>1</v>
      </c>
      <c r="Z2542">
        <v>0</v>
      </c>
      <c r="AA2542">
        <v>9</v>
      </c>
      <c r="AB2542">
        <v>3</v>
      </c>
      <c r="AC2542">
        <v>0</v>
      </c>
      <c r="AD2542">
        <v>9</v>
      </c>
      <c r="AE2542">
        <v>0</v>
      </c>
      <c r="AF2542">
        <v>3</v>
      </c>
      <c r="AG2542">
        <v>1</v>
      </c>
      <c r="AH2542">
        <v>0</v>
      </c>
      <c r="AI2542" t="s">
        <v>896</v>
      </c>
      <c r="AJ2542">
        <v>34.142482000000001</v>
      </c>
      <c r="AK2542" t="s">
        <v>897</v>
      </c>
      <c r="AL2542">
        <v>-117.054284</v>
      </c>
      <c r="AM2542">
        <v>100</v>
      </c>
      <c r="AN2542">
        <v>6900</v>
      </c>
      <c r="AO2542" t="s">
        <v>118</v>
      </c>
      <c r="AP2542">
        <v>-48</v>
      </c>
      <c r="AQ2542">
        <v>-96</v>
      </c>
      <c r="AR2542">
        <v>-960</v>
      </c>
      <c r="AZ2542">
        <v>1200</v>
      </c>
      <c r="BA2542">
        <v>1</v>
      </c>
      <c r="BB2542" t="str">
        <f t="shared" si="1381"/>
        <v xml:space="preserve">N9217B  </v>
      </c>
      <c r="BC2542">
        <v>1</v>
      </c>
      <c r="BE2542">
        <v>0</v>
      </c>
      <c r="BF2542">
        <v>0</v>
      </c>
      <c r="BG2542">
        <v>0</v>
      </c>
      <c r="BH2542">
        <v>6850</v>
      </c>
      <c r="BI2542">
        <v>1</v>
      </c>
      <c r="BJ2542">
        <v>0</v>
      </c>
      <c r="BK2542">
        <v>0</v>
      </c>
      <c r="BL2542">
        <v>0</v>
      </c>
      <c r="BO2542">
        <v>0</v>
      </c>
      <c r="BP2542">
        <v>0</v>
      </c>
      <c r="BW2542" t="str">
        <f t="shared" si="1405"/>
        <v>14:55:17.806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285</v>
      </c>
      <c r="CR2542">
        <v>0</v>
      </c>
      <c r="CW2542">
        <v>8867509</v>
      </c>
      <c r="CY2542">
        <v>0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25">
      <c r="A2543" t="str">
        <f t="shared" si="1403"/>
        <v>06/05/2020 14:55:12.163</v>
      </c>
      <c r="C2543" t="str">
        <f t="shared" si="1398"/>
        <v>FFDFD3C0</v>
      </c>
      <c r="D2543" t="s">
        <v>151</v>
      </c>
      <c r="E2543">
        <v>8</v>
      </c>
      <c r="H2543">
        <v>225</v>
      </c>
      <c r="I2543" t="s">
        <v>353</v>
      </c>
      <c r="J2543" t="s">
        <v>150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404"/>
        <v>14:55:17.805</v>
      </c>
      <c r="T2543" t="str">
        <f t="shared" si="1404"/>
        <v>14:55:17.805</v>
      </c>
      <c r="U2543" t="str">
        <f t="shared" si="1379"/>
        <v>ACC530</v>
      </c>
      <c r="V2543">
        <v>0</v>
      </c>
      <c r="W2543">
        <v>0</v>
      </c>
      <c r="X2543">
        <v>1</v>
      </c>
      <c r="Z2543">
        <v>0</v>
      </c>
      <c r="AA2543">
        <v>9</v>
      </c>
      <c r="AB2543">
        <v>3</v>
      </c>
      <c r="AC2543">
        <v>0</v>
      </c>
      <c r="AD2543">
        <v>9</v>
      </c>
      <c r="AE2543">
        <v>0</v>
      </c>
      <c r="AF2543">
        <v>3</v>
      </c>
      <c r="AG2543">
        <v>1</v>
      </c>
      <c r="AH2543">
        <v>0</v>
      </c>
      <c r="AI2543" t="s">
        <v>896</v>
      </c>
      <c r="AJ2543">
        <v>34.142482000000001</v>
      </c>
      <c r="AK2543" t="s">
        <v>897</v>
      </c>
      <c r="AL2543">
        <v>-117.054284</v>
      </c>
      <c r="AM2543">
        <v>100</v>
      </c>
      <c r="AN2543">
        <v>6900</v>
      </c>
      <c r="AO2543" t="s">
        <v>118</v>
      </c>
      <c r="AP2543">
        <v>-48</v>
      </c>
      <c r="AQ2543">
        <v>-96</v>
      </c>
      <c r="AR2543">
        <v>-960</v>
      </c>
      <c r="AZ2543">
        <v>1200</v>
      </c>
      <c r="BA2543">
        <v>1</v>
      </c>
      <c r="BB2543" t="str">
        <f t="shared" si="1381"/>
        <v xml:space="preserve">N9217B  </v>
      </c>
      <c r="BC2543">
        <v>1</v>
      </c>
      <c r="BE2543">
        <v>0</v>
      </c>
      <c r="BF2543">
        <v>0</v>
      </c>
      <c r="BG2543">
        <v>0</v>
      </c>
      <c r="BH2543">
        <v>6850</v>
      </c>
      <c r="BI2543">
        <v>1</v>
      </c>
      <c r="BJ2543">
        <v>0</v>
      </c>
      <c r="BK2543">
        <v>0</v>
      </c>
      <c r="BL2543">
        <v>0</v>
      </c>
      <c r="BO2543">
        <v>0</v>
      </c>
      <c r="BP2543">
        <v>0</v>
      </c>
      <c r="BW2543" t="str">
        <f t="shared" si="1405"/>
        <v>14:55:17.806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285</v>
      </c>
      <c r="CR2543">
        <v>0</v>
      </c>
      <c r="CW2543">
        <v>8867509</v>
      </c>
      <c r="CY2543">
        <v>0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25">
      <c r="A2544" t="str">
        <f t="shared" si="1403"/>
        <v>06/05/2020 14:55:12.163</v>
      </c>
      <c r="C2544" t="str">
        <f t="shared" si="1398"/>
        <v>FFDFD3C0</v>
      </c>
      <c r="D2544" t="s">
        <v>134</v>
      </c>
      <c r="E2544">
        <v>7</v>
      </c>
      <c r="F2544">
        <v>2007</v>
      </c>
      <c r="G2544" t="s">
        <v>135</v>
      </c>
      <c r="J2544" t="s">
        <v>136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404"/>
        <v>14:55:17.805</v>
      </c>
      <c r="T2544" t="str">
        <f t="shared" si="1404"/>
        <v>14:55:17.805</v>
      </c>
      <c r="U2544" t="str">
        <f t="shared" si="1379"/>
        <v>ACC530</v>
      </c>
      <c r="V2544">
        <v>0</v>
      </c>
      <c r="W2544">
        <v>0</v>
      </c>
      <c r="X2544">
        <v>1</v>
      </c>
      <c r="Z2544">
        <v>0</v>
      </c>
      <c r="AA2544">
        <v>9</v>
      </c>
      <c r="AB2544">
        <v>3</v>
      </c>
      <c r="AC2544">
        <v>0</v>
      </c>
      <c r="AD2544">
        <v>9</v>
      </c>
      <c r="AE2544">
        <v>0</v>
      </c>
      <c r="AF2544">
        <v>3</v>
      </c>
      <c r="AG2544">
        <v>1</v>
      </c>
      <c r="AH2544">
        <v>0</v>
      </c>
      <c r="AI2544" t="s">
        <v>896</v>
      </c>
      <c r="AJ2544">
        <v>34.142482000000001</v>
      </c>
      <c r="AK2544" t="s">
        <v>897</v>
      </c>
      <c r="AL2544">
        <v>-117.054284</v>
      </c>
      <c r="AM2544">
        <v>100</v>
      </c>
      <c r="AN2544">
        <v>6900</v>
      </c>
      <c r="AO2544" t="s">
        <v>118</v>
      </c>
      <c r="AP2544">
        <v>-48</v>
      </c>
      <c r="AQ2544">
        <v>-96</v>
      </c>
      <c r="AR2544">
        <v>-960</v>
      </c>
      <c r="AZ2544">
        <v>1200</v>
      </c>
      <c r="BA2544">
        <v>1</v>
      </c>
      <c r="BB2544" t="str">
        <f t="shared" si="1381"/>
        <v xml:space="preserve">N9217B  </v>
      </c>
      <c r="BC2544">
        <v>1</v>
      </c>
      <c r="BE2544">
        <v>0</v>
      </c>
      <c r="BF2544">
        <v>0</v>
      </c>
      <c r="BG2544">
        <v>0</v>
      </c>
      <c r="BH2544">
        <v>6850</v>
      </c>
      <c r="BI2544">
        <v>1</v>
      </c>
      <c r="BJ2544">
        <v>0</v>
      </c>
      <c r="BK2544">
        <v>0</v>
      </c>
      <c r="BL2544">
        <v>0</v>
      </c>
      <c r="BO2544">
        <v>0</v>
      </c>
      <c r="BP2544">
        <v>0</v>
      </c>
      <c r="BW2544" t="str">
        <f t="shared" si="1405"/>
        <v>14:55:17.806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285</v>
      </c>
      <c r="CR2544">
        <v>0</v>
      </c>
      <c r="CW2544">
        <v>8867509</v>
      </c>
      <c r="CY2544">
        <v>0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25">
      <c r="A2545" t="str">
        <f t="shared" si="1403"/>
        <v>06/05/2020 14:55:12.163</v>
      </c>
      <c r="C2545" t="str">
        <f t="shared" si="1398"/>
        <v>FFDFD3C0</v>
      </c>
      <c r="D2545" t="s">
        <v>113</v>
      </c>
      <c r="E2545">
        <v>3</v>
      </c>
      <c r="H2545">
        <v>166</v>
      </c>
      <c r="I2545" t="s">
        <v>114</v>
      </c>
      <c r="J2545" t="s">
        <v>115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404"/>
        <v>14:55:17.805</v>
      </c>
      <c r="T2545" t="str">
        <f t="shared" si="1404"/>
        <v>14:55:17.805</v>
      </c>
      <c r="U2545" t="str">
        <f t="shared" si="1379"/>
        <v>ACC530</v>
      </c>
      <c r="V2545">
        <v>0</v>
      </c>
      <c r="W2545">
        <v>0</v>
      </c>
      <c r="X2545">
        <v>1</v>
      </c>
      <c r="Z2545">
        <v>0</v>
      </c>
      <c r="AA2545">
        <v>9</v>
      </c>
      <c r="AB2545">
        <v>3</v>
      </c>
      <c r="AC2545">
        <v>0</v>
      </c>
      <c r="AD2545">
        <v>9</v>
      </c>
      <c r="AE2545">
        <v>0</v>
      </c>
      <c r="AF2545">
        <v>3</v>
      </c>
      <c r="AG2545">
        <v>1</v>
      </c>
      <c r="AH2545">
        <v>0</v>
      </c>
      <c r="AI2545" t="s">
        <v>896</v>
      </c>
      <c r="AJ2545">
        <v>34.142482000000001</v>
      </c>
      <c r="AK2545" t="s">
        <v>897</v>
      </c>
      <c r="AL2545">
        <v>-117.054284</v>
      </c>
      <c r="AM2545">
        <v>100</v>
      </c>
      <c r="AN2545">
        <v>6900</v>
      </c>
      <c r="AO2545" t="s">
        <v>118</v>
      </c>
      <c r="AP2545">
        <v>-48</v>
      </c>
      <c r="AQ2545">
        <v>-96</v>
      </c>
      <c r="AR2545">
        <v>-960</v>
      </c>
      <c r="AZ2545">
        <v>1200</v>
      </c>
      <c r="BA2545">
        <v>1</v>
      </c>
      <c r="BB2545" t="str">
        <f t="shared" si="1381"/>
        <v xml:space="preserve">N9217B  </v>
      </c>
      <c r="BC2545">
        <v>1</v>
      </c>
      <c r="BE2545">
        <v>0</v>
      </c>
      <c r="BF2545">
        <v>0</v>
      </c>
      <c r="BG2545">
        <v>0</v>
      </c>
      <c r="BH2545">
        <v>6850</v>
      </c>
      <c r="BI2545">
        <v>1</v>
      </c>
      <c r="BJ2545">
        <v>0</v>
      </c>
      <c r="BK2545">
        <v>0</v>
      </c>
      <c r="BL2545">
        <v>0</v>
      </c>
      <c r="BO2545">
        <v>0</v>
      </c>
      <c r="BP2545">
        <v>0</v>
      </c>
      <c r="BW2545" t="str">
        <f t="shared" si="1405"/>
        <v>14:55:17.806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285</v>
      </c>
      <c r="CR2545">
        <v>0</v>
      </c>
      <c r="CW2545">
        <v>8867509</v>
      </c>
      <c r="CY2545">
        <v>0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25">
      <c r="A2546" t="str">
        <f t="shared" si="1403"/>
        <v>06/05/2020 14:55:12.163</v>
      </c>
      <c r="C2546" t="str">
        <f t="shared" si="1398"/>
        <v>FFDFD3C0</v>
      </c>
      <c r="D2546" t="s">
        <v>151</v>
      </c>
      <c r="E2546">
        <v>9</v>
      </c>
      <c r="H2546">
        <v>226</v>
      </c>
      <c r="I2546" t="s">
        <v>152</v>
      </c>
      <c r="J2546" t="s">
        <v>150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404"/>
        <v>14:55:17.805</v>
      </c>
      <c r="T2546" t="str">
        <f t="shared" si="1404"/>
        <v>14:55:17.805</v>
      </c>
      <c r="U2546" t="str">
        <f t="shared" si="1379"/>
        <v>ACC530</v>
      </c>
      <c r="V2546">
        <v>0</v>
      </c>
      <c r="W2546">
        <v>0</v>
      </c>
      <c r="X2546">
        <v>1</v>
      </c>
      <c r="Z2546">
        <v>0</v>
      </c>
      <c r="AA2546">
        <v>9</v>
      </c>
      <c r="AB2546">
        <v>3</v>
      </c>
      <c r="AC2546">
        <v>0</v>
      </c>
      <c r="AD2546">
        <v>9</v>
      </c>
      <c r="AE2546">
        <v>0</v>
      </c>
      <c r="AF2546">
        <v>3</v>
      </c>
      <c r="AG2546">
        <v>1</v>
      </c>
      <c r="AH2546">
        <v>0</v>
      </c>
      <c r="AI2546" t="s">
        <v>896</v>
      </c>
      <c r="AJ2546">
        <v>34.142482000000001</v>
      </c>
      <c r="AK2546" t="s">
        <v>897</v>
      </c>
      <c r="AL2546">
        <v>-117.054284</v>
      </c>
      <c r="AM2546">
        <v>100</v>
      </c>
      <c r="AN2546">
        <v>6900</v>
      </c>
      <c r="AO2546" t="s">
        <v>118</v>
      </c>
      <c r="AP2546">
        <v>-48</v>
      </c>
      <c r="AQ2546">
        <v>-96</v>
      </c>
      <c r="AR2546">
        <v>-960</v>
      </c>
      <c r="AZ2546">
        <v>1200</v>
      </c>
      <c r="BA2546">
        <v>1</v>
      </c>
      <c r="BB2546" t="str">
        <f t="shared" si="1381"/>
        <v xml:space="preserve">N9217B  </v>
      </c>
      <c r="BC2546">
        <v>1</v>
      </c>
      <c r="BE2546">
        <v>0</v>
      </c>
      <c r="BF2546">
        <v>0</v>
      </c>
      <c r="BG2546">
        <v>0</v>
      </c>
      <c r="BH2546">
        <v>6850</v>
      </c>
      <c r="BI2546">
        <v>1</v>
      </c>
      <c r="BJ2546">
        <v>0</v>
      </c>
      <c r="BK2546">
        <v>0</v>
      </c>
      <c r="BL2546">
        <v>0</v>
      </c>
      <c r="BO2546">
        <v>0</v>
      </c>
      <c r="BP2546">
        <v>0</v>
      </c>
      <c r="BW2546" t="str">
        <f t="shared" si="1405"/>
        <v>14:55:17.806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285</v>
      </c>
      <c r="CR2546">
        <v>0</v>
      </c>
      <c r="CW2546">
        <v>8867509</v>
      </c>
      <c r="CY2546">
        <v>0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25">
      <c r="A2547" t="str">
        <f t="shared" ref="A2547:A2553" si="1406">"06/05/2020 14:55:13.158"</f>
        <v>06/05/2020 14:55:13.158</v>
      </c>
      <c r="C2547" t="str">
        <f t="shared" si="1398"/>
        <v>FFDFD3C0</v>
      </c>
      <c r="D2547" t="s">
        <v>113</v>
      </c>
      <c r="E2547">
        <v>3</v>
      </c>
      <c r="H2547">
        <v>166</v>
      </c>
      <c r="I2547" t="s">
        <v>114</v>
      </c>
      <c r="J2547" t="s">
        <v>115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ref="S2547:S2553" si="1407">"14:55:18.820"</f>
        <v>14:55:18.820</v>
      </c>
      <c r="T2547" t="str">
        <f t="shared" ref="T2547:T2553" si="1408">"14:55:18.720"</f>
        <v>14:55:18.720</v>
      </c>
      <c r="U2547" t="str">
        <f t="shared" si="1379"/>
        <v>ACC530</v>
      </c>
      <c r="V2547">
        <v>0</v>
      </c>
      <c r="W2547">
        <v>0</v>
      </c>
      <c r="X2547">
        <v>1</v>
      </c>
      <c r="Z2547">
        <v>0</v>
      </c>
      <c r="AA2547">
        <v>9</v>
      </c>
      <c r="AB2547">
        <v>3</v>
      </c>
      <c r="AC2547">
        <v>0</v>
      </c>
      <c r="AD2547">
        <v>9</v>
      </c>
      <c r="AE2547">
        <v>0</v>
      </c>
      <c r="AF2547">
        <v>3</v>
      </c>
      <c r="AG2547">
        <v>1</v>
      </c>
      <c r="AH2547">
        <v>0</v>
      </c>
      <c r="AI2547" t="s">
        <v>898</v>
      </c>
      <c r="AJ2547">
        <v>34.142032</v>
      </c>
      <c r="AK2547" t="s">
        <v>899</v>
      </c>
      <c r="AL2547">
        <v>-117.054563</v>
      </c>
      <c r="AM2547">
        <v>100</v>
      </c>
      <c r="AN2547">
        <v>6900</v>
      </c>
      <c r="AO2547" t="s">
        <v>118</v>
      </c>
      <c r="AP2547">
        <v>-47</v>
      </c>
      <c r="AQ2547">
        <v>-97</v>
      </c>
      <c r="AR2547">
        <v>-896</v>
      </c>
      <c r="AZ2547">
        <v>1200</v>
      </c>
      <c r="BA2547">
        <v>1</v>
      </c>
      <c r="BB2547" t="str">
        <f t="shared" si="1381"/>
        <v xml:space="preserve">N9217B  </v>
      </c>
      <c r="BC2547">
        <v>1</v>
      </c>
      <c r="BE2547">
        <v>0</v>
      </c>
      <c r="BF2547">
        <v>0</v>
      </c>
      <c r="BG2547">
        <v>0</v>
      </c>
      <c r="BH2547">
        <v>6850</v>
      </c>
      <c r="BI2547">
        <v>1</v>
      </c>
      <c r="BJ2547">
        <v>0</v>
      </c>
      <c r="BK2547">
        <v>0</v>
      </c>
      <c r="BL2547">
        <v>0</v>
      </c>
      <c r="BO2547">
        <v>0</v>
      </c>
      <c r="BP2547">
        <v>0</v>
      </c>
      <c r="BW2547" t="str">
        <f t="shared" ref="BW2547:BW2553" si="1409">"14:55:18.826"</f>
        <v>14:55:18.826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6</v>
      </c>
      <c r="CP2547" t="s">
        <v>119</v>
      </c>
      <c r="CQ2547">
        <v>298</v>
      </c>
      <c r="CR2547">
        <v>0</v>
      </c>
      <c r="CW2547">
        <v>10442071</v>
      </c>
      <c r="CY2547">
        <v>0</v>
      </c>
      <c r="CZ2547">
        <v>0</v>
      </c>
      <c r="DA2547">
        <v>0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25">
      <c r="A2548" t="str">
        <f t="shared" si="1406"/>
        <v>06/05/2020 14:55:13.158</v>
      </c>
      <c r="C2548" t="str">
        <f t="shared" si="1398"/>
        <v>FFDFD3C0</v>
      </c>
      <c r="D2548" t="s">
        <v>151</v>
      </c>
      <c r="E2548">
        <v>9</v>
      </c>
      <c r="H2548">
        <v>226</v>
      </c>
      <c r="I2548" t="s">
        <v>152</v>
      </c>
      <c r="J2548" t="s">
        <v>150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407"/>
        <v>14:55:18.820</v>
      </c>
      <c r="T2548" t="str">
        <f t="shared" si="1408"/>
        <v>14:55:18.720</v>
      </c>
      <c r="U2548" t="str">
        <f t="shared" si="1379"/>
        <v>ACC530</v>
      </c>
      <c r="V2548">
        <v>0</v>
      </c>
      <c r="W2548">
        <v>0</v>
      </c>
      <c r="X2548">
        <v>1</v>
      </c>
      <c r="Z2548">
        <v>0</v>
      </c>
      <c r="AA2548">
        <v>9</v>
      </c>
      <c r="AB2548">
        <v>3</v>
      </c>
      <c r="AC2548">
        <v>0</v>
      </c>
      <c r="AD2548">
        <v>9</v>
      </c>
      <c r="AE2548">
        <v>0</v>
      </c>
      <c r="AF2548">
        <v>3</v>
      </c>
      <c r="AG2548">
        <v>1</v>
      </c>
      <c r="AH2548">
        <v>0</v>
      </c>
      <c r="AI2548" t="s">
        <v>898</v>
      </c>
      <c r="AJ2548">
        <v>34.142032</v>
      </c>
      <c r="AK2548" t="s">
        <v>899</v>
      </c>
      <c r="AL2548">
        <v>-117.054563</v>
      </c>
      <c r="AM2548">
        <v>100</v>
      </c>
      <c r="AN2548">
        <v>6900</v>
      </c>
      <c r="AO2548" t="s">
        <v>118</v>
      </c>
      <c r="AP2548">
        <v>-47</v>
      </c>
      <c r="AQ2548">
        <v>-97</v>
      </c>
      <c r="AR2548">
        <v>-896</v>
      </c>
      <c r="AZ2548">
        <v>1200</v>
      </c>
      <c r="BA2548">
        <v>1</v>
      </c>
      <c r="BB2548" t="str">
        <f t="shared" si="1381"/>
        <v xml:space="preserve">N9217B  </v>
      </c>
      <c r="BC2548">
        <v>1</v>
      </c>
      <c r="BE2548">
        <v>0</v>
      </c>
      <c r="BF2548">
        <v>0</v>
      </c>
      <c r="BG2548">
        <v>0</v>
      </c>
      <c r="BH2548">
        <v>6850</v>
      </c>
      <c r="BI2548">
        <v>1</v>
      </c>
      <c r="BJ2548">
        <v>0</v>
      </c>
      <c r="BK2548">
        <v>0</v>
      </c>
      <c r="BL2548">
        <v>0</v>
      </c>
      <c r="BO2548">
        <v>0</v>
      </c>
      <c r="BP2548">
        <v>0</v>
      </c>
      <c r="BW2548" t="str">
        <f t="shared" si="1409"/>
        <v>14:55:18.826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6</v>
      </c>
      <c r="CP2548" t="s">
        <v>119</v>
      </c>
      <c r="CQ2548">
        <v>285</v>
      </c>
      <c r="CR2548">
        <v>0</v>
      </c>
      <c r="CW2548">
        <v>8867601</v>
      </c>
      <c r="CY2548">
        <v>0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25">
      <c r="A2549" t="str">
        <f t="shared" si="1406"/>
        <v>06/05/2020 14:55:13.158</v>
      </c>
      <c r="C2549" t="str">
        <f t="shared" si="1398"/>
        <v>FFDFD3C0</v>
      </c>
      <c r="D2549" t="s">
        <v>141</v>
      </c>
      <c r="E2549">
        <v>20</v>
      </c>
      <c r="F2549">
        <v>1020</v>
      </c>
      <c r="G2549" t="s">
        <v>114</v>
      </c>
      <c r="J2549" t="s">
        <v>142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407"/>
        <v>14:55:18.820</v>
      </c>
      <c r="T2549" t="str">
        <f t="shared" si="1408"/>
        <v>14:55:18.720</v>
      </c>
      <c r="U2549" t="str">
        <f t="shared" si="1379"/>
        <v>ACC530</v>
      </c>
      <c r="V2549">
        <v>0</v>
      </c>
      <c r="W2549">
        <v>0</v>
      </c>
      <c r="X2549">
        <v>1</v>
      </c>
      <c r="Z2549">
        <v>0</v>
      </c>
      <c r="AA2549">
        <v>9</v>
      </c>
      <c r="AB2549">
        <v>3</v>
      </c>
      <c r="AC2549">
        <v>0</v>
      </c>
      <c r="AD2549">
        <v>9</v>
      </c>
      <c r="AE2549">
        <v>0</v>
      </c>
      <c r="AF2549">
        <v>3</v>
      </c>
      <c r="AG2549">
        <v>1</v>
      </c>
      <c r="AH2549">
        <v>0</v>
      </c>
      <c r="AI2549" t="s">
        <v>898</v>
      </c>
      <c r="AJ2549">
        <v>34.142032</v>
      </c>
      <c r="AK2549" t="s">
        <v>899</v>
      </c>
      <c r="AL2549">
        <v>-117.054563</v>
      </c>
      <c r="AM2549">
        <v>100</v>
      </c>
      <c r="AN2549">
        <v>6900</v>
      </c>
      <c r="AO2549" t="s">
        <v>118</v>
      </c>
      <c r="AP2549">
        <v>-47</v>
      </c>
      <c r="AQ2549">
        <v>-97</v>
      </c>
      <c r="AR2549">
        <v>-896</v>
      </c>
      <c r="AZ2549">
        <v>1200</v>
      </c>
      <c r="BA2549">
        <v>1</v>
      </c>
      <c r="BB2549" t="str">
        <f t="shared" si="1381"/>
        <v xml:space="preserve">N9217B  </v>
      </c>
      <c r="BC2549">
        <v>1</v>
      </c>
      <c r="BE2549">
        <v>0</v>
      </c>
      <c r="BF2549">
        <v>0</v>
      </c>
      <c r="BG2549">
        <v>0</v>
      </c>
      <c r="BH2549">
        <v>6850</v>
      </c>
      <c r="BI2549">
        <v>1</v>
      </c>
      <c r="BJ2549">
        <v>0</v>
      </c>
      <c r="BK2549">
        <v>0</v>
      </c>
      <c r="BL2549">
        <v>0</v>
      </c>
      <c r="BO2549">
        <v>0</v>
      </c>
      <c r="BP2549">
        <v>0</v>
      </c>
      <c r="BW2549" t="str">
        <f t="shared" si="1409"/>
        <v>14:55:18.826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6</v>
      </c>
      <c r="CP2549" t="s">
        <v>119</v>
      </c>
      <c r="CQ2549">
        <v>298</v>
      </c>
      <c r="CR2549">
        <v>0</v>
      </c>
      <c r="CW2549">
        <v>10442071</v>
      </c>
      <c r="CY2549">
        <v>0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25">
      <c r="A2550" t="str">
        <f t="shared" si="1406"/>
        <v>06/05/2020 14:55:13.158</v>
      </c>
      <c r="C2550" t="str">
        <f t="shared" si="1398"/>
        <v>FFDFD3C0</v>
      </c>
      <c r="D2550" t="s">
        <v>148</v>
      </c>
      <c r="E2550">
        <v>11</v>
      </c>
      <c r="H2550">
        <v>53</v>
      </c>
      <c r="I2550" t="s">
        <v>364</v>
      </c>
      <c r="J2550" t="s">
        <v>150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407"/>
        <v>14:55:18.820</v>
      </c>
      <c r="T2550" t="str">
        <f t="shared" si="1408"/>
        <v>14:55:18.720</v>
      </c>
      <c r="U2550" t="str">
        <f t="shared" si="1379"/>
        <v>ACC530</v>
      </c>
      <c r="V2550">
        <v>0</v>
      </c>
      <c r="W2550">
        <v>0</v>
      </c>
      <c r="X2550">
        <v>1</v>
      </c>
      <c r="Z2550">
        <v>0</v>
      </c>
      <c r="AA2550">
        <v>9</v>
      </c>
      <c r="AB2550">
        <v>3</v>
      </c>
      <c r="AC2550">
        <v>0</v>
      </c>
      <c r="AD2550">
        <v>9</v>
      </c>
      <c r="AE2550">
        <v>0</v>
      </c>
      <c r="AF2550">
        <v>3</v>
      </c>
      <c r="AG2550">
        <v>1</v>
      </c>
      <c r="AH2550">
        <v>0</v>
      </c>
      <c r="AI2550" t="s">
        <v>898</v>
      </c>
      <c r="AJ2550">
        <v>34.142032</v>
      </c>
      <c r="AK2550" t="s">
        <v>899</v>
      </c>
      <c r="AL2550">
        <v>-117.054563</v>
      </c>
      <c r="AM2550">
        <v>100</v>
      </c>
      <c r="AN2550">
        <v>6900</v>
      </c>
      <c r="AO2550" t="s">
        <v>118</v>
      </c>
      <c r="AP2550">
        <v>-47</v>
      </c>
      <c r="AQ2550">
        <v>-97</v>
      </c>
      <c r="AR2550">
        <v>-896</v>
      </c>
      <c r="AZ2550">
        <v>1200</v>
      </c>
      <c r="BA2550">
        <v>1</v>
      </c>
      <c r="BB2550" t="str">
        <f t="shared" si="1381"/>
        <v xml:space="preserve">N9217B  </v>
      </c>
      <c r="BC2550">
        <v>1</v>
      </c>
      <c r="BE2550">
        <v>0</v>
      </c>
      <c r="BF2550">
        <v>0</v>
      </c>
      <c r="BG2550">
        <v>0</v>
      </c>
      <c r="BH2550">
        <v>6850</v>
      </c>
      <c r="BI2550">
        <v>1</v>
      </c>
      <c r="BJ2550">
        <v>0</v>
      </c>
      <c r="BK2550">
        <v>0</v>
      </c>
      <c r="BL2550">
        <v>0</v>
      </c>
      <c r="BO2550">
        <v>0</v>
      </c>
      <c r="BP2550">
        <v>0</v>
      </c>
      <c r="BW2550" t="str">
        <f t="shared" si="1409"/>
        <v>14:55:18.826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6</v>
      </c>
      <c r="CP2550" t="s">
        <v>119</v>
      </c>
      <c r="CQ2550">
        <v>298</v>
      </c>
      <c r="CR2550">
        <v>0</v>
      </c>
      <c r="CW2550">
        <v>10442071</v>
      </c>
      <c r="CY2550">
        <v>0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25">
      <c r="A2551" t="str">
        <f t="shared" si="1406"/>
        <v>06/05/2020 14:55:13.158</v>
      </c>
      <c r="C2551" t="str">
        <f t="shared" si="1398"/>
        <v>FFDFD3C0</v>
      </c>
      <c r="D2551" t="s">
        <v>148</v>
      </c>
      <c r="E2551">
        <v>8</v>
      </c>
      <c r="H2551">
        <v>50</v>
      </c>
      <c r="I2551" t="s">
        <v>149</v>
      </c>
      <c r="J2551" t="s">
        <v>150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si="1407"/>
        <v>14:55:18.820</v>
      </c>
      <c r="T2551" t="str">
        <f t="shared" si="1408"/>
        <v>14:55:18.720</v>
      </c>
      <c r="U2551" t="str">
        <f t="shared" si="1379"/>
        <v>ACC530</v>
      </c>
      <c r="V2551">
        <v>0</v>
      </c>
      <c r="W2551">
        <v>0</v>
      </c>
      <c r="X2551">
        <v>1</v>
      </c>
      <c r="Z2551">
        <v>0</v>
      </c>
      <c r="AA2551">
        <v>9</v>
      </c>
      <c r="AB2551">
        <v>3</v>
      </c>
      <c r="AC2551">
        <v>0</v>
      </c>
      <c r="AD2551">
        <v>9</v>
      </c>
      <c r="AE2551">
        <v>0</v>
      </c>
      <c r="AF2551">
        <v>3</v>
      </c>
      <c r="AG2551">
        <v>1</v>
      </c>
      <c r="AH2551">
        <v>0</v>
      </c>
      <c r="AI2551" t="s">
        <v>898</v>
      </c>
      <c r="AJ2551">
        <v>34.142032</v>
      </c>
      <c r="AK2551" t="s">
        <v>899</v>
      </c>
      <c r="AL2551">
        <v>-117.054563</v>
      </c>
      <c r="AM2551">
        <v>100</v>
      </c>
      <c r="AN2551">
        <v>6900</v>
      </c>
      <c r="AO2551" t="s">
        <v>118</v>
      </c>
      <c r="AP2551">
        <v>-47</v>
      </c>
      <c r="AQ2551">
        <v>-97</v>
      </c>
      <c r="AR2551">
        <v>-896</v>
      </c>
      <c r="AZ2551">
        <v>1200</v>
      </c>
      <c r="BA2551">
        <v>1</v>
      </c>
      <c r="BB2551" t="str">
        <f t="shared" si="1381"/>
        <v xml:space="preserve">N9217B  </v>
      </c>
      <c r="BC2551">
        <v>1</v>
      </c>
      <c r="BE2551">
        <v>0</v>
      </c>
      <c r="BF2551">
        <v>0</v>
      </c>
      <c r="BG2551">
        <v>0</v>
      </c>
      <c r="BH2551">
        <v>6850</v>
      </c>
      <c r="BI2551">
        <v>1</v>
      </c>
      <c r="BJ2551">
        <v>0</v>
      </c>
      <c r="BK2551">
        <v>0</v>
      </c>
      <c r="BL2551">
        <v>0</v>
      </c>
      <c r="BO2551">
        <v>0</v>
      </c>
      <c r="BP2551">
        <v>0</v>
      </c>
      <c r="BW2551" t="str">
        <f t="shared" si="1409"/>
        <v>14:55:18.826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6</v>
      </c>
      <c r="CP2551" t="s">
        <v>119</v>
      </c>
      <c r="CQ2551">
        <v>298</v>
      </c>
      <c r="CR2551">
        <v>0</v>
      </c>
      <c r="CW2551">
        <v>10442071</v>
      </c>
      <c r="CY2551">
        <v>0</v>
      </c>
      <c r="CZ2551">
        <v>0</v>
      </c>
      <c r="DA2551">
        <v>1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25">
      <c r="A2552" t="str">
        <f t="shared" si="1406"/>
        <v>06/05/2020 14:55:13.158</v>
      </c>
      <c r="C2552" t="str">
        <f t="shared" si="1398"/>
        <v>FFDFD3C0</v>
      </c>
      <c r="D2552" t="s">
        <v>151</v>
      </c>
      <c r="E2552">
        <v>8</v>
      </c>
      <c r="H2552">
        <v>225</v>
      </c>
      <c r="I2552" t="s">
        <v>353</v>
      </c>
      <c r="J2552" t="s">
        <v>150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407"/>
        <v>14:55:18.820</v>
      </c>
      <c r="T2552" t="str">
        <f t="shared" si="1408"/>
        <v>14:55:18.720</v>
      </c>
      <c r="U2552" t="str">
        <f t="shared" si="1379"/>
        <v>ACC530</v>
      </c>
      <c r="V2552">
        <v>0</v>
      </c>
      <c r="W2552">
        <v>0</v>
      </c>
      <c r="X2552">
        <v>1</v>
      </c>
      <c r="Z2552">
        <v>0</v>
      </c>
      <c r="AA2552">
        <v>9</v>
      </c>
      <c r="AB2552">
        <v>3</v>
      </c>
      <c r="AC2552">
        <v>0</v>
      </c>
      <c r="AD2552">
        <v>9</v>
      </c>
      <c r="AE2552">
        <v>0</v>
      </c>
      <c r="AF2552">
        <v>3</v>
      </c>
      <c r="AG2552">
        <v>1</v>
      </c>
      <c r="AH2552">
        <v>0</v>
      </c>
      <c r="AI2552" t="s">
        <v>898</v>
      </c>
      <c r="AJ2552">
        <v>34.142032</v>
      </c>
      <c r="AK2552" t="s">
        <v>899</v>
      </c>
      <c r="AL2552">
        <v>-117.054563</v>
      </c>
      <c r="AM2552">
        <v>100</v>
      </c>
      <c r="AN2552">
        <v>6900</v>
      </c>
      <c r="AO2552" t="s">
        <v>118</v>
      </c>
      <c r="AP2552">
        <v>-47</v>
      </c>
      <c r="AQ2552">
        <v>-97</v>
      </c>
      <c r="AR2552">
        <v>-896</v>
      </c>
      <c r="AZ2552">
        <v>1200</v>
      </c>
      <c r="BA2552">
        <v>1</v>
      </c>
      <c r="BB2552" t="str">
        <f t="shared" si="1381"/>
        <v xml:space="preserve">N9217B  </v>
      </c>
      <c r="BC2552">
        <v>1</v>
      </c>
      <c r="BE2552">
        <v>0</v>
      </c>
      <c r="BF2552">
        <v>0</v>
      </c>
      <c r="BG2552">
        <v>0</v>
      </c>
      <c r="BH2552">
        <v>6850</v>
      </c>
      <c r="BI2552">
        <v>1</v>
      </c>
      <c r="BJ2552">
        <v>0</v>
      </c>
      <c r="BK2552">
        <v>0</v>
      </c>
      <c r="BL2552">
        <v>0</v>
      </c>
      <c r="BO2552">
        <v>0</v>
      </c>
      <c r="BP2552">
        <v>0</v>
      </c>
      <c r="BW2552" t="str">
        <f t="shared" si="1409"/>
        <v>14:55:18.826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6</v>
      </c>
      <c r="CP2552" t="s">
        <v>119</v>
      </c>
      <c r="CQ2552">
        <v>298</v>
      </c>
      <c r="CR2552">
        <v>0</v>
      </c>
      <c r="CW2552">
        <v>10442071</v>
      </c>
      <c r="CY2552">
        <v>0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25">
      <c r="A2553" t="str">
        <f t="shared" si="1406"/>
        <v>06/05/2020 14:55:13.158</v>
      </c>
      <c r="C2553" t="str">
        <f t="shared" si="1398"/>
        <v>FFDFD3C0</v>
      </c>
      <c r="D2553" t="s">
        <v>134</v>
      </c>
      <c r="E2553">
        <v>7</v>
      </c>
      <c r="F2553">
        <v>2007</v>
      </c>
      <c r="G2553" t="s">
        <v>135</v>
      </c>
      <c r="J2553" t="s">
        <v>136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407"/>
        <v>14:55:18.820</v>
      </c>
      <c r="T2553" t="str">
        <f t="shared" si="1408"/>
        <v>14:55:18.720</v>
      </c>
      <c r="U2553" t="str">
        <f t="shared" si="1379"/>
        <v>ACC530</v>
      </c>
      <c r="V2553">
        <v>0</v>
      </c>
      <c r="W2553">
        <v>0</v>
      </c>
      <c r="X2553">
        <v>1</v>
      </c>
      <c r="Z2553">
        <v>0</v>
      </c>
      <c r="AA2553">
        <v>9</v>
      </c>
      <c r="AB2553">
        <v>3</v>
      </c>
      <c r="AC2553">
        <v>0</v>
      </c>
      <c r="AD2553">
        <v>9</v>
      </c>
      <c r="AE2553">
        <v>0</v>
      </c>
      <c r="AF2553">
        <v>3</v>
      </c>
      <c r="AG2553">
        <v>1</v>
      </c>
      <c r="AH2553">
        <v>0</v>
      </c>
      <c r="AI2553" t="s">
        <v>898</v>
      </c>
      <c r="AJ2553">
        <v>34.142032</v>
      </c>
      <c r="AK2553" t="s">
        <v>899</v>
      </c>
      <c r="AL2553">
        <v>-117.054563</v>
      </c>
      <c r="AM2553">
        <v>100</v>
      </c>
      <c r="AN2553">
        <v>6900</v>
      </c>
      <c r="AO2553" t="s">
        <v>118</v>
      </c>
      <c r="AP2553">
        <v>-47</v>
      </c>
      <c r="AQ2553">
        <v>-97</v>
      </c>
      <c r="AR2553">
        <v>-896</v>
      </c>
      <c r="AZ2553">
        <v>1200</v>
      </c>
      <c r="BA2553">
        <v>1</v>
      </c>
      <c r="BB2553" t="str">
        <f t="shared" si="1381"/>
        <v xml:space="preserve">N9217B  </v>
      </c>
      <c r="BC2553">
        <v>1</v>
      </c>
      <c r="BE2553">
        <v>0</v>
      </c>
      <c r="BF2553">
        <v>0</v>
      </c>
      <c r="BG2553">
        <v>0</v>
      </c>
      <c r="BH2553">
        <v>6850</v>
      </c>
      <c r="BI2553">
        <v>1</v>
      </c>
      <c r="BJ2553">
        <v>0</v>
      </c>
      <c r="BK2553">
        <v>0</v>
      </c>
      <c r="BL2553">
        <v>0</v>
      </c>
      <c r="BO2553">
        <v>0</v>
      </c>
      <c r="BP2553">
        <v>0</v>
      </c>
      <c r="BW2553" t="str">
        <f t="shared" si="1409"/>
        <v>14:55:18.826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6</v>
      </c>
      <c r="CP2553" t="s">
        <v>119</v>
      </c>
      <c r="CQ2553">
        <v>298</v>
      </c>
      <c r="CR2553">
        <v>0</v>
      </c>
      <c r="CW2553">
        <v>10442071</v>
      </c>
      <c r="CY2553">
        <v>0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25">
      <c r="A2554" t="str">
        <f t="shared" ref="A2554:A2560" si="1410">"06/05/2020 14:55:14.061"</f>
        <v>06/05/2020 14:55:14.061</v>
      </c>
      <c r="C2554" t="str">
        <f t="shared" si="1398"/>
        <v>FFDFD3C0</v>
      </c>
      <c r="D2554" t="s">
        <v>134</v>
      </c>
      <c r="E2554">
        <v>7</v>
      </c>
      <c r="F2554">
        <v>2007</v>
      </c>
      <c r="G2554" t="s">
        <v>135</v>
      </c>
      <c r="J2554" t="s">
        <v>136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ref="S2554:S2560" si="1411">"14:55:19.719"</f>
        <v>14:55:19.719</v>
      </c>
      <c r="T2554" t="str">
        <f t="shared" ref="T2554:T2560" si="1412">"14:55:19.219"</f>
        <v>14:55:19.219</v>
      </c>
      <c r="U2554" t="str">
        <f t="shared" si="1379"/>
        <v>ACC530</v>
      </c>
      <c r="V2554">
        <v>0</v>
      </c>
      <c r="W2554">
        <v>0</v>
      </c>
      <c r="X2554">
        <v>1</v>
      </c>
      <c r="Z2554">
        <v>0</v>
      </c>
      <c r="AA2554">
        <v>9</v>
      </c>
      <c r="AB2554">
        <v>3</v>
      </c>
      <c r="AC2554">
        <v>0</v>
      </c>
      <c r="AD2554">
        <v>9</v>
      </c>
      <c r="AE2554">
        <v>0</v>
      </c>
      <c r="AF2554">
        <v>3</v>
      </c>
      <c r="AG2554">
        <v>1</v>
      </c>
      <c r="AH2554">
        <v>0</v>
      </c>
      <c r="AI2554" t="s">
        <v>900</v>
      </c>
      <c r="AJ2554">
        <v>34.141624</v>
      </c>
      <c r="AK2554" t="s">
        <v>901</v>
      </c>
      <c r="AL2554">
        <v>-117.054777</v>
      </c>
      <c r="AM2554">
        <v>100</v>
      </c>
      <c r="AN2554">
        <v>6900</v>
      </c>
      <c r="AO2554" t="s">
        <v>118</v>
      </c>
      <c r="AP2554">
        <v>-46</v>
      </c>
      <c r="AQ2554">
        <v>-97</v>
      </c>
      <c r="AR2554">
        <v>-960</v>
      </c>
      <c r="AZ2554">
        <v>1200</v>
      </c>
      <c r="BA2554">
        <v>1</v>
      </c>
      <c r="BB2554" t="str">
        <f t="shared" si="1381"/>
        <v xml:space="preserve">N9217B  </v>
      </c>
      <c r="BC2554">
        <v>1</v>
      </c>
      <c r="BE2554">
        <v>0</v>
      </c>
      <c r="BF2554">
        <v>0</v>
      </c>
      <c r="BG2554">
        <v>0</v>
      </c>
      <c r="BH2554">
        <v>6825</v>
      </c>
      <c r="BI2554">
        <v>1</v>
      </c>
      <c r="BJ2554">
        <v>0</v>
      </c>
      <c r="BK2554">
        <v>0</v>
      </c>
      <c r="BL2554">
        <v>0</v>
      </c>
      <c r="BO2554">
        <v>0</v>
      </c>
      <c r="BP2554">
        <v>0</v>
      </c>
      <c r="BW2554" t="str">
        <f t="shared" ref="BW2554:BW2560" si="1413">"14:55:19.726"</f>
        <v>14:55:19.726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6</v>
      </c>
      <c r="CP2554" t="s">
        <v>119</v>
      </c>
      <c r="CQ2554">
        <v>285</v>
      </c>
      <c r="CR2554">
        <v>0</v>
      </c>
      <c r="CW2554">
        <v>8867692</v>
      </c>
      <c r="CY2554">
        <v>0</v>
      </c>
      <c r="CZ2554">
        <v>0</v>
      </c>
      <c r="DA2554">
        <v>0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25">
      <c r="A2555" t="str">
        <f t="shared" si="1410"/>
        <v>06/05/2020 14:55:14.061</v>
      </c>
      <c r="C2555" t="str">
        <f t="shared" si="1398"/>
        <v>FFDFD3C0</v>
      </c>
      <c r="D2555" t="s">
        <v>113</v>
      </c>
      <c r="E2555">
        <v>3</v>
      </c>
      <c r="H2555">
        <v>166</v>
      </c>
      <c r="I2555" t="s">
        <v>114</v>
      </c>
      <c r="J2555" t="s">
        <v>115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411"/>
        <v>14:55:19.719</v>
      </c>
      <c r="T2555" t="str">
        <f t="shared" si="1412"/>
        <v>14:55:19.219</v>
      </c>
      <c r="U2555" t="str">
        <f t="shared" si="1379"/>
        <v>ACC530</v>
      </c>
      <c r="V2555">
        <v>0</v>
      </c>
      <c r="W2555">
        <v>0</v>
      </c>
      <c r="X2555">
        <v>1</v>
      </c>
      <c r="Z2555">
        <v>0</v>
      </c>
      <c r="AA2555">
        <v>9</v>
      </c>
      <c r="AB2555">
        <v>3</v>
      </c>
      <c r="AC2555">
        <v>0</v>
      </c>
      <c r="AD2555">
        <v>9</v>
      </c>
      <c r="AE2555">
        <v>0</v>
      </c>
      <c r="AF2555">
        <v>3</v>
      </c>
      <c r="AG2555">
        <v>1</v>
      </c>
      <c r="AH2555">
        <v>0</v>
      </c>
      <c r="AI2555" t="s">
        <v>900</v>
      </c>
      <c r="AJ2555">
        <v>34.141624</v>
      </c>
      <c r="AK2555" t="s">
        <v>901</v>
      </c>
      <c r="AL2555">
        <v>-117.054777</v>
      </c>
      <c r="AM2555">
        <v>100</v>
      </c>
      <c r="AN2555">
        <v>6900</v>
      </c>
      <c r="AO2555" t="s">
        <v>118</v>
      </c>
      <c r="AP2555">
        <v>-46</v>
      </c>
      <c r="AQ2555">
        <v>-97</v>
      </c>
      <c r="AR2555">
        <v>-960</v>
      </c>
      <c r="AZ2555">
        <v>1200</v>
      </c>
      <c r="BA2555">
        <v>1</v>
      </c>
      <c r="BB2555" t="str">
        <f t="shared" si="1381"/>
        <v xml:space="preserve">N9217B  </v>
      </c>
      <c r="BC2555">
        <v>1</v>
      </c>
      <c r="BE2555">
        <v>0</v>
      </c>
      <c r="BF2555">
        <v>0</v>
      </c>
      <c r="BG2555">
        <v>0</v>
      </c>
      <c r="BH2555">
        <v>6825</v>
      </c>
      <c r="BI2555">
        <v>1</v>
      </c>
      <c r="BJ2555">
        <v>0</v>
      </c>
      <c r="BK2555">
        <v>0</v>
      </c>
      <c r="BL2555">
        <v>0</v>
      </c>
      <c r="BO2555">
        <v>0</v>
      </c>
      <c r="BP2555">
        <v>0</v>
      </c>
      <c r="BW2555" t="str">
        <f t="shared" si="1413"/>
        <v>14:55:19.726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6</v>
      </c>
      <c r="CP2555" t="s">
        <v>119</v>
      </c>
      <c r="CQ2555">
        <v>285</v>
      </c>
      <c r="CR2555">
        <v>0</v>
      </c>
      <c r="CW2555">
        <v>8867692</v>
      </c>
      <c r="CY2555">
        <v>0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25">
      <c r="A2556" t="str">
        <f t="shared" si="1410"/>
        <v>06/05/2020 14:55:14.061</v>
      </c>
      <c r="C2556" t="str">
        <f t="shared" si="1398"/>
        <v>FFDFD3C0</v>
      </c>
      <c r="D2556" t="s">
        <v>151</v>
      </c>
      <c r="E2556">
        <v>9</v>
      </c>
      <c r="H2556">
        <v>226</v>
      </c>
      <c r="I2556" t="s">
        <v>152</v>
      </c>
      <c r="J2556" t="s">
        <v>150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411"/>
        <v>14:55:19.719</v>
      </c>
      <c r="T2556" t="str">
        <f t="shared" si="1412"/>
        <v>14:55:19.219</v>
      </c>
      <c r="U2556" t="str">
        <f t="shared" si="1379"/>
        <v>ACC530</v>
      </c>
      <c r="V2556">
        <v>0</v>
      </c>
      <c r="W2556">
        <v>0</v>
      </c>
      <c r="X2556">
        <v>1</v>
      </c>
      <c r="Z2556">
        <v>0</v>
      </c>
      <c r="AA2556">
        <v>9</v>
      </c>
      <c r="AB2556">
        <v>3</v>
      </c>
      <c r="AC2556">
        <v>0</v>
      </c>
      <c r="AD2556">
        <v>9</v>
      </c>
      <c r="AE2556">
        <v>0</v>
      </c>
      <c r="AF2556">
        <v>3</v>
      </c>
      <c r="AG2556">
        <v>1</v>
      </c>
      <c r="AH2556">
        <v>0</v>
      </c>
      <c r="AI2556" t="s">
        <v>900</v>
      </c>
      <c r="AJ2556">
        <v>34.141624</v>
      </c>
      <c r="AK2556" t="s">
        <v>901</v>
      </c>
      <c r="AL2556">
        <v>-117.054777</v>
      </c>
      <c r="AM2556">
        <v>100</v>
      </c>
      <c r="AN2556">
        <v>6900</v>
      </c>
      <c r="AO2556" t="s">
        <v>118</v>
      </c>
      <c r="AP2556">
        <v>-46</v>
      </c>
      <c r="AQ2556">
        <v>-97</v>
      </c>
      <c r="AR2556">
        <v>-960</v>
      </c>
      <c r="AZ2556">
        <v>1200</v>
      </c>
      <c r="BA2556">
        <v>1</v>
      </c>
      <c r="BB2556" t="str">
        <f t="shared" si="1381"/>
        <v xml:space="preserve">N9217B  </v>
      </c>
      <c r="BC2556">
        <v>1</v>
      </c>
      <c r="BE2556">
        <v>0</v>
      </c>
      <c r="BF2556">
        <v>0</v>
      </c>
      <c r="BG2556">
        <v>0</v>
      </c>
      <c r="BH2556">
        <v>6825</v>
      </c>
      <c r="BI2556">
        <v>1</v>
      </c>
      <c r="BJ2556">
        <v>0</v>
      </c>
      <c r="BK2556">
        <v>0</v>
      </c>
      <c r="BL2556">
        <v>0</v>
      </c>
      <c r="BO2556">
        <v>0</v>
      </c>
      <c r="BP2556">
        <v>0</v>
      </c>
      <c r="BW2556" t="str">
        <f t="shared" si="1413"/>
        <v>14:55:19.726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6</v>
      </c>
      <c r="CP2556" t="s">
        <v>119</v>
      </c>
      <c r="CQ2556">
        <v>285</v>
      </c>
      <c r="CR2556">
        <v>0</v>
      </c>
      <c r="CW2556">
        <v>8867692</v>
      </c>
      <c r="CY2556">
        <v>0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25">
      <c r="A2557" t="str">
        <f t="shared" si="1410"/>
        <v>06/05/2020 14:55:14.061</v>
      </c>
      <c r="C2557" t="str">
        <f t="shared" si="1398"/>
        <v>FFDFD3C0</v>
      </c>
      <c r="D2557" t="s">
        <v>141</v>
      </c>
      <c r="E2557">
        <v>20</v>
      </c>
      <c r="F2557">
        <v>1020</v>
      </c>
      <c r="G2557" t="s">
        <v>114</v>
      </c>
      <c r="J2557" t="s">
        <v>142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411"/>
        <v>14:55:19.719</v>
      </c>
      <c r="T2557" t="str">
        <f t="shared" si="1412"/>
        <v>14:55:19.219</v>
      </c>
      <c r="U2557" t="str">
        <f t="shared" si="1379"/>
        <v>ACC530</v>
      </c>
      <c r="V2557">
        <v>0</v>
      </c>
      <c r="W2557">
        <v>0</v>
      </c>
      <c r="X2557">
        <v>1</v>
      </c>
      <c r="Z2557">
        <v>0</v>
      </c>
      <c r="AA2557">
        <v>9</v>
      </c>
      <c r="AB2557">
        <v>3</v>
      </c>
      <c r="AC2557">
        <v>0</v>
      </c>
      <c r="AD2557">
        <v>9</v>
      </c>
      <c r="AE2557">
        <v>0</v>
      </c>
      <c r="AF2557">
        <v>3</v>
      </c>
      <c r="AG2557">
        <v>1</v>
      </c>
      <c r="AH2557">
        <v>0</v>
      </c>
      <c r="AI2557" t="s">
        <v>900</v>
      </c>
      <c r="AJ2557">
        <v>34.141624</v>
      </c>
      <c r="AK2557" t="s">
        <v>901</v>
      </c>
      <c r="AL2557">
        <v>-117.054777</v>
      </c>
      <c r="AM2557">
        <v>100</v>
      </c>
      <c r="AN2557">
        <v>6900</v>
      </c>
      <c r="AO2557" t="s">
        <v>118</v>
      </c>
      <c r="AP2557">
        <v>-46</v>
      </c>
      <c r="AQ2557">
        <v>-97</v>
      </c>
      <c r="AR2557">
        <v>-960</v>
      </c>
      <c r="AZ2557">
        <v>1200</v>
      </c>
      <c r="BA2557">
        <v>1</v>
      </c>
      <c r="BB2557" t="str">
        <f t="shared" si="1381"/>
        <v xml:space="preserve">N9217B  </v>
      </c>
      <c r="BC2557">
        <v>1</v>
      </c>
      <c r="BE2557">
        <v>0</v>
      </c>
      <c r="BF2557">
        <v>0</v>
      </c>
      <c r="BG2557">
        <v>0</v>
      </c>
      <c r="BH2557">
        <v>6825</v>
      </c>
      <c r="BI2557">
        <v>1</v>
      </c>
      <c r="BJ2557">
        <v>0</v>
      </c>
      <c r="BK2557">
        <v>0</v>
      </c>
      <c r="BL2557">
        <v>0</v>
      </c>
      <c r="BO2557">
        <v>0</v>
      </c>
      <c r="BP2557">
        <v>0</v>
      </c>
      <c r="BW2557" t="str">
        <f t="shared" si="1413"/>
        <v>14:55:19.726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6</v>
      </c>
      <c r="CP2557" t="s">
        <v>119</v>
      </c>
      <c r="CQ2557">
        <v>285</v>
      </c>
      <c r="CR2557">
        <v>0</v>
      </c>
      <c r="CW2557">
        <v>8867692</v>
      </c>
      <c r="CY2557">
        <v>0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25">
      <c r="A2558" t="str">
        <f t="shared" si="1410"/>
        <v>06/05/2020 14:55:14.061</v>
      </c>
      <c r="C2558" t="str">
        <f t="shared" si="1398"/>
        <v>FFDFD3C0</v>
      </c>
      <c r="D2558" t="s">
        <v>151</v>
      </c>
      <c r="E2558">
        <v>8</v>
      </c>
      <c r="H2558">
        <v>225</v>
      </c>
      <c r="I2558" t="s">
        <v>353</v>
      </c>
      <c r="J2558" t="s">
        <v>150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411"/>
        <v>14:55:19.719</v>
      </c>
      <c r="T2558" t="str">
        <f t="shared" si="1412"/>
        <v>14:55:19.219</v>
      </c>
      <c r="U2558" t="str">
        <f t="shared" si="1379"/>
        <v>ACC530</v>
      </c>
      <c r="V2558">
        <v>0</v>
      </c>
      <c r="W2558">
        <v>0</v>
      </c>
      <c r="X2558">
        <v>1</v>
      </c>
      <c r="Z2558">
        <v>0</v>
      </c>
      <c r="AA2558">
        <v>9</v>
      </c>
      <c r="AB2558">
        <v>3</v>
      </c>
      <c r="AC2558">
        <v>0</v>
      </c>
      <c r="AD2558">
        <v>9</v>
      </c>
      <c r="AE2558">
        <v>0</v>
      </c>
      <c r="AF2558">
        <v>3</v>
      </c>
      <c r="AG2558">
        <v>1</v>
      </c>
      <c r="AH2558">
        <v>0</v>
      </c>
      <c r="AI2558" t="s">
        <v>900</v>
      </c>
      <c r="AJ2558">
        <v>34.141624</v>
      </c>
      <c r="AK2558" t="s">
        <v>901</v>
      </c>
      <c r="AL2558">
        <v>-117.054777</v>
      </c>
      <c r="AM2558">
        <v>100</v>
      </c>
      <c r="AN2558">
        <v>6900</v>
      </c>
      <c r="AO2558" t="s">
        <v>118</v>
      </c>
      <c r="AP2558">
        <v>-46</v>
      </c>
      <c r="AQ2558">
        <v>-97</v>
      </c>
      <c r="AR2558">
        <v>-960</v>
      </c>
      <c r="AZ2558">
        <v>1200</v>
      </c>
      <c r="BA2558">
        <v>1</v>
      </c>
      <c r="BB2558" t="str">
        <f t="shared" si="1381"/>
        <v xml:space="preserve">N9217B  </v>
      </c>
      <c r="BC2558">
        <v>1</v>
      </c>
      <c r="BE2558">
        <v>0</v>
      </c>
      <c r="BF2558">
        <v>0</v>
      </c>
      <c r="BG2558">
        <v>0</v>
      </c>
      <c r="BH2558">
        <v>6825</v>
      </c>
      <c r="BI2558">
        <v>1</v>
      </c>
      <c r="BJ2558">
        <v>0</v>
      </c>
      <c r="BK2558">
        <v>0</v>
      </c>
      <c r="BL2558">
        <v>0</v>
      </c>
      <c r="BO2558">
        <v>0</v>
      </c>
      <c r="BP2558">
        <v>0</v>
      </c>
      <c r="BW2558" t="str">
        <f t="shared" si="1413"/>
        <v>14:55:19.726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6</v>
      </c>
      <c r="CP2558" t="s">
        <v>119</v>
      </c>
      <c r="CQ2558">
        <v>285</v>
      </c>
      <c r="CR2558">
        <v>0</v>
      </c>
      <c r="CW2558">
        <v>8867692</v>
      </c>
      <c r="CY2558">
        <v>0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25">
      <c r="A2559" t="str">
        <f t="shared" si="1410"/>
        <v>06/05/2020 14:55:14.061</v>
      </c>
      <c r="C2559" t="str">
        <f t="shared" si="1398"/>
        <v>FFDFD3C0</v>
      </c>
      <c r="D2559" t="s">
        <v>148</v>
      </c>
      <c r="E2559">
        <v>11</v>
      </c>
      <c r="H2559">
        <v>53</v>
      </c>
      <c r="I2559" t="s">
        <v>364</v>
      </c>
      <c r="J2559" t="s">
        <v>150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si="1411"/>
        <v>14:55:19.719</v>
      </c>
      <c r="T2559" t="str">
        <f t="shared" si="1412"/>
        <v>14:55:19.219</v>
      </c>
      <c r="U2559" t="str">
        <f t="shared" si="1379"/>
        <v>ACC530</v>
      </c>
      <c r="V2559">
        <v>0</v>
      </c>
      <c r="W2559">
        <v>0</v>
      </c>
      <c r="X2559">
        <v>1</v>
      </c>
      <c r="Z2559">
        <v>0</v>
      </c>
      <c r="AA2559">
        <v>9</v>
      </c>
      <c r="AB2559">
        <v>3</v>
      </c>
      <c r="AC2559">
        <v>0</v>
      </c>
      <c r="AD2559">
        <v>9</v>
      </c>
      <c r="AE2559">
        <v>0</v>
      </c>
      <c r="AF2559">
        <v>3</v>
      </c>
      <c r="AG2559">
        <v>1</v>
      </c>
      <c r="AH2559">
        <v>0</v>
      </c>
      <c r="AI2559" t="s">
        <v>900</v>
      </c>
      <c r="AJ2559">
        <v>34.141624</v>
      </c>
      <c r="AK2559" t="s">
        <v>901</v>
      </c>
      <c r="AL2559">
        <v>-117.054777</v>
      </c>
      <c r="AM2559">
        <v>100</v>
      </c>
      <c r="AN2559">
        <v>6900</v>
      </c>
      <c r="AO2559" t="s">
        <v>118</v>
      </c>
      <c r="AP2559">
        <v>-46</v>
      </c>
      <c r="AQ2559">
        <v>-97</v>
      </c>
      <c r="AR2559">
        <v>-960</v>
      </c>
      <c r="AZ2559">
        <v>1200</v>
      </c>
      <c r="BA2559">
        <v>1</v>
      </c>
      <c r="BB2559" t="str">
        <f t="shared" si="1381"/>
        <v xml:space="preserve">N9217B  </v>
      </c>
      <c r="BC2559">
        <v>1</v>
      </c>
      <c r="BE2559">
        <v>0</v>
      </c>
      <c r="BF2559">
        <v>0</v>
      </c>
      <c r="BG2559">
        <v>0</v>
      </c>
      <c r="BH2559">
        <v>6825</v>
      </c>
      <c r="BI2559">
        <v>1</v>
      </c>
      <c r="BJ2559">
        <v>0</v>
      </c>
      <c r="BK2559">
        <v>0</v>
      </c>
      <c r="BL2559">
        <v>0</v>
      </c>
      <c r="BO2559">
        <v>0</v>
      </c>
      <c r="BP2559">
        <v>0</v>
      </c>
      <c r="BW2559" t="str">
        <f t="shared" si="1413"/>
        <v>14:55:19.726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6</v>
      </c>
      <c r="CP2559" t="s">
        <v>119</v>
      </c>
      <c r="CQ2559">
        <v>285</v>
      </c>
      <c r="CR2559">
        <v>0</v>
      </c>
      <c r="CW2559">
        <v>8867692</v>
      </c>
      <c r="CY2559">
        <v>0</v>
      </c>
      <c r="CZ2559">
        <v>0</v>
      </c>
      <c r="DA2559">
        <v>1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25">
      <c r="A2560" t="str">
        <f t="shared" si="1410"/>
        <v>06/05/2020 14:55:14.061</v>
      </c>
      <c r="C2560" t="str">
        <f t="shared" si="1398"/>
        <v>FFDFD3C0</v>
      </c>
      <c r="D2560" t="s">
        <v>148</v>
      </c>
      <c r="E2560">
        <v>8</v>
      </c>
      <c r="H2560">
        <v>50</v>
      </c>
      <c r="I2560" t="s">
        <v>149</v>
      </c>
      <c r="J2560" t="s">
        <v>150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411"/>
        <v>14:55:19.719</v>
      </c>
      <c r="T2560" t="str">
        <f t="shared" si="1412"/>
        <v>14:55:19.219</v>
      </c>
      <c r="U2560" t="str">
        <f t="shared" si="1379"/>
        <v>ACC530</v>
      </c>
      <c r="V2560">
        <v>0</v>
      </c>
      <c r="W2560">
        <v>0</v>
      </c>
      <c r="X2560">
        <v>1</v>
      </c>
      <c r="Z2560">
        <v>0</v>
      </c>
      <c r="AA2560">
        <v>9</v>
      </c>
      <c r="AB2560">
        <v>3</v>
      </c>
      <c r="AC2560">
        <v>0</v>
      </c>
      <c r="AD2560">
        <v>9</v>
      </c>
      <c r="AE2560">
        <v>0</v>
      </c>
      <c r="AF2560">
        <v>3</v>
      </c>
      <c r="AG2560">
        <v>1</v>
      </c>
      <c r="AH2560">
        <v>0</v>
      </c>
      <c r="AI2560" t="s">
        <v>900</v>
      </c>
      <c r="AJ2560">
        <v>34.141624</v>
      </c>
      <c r="AK2560" t="s">
        <v>901</v>
      </c>
      <c r="AL2560">
        <v>-117.054777</v>
      </c>
      <c r="AM2560">
        <v>100</v>
      </c>
      <c r="AN2560">
        <v>6900</v>
      </c>
      <c r="AO2560" t="s">
        <v>118</v>
      </c>
      <c r="AP2560">
        <v>-46</v>
      </c>
      <c r="AQ2560">
        <v>-97</v>
      </c>
      <c r="AR2560">
        <v>-960</v>
      </c>
      <c r="AZ2560">
        <v>1200</v>
      </c>
      <c r="BA2560">
        <v>1</v>
      </c>
      <c r="BB2560" t="str">
        <f t="shared" si="1381"/>
        <v xml:space="preserve">N9217B  </v>
      </c>
      <c r="BC2560">
        <v>1</v>
      </c>
      <c r="BE2560">
        <v>0</v>
      </c>
      <c r="BF2560">
        <v>0</v>
      </c>
      <c r="BG2560">
        <v>0</v>
      </c>
      <c r="BH2560">
        <v>6825</v>
      </c>
      <c r="BI2560">
        <v>1</v>
      </c>
      <c r="BJ2560">
        <v>0</v>
      </c>
      <c r="BK2560">
        <v>0</v>
      </c>
      <c r="BL2560">
        <v>0</v>
      </c>
      <c r="BO2560">
        <v>0</v>
      </c>
      <c r="BP2560">
        <v>0</v>
      </c>
      <c r="BW2560" t="str">
        <f t="shared" si="1413"/>
        <v>14:55:19.726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6</v>
      </c>
      <c r="CP2560" t="s">
        <v>119</v>
      </c>
      <c r="CQ2560">
        <v>285</v>
      </c>
      <c r="CR2560">
        <v>0</v>
      </c>
      <c r="CW2560">
        <v>8867692</v>
      </c>
      <c r="CY2560">
        <v>0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25">
      <c r="A2561" t="str">
        <f t="shared" ref="A2561:A2567" si="1414">"06/05/2020 14:55:15.109"</f>
        <v>06/05/2020 14:55:15.109</v>
      </c>
      <c r="C2561" t="str">
        <f t="shared" si="1398"/>
        <v>FFDFD3C0</v>
      </c>
      <c r="D2561" t="s">
        <v>148</v>
      </c>
      <c r="E2561">
        <v>8</v>
      </c>
      <c r="H2561">
        <v>50</v>
      </c>
      <c r="I2561" t="s">
        <v>149</v>
      </c>
      <c r="J2561" t="s">
        <v>150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ref="S2561:S2567" si="1415">"14:55:20.773"</f>
        <v>14:55:20.773</v>
      </c>
      <c r="T2561" t="str">
        <f t="shared" ref="T2561:T2567" si="1416">"14:55:20.373"</f>
        <v>14:55:20.373</v>
      </c>
      <c r="U2561" t="str">
        <f t="shared" si="1379"/>
        <v>ACC530</v>
      </c>
      <c r="V2561">
        <v>0</v>
      </c>
      <c r="W2561">
        <v>0</v>
      </c>
      <c r="X2561">
        <v>1</v>
      </c>
      <c r="Z2561">
        <v>0</v>
      </c>
      <c r="AA2561">
        <v>9</v>
      </c>
      <c r="AB2561">
        <v>3</v>
      </c>
      <c r="AC2561">
        <v>0</v>
      </c>
      <c r="AD2561">
        <v>9</v>
      </c>
      <c r="AE2561">
        <v>0</v>
      </c>
      <c r="AF2561">
        <v>3</v>
      </c>
      <c r="AG2561">
        <v>1</v>
      </c>
      <c r="AH2561">
        <v>0</v>
      </c>
      <c r="AI2561" t="s">
        <v>902</v>
      </c>
      <c r="AJ2561">
        <v>34.141151999999998</v>
      </c>
      <c r="AK2561" t="s">
        <v>903</v>
      </c>
      <c r="AL2561">
        <v>-117.05505599999999</v>
      </c>
      <c r="AM2561">
        <v>100</v>
      </c>
      <c r="AN2561">
        <v>6900</v>
      </c>
      <c r="AO2561" t="s">
        <v>118</v>
      </c>
      <c r="AP2561">
        <v>-44</v>
      </c>
      <c r="AQ2561">
        <v>-98</v>
      </c>
      <c r="AR2561">
        <v>-960</v>
      </c>
      <c r="AZ2561">
        <v>1200</v>
      </c>
      <c r="BA2561">
        <v>1</v>
      </c>
      <c r="BB2561" t="str">
        <f t="shared" si="1381"/>
        <v xml:space="preserve">N9217B  </v>
      </c>
      <c r="BC2561">
        <v>1</v>
      </c>
      <c r="BE2561">
        <v>0</v>
      </c>
      <c r="BF2561">
        <v>0</v>
      </c>
      <c r="BG2561">
        <v>0</v>
      </c>
      <c r="BH2561">
        <v>6825</v>
      </c>
      <c r="BI2561">
        <v>1</v>
      </c>
      <c r="BJ2561">
        <v>0</v>
      </c>
      <c r="BK2561">
        <v>0</v>
      </c>
      <c r="BL2561">
        <v>0</v>
      </c>
      <c r="BO2561">
        <v>0</v>
      </c>
      <c r="BP2561">
        <v>0</v>
      </c>
      <c r="BW2561" t="str">
        <f t="shared" ref="BW2561:BW2567" si="1417">"14:55:20.776"</f>
        <v>14:55:20.776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285</v>
      </c>
      <c r="CR2561">
        <v>0</v>
      </c>
      <c r="CW2561">
        <v>8867783</v>
      </c>
      <c r="CY2561">
        <v>0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25">
      <c r="A2562" t="str">
        <f t="shared" si="1414"/>
        <v>06/05/2020 14:55:15.109</v>
      </c>
      <c r="C2562" t="str">
        <f t="shared" si="1398"/>
        <v>FFDFD3C0</v>
      </c>
      <c r="D2562" t="s">
        <v>151</v>
      </c>
      <c r="E2562">
        <v>8</v>
      </c>
      <c r="H2562">
        <v>225</v>
      </c>
      <c r="I2562" t="s">
        <v>353</v>
      </c>
      <c r="J2562" t="s">
        <v>150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415"/>
        <v>14:55:20.773</v>
      </c>
      <c r="T2562" t="str">
        <f t="shared" si="1416"/>
        <v>14:55:20.373</v>
      </c>
      <c r="U2562" t="str">
        <f t="shared" ref="U2562:U2625" si="1418">"ACC530"</f>
        <v>ACC530</v>
      </c>
      <c r="V2562">
        <v>0</v>
      </c>
      <c r="W2562">
        <v>0</v>
      </c>
      <c r="X2562">
        <v>1</v>
      </c>
      <c r="Z2562">
        <v>0</v>
      </c>
      <c r="AA2562">
        <v>9</v>
      </c>
      <c r="AB2562">
        <v>3</v>
      </c>
      <c r="AC2562">
        <v>0</v>
      </c>
      <c r="AD2562">
        <v>9</v>
      </c>
      <c r="AE2562">
        <v>0</v>
      </c>
      <c r="AF2562">
        <v>3</v>
      </c>
      <c r="AG2562">
        <v>1</v>
      </c>
      <c r="AH2562">
        <v>0</v>
      </c>
      <c r="AI2562" t="s">
        <v>902</v>
      </c>
      <c r="AJ2562">
        <v>34.141151999999998</v>
      </c>
      <c r="AK2562" t="s">
        <v>903</v>
      </c>
      <c r="AL2562">
        <v>-117.05505599999999</v>
      </c>
      <c r="AM2562">
        <v>100</v>
      </c>
      <c r="AN2562">
        <v>6900</v>
      </c>
      <c r="AO2562" t="s">
        <v>118</v>
      </c>
      <c r="AP2562">
        <v>-44</v>
      </c>
      <c r="AQ2562">
        <v>-98</v>
      </c>
      <c r="AR2562">
        <v>-960</v>
      </c>
      <c r="AZ2562">
        <v>1200</v>
      </c>
      <c r="BA2562">
        <v>1</v>
      </c>
      <c r="BB2562" t="str">
        <f t="shared" si="1381"/>
        <v xml:space="preserve">N9217B  </v>
      </c>
      <c r="BC2562">
        <v>1</v>
      </c>
      <c r="BE2562">
        <v>0</v>
      </c>
      <c r="BF2562">
        <v>0</v>
      </c>
      <c r="BG2562">
        <v>0</v>
      </c>
      <c r="BH2562">
        <v>6825</v>
      </c>
      <c r="BI2562">
        <v>1</v>
      </c>
      <c r="BJ2562">
        <v>0</v>
      </c>
      <c r="BK2562">
        <v>0</v>
      </c>
      <c r="BL2562">
        <v>0</v>
      </c>
      <c r="BO2562">
        <v>0</v>
      </c>
      <c r="BP2562">
        <v>0</v>
      </c>
      <c r="BW2562" t="str">
        <f t="shared" si="1417"/>
        <v>14:55:20.776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285</v>
      </c>
      <c r="CR2562">
        <v>0</v>
      </c>
      <c r="CW2562">
        <v>8867783</v>
      </c>
      <c r="CY2562">
        <v>0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25">
      <c r="A2563" t="str">
        <f t="shared" si="1414"/>
        <v>06/05/2020 14:55:15.109</v>
      </c>
      <c r="C2563" t="str">
        <f t="shared" si="1398"/>
        <v>FFDFD3C0</v>
      </c>
      <c r="D2563" t="s">
        <v>134</v>
      </c>
      <c r="E2563">
        <v>7</v>
      </c>
      <c r="F2563">
        <v>2007</v>
      </c>
      <c r="G2563" t="s">
        <v>135</v>
      </c>
      <c r="J2563" t="s">
        <v>136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415"/>
        <v>14:55:20.773</v>
      </c>
      <c r="T2563" t="str">
        <f t="shared" si="1416"/>
        <v>14:55:20.373</v>
      </c>
      <c r="U2563" t="str">
        <f t="shared" si="1418"/>
        <v>ACC530</v>
      </c>
      <c r="V2563">
        <v>0</v>
      </c>
      <c r="W2563">
        <v>0</v>
      </c>
      <c r="X2563">
        <v>1</v>
      </c>
      <c r="Z2563">
        <v>0</v>
      </c>
      <c r="AA2563">
        <v>9</v>
      </c>
      <c r="AB2563">
        <v>3</v>
      </c>
      <c r="AC2563">
        <v>0</v>
      </c>
      <c r="AD2563">
        <v>9</v>
      </c>
      <c r="AE2563">
        <v>0</v>
      </c>
      <c r="AF2563">
        <v>3</v>
      </c>
      <c r="AG2563">
        <v>1</v>
      </c>
      <c r="AH2563">
        <v>0</v>
      </c>
      <c r="AI2563" t="s">
        <v>902</v>
      </c>
      <c r="AJ2563">
        <v>34.141151999999998</v>
      </c>
      <c r="AK2563" t="s">
        <v>903</v>
      </c>
      <c r="AL2563">
        <v>-117.05505599999999</v>
      </c>
      <c r="AM2563">
        <v>100</v>
      </c>
      <c r="AN2563">
        <v>6900</v>
      </c>
      <c r="AO2563" t="s">
        <v>118</v>
      </c>
      <c r="AP2563">
        <v>-44</v>
      </c>
      <c r="AQ2563">
        <v>-98</v>
      </c>
      <c r="AR2563">
        <v>-960</v>
      </c>
      <c r="AZ2563">
        <v>1200</v>
      </c>
      <c r="BA2563">
        <v>1</v>
      </c>
      <c r="BB2563" t="str">
        <f t="shared" si="1381"/>
        <v xml:space="preserve">N9217B  </v>
      </c>
      <c r="BC2563">
        <v>1</v>
      </c>
      <c r="BE2563">
        <v>0</v>
      </c>
      <c r="BF2563">
        <v>0</v>
      </c>
      <c r="BG2563">
        <v>0</v>
      </c>
      <c r="BH2563">
        <v>6825</v>
      </c>
      <c r="BI2563">
        <v>1</v>
      </c>
      <c r="BJ2563">
        <v>0</v>
      </c>
      <c r="BK2563">
        <v>0</v>
      </c>
      <c r="BL2563">
        <v>0</v>
      </c>
      <c r="BO2563">
        <v>0</v>
      </c>
      <c r="BP2563">
        <v>0</v>
      </c>
      <c r="BW2563" t="str">
        <f t="shared" si="1417"/>
        <v>14:55:20.776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285</v>
      </c>
      <c r="CR2563">
        <v>0</v>
      </c>
      <c r="CW2563">
        <v>8867783</v>
      </c>
      <c r="CY2563">
        <v>0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25">
      <c r="A2564" t="str">
        <f t="shared" si="1414"/>
        <v>06/05/2020 14:55:15.109</v>
      </c>
      <c r="C2564" t="str">
        <f t="shared" si="1398"/>
        <v>FFDFD3C0</v>
      </c>
      <c r="D2564" t="s">
        <v>113</v>
      </c>
      <c r="E2564">
        <v>3</v>
      </c>
      <c r="H2564">
        <v>166</v>
      </c>
      <c r="I2564" t="s">
        <v>114</v>
      </c>
      <c r="J2564" t="s">
        <v>115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415"/>
        <v>14:55:20.773</v>
      </c>
      <c r="T2564" t="str">
        <f t="shared" si="1416"/>
        <v>14:55:20.373</v>
      </c>
      <c r="U2564" t="str">
        <f t="shared" si="1418"/>
        <v>ACC530</v>
      </c>
      <c r="V2564">
        <v>0</v>
      </c>
      <c r="W2564">
        <v>0</v>
      </c>
      <c r="X2564">
        <v>1</v>
      </c>
      <c r="Z2564">
        <v>0</v>
      </c>
      <c r="AA2564">
        <v>9</v>
      </c>
      <c r="AB2564">
        <v>3</v>
      </c>
      <c r="AC2564">
        <v>0</v>
      </c>
      <c r="AD2564">
        <v>9</v>
      </c>
      <c r="AE2564">
        <v>0</v>
      </c>
      <c r="AF2564">
        <v>3</v>
      </c>
      <c r="AG2564">
        <v>1</v>
      </c>
      <c r="AH2564">
        <v>0</v>
      </c>
      <c r="AI2564" t="s">
        <v>902</v>
      </c>
      <c r="AJ2564">
        <v>34.141151999999998</v>
      </c>
      <c r="AK2564" t="s">
        <v>903</v>
      </c>
      <c r="AL2564">
        <v>-117.05505599999999</v>
      </c>
      <c r="AM2564">
        <v>100</v>
      </c>
      <c r="AN2564">
        <v>6900</v>
      </c>
      <c r="AO2564" t="s">
        <v>118</v>
      </c>
      <c r="AP2564">
        <v>-44</v>
      </c>
      <c r="AQ2564">
        <v>-98</v>
      </c>
      <c r="AR2564">
        <v>-960</v>
      </c>
      <c r="AZ2564">
        <v>1200</v>
      </c>
      <c r="BA2564">
        <v>1</v>
      </c>
      <c r="BB2564" t="str">
        <f t="shared" si="1381"/>
        <v xml:space="preserve">N9217B  </v>
      </c>
      <c r="BC2564">
        <v>1</v>
      </c>
      <c r="BE2564">
        <v>0</v>
      </c>
      <c r="BF2564">
        <v>0</v>
      </c>
      <c r="BG2564">
        <v>0</v>
      </c>
      <c r="BH2564">
        <v>6825</v>
      </c>
      <c r="BI2564">
        <v>1</v>
      </c>
      <c r="BJ2564">
        <v>0</v>
      </c>
      <c r="BK2564">
        <v>0</v>
      </c>
      <c r="BL2564">
        <v>0</v>
      </c>
      <c r="BO2564">
        <v>0</v>
      </c>
      <c r="BP2564">
        <v>0</v>
      </c>
      <c r="BW2564" t="str">
        <f t="shared" si="1417"/>
        <v>14:55:20.776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285</v>
      </c>
      <c r="CR2564">
        <v>0</v>
      </c>
      <c r="CW2564">
        <v>8867783</v>
      </c>
      <c r="CY2564">
        <v>0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25">
      <c r="A2565" t="str">
        <f t="shared" si="1414"/>
        <v>06/05/2020 14:55:15.109</v>
      </c>
      <c r="C2565" t="str">
        <f t="shared" si="1398"/>
        <v>FFDFD3C0</v>
      </c>
      <c r="D2565" t="s">
        <v>151</v>
      </c>
      <c r="E2565">
        <v>9</v>
      </c>
      <c r="H2565">
        <v>226</v>
      </c>
      <c r="I2565" t="s">
        <v>152</v>
      </c>
      <c r="J2565" t="s">
        <v>150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415"/>
        <v>14:55:20.773</v>
      </c>
      <c r="T2565" t="str">
        <f t="shared" si="1416"/>
        <v>14:55:20.373</v>
      </c>
      <c r="U2565" t="str">
        <f t="shared" si="1418"/>
        <v>ACC530</v>
      </c>
      <c r="V2565">
        <v>0</v>
      </c>
      <c r="W2565">
        <v>0</v>
      </c>
      <c r="X2565">
        <v>1</v>
      </c>
      <c r="Z2565">
        <v>0</v>
      </c>
      <c r="AA2565">
        <v>9</v>
      </c>
      <c r="AB2565">
        <v>3</v>
      </c>
      <c r="AC2565">
        <v>0</v>
      </c>
      <c r="AD2565">
        <v>9</v>
      </c>
      <c r="AE2565">
        <v>0</v>
      </c>
      <c r="AF2565">
        <v>3</v>
      </c>
      <c r="AG2565">
        <v>1</v>
      </c>
      <c r="AH2565">
        <v>0</v>
      </c>
      <c r="AI2565" t="s">
        <v>902</v>
      </c>
      <c r="AJ2565">
        <v>34.141151999999998</v>
      </c>
      <c r="AK2565" t="s">
        <v>903</v>
      </c>
      <c r="AL2565">
        <v>-117.05505599999999</v>
      </c>
      <c r="AM2565">
        <v>100</v>
      </c>
      <c r="AN2565">
        <v>6900</v>
      </c>
      <c r="AO2565" t="s">
        <v>118</v>
      </c>
      <c r="AP2565">
        <v>-44</v>
      </c>
      <c r="AQ2565">
        <v>-98</v>
      </c>
      <c r="AR2565">
        <v>-960</v>
      </c>
      <c r="AZ2565">
        <v>1200</v>
      </c>
      <c r="BA2565">
        <v>1</v>
      </c>
      <c r="BB2565" t="str">
        <f t="shared" ref="BB2565:BB2628" si="1419">"N9217B  "</f>
        <v xml:space="preserve">N9217B  </v>
      </c>
      <c r="BC2565">
        <v>1</v>
      </c>
      <c r="BE2565">
        <v>0</v>
      </c>
      <c r="BF2565">
        <v>0</v>
      </c>
      <c r="BG2565">
        <v>0</v>
      </c>
      <c r="BH2565">
        <v>6825</v>
      </c>
      <c r="BI2565">
        <v>1</v>
      </c>
      <c r="BJ2565">
        <v>0</v>
      </c>
      <c r="BK2565">
        <v>0</v>
      </c>
      <c r="BL2565">
        <v>0</v>
      </c>
      <c r="BO2565">
        <v>0</v>
      </c>
      <c r="BP2565">
        <v>0</v>
      </c>
      <c r="BW2565" t="str">
        <f t="shared" si="1417"/>
        <v>14:55:20.776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285</v>
      </c>
      <c r="CR2565">
        <v>0</v>
      </c>
      <c r="CW2565">
        <v>8867783</v>
      </c>
      <c r="CY2565">
        <v>0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25">
      <c r="A2566" t="str">
        <f t="shared" si="1414"/>
        <v>06/05/2020 14:55:15.109</v>
      </c>
      <c r="C2566" t="str">
        <f t="shared" si="1398"/>
        <v>FFDFD3C0</v>
      </c>
      <c r="D2566" t="s">
        <v>141</v>
      </c>
      <c r="E2566">
        <v>20</v>
      </c>
      <c r="F2566">
        <v>1020</v>
      </c>
      <c r="G2566" t="s">
        <v>114</v>
      </c>
      <c r="J2566" t="s">
        <v>142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415"/>
        <v>14:55:20.773</v>
      </c>
      <c r="T2566" t="str">
        <f t="shared" si="1416"/>
        <v>14:55:20.373</v>
      </c>
      <c r="U2566" t="str">
        <f t="shared" si="1418"/>
        <v>ACC530</v>
      </c>
      <c r="V2566">
        <v>0</v>
      </c>
      <c r="W2566">
        <v>0</v>
      </c>
      <c r="X2566">
        <v>1</v>
      </c>
      <c r="Z2566">
        <v>0</v>
      </c>
      <c r="AA2566">
        <v>9</v>
      </c>
      <c r="AB2566">
        <v>3</v>
      </c>
      <c r="AC2566">
        <v>0</v>
      </c>
      <c r="AD2566">
        <v>9</v>
      </c>
      <c r="AE2566">
        <v>0</v>
      </c>
      <c r="AF2566">
        <v>3</v>
      </c>
      <c r="AG2566">
        <v>1</v>
      </c>
      <c r="AH2566">
        <v>0</v>
      </c>
      <c r="AI2566" t="s">
        <v>902</v>
      </c>
      <c r="AJ2566">
        <v>34.141151999999998</v>
      </c>
      <c r="AK2566" t="s">
        <v>903</v>
      </c>
      <c r="AL2566">
        <v>-117.05505599999999</v>
      </c>
      <c r="AM2566">
        <v>100</v>
      </c>
      <c r="AN2566">
        <v>6900</v>
      </c>
      <c r="AO2566" t="s">
        <v>118</v>
      </c>
      <c r="AP2566">
        <v>-44</v>
      </c>
      <c r="AQ2566">
        <v>-98</v>
      </c>
      <c r="AR2566">
        <v>-960</v>
      </c>
      <c r="AZ2566">
        <v>1200</v>
      </c>
      <c r="BA2566">
        <v>1</v>
      </c>
      <c r="BB2566" t="str">
        <f t="shared" si="1419"/>
        <v xml:space="preserve">N9217B  </v>
      </c>
      <c r="BC2566">
        <v>1</v>
      </c>
      <c r="BE2566">
        <v>0</v>
      </c>
      <c r="BF2566">
        <v>0</v>
      </c>
      <c r="BG2566">
        <v>0</v>
      </c>
      <c r="BH2566">
        <v>6825</v>
      </c>
      <c r="BI2566">
        <v>1</v>
      </c>
      <c r="BJ2566">
        <v>0</v>
      </c>
      <c r="BK2566">
        <v>0</v>
      </c>
      <c r="BL2566">
        <v>0</v>
      </c>
      <c r="BO2566">
        <v>0</v>
      </c>
      <c r="BP2566">
        <v>0</v>
      </c>
      <c r="BW2566" t="str">
        <f t="shared" si="1417"/>
        <v>14:55:20.776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285</v>
      </c>
      <c r="CR2566">
        <v>0</v>
      </c>
      <c r="CW2566">
        <v>8867783</v>
      </c>
      <c r="CY2566">
        <v>0</v>
      </c>
      <c r="CZ2566">
        <v>0</v>
      </c>
      <c r="DA2566">
        <v>1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25">
      <c r="A2567" t="str">
        <f t="shared" si="1414"/>
        <v>06/05/2020 14:55:15.109</v>
      </c>
      <c r="C2567" t="str">
        <f t="shared" si="1398"/>
        <v>FFDFD3C0</v>
      </c>
      <c r="D2567" t="s">
        <v>148</v>
      </c>
      <c r="E2567">
        <v>11</v>
      </c>
      <c r="H2567">
        <v>53</v>
      </c>
      <c r="I2567" t="s">
        <v>364</v>
      </c>
      <c r="J2567" t="s">
        <v>150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415"/>
        <v>14:55:20.773</v>
      </c>
      <c r="T2567" t="str">
        <f t="shared" si="1416"/>
        <v>14:55:20.373</v>
      </c>
      <c r="U2567" t="str">
        <f t="shared" si="1418"/>
        <v>ACC530</v>
      </c>
      <c r="V2567">
        <v>0</v>
      </c>
      <c r="W2567">
        <v>0</v>
      </c>
      <c r="X2567">
        <v>1</v>
      </c>
      <c r="Z2567">
        <v>0</v>
      </c>
      <c r="AA2567">
        <v>9</v>
      </c>
      <c r="AB2567">
        <v>3</v>
      </c>
      <c r="AC2567">
        <v>0</v>
      </c>
      <c r="AD2567">
        <v>9</v>
      </c>
      <c r="AE2567">
        <v>0</v>
      </c>
      <c r="AF2567">
        <v>3</v>
      </c>
      <c r="AG2567">
        <v>1</v>
      </c>
      <c r="AH2567">
        <v>0</v>
      </c>
      <c r="AI2567" t="s">
        <v>902</v>
      </c>
      <c r="AJ2567">
        <v>34.141151999999998</v>
      </c>
      <c r="AK2567" t="s">
        <v>903</v>
      </c>
      <c r="AL2567">
        <v>-117.05505599999999</v>
      </c>
      <c r="AM2567">
        <v>100</v>
      </c>
      <c r="AN2567">
        <v>6900</v>
      </c>
      <c r="AO2567" t="s">
        <v>118</v>
      </c>
      <c r="AP2567">
        <v>-44</v>
      </c>
      <c r="AQ2567">
        <v>-98</v>
      </c>
      <c r="AR2567">
        <v>-960</v>
      </c>
      <c r="AZ2567">
        <v>1200</v>
      </c>
      <c r="BA2567">
        <v>1</v>
      </c>
      <c r="BB2567" t="str">
        <f t="shared" si="1419"/>
        <v xml:space="preserve">N9217B  </v>
      </c>
      <c r="BC2567">
        <v>1</v>
      </c>
      <c r="BE2567">
        <v>0</v>
      </c>
      <c r="BF2567">
        <v>0</v>
      </c>
      <c r="BG2567">
        <v>0</v>
      </c>
      <c r="BH2567">
        <v>6825</v>
      </c>
      <c r="BI2567">
        <v>1</v>
      </c>
      <c r="BJ2567">
        <v>0</v>
      </c>
      <c r="BK2567">
        <v>0</v>
      </c>
      <c r="BL2567">
        <v>0</v>
      </c>
      <c r="BO2567">
        <v>0</v>
      </c>
      <c r="BP2567">
        <v>0</v>
      </c>
      <c r="BW2567" t="str">
        <f t="shared" si="1417"/>
        <v>14:55:20.776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285</v>
      </c>
      <c r="CR2567">
        <v>0</v>
      </c>
      <c r="CW2567">
        <v>8867783</v>
      </c>
      <c r="CY2567">
        <v>0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25">
      <c r="A2568" t="str">
        <f t="shared" ref="A2568:A2574" si="1420">"06/05/2020 14:55:16.230"</f>
        <v>06/05/2020 14:55:16.230</v>
      </c>
      <c r="C2568" t="str">
        <f t="shared" si="1398"/>
        <v>FFDFD3C0</v>
      </c>
      <c r="D2568" t="s">
        <v>134</v>
      </c>
      <c r="E2568">
        <v>7</v>
      </c>
      <c r="F2568">
        <v>2007</v>
      </c>
      <c r="G2568" t="s">
        <v>135</v>
      </c>
      <c r="J2568" t="s">
        <v>136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ref="S2568:S2574" si="1421">"14:55:21.898"</f>
        <v>14:55:21.898</v>
      </c>
      <c r="T2568" t="str">
        <f t="shared" ref="T2568:T2574" si="1422">"14:55:21.798"</f>
        <v>14:55:21.798</v>
      </c>
      <c r="U2568" t="str">
        <f t="shared" si="1418"/>
        <v>ACC530</v>
      </c>
      <c r="V2568">
        <v>0</v>
      </c>
      <c r="W2568">
        <v>0</v>
      </c>
      <c r="X2568">
        <v>1</v>
      </c>
      <c r="Z2568">
        <v>0</v>
      </c>
      <c r="AA2568">
        <v>9</v>
      </c>
      <c r="AB2568">
        <v>3</v>
      </c>
      <c r="AC2568">
        <v>0</v>
      </c>
      <c r="AD2568">
        <v>9</v>
      </c>
      <c r="AE2568">
        <v>0</v>
      </c>
      <c r="AF2568">
        <v>3</v>
      </c>
      <c r="AG2568">
        <v>1</v>
      </c>
      <c r="AH2568">
        <v>0</v>
      </c>
      <c r="AI2568" t="s">
        <v>904</v>
      </c>
      <c r="AJ2568">
        <v>34.140614999999997</v>
      </c>
      <c r="AK2568" t="s">
        <v>905</v>
      </c>
      <c r="AL2568">
        <v>-117.055314</v>
      </c>
      <c r="AM2568">
        <v>100</v>
      </c>
      <c r="AN2568">
        <v>6900</v>
      </c>
      <c r="AO2568" t="s">
        <v>118</v>
      </c>
      <c r="AP2568">
        <v>-42</v>
      </c>
      <c r="AQ2568">
        <v>-99</v>
      </c>
      <c r="AR2568">
        <v>-1024</v>
      </c>
      <c r="AZ2568">
        <v>1200</v>
      </c>
      <c r="BA2568">
        <v>1</v>
      </c>
      <c r="BB2568" t="str">
        <f t="shared" si="1419"/>
        <v xml:space="preserve">N9217B  </v>
      </c>
      <c r="BC2568">
        <v>1</v>
      </c>
      <c r="BE2568">
        <v>0</v>
      </c>
      <c r="BF2568">
        <v>0</v>
      </c>
      <c r="BG2568">
        <v>0</v>
      </c>
      <c r="BH2568">
        <v>6800</v>
      </c>
      <c r="BI2568">
        <v>1</v>
      </c>
      <c r="BJ2568">
        <v>0</v>
      </c>
      <c r="BK2568">
        <v>0</v>
      </c>
      <c r="BL2568">
        <v>0</v>
      </c>
      <c r="BO2568">
        <v>0</v>
      </c>
      <c r="BP2568">
        <v>0</v>
      </c>
      <c r="BW2568" t="str">
        <f t="shared" ref="BW2568:BW2574" si="1423">"14:55:21.901"</f>
        <v>14:55:21.901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285</v>
      </c>
      <c r="CR2568">
        <v>0</v>
      </c>
      <c r="CW2568">
        <v>8867880</v>
      </c>
      <c r="CY2568">
        <v>0</v>
      </c>
      <c r="CZ2568">
        <v>0</v>
      </c>
      <c r="DA2568">
        <v>0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25">
      <c r="A2569" t="str">
        <f t="shared" si="1420"/>
        <v>06/05/2020 14:55:16.230</v>
      </c>
      <c r="C2569" t="str">
        <f t="shared" si="1398"/>
        <v>FFDFD3C0</v>
      </c>
      <c r="D2569" t="s">
        <v>151</v>
      </c>
      <c r="E2569">
        <v>8</v>
      </c>
      <c r="H2569">
        <v>225</v>
      </c>
      <c r="I2569" t="s">
        <v>353</v>
      </c>
      <c r="J2569" t="s">
        <v>150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421"/>
        <v>14:55:21.898</v>
      </c>
      <c r="T2569" t="str">
        <f t="shared" si="1422"/>
        <v>14:55:21.798</v>
      </c>
      <c r="U2569" t="str">
        <f t="shared" si="1418"/>
        <v>ACC530</v>
      </c>
      <c r="V2569">
        <v>0</v>
      </c>
      <c r="W2569">
        <v>0</v>
      </c>
      <c r="X2569">
        <v>1</v>
      </c>
      <c r="Z2569">
        <v>0</v>
      </c>
      <c r="AA2569">
        <v>9</v>
      </c>
      <c r="AB2569">
        <v>3</v>
      </c>
      <c r="AC2569">
        <v>0</v>
      </c>
      <c r="AD2569">
        <v>9</v>
      </c>
      <c r="AE2569">
        <v>0</v>
      </c>
      <c r="AF2569">
        <v>3</v>
      </c>
      <c r="AG2569">
        <v>1</v>
      </c>
      <c r="AH2569">
        <v>0</v>
      </c>
      <c r="AI2569" t="s">
        <v>904</v>
      </c>
      <c r="AJ2569">
        <v>34.140614999999997</v>
      </c>
      <c r="AK2569" t="s">
        <v>905</v>
      </c>
      <c r="AL2569">
        <v>-117.055314</v>
      </c>
      <c r="AM2569">
        <v>100</v>
      </c>
      <c r="AN2569">
        <v>6900</v>
      </c>
      <c r="AO2569" t="s">
        <v>118</v>
      </c>
      <c r="AP2569">
        <v>-42</v>
      </c>
      <c r="AQ2569">
        <v>-99</v>
      </c>
      <c r="AR2569">
        <v>-1024</v>
      </c>
      <c r="AZ2569">
        <v>1200</v>
      </c>
      <c r="BA2569">
        <v>1</v>
      </c>
      <c r="BB2569" t="str">
        <f t="shared" si="1419"/>
        <v xml:space="preserve">N9217B  </v>
      </c>
      <c r="BC2569">
        <v>1</v>
      </c>
      <c r="BE2569">
        <v>0</v>
      </c>
      <c r="BF2569">
        <v>0</v>
      </c>
      <c r="BG2569">
        <v>0</v>
      </c>
      <c r="BH2569">
        <v>6800</v>
      </c>
      <c r="BI2569">
        <v>1</v>
      </c>
      <c r="BJ2569">
        <v>0</v>
      </c>
      <c r="BK2569">
        <v>0</v>
      </c>
      <c r="BL2569">
        <v>0</v>
      </c>
      <c r="BO2569">
        <v>0</v>
      </c>
      <c r="BP2569">
        <v>0</v>
      </c>
      <c r="BW2569" t="str">
        <f t="shared" si="1423"/>
        <v>14:55:21.901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285</v>
      </c>
      <c r="CR2569">
        <v>0</v>
      </c>
      <c r="CW2569">
        <v>8867880</v>
      </c>
      <c r="CY2569">
        <v>0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25">
      <c r="A2570" t="str">
        <f t="shared" si="1420"/>
        <v>06/05/2020 14:55:16.230</v>
      </c>
      <c r="C2570" t="str">
        <f t="shared" si="1398"/>
        <v>FFDFD3C0</v>
      </c>
      <c r="D2570" t="s">
        <v>113</v>
      </c>
      <c r="E2570">
        <v>3</v>
      </c>
      <c r="H2570">
        <v>166</v>
      </c>
      <c r="I2570" t="s">
        <v>114</v>
      </c>
      <c r="J2570" t="s">
        <v>115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421"/>
        <v>14:55:21.898</v>
      </c>
      <c r="T2570" t="str">
        <f t="shared" si="1422"/>
        <v>14:55:21.798</v>
      </c>
      <c r="U2570" t="str">
        <f t="shared" si="1418"/>
        <v>ACC530</v>
      </c>
      <c r="V2570">
        <v>0</v>
      </c>
      <c r="W2570">
        <v>0</v>
      </c>
      <c r="X2570">
        <v>1</v>
      </c>
      <c r="Z2570">
        <v>0</v>
      </c>
      <c r="AA2570">
        <v>9</v>
      </c>
      <c r="AB2570">
        <v>3</v>
      </c>
      <c r="AC2570">
        <v>0</v>
      </c>
      <c r="AD2570">
        <v>9</v>
      </c>
      <c r="AE2570">
        <v>0</v>
      </c>
      <c r="AF2570">
        <v>3</v>
      </c>
      <c r="AG2570">
        <v>1</v>
      </c>
      <c r="AH2570">
        <v>0</v>
      </c>
      <c r="AI2570" t="s">
        <v>904</v>
      </c>
      <c r="AJ2570">
        <v>34.140614999999997</v>
      </c>
      <c r="AK2570" t="s">
        <v>905</v>
      </c>
      <c r="AL2570">
        <v>-117.055314</v>
      </c>
      <c r="AM2570">
        <v>100</v>
      </c>
      <c r="AN2570">
        <v>6900</v>
      </c>
      <c r="AO2570" t="s">
        <v>118</v>
      </c>
      <c r="AP2570">
        <v>-42</v>
      </c>
      <c r="AQ2570">
        <v>-99</v>
      </c>
      <c r="AR2570">
        <v>-1024</v>
      </c>
      <c r="AZ2570">
        <v>1200</v>
      </c>
      <c r="BA2570">
        <v>1</v>
      </c>
      <c r="BB2570" t="str">
        <f t="shared" si="1419"/>
        <v xml:space="preserve">N9217B  </v>
      </c>
      <c r="BC2570">
        <v>1</v>
      </c>
      <c r="BE2570">
        <v>0</v>
      </c>
      <c r="BF2570">
        <v>0</v>
      </c>
      <c r="BG2570">
        <v>0</v>
      </c>
      <c r="BH2570">
        <v>6800</v>
      </c>
      <c r="BI2570">
        <v>1</v>
      </c>
      <c r="BJ2570">
        <v>0</v>
      </c>
      <c r="BK2570">
        <v>0</v>
      </c>
      <c r="BL2570">
        <v>0</v>
      </c>
      <c r="BO2570">
        <v>0</v>
      </c>
      <c r="BP2570">
        <v>0</v>
      </c>
      <c r="BW2570" t="str">
        <f t="shared" si="1423"/>
        <v>14:55:21.901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285</v>
      </c>
      <c r="CR2570">
        <v>0</v>
      </c>
      <c r="CW2570">
        <v>8867880</v>
      </c>
      <c r="CY2570">
        <v>0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25">
      <c r="A2571" t="str">
        <f t="shared" si="1420"/>
        <v>06/05/2020 14:55:16.230</v>
      </c>
      <c r="C2571" t="str">
        <f t="shared" si="1398"/>
        <v>FFDFD3C0</v>
      </c>
      <c r="D2571" t="s">
        <v>141</v>
      </c>
      <c r="E2571">
        <v>20</v>
      </c>
      <c r="F2571">
        <v>1020</v>
      </c>
      <c r="G2571" t="s">
        <v>114</v>
      </c>
      <c r="J2571" t="s">
        <v>142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421"/>
        <v>14:55:21.898</v>
      </c>
      <c r="T2571" t="str">
        <f t="shared" si="1422"/>
        <v>14:55:21.798</v>
      </c>
      <c r="U2571" t="str">
        <f t="shared" si="1418"/>
        <v>ACC530</v>
      </c>
      <c r="V2571">
        <v>0</v>
      </c>
      <c r="W2571">
        <v>0</v>
      </c>
      <c r="X2571">
        <v>1</v>
      </c>
      <c r="Z2571">
        <v>0</v>
      </c>
      <c r="AA2571">
        <v>9</v>
      </c>
      <c r="AB2571">
        <v>3</v>
      </c>
      <c r="AC2571">
        <v>0</v>
      </c>
      <c r="AD2571">
        <v>9</v>
      </c>
      <c r="AE2571">
        <v>0</v>
      </c>
      <c r="AF2571">
        <v>3</v>
      </c>
      <c r="AG2571">
        <v>1</v>
      </c>
      <c r="AH2571">
        <v>0</v>
      </c>
      <c r="AI2571" t="s">
        <v>904</v>
      </c>
      <c r="AJ2571">
        <v>34.140614999999997</v>
      </c>
      <c r="AK2571" t="s">
        <v>905</v>
      </c>
      <c r="AL2571">
        <v>-117.055314</v>
      </c>
      <c r="AM2571">
        <v>100</v>
      </c>
      <c r="AN2571">
        <v>6900</v>
      </c>
      <c r="AO2571" t="s">
        <v>118</v>
      </c>
      <c r="AP2571">
        <v>-42</v>
      </c>
      <c r="AQ2571">
        <v>-99</v>
      </c>
      <c r="AR2571">
        <v>-1024</v>
      </c>
      <c r="AZ2571">
        <v>1200</v>
      </c>
      <c r="BA2571">
        <v>1</v>
      </c>
      <c r="BB2571" t="str">
        <f t="shared" si="1419"/>
        <v xml:space="preserve">N9217B  </v>
      </c>
      <c r="BC2571">
        <v>1</v>
      </c>
      <c r="BE2571">
        <v>0</v>
      </c>
      <c r="BF2571">
        <v>0</v>
      </c>
      <c r="BG2571">
        <v>0</v>
      </c>
      <c r="BH2571">
        <v>6800</v>
      </c>
      <c r="BI2571">
        <v>1</v>
      </c>
      <c r="BJ2571">
        <v>0</v>
      </c>
      <c r="BK2571">
        <v>0</v>
      </c>
      <c r="BL2571">
        <v>0</v>
      </c>
      <c r="BO2571">
        <v>0</v>
      </c>
      <c r="BP2571">
        <v>0</v>
      </c>
      <c r="BW2571" t="str">
        <f t="shared" si="1423"/>
        <v>14:55:21.901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285</v>
      </c>
      <c r="CR2571">
        <v>0</v>
      </c>
      <c r="CW2571">
        <v>8867880</v>
      </c>
      <c r="CY2571">
        <v>0</v>
      </c>
      <c r="CZ2571">
        <v>0</v>
      </c>
      <c r="DA2571">
        <v>1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25">
      <c r="A2572" t="str">
        <f t="shared" si="1420"/>
        <v>06/05/2020 14:55:16.230</v>
      </c>
      <c r="C2572" t="str">
        <f t="shared" si="1398"/>
        <v>FFDFD3C0</v>
      </c>
      <c r="D2572" t="s">
        <v>151</v>
      </c>
      <c r="E2572">
        <v>9</v>
      </c>
      <c r="H2572">
        <v>226</v>
      </c>
      <c r="I2572" t="s">
        <v>152</v>
      </c>
      <c r="J2572" t="s">
        <v>150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421"/>
        <v>14:55:21.898</v>
      </c>
      <c r="T2572" t="str">
        <f t="shared" si="1422"/>
        <v>14:55:21.798</v>
      </c>
      <c r="U2572" t="str">
        <f t="shared" si="1418"/>
        <v>ACC530</v>
      </c>
      <c r="V2572">
        <v>0</v>
      </c>
      <c r="W2572">
        <v>0</v>
      </c>
      <c r="X2572">
        <v>1</v>
      </c>
      <c r="Z2572">
        <v>0</v>
      </c>
      <c r="AA2572">
        <v>9</v>
      </c>
      <c r="AB2572">
        <v>3</v>
      </c>
      <c r="AC2572">
        <v>0</v>
      </c>
      <c r="AD2572">
        <v>9</v>
      </c>
      <c r="AE2572">
        <v>0</v>
      </c>
      <c r="AF2572">
        <v>3</v>
      </c>
      <c r="AG2572">
        <v>1</v>
      </c>
      <c r="AH2572">
        <v>0</v>
      </c>
      <c r="AI2572" t="s">
        <v>904</v>
      </c>
      <c r="AJ2572">
        <v>34.140614999999997</v>
      </c>
      <c r="AK2572" t="s">
        <v>905</v>
      </c>
      <c r="AL2572">
        <v>-117.055314</v>
      </c>
      <c r="AM2572">
        <v>100</v>
      </c>
      <c r="AN2572">
        <v>6900</v>
      </c>
      <c r="AO2572" t="s">
        <v>118</v>
      </c>
      <c r="AP2572">
        <v>-42</v>
      </c>
      <c r="AQ2572">
        <v>-99</v>
      </c>
      <c r="AR2572">
        <v>-1024</v>
      </c>
      <c r="AZ2572">
        <v>1200</v>
      </c>
      <c r="BA2572">
        <v>1</v>
      </c>
      <c r="BB2572" t="str">
        <f t="shared" si="1419"/>
        <v xml:space="preserve">N9217B  </v>
      </c>
      <c r="BC2572">
        <v>1</v>
      </c>
      <c r="BE2572">
        <v>0</v>
      </c>
      <c r="BF2572">
        <v>0</v>
      </c>
      <c r="BG2572">
        <v>0</v>
      </c>
      <c r="BH2572">
        <v>6800</v>
      </c>
      <c r="BI2572">
        <v>1</v>
      </c>
      <c r="BJ2572">
        <v>0</v>
      </c>
      <c r="BK2572">
        <v>0</v>
      </c>
      <c r="BL2572">
        <v>0</v>
      </c>
      <c r="BO2572">
        <v>0</v>
      </c>
      <c r="BP2572">
        <v>0</v>
      </c>
      <c r="BW2572" t="str">
        <f t="shared" si="1423"/>
        <v>14:55:21.901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285</v>
      </c>
      <c r="CR2572">
        <v>0</v>
      </c>
      <c r="CW2572">
        <v>8867880</v>
      </c>
      <c r="CY2572">
        <v>0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25">
      <c r="A2573" t="str">
        <f t="shared" si="1420"/>
        <v>06/05/2020 14:55:16.230</v>
      </c>
      <c r="C2573" t="str">
        <f t="shared" si="1398"/>
        <v>FFDFD3C0</v>
      </c>
      <c r="D2573" t="s">
        <v>148</v>
      </c>
      <c r="E2573">
        <v>11</v>
      </c>
      <c r="H2573">
        <v>53</v>
      </c>
      <c r="I2573" t="s">
        <v>364</v>
      </c>
      <c r="J2573" t="s">
        <v>150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421"/>
        <v>14:55:21.898</v>
      </c>
      <c r="T2573" t="str">
        <f t="shared" si="1422"/>
        <v>14:55:21.798</v>
      </c>
      <c r="U2573" t="str">
        <f t="shared" si="1418"/>
        <v>ACC530</v>
      </c>
      <c r="V2573">
        <v>0</v>
      </c>
      <c r="W2573">
        <v>0</v>
      </c>
      <c r="X2573">
        <v>1</v>
      </c>
      <c r="Z2573">
        <v>0</v>
      </c>
      <c r="AA2573">
        <v>9</v>
      </c>
      <c r="AB2573">
        <v>3</v>
      </c>
      <c r="AC2573">
        <v>0</v>
      </c>
      <c r="AD2573">
        <v>9</v>
      </c>
      <c r="AE2573">
        <v>0</v>
      </c>
      <c r="AF2573">
        <v>3</v>
      </c>
      <c r="AG2573">
        <v>1</v>
      </c>
      <c r="AH2573">
        <v>0</v>
      </c>
      <c r="AI2573" t="s">
        <v>904</v>
      </c>
      <c r="AJ2573">
        <v>34.140614999999997</v>
      </c>
      <c r="AK2573" t="s">
        <v>905</v>
      </c>
      <c r="AL2573">
        <v>-117.055314</v>
      </c>
      <c r="AM2573">
        <v>100</v>
      </c>
      <c r="AN2573">
        <v>6900</v>
      </c>
      <c r="AO2573" t="s">
        <v>118</v>
      </c>
      <c r="AP2573">
        <v>-42</v>
      </c>
      <c r="AQ2573">
        <v>-99</v>
      </c>
      <c r="AR2573">
        <v>-1024</v>
      </c>
      <c r="AZ2573">
        <v>1200</v>
      </c>
      <c r="BA2573">
        <v>1</v>
      </c>
      <c r="BB2573" t="str">
        <f t="shared" si="1419"/>
        <v xml:space="preserve">N9217B  </v>
      </c>
      <c r="BC2573">
        <v>1</v>
      </c>
      <c r="BE2573">
        <v>0</v>
      </c>
      <c r="BF2573">
        <v>0</v>
      </c>
      <c r="BG2573">
        <v>0</v>
      </c>
      <c r="BH2573">
        <v>6800</v>
      </c>
      <c r="BI2573">
        <v>1</v>
      </c>
      <c r="BJ2573">
        <v>0</v>
      </c>
      <c r="BK2573">
        <v>0</v>
      </c>
      <c r="BL2573">
        <v>0</v>
      </c>
      <c r="BO2573">
        <v>0</v>
      </c>
      <c r="BP2573">
        <v>0</v>
      </c>
      <c r="BW2573" t="str">
        <f t="shared" si="1423"/>
        <v>14:55:21.901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285</v>
      </c>
      <c r="CR2573">
        <v>0</v>
      </c>
      <c r="CW2573">
        <v>8867880</v>
      </c>
      <c r="CY2573">
        <v>0</v>
      </c>
      <c r="CZ2573">
        <v>0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25">
      <c r="A2574" t="str">
        <f t="shared" si="1420"/>
        <v>06/05/2020 14:55:16.230</v>
      </c>
      <c r="C2574" t="str">
        <f t="shared" si="1398"/>
        <v>FFDFD3C0</v>
      </c>
      <c r="D2574" t="s">
        <v>148</v>
      </c>
      <c r="E2574">
        <v>8</v>
      </c>
      <c r="H2574">
        <v>50</v>
      </c>
      <c r="I2574" t="s">
        <v>149</v>
      </c>
      <c r="J2574" t="s">
        <v>150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421"/>
        <v>14:55:21.898</v>
      </c>
      <c r="T2574" t="str">
        <f t="shared" si="1422"/>
        <v>14:55:21.798</v>
      </c>
      <c r="U2574" t="str">
        <f t="shared" si="1418"/>
        <v>ACC530</v>
      </c>
      <c r="V2574">
        <v>0</v>
      </c>
      <c r="W2574">
        <v>0</v>
      </c>
      <c r="X2574">
        <v>1</v>
      </c>
      <c r="Z2574">
        <v>0</v>
      </c>
      <c r="AA2574">
        <v>9</v>
      </c>
      <c r="AB2574">
        <v>3</v>
      </c>
      <c r="AC2574">
        <v>0</v>
      </c>
      <c r="AD2574">
        <v>9</v>
      </c>
      <c r="AE2574">
        <v>0</v>
      </c>
      <c r="AF2574">
        <v>3</v>
      </c>
      <c r="AG2574">
        <v>1</v>
      </c>
      <c r="AH2574">
        <v>0</v>
      </c>
      <c r="AI2574" t="s">
        <v>904</v>
      </c>
      <c r="AJ2574">
        <v>34.140614999999997</v>
      </c>
      <c r="AK2574" t="s">
        <v>905</v>
      </c>
      <c r="AL2574">
        <v>-117.055314</v>
      </c>
      <c r="AM2574">
        <v>100</v>
      </c>
      <c r="AN2574">
        <v>6900</v>
      </c>
      <c r="AO2574" t="s">
        <v>118</v>
      </c>
      <c r="AP2574">
        <v>-42</v>
      </c>
      <c r="AQ2574">
        <v>-99</v>
      </c>
      <c r="AR2574">
        <v>-1024</v>
      </c>
      <c r="AZ2574">
        <v>1200</v>
      </c>
      <c r="BA2574">
        <v>1</v>
      </c>
      <c r="BB2574" t="str">
        <f t="shared" si="1419"/>
        <v xml:space="preserve">N9217B  </v>
      </c>
      <c r="BC2574">
        <v>1</v>
      </c>
      <c r="BE2574">
        <v>0</v>
      </c>
      <c r="BF2574">
        <v>0</v>
      </c>
      <c r="BG2574">
        <v>0</v>
      </c>
      <c r="BH2574">
        <v>6800</v>
      </c>
      <c r="BI2574">
        <v>1</v>
      </c>
      <c r="BJ2574">
        <v>0</v>
      </c>
      <c r="BK2574">
        <v>0</v>
      </c>
      <c r="BL2574">
        <v>0</v>
      </c>
      <c r="BO2574">
        <v>0</v>
      </c>
      <c r="BP2574">
        <v>0</v>
      </c>
      <c r="BW2574" t="str">
        <f t="shared" si="1423"/>
        <v>14:55:21.901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285</v>
      </c>
      <c r="CR2574">
        <v>0</v>
      </c>
      <c r="CW2574">
        <v>8867880</v>
      </c>
      <c r="CY2574">
        <v>0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25">
      <c r="A2575" t="str">
        <f t="shared" ref="A2575:A2581" si="1424">"06/05/2020 14:55:17.247"</f>
        <v>06/05/2020 14:55:17.247</v>
      </c>
      <c r="C2575" t="str">
        <f t="shared" si="1398"/>
        <v>FFDFD3C0</v>
      </c>
      <c r="D2575" t="s">
        <v>151</v>
      </c>
      <c r="E2575">
        <v>8</v>
      </c>
      <c r="H2575">
        <v>225</v>
      </c>
      <c r="I2575" t="s">
        <v>353</v>
      </c>
      <c r="J2575" t="s">
        <v>150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ref="S2575:T2581" si="1425">"14:55:22.914"</f>
        <v>14:55:22.914</v>
      </c>
      <c r="T2575" t="str">
        <f t="shared" si="1425"/>
        <v>14:55:22.914</v>
      </c>
      <c r="U2575" t="str">
        <f t="shared" si="1418"/>
        <v>ACC530</v>
      </c>
      <c r="V2575">
        <v>0</v>
      </c>
      <c r="W2575">
        <v>0</v>
      </c>
      <c r="X2575">
        <v>1</v>
      </c>
      <c r="Z2575">
        <v>0</v>
      </c>
      <c r="AA2575">
        <v>9</v>
      </c>
      <c r="AB2575">
        <v>3</v>
      </c>
      <c r="AC2575">
        <v>0</v>
      </c>
      <c r="AD2575">
        <v>9</v>
      </c>
      <c r="AE2575">
        <v>0</v>
      </c>
      <c r="AF2575">
        <v>3</v>
      </c>
      <c r="AG2575">
        <v>1</v>
      </c>
      <c r="AH2575">
        <v>0</v>
      </c>
      <c r="AI2575" t="s">
        <v>906</v>
      </c>
      <c r="AJ2575">
        <v>34.140143000000002</v>
      </c>
      <c r="AK2575" t="s">
        <v>907</v>
      </c>
      <c r="AL2575">
        <v>-117.05550700000001</v>
      </c>
      <c r="AM2575">
        <v>100</v>
      </c>
      <c r="AN2575">
        <v>6900</v>
      </c>
      <c r="AO2575" t="s">
        <v>118</v>
      </c>
      <c r="AP2575">
        <v>-40</v>
      </c>
      <c r="AQ2575">
        <v>-100</v>
      </c>
      <c r="AR2575">
        <v>-1024</v>
      </c>
      <c r="AZ2575">
        <v>1200</v>
      </c>
      <c r="BA2575">
        <v>1</v>
      </c>
      <c r="BB2575" t="str">
        <f t="shared" si="1419"/>
        <v xml:space="preserve">N9217B  </v>
      </c>
      <c r="BC2575">
        <v>1</v>
      </c>
      <c r="BE2575">
        <v>0</v>
      </c>
      <c r="BF2575">
        <v>0</v>
      </c>
      <c r="BG2575">
        <v>0</v>
      </c>
      <c r="BH2575">
        <v>6775</v>
      </c>
      <c r="BI2575">
        <v>1</v>
      </c>
      <c r="BJ2575">
        <v>0</v>
      </c>
      <c r="BK2575">
        <v>0</v>
      </c>
      <c r="BL2575">
        <v>0</v>
      </c>
      <c r="BO2575">
        <v>0</v>
      </c>
      <c r="BP2575">
        <v>0</v>
      </c>
      <c r="BW2575" t="str">
        <f t="shared" ref="BW2575:BW2581" si="1426">"14:55:22.920"</f>
        <v>14:55:22.920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285</v>
      </c>
      <c r="CR2575">
        <v>0</v>
      </c>
      <c r="CW2575">
        <v>8867970</v>
      </c>
      <c r="CY2575">
        <v>0</v>
      </c>
      <c r="CZ2575">
        <v>0</v>
      </c>
      <c r="DA2575">
        <v>0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25">
      <c r="A2576" t="str">
        <f t="shared" si="1424"/>
        <v>06/05/2020 14:55:17.247</v>
      </c>
      <c r="C2576" t="str">
        <f t="shared" si="1398"/>
        <v>FFDFD3C0</v>
      </c>
      <c r="D2576" t="s">
        <v>141</v>
      </c>
      <c r="E2576">
        <v>20</v>
      </c>
      <c r="F2576">
        <v>1020</v>
      </c>
      <c r="G2576" t="s">
        <v>114</v>
      </c>
      <c r="J2576" t="s">
        <v>142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425"/>
        <v>14:55:22.914</v>
      </c>
      <c r="T2576" t="str">
        <f t="shared" si="1425"/>
        <v>14:55:22.914</v>
      </c>
      <c r="U2576" t="str">
        <f t="shared" si="1418"/>
        <v>ACC530</v>
      </c>
      <c r="V2576">
        <v>0</v>
      </c>
      <c r="W2576">
        <v>0</v>
      </c>
      <c r="X2576">
        <v>1</v>
      </c>
      <c r="Z2576">
        <v>0</v>
      </c>
      <c r="AA2576">
        <v>9</v>
      </c>
      <c r="AB2576">
        <v>3</v>
      </c>
      <c r="AC2576">
        <v>0</v>
      </c>
      <c r="AD2576">
        <v>9</v>
      </c>
      <c r="AE2576">
        <v>0</v>
      </c>
      <c r="AF2576">
        <v>3</v>
      </c>
      <c r="AG2576">
        <v>1</v>
      </c>
      <c r="AH2576">
        <v>0</v>
      </c>
      <c r="AI2576" t="s">
        <v>906</v>
      </c>
      <c r="AJ2576">
        <v>34.140143000000002</v>
      </c>
      <c r="AK2576" t="s">
        <v>907</v>
      </c>
      <c r="AL2576">
        <v>-117.05550700000001</v>
      </c>
      <c r="AM2576">
        <v>100</v>
      </c>
      <c r="AN2576">
        <v>6900</v>
      </c>
      <c r="AO2576" t="s">
        <v>118</v>
      </c>
      <c r="AP2576">
        <v>-40</v>
      </c>
      <c r="AQ2576">
        <v>-100</v>
      </c>
      <c r="AR2576">
        <v>-1024</v>
      </c>
      <c r="AZ2576">
        <v>1200</v>
      </c>
      <c r="BA2576">
        <v>1</v>
      </c>
      <c r="BB2576" t="str">
        <f t="shared" si="1419"/>
        <v xml:space="preserve">N9217B  </v>
      </c>
      <c r="BC2576">
        <v>1</v>
      </c>
      <c r="BE2576">
        <v>0</v>
      </c>
      <c r="BF2576">
        <v>0</v>
      </c>
      <c r="BG2576">
        <v>0</v>
      </c>
      <c r="BH2576">
        <v>6775</v>
      </c>
      <c r="BI2576">
        <v>1</v>
      </c>
      <c r="BJ2576">
        <v>0</v>
      </c>
      <c r="BK2576">
        <v>0</v>
      </c>
      <c r="BL2576">
        <v>0</v>
      </c>
      <c r="BO2576">
        <v>0</v>
      </c>
      <c r="BP2576">
        <v>0</v>
      </c>
      <c r="BW2576" t="str">
        <f t="shared" si="1426"/>
        <v>14:55:22.920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285</v>
      </c>
      <c r="CR2576">
        <v>0</v>
      </c>
      <c r="CW2576">
        <v>8867970</v>
      </c>
      <c r="CY2576">
        <v>0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25">
      <c r="A2577" t="str">
        <f t="shared" si="1424"/>
        <v>06/05/2020 14:55:17.247</v>
      </c>
      <c r="C2577" t="str">
        <f t="shared" si="1398"/>
        <v>FFDFD3C0</v>
      </c>
      <c r="D2577" t="s">
        <v>113</v>
      </c>
      <c r="E2577">
        <v>3</v>
      </c>
      <c r="H2577">
        <v>166</v>
      </c>
      <c r="I2577" t="s">
        <v>114</v>
      </c>
      <c r="J2577" t="s">
        <v>115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425"/>
        <v>14:55:22.914</v>
      </c>
      <c r="T2577" t="str">
        <f t="shared" si="1425"/>
        <v>14:55:22.914</v>
      </c>
      <c r="U2577" t="str">
        <f t="shared" si="1418"/>
        <v>ACC530</v>
      </c>
      <c r="V2577">
        <v>0</v>
      </c>
      <c r="W2577">
        <v>0</v>
      </c>
      <c r="X2577">
        <v>1</v>
      </c>
      <c r="Z2577">
        <v>0</v>
      </c>
      <c r="AA2577">
        <v>9</v>
      </c>
      <c r="AB2577">
        <v>3</v>
      </c>
      <c r="AC2577">
        <v>0</v>
      </c>
      <c r="AD2577">
        <v>9</v>
      </c>
      <c r="AE2577">
        <v>0</v>
      </c>
      <c r="AF2577">
        <v>3</v>
      </c>
      <c r="AG2577">
        <v>1</v>
      </c>
      <c r="AH2577">
        <v>0</v>
      </c>
      <c r="AI2577" t="s">
        <v>906</v>
      </c>
      <c r="AJ2577">
        <v>34.140143000000002</v>
      </c>
      <c r="AK2577" t="s">
        <v>907</v>
      </c>
      <c r="AL2577">
        <v>-117.05550700000001</v>
      </c>
      <c r="AM2577">
        <v>100</v>
      </c>
      <c r="AN2577">
        <v>6900</v>
      </c>
      <c r="AO2577" t="s">
        <v>118</v>
      </c>
      <c r="AP2577">
        <v>-40</v>
      </c>
      <c r="AQ2577">
        <v>-100</v>
      </c>
      <c r="AR2577">
        <v>-1024</v>
      </c>
      <c r="AZ2577">
        <v>1200</v>
      </c>
      <c r="BA2577">
        <v>1</v>
      </c>
      <c r="BB2577" t="str">
        <f t="shared" si="1419"/>
        <v xml:space="preserve">N9217B  </v>
      </c>
      <c r="BC2577">
        <v>1</v>
      </c>
      <c r="BE2577">
        <v>0</v>
      </c>
      <c r="BF2577">
        <v>0</v>
      </c>
      <c r="BG2577">
        <v>0</v>
      </c>
      <c r="BH2577">
        <v>6775</v>
      </c>
      <c r="BI2577">
        <v>1</v>
      </c>
      <c r="BJ2577">
        <v>0</v>
      </c>
      <c r="BK2577">
        <v>0</v>
      </c>
      <c r="BL2577">
        <v>0</v>
      </c>
      <c r="BO2577">
        <v>0</v>
      </c>
      <c r="BP2577">
        <v>0</v>
      </c>
      <c r="BW2577" t="str">
        <f t="shared" si="1426"/>
        <v>14:55:22.920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285</v>
      </c>
      <c r="CR2577">
        <v>0</v>
      </c>
      <c r="CW2577">
        <v>8867970</v>
      </c>
      <c r="CY2577">
        <v>0</v>
      </c>
      <c r="CZ2577">
        <v>0</v>
      </c>
      <c r="DA2577">
        <v>1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25">
      <c r="A2578" t="str">
        <f t="shared" si="1424"/>
        <v>06/05/2020 14:55:17.247</v>
      </c>
      <c r="C2578" t="str">
        <f t="shared" si="1398"/>
        <v>FFDFD3C0</v>
      </c>
      <c r="D2578" t="s">
        <v>151</v>
      </c>
      <c r="E2578">
        <v>9</v>
      </c>
      <c r="H2578">
        <v>226</v>
      </c>
      <c r="I2578" t="s">
        <v>152</v>
      </c>
      <c r="J2578" t="s">
        <v>150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425"/>
        <v>14:55:22.914</v>
      </c>
      <c r="T2578" t="str">
        <f t="shared" si="1425"/>
        <v>14:55:22.914</v>
      </c>
      <c r="U2578" t="str">
        <f t="shared" si="1418"/>
        <v>ACC530</v>
      </c>
      <c r="V2578">
        <v>0</v>
      </c>
      <c r="W2578">
        <v>0</v>
      </c>
      <c r="X2578">
        <v>1</v>
      </c>
      <c r="Z2578">
        <v>0</v>
      </c>
      <c r="AA2578">
        <v>9</v>
      </c>
      <c r="AB2578">
        <v>3</v>
      </c>
      <c r="AC2578">
        <v>0</v>
      </c>
      <c r="AD2578">
        <v>9</v>
      </c>
      <c r="AE2578">
        <v>0</v>
      </c>
      <c r="AF2578">
        <v>3</v>
      </c>
      <c r="AG2578">
        <v>1</v>
      </c>
      <c r="AH2578">
        <v>0</v>
      </c>
      <c r="AI2578" t="s">
        <v>906</v>
      </c>
      <c r="AJ2578">
        <v>34.140143000000002</v>
      </c>
      <c r="AK2578" t="s">
        <v>907</v>
      </c>
      <c r="AL2578">
        <v>-117.05550700000001</v>
      </c>
      <c r="AM2578">
        <v>100</v>
      </c>
      <c r="AN2578">
        <v>6900</v>
      </c>
      <c r="AO2578" t="s">
        <v>118</v>
      </c>
      <c r="AP2578">
        <v>-40</v>
      </c>
      <c r="AQ2578">
        <v>-100</v>
      </c>
      <c r="AR2578">
        <v>-1024</v>
      </c>
      <c r="AZ2578">
        <v>1200</v>
      </c>
      <c r="BA2578">
        <v>1</v>
      </c>
      <c r="BB2578" t="str">
        <f t="shared" si="1419"/>
        <v xml:space="preserve">N9217B  </v>
      </c>
      <c r="BC2578">
        <v>1</v>
      </c>
      <c r="BE2578">
        <v>0</v>
      </c>
      <c r="BF2578">
        <v>0</v>
      </c>
      <c r="BG2578">
        <v>0</v>
      </c>
      <c r="BH2578">
        <v>6775</v>
      </c>
      <c r="BI2578">
        <v>1</v>
      </c>
      <c r="BJ2578">
        <v>0</v>
      </c>
      <c r="BK2578">
        <v>0</v>
      </c>
      <c r="BL2578">
        <v>0</v>
      </c>
      <c r="BO2578">
        <v>0</v>
      </c>
      <c r="BP2578">
        <v>0</v>
      </c>
      <c r="BW2578" t="str">
        <f t="shared" si="1426"/>
        <v>14:55:22.920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285</v>
      </c>
      <c r="CR2578">
        <v>0</v>
      </c>
      <c r="CW2578">
        <v>8867970</v>
      </c>
      <c r="CY2578">
        <v>0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25">
      <c r="A2579" t="str">
        <f t="shared" si="1424"/>
        <v>06/05/2020 14:55:17.247</v>
      </c>
      <c r="C2579" t="str">
        <f t="shared" si="1398"/>
        <v>FFDFD3C0</v>
      </c>
      <c r="D2579" t="s">
        <v>148</v>
      </c>
      <c r="E2579">
        <v>11</v>
      </c>
      <c r="H2579">
        <v>53</v>
      </c>
      <c r="I2579" t="s">
        <v>364</v>
      </c>
      <c r="J2579" t="s">
        <v>150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425"/>
        <v>14:55:22.914</v>
      </c>
      <c r="T2579" t="str">
        <f t="shared" si="1425"/>
        <v>14:55:22.914</v>
      </c>
      <c r="U2579" t="str">
        <f t="shared" si="1418"/>
        <v>ACC530</v>
      </c>
      <c r="V2579">
        <v>0</v>
      </c>
      <c r="W2579">
        <v>0</v>
      </c>
      <c r="X2579">
        <v>1</v>
      </c>
      <c r="Z2579">
        <v>0</v>
      </c>
      <c r="AA2579">
        <v>9</v>
      </c>
      <c r="AB2579">
        <v>3</v>
      </c>
      <c r="AC2579">
        <v>0</v>
      </c>
      <c r="AD2579">
        <v>9</v>
      </c>
      <c r="AE2579">
        <v>0</v>
      </c>
      <c r="AF2579">
        <v>3</v>
      </c>
      <c r="AG2579">
        <v>1</v>
      </c>
      <c r="AH2579">
        <v>0</v>
      </c>
      <c r="AI2579" t="s">
        <v>906</v>
      </c>
      <c r="AJ2579">
        <v>34.140143000000002</v>
      </c>
      <c r="AK2579" t="s">
        <v>907</v>
      </c>
      <c r="AL2579">
        <v>-117.05550700000001</v>
      </c>
      <c r="AM2579">
        <v>100</v>
      </c>
      <c r="AN2579">
        <v>6900</v>
      </c>
      <c r="AO2579" t="s">
        <v>118</v>
      </c>
      <c r="AP2579">
        <v>-40</v>
      </c>
      <c r="AQ2579">
        <v>-100</v>
      </c>
      <c r="AR2579">
        <v>-1024</v>
      </c>
      <c r="AZ2579">
        <v>1200</v>
      </c>
      <c r="BA2579">
        <v>1</v>
      </c>
      <c r="BB2579" t="str">
        <f t="shared" si="1419"/>
        <v xml:space="preserve">N9217B  </v>
      </c>
      <c r="BC2579">
        <v>1</v>
      </c>
      <c r="BE2579">
        <v>0</v>
      </c>
      <c r="BF2579">
        <v>0</v>
      </c>
      <c r="BG2579">
        <v>0</v>
      </c>
      <c r="BH2579">
        <v>6775</v>
      </c>
      <c r="BI2579">
        <v>1</v>
      </c>
      <c r="BJ2579">
        <v>0</v>
      </c>
      <c r="BK2579">
        <v>0</v>
      </c>
      <c r="BL2579">
        <v>0</v>
      </c>
      <c r="BO2579">
        <v>0</v>
      </c>
      <c r="BP2579">
        <v>0</v>
      </c>
      <c r="BW2579" t="str">
        <f t="shared" si="1426"/>
        <v>14:55:22.920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285</v>
      </c>
      <c r="CR2579">
        <v>0</v>
      </c>
      <c r="CW2579">
        <v>8867970</v>
      </c>
      <c r="CY2579">
        <v>0</v>
      </c>
      <c r="CZ2579">
        <v>0</v>
      </c>
      <c r="DA2579">
        <v>1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25">
      <c r="A2580" t="str">
        <f t="shared" si="1424"/>
        <v>06/05/2020 14:55:17.247</v>
      </c>
      <c r="C2580" t="str">
        <f t="shared" si="1398"/>
        <v>FFDFD3C0</v>
      </c>
      <c r="D2580" t="s">
        <v>148</v>
      </c>
      <c r="E2580">
        <v>8</v>
      </c>
      <c r="H2580">
        <v>50</v>
      </c>
      <c r="I2580" t="s">
        <v>149</v>
      </c>
      <c r="J2580" t="s">
        <v>150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425"/>
        <v>14:55:22.914</v>
      </c>
      <c r="T2580" t="str">
        <f t="shared" si="1425"/>
        <v>14:55:22.914</v>
      </c>
      <c r="U2580" t="str">
        <f t="shared" si="1418"/>
        <v>ACC530</v>
      </c>
      <c r="V2580">
        <v>0</v>
      </c>
      <c r="W2580">
        <v>0</v>
      </c>
      <c r="X2580">
        <v>1</v>
      </c>
      <c r="Z2580">
        <v>0</v>
      </c>
      <c r="AA2580">
        <v>9</v>
      </c>
      <c r="AB2580">
        <v>3</v>
      </c>
      <c r="AC2580">
        <v>0</v>
      </c>
      <c r="AD2580">
        <v>9</v>
      </c>
      <c r="AE2580">
        <v>0</v>
      </c>
      <c r="AF2580">
        <v>3</v>
      </c>
      <c r="AG2580">
        <v>1</v>
      </c>
      <c r="AH2580">
        <v>0</v>
      </c>
      <c r="AI2580" t="s">
        <v>906</v>
      </c>
      <c r="AJ2580">
        <v>34.140143000000002</v>
      </c>
      <c r="AK2580" t="s">
        <v>907</v>
      </c>
      <c r="AL2580">
        <v>-117.05550700000001</v>
      </c>
      <c r="AM2580">
        <v>100</v>
      </c>
      <c r="AN2580">
        <v>6900</v>
      </c>
      <c r="AO2580" t="s">
        <v>118</v>
      </c>
      <c r="AP2580">
        <v>-40</v>
      </c>
      <c r="AQ2580">
        <v>-100</v>
      </c>
      <c r="AR2580">
        <v>-1024</v>
      </c>
      <c r="AZ2580">
        <v>1200</v>
      </c>
      <c r="BA2580">
        <v>1</v>
      </c>
      <c r="BB2580" t="str">
        <f t="shared" si="1419"/>
        <v xml:space="preserve">N9217B  </v>
      </c>
      <c r="BC2580">
        <v>1</v>
      </c>
      <c r="BE2580">
        <v>0</v>
      </c>
      <c r="BF2580">
        <v>0</v>
      </c>
      <c r="BG2580">
        <v>0</v>
      </c>
      <c r="BH2580">
        <v>6775</v>
      </c>
      <c r="BI2580">
        <v>1</v>
      </c>
      <c r="BJ2580">
        <v>0</v>
      </c>
      <c r="BK2580">
        <v>0</v>
      </c>
      <c r="BL2580">
        <v>0</v>
      </c>
      <c r="BO2580">
        <v>0</v>
      </c>
      <c r="BP2580">
        <v>0</v>
      </c>
      <c r="BW2580" t="str">
        <f t="shared" si="1426"/>
        <v>14:55:22.920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285</v>
      </c>
      <c r="CR2580">
        <v>0</v>
      </c>
      <c r="CW2580">
        <v>8867970</v>
      </c>
      <c r="CY2580">
        <v>0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25">
      <c r="A2581" t="str">
        <f t="shared" si="1424"/>
        <v>06/05/2020 14:55:17.247</v>
      </c>
      <c r="C2581" t="str">
        <f t="shared" si="1398"/>
        <v>FFDFD3C0</v>
      </c>
      <c r="D2581" t="s">
        <v>134</v>
      </c>
      <c r="E2581">
        <v>7</v>
      </c>
      <c r="F2581">
        <v>2007</v>
      </c>
      <c r="G2581" t="s">
        <v>135</v>
      </c>
      <c r="J2581" t="s">
        <v>136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425"/>
        <v>14:55:22.914</v>
      </c>
      <c r="T2581" t="str">
        <f t="shared" si="1425"/>
        <v>14:55:22.914</v>
      </c>
      <c r="U2581" t="str">
        <f t="shared" si="1418"/>
        <v>ACC530</v>
      </c>
      <c r="V2581">
        <v>0</v>
      </c>
      <c r="W2581">
        <v>0</v>
      </c>
      <c r="X2581">
        <v>1</v>
      </c>
      <c r="Z2581">
        <v>0</v>
      </c>
      <c r="AA2581">
        <v>9</v>
      </c>
      <c r="AB2581">
        <v>3</v>
      </c>
      <c r="AC2581">
        <v>0</v>
      </c>
      <c r="AD2581">
        <v>9</v>
      </c>
      <c r="AE2581">
        <v>0</v>
      </c>
      <c r="AF2581">
        <v>3</v>
      </c>
      <c r="AG2581">
        <v>1</v>
      </c>
      <c r="AH2581">
        <v>0</v>
      </c>
      <c r="AI2581" t="s">
        <v>906</v>
      </c>
      <c r="AJ2581">
        <v>34.140143000000002</v>
      </c>
      <c r="AK2581" t="s">
        <v>907</v>
      </c>
      <c r="AL2581">
        <v>-117.05550700000001</v>
      </c>
      <c r="AM2581">
        <v>100</v>
      </c>
      <c r="AN2581">
        <v>6900</v>
      </c>
      <c r="AO2581" t="s">
        <v>118</v>
      </c>
      <c r="AP2581">
        <v>-40</v>
      </c>
      <c r="AQ2581">
        <v>-100</v>
      </c>
      <c r="AR2581">
        <v>-1024</v>
      </c>
      <c r="AZ2581">
        <v>1200</v>
      </c>
      <c r="BA2581">
        <v>1</v>
      </c>
      <c r="BB2581" t="str">
        <f t="shared" si="1419"/>
        <v xml:space="preserve">N9217B  </v>
      </c>
      <c r="BC2581">
        <v>1</v>
      </c>
      <c r="BE2581">
        <v>0</v>
      </c>
      <c r="BF2581">
        <v>0</v>
      </c>
      <c r="BG2581">
        <v>0</v>
      </c>
      <c r="BH2581">
        <v>6775</v>
      </c>
      <c r="BI2581">
        <v>1</v>
      </c>
      <c r="BJ2581">
        <v>0</v>
      </c>
      <c r="BK2581">
        <v>0</v>
      </c>
      <c r="BL2581">
        <v>0</v>
      </c>
      <c r="BO2581">
        <v>0</v>
      </c>
      <c r="BP2581">
        <v>0</v>
      </c>
      <c r="BW2581" t="str">
        <f t="shared" si="1426"/>
        <v>14:55:22.920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285</v>
      </c>
      <c r="CR2581">
        <v>0</v>
      </c>
      <c r="CW2581">
        <v>8867970</v>
      </c>
      <c r="CY2581">
        <v>0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25">
      <c r="A2582" t="str">
        <f t="shared" ref="A2582:A2588" si="1427">"06/05/2020 14:55:18.324"</f>
        <v>06/05/2020 14:55:18.324</v>
      </c>
      <c r="C2582" t="str">
        <f t="shared" si="1398"/>
        <v>FFDFD3C0</v>
      </c>
      <c r="D2582" t="s">
        <v>151</v>
      </c>
      <c r="E2582">
        <v>9</v>
      </c>
      <c r="H2582">
        <v>226</v>
      </c>
      <c r="I2582" t="s">
        <v>152</v>
      </c>
      <c r="J2582" t="s">
        <v>150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ref="S2582:S2588" si="1428">"14:55:23.984"</f>
        <v>14:55:23.984</v>
      </c>
      <c r="T2582" t="str">
        <f t="shared" ref="T2582:T2588" si="1429">"14:55:23.884"</f>
        <v>14:55:23.884</v>
      </c>
      <c r="U2582" t="str">
        <f t="shared" si="1418"/>
        <v>ACC530</v>
      </c>
      <c r="V2582">
        <v>0</v>
      </c>
      <c r="W2582">
        <v>0</v>
      </c>
      <c r="X2582">
        <v>1</v>
      </c>
      <c r="Z2582">
        <v>0</v>
      </c>
      <c r="AA2582">
        <v>9</v>
      </c>
      <c r="AB2582">
        <v>3</v>
      </c>
      <c r="AC2582">
        <v>0</v>
      </c>
      <c r="AD2582">
        <v>9</v>
      </c>
      <c r="AE2582">
        <v>0</v>
      </c>
      <c r="AF2582">
        <v>3</v>
      </c>
      <c r="AG2582">
        <v>1</v>
      </c>
      <c r="AH2582">
        <v>0</v>
      </c>
      <c r="AI2582" t="s">
        <v>908</v>
      </c>
      <c r="AJ2582">
        <v>34.139650000000003</v>
      </c>
      <c r="AK2582" t="s">
        <v>909</v>
      </c>
      <c r="AL2582">
        <v>-117.05574300000001</v>
      </c>
      <c r="AM2582">
        <v>100</v>
      </c>
      <c r="AN2582">
        <v>6800</v>
      </c>
      <c r="AO2582" t="s">
        <v>118</v>
      </c>
      <c r="AP2582">
        <v>-39</v>
      </c>
      <c r="AQ2582">
        <v>-100</v>
      </c>
      <c r="AR2582">
        <v>-1024</v>
      </c>
      <c r="AZ2582">
        <v>1200</v>
      </c>
      <c r="BA2582">
        <v>1</v>
      </c>
      <c r="BB2582" t="str">
        <f t="shared" si="1419"/>
        <v xml:space="preserve">N9217B  </v>
      </c>
      <c r="BC2582">
        <v>1</v>
      </c>
      <c r="BE2582">
        <v>0</v>
      </c>
      <c r="BF2582">
        <v>0</v>
      </c>
      <c r="BG2582">
        <v>0</v>
      </c>
      <c r="BH2582">
        <v>6750</v>
      </c>
      <c r="BI2582">
        <v>1</v>
      </c>
      <c r="BJ2582">
        <v>0</v>
      </c>
      <c r="BK2582">
        <v>0</v>
      </c>
      <c r="BL2582">
        <v>0</v>
      </c>
      <c r="BO2582">
        <v>0</v>
      </c>
      <c r="BP2582">
        <v>0</v>
      </c>
      <c r="BW2582" t="str">
        <f t="shared" ref="BW2582:BW2588" si="1430">"14:55:23.985"</f>
        <v>14:55:23.985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285</v>
      </c>
      <c r="CR2582">
        <v>0</v>
      </c>
      <c r="CW2582">
        <v>8868062</v>
      </c>
      <c r="CY2582">
        <v>0</v>
      </c>
      <c r="CZ2582">
        <v>0</v>
      </c>
      <c r="DA2582">
        <v>0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25">
      <c r="A2583" t="str">
        <f t="shared" si="1427"/>
        <v>06/05/2020 14:55:18.324</v>
      </c>
      <c r="C2583" t="str">
        <f t="shared" si="1398"/>
        <v>FFDFD3C0</v>
      </c>
      <c r="D2583" t="s">
        <v>148</v>
      </c>
      <c r="E2583">
        <v>11</v>
      </c>
      <c r="H2583">
        <v>53</v>
      </c>
      <c r="I2583" t="s">
        <v>364</v>
      </c>
      <c r="J2583" t="s">
        <v>150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428"/>
        <v>14:55:23.984</v>
      </c>
      <c r="T2583" t="str">
        <f t="shared" si="1429"/>
        <v>14:55:23.884</v>
      </c>
      <c r="U2583" t="str">
        <f t="shared" si="1418"/>
        <v>ACC530</v>
      </c>
      <c r="V2583">
        <v>0</v>
      </c>
      <c r="W2583">
        <v>0</v>
      </c>
      <c r="X2583">
        <v>1</v>
      </c>
      <c r="Z2583">
        <v>0</v>
      </c>
      <c r="AA2583">
        <v>9</v>
      </c>
      <c r="AB2583">
        <v>3</v>
      </c>
      <c r="AC2583">
        <v>0</v>
      </c>
      <c r="AD2583">
        <v>9</v>
      </c>
      <c r="AE2583">
        <v>0</v>
      </c>
      <c r="AF2583">
        <v>3</v>
      </c>
      <c r="AG2583">
        <v>1</v>
      </c>
      <c r="AH2583">
        <v>0</v>
      </c>
      <c r="AI2583" t="s">
        <v>908</v>
      </c>
      <c r="AJ2583">
        <v>34.139650000000003</v>
      </c>
      <c r="AK2583" t="s">
        <v>909</v>
      </c>
      <c r="AL2583">
        <v>-117.05574300000001</v>
      </c>
      <c r="AM2583">
        <v>100</v>
      </c>
      <c r="AN2583">
        <v>6800</v>
      </c>
      <c r="AO2583" t="s">
        <v>118</v>
      </c>
      <c r="AP2583">
        <v>-39</v>
      </c>
      <c r="AQ2583">
        <v>-100</v>
      </c>
      <c r="AR2583">
        <v>-1024</v>
      </c>
      <c r="AZ2583">
        <v>1200</v>
      </c>
      <c r="BA2583">
        <v>1</v>
      </c>
      <c r="BB2583" t="str">
        <f t="shared" si="1419"/>
        <v xml:space="preserve">N9217B  </v>
      </c>
      <c r="BC2583">
        <v>1</v>
      </c>
      <c r="BE2583">
        <v>0</v>
      </c>
      <c r="BF2583">
        <v>0</v>
      </c>
      <c r="BG2583">
        <v>0</v>
      </c>
      <c r="BH2583">
        <v>6750</v>
      </c>
      <c r="BI2583">
        <v>1</v>
      </c>
      <c r="BJ2583">
        <v>0</v>
      </c>
      <c r="BK2583">
        <v>0</v>
      </c>
      <c r="BL2583">
        <v>0</v>
      </c>
      <c r="BO2583">
        <v>0</v>
      </c>
      <c r="BP2583">
        <v>0</v>
      </c>
      <c r="BW2583" t="str">
        <f t="shared" si="1430"/>
        <v>14:55:23.985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285</v>
      </c>
      <c r="CR2583">
        <v>0</v>
      </c>
      <c r="CW2583">
        <v>8868062</v>
      </c>
      <c r="CY2583">
        <v>0</v>
      </c>
      <c r="CZ2583">
        <v>0</v>
      </c>
      <c r="DA2583">
        <v>1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25">
      <c r="A2584" t="str">
        <f t="shared" si="1427"/>
        <v>06/05/2020 14:55:18.324</v>
      </c>
      <c r="C2584" t="str">
        <f t="shared" si="1398"/>
        <v>FFDFD3C0</v>
      </c>
      <c r="D2584" t="s">
        <v>134</v>
      </c>
      <c r="E2584">
        <v>7</v>
      </c>
      <c r="F2584">
        <v>2007</v>
      </c>
      <c r="G2584" t="s">
        <v>135</v>
      </c>
      <c r="J2584" t="s">
        <v>136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428"/>
        <v>14:55:23.984</v>
      </c>
      <c r="T2584" t="str">
        <f t="shared" si="1429"/>
        <v>14:55:23.884</v>
      </c>
      <c r="U2584" t="str">
        <f t="shared" si="1418"/>
        <v>ACC530</v>
      </c>
      <c r="V2584">
        <v>0</v>
      </c>
      <c r="W2584">
        <v>0</v>
      </c>
      <c r="X2584">
        <v>1</v>
      </c>
      <c r="Z2584">
        <v>0</v>
      </c>
      <c r="AA2584">
        <v>9</v>
      </c>
      <c r="AB2584">
        <v>3</v>
      </c>
      <c r="AC2584">
        <v>0</v>
      </c>
      <c r="AD2584">
        <v>9</v>
      </c>
      <c r="AE2584">
        <v>0</v>
      </c>
      <c r="AF2584">
        <v>3</v>
      </c>
      <c r="AG2584">
        <v>1</v>
      </c>
      <c r="AH2584">
        <v>0</v>
      </c>
      <c r="AI2584" t="s">
        <v>908</v>
      </c>
      <c r="AJ2584">
        <v>34.139650000000003</v>
      </c>
      <c r="AK2584" t="s">
        <v>909</v>
      </c>
      <c r="AL2584">
        <v>-117.05574300000001</v>
      </c>
      <c r="AM2584">
        <v>100</v>
      </c>
      <c r="AN2584">
        <v>6800</v>
      </c>
      <c r="AO2584" t="s">
        <v>118</v>
      </c>
      <c r="AP2584">
        <v>-39</v>
      </c>
      <c r="AQ2584">
        <v>-100</v>
      </c>
      <c r="AR2584">
        <v>-1024</v>
      </c>
      <c r="AZ2584">
        <v>1200</v>
      </c>
      <c r="BA2584">
        <v>1</v>
      </c>
      <c r="BB2584" t="str">
        <f t="shared" si="1419"/>
        <v xml:space="preserve">N9217B  </v>
      </c>
      <c r="BC2584">
        <v>1</v>
      </c>
      <c r="BE2584">
        <v>0</v>
      </c>
      <c r="BF2584">
        <v>0</v>
      </c>
      <c r="BG2584">
        <v>0</v>
      </c>
      <c r="BH2584">
        <v>6750</v>
      </c>
      <c r="BI2584">
        <v>1</v>
      </c>
      <c r="BJ2584">
        <v>0</v>
      </c>
      <c r="BK2584">
        <v>0</v>
      </c>
      <c r="BL2584">
        <v>0</v>
      </c>
      <c r="BO2584">
        <v>0</v>
      </c>
      <c r="BP2584">
        <v>0</v>
      </c>
      <c r="BW2584" t="str">
        <f t="shared" si="1430"/>
        <v>14:55:23.985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285</v>
      </c>
      <c r="CR2584">
        <v>0</v>
      </c>
      <c r="CW2584">
        <v>8868062</v>
      </c>
      <c r="CY2584">
        <v>0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25">
      <c r="A2585" t="str">
        <f t="shared" si="1427"/>
        <v>06/05/2020 14:55:18.324</v>
      </c>
      <c r="C2585" t="str">
        <f t="shared" si="1398"/>
        <v>FFDFD3C0</v>
      </c>
      <c r="D2585" t="s">
        <v>148</v>
      </c>
      <c r="E2585">
        <v>8</v>
      </c>
      <c r="H2585">
        <v>50</v>
      </c>
      <c r="I2585" t="s">
        <v>149</v>
      </c>
      <c r="J2585" t="s">
        <v>150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428"/>
        <v>14:55:23.984</v>
      </c>
      <c r="T2585" t="str">
        <f t="shared" si="1429"/>
        <v>14:55:23.884</v>
      </c>
      <c r="U2585" t="str">
        <f t="shared" si="1418"/>
        <v>ACC530</v>
      </c>
      <c r="V2585">
        <v>0</v>
      </c>
      <c r="W2585">
        <v>0</v>
      </c>
      <c r="X2585">
        <v>1</v>
      </c>
      <c r="Z2585">
        <v>0</v>
      </c>
      <c r="AA2585">
        <v>9</v>
      </c>
      <c r="AB2585">
        <v>3</v>
      </c>
      <c r="AC2585">
        <v>0</v>
      </c>
      <c r="AD2585">
        <v>9</v>
      </c>
      <c r="AE2585">
        <v>0</v>
      </c>
      <c r="AF2585">
        <v>3</v>
      </c>
      <c r="AG2585">
        <v>1</v>
      </c>
      <c r="AH2585">
        <v>0</v>
      </c>
      <c r="AI2585" t="s">
        <v>908</v>
      </c>
      <c r="AJ2585">
        <v>34.139650000000003</v>
      </c>
      <c r="AK2585" t="s">
        <v>909</v>
      </c>
      <c r="AL2585">
        <v>-117.05574300000001</v>
      </c>
      <c r="AM2585">
        <v>100</v>
      </c>
      <c r="AN2585">
        <v>6800</v>
      </c>
      <c r="AO2585" t="s">
        <v>118</v>
      </c>
      <c r="AP2585">
        <v>-39</v>
      </c>
      <c r="AQ2585">
        <v>-100</v>
      </c>
      <c r="AR2585">
        <v>-1024</v>
      </c>
      <c r="AZ2585">
        <v>1200</v>
      </c>
      <c r="BA2585">
        <v>1</v>
      </c>
      <c r="BB2585" t="str">
        <f t="shared" si="1419"/>
        <v xml:space="preserve">N9217B  </v>
      </c>
      <c r="BC2585">
        <v>1</v>
      </c>
      <c r="BE2585">
        <v>0</v>
      </c>
      <c r="BF2585">
        <v>0</v>
      </c>
      <c r="BG2585">
        <v>0</v>
      </c>
      <c r="BH2585">
        <v>6750</v>
      </c>
      <c r="BI2585">
        <v>1</v>
      </c>
      <c r="BJ2585">
        <v>0</v>
      </c>
      <c r="BK2585">
        <v>0</v>
      </c>
      <c r="BL2585">
        <v>0</v>
      </c>
      <c r="BO2585">
        <v>0</v>
      </c>
      <c r="BP2585">
        <v>0</v>
      </c>
      <c r="BW2585" t="str">
        <f t="shared" si="1430"/>
        <v>14:55:23.985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285</v>
      </c>
      <c r="CR2585">
        <v>0</v>
      </c>
      <c r="CW2585">
        <v>8868062</v>
      </c>
      <c r="CY2585">
        <v>0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25">
      <c r="A2586" t="str">
        <f t="shared" si="1427"/>
        <v>06/05/2020 14:55:18.324</v>
      </c>
      <c r="C2586" t="str">
        <f t="shared" si="1398"/>
        <v>FFDFD3C0</v>
      </c>
      <c r="D2586" t="s">
        <v>141</v>
      </c>
      <c r="E2586">
        <v>20</v>
      </c>
      <c r="F2586">
        <v>1020</v>
      </c>
      <c r="G2586" t="s">
        <v>114</v>
      </c>
      <c r="J2586" t="s">
        <v>142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428"/>
        <v>14:55:23.984</v>
      </c>
      <c r="T2586" t="str">
        <f t="shared" si="1429"/>
        <v>14:55:23.884</v>
      </c>
      <c r="U2586" t="str">
        <f t="shared" si="1418"/>
        <v>ACC530</v>
      </c>
      <c r="V2586">
        <v>0</v>
      </c>
      <c r="W2586">
        <v>0</v>
      </c>
      <c r="X2586">
        <v>1</v>
      </c>
      <c r="Z2586">
        <v>0</v>
      </c>
      <c r="AA2586">
        <v>9</v>
      </c>
      <c r="AB2586">
        <v>3</v>
      </c>
      <c r="AC2586">
        <v>0</v>
      </c>
      <c r="AD2586">
        <v>9</v>
      </c>
      <c r="AE2586">
        <v>0</v>
      </c>
      <c r="AF2586">
        <v>3</v>
      </c>
      <c r="AG2586">
        <v>1</v>
      </c>
      <c r="AH2586">
        <v>0</v>
      </c>
      <c r="AI2586" t="s">
        <v>908</v>
      </c>
      <c r="AJ2586">
        <v>34.139650000000003</v>
      </c>
      <c r="AK2586" t="s">
        <v>909</v>
      </c>
      <c r="AL2586">
        <v>-117.05574300000001</v>
      </c>
      <c r="AM2586">
        <v>100</v>
      </c>
      <c r="AN2586">
        <v>6800</v>
      </c>
      <c r="AO2586" t="s">
        <v>118</v>
      </c>
      <c r="AP2586">
        <v>-39</v>
      </c>
      <c r="AQ2586">
        <v>-100</v>
      </c>
      <c r="AR2586">
        <v>-1024</v>
      </c>
      <c r="AZ2586">
        <v>1200</v>
      </c>
      <c r="BA2586">
        <v>1</v>
      </c>
      <c r="BB2586" t="str">
        <f t="shared" si="1419"/>
        <v xml:space="preserve">N9217B  </v>
      </c>
      <c r="BC2586">
        <v>1</v>
      </c>
      <c r="BE2586">
        <v>0</v>
      </c>
      <c r="BF2586">
        <v>0</v>
      </c>
      <c r="BG2586">
        <v>0</v>
      </c>
      <c r="BH2586">
        <v>6750</v>
      </c>
      <c r="BI2586">
        <v>1</v>
      </c>
      <c r="BJ2586">
        <v>0</v>
      </c>
      <c r="BK2586">
        <v>0</v>
      </c>
      <c r="BL2586">
        <v>0</v>
      </c>
      <c r="BO2586">
        <v>0</v>
      </c>
      <c r="BP2586">
        <v>0</v>
      </c>
      <c r="BW2586" t="str">
        <f t="shared" si="1430"/>
        <v>14:55:23.985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285</v>
      </c>
      <c r="CR2586">
        <v>0</v>
      </c>
      <c r="CW2586">
        <v>8868062</v>
      </c>
      <c r="CY2586">
        <v>0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25">
      <c r="A2587" t="str">
        <f t="shared" si="1427"/>
        <v>06/05/2020 14:55:18.324</v>
      </c>
      <c r="C2587" t="str">
        <f t="shared" si="1398"/>
        <v>FFDFD3C0</v>
      </c>
      <c r="D2587" t="s">
        <v>151</v>
      </c>
      <c r="E2587">
        <v>8</v>
      </c>
      <c r="H2587">
        <v>225</v>
      </c>
      <c r="I2587" t="s">
        <v>353</v>
      </c>
      <c r="J2587" t="s">
        <v>150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1428"/>
        <v>14:55:23.984</v>
      </c>
      <c r="T2587" t="str">
        <f t="shared" si="1429"/>
        <v>14:55:23.884</v>
      </c>
      <c r="U2587" t="str">
        <f t="shared" si="1418"/>
        <v>ACC530</v>
      </c>
      <c r="V2587">
        <v>0</v>
      </c>
      <c r="W2587">
        <v>0</v>
      </c>
      <c r="X2587">
        <v>1</v>
      </c>
      <c r="Z2587">
        <v>0</v>
      </c>
      <c r="AA2587">
        <v>9</v>
      </c>
      <c r="AB2587">
        <v>3</v>
      </c>
      <c r="AC2587">
        <v>0</v>
      </c>
      <c r="AD2587">
        <v>9</v>
      </c>
      <c r="AE2587">
        <v>0</v>
      </c>
      <c r="AF2587">
        <v>3</v>
      </c>
      <c r="AG2587">
        <v>1</v>
      </c>
      <c r="AH2587">
        <v>0</v>
      </c>
      <c r="AI2587" t="s">
        <v>908</v>
      </c>
      <c r="AJ2587">
        <v>34.139650000000003</v>
      </c>
      <c r="AK2587" t="s">
        <v>909</v>
      </c>
      <c r="AL2587">
        <v>-117.05574300000001</v>
      </c>
      <c r="AM2587">
        <v>100</v>
      </c>
      <c r="AN2587">
        <v>6800</v>
      </c>
      <c r="AO2587" t="s">
        <v>118</v>
      </c>
      <c r="AP2587">
        <v>-39</v>
      </c>
      <c r="AQ2587">
        <v>-100</v>
      </c>
      <c r="AR2587">
        <v>-1024</v>
      </c>
      <c r="AZ2587">
        <v>1200</v>
      </c>
      <c r="BA2587">
        <v>1</v>
      </c>
      <c r="BB2587" t="str">
        <f t="shared" si="1419"/>
        <v xml:space="preserve">N9217B  </v>
      </c>
      <c r="BC2587">
        <v>1</v>
      </c>
      <c r="BE2587">
        <v>0</v>
      </c>
      <c r="BF2587">
        <v>0</v>
      </c>
      <c r="BG2587">
        <v>0</v>
      </c>
      <c r="BH2587">
        <v>6750</v>
      </c>
      <c r="BI2587">
        <v>1</v>
      </c>
      <c r="BJ2587">
        <v>0</v>
      </c>
      <c r="BK2587">
        <v>0</v>
      </c>
      <c r="BL2587">
        <v>0</v>
      </c>
      <c r="BO2587">
        <v>0</v>
      </c>
      <c r="BP2587">
        <v>0</v>
      </c>
      <c r="BW2587" t="str">
        <f t="shared" si="1430"/>
        <v>14:55:23.985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285</v>
      </c>
      <c r="CR2587">
        <v>0</v>
      </c>
      <c r="CW2587">
        <v>8868062</v>
      </c>
      <c r="CY2587">
        <v>0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25">
      <c r="A2588" t="str">
        <f t="shared" si="1427"/>
        <v>06/05/2020 14:55:18.324</v>
      </c>
      <c r="C2588" t="str">
        <f t="shared" si="1398"/>
        <v>FFDFD3C0</v>
      </c>
      <c r="D2588" t="s">
        <v>113</v>
      </c>
      <c r="E2588">
        <v>3</v>
      </c>
      <c r="H2588">
        <v>166</v>
      </c>
      <c r="I2588" t="s">
        <v>114</v>
      </c>
      <c r="J2588" t="s">
        <v>115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428"/>
        <v>14:55:23.984</v>
      </c>
      <c r="T2588" t="str">
        <f t="shared" si="1429"/>
        <v>14:55:23.884</v>
      </c>
      <c r="U2588" t="str">
        <f t="shared" si="1418"/>
        <v>ACC530</v>
      </c>
      <c r="V2588">
        <v>0</v>
      </c>
      <c r="W2588">
        <v>0</v>
      </c>
      <c r="X2588">
        <v>1</v>
      </c>
      <c r="Z2588">
        <v>0</v>
      </c>
      <c r="AA2588">
        <v>9</v>
      </c>
      <c r="AB2588">
        <v>3</v>
      </c>
      <c r="AC2588">
        <v>0</v>
      </c>
      <c r="AD2588">
        <v>9</v>
      </c>
      <c r="AE2588">
        <v>0</v>
      </c>
      <c r="AF2588">
        <v>3</v>
      </c>
      <c r="AG2588">
        <v>1</v>
      </c>
      <c r="AH2588">
        <v>0</v>
      </c>
      <c r="AI2588" t="s">
        <v>908</v>
      </c>
      <c r="AJ2588">
        <v>34.139650000000003</v>
      </c>
      <c r="AK2588" t="s">
        <v>909</v>
      </c>
      <c r="AL2588">
        <v>-117.05574300000001</v>
      </c>
      <c r="AM2588">
        <v>100</v>
      </c>
      <c r="AN2588">
        <v>6800</v>
      </c>
      <c r="AO2588" t="s">
        <v>118</v>
      </c>
      <c r="AP2588">
        <v>-39</v>
      </c>
      <c r="AQ2588">
        <v>-100</v>
      </c>
      <c r="AR2588">
        <v>-1024</v>
      </c>
      <c r="AZ2588">
        <v>1200</v>
      </c>
      <c r="BA2588">
        <v>1</v>
      </c>
      <c r="BB2588" t="str">
        <f t="shared" si="1419"/>
        <v xml:space="preserve">N9217B  </v>
      </c>
      <c r="BC2588">
        <v>1</v>
      </c>
      <c r="BE2588">
        <v>0</v>
      </c>
      <c r="BF2588">
        <v>0</v>
      </c>
      <c r="BG2588">
        <v>0</v>
      </c>
      <c r="BH2588">
        <v>6750</v>
      </c>
      <c r="BI2588">
        <v>1</v>
      </c>
      <c r="BJ2588">
        <v>0</v>
      </c>
      <c r="BK2588">
        <v>0</v>
      </c>
      <c r="BL2588">
        <v>0</v>
      </c>
      <c r="BO2588">
        <v>0</v>
      </c>
      <c r="BP2588">
        <v>0</v>
      </c>
      <c r="BW2588" t="str">
        <f t="shared" si="1430"/>
        <v>14:55:23.985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285</v>
      </c>
      <c r="CR2588">
        <v>0</v>
      </c>
      <c r="CW2588">
        <v>8868062</v>
      </c>
      <c r="CY2588">
        <v>0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25">
      <c r="A2589" t="str">
        <f t="shared" ref="A2589:A2595" si="1431">"06/05/2020 14:55:19.198"</f>
        <v>06/05/2020 14:55:19.198</v>
      </c>
      <c r="C2589" t="str">
        <f t="shared" si="1398"/>
        <v>FFDFD3C0</v>
      </c>
      <c r="D2589" t="s">
        <v>148</v>
      </c>
      <c r="E2589">
        <v>11</v>
      </c>
      <c r="H2589">
        <v>53</v>
      </c>
      <c r="I2589" t="s">
        <v>364</v>
      </c>
      <c r="J2589" t="s">
        <v>150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ref="S2589:T2595" si="1432">"14:55:24.836"</f>
        <v>14:55:24.836</v>
      </c>
      <c r="T2589" t="str">
        <f t="shared" si="1432"/>
        <v>14:55:24.836</v>
      </c>
      <c r="U2589" t="str">
        <f t="shared" si="1418"/>
        <v>ACC530</v>
      </c>
      <c r="V2589">
        <v>0</v>
      </c>
      <c r="W2589">
        <v>0</v>
      </c>
      <c r="X2589">
        <v>1</v>
      </c>
      <c r="Z2589">
        <v>0</v>
      </c>
      <c r="AA2589">
        <v>9</v>
      </c>
      <c r="AB2589">
        <v>3</v>
      </c>
      <c r="AC2589">
        <v>0</v>
      </c>
      <c r="AD2589">
        <v>9</v>
      </c>
      <c r="AE2589">
        <v>0</v>
      </c>
      <c r="AF2589">
        <v>3</v>
      </c>
      <c r="AG2589">
        <v>1</v>
      </c>
      <c r="AH2589">
        <v>0</v>
      </c>
      <c r="AI2589" t="s">
        <v>910</v>
      </c>
      <c r="AJ2589">
        <v>34.139285000000001</v>
      </c>
      <c r="AK2589" t="s">
        <v>911</v>
      </c>
      <c r="AL2589">
        <v>-117.055914</v>
      </c>
      <c r="AM2589">
        <v>100</v>
      </c>
      <c r="AN2589">
        <v>6800</v>
      </c>
      <c r="AO2589" t="s">
        <v>118</v>
      </c>
      <c r="AP2589">
        <v>-37</v>
      </c>
      <c r="AQ2589">
        <v>-101</v>
      </c>
      <c r="AR2589">
        <v>-1024</v>
      </c>
      <c r="AZ2589">
        <v>1200</v>
      </c>
      <c r="BA2589">
        <v>1</v>
      </c>
      <c r="BB2589" t="str">
        <f t="shared" si="1419"/>
        <v xml:space="preserve">N9217B  </v>
      </c>
      <c r="BC2589">
        <v>1</v>
      </c>
      <c r="BE2589">
        <v>0</v>
      </c>
      <c r="BF2589">
        <v>0</v>
      </c>
      <c r="BG2589">
        <v>0</v>
      </c>
      <c r="BH2589">
        <v>6725</v>
      </c>
      <c r="BI2589">
        <v>1</v>
      </c>
      <c r="BJ2589">
        <v>0</v>
      </c>
      <c r="BK2589">
        <v>0</v>
      </c>
      <c r="BL2589">
        <v>0</v>
      </c>
      <c r="BO2589">
        <v>0</v>
      </c>
      <c r="BP2589">
        <v>0</v>
      </c>
      <c r="BW2589" t="str">
        <f t="shared" ref="BW2589:BW2595" si="1433">"14:55:24.840"</f>
        <v>14:55:24.840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285</v>
      </c>
      <c r="CR2589">
        <v>0</v>
      </c>
      <c r="CW2589">
        <v>8868133</v>
      </c>
      <c r="CY2589">
        <v>0</v>
      </c>
      <c r="CZ2589">
        <v>0</v>
      </c>
      <c r="DA2589">
        <v>0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25">
      <c r="A2590" t="str">
        <f t="shared" si="1431"/>
        <v>06/05/2020 14:55:19.198</v>
      </c>
      <c r="C2590" t="str">
        <f t="shared" si="1398"/>
        <v>FFDFD3C0</v>
      </c>
      <c r="D2590" t="s">
        <v>134</v>
      </c>
      <c r="E2590">
        <v>7</v>
      </c>
      <c r="F2590">
        <v>2007</v>
      </c>
      <c r="G2590" t="s">
        <v>135</v>
      </c>
      <c r="J2590" t="s">
        <v>136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432"/>
        <v>14:55:24.836</v>
      </c>
      <c r="T2590" t="str">
        <f t="shared" si="1432"/>
        <v>14:55:24.836</v>
      </c>
      <c r="U2590" t="str">
        <f t="shared" si="1418"/>
        <v>ACC530</v>
      </c>
      <c r="V2590">
        <v>0</v>
      </c>
      <c r="W2590">
        <v>0</v>
      </c>
      <c r="X2590">
        <v>1</v>
      </c>
      <c r="Z2590">
        <v>0</v>
      </c>
      <c r="AA2590">
        <v>9</v>
      </c>
      <c r="AB2590">
        <v>3</v>
      </c>
      <c r="AC2590">
        <v>0</v>
      </c>
      <c r="AD2590">
        <v>9</v>
      </c>
      <c r="AE2590">
        <v>0</v>
      </c>
      <c r="AF2590">
        <v>3</v>
      </c>
      <c r="AG2590">
        <v>1</v>
      </c>
      <c r="AH2590">
        <v>0</v>
      </c>
      <c r="AI2590" t="s">
        <v>910</v>
      </c>
      <c r="AJ2590">
        <v>34.139285000000001</v>
      </c>
      <c r="AK2590" t="s">
        <v>911</v>
      </c>
      <c r="AL2590">
        <v>-117.055914</v>
      </c>
      <c r="AM2590">
        <v>100</v>
      </c>
      <c r="AN2590">
        <v>6800</v>
      </c>
      <c r="AO2590" t="s">
        <v>118</v>
      </c>
      <c r="AP2590">
        <v>-37</v>
      </c>
      <c r="AQ2590">
        <v>-101</v>
      </c>
      <c r="AR2590">
        <v>-1024</v>
      </c>
      <c r="AZ2590">
        <v>1200</v>
      </c>
      <c r="BA2590">
        <v>1</v>
      </c>
      <c r="BB2590" t="str">
        <f t="shared" si="1419"/>
        <v xml:space="preserve">N9217B  </v>
      </c>
      <c r="BC2590">
        <v>1</v>
      </c>
      <c r="BE2590">
        <v>0</v>
      </c>
      <c r="BF2590">
        <v>0</v>
      </c>
      <c r="BG2590">
        <v>0</v>
      </c>
      <c r="BH2590">
        <v>6725</v>
      </c>
      <c r="BI2590">
        <v>1</v>
      </c>
      <c r="BJ2590">
        <v>0</v>
      </c>
      <c r="BK2590">
        <v>0</v>
      </c>
      <c r="BL2590">
        <v>0</v>
      </c>
      <c r="BO2590">
        <v>0</v>
      </c>
      <c r="BP2590">
        <v>0</v>
      </c>
      <c r="BW2590" t="str">
        <f t="shared" si="1433"/>
        <v>14:55:24.840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285</v>
      </c>
      <c r="CR2590">
        <v>0</v>
      </c>
      <c r="CW2590">
        <v>8868133</v>
      </c>
      <c r="CY2590">
        <v>0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25">
      <c r="A2591" t="str">
        <f t="shared" si="1431"/>
        <v>06/05/2020 14:55:19.198</v>
      </c>
      <c r="C2591" t="str">
        <f t="shared" si="1398"/>
        <v>FFDFD3C0</v>
      </c>
      <c r="D2591" t="s">
        <v>148</v>
      </c>
      <c r="E2591">
        <v>8</v>
      </c>
      <c r="H2591">
        <v>50</v>
      </c>
      <c r="I2591" t="s">
        <v>149</v>
      </c>
      <c r="J2591" t="s">
        <v>150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432"/>
        <v>14:55:24.836</v>
      </c>
      <c r="T2591" t="str">
        <f t="shared" si="1432"/>
        <v>14:55:24.836</v>
      </c>
      <c r="U2591" t="str">
        <f t="shared" si="1418"/>
        <v>ACC530</v>
      </c>
      <c r="V2591">
        <v>0</v>
      </c>
      <c r="W2591">
        <v>0</v>
      </c>
      <c r="X2591">
        <v>1</v>
      </c>
      <c r="Z2591">
        <v>0</v>
      </c>
      <c r="AA2591">
        <v>9</v>
      </c>
      <c r="AB2591">
        <v>3</v>
      </c>
      <c r="AC2591">
        <v>0</v>
      </c>
      <c r="AD2591">
        <v>9</v>
      </c>
      <c r="AE2591">
        <v>0</v>
      </c>
      <c r="AF2591">
        <v>3</v>
      </c>
      <c r="AG2591">
        <v>1</v>
      </c>
      <c r="AH2591">
        <v>0</v>
      </c>
      <c r="AI2591" t="s">
        <v>910</v>
      </c>
      <c r="AJ2591">
        <v>34.139285000000001</v>
      </c>
      <c r="AK2591" t="s">
        <v>911</v>
      </c>
      <c r="AL2591">
        <v>-117.055914</v>
      </c>
      <c r="AM2591">
        <v>100</v>
      </c>
      <c r="AN2591">
        <v>6800</v>
      </c>
      <c r="AO2591" t="s">
        <v>118</v>
      </c>
      <c r="AP2591">
        <v>-37</v>
      </c>
      <c r="AQ2591">
        <v>-101</v>
      </c>
      <c r="AR2591">
        <v>-1024</v>
      </c>
      <c r="AZ2591">
        <v>1200</v>
      </c>
      <c r="BA2591">
        <v>1</v>
      </c>
      <c r="BB2591" t="str">
        <f t="shared" si="1419"/>
        <v xml:space="preserve">N9217B  </v>
      </c>
      <c r="BC2591">
        <v>1</v>
      </c>
      <c r="BE2591">
        <v>0</v>
      </c>
      <c r="BF2591">
        <v>0</v>
      </c>
      <c r="BG2591">
        <v>0</v>
      </c>
      <c r="BH2591">
        <v>6725</v>
      </c>
      <c r="BI2591">
        <v>1</v>
      </c>
      <c r="BJ2591">
        <v>0</v>
      </c>
      <c r="BK2591">
        <v>0</v>
      </c>
      <c r="BL2591">
        <v>0</v>
      </c>
      <c r="BO2591">
        <v>0</v>
      </c>
      <c r="BP2591">
        <v>0</v>
      </c>
      <c r="BW2591" t="str">
        <f t="shared" si="1433"/>
        <v>14:55:24.840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285</v>
      </c>
      <c r="CR2591">
        <v>0</v>
      </c>
      <c r="CW2591">
        <v>8868133</v>
      </c>
      <c r="CY2591">
        <v>0</v>
      </c>
      <c r="CZ2591">
        <v>0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25">
      <c r="A2592" t="str">
        <f t="shared" si="1431"/>
        <v>06/05/2020 14:55:19.198</v>
      </c>
      <c r="C2592" t="str">
        <f t="shared" si="1398"/>
        <v>FFDFD3C0</v>
      </c>
      <c r="D2592" t="s">
        <v>141</v>
      </c>
      <c r="E2592">
        <v>20</v>
      </c>
      <c r="F2592">
        <v>1020</v>
      </c>
      <c r="G2592" t="s">
        <v>114</v>
      </c>
      <c r="J2592" t="s">
        <v>142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432"/>
        <v>14:55:24.836</v>
      </c>
      <c r="T2592" t="str">
        <f t="shared" si="1432"/>
        <v>14:55:24.836</v>
      </c>
      <c r="U2592" t="str">
        <f t="shared" si="1418"/>
        <v>ACC530</v>
      </c>
      <c r="V2592">
        <v>0</v>
      </c>
      <c r="W2592">
        <v>0</v>
      </c>
      <c r="X2592">
        <v>1</v>
      </c>
      <c r="Z2592">
        <v>0</v>
      </c>
      <c r="AA2592">
        <v>9</v>
      </c>
      <c r="AB2592">
        <v>3</v>
      </c>
      <c r="AC2592">
        <v>0</v>
      </c>
      <c r="AD2592">
        <v>9</v>
      </c>
      <c r="AE2592">
        <v>0</v>
      </c>
      <c r="AF2592">
        <v>3</v>
      </c>
      <c r="AG2592">
        <v>1</v>
      </c>
      <c r="AH2592">
        <v>0</v>
      </c>
      <c r="AI2592" t="s">
        <v>910</v>
      </c>
      <c r="AJ2592">
        <v>34.139285000000001</v>
      </c>
      <c r="AK2592" t="s">
        <v>911</v>
      </c>
      <c r="AL2592">
        <v>-117.055914</v>
      </c>
      <c r="AM2592">
        <v>100</v>
      </c>
      <c r="AN2592">
        <v>6800</v>
      </c>
      <c r="AO2592" t="s">
        <v>118</v>
      </c>
      <c r="AP2592">
        <v>-37</v>
      </c>
      <c r="AQ2592">
        <v>-101</v>
      </c>
      <c r="AR2592">
        <v>-1024</v>
      </c>
      <c r="AZ2592">
        <v>1200</v>
      </c>
      <c r="BA2592">
        <v>1</v>
      </c>
      <c r="BB2592" t="str">
        <f t="shared" si="1419"/>
        <v xml:space="preserve">N9217B  </v>
      </c>
      <c r="BC2592">
        <v>1</v>
      </c>
      <c r="BE2592">
        <v>0</v>
      </c>
      <c r="BF2592">
        <v>0</v>
      </c>
      <c r="BG2592">
        <v>0</v>
      </c>
      <c r="BH2592">
        <v>6725</v>
      </c>
      <c r="BI2592">
        <v>1</v>
      </c>
      <c r="BJ2592">
        <v>0</v>
      </c>
      <c r="BK2592">
        <v>0</v>
      </c>
      <c r="BL2592">
        <v>0</v>
      </c>
      <c r="BO2592">
        <v>0</v>
      </c>
      <c r="BP2592">
        <v>0</v>
      </c>
      <c r="BW2592" t="str">
        <f t="shared" si="1433"/>
        <v>14:55:24.840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285</v>
      </c>
      <c r="CR2592">
        <v>0</v>
      </c>
      <c r="CW2592">
        <v>8868133</v>
      </c>
      <c r="CY2592">
        <v>0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25">
      <c r="A2593" t="str">
        <f t="shared" si="1431"/>
        <v>06/05/2020 14:55:19.198</v>
      </c>
      <c r="C2593" t="str">
        <f t="shared" si="1398"/>
        <v>FFDFD3C0</v>
      </c>
      <c r="D2593" t="s">
        <v>113</v>
      </c>
      <c r="E2593">
        <v>3</v>
      </c>
      <c r="H2593">
        <v>166</v>
      </c>
      <c r="I2593" t="s">
        <v>114</v>
      </c>
      <c r="J2593" t="s">
        <v>115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432"/>
        <v>14:55:24.836</v>
      </c>
      <c r="T2593" t="str">
        <f t="shared" si="1432"/>
        <v>14:55:24.836</v>
      </c>
      <c r="U2593" t="str">
        <f t="shared" si="1418"/>
        <v>ACC530</v>
      </c>
      <c r="V2593">
        <v>0</v>
      </c>
      <c r="W2593">
        <v>0</v>
      </c>
      <c r="X2593">
        <v>1</v>
      </c>
      <c r="Z2593">
        <v>0</v>
      </c>
      <c r="AA2593">
        <v>9</v>
      </c>
      <c r="AB2593">
        <v>3</v>
      </c>
      <c r="AC2593">
        <v>0</v>
      </c>
      <c r="AD2593">
        <v>9</v>
      </c>
      <c r="AE2593">
        <v>0</v>
      </c>
      <c r="AF2593">
        <v>3</v>
      </c>
      <c r="AG2593">
        <v>1</v>
      </c>
      <c r="AH2593">
        <v>0</v>
      </c>
      <c r="AI2593" t="s">
        <v>910</v>
      </c>
      <c r="AJ2593">
        <v>34.139285000000001</v>
      </c>
      <c r="AK2593" t="s">
        <v>911</v>
      </c>
      <c r="AL2593">
        <v>-117.055914</v>
      </c>
      <c r="AM2593">
        <v>100</v>
      </c>
      <c r="AN2593">
        <v>6800</v>
      </c>
      <c r="AO2593" t="s">
        <v>118</v>
      </c>
      <c r="AP2593">
        <v>-37</v>
      </c>
      <c r="AQ2593">
        <v>-101</v>
      </c>
      <c r="AR2593">
        <v>-1024</v>
      </c>
      <c r="AZ2593">
        <v>1200</v>
      </c>
      <c r="BA2593">
        <v>1</v>
      </c>
      <c r="BB2593" t="str">
        <f t="shared" si="1419"/>
        <v xml:space="preserve">N9217B  </v>
      </c>
      <c r="BC2593">
        <v>1</v>
      </c>
      <c r="BE2593">
        <v>0</v>
      </c>
      <c r="BF2593">
        <v>0</v>
      </c>
      <c r="BG2593">
        <v>0</v>
      </c>
      <c r="BH2593">
        <v>6725</v>
      </c>
      <c r="BI2593">
        <v>1</v>
      </c>
      <c r="BJ2593">
        <v>0</v>
      </c>
      <c r="BK2593">
        <v>0</v>
      </c>
      <c r="BL2593">
        <v>0</v>
      </c>
      <c r="BO2593">
        <v>0</v>
      </c>
      <c r="BP2593">
        <v>0</v>
      </c>
      <c r="BW2593" t="str">
        <f t="shared" si="1433"/>
        <v>14:55:24.840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285</v>
      </c>
      <c r="CR2593">
        <v>0</v>
      </c>
      <c r="CW2593">
        <v>8868133</v>
      </c>
      <c r="CY2593">
        <v>0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25">
      <c r="A2594" t="str">
        <f t="shared" si="1431"/>
        <v>06/05/2020 14:55:19.198</v>
      </c>
      <c r="C2594" t="str">
        <f t="shared" si="1398"/>
        <v>FFDFD3C0</v>
      </c>
      <c r="D2594" t="s">
        <v>151</v>
      </c>
      <c r="E2594">
        <v>8</v>
      </c>
      <c r="H2594">
        <v>225</v>
      </c>
      <c r="I2594" t="s">
        <v>353</v>
      </c>
      <c r="J2594" t="s">
        <v>150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432"/>
        <v>14:55:24.836</v>
      </c>
      <c r="T2594" t="str">
        <f t="shared" si="1432"/>
        <v>14:55:24.836</v>
      </c>
      <c r="U2594" t="str">
        <f t="shared" si="1418"/>
        <v>ACC530</v>
      </c>
      <c r="V2594">
        <v>0</v>
      </c>
      <c r="W2594">
        <v>0</v>
      </c>
      <c r="X2594">
        <v>1</v>
      </c>
      <c r="Z2594">
        <v>0</v>
      </c>
      <c r="AA2594">
        <v>9</v>
      </c>
      <c r="AB2594">
        <v>3</v>
      </c>
      <c r="AC2594">
        <v>0</v>
      </c>
      <c r="AD2594">
        <v>9</v>
      </c>
      <c r="AE2594">
        <v>0</v>
      </c>
      <c r="AF2594">
        <v>3</v>
      </c>
      <c r="AG2594">
        <v>1</v>
      </c>
      <c r="AH2594">
        <v>0</v>
      </c>
      <c r="AI2594" t="s">
        <v>910</v>
      </c>
      <c r="AJ2594">
        <v>34.139285000000001</v>
      </c>
      <c r="AK2594" t="s">
        <v>911</v>
      </c>
      <c r="AL2594">
        <v>-117.055914</v>
      </c>
      <c r="AM2594">
        <v>100</v>
      </c>
      <c r="AN2594">
        <v>6800</v>
      </c>
      <c r="AO2594" t="s">
        <v>118</v>
      </c>
      <c r="AP2594">
        <v>-37</v>
      </c>
      <c r="AQ2594">
        <v>-101</v>
      </c>
      <c r="AR2594">
        <v>-1024</v>
      </c>
      <c r="AZ2594">
        <v>1200</v>
      </c>
      <c r="BA2594">
        <v>1</v>
      </c>
      <c r="BB2594" t="str">
        <f t="shared" si="1419"/>
        <v xml:space="preserve">N9217B  </v>
      </c>
      <c r="BC2594">
        <v>1</v>
      </c>
      <c r="BE2594">
        <v>0</v>
      </c>
      <c r="BF2594">
        <v>0</v>
      </c>
      <c r="BG2594">
        <v>0</v>
      </c>
      <c r="BH2594">
        <v>6725</v>
      </c>
      <c r="BI2594">
        <v>1</v>
      </c>
      <c r="BJ2594">
        <v>0</v>
      </c>
      <c r="BK2594">
        <v>0</v>
      </c>
      <c r="BL2594">
        <v>0</v>
      </c>
      <c r="BO2594">
        <v>0</v>
      </c>
      <c r="BP2594">
        <v>0</v>
      </c>
      <c r="BW2594" t="str">
        <f t="shared" si="1433"/>
        <v>14:55:24.840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285</v>
      </c>
      <c r="CR2594">
        <v>0</v>
      </c>
      <c r="CW2594">
        <v>8868133</v>
      </c>
      <c r="CY2594">
        <v>0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25">
      <c r="A2595" t="str">
        <f t="shared" si="1431"/>
        <v>06/05/2020 14:55:19.198</v>
      </c>
      <c r="C2595" t="str">
        <f t="shared" ref="C2595:C2658" si="1434">"FFDFD3C0"</f>
        <v>FFDFD3C0</v>
      </c>
      <c r="D2595" t="s">
        <v>151</v>
      </c>
      <c r="E2595">
        <v>9</v>
      </c>
      <c r="H2595">
        <v>226</v>
      </c>
      <c r="I2595" t="s">
        <v>152</v>
      </c>
      <c r="J2595" t="s">
        <v>150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432"/>
        <v>14:55:24.836</v>
      </c>
      <c r="T2595" t="str">
        <f t="shared" si="1432"/>
        <v>14:55:24.836</v>
      </c>
      <c r="U2595" t="str">
        <f t="shared" si="1418"/>
        <v>ACC530</v>
      </c>
      <c r="V2595">
        <v>0</v>
      </c>
      <c r="W2595">
        <v>0</v>
      </c>
      <c r="X2595">
        <v>1</v>
      </c>
      <c r="Z2595">
        <v>0</v>
      </c>
      <c r="AA2595">
        <v>9</v>
      </c>
      <c r="AB2595">
        <v>3</v>
      </c>
      <c r="AC2595">
        <v>0</v>
      </c>
      <c r="AD2595">
        <v>9</v>
      </c>
      <c r="AE2595">
        <v>0</v>
      </c>
      <c r="AF2595">
        <v>3</v>
      </c>
      <c r="AG2595">
        <v>1</v>
      </c>
      <c r="AH2595">
        <v>0</v>
      </c>
      <c r="AI2595" t="s">
        <v>910</v>
      </c>
      <c r="AJ2595">
        <v>34.139285000000001</v>
      </c>
      <c r="AK2595" t="s">
        <v>911</v>
      </c>
      <c r="AL2595">
        <v>-117.055914</v>
      </c>
      <c r="AM2595">
        <v>100</v>
      </c>
      <c r="AN2595">
        <v>6800</v>
      </c>
      <c r="AO2595" t="s">
        <v>118</v>
      </c>
      <c r="AP2595">
        <v>-37</v>
      </c>
      <c r="AQ2595">
        <v>-101</v>
      </c>
      <c r="AR2595">
        <v>-1024</v>
      </c>
      <c r="AZ2595">
        <v>1200</v>
      </c>
      <c r="BA2595">
        <v>1</v>
      </c>
      <c r="BB2595" t="str">
        <f t="shared" si="1419"/>
        <v xml:space="preserve">N9217B  </v>
      </c>
      <c r="BC2595">
        <v>1</v>
      </c>
      <c r="BE2595">
        <v>0</v>
      </c>
      <c r="BF2595">
        <v>0</v>
      </c>
      <c r="BG2595">
        <v>0</v>
      </c>
      <c r="BH2595">
        <v>6725</v>
      </c>
      <c r="BI2595">
        <v>1</v>
      </c>
      <c r="BJ2595">
        <v>0</v>
      </c>
      <c r="BK2595">
        <v>0</v>
      </c>
      <c r="BL2595">
        <v>0</v>
      </c>
      <c r="BO2595">
        <v>0</v>
      </c>
      <c r="BP2595">
        <v>0</v>
      </c>
      <c r="BW2595" t="str">
        <f t="shared" si="1433"/>
        <v>14:55:24.840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285</v>
      </c>
      <c r="CR2595">
        <v>0</v>
      </c>
      <c r="CW2595">
        <v>8868133</v>
      </c>
      <c r="CY2595">
        <v>0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25">
      <c r="A2596" t="str">
        <f t="shared" ref="A2596:A2602" si="1435">"06/05/2020 14:55:20.316"</f>
        <v>06/05/2020 14:55:20.316</v>
      </c>
      <c r="C2596" t="str">
        <f t="shared" si="1434"/>
        <v>FFDFD3C0</v>
      </c>
      <c r="D2596" t="s">
        <v>141</v>
      </c>
      <c r="E2596">
        <v>20</v>
      </c>
      <c r="F2596">
        <v>1020</v>
      </c>
      <c r="G2596" t="s">
        <v>114</v>
      </c>
      <c r="J2596" t="s">
        <v>142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ref="S2596:S2602" si="1436">"14:55:25.977"</f>
        <v>14:55:25.977</v>
      </c>
      <c r="T2596" t="str">
        <f t="shared" ref="T2596:T2602" si="1437">"14:55:25.777"</f>
        <v>14:55:25.777</v>
      </c>
      <c r="U2596" t="str">
        <f t="shared" si="1418"/>
        <v>ACC530</v>
      </c>
      <c r="V2596">
        <v>0</v>
      </c>
      <c r="W2596">
        <v>0</v>
      </c>
      <c r="X2596">
        <v>1</v>
      </c>
      <c r="Z2596">
        <v>0</v>
      </c>
      <c r="AA2596">
        <v>9</v>
      </c>
      <c r="AB2596">
        <v>3</v>
      </c>
      <c r="AC2596">
        <v>0</v>
      </c>
      <c r="AD2596">
        <v>9</v>
      </c>
      <c r="AE2596">
        <v>0</v>
      </c>
      <c r="AF2596">
        <v>3</v>
      </c>
      <c r="AG2596">
        <v>1</v>
      </c>
      <c r="AH2596">
        <v>0</v>
      </c>
      <c r="AI2596" t="s">
        <v>912</v>
      </c>
      <c r="AJ2596">
        <v>34.138727000000003</v>
      </c>
      <c r="AK2596" t="s">
        <v>913</v>
      </c>
      <c r="AL2596">
        <v>-117.05619299999999</v>
      </c>
      <c r="AM2596">
        <v>100</v>
      </c>
      <c r="AN2596">
        <v>6800</v>
      </c>
      <c r="AO2596" t="s">
        <v>118</v>
      </c>
      <c r="AP2596">
        <v>-35</v>
      </c>
      <c r="AQ2596">
        <v>-102</v>
      </c>
      <c r="AR2596">
        <v>-1024</v>
      </c>
      <c r="AZ2596">
        <v>1200</v>
      </c>
      <c r="BA2596">
        <v>1</v>
      </c>
      <c r="BB2596" t="str">
        <f t="shared" si="1419"/>
        <v xml:space="preserve">N9217B  </v>
      </c>
      <c r="BC2596">
        <v>1</v>
      </c>
      <c r="BE2596">
        <v>0</v>
      </c>
      <c r="BF2596">
        <v>0</v>
      </c>
      <c r="BG2596">
        <v>0</v>
      </c>
      <c r="BH2596">
        <v>6725</v>
      </c>
      <c r="BI2596">
        <v>1</v>
      </c>
      <c r="BJ2596">
        <v>0</v>
      </c>
      <c r="BK2596">
        <v>0</v>
      </c>
      <c r="BL2596">
        <v>0</v>
      </c>
      <c r="BO2596">
        <v>0</v>
      </c>
      <c r="BP2596">
        <v>0</v>
      </c>
      <c r="BW2596" t="str">
        <f t="shared" ref="BW2596:BW2602" si="1438">"14:55:25.980"</f>
        <v>14:55:25.980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285</v>
      </c>
      <c r="CR2596">
        <v>0</v>
      </c>
      <c r="CW2596">
        <v>8868233</v>
      </c>
      <c r="CY2596">
        <v>0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25">
      <c r="A2597" t="str">
        <f t="shared" si="1435"/>
        <v>06/05/2020 14:55:20.316</v>
      </c>
      <c r="C2597" t="str">
        <f t="shared" si="1434"/>
        <v>FFDFD3C0</v>
      </c>
      <c r="D2597" t="s">
        <v>148</v>
      </c>
      <c r="E2597">
        <v>8</v>
      </c>
      <c r="H2597">
        <v>50</v>
      </c>
      <c r="I2597" t="s">
        <v>149</v>
      </c>
      <c r="J2597" t="s">
        <v>150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436"/>
        <v>14:55:25.977</v>
      </c>
      <c r="T2597" t="str">
        <f t="shared" si="1437"/>
        <v>14:55:25.777</v>
      </c>
      <c r="U2597" t="str">
        <f t="shared" si="1418"/>
        <v>ACC530</v>
      </c>
      <c r="V2597">
        <v>0</v>
      </c>
      <c r="W2597">
        <v>0</v>
      </c>
      <c r="X2597">
        <v>1</v>
      </c>
      <c r="Z2597">
        <v>0</v>
      </c>
      <c r="AA2597">
        <v>9</v>
      </c>
      <c r="AB2597">
        <v>3</v>
      </c>
      <c r="AC2597">
        <v>0</v>
      </c>
      <c r="AD2597">
        <v>9</v>
      </c>
      <c r="AE2597">
        <v>0</v>
      </c>
      <c r="AF2597">
        <v>3</v>
      </c>
      <c r="AG2597">
        <v>1</v>
      </c>
      <c r="AH2597">
        <v>0</v>
      </c>
      <c r="AI2597" t="s">
        <v>912</v>
      </c>
      <c r="AJ2597">
        <v>34.138727000000003</v>
      </c>
      <c r="AK2597" t="s">
        <v>913</v>
      </c>
      <c r="AL2597">
        <v>-117.05619299999999</v>
      </c>
      <c r="AM2597">
        <v>100</v>
      </c>
      <c r="AN2597">
        <v>6800</v>
      </c>
      <c r="AO2597" t="s">
        <v>118</v>
      </c>
      <c r="AP2597">
        <v>-35</v>
      </c>
      <c r="AQ2597">
        <v>-102</v>
      </c>
      <c r="AR2597">
        <v>-1024</v>
      </c>
      <c r="AZ2597">
        <v>1200</v>
      </c>
      <c r="BA2597">
        <v>1</v>
      </c>
      <c r="BB2597" t="str">
        <f t="shared" si="1419"/>
        <v xml:space="preserve">N9217B  </v>
      </c>
      <c r="BC2597">
        <v>1</v>
      </c>
      <c r="BE2597">
        <v>0</v>
      </c>
      <c r="BF2597">
        <v>0</v>
      </c>
      <c r="BG2597">
        <v>0</v>
      </c>
      <c r="BH2597">
        <v>6725</v>
      </c>
      <c r="BI2597">
        <v>1</v>
      </c>
      <c r="BJ2597">
        <v>0</v>
      </c>
      <c r="BK2597">
        <v>0</v>
      </c>
      <c r="BL2597">
        <v>0</v>
      </c>
      <c r="BO2597">
        <v>0</v>
      </c>
      <c r="BP2597">
        <v>0</v>
      </c>
      <c r="BW2597" t="str">
        <f t="shared" si="1438"/>
        <v>14:55:25.980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285</v>
      </c>
      <c r="CR2597">
        <v>0</v>
      </c>
      <c r="CW2597">
        <v>8868233</v>
      </c>
      <c r="CY2597">
        <v>0</v>
      </c>
      <c r="CZ2597">
        <v>0</v>
      </c>
      <c r="DA2597">
        <v>1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25">
      <c r="A2598" t="str">
        <f t="shared" si="1435"/>
        <v>06/05/2020 14:55:20.316</v>
      </c>
      <c r="C2598" t="str">
        <f t="shared" si="1434"/>
        <v>FFDFD3C0</v>
      </c>
      <c r="D2598" t="s">
        <v>113</v>
      </c>
      <c r="E2598">
        <v>3</v>
      </c>
      <c r="H2598">
        <v>166</v>
      </c>
      <c r="I2598" t="s">
        <v>114</v>
      </c>
      <c r="J2598" t="s">
        <v>115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436"/>
        <v>14:55:25.977</v>
      </c>
      <c r="T2598" t="str">
        <f t="shared" si="1437"/>
        <v>14:55:25.777</v>
      </c>
      <c r="U2598" t="str">
        <f t="shared" si="1418"/>
        <v>ACC530</v>
      </c>
      <c r="V2598">
        <v>0</v>
      </c>
      <c r="W2598">
        <v>0</v>
      </c>
      <c r="X2598">
        <v>1</v>
      </c>
      <c r="Z2598">
        <v>0</v>
      </c>
      <c r="AA2598">
        <v>9</v>
      </c>
      <c r="AB2598">
        <v>3</v>
      </c>
      <c r="AC2598">
        <v>0</v>
      </c>
      <c r="AD2598">
        <v>9</v>
      </c>
      <c r="AE2598">
        <v>0</v>
      </c>
      <c r="AF2598">
        <v>3</v>
      </c>
      <c r="AG2598">
        <v>1</v>
      </c>
      <c r="AH2598">
        <v>0</v>
      </c>
      <c r="AI2598" t="s">
        <v>912</v>
      </c>
      <c r="AJ2598">
        <v>34.138727000000003</v>
      </c>
      <c r="AK2598" t="s">
        <v>913</v>
      </c>
      <c r="AL2598">
        <v>-117.05619299999999</v>
      </c>
      <c r="AM2598">
        <v>100</v>
      </c>
      <c r="AN2598">
        <v>6800</v>
      </c>
      <c r="AO2598" t="s">
        <v>118</v>
      </c>
      <c r="AP2598">
        <v>-35</v>
      </c>
      <c r="AQ2598">
        <v>-102</v>
      </c>
      <c r="AR2598">
        <v>-1024</v>
      </c>
      <c r="AZ2598">
        <v>1200</v>
      </c>
      <c r="BA2598">
        <v>1</v>
      </c>
      <c r="BB2598" t="str">
        <f t="shared" si="1419"/>
        <v xml:space="preserve">N9217B  </v>
      </c>
      <c r="BC2598">
        <v>1</v>
      </c>
      <c r="BE2598">
        <v>0</v>
      </c>
      <c r="BF2598">
        <v>0</v>
      </c>
      <c r="BG2598">
        <v>0</v>
      </c>
      <c r="BH2598">
        <v>6725</v>
      </c>
      <c r="BI2598">
        <v>1</v>
      </c>
      <c r="BJ2598">
        <v>0</v>
      </c>
      <c r="BK2598">
        <v>0</v>
      </c>
      <c r="BL2598">
        <v>0</v>
      </c>
      <c r="BO2598">
        <v>0</v>
      </c>
      <c r="BP2598">
        <v>0</v>
      </c>
      <c r="BW2598" t="str">
        <f t="shared" si="1438"/>
        <v>14:55:25.980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285</v>
      </c>
      <c r="CR2598">
        <v>0</v>
      </c>
      <c r="CW2598">
        <v>8868233</v>
      </c>
      <c r="CY2598">
        <v>0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25">
      <c r="A2599" t="str">
        <f t="shared" si="1435"/>
        <v>06/05/2020 14:55:20.316</v>
      </c>
      <c r="C2599" t="str">
        <f t="shared" si="1434"/>
        <v>FFDFD3C0</v>
      </c>
      <c r="D2599" t="s">
        <v>151</v>
      </c>
      <c r="E2599">
        <v>8</v>
      </c>
      <c r="H2599">
        <v>225</v>
      </c>
      <c r="I2599" t="s">
        <v>353</v>
      </c>
      <c r="J2599" t="s">
        <v>150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436"/>
        <v>14:55:25.977</v>
      </c>
      <c r="T2599" t="str">
        <f t="shared" si="1437"/>
        <v>14:55:25.777</v>
      </c>
      <c r="U2599" t="str">
        <f t="shared" si="1418"/>
        <v>ACC530</v>
      </c>
      <c r="V2599">
        <v>0</v>
      </c>
      <c r="W2599">
        <v>0</v>
      </c>
      <c r="X2599">
        <v>1</v>
      </c>
      <c r="Z2599">
        <v>0</v>
      </c>
      <c r="AA2599">
        <v>9</v>
      </c>
      <c r="AB2599">
        <v>3</v>
      </c>
      <c r="AC2599">
        <v>0</v>
      </c>
      <c r="AD2599">
        <v>9</v>
      </c>
      <c r="AE2599">
        <v>0</v>
      </c>
      <c r="AF2599">
        <v>3</v>
      </c>
      <c r="AG2599">
        <v>1</v>
      </c>
      <c r="AH2599">
        <v>0</v>
      </c>
      <c r="AI2599" t="s">
        <v>912</v>
      </c>
      <c r="AJ2599">
        <v>34.138727000000003</v>
      </c>
      <c r="AK2599" t="s">
        <v>913</v>
      </c>
      <c r="AL2599">
        <v>-117.05619299999999</v>
      </c>
      <c r="AM2599">
        <v>100</v>
      </c>
      <c r="AN2599">
        <v>6800</v>
      </c>
      <c r="AO2599" t="s">
        <v>118</v>
      </c>
      <c r="AP2599">
        <v>-35</v>
      </c>
      <c r="AQ2599">
        <v>-102</v>
      </c>
      <c r="AR2599">
        <v>-1024</v>
      </c>
      <c r="AZ2599">
        <v>1200</v>
      </c>
      <c r="BA2599">
        <v>1</v>
      </c>
      <c r="BB2599" t="str">
        <f t="shared" si="1419"/>
        <v xml:space="preserve">N9217B  </v>
      </c>
      <c r="BC2599">
        <v>1</v>
      </c>
      <c r="BE2599">
        <v>0</v>
      </c>
      <c r="BF2599">
        <v>0</v>
      </c>
      <c r="BG2599">
        <v>0</v>
      </c>
      <c r="BH2599">
        <v>6725</v>
      </c>
      <c r="BI2599">
        <v>1</v>
      </c>
      <c r="BJ2599">
        <v>0</v>
      </c>
      <c r="BK2599">
        <v>0</v>
      </c>
      <c r="BL2599">
        <v>0</v>
      </c>
      <c r="BO2599">
        <v>0</v>
      </c>
      <c r="BP2599">
        <v>0</v>
      </c>
      <c r="BW2599" t="str">
        <f t="shared" si="1438"/>
        <v>14:55:25.980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285</v>
      </c>
      <c r="CR2599">
        <v>0</v>
      </c>
      <c r="CW2599">
        <v>8868233</v>
      </c>
      <c r="CY2599">
        <v>0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25">
      <c r="A2600" t="str">
        <f t="shared" si="1435"/>
        <v>06/05/2020 14:55:20.316</v>
      </c>
      <c r="C2600" t="str">
        <f t="shared" si="1434"/>
        <v>FFDFD3C0</v>
      </c>
      <c r="D2600" t="s">
        <v>151</v>
      </c>
      <c r="E2600">
        <v>9</v>
      </c>
      <c r="H2600">
        <v>226</v>
      </c>
      <c r="I2600" t="s">
        <v>152</v>
      </c>
      <c r="J2600" t="s">
        <v>150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436"/>
        <v>14:55:25.977</v>
      </c>
      <c r="T2600" t="str">
        <f t="shared" si="1437"/>
        <v>14:55:25.777</v>
      </c>
      <c r="U2600" t="str">
        <f t="shared" si="1418"/>
        <v>ACC530</v>
      </c>
      <c r="V2600">
        <v>0</v>
      </c>
      <c r="W2600">
        <v>0</v>
      </c>
      <c r="X2600">
        <v>1</v>
      </c>
      <c r="Z2600">
        <v>0</v>
      </c>
      <c r="AA2600">
        <v>9</v>
      </c>
      <c r="AB2600">
        <v>3</v>
      </c>
      <c r="AC2600">
        <v>0</v>
      </c>
      <c r="AD2600">
        <v>9</v>
      </c>
      <c r="AE2600">
        <v>0</v>
      </c>
      <c r="AF2600">
        <v>3</v>
      </c>
      <c r="AG2600">
        <v>1</v>
      </c>
      <c r="AH2600">
        <v>0</v>
      </c>
      <c r="AI2600" t="s">
        <v>912</v>
      </c>
      <c r="AJ2600">
        <v>34.138727000000003</v>
      </c>
      <c r="AK2600" t="s">
        <v>913</v>
      </c>
      <c r="AL2600">
        <v>-117.05619299999999</v>
      </c>
      <c r="AM2600">
        <v>100</v>
      </c>
      <c r="AN2600">
        <v>6800</v>
      </c>
      <c r="AO2600" t="s">
        <v>118</v>
      </c>
      <c r="AP2600">
        <v>-35</v>
      </c>
      <c r="AQ2600">
        <v>-102</v>
      </c>
      <c r="AR2600">
        <v>-1024</v>
      </c>
      <c r="AZ2600">
        <v>1200</v>
      </c>
      <c r="BA2600">
        <v>1</v>
      </c>
      <c r="BB2600" t="str">
        <f t="shared" si="1419"/>
        <v xml:space="preserve">N9217B  </v>
      </c>
      <c r="BC2600">
        <v>1</v>
      </c>
      <c r="BE2600">
        <v>0</v>
      </c>
      <c r="BF2600">
        <v>0</v>
      </c>
      <c r="BG2600">
        <v>0</v>
      </c>
      <c r="BH2600">
        <v>6725</v>
      </c>
      <c r="BI2600">
        <v>1</v>
      </c>
      <c r="BJ2600">
        <v>0</v>
      </c>
      <c r="BK2600">
        <v>0</v>
      </c>
      <c r="BL2600">
        <v>0</v>
      </c>
      <c r="BO2600">
        <v>0</v>
      </c>
      <c r="BP2600">
        <v>0</v>
      </c>
      <c r="BW2600" t="str">
        <f t="shared" si="1438"/>
        <v>14:55:25.980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285</v>
      </c>
      <c r="CR2600">
        <v>0</v>
      </c>
      <c r="CW2600">
        <v>8868233</v>
      </c>
      <c r="CY2600">
        <v>0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25">
      <c r="A2601" t="str">
        <f t="shared" si="1435"/>
        <v>06/05/2020 14:55:20.316</v>
      </c>
      <c r="C2601" t="str">
        <f t="shared" si="1434"/>
        <v>FFDFD3C0</v>
      </c>
      <c r="D2601" t="s">
        <v>134</v>
      </c>
      <c r="E2601">
        <v>7</v>
      </c>
      <c r="F2601">
        <v>2007</v>
      </c>
      <c r="G2601" t="s">
        <v>135</v>
      </c>
      <c r="J2601" t="s">
        <v>136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436"/>
        <v>14:55:25.977</v>
      </c>
      <c r="T2601" t="str">
        <f t="shared" si="1437"/>
        <v>14:55:25.777</v>
      </c>
      <c r="U2601" t="str">
        <f t="shared" si="1418"/>
        <v>ACC530</v>
      </c>
      <c r="V2601">
        <v>0</v>
      </c>
      <c r="W2601">
        <v>0</v>
      </c>
      <c r="X2601">
        <v>1</v>
      </c>
      <c r="Z2601">
        <v>0</v>
      </c>
      <c r="AA2601">
        <v>9</v>
      </c>
      <c r="AB2601">
        <v>3</v>
      </c>
      <c r="AC2601">
        <v>0</v>
      </c>
      <c r="AD2601">
        <v>9</v>
      </c>
      <c r="AE2601">
        <v>0</v>
      </c>
      <c r="AF2601">
        <v>3</v>
      </c>
      <c r="AG2601">
        <v>1</v>
      </c>
      <c r="AH2601">
        <v>0</v>
      </c>
      <c r="AI2601" t="s">
        <v>912</v>
      </c>
      <c r="AJ2601">
        <v>34.138727000000003</v>
      </c>
      <c r="AK2601" t="s">
        <v>913</v>
      </c>
      <c r="AL2601">
        <v>-117.05619299999999</v>
      </c>
      <c r="AM2601">
        <v>100</v>
      </c>
      <c r="AN2601">
        <v>6800</v>
      </c>
      <c r="AO2601" t="s">
        <v>118</v>
      </c>
      <c r="AP2601">
        <v>-35</v>
      </c>
      <c r="AQ2601">
        <v>-102</v>
      </c>
      <c r="AR2601">
        <v>-1024</v>
      </c>
      <c r="AZ2601">
        <v>1200</v>
      </c>
      <c r="BA2601">
        <v>1</v>
      </c>
      <c r="BB2601" t="str">
        <f t="shared" si="1419"/>
        <v xml:space="preserve">N9217B  </v>
      </c>
      <c r="BC2601">
        <v>1</v>
      </c>
      <c r="BE2601">
        <v>0</v>
      </c>
      <c r="BF2601">
        <v>0</v>
      </c>
      <c r="BG2601">
        <v>0</v>
      </c>
      <c r="BH2601">
        <v>6725</v>
      </c>
      <c r="BI2601">
        <v>1</v>
      </c>
      <c r="BJ2601">
        <v>0</v>
      </c>
      <c r="BK2601">
        <v>0</v>
      </c>
      <c r="BL2601">
        <v>0</v>
      </c>
      <c r="BO2601">
        <v>0</v>
      </c>
      <c r="BP2601">
        <v>0</v>
      </c>
      <c r="BW2601" t="str">
        <f t="shared" si="1438"/>
        <v>14:55:25.980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285</v>
      </c>
      <c r="CR2601">
        <v>0</v>
      </c>
      <c r="CW2601">
        <v>8868233</v>
      </c>
      <c r="CY2601">
        <v>0</v>
      </c>
      <c r="CZ2601">
        <v>0</v>
      </c>
      <c r="DA2601">
        <v>1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25">
      <c r="A2602" t="str">
        <f t="shared" si="1435"/>
        <v>06/05/2020 14:55:20.316</v>
      </c>
      <c r="C2602" t="str">
        <f t="shared" si="1434"/>
        <v>FFDFD3C0</v>
      </c>
      <c r="D2602" t="s">
        <v>148</v>
      </c>
      <c r="E2602">
        <v>11</v>
      </c>
      <c r="H2602">
        <v>53</v>
      </c>
      <c r="I2602" t="s">
        <v>364</v>
      </c>
      <c r="J2602" t="s">
        <v>150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436"/>
        <v>14:55:25.977</v>
      </c>
      <c r="T2602" t="str">
        <f t="shared" si="1437"/>
        <v>14:55:25.777</v>
      </c>
      <c r="U2602" t="str">
        <f t="shared" si="1418"/>
        <v>ACC530</v>
      </c>
      <c r="V2602">
        <v>0</v>
      </c>
      <c r="W2602">
        <v>0</v>
      </c>
      <c r="X2602">
        <v>1</v>
      </c>
      <c r="Z2602">
        <v>0</v>
      </c>
      <c r="AA2602">
        <v>9</v>
      </c>
      <c r="AB2602">
        <v>3</v>
      </c>
      <c r="AC2602">
        <v>0</v>
      </c>
      <c r="AD2602">
        <v>9</v>
      </c>
      <c r="AE2602">
        <v>0</v>
      </c>
      <c r="AF2602">
        <v>3</v>
      </c>
      <c r="AG2602">
        <v>1</v>
      </c>
      <c r="AH2602">
        <v>0</v>
      </c>
      <c r="AI2602" t="s">
        <v>912</v>
      </c>
      <c r="AJ2602">
        <v>34.138727000000003</v>
      </c>
      <c r="AK2602" t="s">
        <v>913</v>
      </c>
      <c r="AL2602">
        <v>-117.05619299999999</v>
      </c>
      <c r="AM2602">
        <v>100</v>
      </c>
      <c r="AN2602">
        <v>6800</v>
      </c>
      <c r="AO2602" t="s">
        <v>118</v>
      </c>
      <c r="AP2602">
        <v>-35</v>
      </c>
      <c r="AQ2602">
        <v>-102</v>
      </c>
      <c r="AR2602">
        <v>-1024</v>
      </c>
      <c r="AZ2602">
        <v>1200</v>
      </c>
      <c r="BA2602">
        <v>1</v>
      </c>
      <c r="BB2602" t="str">
        <f t="shared" si="1419"/>
        <v xml:space="preserve">N9217B  </v>
      </c>
      <c r="BC2602">
        <v>1</v>
      </c>
      <c r="BE2602">
        <v>0</v>
      </c>
      <c r="BF2602">
        <v>0</v>
      </c>
      <c r="BG2602">
        <v>0</v>
      </c>
      <c r="BH2602">
        <v>6725</v>
      </c>
      <c r="BI2602">
        <v>1</v>
      </c>
      <c r="BJ2602">
        <v>0</v>
      </c>
      <c r="BK2602">
        <v>0</v>
      </c>
      <c r="BL2602">
        <v>0</v>
      </c>
      <c r="BO2602">
        <v>0</v>
      </c>
      <c r="BP2602">
        <v>0</v>
      </c>
      <c r="BW2602" t="str">
        <f t="shared" si="1438"/>
        <v>14:55:25.980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285</v>
      </c>
      <c r="CR2602">
        <v>0</v>
      </c>
      <c r="CW2602">
        <v>8868233</v>
      </c>
      <c r="CY2602">
        <v>0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25">
      <c r="A2603" t="str">
        <f t="shared" ref="A2603:A2609" si="1439">"06/05/2020 14:55:21.259"</f>
        <v>06/05/2020 14:55:21.259</v>
      </c>
      <c r="C2603" t="str">
        <f t="shared" si="1434"/>
        <v>FFDFD3C0</v>
      </c>
      <c r="D2603" t="s">
        <v>151</v>
      </c>
      <c r="E2603">
        <v>9</v>
      </c>
      <c r="H2603">
        <v>226</v>
      </c>
      <c r="I2603" t="s">
        <v>152</v>
      </c>
      <c r="J2603" t="s">
        <v>150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ref="S2603:S2609" si="1440">"14:55:26.906"</f>
        <v>14:55:26.906</v>
      </c>
      <c r="T2603" t="str">
        <f t="shared" ref="T2603:T2609" si="1441">"14:55:26.706"</f>
        <v>14:55:26.706</v>
      </c>
      <c r="U2603" t="str">
        <f t="shared" si="1418"/>
        <v>ACC530</v>
      </c>
      <c r="V2603">
        <v>0</v>
      </c>
      <c r="W2603">
        <v>0</v>
      </c>
      <c r="X2603">
        <v>1</v>
      </c>
      <c r="Z2603">
        <v>0</v>
      </c>
      <c r="AA2603">
        <v>9</v>
      </c>
      <c r="AB2603">
        <v>3</v>
      </c>
      <c r="AC2603">
        <v>0</v>
      </c>
      <c r="AD2603">
        <v>9</v>
      </c>
      <c r="AE2603">
        <v>0</v>
      </c>
      <c r="AF2603">
        <v>3</v>
      </c>
      <c r="AG2603">
        <v>1</v>
      </c>
      <c r="AH2603">
        <v>0</v>
      </c>
      <c r="AI2603" t="s">
        <v>914</v>
      </c>
      <c r="AJ2603">
        <v>34.138277000000002</v>
      </c>
      <c r="AK2603" t="s">
        <v>915</v>
      </c>
      <c r="AL2603">
        <v>-117.056365</v>
      </c>
      <c r="AM2603">
        <v>100</v>
      </c>
      <c r="AN2603">
        <v>6800</v>
      </c>
      <c r="AO2603" t="s">
        <v>118</v>
      </c>
      <c r="AP2603">
        <v>-33</v>
      </c>
      <c r="AQ2603">
        <v>-102</v>
      </c>
      <c r="AR2603">
        <v>-1024</v>
      </c>
      <c r="AZ2603">
        <v>1200</v>
      </c>
      <c r="BA2603">
        <v>1</v>
      </c>
      <c r="BB2603" t="str">
        <f t="shared" si="1419"/>
        <v xml:space="preserve">N9217B  </v>
      </c>
      <c r="BC2603">
        <v>1</v>
      </c>
      <c r="BE2603">
        <v>0</v>
      </c>
      <c r="BF2603">
        <v>0</v>
      </c>
      <c r="BG2603">
        <v>0</v>
      </c>
      <c r="BH2603">
        <v>6700</v>
      </c>
      <c r="BI2603">
        <v>1</v>
      </c>
      <c r="BJ2603">
        <v>0</v>
      </c>
      <c r="BK2603">
        <v>0</v>
      </c>
      <c r="BL2603">
        <v>0</v>
      </c>
      <c r="BO2603">
        <v>0</v>
      </c>
      <c r="BP2603">
        <v>0</v>
      </c>
      <c r="BW2603" t="str">
        <f t="shared" ref="BW2603:BW2609" si="1442">"14:55:26.910"</f>
        <v>14:55:26.910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119</v>
      </c>
      <c r="CQ2603">
        <v>285</v>
      </c>
      <c r="CR2603">
        <v>0</v>
      </c>
      <c r="CW2603">
        <v>8868317</v>
      </c>
      <c r="CY2603">
        <v>0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25">
      <c r="A2604" t="str">
        <f t="shared" si="1439"/>
        <v>06/05/2020 14:55:21.259</v>
      </c>
      <c r="C2604" t="str">
        <f t="shared" si="1434"/>
        <v>FFDFD3C0</v>
      </c>
      <c r="D2604" t="s">
        <v>134</v>
      </c>
      <c r="E2604">
        <v>7</v>
      </c>
      <c r="F2604">
        <v>2007</v>
      </c>
      <c r="G2604" t="s">
        <v>135</v>
      </c>
      <c r="J2604" t="s">
        <v>136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440"/>
        <v>14:55:26.906</v>
      </c>
      <c r="T2604" t="str">
        <f t="shared" si="1441"/>
        <v>14:55:26.706</v>
      </c>
      <c r="U2604" t="str">
        <f t="shared" si="1418"/>
        <v>ACC530</v>
      </c>
      <c r="V2604">
        <v>0</v>
      </c>
      <c r="W2604">
        <v>0</v>
      </c>
      <c r="X2604">
        <v>1</v>
      </c>
      <c r="Z2604">
        <v>0</v>
      </c>
      <c r="AA2604">
        <v>9</v>
      </c>
      <c r="AB2604">
        <v>3</v>
      </c>
      <c r="AC2604">
        <v>0</v>
      </c>
      <c r="AD2604">
        <v>9</v>
      </c>
      <c r="AE2604">
        <v>0</v>
      </c>
      <c r="AF2604">
        <v>3</v>
      </c>
      <c r="AG2604">
        <v>1</v>
      </c>
      <c r="AH2604">
        <v>0</v>
      </c>
      <c r="AI2604" t="s">
        <v>914</v>
      </c>
      <c r="AJ2604">
        <v>34.138277000000002</v>
      </c>
      <c r="AK2604" t="s">
        <v>915</v>
      </c>
      <c r="AL2604">
        <v>-117.056365</v>
      </c>
      <c r="AM2604">
        <v>100</v>
      </c>
      <c r="AN2604">
        <v>6800</v>
      </c>
      <c r="AO2604" t="s">
        <v>118</v>
      </c>
      <c r="AP2604">
        <v>-33</v>
      </c>
      <c r="AQ2604">
        <v>-102</v>
      </c>
      <c r="AR2604">
        <v>-1024</v>
      </c>
      <c r="AZ2604">
        <v>1200</v>
      </c>
      <c r="BA2604">
        <v>1</v>
      </c>
      <c r="BB2604" t="str">
        <f t="shared" si="1419"/>
        <v xml:space="preserve">N9217B  </v>
      </c>
      <c r="BC2604">
        <v>1</v>
      </c>
      <c r="BE2604">
        <v>0</v>
      </c>
      <c r="BF2604">
        <v>0</v>
      </c>
      <c r="BG2604">
        <v>0</v>
      </c>
      <c r="BH2604">
        <v>6700</v>
      </c>
      <c r="BI2604">
        <v>1</v>
      </c>
      <c r="BJ2604">
        <v>0</v>
      </c>
      <c r="BK2604">
        <v>0</v>
      </c>
      <c r="BL2604">
        <v>0</v>
      </c>
      <c r="BO2604">
        <v>0</v>
      </c>
      <c r="BP2604">
        <v>0</v>
      </c>
      <c r="BW2604" t="str">
        <f t="shared" si="1442"/>
        <v>14:55:26.910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285</v>
      </c>
      <c r="CR2604">
        <v>0</v>
      </c>
      <c r="CW2604">
        <v>8868317</v>
      </c>
      <c r="CY2604">
        <v>0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25">
      <c r="A2605" t="str">
        <f t="shared" si="1439"/>
        <v>06/05/2020 14:55:21.259</v>
      </c>
      <c r="C2605" t="str">
        <f t="shared" si="1434"/>
        <v>FFDFD3C0</v>
      </c>
      <c r="D2605" t="s">
        <v>148</v>
      </c>
      <c r="E2605">
        <v>11</v>
      </c>
      <c r="H2605">
        <v>53</v>
      </c>
      <c r="I2605" t="s">
        <v>364</v>
      </c>
      <c r="J2605" t="s">
        <v>150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1440"/>
        <v>14:55:26.906</v>
      </c>
      <c r="T2605" t="str">
        <f t="shared" si="1441"/>
        <v>14:55:26.706</v>
      </c>
      <c r="U2605" t="str">
        <f t="shared" si="1418"/>
        <v>ACC530</v>
      </c>
      <c r="V2605">
        <v>0</v>
      </c>
      <c r="W2605">
        <v>0</v>
      </c>
      <c r="X2605">
        <v>1</v>
      </c>
      <c r="Z2605">
        <v>0</v>
      </c>
      <c r="AA2605">
        <v>9</v>
      </c>
      <c r="AB2605">
        <v>3</v>
      </c>
      <c r="AC2605">
        <v>0</v>
      </c>
      <c r="AD2605">
        <v>9</v>
      </c>
      <c r="AE2605">
        <v>0</v>
      </c>
      <c r="AF2605">
        <v>3</v>
      </c>
      <c r="AG2605">
        <v>1</v>
      </c>
      <c r="AH2605">
        <v>0</v>
      </c>
      <c r="AI2605" t="s">
        <v>914</v>
      </c>
      <c r="AJ2605">
        <v>34.138277000000002</v>
      </c>
      <c r="AK2605" t="s">
        <v>915</v>
      </c>
      <c r="AL2605">
        <v>-117.056365</v>
      </c>
      <c r="AM2605">
        <v>100</v>
      </c>
      <c r="AN2605">
        <v>6800</v>
      </c>
      <c r="AO2605" t="s">
        <v>118</v>
      </c>
      <c r="AP2605">
        <v>-33</v>
      </c>
      <c r="AQ2605">
        <v>-102</v>
      </c>
      <c r="AR2605">
        <v>-1024</v>
      </c>
      <c r="AZ2605">
        <v>1200</v>
      </c>
      <c r="BA2605">
        <v>1</v>
      </c>
      <c r="BB2605" t="str">
        <f t="shared" si="1419"/>
        <v xml:space="preserve">N9217B  </v>
      </c>
      <c r="BC2605">
        <v>1</v>
      </c>
      <c r="BE2605">
        <v>0</v>
      </c>
      <c r="BF2605">
        <v>0</v>
      </c>
      <c r="BG2605">
        <v>0</v>
      </c>
      <c r="BH2605">
        <v>6700</v>
      </c>
      <c r="BI2605">
        <v>1</v>
      </c>
      <c r="BJ2605">
        <v>0</v>
      </c>
      <c r="BK2605">
        <v>0</v>
      </c>
      <c r="BL2605">
        <v>0</v>
      </c>
      <c r="BO2605">
        <v>0</v>
      </c>
      <c r="BP2605">
        <v>0</v>
      </c>
      <c r="BW2605" t="str">
        <f t="shared" si="1442"/>
        <v>14:55:26.910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285</v>
      </c>
      <c r="CR2605">
        <v>0</v>
      </c>
      <c r="CW2605">
        <v>8868317</v>
      </c>
      <c r="CY2605">
        <v>0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25">
      <c r="A2606" t="str">
        <f t="shared" si="1439"/>
        <v>06/05/2020 14:55:21.259</v>
      </c>
      <c r="C2606" t="str">
        <f t="shared" si="1434"/>
        <v>FFDFD3C0</v>
      </c>
      <c r="D2606" t="s">
        <v>141</v>
      </c>
      <c r="E2606">
        <v>20</v>
      </c>
      <c r="F2606">
        <v>1020</v>
      </c>
      <c r="G2606" t="s">
        <v>114</v>
      </c>
      <c r="J2606" t="s">
        <v>142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440"/>
        <v>14:55:26.906</v>
      </c>
      <c r="T2606" t="str">
        <f t="shared" si="1441"/>
        <v>14:55:26.706</v>
      </c>
      <c r="U2606" t="str">
        <f t="shared" si="1418"/>
        <v>ACC530</v>
      </c>
      <c r="V2606">
        <v>0</v>
      </c>
      <c r="W2606">
        <v>0</v>
      </c>
      <c r="X2606">
        <v>1</v>
      </c>
      <c r="Z2606">
        <v>0</v>
      </c>
      <c r="AA2606">
        <v>9</v>
      </c>
      <c r="AB2606">
        <v>3</v>
      </c>
      <c r="AC2606">
        <v>0</v>
      </c>
      <c r="AD2606">
        <v>9</v>
      </c>
      <c r="AE2606">
        <v>0</v>
      </c>
      <c r="AF2606">
        <v>3</v>
      </c>
      <c r="AG2606">
        <v>1</v>
      </c>
      <c r="AH2606">
        <v>0</v>
      </c>
      <c r="AI2606" t="s">
        <v>914</v>
      </c>
      <c r="AJ2606">
        <v>34.138277000000002</v>
      </c>
      <c r="AK2606" t="s">
        <v>915</v>
      </c>
      <c r="AL2606">
        <v>-117.056365</v>
      </c>
      <c r="AM2606">
        <v>100</v>
      </c>
      <c r="AN2606">
        <v>6800</v>
      </c>
      <c r="AO2606" t="s">
        <v>118</v>
      </c>
      <c r="AP2606">
        <v>-33</v>
      </c>
      <c r="AQ2606">
        <v>-102</v>
      </c>
      <c r="AR2606">
        <v>-1024</v>
      </c>
      <c r="AZ2606">
        <v>1200</v>
      </c>
      <c r="BA2606">
        <v>1</v>
      </c>
      <c r="BB2606" t="str">
        <f t="shared" si="1419"/>
        <v xml:space="preserve">N9217B  </v>
      </c>
      <c r="BC2606">
        <v>1</v>
      </c>
      <c r="BE2606">
        <v>0</v>
      </c>
      <c r="BF2606">
        <v>0</v>
      </c>
      <c r="BG2606">
        <v>0</v>
      </c>
      <c r="BH2606">
        <v>6700</v>
      </c>
      <c r="BI2606">
        <v>1</v>
      </c>
      <c r="BJ2606">
        <v>0</v>
      </c>
      <c r="BK2606">
        <v>0</v>
      </c>
      <c r="BL2606">
        <v>0</v>
      </c>
      <c r="BO2606">
        <v>0</v>
      </c>
      <c r="BP2606">
        <v>0</v>
      </c>
      <c r="BW2606" t="str">
        <f t="shared" si="1442"/>
        <v>14:55:26.910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285</v>
      </c>
      <c r="CR2606">
        <v>0</v>
      </c>
      <c r="CW2606">
        <v>8868317</v>
      </c>
      <c r="CY2606">
        <v>0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25">
      <c r="A2607" t="str">
        <f t="shared" si="1439"/>
        <v>06/05/2020 14:55:21.259</v>
      </c>
      <c r="C2607" t="str">
        <f t="shared" si="1434"/>
        <v>FFDFD3C0</v>
      </c>
      <c r="D2607" t="s">
        <v>148</v>
      </c>
      <c r="E2607">
        <v>8</v>
      </c>
      <c r="H2607">
        <v>50</v>
      </c>
      <c r="I2607" t="s">
        <v>149</v>
      </c>
      <c r="J2607" t="s">
        <v>150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440"/>
        <v>14:55:26.906</v>
      </c>
      <c r="T2607" t="str">
        <f t="shared" si="1441"/>
        <v>14:55:26.706</v>
      </c>
      <c r="U2607" t="str">
        <f t="shared" si="1418"/>
        <v>ACC530</v>
      </c>
      <c r="V2607">
        <v>0</v>
      </c>
      <c r="W2607">
        <v>0</v>
      </c>
      <c r="X2607">
        <v>1</v>
      </c>
      <c r="Z2607">
        <v>0</v>
      </c>
      <c r="AA2607">
        <v>9</v>
      </c>
      <c r="AB2607">
        <v>3</v>
      </c>
      <c r="AC2607">
        <v>0</v>
      </c>
      <c r="AD2607">
        <v>9</v>
      </c>
      <c r="AE2607">
        <v>0</v>
      </c>
      <c r="AF2607">
        <v>3</v>
      </c>
      <c r="AG2607">
        <v>1</v>
      </c>
      <c r="AH2607">
        <v>0</v>
      </c>
      <c r="AI2607" t="s">
        <v>914</v>
      </c>
      <c r="AJ2607">
        <v>34.138277000000002</v>
      </c>
      <c r="AK2607" t="s">
        <v>915</v>
      </c>
      <c r="AL2607">
        <v>-117.056365</v>
      </c>
      <c r="AM2607">
        <v>100</v>
      </c>
      <c r="AN2607">
        <v>6800</v>
      </c>
      <c r="AO2607" t="s">
        <v>118</v>
      </c>
      <c r="AP2607">
        <v>-33</v>
      </c>
      <c r="AQ2607">
        <v>-102</v>
      </c>
      <c r="AR2607">
        <v>-1024</v>
      </c>
      <c r="AZ2607">
        <v>1200</v>
      </c>
      <c r="BA2607">
        <v>1</v>
      </c>
      <c r="BB2607" t="str">
        <f t="shared" si="1419"/>
        <v xml:space="preserve">N9217B  </v>
      </c>
      <c r="BC2607">
        <v>1</v>
      </c>
      <c r="BE2607">
        <v>0</v>
      </c>
      <c r="BF2607">
        <v>0</v>
      </c>
      <c r="BG2607">
        <v>0</v>
      </c>
      <c r="BH2607">
        <v>6700</v>
      </c>
      <c r="BI2607">
        <v>1</v>
      </c>
      <c r="BJ2607">
        <v>0</v>
      </c>
      <c r="BK2607">
        <v>0</v>
      </c>
      <c r="BL2607">
        <v>0</v>
      </c>
      <c r="BO2607">
        <v>0</v>
      </c>
      <c r="BP2607">
        <v>0</v>
      </c>
      <c r="BW2607" t="str">
        <f t="shared" si="1442"/>
        <v>14:55:26.910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285</v>
      </c>
      <c r="CR2607">
        <v>0</v>
      </c>
      <c r="CW2607">
        <v>8868317</v>
      </c>
      <c r="CY2607">
        <v>0</v>
      </c>
      <c r="CZ2607">
        <v>0</v>
      </c>
      <c r="DA2607">
        <v>1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25">
      <c r="A2608" t="str">
        <f t="shared" si="1439"/>
        <v>06/05/2020 14:55:21.259</v>
      </c>
      <c r="C2608" t="str">
        <f t="shared" si="1434"/>
        <v>FFDFD3C0</v>
      </c>
      <c r="D2608" t="s">
        <v>113</v>
      </c>
      <c r="E2608">
        <v>3</v>
      </c>
      <c r="H2608">
        <v>166</v>
      </c>
      <c r="I2608" t="s">
        <v>114</v>
      </c>
      <c r="J2608" t="s">
        <v>115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440"/>
        <v>14:55:26.906</v>
      </c>
      <c r="T2608" t="str">
        <f t="shared" si="1441"/>
        <v>14:55:26.706</v>
      </c>
      <c r="U2608" t="str">
        <f t="shared" si="1418"/>
        <v>ACC530</v>
      </c>
      <c r="V2608">
        <v>0</v>
      </c>
      <c r="W2608">
        <v>0</v>
      </c>
      <c r="X2608">
        <v>1</v>
      </c>
      <c r="Z2608">
        <v>0</v>
      </c>
      <c r="AA2608">
        <v>9</v>
      </c>
      <c r="AB2608">
        <v>3</v>
      </c>
      <c r="AC2608">
        <v>0</v>
      </c>
      <c r="AD2608">
        <v>9</v>
      </c>
      <c r="AE2608">
        <v>0</v>
      </c>
      <c r="AF2608">
        <v>3</v>
      </c>
      <c r="AG2608">
        <v>1</v>
      </c>
      <c r="AH2608">
        <v>0</v>
      </c>
      <c r="AI2608" t="s">
        <v>914</v>
      </c>
      <c r="AJ2608">
        <v>34.138277000000002</v>
      </c>
      <c r="AK2608" t="s">
        <v>915</v>
      </c>
      <c r="AL2608">
        <v>-117.056365</v>
      </c>
      <c r="AM2608">
        <v>100</v>
      </c>
      <c r="AN2608">
        <v>6800</v>
      </c>
      <c r="AO2608" t="s">
        <v>118</v>
      </c>
      <c r="AP2608">
        <v>-33</v>
      </c>
      <c r="AQ2608">
        <v>-102</v>
      </c>
      <c r="AR2608">
        <v>-1024</v>
      </c>
      <c r="AZ2608">
        <v>1200</v>
      </c>
      <c r="BA2608">
        <v>1</v>
      </c>
      <c r="BB2608" t="str">
        <f t="shared" si="1419"/>
        <v xml:space="preserve">N9217B  </v>
      </c>
      <c r="BC2608">
        <v>1</v>
      </c>
      <c r="BE2608">
        <v>0</v>
      </c>
      <c r="BF2608">
        <v>0</v>
      </c>
      <c r="BG2608">
        <v>0</v>
      </c>
      <c r="BH2608">
        <v>6700</v>
      </c>
      <c r="BI2608">
        <v>1</v>
      </c>
      <c r="BJ2608">
        <v>0</v>
      </c>
      <c r="BK2608">
        <v>0</v>
      </c>
      <c r="BL2608">
        <v>0</v>
      </c>
      <c r="BO2608">
        <v>0</v>
      </c>
      <c r="BP2608">
        <v>0</v>
      </c>
      <c r="BW2608" t="str">
        <f t="shared" si="1442"/>
        <v>14:55:26.910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285</v>
      </c>
      <c r="CR2608">
        <v>0</v>
      </c>
      <c r="CW2608">
        <v>8868317</v>
      </c>
      <c r="CY2608">
        <v>0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25">
      <c r="A2609" t="str">
        <f t="shared" si="1439"/>
        <v>06/05/2020 14:55:21.259</v>
      </c>
      <c r="C2609" t="str">
        <f t="shared" si="1434"/>
        <v>FFDFD3C0</v>
      </c>
      <c r="D2609" t="s">
        <v>151</v>
      </c>
      <c r="E2609">
        <v>8</v>
      </c>
      <c r="H2609">
        <v>225</v>
      </c>
      <c r="I2609" t="s">
        <v>353</v>
      </c>
      <c r="J2609" t="s">
        <v>150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440"/>
        <v>14:55:26.906</v>
      </c>
      <c r="T2609" t="str">
        <f t="shared" si="1441"/>
        <v>14:55:26.706</v>
      </c>
      <c r="U2609" t="str">
        <f t="shared" si="1418"/>
        <v>ACC530</v>
      </c>
      <c r="V2609">
        <v>0</v>
      </c>
      <c r="W2609">
        <v>0</v>
      </c>
      <c r="X2609">
        <v>1</v>
      </c>
      <c r="Z2609">
        <v>0</v>
      </c>
      <c r="AA2609">
        <v>9</v>
      </c>
      <c r="AB2609">
        <v>3</v>
      </c>
      <c r="AC2609">
        <v>0</v>
      </c>
      <c r="AD2609">
        <v>9</v>
      </c>
      <c r="AE2609">
        <v>0</v>
      </c>
      <c r="AF2609">
        <v>3</v>
      </c>
      <c r="AG2609">
        <v>1</v>
      </c>
      <c r="AH2609">
        <v>0</v>
      </c>
      <c r="AI2609" t="s">
        <v>914</v>
      </c>
      <c r="AJ2609">
        <v>34.138277000000002</v>
      </c>
      <c r="AK2609" t="s">
        <v>915</v>
      </c>
      <c r="AL2609">
        <v>-117.056365</v>
      </c>
      <c r="AM2609">
        <v>100</v>
      </c>
      <c r="AN2609">
        <v>6800</v>
      </c>
      <c r="AO2609" t="s">
        <v>118</v>
      </c>
      <c r="AP2609">
        <v>-33</v>
      </c>
      <c r="AQ2609">
        <v>-102</v>
      </c>
      <c r="AR2609">
        <v>-1024</v>
      </c>
      <c r="AZ2609">
        <v>1200</v>
      </c>
      <c r="BA2609">
        <v>1</v>
      </c>
      <c r="BB2609" t="str">
        <f t="shared" si="1419"/>
        <v xml:space="preserve">N9217B  </v>
      </c>
      <c r="BC2609">
        <v>1</v>
      </c>
      <c r="BE2609">
        <v>0</v>
      </c>
      <c r="BF2609">
        <v>0</v>
      </c>
      <c r="BG2609">
        <v>0</v>
      </c>
      <c r="BH2609">
        <v>6700</v>
      </c>
      <c r="BI2609">
        <v>1</v>
      </c>
      <c r="BJ2609">
        <v>0</v>
      </c>
      <c r="BK2609">
        <v>0</v>
      </c>
      <c r="BL2609">
        <v>0</v>
      </c>
      <c r="BO2609">
        <v>0</v>
      </c>
      <c r="BP2609">
        <v>0</v>
      </c>
      <c r="BW2609" t="str">
        <f t="shared" si="1442"/>
        <v>14:55:26.910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285</v>
      </c>
      <c r="CR2609">
        <v>0</v>
      </c>
      <c r="CW2609">
        <v>8868317</v>
      </c>
      <c r="CY2609">
        <v>0</v>
      </c>
      <c r="CZ2609">
        <v>0</v>
      </c>
      <c r="DA2609">
        <v>1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25">
      <c r="A2610" t="str">
        <f t="shared" ref="A2610:A2616" si="1443">"06/05/2020 14:55:22.301"</f>
        <v>06/05/2020 14:55:22.301</v>
      </c>
      <c r="C2610" t="str">
        <f t="shared" si="1434"/>
        <v>FFDFD3C0</v>
      </c>
      <c r="D2610" t="s">
        <v>113</v>
      </c>
      <c r="E2610">
        <v>3</v>
      </c>
      <c r="H2610">
        <v>166</v>
      </c>
      <c r="I2610" t="s">
        <v>114</v>
      </c>
      <c r="J2610" t="s">
        <v>115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ref="S2610:S2616" si="1444">"14:55:27.969"</f>
        <v>14:55:27.969</v>
      </c>
      <c r="T2610" t="str">
        <f t="shared" ref="T2610:T2616" si="1445">"14:55:27.669"</f>
        <v>14:55:27.669</v>
      </c>
      <c r="U2610" t="str">
        <f t="shared" si="1418"/>
        <v>ACC530</v>
      </c>
      <c r="V2610">
        <v>0</v>
      </c>
      <c r="W2610">
        <v>0</v>
      </c>
      <c r="X2610">
        <v>1</v>
      </c>
      <c r="Z2610">
        <v>0</v>
      </c>
      <c r="AA2610">
        <v>9</v>
      </c>
      <c r="AB2610">
        <v>3</v>
      </c>
      <c r="AC2610">
        <v>0</v>
      </c>
      <c r="AD2610">
        <v>9</v>
      </c>
      <c r="AE2610">
        <v>0</v>
      </c>
      <c r="AF2610">
        <v>3</v>
      </c>
      <c r="AG2610">
        <v>1</v>
      </c>
      <c r="AH2610">
        <v>0</v>
      </c>
      <c r="AI2610" t="s">
        <v>916</v>
      </c>
      <c r="AJ2610">
        <v>34.137762000000002</v>
      </c>
      <c r="AK2610" t="s">
        <v>917</v>
      </c>
      <c r="AL2610">
        <v>-117.056515</v>
      </c>
      <c r="AM2610">
        <v>100</v>
      </c>
      <c r="AN2610">
        <v>6800</v>
      </c>
      <c r="AO2610" t="s">
        <v>118</v>
      </c>
      <c r="AP2610">
        <v>-31</v>
      </c>
      <c r="AQ2610">
        <v>-103</v>
      </c>
      <c r="AR2610">
        <v>-1024</v>
      </c>
      <c r="AZ2610">
        <v>1200</v>
      </c>
      <c r="BA2610">
        <v>1</v>
      </c>
      <c r="BB2610" t="str">
        <f t="shared" si="1419"/>
        <v xml:space="preserve">N9217B  </v>
      </c>
      <c r="BC2610">
        <v>1</v>
      </c>
      <c r="BE2610">
        <v>0</v>
      </c>
      <c r="BF2610">
        <v>0</v>
      </c>
      <c r="BG2610">
        <v>0</v>
      </c>
      <c r="BH2610">
        <v>6700</v>
      </c>
      <c r="BI2610">
        <v>1</v>
      </c>
      <c r="BJ2610">
        <v>0</v>
      </c>
      <c r="BK2610">
        <v>0</v>
      </c>
      <c r="BL2610">
        <v>0</v>
      </c>
      <c r="BO2610">
        <v>0</v>
      </c>
      <c r="BP2610">
        <v>0</v>
      </c>
      <c r="BW2610" t="str">
        <f t="shared" ref="BW2610:BW2616" si="1446">"14:55:27.975"</f>
        <v>14:55:27.975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285</v>
      </c>
      <c r="CR2610">
        <v>0</v>
      </c>
      <c r="CW2610">
        <v>8868416</v>
      </c>
      <c r="CY2610">
        <v>0</v>
      </c>
      <c r="CZ2610">
        <v>0</v>
      </c>
      <c r="DA2610">
        <v>0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25">
      <c r="A2611" t="str">
        <f t="shared" si="1443"/>
        <v>06/05/2020 14:55:22.301</v>
      </c>
      <c r="C2611" t="str">
        <f t="shared" si="1434"/>
        <v>FFDFD3C0</v>
      </c>
      <c r="D2611" t="s">
        <v>151</v>
      </c>
      <c r="E2611">
        <v>8</v>
      </c>
      <c r="H2611">
        <v>225</v>
      </c>
      <c r="I2611" t="s">
        <v>353</v>
      </c>
      <c r="J2611" t="s">
        <v>150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444"/>
        <v>14:55:27.969</v>
      </c>
      <c r="T2611" t="str">
        <f t="shared" si="1445"/>
        <v>14:55:27.669</v>
      </c>
      <c r="U2611" t="str">
        <f t="shared" si="1418"/>
        <v>ACC530</v>
      </c>
      <c r="V2611">
        <v>0</v>
      </c>
      <c r="W2611">
        <v>0</v>
      </c>
      <c r="X2611">
        <v>1</v>
      </c>
      <c r="Z2611">
        <v>0</v>
      </c>
      <c r="AA2611">
        <v>9</v>
      </c>
      <c r="AB2611">
        <v>3</v>
      </c>
      <c r="AC2611">
        <v>0</v>
      </c>
      <c r="AD2611">
        <v>9</v>
      </c>
      <c r="AE2611">
        <v>0</v>
      </c>
      <c r="AF2611">
        <v>3</v>
      </c>
      <c r="AG2611">
        <v>1</v>
      </c>
      <c r="AH2611">
        <v>0</v>
      </c>
      <c r="AI2611" t="s">
        <v>916</v>
      </c>
      <c r="AJ2611">
        <v>34.137762000000002</v>
      </c>
      <c r="AK2611" t="s">
        <v>917</v>
      </c>
      <c r="AL2611">
        <v>-117.056515</v>
      </c>
      <c r="AM2611">
        <v>100</v>
      </c>
      <c r="AN2611">
        <v>6800</v>
      </c>
      <c r="AO2611" t="s">
        <v>118</v>
      </c>
      <c r="AP2611">
        <v>-31</v>
      </c>
      <c r="AQ2611">
        <v>-103</v>
      </c>
      <c r="AR2611">
        <v>-1024</v>
      </c>
      <c r="AZ2611">
        <v>1200</v>
      </c>
      <c r="BA2611">
        <v>1</v>
      </c>
      <c r="BB2611" t="str">
        <f t="shared" si="1419"/>
        <v xml:space="preserve">N9217B  </v>
      </c>
      <c r="BC2611">
        <v>1</v>
      </c>
      <c r="BE2611">
        <v>0</v>
      </c>
      <c r="BF2611">
        <v>0</v>
      </c>
      <c r="BG2611">
        <v>0</v>
      </c>
      <c r="BH2611">
        <v>6700</v>
      </c>
      <c r="BI2611">
        <v>1</v>
      </c>
      <c r="BJ2611">
        <v>0</v>
      </c>
      <c r="BK2611">
        <v>0</v>
      </c>
      <c r="BL2611">
        <v>0</v>
      </c>
      <c r="BO2611">
        <v>0</v>
      </c>
      <c r="BP2611">
        <v>0</v>
      </c>
      <c r="BW2611" t="str">
        <f t="shared" si="1446"/>
        <v>14:55:27.975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119</v>
      </c>
      <c r="CQ2611">
        <v>285</v>
      </c>
      <c r="CR2611">
        <v>0</v>
      </c>
      <c r="CW2611">
        <v>8868416</v>
      </c>
      <c r="CY2611">
        <v>0</v>
      </c>
      <c r="CZ2611">
        <v>0</v>
      </c>
      <c r="DA2611">
        <v>1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25">
      <c r="A2612" t="str">
        <f t="shared" si="1443"/>
        <v>06/05/2020 14:55:22.301</v>
      </c>
      <c r="C2612" t="str">
        <f t="shared" si="1434"/>
        <v>FFDFD3C0</v>
      </c>
      <c r="D2612" t="s">
        <v>134</v>
      </c>
      <c r="E2612">
        <v>7</v>
      </c>
      <c r="F2612">
        <v>2007</v>
      </c>
      <c r="G2612" t="s">
        <v>135</v>
      </c>
      <c r="J2612" t="s">
        <v>136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444"/>
        <v>14:55:27.969</v>
      </c>
      <c r="T2612" t="str">
        <f t="shared" si="1445"/>
        <v>14:55:27.669</v>
      </c>
      <c r="U2612" t="str">
        <f t="shared" si="1418"/>
        <v>ACC530</v>
      </c>
      <c r="V2612">
        <v>0</v>
      </c>
      <c r="W2612">
        <v>0</v>
      </c>
      <c r="X2612">
        <v>1</v>
      </c>
      <c r="Z2612">
        <v>0</v>
      </c>
      <c r="AA2612">
        <v>9</v>
      </c>
      <c r="AB2612">
        <v>3</v>
      </c>
      <c r="AC2612">
        <v>0</v>
      </c>
      <c r="AD2612">
        <v>9</v>
      </c>
      <c r="AE2612">
        <v>0</v>
      </c>
      <c r="AF2612">
        <v>3</v>
      </c>
      <c r="AG2612">
        <v>1</v>
      </c>
      <c r="AH2612">
        <v>0</v>
      </c>
      <c r="AI2612" t="s">
        <v>916</v>
      </c>
      <c r="AJ2612">
        <v>34.137762000000002</v>
      </c>
      <c r="AK2612" t="s">
        <v>917</v>
      </c>
      <c r="AL2612">
        <v>-117.056515</v>
      </c>
      <c r="AM2612">
        <v>100</v>
      </c>
      <c r="AN2612">
        <v>6800</v>
      </c>
      <c r="AO2612" t="s">
        <v>118</v>
      </c>
      <c r="AP2612">
        <v>-31</v>
      </c>
      <c r="AQ2612">
        <v>-103</v>
      </c>
      <c r="AR2612">
        <v>-1024</v>
      </c>
      <c r="AZ2612">
        <v>1200</v>
      </c>
      <c r="BA2612">
        <v>1</v>
      </c>
      <c r="BB2612" t="str">
        <f t="shared" si="1419"/>
        <v xml:space="preserve">N9217B  </v>
      </c>
      <c r="BC2612">
        <v>1</v>
      </c>
      <c r="BE2612">
        <v>0</v>
      </c>
      <c r="BF2612">
        <v>0</v>
      </c>
      <c r="BG2612">
        <v>0</v>
      </c>
      <c r="BH2612">
        <v>6700</v>
      </c>
      <c r="BI2612">
        <v>1</v>
      </c>
      <c r="BJ2612">
        <v>0</v>
      </c>
      <c r="BK2612">
        <v>0</v>
      </c>
      <c r="BL2612">
        <v>0</v>
      </c>
      <c r="BO2612">
        <v>0</v>
      </c>
      <c r="BP2612">
        <v>0</v>
      </c>
      <c r="BW2612" t="str">
        <f t="shared" si="1446"/>
        <v>14:55:27.975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119</v>
      </c>
      <c r="CQ2612">
        <v>285</v>
      </c>
      <c r="CR2612">
        <v>0</v>
      </c>
      <c r="CW2612">
        <v>8868416</v>
      </c>
      <c r="CY2612">
        <v>0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25">
      <c r="A2613" t="str">
        <f t="shared" si="1443"/>
        <v>06/05/2020 14:55:22.301</v>
      </c>
      <c r="C2613" t="str">
        <f t="shared" si="1434"/>
        <v>FFDFD3C0</v>
      </c>
      <c r="D2613" t="s">
        <v>151</v>
      </c>
      <c r="E2613">
        <v>9</v>
      </c>
      <c r="H2613">
        <v>226</v>
      </c>
      <c r="I2613" t="s">
        <v>152</v>
      </c>
      <c r="J2613" t="s">
        <v>150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444"/>
        <v>14:55:27.969</v>
      </c>
      <c r="T2613" t="str">
        <f t="shared" si="1445"/>
        <v>14:55:27.669</v>
      </c>
      <c r="U2613" t="str">
        <f t="shared" si="1418"/>
        <v>ACC530</v>
      </c>
      <c r="V2613">
        <v>0</v>
      </c>
      <c r="W2613">
        <v>0</v>
      </c>
      <c r="X2613">
        <v>1</v>
      </c>
      <c r="Z2613">
        <v>0</v>
      </c>
      <c r="AA2613">
        <v>9</v>
      </c>
      <c r="AB2613">
        <v>3</v>
      </c>
      <c r="AC2613">
        <v>0</v>
      </c>
      <c r="AD2613">
        <v>9</v>
      </c>
      <c r="AE2613">
        <v>0</v>
      </c>
      <c r="AF2613">
        <v>3</v>
      </c>
      <c r="AG2613">
        <v>1</v>
      </c>
      <c r="AH2613">
        <v>0</v>
      </c>
      <c r="AI2613" t="s">
        <v>916</v>
      </c>
      <c r="AJ2613">
        <v>34.137762000000002</v>
      </c>
      <c r="AK2613" t="s">
        <v>917</v>
      </c>
      <c r="AL2613">
        <v>-117.056515</v>
      </c>
      <c r="AM2613">
        <v>100</v>
      </c>
      <c r="AN2613">
        <v>6800</v>
      </c>
      <c r="AO2613" t="s">
        <v>118</v>
      </c>
      <c r="AP2613">
        <v>-31</v>
      </c>
      <c r="AQ2613">
        <v>-103</v>
      </c>
      <c r="AR2613">
        <v>-1024</v>
      </c>
      <c r="AZ2613">
        <v>1200</v>
      </c>
      <c r="BA2613">
        <v>1</v>
      </c>
      <c r="BB2613" t="str">
        <f t="shared" si="1419"/>
        <v xml:space="preserve">N9217B  </v>
      </c>
      <c r="BC2613">
        <v>1</v>
      </c>
      <c r="BE2613">
        <v>0</v>
      </c>
      <c r="BF2613">
        <v>0</v>
      </c>
      <c r="BG2613">
        <v>0</v>
      </c>
      <c r="BH2613">
        <v>6700</v>
      </c>
      <c r="BI2613">
        <v>1</v>
      </c>
      <c r="BJ2613">
        <v>0</v>
      </c>
      <c r="BK2613">
        <v>0</v>
      </c>
      <c r="BL2613">
        <v>0</v>
      </c>
      <c r="BO2613">
        <v>0</v>
      </c>
      <c r="BP2613">
        <v>0</v>
      </c>
      <c r="BW2613" t="str">
        <f t="shared" si="1446"/>
        <v>14:55:27.975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285</v>
      </c>
      <c r="CR2613">
        <v>0</v>
      </c>
      <c r="CW2613">
        <v>8868416</v>
      </c>
      <c r="CY2613">
        <v>0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25">
      <c r="A2614" t="str">
        <f t="shared" si="1443"/>
        <v>06/05/2020 14:55:22.301</v>
      </c>
      <c r="C2614" t="str">
        <f t="shared" si="1434"/>
        <v>FFDFD3C0</v>
      </c>
      <c r="D2614" t="s">
        <v>141</v>
      </c>
      <c r="E2614">
        <v>20</v>
      </c>
      <c r="F2614">
        <v>1020</v>
      </c>
      <c r="G2614" t="s">
        <v>114</v>
      </c>
      <c r="J2614" t="s">
        <v>142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444"/>
        <v>14:55:27.969</v>
      </c>
      <c r="T2614" t="str">
        <f t="shared" si="1445"/>
        <v>14:55:27.669</v>
      </c>
      <c r="U2614" t="str">
        <f t="shared" si="1418"/>
        <v>ACC530</v>
      </c>
      <c r="V2614">
        <v>0</v>
      </c>
      <c r="W2614">
        <v>0</v>
      </c>
      <c r="X2614">
        <v>1</v>
      </c>
      <c r="Z2614">
        <v>0</v>
      </c>
      <c r="AA2614">
        <v>9</v>
      </c>
      <c r="AB2614">
        <v>3</v>
      </c>
      <c r="AC2614">
        <v>0</v>
      </c>
      <c r="AD2614">
        <v>9</v>
      </c>
      <c r="AE2614">
        <v>0</v>
      </c>
      <c r="AF2614">
        <v>3</v>
      </c>
      <c r="AG2614">
        <v>1</v>
      </c>
      <c r="AH2614">
        <v>0</v>
      </c>
      <c r="AI2614" t="s">
        <v>916</v>
      </c>
      <c r="AJ2614">
        <v>34.137762000000002</v>
      </c>
      <c r="AK2614" t="s">
        <v>917</v>
      </c>
      <c r="AL2614">
        <v>-117.056515</v>
      </c>
      <c r="AM2614">
        <v>100</v>
      </c>
      <c r="AN2614">
        <v>6800</v>
      </c>
      <c r="AO2614" t="s">
        <v>118</v>
      </c>
      <c r="AP2614">
        <v>-31</v>
      </c>
      <c r="AQ2614">
        <v>-103</v>
      </c>
      <c r="AR2614">
        <v>-1024</v>
      </c>
      <c r="AZ2614">
        <v>1200</v>
      </c>
      <c r="BA2614">
        <v>1</v>
      </c>
      <c r="BB2614" t="str">
        <f t="shared" si="1419"/>
        <v xml:space="preserve">N9217B  </v>
      </c>
      <c r="BC2614">
        <v>1</v>
      </c>
      <c r="BE2614">
        <v>0</v>
      </c>
      <c r="BF2614">
        <v>0</v>
      </c>
      <c r="BG2614">
        <v>0</v>
      </c>
      <c r="BH2614">
        <v>6700</v>
      </c>
      <c r="BI2614">
        <v>1</v>
      </c>
      <c r="BJ2614">
        <v>0</v>
      </c>
      <c r="BK2614">
        <v>0</v>
      </c>
      <c r="BL2614">
        <v>0</v>
      </c>
      <c r="BO2614">
        <v>0</v>
      </c>
      <c r="BP2614">
        <v>0</v>
      </c>
      <c r="BW2614" t="str">
        <f t="shared" si="1446"/>
        <v>14:55:27.975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285</v>
      </c>
      <c r="CR2614">
        <v>0</v>
      </c>
      <c r="CW2614">
        <v>8868416</v>
      </c>
      <c r="CY2614">
        <v>0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25">
      <c r="A2615" t="str">
        <f t="shared" si="1443"/>
        <v>06/05/2020 14:55:22.301</v>
      </c>
      <c r="C2615" t="str">
        <f t="shared" si="1434"/>
        <v>FFDFD3C0</v>
      </c>
      <c r="D2615" t="s">
        <v>148</v>
      </c>
      <c r="E2615">
        <v>11</v>
      </c>
      <c r="H2615">
        <v>53</v>
      </c>
      <c r="I2615" t="s">
        <v>364</v>
      </c>
      <c r="J2615" t="s">
        <v>150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444"/>
        <v>14:55:27.969</v>
      </c>
      <c r="T2615" t="str">
        <f t="shared" si="1445"/>
        <v>14:55:27.669</v>
      </c>
      <c r="U2615" t="str">
        <f t="shared" si="1418"/>
        <v>ACC530</v>
      </c>
      <c r="V2615">
        <v>0</v>
      </c>
      <c r="W2615">
        <v>0</v>
      </c>
      <c r="X2615">
        <v>1</v>
      </c>
      <c r="Z2615">
        <v>0</v>
      </c>
      <c r="AA2615">
        <v>9</v>
      </c>
      <c r="AB2615">
        <v>3</v>
      </c>
      <c r="AC2615">
        <v>0</v>
      </c>
      <c r="AD2615">
        <v>9</v>
      </c>
      <c r="AE2615">
        <v>0</v>
      </c>
      <c r="AF2615">
        <v>3</v>
      </c>
      <c r="AG2615">
        <v>1</v>
      </c>
      <c r="AH2615">
        <v>0</v>
      </c>
      <c r="AI2615" t="s">
        <v>916</v>
      </c>
      <c r="AJ2615">
        <v>34.137762000000002</v>
      </c>
      <c r="AK2615" t="s">
        <v>917</v>
      </c>
      <c r="AL2615">
        <v>-117.056515</v>
      </c>
      <c r="AM2615">
        <v>100</v>
      </c>
      <c r="AN2615">
        <v>6800</v>
      </c>
      <c r="AO2615" t="s">
        <v>118</v>
      </c>
      <c r="AP2615">
        <v>-31</v>
      </c>
      <c r="AQ2615">
        <v>-103</v>
      </c>
      <c r="AR2615">
        <v>-1024</v>
      </c>
      <c r="AZ2615">
        <v>1200</v>
      </c>
      <c r="BA2615">
        <v>1</v>
      </c>
      <c r="BB2615" t="str">
        <f t="shared" si="1419"/>
        <v xml:space="preserve">N9217B  </v>
      </c>
      <c r="BC2615">
        <v>1</v>
      </c>
      <c r="BE2615">
        <v>0</v>
      </c>
      <c r="BF2615">
        <v>0</v>
      </c>
      <c r="BG2615">
        <v>0</v>
      </c>
      <c r="BH2615">
        <v>6700</v>
      </c>
      <c r="BI2615">
        <v>1</v>
      </c>
      <c r="BJ2615">
        <v>0</v>
      </c>
      <c r="BK2615">
        <v>0</v>
      </c>
      <c r="BL2615">
        <v>0</v>
      </c>
      <c r="BO2615">
        <v>0</v>
      </c>
      <c r="BP2615">
        <v>0</v>
      </c>
      <c r="BW2615" t="str">
        <f t="shared" si="1446"/>
        <v>14:55:27.975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285</v>
      </c>
      <c r="CR2615">
        <v>0</v>
      </c>
      <c r="CW2615">
        <v>8868416</v>
      </c>
      <c r="CY2615">
        <v>0</v>
      </c>
      <c r="CZ2615">
        <v>0</v>
      </c>
      <c r="DA2615">
        <v>1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25">
      <c r="A2616" t="str">
        <f t="shared" si="1443"/>
        <v>06/05/2020 14:55:22.301</v>
      </c>
      <c r="C2616" t="str">
        <f t="shared" si="1434"/>
        <v>FFDFD3C0</v>
      </c>
      <c r="D2616" t="s">
        <v>148</v>
      </c>
      <c r="E2616">
        <v>8</v>
      </c>
      <c r="H2616">
        <v>50</v>
      </c>
      <c r="I2616" t="s">
        <v>149</v>
      </c>
      <c r="J2616" t="s">
        <v>150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444"/>
        <v>14:55:27.969</v>
      </c>
      <c r="T2616" t="str">
        <f t="shared" si="1445"/>
        <v>14:55:27.669</v>
      </c>
      <c r="U2616" t="str">
        <f t="shared" si="1418"/>
        <v>ACC530</v>
      </c>
      <c r="V2616">
        <v>0</v>
      </c>
      <c r="W2616">
        <v>0</v>
      </c>
      <c r="X2616">
        <v>1</v>
      </c>
      <c r="Z2616">
        <v>0</v>
      </c>
      <c r="AA2616">
        <v>9</v>
      </c>
      <c r="AB2616">
        <v>3</v>
      </c>
      <c r="AC2616">
        <v>0</v>
      </c>
      <c r="AD2616">
        <v>9</v>
      </c>
      <c r="AE2616">
        <v>0</v>
      </c>
      <c r="AF2616">
        <v>3</v>
      </c>
      <c r="AG2616">
        <v>1</v>
      </c>
      <c r="AH2616">
        <v>0</v>
      </c>
      <c r="AI2616" t="s">
        <v>916</v>
      </c>
      <c r="AJ2616">
        <v>34.137762000000002</v>
      </c>
      <c r="AK2616" t="s">
        <v>917</v>
      </c>
      <c r="AL2616">
        <v>-117.056515</v>
      </c>
      <c r="AM2616">
        <v>100</v>
      </c>
      <c r="AN2616">
        <v>6800</v>
      </c>
      <c r="AO2616" t="s">
        <v>118</v>
      </c>
      <c r="AP2616">
        <v>-31</v>
      </c>
      <c r="AQ2616">
        <v>-103</v>
      </c>
      <c r="AR2616">
        <v>-1024</v>
      </c>
      <c r="AZ2616">
        <v>1200</v>
      </c>
      <c r="BA2616">
        <v>1</v>
      </c>
      <c r="BB2616" t="str">
        <f t="shared" si="1419"/>
        <v xml:space="preserve">N9217B  </v>
      </c>
      <c r="BC2616">
        <v>1</v>
      </c>
      <c r="BE2616">
        <v>0</v>
      </c>
      <c r="BF2616">
        <v>0</v>
      </c>
      <c r="BG2616">
        <v>0</v>
      </c>
      <c r="BH2616">
        <v>6700</v>
      </c>
      <c r="BI2616">
        <v>1</v>
      </c>
      <c r="BJ2616">
        <v>0</v>
      </c>
      <c r="BK2616">
        <v>0</v>
      </c>
      <c r="BL2616">
        <v>0</v>
      </c>
      <c r="BO2616">
        <v>0</v>
      </c>
      <c r="BP2616">
        <v>0</v>
      </c>
      <c r="BW2616" t="str">
        <f t="shared" si="1446"/>
        <v>14:55:27.975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285</v>
      </c>
      <c r="CR2616">
        <v>0</v>
      </c>
      <c r="CW2616">
        <v>8868416</v>
      </c>
      <c r="CY2616">
        <v>0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25">
      <c r="A2617" t="str">
        <f t="shared" ref="A2617:A2623" si="1447">"06/05/2020 14:55:23.167"</f>
        <v>06/05/2020 14:55:23.167</v>
      </c>
      <c r="C2617" t="str">
        <f t="shared" si="1434"/>
        <v>FFDFD3C0</v>
      </c>
      <c r="D2617" t="s">
        <v>151</v>
      </c>
      <c r="E2617">
        <v>8</v>
      </c>
      <c r="H2617">
        <v>225</v>
      </c>
      <c r="I2617" t="s">
        <v>353</v>
      </c>
      <c r="J2617" t="s">
        <v>150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ref="S2617:S2623" si="1448">"14:55:28.828"</f>
        <v>14:55:28.828</v>
      </c>
      <c r="T2617" t="str">
        <f t="shared" ref="T2617:T2623" si="1449">"14:55:28.728"</f>
        <v>14:55:28.728</v>
      </c>
      <c r="U2617" t="str">
        <f t="shared" si="1418"/>
        <v>ACC530</v>
      </c>
      <c r="V2617">
        <v>0</v>
      </c>
      <c r="W2617">
        <v>0</v>
      </c>
      <c r="X2617">
        <v>1</v>
      </c>
      <c r="Z2617">
        <v>0</v>
      </c>
      <c r="AA2617">
        <v>9</v>
      </c>
      <c r="AB2617">
        <v>3</v>
      </c>
      <c r="AC2617">
        <v>0</v>
      </c>
      <c r="AD2617">
        <v>9</v>
      </c>
      <c r="AE2617">
        <v>0</v>
      </c>
      <c r="AF2617">
        <v>3</v>
      </c>
      <c r="AG2617">
        <v>1</v>
      </c>
      <c r="AH2617">
        <v>0</v>
      </c>
      <c r="AI2617" t="s">
        <v>918</v>
      </c>
      <c r="AJ2617">
        <v>34.137354000000002</v>
      </c>
      <c r="AK2617" t="s">
        <v>919</v>
      </c>
      <c r="AL2617">
        <v>-117.056687</v>
      </c>
      <c r="AM2617">
        <v>100</v>
      </c>
      <c r="AN2617">
        <v>6800</v>
      </c>
      <c r="AO2617" t="s">
        <v>118</v>
      </c>
      <c r="AP2617">
        <v>-29</v>
      </c>
      <c r="AQ2617">
        <v>-104</v>
      </c>
      <c r="AR2617">
        <v>-1024</v>
      </c>
      <c r="AZ2617">
        <v>1200</v>
      </c>
      <c r="BA2617">
        <v>1</v>
      </c>
      <c r="BB2617" t="str">
        <f t="shared" si="1419"/>
        <v xml:space="preserve">N9217B  </v>
      </c>
      <c r="BC2617">
        <v>1</v>
      </c>
      <c r="BE2617">
        <v>0</v>
      </c>
      <c r="BF2617">
        <v>0</v>
      </c>
      <c r="BG2617">
        <v>0</v>
      </c>
      <c r="BH2617">
        <v>6675</v>
      </c>
      <c r="BI2617">
        <v>1</v>
      </c>
      <c r="BJ2617">
        <v>0</v>
      </c>
      <c r="BK2617">
        <v>0</v>
      </c>
      <c r="BL2617">
        <v>0</v>
      </c>
      <c r="BO2617">
        <v>0</v>
      </c>
      <c r="BP2617">
        <v>0</v>
      </c>
      <c r="BW2617" t="str">
        <f t="shared" ref="BW2617:BW2623" si="1450">"14:55:28.830"</f>
        <v>14:55:28.830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285</v>
      </c>
      <c r="CR2617">
        <v>0</v>
      </c>
      <c r="CW2617">
        <v>8868493</v>
      </c>
      <c r="CY2617">
        <v>0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25">
      <c r="A2618" t="str">
        <f t="shared" si="1447"/>
        <v>06/05/2020 14:55:23.167</v>
      </c>
      <c r="C2618" t="str">
        <f t="shared" si="1434"/>
        <v>FFDFD3C0</v>
      </c>
      <c r="D2618" t="s">
        <v>134</v>
      </c>
      <c r="E2618">
        <v>7</v>
      </c>
      <c r="F2618">
        <v>2007</v>
      </c>
      <c r="G2618" t="s">
        <v>135</v>
      </c>
      <c r="J2618" t="s">
        <v>136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448"/>
        <v>14:55:28.828</v>
      </c>
      <c r="T2618" t="str">
        <f t="shared" si="1449"/>
        <v>14:55:28.728</v>
      </c>
      <c r="U2618" t="str">
        <f t="shared" si="1418"/>
        <v>ACC530</v>
      </c>
      <c r="V2618">
        <v>0</v>
      </c>
      <c r="W2618">
        <v>0</v>
      </c>
      <c r="X2618">
        <v>1</v>
      </c>
      <c r="Z2618">
        <v>0</v>
      </c>
      <c r="AA2618">
        <v>9</v>
      </c>
      <c r="AB2618">
        <v>3</v>
      </c>
      <c r="AC2618">
        <v>0</v>
      </c>
      <c r="AD2618">
        <v>9</v>
      </c>
      <c r="AE2618">
        <v>0</v>
      </c>
      <c r="AF2618">
        <v>3</v>
      </c>
      <c r="AG2618">
        <v>1</v>
      </c>
      <c r="AH2618">
        <v>0</v>
      </c>
      <c r="AI2618" t="s">
        <v>918</v>
      </c>
      <c r="AJ2618">
        <v>34.137354000000002</v>
      </c>
      <c r="AK2618" t="s">
        <v>919</v>
      </c>
      <c r="AL2618">
        <v>-117.056687</v>
      </c>
      <c r="AM2618">
        <v>100</v>
      </c>
      <c r="AN2618">
        <v>6800</v>
      </c>
      <c r="AO2618" t="s">
        <v>118</v>
      </c>
      <c r="AP2618">
        <v>-29</v>
      </c>
      <c r="AQ2618">
        <v>-104</v>
      </c>
      <c r="AR2618">
        <v>-1024</v>
      </c>
      <c r="AZ2618">
        <v>1200</v>
      </c>
      <c r="BA2618">
        <v>1</v>
      </c>
      <c r="BB2618" t="str">
        <f t="shared" si="1419"/>
        <v xml:space="preserve">N9217B  </v>
      </c>
      <c r="BC2618">
        <v>1</v>
      </c>
      <c r="BE2618">
        <v>0</v>
      </c>
      <c r="BF2618">
        <v>0</v>
      </c>
      <c r="BG2618">
        <v>0</v>
      </c>
      <c r="BH2618">
        <v>6675</v>
      </c>
      <c r="BI2618">
        <v>1</v>
      </c>
      <c r="BJ2618">
        <v>0</v>
      </c>
      <c r="BK2618">
        <v>0</v>
      </c>
      <c r="BL2618">
        <v>0</v>
      </c>
      <c r="BO2618">
        <v>0</v>
      </c>
      <c r="BP2618">
        <v>0</v>
      </c>
      <c r="BW2618" t="str">
        <f t="shared" si="1450"/>
        <v>14:55:28.830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285</v>
      </c>
      <c r="CR2618">
        <v>0</v>
      </c>
      <c r="CW2618">
        <v>8868493</v>
      </c>
      <c r="CY2618">
        <v>0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25">
      <c r="A2619" t="str">
        <f t="shared" si="1447"/>
        <v>06/05/2020 14:55:23.167</v>
      </c>
      <c r="C2619" t="str">
        <f t="shared" si="1434"/>
        <v>FFDFD3C0</v>
      </c>
      <c r="D2619" t="s">
        <v>151</v>
      </c>
      <c r="E2619">
        <v>9</v>
      </c>
      <c r="H2619">
        <v>226</v>
      </c>
      <c r="I2619" t="s">
        <v>152</v>
      </c>
      <c r="J2619" t="s">
        <v>150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448"/>
        <v>14:55:28.828</v>
      </c>
      <c r="T2619" t="str">
        <f t="shared" si="1449"/>
        <v>14:55:28.728</v>
      </c>
      <c r="U2619" t="str">
        <f t="shared" si="1418"/>
        <v>ACC530</v>
      </c>
      <c r="V2619">
        <v>0</v>
      </c>
      <c r="W2619">
        <v>0</v>
      </c>
      <c r="X2619">
        <v>1</v>
      </c>
      <c r="Z2619">
        <v>0</v>
      </c>
      <c r="AA2619">
        <v>9</v>
      </c>
      <c r="AB2619">
        <v>3</v>
      </c>
      <c r="AC2619">
        <v>0</v>
      </c>
      <c r="AD2619">
        <v>9</v>
      </c>
      <c r="AE2619">
        <v>0</v>
      </c>
      <c r="AF2619">
        <v>3</v>
      </c>
      <c r="AG2619">
        <v>1</v>
      </c>
      <c r="AH2619">
        <v>0</v>
      </c>
      <c r="AI2619" t="s">
        <v>918</v>
      </c>
      <c r="AJ2619">
        <v>34.137354000000002</v>
      </c>
      <c r="AK2619" t="s">
        <v>919</v>
      </c>
      <c r="AL2619">
        <v>-117.056687</v>
      </c>
      <c r="AM2619">
        <v>100</v>
      </c>
      <c r="AN2619">
        <v>6800</v>
      </c>
      <c r="AO2619" t="s">
        <v>118</v>
      </c>
      <c r="AP2619">
        <v>-29</v>
      </c>
      <c r="AQ2619">
        <v>-104</v>
      </c>
      <c r="AR2619">
        <v>-1024</v>
      </c>
      <c r="AZ2619">
        <v>1200</v>
      </c>
      <c r="BA2619">
        <v>1</v>
      </c>
      <c r="BB2619" t="str">
        <f t="shared" si="1419"/>
        <v xml:space="preserve">N9217B  </v>
      </c>
      <c r="BC2619">
        <v>1</v>
      </c>
      <c r="BE2619">
        <v>0</v>
      </c>
      <c r="BF2619">
        <v>0</v>
      </c>
      <c r="BG2619">
        <v>0</v>
      </c>
      <c r="BH2619">
        <v>6675</v>
      </c>
      <c r="BI2619">
        <v>1</v>
      </c>
      <c r="BJ2619">
        <v>0</v>
      </c>
      <c r="BK2619">
        <v>0</v>
      </c>
      <c r="BL2619">
        <v>0</v>
      </c>
      <c r="BO2619">
        <v>0</v>
      </c>
      <c r="BP2619">
        <v>0</v>
      </c>
      <c r="BW2619" t="str">
        <f t="shared" si="1450"/>
        <v>14:55:28.830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285</v>
      </c>
      <c r="CR2619">
        <v>0</v>
      </c>
      <c r="CW2619">
        <v>8868493</v>
      </c>
      <c r="CY2619">
        <v>0</v>
      </c>
      <c r="CZ2619">
        <v>0</v>
      </c>
      <c r="DA2619">
        <v>1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25">
      <c r="A2620" t="str">
        <f t="shared" si="1447"/>
        <v>06/05/2020 14:55:23.167</v>
      </c>
      <c r="C2620" t="str">
        <f t="shared" si="1434"/>
        <v>FFDFD3C0</v>
      </c>
      <c r="D2620" t="s">
        <v>141</v>
      </c>
      <c r="E2620">
        <v>20</v>
      </c>
      <c r="F2620">
        <v>1020</v>
      </c>
      <c r="G2620" t="s">
        <v>114</v>
      </c>
      <c r="J2620" t="s">
        <v>142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1448"/>
        <v>14:55:28.828</v>
      </c>
      <c r="T2620" t="str">
        <f t="shared" si="1449"/>
        <v>14:55:28.728</v>
      </c>
      <c r="U2620" t="str">
        <f t="shared" si="1418"/>
        <v>ACC530</v>
      </c>
      <c r="V2620">
        <v>0</v>
      </c>
      <c r="W2620">
        <v>0</v>
      </c>
      <c r="X2620">
        <v>1</v>
      </c>
      <c r="Z2620">
        <v>0</v>
      </c>
      <c r="AA2620">
        <v>9</v>
      </c>
      <c r="AB2620">
        <v>3</v>
      </c>
      <c r="AC2620">
        <v>0</v>
      </c>
      <c r="AD2620">
        <v>9</v>
      </c>
      <c r="AE2620">
        <v>0</v>
      </c>
      <c r="AF2620">
        <v>3</v>
      </c>
      <c r="AG2620">
        <v>1</v>
      </c>
      <c r="AH2620">
        <v>0</v>
      </c>
      <c r="AI2620" t="s">
        <v>918</v>
      </c>
      <c r="AJ2620">
        <v>34.137354000000002</v>
      </c>
      <c r="AK2620" t="s">
        <v>919</v>
      </c>
      <c r="AL2620">
        <v>-117.056687</v>
      </c>
      <c r="AM2620">
        <v>100</v>
      </c>
      <c r="AN2620">
        <v>6800</v>
      </c>
      <c r="AO2620" t="s">
        <v>118</v>
      </c>
      <c r="AP2620">
        <v>-29</v>
      </c>
      <c r="AQ2620">
        <v>-104</v>
      </c>
      <c r="AR2620">
        <v>-1024</v>
      </c>
      <c r="AZ2620">
        <v>1200</v>
      </c>
      <c r="BA2620">
        <v>1</v>
      </c>
      <c r="BB2620" t="str">
        <f t="shared" si="1419"/>
        <v xml:space="preserve">N9217B  </v>
      </c>
      <c r="BC2620">
        <v>1</v>
      </c>
      <c r="BE2620">
        <v>0</v>
      </c>
      <c r="BF2620">
        <v>0</v>
      </c>
      <c r="BG2620">
        <v>0</v>
      </c>
      <c r="BH2620">
        <v>6675</v>
      </c>
      <c r="BI2620">
        <v>1</v>
      </c>
      <c r="BJ2620">
        <v>0</v>
      </c>
      <c r="BK2620">
        <v>0</v>
      </c>
      <c r="BL2620">
        <v>0</v>
      </c>
      <c r="BO2620">
        <v>0</v>
      </c>
      <c r="BP2620">
        <v>0</v>
      </c>
      <c r="BW2620" t="str">
        <f t="shared" si="1450"/>
        <v>14:55:28.830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119</v>
      </c>
      <c r="CQ2620">
        <v>285</v>
      </c>
      <c r="CR2620">
        <v>0</v>
      </c>
      <c r="CW2620">
        <v>8868493</v>
      </c>
      <c r="CY2620">
        <v>0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25">
      <c r="A2621" t="str">
        <f t="shared" si="1447"/>
        <v>06/05/2020 14:55:23.167</v>
      </c>
      <c r="C2621" t="str">
        <f t="shared" si="1434"/>
        <v>FFDFD3C0</v>
      </c>
      <c r="D2621" t="s">
        <v>148</v>
      </c>
      <c r="E2621">
        <v>11</v>
      </c>
      <c r="H2621">
        <v>53</v>
      </c>
      <c r="I2621" t="s">
        <v>364</v>
      </c>
      <c r="J2621" t="s">
        <v>150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si="1448"/>
        <v>14:55:28.828</v>
      </c>
      <c r="T2621" t="str">
        <f t="shared" si="1449"/>
        <v>14:55:28.728</v>
      </c>
      <c r="U2621" t="str">
        <f t="shared" si="1418"/>
        <v>ACC530</v>
      </c>
      <c r="V2621">
        <v>0</v>
      </c>
      <c r="W2621">
        <v>0</v>
      </c>
      <c r="X2621">
        <v>1</v>
      </c>
      <c r="Z2621">
        <v>0</v>
      </c>
      <c r="AA2621">
        <v>9</v>
      </c>
      <c r="AB2621">
        <v>3</v>
      </c>
      <c r="AC2621">
        <v>0</v>
      </c>
      <c r="AD2621">
        <v>9</v>
      </c>
      <c r="AE2621">
        <v>0</v>
      </c>
      <c r="AF2621">
        <v>3</v>
      </c>
      <c r="AG2621">
        <v>1</v>
      </c>
      <c r="AH2621">
        <v>0</v>
      </c>
      <c r="AI2621" t="s">
        <v>918</v>
      </c>
      <c r="AJ2621">
        <v>34.137354000000002</v>
      </c>
      <c r="AK2621" t="s">
        <v>919</v>
      </c>
      <c r="AL2621">
        <v>-117.056687</v>
      </c>
      <c r="AM2621">
        <v>100</v>
      </c>
      <c r="AN2621">
        <v>6800</v>
      </c>
      <c r="AO2621" t="s">
        <v>118</v>
      </c>
      <c r="AP2621">
        <v>-29</v>
      </c>
      <c r="AQ2621">
        <v>-104</v>
      </c>
      <c r="AR2621">
        <v>-1024</v>
      </c>
      <c r="AZ2621">
        <v>1200</v>
      </c>
      <c r="BA2621">
        <v>1</v>
      </c>
      <c r="BB2621" t="str">
        <f t="shared" si="1419"/>
        <v xml:space="preserve">N9217B  </v>
      </c>
      <c r="BC2621">
        <v>1</v>
      </c>
      <c r="BE2621">
        <v>0</v>
      </c>
      <c r="BF2621">
        <v>0</v>
      </c>
      <c r="BG2621">
        <v>0</v>
      </c>
      <c r="BH2621">
        <v>6675</v>
      </c>
      <c r="BI2621">
        <v>1</v>
      </c>
      <c r="BJ2621">
        <v>0</v>
      </c>
      <c r="BK2621">
        <v>0</v>
      </c>
      <c r="BL2621">
        <v>0</v>
      </c>
      <c r="BO2621">
        <v>0</v>
      </c>
      <c r="BP2621">
        <v>0</v>
      </c>
      <c r="BW2621" t="str">
        <f t="shared" si="1450"/>
        <v>14:55:28.830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119</v>
      </c>
      <c r="CQ2621">
        <v>285</v>
      </c>
      <c r="CR2621">
        <v>0</v>
      </c>
      <c r="CW2621">
        <v>8868493</v>
      </c>
      <c r="CY2621">
        <v>0</v>
      </c>
      <c r="CZ2621">
        <v>0</v>
      </c>
      <c r="DA2621">
        <v>1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25">
      <c r="A2622" t="str">
        <f t="shared" si="1447"/>
        <v>06/05/2020 14:55:23.167</v>
      </c>
      <c r="C2622" t="str">
        <f t="shared" si="1434"/>
        <v>FFDFD3C0</v>
      </c>
      <c r="D2622" t="s">
        <v>148</v>
      </c>
      <c r="E2622">
        <v>8</v>
      </c>
      <c r="H2622">
        <v>50</v>
      </c>
      <c r="I2622" t="s">
        <v>149</v>
      </c>
      <c r="J2622" t="s">
        <v>150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448"/>
        <v>14:55:28.828</v>
      </c>
      <c r="T2622" t="str">
        <f t="shared" si="1449"/>
        <v>14:55:28.728</v>
      </c>
      <c r="U2622" t="str">
        <f t="shared" si="1418"/>
        <v>ACC530</v>
      </c>
      <c r="V2622">
        <v>0</v>
      </c>
      <c r="W2622">
        <v>0</v>
      </c>
      <c r="X2622">
        <v>1</v>
      </c>
      <c r="Z2622">
        <v>0</v>
      </c>
      <c r="AA2622">
        <v>9</v>
      </c>
      <c r="AB2622">
        <v>3</v>
      </c>
      <c r="AC2622">
        <v>0</v>
      </c>
      <c r="AD2622">
        <v>9</v>
      </c>
      <c r="AE2622">
        <v>0</v>
      </c>
      <c r="AF2622">
        <v>3</v>
      </c>
      <c r="AG2622">
        <v>1</v>
      </c>
      <c r="AH2622">
        <v>0</v>
      </c>
      <c r="AI2622" t="s">
        <v>918</v>
      </c>
      <c r="AJ2622">
        <v>34.137354000000002</v>
      </c>
      <c r="AK2622" t="s">
        <v>919</v>
      </c>
      <c r="AL2622">
        <v>-117.056687</v>
      </c>
      <c r="AM2622">
        <v>100</v>
      </c>
      <c r="AN2622">
        <v>6800</v>
      </c>
      <c r="AO2622" t="s">
        <v>118</v>
      </c>
      <c r="AP2622">
        <v>-29</v>
      </c>
      <c r="AQ2622">
        <v>-104</v>
      </c>
      <c r="AR2622">
        <v>-1024</v>
      </c>
      <c r="AZ2622">
        <v>1200</v>
      </c>
      <c r="BA2622">
        <v>1</v>
      </c>
      <c r="BB2622" t="str">
        <f t="shared" si="1419"/>
        <v xml:space="preserve">N9217B  </v>
      </c>
      <c r="BC2622">
        <v>1</v>
      </c>
      <c r="BE2622">
        <v>0</v>
      </c>
      <c r="BF2622">
        <v>0</v>
      </c>
      <c r="BG2622">
        <v>0</v>
      </c>
      <c r="BH2622">
        <v>6675</v>
      </c>
      <c r="BI2622">
        <v>1</v>
      </c>
      <c r="BJ2622">
        <v>0</v>
      </c>
      <c r="BK2622">
        <v>0</v>
      </c>
      <c r="BL2622">
        <v>0</v>
      </c>
      <c r="BO2622">
        <v>0</v>
      </c>
      <c r="BP2622">
        <v>0</v>
      </c>
      <c r="BW2622" t="str">
        <f t="shared" si="1450"/>
        <v>14:55:28.830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119</v>
      </c>
      <c r="CQ2622">
        <v>285</v>
      </c>
      <c r="CR2622">
        <v>0</v>
      </c>
      <c r="CW2622">
        <v>8868493</v>
      </c>
      <c r="CY2622">
        <v>0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25">
      <c r="A2623" t="str">
        <f t="shared" si="1447"/>
        <v>06/05/2020 14:55:23.167</v>
      </c>
      <c r="C2623" t="str">
        <f t="shared" si="1434"/>
        <v>FFDFD3C0</v>
      </c>
      <c r="D2623" t="s">
        <v>113</v>
      </c>
      <c r="E2623">
        <v>3</v>
      </c>
      <c r="H2623">
        <v>166</v>
      </c>
      <c r="I2623" t="s">
        <v>114</v>
      </c>
      <c r="J2623" t="s">
        <v>115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448"/>
        <v>14:55:28.828</v>
      </c>
      <c r="T2623" t="str">
        <f t="shared" si="1449"/>
        <v>14:55:28.728</v>
      </c>
      <c r="U2623" t="str">
        <f t="shared" si="1418"/>
        <v>ACC530</v>
      </c>
      <c r="V2623">
        <v>0</v>
      </c>
      <c r="W2623">
        <v>0</v>
      </c>
      <c r="X2623">
        <v>1</v>
      </c>
      <c r="Z2623">
        <v>0</v>
      </c>
      <c r="AA2623">
        <v>9</v>
      </c>
      <c r="AB2623">
        <v>3</v>
      </c>
      <c r="AC2623">
        <v>0</v>
      </c>
      <c r="AD2623">
        <v>9</v>
      </c>
      <c r="AE2623">
        <v>0</v>
      </c>
      <c r="AF2623">
        <v>3</v>
      </c>
      <c r="AG2623">
        <v>1</v>
      </c>
      <c r="AH2623">
        <v>0</v>
      </c>
      <c r="AI2623" t="s">
        <v>918</v>
      </c>
      <c r="AJ2623">
        <v>34.137354000000002</v>
      </c>
      <c r="AK2623" t="s">
        <v>919</v>
      </c>
      <c r="AL2623">
        <v>-117.056687</v>
      </c>
      <c r="AM2623">
        <v>100</v>
      </c>
      <c r="AN2623">
        <v>6800</v>
      </c>
      <c r="AO2623" t="s">
        <v>118</v>
      </c>
      <c r="AP2623">
        <v>-29</v>
      </c>
      <c r="AQ2623">
        <v>-104</v>
      </c>
      <c r="AR2623">
        <v>-1024</v>
      </c>
      <c r="AZ2623">
        <v>1200</v>
      </c>
      <c r="BA2623">
        <v>1</v>
      </c>
      <c r="BB2623" t="str">
        <f t="shared" si="1419"/>
        <v xml:space="preserve">N9217B  </v>
      </c>
      <c r="BC2623">
        <v>1</v>
      </c>
      <c r="BE2623">
        <v>0</v>
      </c>
      <c r="BF2623">
        <v>0</v>
      </c>
      <c r="BG2623">
        <v>0</v>
      </c>
      <c r="BH2623">
        <v>6675</v>
      </c>
      <c r="BI2623">
        <v>1</v>
      </c>
      <c r="BJ2623">
        <v>0</v>
      </c>
      <c r="BK2623">
        <v>0</v>
      </c>
      <c r="BL2623">
        <v>0</v>
      </c>
      <c r="BO2623">
        <v>0</v>
      </c>
      <c r="BP2623">
        <v>0</v>
      </c>
      <c r="BW2623" t="str">
        <f t="shared" si="1450"/>
        <v>14:55:28.830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119</v>
      </c>
      <c r="CQ2623">
        <v>285</v>
      </c>
      <c r="CR2623">
        <v>0</v>
      </c>
      <c r="CW2623">
        <v>8868493</v>
      </c>
      <c r="CY2623">
        <v>0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25">
      <c r="A2624" t="str">
        <f t="shared" ref="A2624:A2630" si="1451">"06/05/2020 14:55:24.102"</f>
        <v>06/05/2020 14:55:24.102</v>
      </c>
      <c r="C2624" t="str">
        <f t="shared" si="1434"/>
        <v>FFDFD3C0</v>
      </c>
      <c r="D2624" t="s">
        <v>148</v>
      </c>
      <c r="E2624">
        <v>11</v>
      </c>
      <c r="H2624">
        <v>53</v>
      </c>
      <c r="I2624" t="s">
        <v>364</v>
      </c>
      <c r="J2624" t="s">
        <v>150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ref="S2624:T2630" si="1452">"14:55:29.773"</f>
        <v>14:55:29.773</v>
      </c>
      <c r="T2624" t="str">
        <f t="shared" si="1452"/>
        <v>14:55:29.773</v>
      </c>
      <c r="U2624" t="str">
        <f t="shared" si="1418"/>
        <v>ACC530</v>
      </c>
      <c r="V2624">
        <v>0</v>
      </c>
      <c r="W2624">
        <v>0</v>
      </c>
      <c r="X2624">
        <v>1</v>
      </c>
      <c r="Z2624">
        <v>0</v>
      </c>
      <c r="AA2624">
        <v>9</v>
      </c>
      <c r="AB2624">
        <v>3</v>
      </c>
      <c r="AC2624">
        <v>0</v>
      </c>
      <c r="AD2624">
        <v>9</v>
      </c>
      <c r="AE2624">
        <v>0</v>
      </c>
      <c r="AF2624">
        <v>3</v>
      </c>
      <c r="AG2624">
        <v>1</v>
      </c>
      <c r="AH2624">
        <v>0</v>
      </c>
      <c r="AI2624" t="s">
        <v>920</v>
      </c>
      <c r="AJ2624">
        <v>34.136902999999997</v>
      </c>
      <c r="AK2624" t="s">
        <v>921</v>
      </c>
      <c r="AL2624">
        <v>-117.056816</v>
      </c>
      <c r="AM2624">
        <v>100</v>
      </c>
      <c r="AN2624">
        <v>6800</v>
      </c>
      <c r="AO2624" t="s">
        <v>118</v>
      </c>
      <c r="AP2624">
        <v>-26</v>
      </c>
      <c r="AQ2624">
        <v>-105</v>
      </c>
      <c r="AR2624">
        <v>-1024</v>
      </c>
      <c r="AZ2624">
        <v>1200</v>
      </c>
      <c r="BA2624">
        <v>1</v>
      </c>
      <c r="BB2624" t="str">
        <f t="shared" si="1419"/>
        <v xml:space="preserve">N9217B  </v>
      </c>
      <c r="BC2624">
        <v>1</v>
      </c>
      <c r="BE2624">
        <v>0</v>
      </c>
      <c r="BF2624">
        <v>0</v>
      </c>
      <c r="BG2624">
        <v>0</v>
      </c>
      <c r="BH2624">
        <v>6650</v>
      </c>
      <c r="BI2624">
        <v>1</v>
      </c>
      <c r="BJ2624">
        <v>0</v>
      </c>
      <c r="BK2624">
        <v>0</v>
      </c>
      <c r="BL2624">
        <v>0</v>
      </c>
      <c r="BO2624">
        <v>0</v>
      </c>
      <c r="BP2624">
        <v>0</v>
      </c>
      <c r="BW2624" t="str">
        <f t="shared" ref="BW2624:BW2630" si="1453">"14:55:29.775"</f>
        <v>14:55:29.775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119</v>
      </c>
      <c r="CQ2624">
        <v>285</v>
      </c>
      <c r="CR2624">
        <v>0</v>
      </c>
      <c r="CW2624">
        <v>8868584</v>
      </c>
      <c r="CY2624">
        <v>0</v>
      </c>
      <c r="CZ2624">
        <v>0</v>
      </c>
      <c r="DA2624">
        <v>0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25">
      <c r="A2625" t="str">
        <f t="shared" si="1451"/>
        <v>06/05/2020 14:55:24.102</v>
      </c>
      <c r="C2625" t="str">
        <f t="shared" si="1434"/>
        <v>FFDFD3C0</v>
      </c>
      <c r="D2625" t="s">
        <v>148</v>
      </c>
      <c r="E2625">
        <v>8</v>
      </c>
      <c r="H2625">
        <v>50</v>
      </c>
      <c r="I2625" t="s">
        <v>149</v>
      </c>
      <c r="J2625" t="s">
        <v>150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452"/>
        <v>14:55:29.773</v>
      </c>
      <c r="T2625" t="str">
        <f t="shared" si="1452"/>
        <v>14:55:29.773</v>
      </c>
      <c r="U2625" t="str">
        <f t="shared" si="1418"/>
        <v>ACC530</v>
      </c>
      <c r="V2625">
        <v>0</v>
      </c>
      <c r="W2625">
        <v>0</v>
      </c>
      <c r="X2625">
        <v>1</v>
      </c>
      <c r="Z2625">
        <v>0</v>
      </c>
      <c r="AA2625">
        <v>9</v>
      </c>
      <c r="AB2625">
        <v>3</v>
      </c>
      <c r="AC2625">
        <v>0</v>
      </c>
      <c r="AD2625">
        <v>9</v>
      </c>
      <c r="AE2625">
        <v>0</v>
      </c>
      <c r="AF2625">
        <v>3</v>
      </c>
      <c r="AG2625">
        <v>1</v>
      </c>
      <c r="AH2625">
        <v>0</v>
      </c>
      <c r="AI2625" t="s">
        <v>920</v>
      </c>
      <c r="AJ2625">
        <v>34.136902999999997</v>
      </c>
      <c r="AK2625" t="s">
        <v>921</v>
      </c>
      <c r="AL2625">
        <v>-117.056816</v>
      </c>
      <c r="AM2625">
        <v>100</v>
      </c>
      <c r="AN2625">
        <v>6800</v>
      </c>
      <c r="AO2625" t="s">
        <v>118</v>
      </c>
      <c r="AP2625">
        <v>-26</v>
      </c>
      <c r="AQ2625">
        <v>-105</v>
      </c>
      <c r="AR2625">
        <v>-1024</v>
      </c>
      <c r="AZ2625">
        <v>1200</v>
      </c>
      <c r="BA2625">
        <v>1</v>
      </c>
      <c r="BB2625" t="str">
        <f t="shared" si="1419"/>
        <v xml:space="preserve">N9217B  </v>
      </c>
      <c r="BC2625">
        <v>1</v>
      </c>
      <c r="BE2625">
        <v>0</v>
      </c>
      <c r="BF2625">
        <v>0</v>
      </c>
      <c r="BG2625">
        <v>0</v>
      </c>
      <c r="BH2625">
        <v>6650</v>
      </c>
      <c r="BI2625">
        <v>1</v>
      </c>
      <c r="BJ2625">
        <v>0</v>
      </c>
      <c r="BK2625">
        <v>0</v>
      </c>
      <c r="BL2625">
        <v>0</v>
      </c>
      <c r="BO2625">
        <v>0</v>
      </c>
      <c r="BP2625">
        <v>0</v>
      </c>
      <c r="BW2625" t="str">
        <f t="shared" si="1453"/>
        <v>14:55:29.775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119</v>
      </c>
      <c r="CQ2625">
        <v>285</v>
      </c>
      <c r="CR2625">
        <v>0</v>
      </c>
      <c r="CW2625">
        <v>8868584</v>
      </c>
      <c r="CY2625">
        <v>0</v>
      </c>
      <c r="CZ2625">
        <v>0</v>
      </c>
      <c r="DA2625">
        <v>1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25">
      <c r="A2626" t="str">
        <f t="shared" si="1451"/>
        <v>06/05/2020 14:55:24.102</v>
      </c>
      <c r="C2626" t="str">
        <f t="shared" si="1434"/>
        <v>FFDFD3C0</v>
      </c>
      <c r="D2626" t="s">
        <v>113</v>
      </c>
      <c r="E2626">
        <v>3</v>
      </c>
      <c r="H2626">
        <v>166</v>
      </c>
      <c r="I2626" t="s">
        <v>114</v>
      </c>
      <c r="J2626" t="s">
        <v>115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452"/>
        <v>14:55:29.773</v>
      </c>
      <c r="T2626" t="str">
        <f t="shared" si="1452"/>
        <v>14:55:29.773</v>
      </c>
      <c r="U2626" t="str">
        <f t="shared" ref="U2626:U2689" si="1454">"ACC530"</f>
        <v>ACC530</v>
      </c>
      <c r="V2626">
        <v>0</v>
      </c>
      <c r="W2626">
        <v>0</v>
      </c>
      <c r="X2626">
        <v>1</v>
      </c>
      <c r="Z2626">
        <v>0</v>
      </c>
      <c r="AA2626">
        <v>9</v>
      </c>
      <c r="AB2626">
        <v>3</v>
      </c>
      <c r="AC2626">
        <v>0</v>
      </c>
      <c r="AD2626">
        <v>9</v>
      </c>
      <c r="AE2626">
        <v>0</v>
      </c>
      <c r="AF2626">
        <v>3</v>
      </c>
      <c r="AG2626">
        <v>1</v>
      </c>
      <c r="AH2626">
        <v>0</v>
      </c>
      <c r="AI2626" t="s">
        <v>920</v>
      </c>
      <c r="AJ2626">
        <v>34.136902999999997</v>
      </c>
      <c r="AK2626" t="s">
        <v>921</v>
      </c>
      <c r="AL2626">
        <v>-117.056816</v>
      </c>
      <c r="AM2626">
        <v>100</v>
      </c>
      <c r="AN2626">
        <v>6800</v>
      </c>
      <c r="AO2626" t="s">
        <v>118</v>
      </c>
      <c r="AP2626">
        <v>-26</v>
      </c>
      <c r="AQ2626">
        <v>-105</v>
      </c>
      <c r="AR2626">
        <v>-1024</v>
      </c>
      <c r="AZ2626">
        <v>1200</v>
      </c>
      <c r="BA2626">
        <v>1</v>
      </c>
      <c r="BB2626" t="str">
        <f t="shared" si="1419"/>
        <v xml:space="preserve">N9217B  </v>
      </c>
      <c r="BC2626">
        <v>1</v>
      </c>
      <c r="BE2626">
        <v>0</v>
      </c>
      <c r="BF2626">
        <v>0</v>
      </c>
      <c r="BG2626">
        <v>0</v>
      </c>
      <c r="BH2626">
        <v>6650</v>
      </c>
      <c r="BI2626">
        <v>1</v>
      </c>
      <c r="BJ2626">
        <v>0</v>
      </c>
      <c r="BK2626">
        <v>0</v>
      </c>
      <c r="BL2626">
        <v>0</v>
      </c>
      <c r="BO2626">
        <v>0</v>
      </c>
      <c r="BP2626">
        <v>0</v>
      </c>
      <c r="BW2626" t="str">
        <f t="shared" si="1453"/>
        <v>14:55:29.775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119</v>
      </c>
      <c r="CQ2626">
        <v>285</v>
      </c>
      <c r="CR2626">
        <v>0</v>
      </c>
      <c r="CW2626">
        <v>8868584</v>
      </c>
      <c r="CY2626">
        <v>0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25">
      <c r="A2627" t="str">
        <f t="shared" si="1451"/>
        <v>06/05/2020 14:55:24.102</v>
      </c>
      <c r="C2627" t="str">
        <f t="shared" si="1434"/>
        <v>FFDFD3C0</v>
      </c>
      <c r="D2627" t="s">
        <v>151</v>
      </c>
      <c r="E2627">
        <v>8</v>
      </c>
      <c r="H2627">
        <v>225</v>
      </c>
      <c r="I2627" t="s">
        <v>353</v>
      </c>
      <c r="J2627" t="s">
        <v>150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452"/>
        <v>14:55:29.773</v>
      </c>
      <c r="T2627" t="str">
        <f t="shared" si="1452"/>
        <v>14:55:29.773</v>
      </c>
      <c r="U2627" t="str">
        <f t="shared" si="1454"/>
        <v>ACC530</v>
      </c>
      <c r="V2627">
        <v>0</v>
      </c>
      <c r="W2627">
        <v>0</v>
      </c>
      <c r="X2627">
        <v>1</v>
      </c>
      <c r="Z2627">
        <v>0</v>
      </c>
      <c r="AA2627">
        <v>9</v>
      </c>
      <c r="AB2627">
        <v>3</v>
      </c>
      <c r="AC2627">
        <v>0</v>
      </c>
      <c r="AD2627">
        <v>9</v>
      </c>
      <c r="AE2627">
        <v>0</v>
      </c>
      <c r="AF2627">
        <v>3</v>
      </c>
      <c r="AG2627">
        <v>1</v>
      </c>
      <c r="AH2627">
        <v>0</v>
      </c>
      <c r="AI2627" t="s">
        <v>920</v>
      </c>
      <c r="AJ2627">
        <v>34.136902999999997</v>
      </c>
      <c r="AK2627" t="s">
        <v>921</v>
      </c>
      <c r="AL2627">
        <v>-117.056816</v>
      </c>
      <c r="AM2627">
        <v>100</v>
      </c>
      <c r="AN2627">
        <v>6800</v>
      </c>
      <c r="AO2627" t="s">
        <v>118</v>
      </c>
      <c r="AP2627">
        <v>-26</v>
      </c>
      <c r="AQ2627">
        <v>-105</v>
      </c>
      <c r="AR2627">
        <v>-1024</v>
      </c>
      <c r="AZ2627">
        <v>1200</v>
      </c>
      <c r="BA2627">
        <v>1</v>
      </c>
      <c r="BB2627" t="str">
        <f t="shared" si="1419"/>
        <v xml:space="preserve">N9217B  </v>
      </c>
      <c r="BC2627">
        <v>1</v>
      </c>
      <c r="BE2627">
        <v>0</v>
      </c>
      <c r="BF2627">
        <v>0</v>
      </c>
      <c r="BG2627">
        <v>0</v>
      </c>
      <c r="BH2627">
        <v>6650</v>
      </c>
      <c r="BI2627">
        <v>1</v>
      </c>
      <c r="BJ2627">
        <v>0</v>
      </c>
      <c r="BK2627">
        <v>0</v>
      </c>
      <c r="BL2627">
        <v>0</v>
      </c>
      <c r="BO2627">
        <v>0</v>
      </c>
      <c r="BP2627">
        <v>0</v>
      </c>
      <c r="BW2627" t="str">
        <f t="shared" si="1453"/>
        <v>14:55:29.775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285</v>
      </c>
      <c r="CR2627">
        <v>0</v>
      </c>
      <c r="CW2627">
        <v>8868584</v>
      </c>
      <c r="CY2627">
        <v>0</v>
      </c>
      <c r="CZ2627">
        <v>0</v>
      </c>
      <c r="DA2627">
        <v>1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25">
      <c r="A2628" t="str">
        <f t="shared" si="1451"/>
        <v>06/05/2020 14:55:24.102</v>
      </c>
      <c r="C2628" t="str">
        <f t="shared" si="1434"/>
        <v>FFDFD3C0</v>
      </c>
      <c r="D2628" t="s">
        <v>134</v>
      </c>
      <c r="E2628">
        <v>7</v>
      </c>
      <c r="F2628">
        <v>2007</v>
      </c>
      <c r="G2628" t="s">
        <v>135</v>
      </c>
      <c r="J2628" t="s">
        <v>136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452"/>
        <v>14:55:29.773</v>
      </c>
      <c r="T2628" t="str">
        <f t="shared" si="1452"/>
        <v>14:55:29.773</v>
      </c>
      <c r="U2628" t="str">
        <f t="shared" si="1454"/>
        <v>ACC530</v>
      </c>
      <c r="V2628">
        <v>0</v>
      </c>
      <c r="W2628">
        <v>0</v>
      </c>
      <c r="X2628">
        <v>1</v>
      </c>
      <c r="Z2628">
        <v>0</v>
      </c>
      <c r="AA2628">
        <v>9</v>
      </c>
      <c r="AB2628">
        <v>3</v>
      </c>
      <c r="AC2628">
        <v>0</v>
      </c>
      <c r="AD2628">
        <v>9</v>
      </c>
      <c r="AE2628">
        <v>0</v>
      </c>
      <c r="AF2628">
        <v>3</v>
      </c>
      <c r="AG2628">
        <v>1</v>
      </c>
      <c r="AH2628">
        <v>0</v>
      </c>
      <c r="AI2628" t="s">
        <v>920</v>
      </c>
      <c r="AJ2628">
        <v>34.136902999999997</v>
      </c>
      <c r="AK2628" t="s">
        <v>921</v>
      </c>
      <c r="AL2628">
        <v>-117.056816</v>
      </c>
      <c r="AM2628">
        <v>100</v>
      </c>
      <c r="AN2628">
        <v>6800</v>
      </c>
      <c r="AO2628" t="s">
        <v>118</v>
      </c>
      <c r="AP2628">
        <v>-26</v>
      </c>
      <c r="AQ2628">
        <v>-105</v>
      </c>
      <c r="AR2628">
        <v>-1024</v>
      </c>
      <c r="AZ2628">
        <v>1200</v>
      </c>
      <c r="BA2628">
        <v>1</v>
      </c>
      <c r="BB2628" t="str">
        <f t="shared" si="1419"/>
        <v xml:space="preserve">N9217B  </v>
      </c>
      <c r="BC2628">
        <v>1</v>
      </c>
      <c r="BE2628">
        <v>0</v>
      </c>
      <c r="BF2628">
        <v>0</v>
      </c>
      <c r="BG2628">
        <v>0</v>
      </c>
      <c r="BH2628">
        <v>6650</v>
      </c>
      <c r="BI2628">
        <v>1</v>
      </c>
      <c r="BJ2628">
        <v>0</v>
      </c>
      <c r="BK2628">
        <v>0</v>
      </c>
      <c r="BL2628">
        <v>0</v>
      </c>
      <c r="BO2628">
        <v>0</v>
      </c>
      <c r="BP2628">
        <v>0</v>
      </c>
      <c r="BW2628" t="str">
        <f t="shared" si="1453"/>
        <v>14:55:29.775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285</v>
      </c>
      <c r="CR2628">
        <v>0</v>
      </c>
      <c r="CW2628">
        <v>8868584</v>
      </c>
      <c r="CY2628">
        <v>0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25">
      <c r="A2629" t="str">
        <f t="shared" si="1451"/>
        <v>06/05/2020 14:55:24.102</v>
      </c>
      <c r="C2629" t="str">
        <f t="shared" si="1434"/>
        <v>FFDFD3C0</v>
      </c>
      <c r="D2629" t="s">
        <v>141</v>
      </c>
      <c r="E2629">
        <v>20</v>
      </c>
      <c r="F2629">
        <v>1020</v>
      </c>
      <c r="G2629" t="s">
        <v>114</v>
      </c>
      <c r="J2629" t="s">
        <v>142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452"/>
        <v>14:55:29.773</v>
      </c>
      <c r="T2629" t="str">
        <f t="shared" si="1452"/>
        <v>14:55:29.773</v>
      </c>
      <c r="U2629" t="str">
        <f t="shared" si="1454"/>
        <v>ACC530</v>
      </c>
      <c r="V2629">
        <v>0</v>
      </c>
      <c r="W2629">
        <v>0</v>
      </c>
      <c r="X2629">
        <v>1</v>
      </c>
      <c r="Z2629">
        <v>0</v>
      </c>
      <c r="AA2629">
        <v>9</v>
      </c>
      <c r="AB2629">
        <v>3</v>
      </c>
      <c r="AC2629">
        <v>0</v>
      </c>
      <c r="AD2629">
        <v>9</v>
      </c>
      <c r="AE2629">
        <v>0</v>
      </c>
      <c r="AF2629">
        <v>3</v>
      </c>
      <c r="AG2629">
        <v>1</v>
      </c>
      <c r="AH2629">
        <v>0</v>
      </c>
      <c r="AI2629" t="s">
        <v>920</v>
      </c>
      <c r="AJ2629">
        <v>34.136902999999997</v>
      </c>
      <c r="AK2629" t="s">
        <v>921</v>
      </c>
      <c r="AL2629">
        <v>-117.056816</v>
      </c>
      <c r="AM2629">
        <v>100</v>
      </c>
      <c r="AN2629">
        <v>6800</v>
      </c>
      <c r="AO2629" t="s">
        <v>118</v>
      </c>
      <c r="AP2629">
        <v>-26</v>
      </c>
      <c r="AQ2629">
        <v>-105</v>
      </c>
      <c r="AR2629">
        <v>-1024</v>
      </c>
      <c r="AZ2629">
        <v>1200</v>
      </c>
      <c r="BA2629">
        <v>1</v>
      </c>
      <c r="BB2629" t="str">
        <f t="shared" ref="BB2629:BB2692" si="1455">"N9217B  "</f>
        <v xml:space="preserve">N9217B  </v>
      </c>
      <c r="BC2629">
        <v>1</v>
      </c>
      <c r="BE2629">
        <v>0</v>
      </c>
      <c r="BF2629">
        <v>0</v>
      </c>
      <c r="BG2629">
        <v>0</v>
      </c>
      <c r="BH2629">
        <v>6650</v>
      </c>
      <c r="BI2629">
        <v>1</v>
      </c>
      <c r="BJ2629">
        <v>0</v>
      </c>
      <c r="BK2629">
        <v>0</v>
      </c>
      <c r="BL2629">
        <v>0</v>
      </c>
      <c r="BO2629">
        <v>0</v>
      </c>
      <c r="BP2629">
        <v>0</v>
      </c>
      <c r="BW2629" t="str">
        <f t="shared" si="1453"/>
        <v>14:55:29.775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7</v>
      </c>
      <c r="CP2629" t="s">
        <v>119</v>
      </c>
      <c r="CQ2629">
        <v>285</v>
      </c>
      <c r="CR2629">
        <v>0</v>
      </c>
      <c r="CW2629">
        <v>8868584</v>
      </c>
      <c r="CY2629">
        <v>0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25">
      <c r="A2630" t="str">
        <f t="shared" si="1451"/>
        <v>06/05/2020 14:55:24.102</v>
      </c>
      <c r="C2630" t="str">
        <f t="shared" si="1434"/>
        <v>FFDFD3C0</v>
      </c>
      <c r="D2630" t="s">
        <v>151</v>
      </c>
      <c r="E2630">
        <v>9</v>
      </c>
      <c r="H2630">
        <v>226</v>
      </c>
      <c r="I2630" t="s">
        <v>152</v>
      </c>
      <c r="J2630" t="s">
        <v>150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452"/>
        <v>14:55:29.773</v>
      </c>
      <c r="T2630" t="str">
        <f t="shared" si="1452"/>
        <v>14:55:29.773</v>
      </c>
      <c r="U2630" t="str">
        <f t="shared" si="1454"/>
        <v>ACC530</v>
      </c>
      <c r="V2630">
        <v>0</v>
      </c>
      <c r="W2630">
        <v>0</v>
      </c>
      <c r="X2630">
        <v>1</v>
      </c>
      <c r="Z2630">
        <v>0</v>
      </c>
      <c r="AA2630">
        <v>9</v>
      </c>
      <c r="AB2630">
        <v>3</v>
      </c>
      <c r="AC2630">
        <v>0</v>
      </c>
      <c r="AD2630">
        <v>9</v>
      </c>
      <c r="AE2630">
        <v>0</v>
      </c>
      <c r="AF2630">
        <v>3</v>
      </c>
      <c r="AG2630">
        <v>1</v>
      </c>
      <c r="AH2630">
        <v>0</v>
      </c>
      <c r="AI2630" t="s">
        <v>920</v>
      </c>
      <c r="AJ2630">
        <v>34.136902999999997</v>
      </c>
      <c r="AK2630" t="s">
        <v>921</v>
      </c>
      <c r="AL2630">
        <v>-117.056816</v>
      </c>
      <c r="AM2630">
        <v>100</v>
      </c>
      <c r="AN2630">
        <v>6800</v>
      </c>
      <c r="AO2630" t="s">
        <v>118</v>
      </c>
      <c r="AP2630">
        <v>-26</v>
      </c>
      <c r="AQ2630">
        <v>-105</v>
      </c>
      <c r="AR2630">
        <v>-1024</v>
      </c>
      <c r="AZ2630">
        <v>1200</v>
      </c>
      <c r="BA2630">
        <v>1</v>
      </c>
      <c r="BB2630" t="str">
        <f t="shared" si="1455"/>
        <v xml:space="preserve">N9217B  </v>
      </c>
      <c r="BC2630">
        <v>1</v>
      </c>
      <c r="BE2630">
        <v>0</v>
      </c>
      <c r="BF2630">
        <v>0</v>
      </c>
      <c r="BG2630">
        <v>0</v>
      </c>
      <c r="BH2630">
        <v>6650</v>
      </c>
      <c r="BI2630">
        <v>1</v>
      </c>
      <c r="BJ2630">
        <v>0</v>
      </c>
      <c r="BK2630">
        <v>0</v>
      </c>
      <c r="BL2630">
        <v>0</v>
      </c>
      <c r="BO2630">
        <v>0</v>
      </c>
      <c r="BP2630">
        <v>0</v>
      </c>
      <c r="BW2630" t="str">
        <f t="shared" si="1453"/>
        <v>14:55:29.775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7</v>
      </c>
      <c r="CP2630" t="s">
        <v>119</v>
      </c>
      <c r="CQ2630">
        <v>285</v>
      </c>
      <c r="CR2630">
        <v>0</v>
      </c>
      <c r="CW2630">
        <v>8868584</v>
      </c>
      <c r="CY2630">
        <v>0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25">
      <c r="A2631" t="str">
        <f t="shared" ref="A2631:A2637" si="1456">"06/05/2020 14:55:25.227"</f>
        <v>06/05/2020 14:55:25.227</v>
      </c>
      <c r="C2631" t="str">
        <f t="shared" si="1434"/>
        <v>FFDFD3C0</v>
      </c>
      <c r="D2631" t="s">
        <v>148</v>
      </c>
      <c r="E2631">
        <v>8</v>
      </c>
      <c r="H2631">
        <v>50</v>
      </c>
      <c r="I2631" t="s">
        <v>149</v>
      </c>
      <c r="J2631" t="s">
        <v>150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ref="S2631:S2637" si="1457">"14:55:30.883"</f>
        <v>14:55:30.883</v>
      </c>
      <c r="T2631" t="str">
        <f t="shared" ref="T2631:T2637" si="1458">"14:55:30.783"</f>
        <v>14:55:30.783</v>
      </c>
      <c r="U2631" t="str">
        <f t="shared" si="1454"/>
        <v>ACC530</v>
      </c>
      <c r="V2631">
        <v>0</v>
      </c>
      <c r="W2631">
        <v>0</v>
      </c>
      <c r="X2631">
        <v>1</v>
      </c>
      <c r="Z2631">
        <v>0</v>
      </c>
      <c r="AA2631">
        <v>9</v>
      </c>
      <c r="AB2631">
        <v>3</v>
      </c>
      <c r="AC2631">
        <v>0</v>
      </c>
      <c r="AD2631">
        <v>9</v>
      </c>
      <c r="AE2631">
        <v>0</v>
      </c>
      <c r="AF2631">
        <v>3</v>
      </c>
      <c r="AG2631">
        <v>1</v>
      </c>
      <c r="AH2631">
        <v>0</v>
      </c>
      <c r="AI2631" t="s">
        <v>922</v>
      </c>
      <c r="AJ2631">
        <v>34.136344999999999</v>
      </c>
      <c r="AK2631" t="s">
        <v>923</v>
      </c>
      <c r="AL2631">
        <v>-117.056966</v>
      </c>
      <c r="AM2631">
        <v>100</v>
      </c>
      <c r="AN2631">
        <v>6700</v>
      </c>
      <c r="AO2631" t="s">
        <v>118</v>
      </c>
      <c r="AP2631">
        <v>-24</v>
      </c>
      <c r="AQ2631">
        <v>-105</v>
      </c>
      <c r="AR2631">
        <v>-1088</v>
      </c>
      <c r="AZ2631">
        <v>1200</v>
      </c>
      <c r="BA2631">
        <v>1</v>
      </c>
      <c r="BB2631" t="str">
        <f t="shared" si="1455"/>
        <v xml:space="preserve">N9217B  </v>
      </c>
      <c r="BC2631">
        <v>1</v>
      </c>
      <c r="BE2631">
        <v>0</v>
      </c>
      <c r="BF2631">
        <v>0</v>
      </c>
      <c r="BG2631">
        <v>0</v>
      </c>
      <c r="BH2631">
        <v>6625</v>
      </c>
      <c r="BI2631">
        <v>1</v>
      </c>
      <c r="BJ2631">
        <v>0</v>
      </c>
      <c r="BK2631">
        <v>0</v>
      </c>
      <c r="BL2631">
        <v>0</v>
      </c>
      <c r="BO2631">
        <v>0</v>
      </c>
      <c r="BP2631">
        <v>0</v>
      </c>
      <c r="BW2631" t="str">
        <f t="shared" ref="BW2631:BW2637" si="1459">"14:55:30.885"</f>
        <v>14:55:30.885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285</v>
      </c>
      <c r="CR2631">
        <v>0</v>
      </c>
      <c r="CW2631">
        <v>8868682</v>
      </c>
      <c r="CY2631">
        <v>0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25">
      <c r="A2632" t="str">
        <f t="shared" si="1456"/>
        <v>06/05/2020 14:55:25.227</v>
      </c>
      <c r="C2632" t="str">
        <f t="shared" si="1434"/>
        <v>FFDFD3C0</v>
      </c>
      <c r="D2632" t="s">
        <v>113</v>
      </c>
      <c r="E2632">
        <v>3</v>
      </c>
      <c r="H2632">
        <v>166</v>
      </c>
      <c r="I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457"/>
        <v>14:55:30.883</v>
      </c>
      <c r="T2632" t="str">
        <f t="shared" si="1458"/>
        <v>14:55:30.783</v>
      </c>
      <c r="U2632" t="str">
        <f t="shared" si="1454"/>
        <v>ACC530</v>
      </c>
      <c r="V2632">
        <v>0</v>
      </c>
      <c r="W2632">
        <v>0</v>
      </c>
      <c r="X2632">
        <v>1</v>
      </c>
      <c r="Z2632">
        <v>0</v>
      </c>
      <c r="AA2632">
        <v>9</v>
      </c>
      <c r="AB2632">
        <v>3</v>
      </c>
      <c r="AC2632">
        <v>0</v>
      </c>
      <c r="AD2632">
        <v>9</v>
      </c>
      <c r="AE2632">
        <v>0</v>
      </c>
      <c r="AF2632">
        <v>3</v>
      </c>
      <c r="AG2632">
        <v>1</v>
      </c>
      <c r="AH2632">
        <v>0</v>
      </c>
      <c r="AI2632" t="s">
        <v>922</v>
      </c>
      <c r="AJ2632">
        <v>34.136344999999999</v>
      </c>
      <c r="AK2632" t="s">
        <v>923</v>
      </c>
      <c r="AL2632">
        <v>-117.056966</v>
      </c>
      <c r="AM2632">
        <v>100</v>
      </c>
      <c r="AN2632">
        <v>6700</v>
      </c>
      <c r="AO2632" t="s">
        <v>118</v>
      </c>
      <c r="AP2632">
        <v>-24</v>
      </c>
      <c r="AQ2632">
        <v>-105</v>
      </c>
      <c r="AR2632">
        <v>-1088</v>
      </c>
      <c r="AZ2632">
        <v>1200</v>
      </c>
      <c r="BA2632">
        <v>1</v>
      </c>
      <c r="BB2632" t="str">
        <f t="shared" si="1455"/>
        <v xml:space="preserve">N9217B  </v>
      </c>
      <c r="BC2632">
        <v>1</v>
      </c>
      <c r="BE2632">
        <v>0</v>
      </c>
      <c r="BF2632">
        <v>0</v>
      </c>
      <c r="BG2632">
        <v>0</v>
      </c>
      <c r="BH2632">
        <v>6625</v>
      </c>
      <c r="BI2632">
        <v>1</v>
      </c>
      <c r="BJ2632">
        <v>0</v>
      </c>
      <c r="BK2632">
        <v>0</v>
      </c>
      <c r="BL2632">
        <v>0</v>
      </c>
      <c r="BO2632">
        <v>0</v>
      </c>
      <c r="BP2632">
        <v>0</v>
      </c>
      <c r="BW2632" t="str">
        <f t="shared" si="1459"/>
        <v>14:55:30.885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119</v>
      </c>
      <c r="CQ2632">
        <v>285</v>
      </c>
      <c r="CR2632">
        <v>0</v>
      </c>
      <c r="CW2632">
        <v>8868682</v>
      </c>
      <c r="CY2632">
        <v>0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25">
      <c r="A2633" t="str">
        <f t="shared" si="1456"/>
        <v>06/05/2020 14:55:25.227</v>
      </c>
      <c r="C2633" t="str">
        <f t="shared" si="1434"/>
        <v>FFDFD3C0</v>
      </c>
      <c r="D2633" t="s">
        <v>151</v>
      </c>
      <c r="E2633">
        <v>8</v>
      </c>
      <c r="H2633">
        <v>225</v>
      </c>
      <c r="I2633" t="s">
        <v>353</v>
      </c>
      <c r="J2633" t="s">
        <v>150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1457"/>
        <v>14:55:30.883</v>
      </c>
      <c r="T2633" t="str">
        <f t="shared" si="1458"/>
        <v>14:55:30.783</v>
      </c>
      <c r="U2633" t="str">
        <f t="shared" si="1454"/>
        <v>ACC530</v>
      </c>
      <c r="V2633">
        <v>0</v>
      </c>
      <c r="W2633">
        <v>0</v>
      </c>
      <c r="X2633">
        <v>1</v>
      </c>
      <c r="Z2633">
        <v>0</v>
      </c>
      <c r="AA2633">
        <v>9</v>
      </c>
      <c r="AB2633">
        <v>3</v>
      </c>
      <c r="AC2633">
        <v>0</v>
      </c>
      <c r="AD2633">
        <v>9</v>
      </c>
      <c r="AE2633">
        <v>0</v>
      </c>
      <c r="AF2633">
        <v>3</v>
      </c>
      <c r="AG2633">
        <v>1</v>
      </c>
      <c r="AH2633">
        <v>0</v>
      </c>
      <c r="AI2633" t="s">
        <v>922</v>
      </c>
      <c r="AJ2633">
        <v>34.136344999999999</v>
      </c>
      <c r="AK2633" t="s">
        <v>923</v>
      </c>
      <c r="AL2633">
        <v>-117.056966</v>
      </c>
      <c r="AM2633">
        <v>100</v>
      </c>
      <c r="AN2633">
        <v>6700</v>
      </c>
      <c r="AO2633" t="s">
        <v>118</v>
      </c>
      <c r="AP2633">
        <v>-24</v>
      </c>
      <c r="AQ2633">
        <v>-105</v>
      </c>
      <c r="AR2633">
        <v>-1088</v>
      </c>
      <c r="AZ2633">
        <v>1200</v>
      </c>
      <c r="BA2633">
        <v>1</v>
      </c>
      <c r="BB2633" t="str">
        <f t="shared" si="1455"/>
        <v xml:space="preserve">N9217B  </v>
      </c>
      <c r="BC2633">
        <v>1</v>
      </c>
      <c r="BE2633">
        <v>0</v>
      </c>
      <c r="BF2633">
        <v>0</v>
      </c>
      <c r="BG2633">
        <v>0</v>
      </c>
      <c r="BH2633">
        <v>6625</v>
      </c>
      <c r="BI2633">
        <v>1</v>
      </c>
      <c r="BJ2633">
        <v>0</v>
      </c>
      <c r="BK2633">
        <v>0</v>
      </c>
      <c r="BL2633">
        <v>0</v>
      </c>
      <c r="BO2633">
        <v>0</v>
      </c>
      <c r="BP2633">
        <v>0</v>
      </c>
      <c r="BW2633" t="str">
        <f t="shared" si="1459"/>
        <v>14:55:30.885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119</v>
      </c>
      <c r="CQ2633">
        <v>285</v>
      </c>
      <c r="CR2633">
        <v>0</v>
      </c>
      <c r="CW2633">
        <v>8868682</v>
      </c>
      <c r="CY2633">
        <v>0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25">
      <c r="A2634" t="str">
        <f t="shared" si="1456"/>
        <v>06/05/2020 14:55:25.227</v>
      </c>
      <c r="C2634" t="str">
        <f t="shared" si="1434"/>
        <v>FFDFD3C0</v>
      </c>
      <c r="D2634" t="s">
        <v>134</v>
      </c>
      <c r="E2634">
        <v>7</v>
      </c>
      <c r="F2634">
        <v>2007</v>
      </c>
      <c r="G2634" t="s">
        <v>135</v>
      </c>
      <c r="J2634" t="s">
        <v>136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457"/>
        <v>14:55:30.883</v>
      </c>
      <c r="T2634" t="str">
        <f t="shared" si="1458"/>
        <v>14:55:30.783</v>
      </c>
      <c r="U2634" t="str">
        <f t="shared" si="1454"/>
        <v>ACC530</v>
      </c>
      <c r="V2634">
        <v>0</v>
      </c>
      <c r="W2634">
        <v>0</v>
      </c>
      <c r="X2634">
        <v>1</v>
      </c>
      <c r="Z2634">
        <v>0</v>
      </c>
      <c r="AA2634">
        <v>9</v>
      </c>
      <c r="AB2634">
        <v>3</v>
      </c>
      <c r="AC2634">
        <v>0</v>
      </c>
      <c r="AD2634">
        <v>9</v>
      </c>
      <c r="AE2634">
        <v>0</v>
      </c>
      <c r="AF2634">
        <v>3</v>
      </c>
      <c r="AG2634">
        <v>1</v>
      </c>
      <c r="AH2634">
        <v>0</v>
      </c>
      <c r="AI2634" t="s">
        <v>922</v>
      </c>
      <c r="AJ2634">
        <v>34.136344999999999</v>
      </c>
      <c r="AK2634" t="s">
        <v>923</v>
      </c>
      <c r="AL2634">
        <v>-117.056966</v>
      </c>
      <c r="AM2634">
        <v>100</v>
      </c>
      <c r="AN2634">
        <v>6700</v>
      </c>
      <c r="AO2634" t="s">
        <v>118</v>
      </c>
      <c r="AP2634">
        <v>-24</v>
      </c>
      <c r="AQ2634">
        <v>-105</v>
      </c>
      <c r="AR2634">
        <v>-1088</v>
      </c>
      <c r="AZ2634">
        <v>1200</v>
      </c>
      <c r="BA2634">
        <v>1</v>
      </c>
      <c r="BB2634" t="str">
        <f t="shared" si="1455"/>
        <v xml:space="preserve">N9217B  </v>
      </c>
      <c r="BC2634">
        <v>1</v>
      </c>
      <c r="BE2634">
        <v>0</v>
      </c>
      <c r="BF2634">
        <v>0</v>
      </c>
      <c r="BG2634">
        <v>0</v>
      </c>
      <c r="BH2634">
        <v>6625</v>
      </c>
      <c r="BI2634">
        <v>1</v>
      </c>
      <c r="BJ2634">
        <v>0</v>
      </c>
      <c r="BK2634">
        <v>0</v>
      </c>
      <c r="BL2634">
        <v>0</v>
      </c>
      <c r="BO2634">
        <v>0</v>
      </c>
      <c r="BP2634">
        <v>0</v>
      </c>
      <c r="BW2634" t="str">
        <f t="shared" si="1459"/>
        <v>14:55:30.885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285</v>
      </c>
      <c r="CR2634">
        <v>0</v>
      </c>
      <c r="CW2634">
        <v>8868682</v>
      </c>
      <c r="CY2634">
        <v>0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25">
      <c r="A2635" t="str">
        <f t="shared" si="1456"/>
        <v>06/05/2020 14:55:25.227</v>
      </c>
      <c r="C2635" t="str">
        <f t="shared" si="1434"/>
        <v>FFDFD3C0</v>
      </c>
      <c r="D2635" t="s">
        <v>141</v>
      </c>
      <c r="E2635">
        <v>20</v>
      </c>
      <c r="F2635">
        <v>1020</v>
      </c>
      <c r="G2635" t="s">
        <v>114</v>
      </c>
      <c r="J2635" t="s">
        <v>142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457"/>
        <v>14:55:30.883</v>
      </c>
      <c r="T2635" t="str">
        <f t="shared" si="1458"/>
        <v>14:55:30.783</v>
      </c>
      <c r="U2635" t="str">
        <f t="shared" si="1454"/>
        <v>ACC530</v>
      </c>
      <c r="V2635">
        <v>0</v>
      </c>
      <c r="W2635">
        <v>0</v>
      </c>
      <c r="X2635">
        <v>1</v>
      </c>
      <c r="Z2635">
        <v>0</v>
      </c>
      <c r="AA2635">
        <v>9</v>
      </c>
      <c r="AB2635">
        <v>3</v>
      </c>
      <c r="AC2635">
        <v>0</v>
      </c>
      <c r="AD2635">
        <v>9</v>
      </c>
      <c r="AE2635">
        <v>0</v>
      </c>
      <c r="AF2635">
        <v>3</v>
      </c>
      <c r="AG2635">
        <v>1</v>
      </c>
      <c r="AH2635">
        <v>0</v>
      </c>
      <c r="AI2635" t="s">
        <v>922</v>
      </c>
      <c r="AJ2635">
        <v>34.136344999999999</v>
      </c>
      <c r="AK2635" t="s">
        <v>923</v>
      </c>
      <c r="AL2635">
        <v>-117.056966</v>
      </c>
      <c r="AM2635">
        <v>100</v>
      </c>
      <c r="AN2635">
        <v>6700</v>
      </c>
      <c r="AO2635" t="s">
        <v>118</v>
      </c>
      <c r="AP2635">
        <v>-24</v>
      </c>
      <c r="AQ2635">
        <v>-105</v>
      </c>
      <c r="AR2635">
        <v>-1088</v>
      </c>
      <c r="AZ2635">
        <v>1200</v>
      </c>
      <c r="BA2635">
        <v>1</v>
      </c>
      <c r="BB2635" t="str">
        <f t="shared" si="1455"/>
        <v xml:space="preserve">N9217B  </v>
      </c>
      <c r="BC2635">
        <v>1</v>
      </c>
      <c r="BE2635">
        <v>0</v>
      </c>
      <c r="BF2635">
        <v>0</v>
      </c>
      <c r="BG2635">
        <v>0</v>
      </c>
      <c r="BH2635">
        <v>6625</v>
      </c>
      <c r="BI2635">
        <v>1</v>
      </c>
      <c r="BJ2635">
        <v>0</v>
      </c>
      <c r="BK2635">
        <v>0</v>
      </c>
      <c r="BL2635">
        <v>0</v>
      </c>
      <c r="BO2635">
        <v>0</v>
      </c>
      <c r="BP2635">
        <v>0</v>
      </c>
      <c r="BW2635" t="str">
        <f t="shared" si="1459"/>
        <v>14:55:30.885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285</v>
      </c>
      <c r="CR2635">
        <v>0</v>
      </c>
      <c r="CW2635">
        <v>8868682</v>
      </c>
      <c r="CY2635">
        <v>0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25">
      <c r="A2636" t="str">
        <f t="shared" si="1456"/>
        <v>06/05/2020 14:55:25.227</v>
      </c>
      <c r="C2636" t="str">
        <f t="shared" si="1434"/>
        <v>FFDFD3C0</v>
      </c>
      <c r="D2636" t="s">
        <v>151</v>
      </c>
      <c r="E2636">
        <v>9</v>
      </c>
      <c r="H2636">
        <v>226</v>
      </c>
      <c r="I2636" t="s">
        <v>152</v>
      </c>
      <c r="J2636" t="s">
        <v>150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457"/>
        <v>14:55:30.883</v>
      </c>
      <c r="T2636" t="str">
        <f t="shared" si="1458"/>
        <v>14:55:30.783</v>
      </c>
      <c r="U2636" t="str">
        <f t="shared" si="1454"/>
        <v>ACC530</v>
      </c>
      <c r="V2636">
        <v>0</v>
      </c>
      <c r="W2636">
        <v>0</v>
      </c>
      <c r="X2636">
        <v>1</v>
      </c>
      <c r="Z2636">
        <v>0</v>
      </c>
      <c r="AA2636">
        <v>9</v>
      </c>
      <c r="AB2636">
        <v>3</v>
      </c>
      <c r="AC2636">
        <v>0</v>
      </c>
      <c r="AD2636">
        <v>9</v>
      </c>
      <c r="AE2636">
        <v>0</v>
      </c>
      <c r="AF2636">
        <v>3</v>
      </c>
      <c r="AG2636">
        <v>1</v>
      </c>
      <c r="AH2636">
        <v>0</v>
      </c>
      <c r="AI2636" t="s">
        <v>922</v>
      </c>
      <c r="AJ2636">
        <v>34.136344999999999</v>
      </c>
      <c r="AK2636" t="s">
        <v>923</v>
      </c>
      <c r="AL2636">
        <v>-117.056966</v>
      </c>
      <c r="AM2636">
        <v>100</v>
      </c>
      <c r="AN2636">
        <v>6700</v>
      </c>
      <c r="AO2636" t="s">
        <v>118</v>
      </c>
      <c r="AP2636">
        <v>-24</v>
      </c>
      <c r="AQ2636">
        <v>-105</v>
      </c>
      <c r="AR2636">
        <v>-1088</v>
      </c>
      <c r="AZ2636">
        <v>1200</v>
      </c>
      <c r="BA2636">
        <v>1</v>
      </c>
      <c r="BB2636" t="str">
        <f t="shared" si="1455"/>
        <v xml:space="preserve">N9217B  </v>
      </c>
      <c r="BC2636">
        <v>1</v>
      </c>
      <c r="BE2636">
        <v>0</v>
      </c>
      <c r="BF2636">
        <v>0</v>
      </c>
      <c r="BG2636">
        <v>0</v>
      </c>
      <c r="BH2636">
        <v>6625</v>
      </c>
      <c r="BI2636">
        <v>1</v>
      </c>
      <c r="BJ2636">
        <v>0</v>
      </c>
      <c r="BK2636">
        <v>0</v>
      </c>
      <c r="BL2636">
        <v>0</v>
      </c>
      <c r="BO2636">
        <v>0</v>
      </c>
      <c r="BP2636">
        <v>0</v>
      </c>
      <c r="BW2636" t="str">
        <f t="shared" si="1459"/>
        <v>14:55:30.885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119</v>
      </c>
      <c r="CQ2636">
        <v>285</v>
      </c>
      <c r="CR2636">
        <v>0</v>
      </c>
      <c r="CW2636">
        <v>8868682</v>
      </c>
      <c r="CY2636">
        <v>0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25">
      <c r="A2637" t="str">
        <f t="shared" si="1456"/>
        <v>06/05/2020 14:55:25.227</v>
      </c>
      <c r="C2637" t="str">
        <f t="shared" si="1434"/>
        <v>FFDFD3C0</v>
      </c>
      <c r="D2637" t="s">
        <v>148</v>
      </c>
      <c r="E2637">
        <v>11</v>
      </c>
      <c r="H2637">
        <v>53</v>
      </c>
      <c r="I2637" t="s">
        <v>364</v>
      </c>
      <c r="J2637" t="s">
        <v>150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457"/>
        <v>14:55:30.883</v>
      </c>
      <c r="T2637" t="str">
        <f t="shared" si="1458"/>
        <v>14:55:30.783</v>
      </c>
      <c r="U2637" t="str">
        <f t="shared" si="1454"/>
        <v>ACC530</v>
      </c>
      <c r="V2637">
        <v>0</v>
      </c>
      <c r="W2637">
        <v>0</v>
      </c>
      <c r="X2637">
        <v>1</v>
      </c>
      <c r="Z2637">
        <v>0</v>
      </c>
      <c r="AA2637">
        <v>9</v>
      </c>
      <c r="AB2637">
        <v>3</v>
      </c>
      <c r="AC2637">
        <v>0</v>
      </c>
      <c r="AD2637">
        <v>9</v>
      </c>
      <c r="AE2637">
        <v>0</v>
      </c>
      <c r="AF2637">
        <v>3</v>
      </c>
      <c r="AG2637">
        <v>1</v>
      </c>
      <c r="AH2637">
        <v>0</v>
      </c>
      <c r="AI2637" t="s">
        <v>922</v>
      </c>
      <c r="AJ2637">
        <v>34.136344999999999</v>
      </c>
      <c r="AK2637" t="s">
        <v>923</v>
      </c>
      <c r="AL2637">
        <v>-117.056966</v>
      </c>
      <c r="AM2637">
        <v>100</v>
      </c>
      <c r="AN2637">
        <v>6700</v>
      </c>
      <c r="AO2637" t="s">
        <v>118</v>
      </c>
      <c r="AP2637">
        <v>-24</v>
      </c>
      <c r="AQ2637">
        <v>-105</v>
      </c>
      <c r="AR2637">
        <v>-1088</v>
      </c>
      <c r="AZ2637">
        <v>1200</v>
      </c>
      <c r="BA2637">
        <v>1</v>
      </c>
      <c r="BB2637" t="str">
        <f t="shared" si="1455"/>
        <v xml:space="preserve">N9217B  </v>
      </c>
      <c r="BC2637">
        <v>1</v>
      </c>
      <c r="BE2637">
        <v>0</v>
      </c>
      <c r="BF2637">
        <v>0</v>
      </c>
      <c r="BG2637">
        <v>0</v>
      </c>
      <c r="BH2637">
        <v>6625</v>
      </c>
      <c r="BI2637">
        <v>1</v>
      </c>
      <c r="BJ2637">
        <v>0</v>
      </c>
      <c r="BK2637">
        <v>0</v>
      </c>
      <c r="BL2637">
        <v>0</v>
      </c>
      <c r="BO2637">
        <v>0</v>
      </c>
      <c r="BP2637">
        <v>0</v>
      </c>
      <c r="BW2637" t="str">
        <f t="shared" si="1459"/>
        <v>14:55:30.885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119</v>
      </c>
      <c r="CQ2637">
        <v>285</v>
      </c>
      <c r="CR2637">
        <v>0</v>
      </c>
      <c r="CW2637">
        <v>8868682</v>
      </c>
      <c r="CY2637">
        <v>0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25">
      <c r="A2638" t="str">
        <f t="shared" ref="A2638:A2644" si="1460">"06/05/2020 14:55:26.217"</f>
        <v>06/05/2020 14:55:26.217</v>
      </c>
      <c r="C2638" t="str">
        <f t="shared" si="1434"/>
        <v>FFDFD3C0</v>
      </c>
      <c r="D2638" t="s">
        <v>151</v>
      </c>
      <c r="E2638">
        <v>9</v>
      </c>
      <c r="H2638">
        <v>226</v>
      </c>
      <c r="I2638" t="s">
        <v>152</v>
      </c>
      <c r="J2638" t="s">
        <v>150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ref="S2638:T2644" si="1461">"14:55:31.867"</f>
        <v>14:55:31.867</v>
      </c>
      <c r="T2638" t="str">
        <f t="shared" si="1461"/>
        <v>14:55:31.867</v>
      </c>
      <c r="U2638" t="str">
        <f t="shared" si="1454"/>
        <v>ACC530</v>
      </c>
      <c r="V2638">
        <v>0</v>
      </c>
      <c r="W2638">
        <v>0</v>
      </c>
      <c r="X2638">
        <v>1</v>
      </c>
      <c r="Z2638">
        <v>0</v>
      </c>
      <c r="AA2638">
        <v>9</v>
      </c>
      <c r="AB2638">
        <v>3</v>
      </c>
      <c r="AC2638">
        <v>0</v>
      </c>
      <c r="AD2638">
        <v>9</v>
      </c>
      <c r="AE2638">
        <v>0</v>
      </c>
      <c r="AF2638">
        <v>3</v>
      </c>
      <c r="AG2638">
        <v>1</v>
      </c>
      <c r="AH2638">
        <v>0</v>
      </c>
      <c r="AI2638" t="s">
        <v>924</v>
      </c>
      <c r="AJ2638">
        <v>34.135872999999997</v>
      </c>
      <c r="AK2638" t="s">
        <v>925</v>
      </c>
      <c r="AL2638">
        <v>-117.057095</v>
      </c>
      <c r="AM2638">
        <v>100</v>
      </c>
      <c r="AN2638">
        <v>6700</v>
      </c>
      <c r="AO2638" t="s">
        <v>118</v>
      </c>
      <c r="AP2638">
        <v>-22</v>
      </c>
      <c r="AQ2638">
        <v>-106</v>
      </c>
      <c r="AR2638">
        <v>-1088</v>
      </c>
      <c r="AZ2638">
        <v>1200</v>
      </c>
      <c r="BA2638">
        <v>1</v>
      </c>
      <c r="BB2638" t="str">
        <f t="shared" si="1455"/>
        <v xml:space="preserve">N9217B  </v>
      </c>
      <c r="BC2638">
        <v>1</v>
      </c>
      <c r="BE2638">
        <v>0</v>
      </c>
      <c r="BF2638">
        <v>0</v>
      </c>
      <c r="BG2638">
        <v>0</v>
      </c>
      <c r="BH2638">
        <v>6625</v>
      </c>
      <c r="BI2638">
        <v>1</v>
      </c>
      <c r="BJ2638">
        <v>0</v>
      </c>
      <c r="BK2638">
        <v>0</v>
      </c>
      <c r="BL2638">
        <v>0</v>
      </c>
      <c r="BO2638">
        <v>0</v>
      </c>
      <c r="BP2638">
        <v>0</v>
      </c>
      <c r="BW2638" t="str">
        <f t="shared" ref="BW2638:BW2644" si="1462">"14:55:31.875"</f>
        <v>14:55:31.875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119</v>
      </c>
      <c r="CQ2638">
        <v>285</v>
      </c>
      <c r="CR2638">
        <v>0</v>
      </c>
      <c r="CW2638">
        <v>8868765</v>
      </c>
      <c r="CY2638">
        <v>0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25">
      <c r="A2639" t="str">
        <f t="shared" si="1460"/>
        <v>06/05/2020 14:55:26.217</v>
      </c>
      <c r="C2639" t="str">
        <f t="shared" si="1434"/>
        <v>FFDFD3C0</v>
      </c>
      <c r="D2639" t="s">
        <v>148</v>
      </c>
      <c r="E2639">
        <v>11</v>
      </c>
      <c r="H2639">
        <v>53</v>
      </c>
      <c r="I2639" t="s">
        <v>364</v>
      </c>
      <c r="J2639" t="s">
        <v>150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461"/>
        <v>14:55:31.867</v>
      </c>
      <c r="T2639" t="str">
        <f t="shared" si="1461"/>
        <v>14:55:31.867</v>
      </c>
      <c r="U2639" t="str">
        <f t="shared" si="1454"/>
        <v>ACC530</v>
      </c>
      <c r="V2639">
        <v>0</v>
      </c>
      <c r="W2639">
        <v>0</v>
      </c>
      <c r="X2639">
        <v>1</v>
      </c>
      <c r="Z2639">
        <v>0</v>
      </c>
      <c r="AA2639">
        <v>9</v>
      </c>
      <c r="AB2639">
        <v>3</v>
      </c>
      <c r="AC2639">
        <v>0</v>
      </c>
      <c r="AD2639">
        <v>9</v>
      </c>
      <c r="AE2639">
        <v>0</v>
      </c>
      <c r="AF2639">
        <v>3</v>
      </c>
      <c r="AG2639">
        <v>1</v>
      </c>
      <c r="AH2639">
        <v>0</v>
      </c>
      <c r="AI2639" t="s">
        <v>924</v>
      </c>
      <c r="AJ2639">
        <v>34.135872999999997</v>
      </c>
      <c r="AK2639" t="s">
        <v>925</v>
      </c>
      <c r="AL2639">
        <v>-117.057095</v>
      </c>
      <c r="AM2639">
        <v>100</v>
      </c>
      <c r="AN2639">
        <v>6700</v>
      </c>
      <c r="AO2639" t="s">
        <v>118</v>
      </c>
      <c r="AP2639">
        <v>-22</v>
      </c>
      <c r="AQ2639">
        <v>-106</v>
      </c>
      <c r="AR2639">
        <v>-1088</v>
      </c>
      <c r="AZ2639">
        <v>1200</v>
      </c>
      <c r="BA2639">
        <v>1</v>
      </c>
      <c r="BB2639" t="str">
        <f t="shared" si="1455"/>
        <v xml:space="preserve">N9217B  </v>
      </c>
      <c r="BC2639">
        <v>1</v>
      </c>
      <c r="BE2639">
        <v>0</v>
      </c>
      <c r="BF2639">
        <v>0</v>
      </c>
      <c r="BG2639">
        <v>0</v>
      </c>
      <c r="BH2639">
        <v>6625</v>
      </c>
      <c r="BI2639">
        <v>1</v>
      </c>
      <c r="BJ2639">
        <v>0</v>
      </c>
      <c r="BK2639">
        <v>0</v>
      </c>
      <c r="BL2639">
        <v>0</v>
      </c>
      <c r="BO2639">
        <v>0</v>
      </c>
      <c r="BP2639">
        <v>0</v>
      </c>
      <c r="BW2639" t="str">
        <f t="shared" si="1462"/>
        <v>14:55:31.875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119</v>
      </c>
      <c r="CQ2639">
        <v>285</v>
      </c>
      <c r="CR2639">
        <v>0</v>
      </c>
      <c r="CW2639">
        <v>8868765</v>
      </c>
      <c r="CY2639">
        <v>0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25">
      <c r="A2640" t="str">
        <f t="shared" si="1460"/>
        <v>06/05/2020 14:55:26.217</v>
      </c>
      <c r="C2640" t="str">
        <f t="shared" si="1434"/>
        <v>FFDFD3C0</v>
      </c>
      <c r="D2640" t="s">
        <v>113</v>
      </c>
      <c r="E2640">
        <v>3</v>
      </c>
      <c r="H2640">
        <v>166</v>
      </c>
      <c r="I2640" t="s">
        <v>114</v>
      </c>
      <c r="J2640" t="s">
        <v>115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461"/>
        <v>14:55:31.867</v>
      </c>
      <c r="T2640" t="str">
        <f t="shared" si="1461"/>
        <v>14:55:31.867</v>
      </c>
      <c r="U2640" t="str">
        <f t="shared" si="1454"/>
        <v>ACC530</v>
      </c>
      <c r="V2640">
        <v>0</v>
      </c>
      <c r="W2640">
        <v>0</v>
      </c>
      <c r="X2640">
        <v>1</v>
      </c>
      <c r="Z2640">
        <v>0</v>
      </c>
      <c r="AA2640">
        <v>9</v>
      </c>
      <c r="AB2640">
        <v>3</v>
      </c>
      <c r="AC2640">
        <v>0</v>
      </c>
      <c r="AD2640">
        <v>9</v>
      </c>
      <c r="AE2640">
        <v>0</v>
      </c>
      <c r="AF2640">
        <v>3</v>
      </c>
      <c r="AG2640">
        <v>1</v>
      </c>
      <c r="AH2640">
        <v>0</v>
      </c>
      <c r="AI2640" t="s">
        <v>924</v>
      </c>
      <c r="AJ2640">
        <v>34.135872999999997</v>
      </c>
      <c r="AK2640" t="s">
        <v>925</v>
      </c>
      <c r="AL2640">
        <v>-117.057095</v>
      </c>
      <c r="AM2640">
        <v>100</v>
      </c>
      <c r="AN2640">
        <v>6700</v>
      </c>
      <c r="AO2640" t="s">
        <v>118</v>
      </c>
      <c r="AP2640">
        <v>-22</v>
      </c>
      <c r="AQ2640">
        <v>-106</v>
      </c>
      <c r="AR2640">
        <v>-1088</v>
      </c>
      <c r="AZ2640">
        <v>1200</v>
      </c>
      <c r="BA2640">
        <v>1</v>
      </c>
      <c r="BB2640" t="str">
        <f t="shared" si="1455"/>
        <v xml:space="preserve">N9217B  </v>
      </c>
      <c r="BC2640">
        <v>1</v>
      </c>
      <c r="BE2640">
        <v>0</v>
      </c>
      <c r="BF2640">
        <v>0</v>
      </c>
      <c r="BG2640">
        <v>0</v>
      </c>
      <c r="BH2640">
        <v>6625</v>
      </c>
      <c r="BI2640">
        <v>1</v>
      </c>
      <c r="BJ2640">
        <v>0</v>
      </c>
      <c r="BK2640">
        <v>0</v>
      </c>
      <c r="BL2640">
        <v>0</v>
      </c>
      <c r="BO2640">
        <v>0</v>
      </c>
      <c r="BP2640">
        <v>0</v>
      </c>
      <c r="BW2640" t="str">
        <f t="shared" si="1462"/>
        <v>14:55:31.875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7</v>
      </c>
      <c r="CP2640" t="s">
        <v>119</v>
      </c>
      <c r="CQ2640">
        <v>285</v>
      </c>
      <c r="CR2640">
        <v>0</v>
      </c>
      <c r="CW2640">
        <v>8868765</v>
      </c>
      <c r="CY2640">
        <v>0</v>
      </c>
      <c r="CZ2640">
        <v>0</v>
      </c>
      <c r="DA2640">
        <v>1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25">
      <c r="A2641" t="str">
        <f t="shared" si="1460"/>
        <v>06/05/2020 14:55:26.217</v>
      </c>
      <c r="C2641" t="str">
        <f t="shared" si="1434"/>
        <v>FFDFD3C0</v>
      </c>
      <c r="D2641" t="s">
        <v>148</v>
      </c>
      <c r="E2641">
        <v>8</v>
      </c>
      <c r="H2641">
        <v>50</v>
      </c>
      <c r="I2641" t="s">
        <v>149</v>
      </c>
      <c r="J2641" t="s">
        <v>150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461"/>
        <v>14:55:31.867</v>
      </c>
      <c r="T2641" t="str">
        <f t="shared" si="1461"/>
        <v>14:55:31.867</v>
      </c>
      <c r="U2641" t="str">
        <f t="shared" si="1454"/>
        <v>ACC530</v>
      </c>
      <c r="V2641">
        <v>0</v>
      </c>
      <c r="W2641">
        <v>0</v>
      </c>
      <c r="X2641">
        <v>1</v>
      </c>
      <c r="Z2641">
        <v>0</v>
      </c>
      <c r="AA2641">
        <v>9</v>
      </c>
      <c r="AB2641">
        <v>3</v>
      </c>
      <c r="AC2641">
        <v>0</v>
      </c>
      <c r="AD2641">
        <v>9</v>
      </c>
      <c r="AE2641">
        <v>0</v>
      </c>
      <c r="AF2641">
        <v>3</v>
      </c>
      <c r="AG2641">
        <v>1</v>
      </c>
      <c r="AH2641">
        <v>0</v>
      </c>
      <c r="AI2641" t="s">
        <v>924</v>
      </c>
      <c r="AJ2641">
        <v>34.135872999999997</v>
      </c>
      <c r="AK2641" t="s">
        <v>925</v>
      </c>
      <c r="AL2641">
        <v>-117.057095</v>
      </c>
      <c r="AM2641">
        <v>100</v>
      </c>
      <c r="AN2641">
        <v>6700</v>
      </c>
      <c r="AO2641" t="s">
        <v>118</v>
      </c>
      <c r="AP2641">
        <v>-22</v>
      </c>
      <c r="AQ2641">
        <v>-106</v>
      </c>
      <c r="AR2641">
        <v>-1088</v>
      </c>
      <c r="AZ2641">
        <v>1200</v>
      </c>
      <c r="BA2641">
        <v>1</v>
      </c>
      <c r="BB2641" t="str">
        <f t="shared" si="1455"/>
        <v xml:space="preserve">N9217B  </v>
      </c>
      <c r="BC2641">
        <v>1</v>
      </c>
      <c r="BE2641">
        <v>0</v>
      </c>
      <c r="BF2641">
        <v>0</v>
      </c>
      <c r="BG2641">
        <v>0</v>
      </c>
      <c r="BH2641">
        <v>6625</v>
      </c>
      <c r="BI2641">
        <v>1</v>
      </c>
      <c r="BJ2641">
        <v>0</v>
      </c>
      <c r="BK2641">
        <v>0</v>
      </c>
      <c r="BL2641">
        <v>0</v>
      </c>
      <c r="BO2641">
        <v>0</v>
      </c>
      <c r="BP2641">
        <v>0</v>
      </c>
      <c r="BW2641" t="str">
        <f t="shared" si="1462"/>
        <v>14:55:31.875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119</v>
      </c>
      <c r="CQ2641">
        <v>285</v>
      </c>
      <c r="CR2641">
        <v>0</v>
      </c>
      <c r="CW2641">
        <v>8868765</v>
      </c>
      <c r="CY2641">
        <v>0</v>
      </c>
      <c r="CZ2641">
        <v>0</v>
      </c>
      <c r="DA2641">
        <v>1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25">
      <c r="A2642" t="str">
        <f t="shared" si="1460"/>
        <v>06/05/2020 14:55:26.217</v>
      </c>
      <c r="C2642" t="str">
        <f t="shared" si="1434"/>
        <v>FFDFD3C0</v>
      </c>
      <c r="D2642" t="s">
        <v>151</v>
      </c>
      <c r="E2642">
        <v>8</v>
      </c>
      <c r="H2642">
        <v>225</v>
      </c>
      <c r="I2642" t="s">
        <v>353</v>
      </c>
      <c r="J2642" t="s">
        <v>150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461"/>
        <v>14:55:31.867</v>
      </c>
      <c r="T2642" t="str">
        <f t="shared" si="1461"/>
        <v>14:55:31.867</v>
      </c>
      <c r="U2642" t="str">
        <f t="shared" si="1454"/>
        <v>ACC530</v>
      </c>
      <c r="V2642">
        <v>0</v>
      </c>
      <c r="W2642">
        <v>0</v>
      </c>
      <c r="X2642">
        <v>1</v>
      </c>
      <c r="Z2642">
        <v>0</v>
      </c>
      <c r="AA2642">
        <v>9</v>
      </c>
      <c r="AB2642">
        <v>3</v>
      </c>
      <c r="AC2642">
        <v>0</v>
      </c>
      <c r="AD2642">
        <v>9</v>
      </c>
      <c r="AE2642">
        <v>0</v>
      </c>
      <c r="AF2642">
        <v>3</v>
      </c>
      <c r="AG2642">
        <v>1</v>
      </c>
      <c r="AH2642">
        <v>0</v>
      </c>
      <c r="AI2642" t="s">
        <v>924</v>
      </c>
      <c r="AJ2642">
        <v>34.135872999999997</v>
      </c>
      <c r="AK2642" t="s">
        <v>925</v>
      </c>
      <c r="AL2642">
        <v>-117.057095</v>
      </c>
      <c r="AM2642">
        <v>100</v>
      </c>
      <c r="AN2642">
        <v>6700</v>
      </c>
      <c r="AO2642" t="s">
        <v>118</v>
      </c>
      <c r="AP2642">
        <v>-22</v>
      </c>
      <c r="AQ2642">
        <v>-106</v>
      </c>
      <c r="AR2642">
        <v>-1088</v>
      </c>
      <c r="AZ2642">
        <v>1200</v>
      </c>
      <c r="BA2642">
        <v>1</v>
      </c>
      <c r="BB2642" t="str">
        <f t="shared" si="1455"/>
        <v xml:space="preserve">N9217B  </v>
      </c>
      <c r="BC2642">
        <v>1</v>
      </c>
      <c r="BE2642">
        <v>0</v>
      </c>
      <c r="BF2642">
        <v>0</v>
      </c>
      <c r="BG2642">
        <v>0</v>
      </c>
      <c r="BH2642">
        <v>6625</v>
      </c>
      <c r="BI2642">
        <v>1</v>
      </c>
      <c r="BJ2642">
        <v>0</v>
      </c>
      <c r="BK2642">
        <v>0</v>
      </c>
      <c r="BL2642">
        <v>0</v>
      </c>
      <c r="BO2642">
        <v>0</v>
      </c>
      <c r="BP2642">
        <v>0</v>
      </c>
      <c r="BW2642" t="str">
        <f t="shared" si="1462"/>
        <v>14:55:31.875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285</v>
      </c>
      <c r="CR2642">
        <v>0</v>
      </c>
      <c r="CW2642">
        <v>8868765</v>
      </c>
      <c r="CY2642">
        <v>0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25">
      <c r="A2643" t="str">
        <f t="shared" si="1460"/>
        <v>06/05/2020 14:55:26.217</v>
      </c>
      <c r="C2643" t="str">
        <f t="shared" si="1434"/>
        <v>FFDFD3C0</v>
      </c>
      <c r="D2643" t="s">
        <v>134</v>
      </c>
      <c r="E2643">
        <v>7</v>
      </c>
      <c r="F2643">
        <v>2007</v>
      </c>
      <c r="G2643" t="s">
        <v>135</v>
      </c>
      <c r="J2643" t="s">
        <v>136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461"/>
        <v>14:55:31.867</v>
      </c>
      <c r="T2643" t="str">
        <f t="shared" si="1461"/>
        <v>14:55:31.867</v>
      </c>
      <c r="U2643" t="str">
        <f t="shared" si="1454"/>
        <v>ACC530</v>
      </c>
      <c r="V2643">
        <v>0</v>
      </c>
      <c r="W2643">
        <v>0</v>
      </c>
      <c r="X2643">
        <v>1</v>
      </c>
      <c r="Z2643">
        <v>0</v>
      </c>
      <c r="AA2643">
        <v>9</v>
      </c>
      <c r="AB2643">
        <v>3</v>
      </c>
      <c r="AC2643">
        <v>0</v>
      </c>
      <c r="AD2643">
        <v>9</v>
      </c>
      <c r="AE2643">
        <v>0</v>
      </c>
      <c r="AF2643">
        <v>3</v>
      </c>
      <c r="AG2643">
        <v>1</v>
      </c>
      <c r="AH2643">
        <v>0</v>
      </c>
      <c r="AI2643" t="s">
        <v>924</v>
      </c>
      <c r="AJ2643">
        <v>34.135872999999997</v>
      </c>
      <c r="AK2643" t="s">
        <v>925</v>
      </c>
      <c r="AL2643">
        <v>-117.057095</v>
      </c>
      <c r="AM2643">
        <v>100</v>
      </c>
      <c r="AN2643">
        <v>6700</v>
      </c>
      <c r="AO2643" t="s">
        <v>118</v>
      </c>
      <c r="AP2643">
        <v>-22</v>
      </c>
      <c r="AQ2643">
        <v>-106</v>
      </c>
      <c r="AR2643">
        <v>-1088</v>
      </c>
      <c r="AZ2643">
        <v>1200</v>
      </c>
      <c r="BA2643">
        <v>1</v>
      </c>
      <c r="BB2643" t="str">
        <f t="shared" si="1455"/>
        <v xml:space="preserve">N9217B  </v>
      </c>
      <c r="BC2643">
        <v>1</v>
      </c>
      <c r="BE2643">
        <v>0</v>
      </c>
      <c r="BF2643">
        <v>0</v>
      </c>
      <c r="BG2643">
        <v>0</v>
      </c>
      <c r="BH2643">
        <v>6625</v>
      </c>
      <c r="BI2643">
        <v>1</v>
      </c>
      <c r="BJ2643">
        <v>0</v>
      </c>
      <c r="BK2643">
        <v>0</v>
      </c>
      <c r="BL2643">
        <v>0</v>
      </c>
      <c r="BO2643">
        <v>0</v>
      </c>
      <c r="BP2643">
        <v>0</v>
      </c>
      <c r="BW2643" t="str">
        <f t="shared" si="1462"/>
        <v>14:55:31.875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285</v>
      </c>
      <c r="CR2643">
        <v>0</v>
      </c>
      <c r="CW2643">
        <v>8868765</v>
      </c>
      <c r="CY2643">
        <v>0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25">
      <c r="A2644" t="str">
        <f t="shared" si="1460"/>
        <v>06/05/2020 14:55:26.217</v>
      </c>
      <c r="C2644" t="str">
        <f t="shared" si="1434"/>
        <v>FFDFD3C0</v>
      </c>
      <c r="D2644" t="s">
        <v>141</v>
      </c>
      <c r="E2644">
        <v>20</v>
      </c>
      <c r="F2644">
        <v>1020</v>
      </c>
      <c r="G2644" t="s">
        <v>114</v>
      </c>
      <c r="J2644" t="s">
        <v>142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461"/>
        <v>14:55:31.867</v>
      </c>
      <c r="T2644" t="str">
        <f t="shared" si="1461"/>
        <v>14:55:31.867</v>
      </c>
      <c r="U2644" t="str">
        <f t="shared" si="1454"/>
        <v>ACC530</v>
      </c>
      <c r="V2644">
        <v>0</v>
      </c>
      <c r="W2644">
        <v>0</v>
      </c>
      <c r="X2644">
        <v>1</v>
      </c>
      <c r="Z2644">
        <v>0</v>
      </c>
      <c r="AA2644">
        <v>9</v>
      </c>
      <c r="AB2644">
        <v>3</v>
      </c>
      <c r="AC2644">
        <v>0</v>
      </c>
      <c r="AD2644">
        <v>9</v>
      </c>
      <c r="AE2644">
        <v>0</v>
      </c>
      <c r="AF2644">
        <v>3</v>
      </c>
      <c r="AG2644">
        <v>1</v>
      </c>
      <c r="AH2644">
        <v>0</v>
      </c>
      <c r="AI2644" t="s">
        <v>924</v>
      </c>
      <c r="AJ2644">
        <v>34.135872999999997</v>
      </c>
      <c r="AK2644" t="s">
        <v>925</v>
      </c>
      <c r="AL2644">
        <v>-117.057095</v>
      </c>
      <c r="AM2644">
        <v>100</v>
      </c>
      <c r="AN2644">
        <v>6700</v>
      </c>
      <c r="AO2644" t="s">
        <v>118</v>
      </c>
      <c r="AP2644">
        <v>-22</v>
      </c>
      <c r="AQ2644">
        <v>-106</v>
      </c>
      <c r="AR2644">
        <v>-1088</v>
      </c>
      <c r="AZ2644">
        <v>1200</v>
      </c>
      <c r="BA2644">
        <v>1</v>
      </c>
      <c r="BB2644" t="str">
        <f t="shared" si="1455"/>
        <v xml:space="preserve">N9217B  </v>
      </c>
      <c r="BC2644">
        <v>1</v>
      </c>
      <c r="BE2644">
        <v>0</v>
      </c>
      <c r="BF2644">
        <v>0</v>
      </c>
      <c r="BG2644">
        <v>0</v>
      </c>
      <c r="BH2644">
        <v>6625</v>
      </c>
      <c r="BI2644">
        <v>1</v>
      </c>
      <c r="BJ2644">
        <v>0</v>
      </c>
      <c r="BK2644">
        <v>0</v>
      </c>
      <c r="BL2644">
        <v>0</v>
      </c>
      <c r="BO2644">
        <v>0</v>
      </c>
      <c r="BP2644">
        <v>0</v>
      </c>
      <c r="BW2644" t="str">
        <f t="shared" si="1462"/>
        <v>14:55:31.875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285</v>
      </c>
      <c r="CR2644">
        <v>0</v>
      </c>
      <c r="CW2644">
        <v>8868765</v>
      </c>
      <c r="CY2644">
        <v>0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25">
      <c r="A2645" t="str">
        <f t="shared" ref="A2645:A2651" si="1463">"06/05/2020 14:55:27.234"</f>
        <v>06/05/2020 14:55:27.234</v>
      </c>
      <c r="C2645" t="str">
        <f t="shared" si="1434"/>
        <v>FFDFD3C0</v>
      </c>
      <c r="D2645" t="s">
        <v>148</v>
      </c>
      <c r="E2645">
        <v>11</v>
      </c>
      <c r="H2645">
        <v>53</v>
      </c>
      <c r="I2645" t="s">
        <v>364</v>
      </c>
      <c r="J2645" t="s">
        <v>150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ref="S2645:T2651" si="1464">"14:55:32.891"</f>
        <v>14:55:32.891</v>
      </c>
      <c r="T2645" t="str">
        <f t="shared" si="1464"/>
        <v>14:55:32.891</v>
      </c>
      <c r="U2645" t="str">
        <f t="shared" si="1454"/>
        <v>ACC530</v>
      </c>
      <c r="V2645">
        <v>0</v>
      </c>
      <c r="W2645">
        <v>0</v>
      </c>
      <c r="X2645">
        <v>1</v>
      </c>
      <c r="Z2645">
        <v>0</v>
      </c>
      <c r="AA2645">
        <v>9</v>
      </c>
      <c r="AB2645">
        <v>3</v>
      </c>
      <c r="AC2645">
        <v>0</v>
      </c>
      <c r="AD2645">
        <v>9</v>
      </c>
      <c r="AE2645">
        <v>0</v>
      </c>
      <c r="AF2645">
        <v>3</v>
      </c>
      <c r="AG2645">
        <v>1</v>
      </c>
      <c r="AH2645">
        <v>0</v>
      </c>
      <c r="AI2645" t="s">
        <v>926</v>
      </c>
      <c r="AJ2645">
        <v>34.135401000000002</v>
      </c>
      <c r="AK2645" t="s">
        <v>927</v>
      </c>
      <c r="AL2645">
        <v>-117.057202</v>
      </c>
      <c r="AM2645">
        <v>100</v>
      </c>
      <c r="AN2645">
        <v>6700</v>
      </c>
      <c r="AO2645" t="s">
        <v>118</v>
      </c>
      <c r="AP2645">
        <v>-20</v>
      </c>
      <c r="AQ2645">
        <v>-106</v>
      </c>
      <c r="AR2645">
        <v>-1024</v>
      </c>
      <c r="AZ2645">
        <v>1200</v>
      </c>
      <c r="BA2645">
        <v>1</v>
      </c>
      <c r="BB2645" t="str">
        <f t="shared" si="1455"/>
        <v xml:space="preserve">N9217B  </v>
      </c>
      <c r="BC2645">
        <v>1</v>
      </c>
      <c r="BE2645">
        <v>0</v>
      </c>
      <c r="BF2645">
        <v>0</v>
      </c>
      <c r="BG2645">
        <v>0</v>
      </c>
      <c r="BH2645">
        <v>6600</v>
      </c>
      <c r="BI2645">
        <v>1</v>
      </c>
      <c r="BJ2645">
        <v>0</v>
      </c>
      <c r="BK2645">
        <v>0</v>
      </c>
      <c r="BL2645">
        <v>0</v>
      </c>
      <c r="BO2645">
        <v>0</v>
      </c>
      <c r="BP2645">
        <v>0</v>
      </c>
      <c r="BW2645" t="str">
        <f t="shared" ref="BW2645:BW2651" si="1465">"14:55:32.894"</f>
        <v>14:55:32.894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285</v>
      </c>
      <c r="CR2645">
        <v>0</v>
      </c>
      <c r="CW2645">
        <v>8868858</v>
      </c>
      <c r="CY2645">
        <v>0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25">
      <c r="A2646" t="str">
        <f t="shared" si="1463"/>
        <v>06/05/2020 14:55:27.234</v>
      </c>
      <c r="C2646" t="str">
        <f t="shared" si="1434"/>
        <v>FFDFD3C0</v>
      </c>
      <c r="D2646" t="s">
        <v>113</v>
      </c>
      <c r="E2646">
        <v>3</v>
      </c>
      <c r="H2646">
        <v>166</v>
      </c>
      <c r="I2646" t="s">
        <v>114</v>
      </c>
      <c r="J2646" t="s">
        <v>115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464"/>
        <v>14:55:32.891</v>
      </c>
      <c r="T2646" t="str">
        <f t="shared" si="1464"/>
        <v>14:55:32.891</v>
      </c>
      <c r="U2646" t="str">
        <f t="shared" si="1454"/>
        <v>ACC530</v>
      </c>
      <c r="V2646">
        <v>0</v>
      </c>
      <c r="W2646">
        <v>0</v>
      </c>
      <c r="X2646">
        <v>1</v>
      </c>
      <c r="Z2646">
        <v>0</v>
      </c>
      <c r="AA2646">
        <v>9</v>
      </c>
      <c r="AB2646">
        <v>3</v>
      </c>
      <c r="AC2646">
        <v>0</v>
      </c>
      <c r="AD2646">
        <v>9</v>
      </c>
      <c r="AE2646">
        <v>0</v>
      </c>
      <c r="AF2646">
        <v>3</v>
      </c>
      <c r="AG2646">
        <v>1</v>
      </c>
      <c r="AH2646">
        <v>0</v>
      </c>
      <c r="AI2646" t="s">
        <v>926</v>
      </c>
      <c r="AJ2646">
        <v>34.135401000000002</v>
      </c>
      <c r="AK2646" t="s">
        <v>927</v>
      </c>
      <c r="AL2646">
        <v>-117.057202</v>
      </c>
      <c r="AM2646">
        <v>100</v>
      </c>
      <c r="AN2646">
        <v>6700</v>
      </c>
      <c r="AO2646" t="s">
        <v>118</v>
      </c>
      <c r="AP2646">
        <v>-20</v>
      </c>
      <c r="AQ2646">
        <v>-106</v>
      </c>
      <c r="AR2646">
        <v>-1024</v>
      </c>
      <c r="AZ2646">
        <v>1200</v>
      </c>
      <c r="BA2646">
        <v>1</v>
      </c>
      <c r="BB2646" t="str">
        <f t="shared" si="1455"/>
        <v xml:space="preserve">N9217B  </v>
      </c>
      <c r="BC2646">
        <v>1</v>
      </c>
      <c r="BE2646">
        <v>0</v>
      </c>
      <c r="BF2646">
        <v>0</v>
      </c>
      <c r="BG2646">
        <v>0</v>
      </c>
      <c r="BH2646">
        <v>6600</v>
      </c>
      <c r="BI2646">
        <v>1</v>
      </c>
      <c r="BJ2646">
        <v>0</v>
      </c>
      <c r="BK2646">
        <v>0</v>
      </c>
      <c r="BL2646">
        <v>0</v>
      </c>
      <c r="BO2646">
        <v>0</v>
      </c>
      <c r="BP2646">
        <v>0</v>
      </c>
      <c r="BW2646" t="str">
        <f t="shared" si="1465"/>
        <v>14:55:32.894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285</v>
      </c>
      <c r="CR2646">
        <v>0</v>
      </c>
      <c r="CW2646">
        <v>8868858</v>
      </c>
      <c r="CY2646">
        <v>0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25">
      <c r="A2647" t="str">
        <f t="shared" si="1463"/>
        <v>06/05/2020 14:55:27.234</v>
      </c>
      <c r="C2647" t="str">
        <f t="shared" si="1434"/>
        <v>FFDFD3C0</v>
      </c>
      <c r="D2647" t="s">
        <v>148</v>
      </c>
      <c r="E2647">
        <v>8</v>
      </c>
      <c r="H2647">
        <v>50</v>
      </c>
      <c r="I2647" t="s">
        <v>149</v>
      </c>
      <c r="J2647" t="s">
        <v>150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464"/>
        <v>14:55:32.891</v>
      </c>
      <c r="T2647" t="str">
        <f t="shared" si="1464"/>
        <v>14:55:32.891</v>
      </c>
      <c r="U2647" t="str">
        <f t="shared" si="1454"/>
        <v>ACC530</v>
      </c>
      <c r="V2647">
        <v>0</v>
      </c>
      <c r="W2647">
        <v>0</v>
      </c>
      <c r="X2647">
        <v>1</v>
      </c>
      <c r="Z2647">
        <v>0</v>
      </c>
      <c r="AA2647">
        <v>9</v>
      </c>
      <c r="AB2647">
        <v>3</v>
      </c>
      <c r="AC2647">
        <v>0</v>
      </c>
      <c r="AD2647">
        <v>9</v>
      </c>
      <c r="AE2647">
        <v>0</v>
      </c>
      <c r="AF2647">
        <v>3</v>
      </c>
      <c r="AG2647">
        <v>1</v>
      </c>
      <c r="AH2647">
        <v>0</v>
      </c>
      <c r="AI2647" t="s">
        <v>926</v>
      </c>
      <c r="AJ2647">
        <v>34.135401000000002</v>
      </c>
      <c r="AK2647" t="s">
        <v>927</v>
      </c>
      <c r="AL2647">
        <v>-117.057202</v>
      </c>
      <c r="AM2647">
        <v>100</v>
      </c>
      <c r="AN2647">
        <v>6700</v>
      </c>
      <c r="AO2647" t="s">
        <v>118</v>
      </c>
      <c r="AP2647">
        <v>-20</v>
      </c>
      <c r="AQ2647">
        <v>-106</v>
      </c>
      <c r="AR2647">
        <v>-1024</v>
      </c>
      <c r="AZ2647">
        <v>1200</v>
      </c>
      <c r="BA2647">
        <v>1</v>
      </c>
      <c r="BB2647" t="str">
        <f t="shared" si="1455"/>
        <v xml:space="preserve">N9217B  </v>
      </c>
      <c r="BC2647">
        <v>1</v>
      </c>
      <c r="BE2647">
        <v>0</v>
      </c>
      <c r="BF2647">
        <v>0</v>
      </c>
      <c r="BG2647">
        <v>0</v>
      </c>
      <c r="BH2647">
        <v>6600</v>
      </c>
      <c r="BI2647">
        <v>1</v>
      </c>
      <c r="BJ2647">
        <v>0</v>
      </c>
      <c r="BK2647">
        <v>0</v>
      </c>
      <c r="BL2647">
        <v>0</v>
      </c>
      <c r="BO2647">
        <v>0</v>
      </c>
      <c r="BP2647">
        <v>0</v>
      </c>
      <c r="BW2647" t="str">
        <f t="shared" si="1465"/>
        <v>14:55:32.894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285</v>
      </c>
      <c r="CR2647">
        <v>0</v>
      </c>
      <c r="CW2647">
        <v>8868858</v>
      </c>
      <c r="CY2647">
        <v>0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25">
      <c r="A2648" t="str">
        <f t="shared" si="1463"/>
        <v>06/05/2020 14:55:27.234</v>
      </c>
      <c r="C2648" t="str">
        <f t="shared" si="1434"/>
        <v>FFDFD3C0</v>
      </c>
      <c r="D2648" t="s">
        <v>134</v>
      </c>
      <c r="E2648">
        <v>7</v>
      </c>
      <c r="F2648">
        <v>2007</v>
      </c>
      <c r="G2648" t="s">
        <v>135</v>
      </c>
      <c r="J2648" t="s">
        <v>136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464"/>
        <v>14:55:32.891</v>
      </c>
      <c r="T2648" t="str">
        <f t="shared" si="1464"/>
        <v>14:55:32.891</v>
      </c>
      <c r="U2648" t="str">
        <f t="shared" si="1454"/>
        <v>ACC530</v>
      </c>
      <c r="V2648">
        <v>0</v>
      </c>
      <c r="W2648">
        <v>0</v>
      </c>
      <c r="X2648">
        <v>1</v>
      </c>
      <c r="Z2648">
        <v>0</v>
      </c>
      <c r="AA2648">
        <v>9</v>
      </c>
      <c r="AB2648">
        <v>3</v>
      </c>
      <c r="AC2648">
        <v>0</v>
      </c>
      <c r="AD2648">
        <v>9</v>
      </c>
      <c r="AE2648">
        <v>0</v>
      </c>
      <c r="AF2648">
        <v>3</v>
      </c>
      <c r="AG2648">
        <v>1</v>
      </c>
      <c r="AH2648">
        <v>0</v>
      </c>
      <c r="AI2648" t="s">
        <v>926</v>
      </c>
      <c r="AJ2648">
        <v>34.135401000000002</v>
      </c>
      <c r="AK2648" t="s">
        <v>927</v>
      </c>
      <c r="AL2648">
        <v>-117.057202</v>
      </c>
      <c r="AM2648">
        <v>100</v>
      </c>
      <c r="AN2648">
        <v>6700</v>
      </c>
      <c r="AO2648" t="s">
        <v>118</v>
      </c>
      <c r="AP2648">
        <v>-20</v>
      </c>
      <c r="AQ2648">
        <v>-106</v>
      </c>
      <c r="AR2648">
        <v>-1024</v>
      </c>
      <c r="AZ2648">
        <v>1200</v>
      </c>
      <c r="BA2648">
        <v>1</v>
      </c>
      <c r="BB2648" t="str">
        <f t="shared" si="1455"/>
        <v xml:space="preserve">N9217B  </v>
      </c>
      <c r="BC2648">
        <v>1</v>
      </c>
      <c r="BE2648">
        <v>0</v>
      </c>
      <c r="BF2648">
        <v>0</v>
      </c>
      <c r="BG2648">
        <v>0</v>
      </c>
      <c r="BH2648">
        <v>6600</v>
      </c>
      <c r="BI2648">
        <v>1</v>
      </c>
      <c r="BJ2648">
        <v>0</v>
      </c>
      <c r="BK2648">
        <v>0</v>
      </c>
      <c r="BL2648">
        <v>0</v>
      </c>
      <c r="BO2648">
        <v>0</v>
      </c>
      <c r="BP2648">
        <v>0</v>
      </c>
      <c r="BW2648" t="str">
        <f t="shared" si="1465"/>
        <v>14:55:32.894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285</v>
      </c>
      <c r="CR2648">
        <v>0</v>
      </c>
      <c r="CW2648">
        <v>8868858</v>
      </c>
      <c r="CY2648">
        <v>0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25">
      <c r="A2649" t="str">
        <f t="shared" si="1463"/>
        <v>06/05/2020 14:55:27.234</v>
      </c>
      <c r="C2649" t="str">
        <f t="shared" si="1434"/>
        <v>FFDFD3C0</v>
      </c>
      <c r="D2649" t="s">
        <v>151</v>
      </c>
      <c r="E2649">
        <v>8</v>
      </c>
      <c r="H2649">
        <v>225</v>
      </c>
      <c r="I2649" t="s">
        <v>353</v>
      </c>
      <c r="J2649" t="s">
        <v>150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464"/>
        <v>14:55:32.891</v>
      </c>
      <c r="T2649" t="str">
        <f t="shared" si="1464"/>
        <v>14:55:32.891</v>
      </c>
      <c r="U2649" t="str">
        <f t="shared" si="1454"/>
        <v>ACC530</v>
      </c>
      <c r="V2649">
        <v>0</v>
      </c>
      <c r="W2649">
        <v>0</v>
      </c>
      <c r="X2649">
        <v>1</v>
      </c>
      <c r="Z2649">
        <v>0</v>
      </c>
      <c r="AA2649">
        <v>9</v>
      </c>
      <c r="AB2649">
        <v>3</v>
      </c>
      <c r="AC2649">
        <v>0</v>
      </c>
      <c r="AD2649">
        <v>9</v>
      </c>
      <c r="AE2649">
        <v>0</v>
      </c>
      <c r="AF2649">
        <v>3</v>
      </c>
      <c r="AG2649">
        <v>1</v>
      </c>
      <c r="AH2649">
        <v>0</v>
      </c>
      <c r="AI2649" t="s">
        <v>926</v>
      </c>
      <c r="AJ2649">
        <v>34.135401000000002</v>
      </c>
      <c r="AK2649" t="s">
        <v>927</v>
      </c>
      <c r="AL2649">
        <v>-117.057202</v>
      </c>
      <c r="AM2649">
        <v>100</v>
      </c>
      <c r="AN2649">
        <v>6700</v>
      </c>
      <c r="AO2649" t="s">
        <v>118</v>
      </c>
      <c r="AP2649">
        <v>-20</v>
      </c>
      <c r="AQ2649">
        <v>-106</v>
      </c>
      <c r="AR2649">
        <v>-1024</v>
      </c>
      <c r="AZ2649">
        <v>1200</v>
      </c>
      <c r="BA2649">
        <v>1</v>
      </c>
      <c r="BB2649" t="str">
        <f t="shared" si="1455"/>
        <v xml:space="preserve">N9217B  </v>
      </c>
      <c r="BC2649">
        <v>1</v>
      </c>
      <c r="BE2649">
        <v>0</v>
      </c>
      <c r="BF2649">
        <v>0</v>
      </c>
      <c r="BG2649">
        <v>0</v>
      </c>
      <c r="BH2649">
        <v>6600</v>
      </c>
      <c r="BI2649">
        <v>1</v>
      </c>
      <c r="BJ2649">
        <v>0</v>
      </c>
      <c r="BK2649">
        <v>0</v>
      </c>
      <c r="BL2649">
        <v>0</v>
      </c>
      <c r="BO2649">
        <v>0</v>
      </c>
      <c r="BP2649">
        <v>0</v>
      </c>
      <c r="BW2649" t="str">
        <f t="shared" si="1465"/>
        <v>14:55:32.894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285</v>
      </c>
      <c r="CR2649">
        <v>0</v>
      </c>
      <c r="CW2649">
        <v>8868858</v>
      </c>
      <c r="CY2649">
        <v>0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25">
      <c r="A2650" t="str">
        <f t="shared" si="1463"/>
        <v>06/05/2020 14:55:27.234</v>
      </c>
      <c r="C2650" t="str">
        <f t="shared" si="1434"/>
        <v>FFDFD3C0</v>
      </c>
      <c r="D2650" t="s">
        <v>141</v>
      </c>
      <c r="E2650">
        <v>20</v>
      </c>
      <c r="F2650">
        <v>1020</v>
      </c>
      <c r="G2650" t="s">
        <v>114</v>
      </c>
      <c r="J2650" t="s">
        <v>142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464"/>
        <v>14:55:32.891</v>
      </c>
      <c r="T2650" t="str">
        <f t="shared" si="1464"/>
        <v>14:55:32.891</v>
      </c>
      <c r="U2650" t="str">
        <f t="shared" si="1454"/>
        <v>ACC530</v>
      </c>
      <c r="V2650">
        <v>0</v>
      </c>
      <c r="W2650">
        <v>0</v>
      </c>
      <c r="X2650">
        <v>1</v>
      </c>
      <c r="Z2650">
        <v>0</v>
      </c>
      <c r="AA2650">
        <v>9</v>
      </c>
      <c r="AB2650">
        <v>3</v>
      </c>
      <c r="AC2650">
        <v>0</v>
      </c>
      <c r="AD2650">
        <v>9</v>
      </c>
      <c r="AE2650">
        <v>0</v>
      </c>
      <c r="AF2650">
        <v>3</v>
      </c>
      <c r="AG2650">
        <v>1</v>
      </c>
      <c r="AH2650">
        <v>0</v>
      </c>
      <c r="AI2650" t="s">
        <v>926</v>
      </c>
      <c r="AJ2650">
        <v>34.135401000000002</v>
      </c>
      <c r="AK2650" t="s">
        <v>927</v>
      </c>
      <c r="AL2650">
        <v>-117.057202</v>
      </c>
      <c r="AM2650">
        <v>100</v>
      </c>
      <c r="AN2650">
        <v>6700</v>
      </c>
      <c r="AO2650" t="s">
        <v>118</v>
      </c>
      <c r="AP2650">
        <v>-20</v>
      </c>
      <c r="AQ2650">
        <v>-106</v>
      </c>
      <c r="AR2650">
        <v>-1024</v>
      </c>
      <c r="AZ2650">
        <v>1200</v>
      </c>
      <c r="BA2650">
        <v>1</v>
      </c>
      <c r="BB2650" t="str">
        <f t="shared" si="1455"/>
        <v xml:space="preserve">N9217B  </v>
      </c>
      <c r="BC2650">
        <v>1</v>
      </c>
      <c r="BE2650">
        <v>0</v>
      </c>
      <c r="BF2650">
        <v>0</v>
      </c>
      <c r="BG2650">
        <v>0</v>
      </c>
      <c r="BH2650">
        <v>6600</v>
      </c>
      <c r="BI2650">
        <v>1</v>
      </c>
      <c r="BJ2650">
        <v>0</v>
      </c>
      <c r="BK2650">
        <v>0</v>
      </c>
      <c r="BL2650">
        <v>0</v>
      </c>
      <c r="BO2650">
        <v>0</v>
      </c>
      <c r="BP2650">
        <v>0</v>
      </c>
      <c r="BW2650" t="str">
        <f t="shared" si="1465"/>
        <v>14:55:32.894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285</v>
      </c>
      <c r="CR2650">
        <v>0</v>
      </c>
      <c r="CW2650">
        <v>8868858</v>
      </c>
      <c r="CY2650">
        <v>0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25">
      <c r="A2651" t="str">
        <f t="shared" si="1463"/>
        <v>06/05/2020 14:55:27.234</v>
      </c>
      <c r="C2651" t="str">
        <f t="shared" si="1434"/>
        <v>FFDFD3C0</v>
      </c>
      <c r="D2651" t="s">
        <v>151</v>
      </c>
      <c r="E2651">
        <v>9</v>
      </c>
      <c r="H2651">
        <v>226</v>
      </c>
      <c r="I2651" t="s">
        <v>152</v>
      </c>
      <c r="J2651" t="s">
        <v>150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464"/>
        <v>14:55:32.891</v>
      </c>
      <c r="T2651" t="str">
        <f t="shared" si="1464"/>
        <v>14:55:32.891</v>
      </c>
      <c r="U2651" t="str">
        <f t="shared" si="1454"/>
        <v>ACC530</v>
      </c>
      <c r="V2651">
        <v>0</v>
      </c>
      <c r="W2651">
        <v>0</v>
      </c>
      <c r="X2651">
        <v>1</v>
      </c>
      <c r="Z2651">
        <v>0</v>
      </c>
      <c r="AA2651">
        <v>9</v>
      </c>
      <c r="AB2651">
        <v>3</v>
      </c>
      <c r="AC2651">
        <v>0</v>
      </c>
      <c r="AD2651">
        <v>9</v>
      </c>
      <c r="AE2651">
        <v>0</v>
      </c>
      <c r="AF2651">
        <v>3</v>
      </c>
      <c r="AG2651">
        <v>1</v>
      </c>
      <c r="AH2651">
        <v>0</v>
      </c>
      <c r="AI2651" t="s">
        <v>926</v>
      </c>
      <c r="AJ2651">
        <v>34.135401000000002</v>
      </c>
      <c r="AK2651" t="s">
        <v>927</v>
      </c>
      <c r="AL2651">
        <v>-117.057202</v>
      </c>
      <c r="AM2651">
        <v>100</v>
      </c>
      <c r="AN2651">
        <v>6700</v>
      </c>
      <c r="AO2651" t="s">
        <v>118</v>
      </c>
      <c r="AP2651">
        <v>-20</v>
      </c>
      <c r="AQ2651">
        <v>-106</v>
      </c>
      <c r="AR2651">
        <v>-1024</v>
      </c>
      <c r="AZ2651">
        <v>1200</v>
      </c>
      <c r="BA2651">
        <v>1</v>
      </c>
      <c r="BB2651" t="str">
        <f t="shared" si="1455"/>
        <v xml:space="preserve">N9217B  </v>
      </c>
      <c r="BC2651">
        <v>1</v>
      </c>
      <c r="BE2651">
        <v>0</v>
      </c>
      <c r="BF2651">
        <v>0</v>
      </c>
      <c r="BG2651">
        <v>0</v>
      </c>
      <c r="BH2651">
        <v>6600</v>
      </c>
      <c r="BI2651">
        <v>1</v>
      </c>
      <c r="BJ2651">
        <v>0</v>
      </c>
      <c r="BK2651">
        <v>0</v>
      </c>
      <c r="BL2651">
        <v>0</v>
      </c>
      <c r="BO2651">
        <v>0</v>
      </c>
      <c r="BP2651">
        <v>0</v>
      </c>
      <c r="BW2651" t="str">
        <f t="shared" si="1465"/>
        <v>14:55:32.894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7</v>
      </c>
      <c r="CP2651" t="s">
        <v>119</v>
      </c>
      <c r="CQ2651">
        <v>285</v>
      </c>
      <c r="CR2651">
        <v>0</v>
      </c>
      <c r="CW2651">
        <v>8868858</v>
      </c>
      <c r="CY2651">
        <v>0</v>
      </c>
      <c r="CZ2651">
        <v>0</v>
      </c>
      <c r="DA2651">
        <v>1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25">
      <c r="A2652" t="str">
        <f t="shared" ref="A2652:A2658" si="1466">"06/05/2020 14:55:28.106"</f>
        <v>06/05/2020 14:55:28.106</v>
      </c>
      <c r="C2652" t="str">
        <f t="shared" si="1434"/>
        <v>FFDFD3C0</v>
      </c>
      <c r="D2652" t="s">
        <v>113</v>
      </c>
      <c r="E2652">
        <v>3</v>
      </c>
      <c r="H2652">
        <v>166</v>
      </c>
      <c r="I2652" t="s">
        <v>114</v>
      </c>
      <c r="J2652" t="s">
        <v>115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ref="S2652:T2658" si="1467">"14:55:33.758"</f>
        <v>14:55:33.758</v>
      </c>
      <c r="T2652" t="str">
        <f t="shared" si="1467"/>
        <v>14:55:33.758</v>
      </c>
      <c r="U2652" t="str">
        <f t="shared" si="1454"/>
        <v>ACC530</v>
      </c>
      <c r="V2652">
        <v>0</v>
      </c>
      <c r="W2652">
        <v>0</v>
      </c>
      <c r="X2652">
        <v>1</v>
      </c>
      <c r="Z2652">
        <v>0</v>
      </c>
      <c r="AA2652">
        <v>9</v>
      </c>
      <c r="AB2652">
        <v>3</v>
      </c>
      <c r="AC2652">
        <v>0</v>
      </c>
      <c r="AD2652">
        <v>9</v>
      </c>
      <c r="AE2652">
        <v>0</v>
      </c>
      <c r="AF2652">
        <v>3</v>
      </c>
      <c r="AG2652">
        <v>1</v>
      </c>
      <c r="AH2652">
        <v>0</v>
      </c>
      <c r="AI2652" t="s">
        <v>928</v>
      </c>
      <c r="AJ2652">
        <v>34.134951000000001</v>
      </c>
      <c r="AK2652" t="s">
        <v>929</v>
      </c>
      <c r="AL2652">
        <v>-117.057266</v>
      </c>
      <c r="AM2652">
        <v>100</v>
      </c>
      <c r="AN2652">
        <v>6700</v>
      </c>
      <c r="AO2652" t="s">
        <v>118</v>
      </c>
      <c r="AP2652">
        <v>-19</v>
      </c>
      <c r="AQ2652">
        <v>-107</v>
      </c>
      <c r="AR2652">
        <v>-960</v>
      </c>
      <c r="AZ2652">
        <v>1200</v>
      </c>
      <c r="BA2652">
        <v>1</v>
      </c>
      <c r="BB2652" t="str">
        <f t="shared" si="1455"/>
        <v xml:space="preserve">N9217B  </v>
      </c>
      <c r="BC2652">
        <v>1</v>
      </c>
      <c r="BE2652">
        <v>0</v>
      </c>
      <c r="BF2652">
        <v>0</v>
      </c>
      <c r="BG2652">
        <v>0</v>
      </c>
      <c r="BH2652">
        <v>6575</v>
      </c>
      <c r="BI2652">
        <v>1</v>
      </c>
      <c r="BJ2652">
        <v>0</v>
      </c>
      <c r="BK2652">
        <v>0</v>
      </c>
      <c r="BL2652">
        <v>0</v>
      </c>
      <c r="BO2652">
        <v>0</v>
      </c>
      <c r="BP2652">
        <v>0</v>
      </c>
      <c r="BW2652" t="str">
        <f t="shared" ref="BW2652:BW2658" si="1468">"14:55:33.764"</f>
        <v>14:55:33.764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119</v>
      </c>
      <c r="CQ2652">
        <v>285</v>
      </c>
      <c r="CR2652">
        <v>0</v>
      </c>
      <c r="CW2652">
        <v>8868943</v>
      </c>
      <c r="CY2652">
        <v>0</v>
      </c>
      <c r="CZ2652">
        <v>0</v>
      </c>
      <c r="DA2652">
        <v>0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25">
      <c r="A2653" t="str">
        <f t="shared" si="1466"/>
        <v>06/05/2020 14:55:28.106</v>
      </c>
      <c r="C2653" t="str">
        <f t="shared" si="1434"/>
        <v>FFDFD3C0</v>
      </c>
      <c r="D2653" t="s">
        <v>148</v>
      </c>
      <c r="E2653">
        <v>8</v>
      </c>
      <c r="H2653">
        <v>50</v>
      </c>
      <c r="I2653" t="s">
        <v>149</v>
      </c>
      <c r="J2653" t="s">
        <v>150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467"/>
        <v>14:55:33.758</v>
      </c>
      <c r="T2653" t="str">
        <f t="shared" si="1467"/>
        <v>14:55:33.758</v>
      </c>
      <c r="U2653" t="str">
        <f t="shared" si="1454"/>
        <v>ACC530</v>
      </c>
      <c r="V2653">
        <v>0</v>
      </c>
      <c r="W2653">
        <v>0</v>
      </c>
      <c r="X2653">
        <v>1</v>
      </c>
      <c r="Z2653">
        <v>0</v>
      </c>
      <c r="AA2653">
        <v>9</v>
      </c>
      <c r="AB2653">
        <v>3</v>
      </c>
      <c r="AC2653">
        <v>0</v>
      </c>
      <c r="AD2653">
        <v>9</v>
      </c>
      <c r="AE2653">
        <v>0</v>
      </c>
      <c r="AF2653">
        <v>3</v>
      </c>
      <c r="AG2653">
        <v>1</v>
      </c>
      <c r="AH2653">
        <v>0</v>
      </c>
      <c r="AI2653" t="s">
        <v>928</v>
      </c>
      <c r="AJ2653">
        <v>34.134951000000001</v>
      </c>
      <c r="AK2653" t="s">
        <v>929</v>
      </c>
      <c r="AL2653">
        <v>-117.057266</v>
      </c>
      <c r="AM2653">
        <v>100</v>
      </c>
      <c r="AN2653">
        <v>6700</v>
      </c>
      <c r="AO2653" t="s">
        <v>118</v>
      </c>
      <c r="AP2653">
        <v>-19</v>
      </c>
      <c r="AQ2653">
        <v>-107</v>
      </c>
      <c r="AR2653">
        <v>-960</v>
      </c>
      <c r="AZ2653">
        <v>1200</v>
      </c>
      <c r="BA2653">
        <v>1</v>
      </c>
      <c r="BB2653" t="str">
        <f t="shared" si="1455"/>
        <v xml:space="preserve">N9217B  </v>
      </c>
      <c r="BC2653">
        <v>1</v>
      </c>
      <c r="BE2653">
        <v>0</v>
      </c>
      <c r="BF2653">
        <v>0</v>
      </c>
      <c r="BG2653">
        <v>0</v>
      </c>
      <c r="BH2653">
        <v>6575</v>
      </c>
      <c r="BI2653">
        <v>1</v>
      </c>
      <c r="BJ2653">
        <v>0</v>
      </c>
      <c r="BK2653">
        <v>0</v>
      </c>
      <c r="BL2653">
        <v>0</v>
      </c>
      <c r="BO2653">
        <v>0</v>
      </c>
      <c r="BP2653">
        <v>0</v>
      </c>
      <c r="BW2653" t="str">
        <f t="shared" si="1468"/>
        <v>14:55:33.764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285</v>
      </c>
      <c r="CR2653">
        <v>0</v>
      </c>
      <c r="CW2653">
        <v>8868943</v>
      </c>
      <c r="CY2653">
        <v>0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25">
      <c r="A2654" t="str">
        <f t="shared" si="1466"/>
        <v>06/05/2020 14:55:28.106</v>
      </c>
      <c r="C2654" t="str">
        <f t="shared" si="1434"/>
        <v>FFDFD3C0</v>
      </c>
      <c r="D2654" t="s">
        <v>134</v>
      </c>
      <c r="E2654">
        <v>7</v>
      </c>
      <c r="F2654">
        <v>2007</v>
      </c>
      <c r="G2654" t="s">
        <v>135</v>
      </c>
      <c r="J2654" t="s">
        <v>136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1467"/>
        <v>14:55:33.758</v>
      </c>
      <c r="T2654" t="str">
        <f t="shared" si="1467"/>
        <v>14:55:33.758</v>
      </c>
      <c r="U2654" t="str">
        <f t="shared" si="1454"/>
        <v>ACC530</v>
      </c>
      <c r="V2654">
        <v>0</v>
      </c>
      <c r="W2654">
        <v>0</v>
      </c>
      <c r="X2654">
        <v>1</v>
      </c>
      <c r="Z2654">
        <v>0</v>
      </c>
      <c r="AA2654">
        <v>9</v>
      </c>
      <c r="AB2654">
        <v>3</v>
      </c>
      <c r="AC2654">
        <v>0</v>
      </c>
      <c r="AD2654">
        <v>9</v>
      </c>
      <c r="AE2654">
        <v>0</v>
      </c>
      <c r="AF2654">
        <v>3</v>
      </c>
      <c r="AG2654">
        <v>1</v>
      </c>
      <c r="AH2654">
        <v>0</v>
      </c>
      <c r="AI2654" t="s">
        <v>928</v>
      </c>
      <c r="AJ2654">
        <v>34.134951000000001</v>
      </c>
      <c r="AK2654" t="s">
        <v>929</v>
      </c>
      <c r="AL2654">
        <v>-117.057266</v>
      </c>
      <c r="AM2654">
        <v>100</v>
      </c>
      <c r="AN2654">
        <v>6700</v>
      </c>
      <c r="AO2654" t="s">
        <v>118</v>
      </c>
      <c r="AP2654">
        <v>-19</v>
      </c>
      <c r="AQ2654">
        <v>-107</v>
      </c>
      <c r="AR2654">
        <v>-960</v>
      </c>
      <c r="AZ2654">
        <v>1200</v>
      </c>
      <c r="BA2654">
        <v>1</v>
      </c>
      <c r="BB2654" t="str">
        <f t="shared" si="1455"/>
        <v xml:space="preserve">N9217B  </v>
      </c>
      <c r="BC2654">
        <v>1</v>
      </c>
      <c r="BE2654">
        <v>0</v>
      </c>
      <c r="BF2654">
        <v>0</v>
      </c>
      <c r="BG2654">
        <v>0</v>
      </c>
      <c r="BH2654">
        <v>6575</v>
      </c>
      <c r="BI2654">
        <v>1</v>
      </c>
      <c r="BJ2654">
        <v>0</v>
      </c>
      <c r="BK2654">
        <v>0</v>
      </c>
      <c r="BL2654">
        <v>0</v>
      </c>
      <c r="BO2654">
        <v>0</v>
      </c>
      <c r="BP2654">
        <v>0</v>
      </c>
      <c r="BW2654" t="str">
        <f t="shared" si="1468"/>
        <v>14:55:33.764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119</v>
      </c>
      <c r="CQ2654">
        <v>285</v>
      </c>
      <c r="CR2654">
        <v>0</v>
      </c>
      <c r="CW2654">
        <v>8868943</v>
      </c>
      <c r="CY2654">
        <v>0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25">
      <c r="A2655" t="str">
        <f t="shared" si="1466"/>
        <v>06/05/2020 14:55:28.106</v>
      </c>
      <c r="C2655" t="str">
        <f t="shared" si="1434"/>
        <v>FFDFD3C0</v>
      </c>
      <c r="D2655" t="s">
        <v>151</v>
      </c>
      <c r="E2655">
        <v>8</v>
      </c>
      <c r="H2655">
        <v>225</v>
      </c>
      <c r="I2655" t="s">
        <v>353</v>
      </c>
      <c r="J2655" t="s">
        <v>150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467"/>
        <v>14:55:33.758</v>
      </c>
      <c r="T2655" t="str">
        <f t="shared" si="1467"/>
        <v>14:55:33.758</v>
      </c>
      <c r="U2655" t="str">
        <f t="shared" si="1454"/>
        <v>ACC530</v>
      </c>
      <c r="V2655">
        <v>0</v>
      </c>
      <c r="W2655">
        <v>0</v>
      </c>
      <c r="X2655">
        <v>1</v>
      </c>
      <c r="Z2655">
        <v>0</v>
      </c>
      <c r="AA2655">
        <v>9</v>
      </c>
      <c r="AB2655">
        <v>3</v>
      </c>
      <c r="AC2655">
        <v>0</v>
      </c>
      <c r="AD2655">
        <v>9</v>
      </c>
      <c r="AE2655">
        <v>0</v>
      </c>
      <c r="AF2655">
        <v>3</v>
      </c>
      <c r="AG2655">
        <v>1</v>
      </c>
      <c r="AH2655">
        <v>0</v>
      </c>
      <c r="AI2655" t="s">
        <v>928</v>
      </c>
      <c r="AJ2655">
        <v>34.134951000000001</v>
      </c>
      <c r="AK2655" t="s">
        <v>929</v>
      </c>
      <c r="AL2655">
        <v>-117.057266</v>
      </c>
      <c r="AM2655">
        <v>100</v>
      </c>
      <c r="AN2655">
        <v>6700</v>
      </c>
      <c r="AO2655" t="s">
        <v>118</v>
      </c>
      <c r="AP2655">
        <v>-19</v>
      </c>
      <c r="AQ2655">
        <v>-107</v>
      </c>
      <c r="AR2655">
        <v>-960</v>
      </c>
      <c r="AZ2655">
        <v>1200</v>
      </c>
      <c r="BA2655">
        <v>1</v>
      </c>
      <c r="BB2655" t="str">
        <f t="shared" si="1455"/>
        <v xml:space="preserve">N9217B  </v>
      </c>
      <c r="BC2655">
        <v>1</v>
      </c>
      <c r="BE2655">
        <v>0</v>
      </c>
      <c r="BF2655">
        <v>0</v>
      </c>
      <c r="BG2655">
        <v>0</v>
      </c>
      <c r="BH2655">
        <v>6575</v>
      </c>
      <c r="BI2655">
        <v>1</v>
      </c>
      <c r="BJ2655">
        <v>0</v>
      </c>
      <c r="BK2655">
        <v>0</v>
      </c>
      <c r="BL2655">
        <v>0</v>
      </c>
      <c r="BO2655">
        <v>0</v>
      </c>
      <c r="BP2655">
        <v>0</v>
      </c>
      <c r="BW2655" t="str">
        <f t="shared" si="1468"/>
        <v>14:55:33.764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285</v>
      </c>
      <c r="CR2655">
        <v>0</v>
      </c>
      <c r="CW2655">
        <v>8868943</v>
      </c>
      <c r="CY2655">
        <v>0</v>
      </c>
      <c r="CZ2655">
        <v>0</v>
      </c>
      <c r="DA2655">
        <v>1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25">
      <c r="A2656" t="str">
        <f t="shared" si="1466"/>
        <v>06/05/2020 14:55:28.106</v>
      </c>
      <c r="C2656" t="str">
        <f t="shared" si="1434"/>
        <v>FFDFD3C0</v>
      </c>
      <c r="D2656" t="s">
        <v>141</v>
      </c>
      <c r="E2656">
        <v>20</v>
      </c>
      <c r="F2656">
        <v>1020</v>
      </c>
      <c r="G2656" t="s">
        <v>114</v>
      </c>
      <c r="J2656" t="s">
        <v>142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1467"/>
        <v>14:55:33.758</v>
      </c>
      <c r="T2656" t="str">
        <f t="shared" si="1467"/>
        <v>14:55:33.758</v>
      </c>
      <c r="U2656" t="str">
        <f t="shared" si="1454"/>
        <v>ACC530</v>
      </c>
      <c r="V2656">
        <v>0</v>
      </c>
      <c r="W2656">
        <v>0</v>
      </c>
      <c r="X2656">
        <v>1</v>
      </c>
      <c r="Z2656">
        <v>0</v>
      </c>
      <c r="AA2656">
        <v>9</v>
      </c>
      <c r="AB2656">
        <v>3</v>
      </c>
      <c r="AC2656">
        <v>0</v>
      </c>
      <c r="AD2656">
        <v>9</v>
      </c>
      <c r="AE2656">
        <v>0</v>
      </c>
      <c r="AF2656">
        <v>3</v>
      </c>
      <c r="AG2656">
        <v>1</v>
      </c>
      <c r="AH2656">
        <v>0</v>
      </c>
      <c r="AI2656" t="s">
        <v>928</v>
      </c>
      <c r="AJ2656">
        <v>34.134951000000001</v>
      </c>
      <c r="AK2656" t="s">
        <v>929</v>
      </c>
      <c r="AL2656">
        <v>-117.057266</v>
      </c>
      <c r="AM2656">
        <v>100</v>
      </c>
      <c r="AN2656">
        <v>6700</v>
      </c>
      <c r="AO2656" t="s">
        <v>118</v>
      </c>
      <c r="AP2656">
        <v>-19</v>
      </c>
      <c r="AQ2656">
        <v>-107</v>
      </c>
      <c r="AR2656">
        <v>-960</v>
      </c>
      <c r="AZ2656">
        <v>1200</v>
      </c>
      <c r="BA2656">
        <v>1</v>
      </c>
      <c r="BB2656" t="str">
        <f t="shared" si="1455"/>
        <v xml:space="preserve">N9217B  </v>
      </c>
      <c r="BC2656">
        <v>1</v>
      </c>
      <c r="BE2656">
        <v>0</v>
      </c>
      <c r="BF2656">
        <v>0</v>
      </c>
      <c r="BG2656">
        <v>0</v>
      </c>
      <c r="BH2656">
        <v>6575</v>
      </c>
      <c r="BI2656">
        <v>1</v>
      </c>
      <c r="BJ2656">
        <v>0</v>
      </c>
      <c r="BK2656">
        <v>0</v>
      </c>
      <c r="BL2656">
        <v>0</v>
      </c>
      <c r="BO2656">
        <v>0</v>
      </c>
      <c r="BP2656">
        <v>0</v>
      </c>
      <c r="BW2656" t="str">
        <f t="shared" si="1468"/>
        <v>14:55:33.764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285</v>
      </c>
      <c r="CR2656">
        <v>0</v>
      </c>
      <c r="CW2656">
        <v>8868943</v>
      </c>
      <c r="CY2656">
        <v>0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25">
      <c r="A2657" t="str">
        <f t="shared" si="1466"/>
        <v>06/05/2020 14:55:28.106</v>
      </c>
      <c r="C2657" t="str">
        <f t="shared" si="1434"/>
        <v>FFDFD3C0</v>
      </c>
      <c r="D2657" t="s">
        <v>151</v>
      </c>
      <c r="E2657">
        <v>9</v>
      </c>
      <c r="H2657">
        <v>226</v>
      </c>
      <c r="I2657" t="s">
        <v>152</v>
      </c>
      <c r="J2657" t="s">
        <v>150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1467"/>
        <v>14:55:33.758</v>
      </c>
      <c r="T2657" t="str">
        <f t="shared" si="1467"/>
        <v>14:55:33.758</v>
      </c>
      <c r="U2657" t="str">
        <f t="shared" si="1454"/>
        <v>ACC530</v>
      </c>
      <c r="V2657">
        <v>0</v>
      </c>
      <c r="W2657">
        <v>0</v>
      </c>
      <c r="X2657">
        <v>1</v>
      </c>
      <c r="Z2657">
        <v>0</v>
      </c>
      <c r="AA2657">
        <v>9</v>
      </c>
      <c r="AB2657">
        <v>3</v>
      </c>
      <c r="AC2657">
        <v>0</v>
      </c>
      <c r="AD2657">
        <v>9</v>
      </c>
      <c r="AE2657">
        <v>0</v>
      </c>
      <c r="AF2657">
        <v>3</v>
      </c>
      <c r="AG2657">
        <v>1</v>
      </c>
      <c r="AH2657">
        <v>0</v>
      </c>
      <c r="AI2657" t="s">
        <v>928</v>
      </c>
      <c r="AJ2657">
        <v>34.134951000000001</v>
      </c>
      <c r="AK2657" t="s">
        <v>929</v>
      </c>
      <c r="AL2657">
        <v>-117.057266</v>
      </c>
      <c r="AM2657">
        <v>100</v>
      </c>
      <c r="AN2657">
        <v>6700</v>
      </c>
      <c r="AO2657" t="s">
        <v>118</v>
      </c>
      <c r="AP2657">
        <v>-19</v>
      </c>
      <c r="AQ2657">
        <v>-107</v>
      </c>
      <c r="AR2657">
        <v>-960</v>
      </c>
      <c r="AZ2657">
        <v>1200</v>
      </c>
      <c r="BA2657">
        <v>1</v>
      </c>
      <c r="BB2657" t="str">
        <f t="shared" si="1455"/>
        <v xml:space="preserve">N9217B  </v>
      </c>
      <c r="BC2657">
        <v>1</v>
      </c>
      <c r="BE2657">
        <v>0</v>
      </c>
      <c r="BF2657">
        <v>0</v>
      </c>
      <c r="BG2657">
        <v>0</v>
      </c>
      <c r="BH2657">
        <v>6575</v>
      </c>
      <c r="BI2657">
        <v>1</v>
      </c>
      <c r="BJ2657">
        <v>0</v>
      </c>
      <c r="BK2657">
        <v>0</v>
      </c>
      <c r="BL2657">
        <v>0</v>
      </c>
      <c r="BO2657">
        <v>0</v>
      </c>
      <c r="BP2657">
        <v>0</v>
      </c>
      <c r="BW2657" t="str">
        <f t="shared" si="1468"/>
        <v>14:55:33.764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285</v>
      </c>
      <c r="CR2657">
        <v>0</v>
      </c>
      <c r="CW2657">
        <v>8868943</v>
      </c>
      <c r="CY2657">
        <v>0</v>
      </c>
      <c r="CZ2657">
        <v>0</v>
      </c>
      <c r="DA2657">
        <v>1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25">
      <c r="A2658" t="str">
        <f t="shared" si="1466"/>
        <v>06/05/2020 14:55:28.106</v>
      </c>
      <c r="C2658" t="str">
        <f t="shared" si="1434"/>
        <v>FFDFD3C0</v>
      </c>
      <c r="D2658" t="s">
        <v>148</v>
      </c>
      <c r="E2658">
        <v>11</v>
      </c>
      <c r="H2658">
        <v>53</v>
      </c>
      <c r="I2658" t="s">
        <v>364</v>
      </c>
      <c r="J2658" t="s">
        <v>150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467"/>
        <v>14:55:33.758</v>
      </c>
      <c r="T2658" t="str">
        <f t="shared" si="1467"/>
        <v>14:55:33.758</v>
      </c>
      <c r="U2658" t="str">
        <f t="shared" si="1454"/>
        <v>ACC530</v>
      </c>
      <c r="V2658">
        <v>0</v>
      </c>
      <c r="W2658">
        <v>0</v>
      </c>
      <c r="X2658">
        <v>1</v>
      </c>
      <c r="Z2658">
        <v>0</v>
      </c>
      <c r="AA2658">
        <v>9</v>
      </c>
      <c r="AB2658">
        <v>3</v>
      </c>
      <c r="AC2658">
        <v>0</v>
      </c>
      <c r="AD2658">
        <v>9</v>
      </c>
      <c r="AE2658">
        <v>0</v>
      </c>
      <c r="AF2658">
        <v>3</v>
      </c>
      <c r="AG2658">
        <v>1</v>
      </c>
      <c r="AH2658">
        <v>0</v>
      </c>
      <c r="AI2658" t="s">
        <v>928</v>
      </c>
      <c r="AJ2658">
        <v>34.134951000000001</v>
      </c>
      <c r="AK2658" t="s">
        <v>929</v>
      </c>
      <c r="AL2658">
        <v>-117.057266</v>
      </c>
      <c r="AM2658">
        <v>100</v>
      </c>
      <c r="AN2658">
        <v>6700</v>
      </c>
      <c r="AO2658" t="s">
        <v>118</v>
      </c>
      <c r="AP2658">
        <v>-19</v>
      </c>
      <c r="AQ2658">
        <v>-107</v>
      </c>
      <c r="AR2658">
        <v>-960</v>
      </c>
      <c r="AZ2658">
        <v>1200</v>
      </c>
      <c r="BA2658">
        <v>1</v>
      </c>
      <c r="BB2658" t="str">
        <f t="shared" si="1455"/>
        <v xml:space="preserve">N9217B  </v>
      </c>
      <c r="BC2658">
        <v>1</v>
      </c>
      <c r="BE2658">
        <v>0</v>
      </c>
      <c r="BF2658">
        <v>0</v>
      </c>
      <c r="BG2658">
        <v>0</v>
      </c>
      <c r="BH2658">
        <v>6575</v>
      </c>
      <c r="BI2658">
        <v>1</v>
      </c>
      <c r="BJ2658">
        <v>0</v>
      </c>
      <c r="BK2658">
        <v>0</v>
      </c>
      <c r="BL2658">
        <v>0</v>
      </c>
      <c r="BO2658">
        <v>0</v>
      </c>
      <c r="BP2658">
        <v>0</v>
      </c>
      <c r="BW2658" t="str">
        <f t="shared" si="1468"/>
        <v>14:55:33.764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285</v>
      </c>
      <c r="CR2658">
        <v>0</v>
      </c>
      <c r="CW2658">
        <v>8868943</v>
      </c>
      <c r="CY2658">
        <v>0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25">
      <c r="A2659" t="str">
        <f t="shared" ref="A2659:A2665" si="1469">"06/05/2020 14:55:29.129"</f>
        <v>06/05/2020 14:55:29.129</v>
      </c>
      <c r="C2659" t="str">
        <f t="shared" ref="C2659:C2722" si="1470">"FFDFD3C0"</f>
        <v>FFDFD3C0</v>
      </c>
      <c r="D2659" t="s">
        <v>134</v>
      </c>
      <c r="E2659">
        <v>7</v>
      </c>
      <c r="F2659">
        <v>2007</v>
      </c>
      <c r="G2659" t="s">
        <v>135</v>
      </c>
      <c r="J2659" t="s">
        <v>136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ref="S2659:T2665" si="1471">"14:55:34.750"</f>
        <v>14:55:34.750</v>
      </c>
      <c r="T2659" t="str">
        <f t="shared" si="1471"/>
        <v>14:55:34.750</v>
      </c>
      <c r="U2659" t="str">
        <f t="shared" si="1454"/>
        <v>ACC530</v>
      </c>
      <c r="V2659">
        <v>0</v>
      </c>
      <c r="W2659">
        <v>0</v>
      </c>
      <c r="X2659">
        <v>1</v>
      </c>
      <c r="Z2659">
        <v>0</v>
      </c>
      <c r="AA2659">
        <v>9</v>
      </c>
      <c r="AB2659">
        <v>3</v>
      </c>
      <c r="AC2659">
        <v>0</v>
      </c>
      <c r="AD2659">
        <v>9</v>
      </c>
      <c r="AE2659">
        <v>0</v>
      </c>
      <c r="AF2659">
        <v>3</v>
      </c>
      <c r="AG2659">
        <v>1</v>
      </c>
      <c r="AH2659">
        <v>0</v>
      </c>
      <c r="AI2659" t="s">
        <v>930</v>
      </c>
      <c r="AJ2659">
        <v>34.134478999999999</v>
      </c>
      <c r="AK2659" t="s">
        <v>931</v>
      </c>
      <c r="AL2659">
        <v>-117.057374</v>
      </c>
      <c r="AM2659">
        <v>100</v>
      </c>
      <c r="AN2659">
        <v>6700</v>
      </c>
      <c r="AO2659" t="s">
        <v>118</v>
      </c>
      <c r="AP2659">
        <v>-17</v>
      </c>
      <c r="AQ2659">
        <v>-107</v>
      </c>
      <c r="AR2659">
        <v>-896</v>
      </c>
      <c r="AZ2659">
        <v>1200</v>
      </c>
      <c r="BA2659">
        <v>1</v>
      </c>
      <c r="BB2659" t="str">
        <f t="shared" si="1455"/>
        <v xml:space="preserve">N9217B  </v>
      </c>
      <c r="BC2659">
        <v>1</v>
      </c>
      <c r="BE2659">
        <v>0</v>
      </c>
      <c r="BF2659">
        <v>0</v>
      </c>
      <c r="BG2659">
        <v>0</v>
      </c>
      <c r="BH2659">
        <v>6575</v>
      </c>
      <c r="BI2659">
        <v>1</v>
      </c>
      <c r="BJ2659">
        <v>0</v>
      </c>
      <c r="BK2659">
        <v>0</v>
      </c>
      <c r="BL2659">
        <v>0</v>
      </c>
      <c r="BO2659">
        <v>0</v>
      </c>
      <c r="BP2659">
        <v>0</v>
      </c>
      <c r="BW2659" t="str">
        <f t="shared" ref="BW2659:BW2665" si="1472">"14:55:34.754"</f>
        <v>14:55:34.754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119</v>
      </c>
      <c r="CQ2659">
        <v>285</v>
      </c>
      <c r="CR2659">
        <v>0</v>
      </c>
      <c r="CW2659">
        <v>8869029</v>
      </c>
      <c r="CY2659">
        <v>0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25">
      <c r="A2660" t="str">
        <f t="shared" si="1469"/>
        <v>06/05/2020 14:55:29.129</v>
      </c>
      <c r="C2660" t="str">
        <f t="shared" si="1470"/>
        <v>FFDFD3C0</v>
      </c>
      <c r="D2660" t="s">
        <v>141</v>
      </c>
      <c r="E2660">
        <v>20</v>
      </c>
      <c r="F2660">
        <v>1020</v>
      </c>
      <c r="G2660" t="s">
        <v>114</v>
      </c>
      <c r="J2660" t="s">
        <v>142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471"/>
        <v>14:55:34.750</v>
      </c>
      <c r="T2660" t="str">
        <f t="shared" si="1471"/>
        <v>14:55:34.750</v>
      </c>
      <c r="U2660" t="str">
        <f t="shared" si="1454"/>
        <v>ACC530</v>
      </c>
      <c r="V2660">
        <v>0</v>
      </c>
      <c r="W2660">
        <v>0</v>
      </c>
      <c r="X2660">
        <v>1</v>
      </c>
      <c r="Z2660">
        <v>0</v>
      </c>
      <c r="AA2660">
        <v>9</v>
      </c>
      <c r="AB2660">
        <v>3</v>
      </c>
      <c r="AC2660">
        <v>0</v>
      </c>
      <c r="AD2660">
        <v>9</v>
      </c>
      <c r="AE2660">
        <v>0</v>
      </c>
      <c r="AF2660">
        <v>3</v>
      </c>
      <c r="AG2660">
        <v>1</v>
      </c>
      <c r="AH2660">
        <v>0</v>
      </c>
      <c r="AI2660" t="s">
        <v>930</v>
      </c>
      <c r="AJ2660">
        <v>34.134478999999999</v>
      </c>
      <c r="AK2660" t="s">
        <v>931</v>
      </c>
      <c r="AL2660">
        <v>-117.057374</v>
      </c>
      <c r="AM2660">
        <v>100</v>
      </c>
      <c r="AN2660">
        <v>6700</v>
      </c>
      <c r="AO2660" t="s">
        <v>118</v>
      </c>
      <c r="AP2660">
        <v>-17</v>
      </c>
      <c r="AQ2660">
        <v>-107</v>
      </c>
      <c r="AR2660">
        <v>-896</v>
      </c>
      <c r="AZ2660">
        <v>1200</v>
      </c>
      <c r="BA2660">
        <v>1</v>
      </c>
      <c r="BB2660" t="str">
        <f t="shared" si="1455"/>
        <v xml:space="preserve">N9217B  </v>
      </c>
      <c r="BC2660">
        <v>1</v>
      </c>
      <c r="BE2660">
        <v>0</v>
      </c>
      <c r="BF2660">
        <v>0</v>
      </c>
      <c r="BG2660">
        <v>0</v>
      </c>
      <c r="BH2660">
        <v>6575</v>
      </c>
      <c r="BI2660">
        <v>1</v>
      </c>
      <c r="BJ2660">
        <v>0</v>
      </c>
      <c r="BK2660">
        <v>0</v>
      </c>
      <c r="BL2660">
        <v>0</v>
      </c>
      <c r="BO2660">
        <v>0</v>
      </c>
      <c r="BP2660">
        <v>0</v>
      </c>
      <c r="BW2660" t="str">
        <f t="shared" si="1472"/>
        <v>14:55:34.754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119</v>
      </c>
      <c r="CQ2660">
        <v>285</v>
      </c>
      <c r="CR2660">
        <v>0</v>
      </c>
      <c r="CW2660">
        <v>8869029</v>
      </c>
      <c r="CY2660">
        <v>0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25">
      <c r="A2661" t="str">
        <f t="shared" si="1469"/>
        <v>06/05/2020 14:55:29.129</v>
      </c>
      <c r="C2661" t="str">
        <f t="shared" si="1470"/>
        <v>FFDFD3C0</v>
      </c>
      <c r="D2661" t="s">
        <v>151</v>
      </c>
      <c r="E2661">
        <v>8</v>
      </c>
      <c r="H2661">
        <v>225</v>
      </c>
      <c r="I2661" t="s">
        <v>353</v>
      </c>
      <c r="J2661" t="s">
        <v>150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471"/>
        <v>14:55:34.750</v>
      </c>
      <c r="T2661" t="str">
        <f t="shared" si="1471"/>
        <v>14:55:34.750</v>
      </c>
      <c r="U2661" t="str">
        <f t="shared" si="1454"/>
        <v>ACC530</v>
      </c>
      <c r="V2661">
        <v>0</v>
      </c>
      <c r="W2661">
        <v>0</v>
      </c>
      <c r="X2661">
        <v>1</v>
      </c>
      <c r="Z2661">
        <v>0</v>
      </c>
      <c r="AA2661">
        <v>9</v>
      </c>
      <c r="AB2661">
        <v>3</v>
      </c>
      <c r="AC2661">
        <v>0</v>
      </c>
      <c r="AD2661">
        <v>9</v>
      </c>
      <c r="AE2661">
        <v>0</v>
      </c>
      <c r="AF2661">
        <v>3</v>
      </c>
      <c r="AG2661">
        <v>1</v>
      </c>
      <c r="AH2661">
        <v>0</v>
      </c>
      <c r="AI2661" t="s">
        <v>930</v>
      </c>
      <c r="AJ2661">
        <v>34.134478999999999</v>
      </c>
      <c r="AK2661" t="s">
        <v>931</v>
      </c>
      <c r="AL2661">
        <v>-117.057374</v>
      </c>
      <c r="AM2661">
        <v>100</v>
      </c>
      <c r="AN2661">
        <v>6700</v>
      </c>
      <c r="AO2661" t="s">
        <v>118</v>
      </c>
      <c r="AP2661">
        <v>-17</v>
      </c>
      <c r="AQ2661">
        <v>-107</v>
      </c>
      <c r="AR2661">
        <v>-896</v>
      </c>
      <c r="AZ2661">
        <v>1200</v>
      </c>
      <c r="BA2661">
        <v>1</v>
      </c>
      <c r="BB2661" t="str">
        <f t="shared" si="1455"/>
        <v xml:space="preserve">N9217B  </v>
      </c>
      <c r="BC2661">
        <v>1</v>
      </c>
      <c r="BE2661">
        <v>0</v>
      </c>
      <c r="BF2661">
        <v>0</v>
      </c>
      <c r="BG2661">
        <v>0</v>
      </c>
      <c r="BH2661">
        <v>6575</v>
      </c>
      <c r="BI2661">
        <v>1</v>
      </c>
      <c r="BJ2661">
        <v>0</v>
      </c>
      <c r="BK2661">
        <v>0</v>
      </c>
      <c r="BL2661">
        <v>0</v>
      </c>
      <c r="BO2661">
        <v>0</v>
      </c>
      <c r="BP2661">
        <v>0</v>
      </c>
      <c r="BW2661" t="str">
        <f t="shared" si="1472"/>
        <v>14:55:34.754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7</v>
      </c>
      <c r="CP2661" t="s">
        <v>119</v>
      </c>
      <c r="CQ2661">
        <v>285</v>
      </c>
      <c r="CR2661">
        <v>0</v>
      </c>
      <c r="CW2661">
        <v>8869029</v>
      </c>
      <c r="CY2661">
        <v>0</v>
      </c>
      <c r="CZ2661">
        <v>0</v>
      </c>
      <c r="DA2661">
        <v>1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25">
      <c r="A2662" t="str">
        <f t="shared" si="1469"/>
        <v>06/05/2020 14:55:29.129</v>
      </c>
      <c r="C2662" t="str">
        <f t="shared" si="1470"/>
        <v>FFDFD3C0</v>
      </c>
      <c r="D2662" t="s">
        <v>151</v>
      </c>
      <c r="E2662">
        <v>9</v>
      </c>
      <c r="H2662">
        <v>226</v>
      </c>
      <c r="I2662" t="s">
        <v>152</v>
      </c>
      <c r="J2662" t="s">
        <v>150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471"/>
        <v>14:55:34.750</v>
      </c>
      <c r="T2662" t="str">
        <f t="shared" si="1471"/>
        <v>14:55:34.750</v>
      </c>
      <c r="U2662" t="str">
        <f t="shared" si="1454"/>
        <v>ACC530</v>
      </c>
      <c r="V2662">
        <v>0</v>
      </c>
      <c r="W2662">
        <v>0</v>
      </c>
      <c r="X2662">
        <v>1</v>
      </c>
      <c r="Z2662">
        <v>0</v>
      </c>
      <c r="AA2662">
        <v>9</v>
      </c>
      <c r="AB2662">
        <v>3</v>
      </c>
      <c r="AC2662">
        <v>0</v>
      </c>
      <c r="AD2662">
        <v>9</v>
      </c>
      <c r="AE2662">
        <v>0</v>
      </c>
      <c r="AF2662">
        <v>3</v>
      </c>
      <c r="AG2662">
        <v>1</v>
      </c>
      <c r="AH2662">
        <v>0</v>
      </c>
      <c r="AI2662" t="s">
        <v>930</v>
      </c>
      <c r="AJ2662">
        <v>34.134478999999999</v>
      </c>
      <c r="AK2662" t="s">
        <v>931</v>
      </c>
      <c r="AL2662">
        <v>-117.057374</v>
      </c>
      <c r="AM2662">
        <v>100</v>
      </c>
      <c r="AN2662">
        <v>6700</v>
      </c>
      <c r="AO2662" t="s">
        <v>118</v>
      </c>
      <c r="AP2662">
        <v>-17</v>
      </c>
      <c r="AQ2662">
        <v>-107</v>
      </c>
      <c r="AR2662">
        <v>-896</v>
      </c>
      <c r="AZ2662">
        <v>1200</v>
      </c>
      <c r="BA2662">
        <v>1</v>
      </c>
      <c r="BB2662" t="str">
        <f t="shared" si="1455"/>
        <v xml:space="preserve">N9217B  </v>
      </c>
      <c r="BC2662">
        <v>1</v>
      </c>
      <c r="BE2662">
        <v>0</v>
      </c>
      <c r="BF2662">
        <v>0</v>
      </c>
      <c r="BG2662">
        <v>0</v>
      </c>
      <c r="BH2662">
        <v>6575</v>
      </c>
      <c r="BI2662">
        <v>1</v>
      </c>
      <c r="BJ2662">
        <v>0</v>
      </c>
      <c r="BK2662">
        <v>0</v>
      </c>
      <c r="BL2662">
        <v>0</v>
      </c>
      <c r="BO2662">
        <v>0</v>
      </c>
      <c r="BP2662">
        <v>0</v>
      </c>
      <c r="BW2662" t="str">
        <f t="shared" si="1472"/>
        <v>14:55:34.754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119</v>
      </c>
      <c r="CQ2662">
        <v>285</v>
      </c>
      <c r="CR2662">
        <v>0</v>
      </c>
      <c r="CW2662">
        <v>8869029</v>
      </c>
      <c r="CY2662">
        <v>0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25">
      <c r="A2663" t="str">
        <f t="shared" si="1469"/>
        <v>06/05/2020 14:55:29.129</v>
      </c>
      <c r="C2663" t="str">
        <f t="shared" si="1470"/>
        <v>FFDFD3C0</v>
      </c>
      <c r="D2663" t="s">
        <v>148</v>
      </c>
      <c r="E2663">
        <v>11</v>
      </c>
      <c r="H2663">
        <v>53</v>
      </c>
      <c r="I2663" t="s">
        <v>364</v>
      </c>
      <c r="J2663" t="s">
        <v>150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471"/>
        <v>14:55:34.750</v>
      </c>
      <c r="T2663" t="str">
        <f t="shared" si="1471"/>
        <v>14:55:34.750</v>
      </c>
      <c r="U2663" t="str">
        <f t="shared" si="1454"/>
        <v>ACC530</v>
      </c>
      <c r="V2663">
        <v>0</v>
      </c>
      <c r="W2663">
        <v>0</v>
      </c>
      <c r="X2663">
        <v>1</v>
      </c>
      <c r="Z2663">
        <v>0</v>
      </c>
      <c r="AA2663">
        <v>9</v>
      </c>
      <c r="AB2663">
        <v>3</v>
      </c>
      <c r="AC2663">
        <v>0</v>
      </c>
      <c r="AD2663">
        <v>9</v>
      </c>
      <c r="AE2663">
        <v>0</v>
      </c>
      <c r="AF2663">
        <v>3</v>
      </c>
      <c r="AG2663">
        <v>1</v>
      </c>
      <c r="AH2663">
        <v>0</v>
      </c>
      <c r="AI2663" t="s">
        <v>930</v>
      </c>
      <c r="AJ2663">
        <v>34.134478999999999</v>
      </c>
      <c r="AK2663" t="s">
        <v>931</v>
      </c>
      <c r="AL2663">
        <v>-117.057374</v>
      </c>
      <c r="AM2663">
        <v>100</v>
      </c>
      <c r="AN2663">
        <v>6700</v>
      </c>
      <c r="AO2663" t="s">
        <v>118</v>
      </c>
      <c r="AP2663">
        <v>-17</v>
      </c>
      <c r="AQ2663">
        <v>-107</v>
      </c>
      <c r="AR2663">
        <v>-896</v>
      </c>
      <c r="AZ2663">
        <v>1200</v>
      </c>
      <c r="BA2663">
        <v>1</v>
      </c>
      <c r="BB2663" t="str">
        <f t="shared" si="1455"/>
        <v xml:space="preserve">N9217B  </v>
      </c>
      <c r="BC2663">
        <v>1</v>
      </c>
      <c r="BE2663">
        <v>0</v>
      </c>
      <c r="BF2663">
        <v>0</v>
      </c>
      <c r="BG2663">
        <v>0</v>
      </c>
      <c r="BH2663">
        <v>6575</v>
      </c>
      <c r="BI2663">
        <v>1</v>
      </c>
      <c r="BJ2663">
        <v>0</v>
      </c>
      <c r="BK2663">
        <v>0</v>
      </c>
      <c r="BL2663">
        <v>0</v>
      </c>
      <c r="BO2663">
        <v>0</v>
      </c>
      <c r="BP2663">
        <v>0</v>
      </c>
      <c r="BW2663" t="str">
        <f t="shared" si="1472"/>
        <v>14:55:34.754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7</v>
      </c>
      <c r="CP2663" t="s">
        <v>119</v>
      </c>
      <c r="CQ2663">
        <v>285</v>
      </c>
      <c r="CR2663">
        <v>0</v>
      </c>
      <c r="CW2663">
        <v>8869029</v>
      </c>
      <c r="CY2663">
        <v>0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25">
      <c r="A2664" t="str">
        <f t="shared" si="1469"/>
        <v>06/05/2020 14:55:29.129</v>
      </c>
      <c r="C2664" t="str">
        <f t="shared" si="1470"/>
        <v>FFDFD3C0</v>
      </c>
      <c r="D2664" t="s">
        <v>113</v>
      </c>
      <c r="E2664">
        <v>3</v>
      </c>
      <c r="H2664">
        <v>166</v>
      </c>
      <c r="I2664" t="s">
        <v>114</v>
      </c>
      <c r="J2664" t="s">
        <v>115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471"/>
        <v>14:55:34.750</v>
      </c>
      <c r="T2664" t="str">
        <f t="shared" si="1471"/>
        <v>14:55:34.750</v>
      </c>
      <c r="U2664" t="str">
        <f t="shared" si="1454"/>
        <v>ACC530</v>
      </c>
      <c r="V2664">
        <v>0</v>
      </c>
      <c r="W2664">
        <v>0</v>
      </c>
      <c r="X2664">
        <v>1</v>
      </c>
      <c r="Z2664">
        <v>0</v>
      </c>
      <c r="AA2664">
        <v>9</v>
      </c>
      <c r="AB2664">
        <v>3</v>
      </c>
      <c r="AC2664">
        <v>0</v>
      </c>
      <c r="AD2664">
        <v>9</v>
      </c>
      <c r="AE2664">
        <v>0</v>
      </c>
      <c r="AF2664">
        <v>3</v>
      </c>
      <c r="AG2664">
        <v>1</v>
      </c>
      <c r="AH2664">
        <v>0</v>
      </c>
      <c r="AI2664" t="s">
        <v>930</v>
      </c>
      <c r="AJ2664">
        <v>34.134478999999999</v>
      </c>
      <c r="AK2664" t="s">
        <v>931</v>
      </c>
      <c r="AL2664">
        <v>-117.057374</v>
      </c>
      <c r="AM2664">
        <v>100</v>
      </c>
      <c r="AN2664">
        <v>6700</v>
      </c>
      <c r="AO2664" t="s">
        <v>118</v>
      </c>
      <c r="AP2664">
        <v>-17</v>
      </c>
      <c r="AQ2664">
        <v>-107</v>
      </c>
      <c r="AR2664">
        <v>-896</v>
      </c>
      <c r="AZ2664">
        <v>1200</v>
      </c>
      <c r="BA2664">
        <v>1</v>
      </c>
      <c r="BB2664" t="str">
        <f t="shared" si="1455"/>
        <v xml:space="preserve">N9217B  </v>
      </c>
      <c r="BC2664">
        <v>1</v>
      </c>
      <c r="BE2664">
        <v>0</v>
      </c>
      <c r="BF2664">
        <v>0</v>
      </c>
      <c r="BG2664">
        <v>0</v>
      </c>
      <c r="BH2664">
        <v>6575</v>
      </c>
      <c r="BI2664">
        <v>1</v>
      </c>
      <c r="BJ2664">
        <v>0</v>
      </c>
      <c r="BK2664">
        <v>0</v>
      </c>
      <c r="BL2664">
        <v>0</v>
      </c>
      <c r="BO2664">
        <v>0</v>
      </c>
      <c r="BP2664">
        <v>0</v>
      </c>
      <c r="BW2664" t="str">
        <f t="shared" si="1472"/>
        <v>14:55:34.754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285</v>
      </c>
      <c r="CR2664">
        <v>0</v>
      </c>
      <c r="CW2664">
        <v>8869029</v>
      </c>
      <c r="CY2664">
        <v>0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25">
      <c r="A2665" t="str">
        <f t="shared" si="1469"/>
        <v>06/05/2020 14:55:29.129</v>
      </c>
      <c r="C2665" t="str">
        <f t="shared" si="1470"/>
        <v>FFDFD3C0</v>
      </c>
      <c r="D2665" t="s">
        <v>148</v>
      </c>
      <c r="E2665">
        <v>8</v>
      </c>
      <c r="H2665">
        <v>50</v>
      </c>
      <c r="I2665" t="s">
        <v>149</v>
      </c>
      <c r="J2665" t="s">
        <v>150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471"/>
        <v>14:55:34.750</v>
      </c>
      <c r="T2665" t="str">
        <f t="shared" si="1471"/>
        <v>14:55:34.750</v>
      </c>
      <c r="U2665" t="str">
        <f t="shared" si="1454"/>
        <v>ACC530</v>
      </c>
      <c r="V2665">
        <v>0</v>
      </c>
      <c r="W2665">
        <v>0</v>
      </c>
      <c r="X2665">
        <v>1</v>
      </c>
      <c r="Z2665">
        <v>0</v>
      </c>
      <c r="AA2665">
        <v>9</v>
      </c>
      <c r="AB2665">
        <v>3</v>
      </c>
      <c r="AC2665">
        <v>0</v>
      </c>
      <c r="AD2665">
        <v>9</v>
      </c>
      <c r="AE2665">
        <v>0</v>
      </c>
      <c r="AF2665">
        <v>3</v>
      </c>
      <c r="AG2665">
        <v>1</v>
      </c>
      <c r="AH2665">
        <v>0</v>
      </c>
      <c r="AI2665" t="s">
        <v>930</v>
      </c>
      <c r="AJ2665">
        <v>34.134478999999999</v>
      </c>
      <c r="AK2665" t="s">
        <v>931</v>
      </c>
      <c r="AL2665">
        <v>-117.057374</v>
      </c>
      <c r="AM2665">
        <v>100</v>
      </c>
      <c r="AN2665">
        <v>6700</v>
      </c>
      <c r="AO2665" t="s">
        <v>118</v>
      </c>
      <c r="AP2665">
        <v>-17</v>
      </c>
      <c r="AQ2665">
        <v>-107</v>
      </c>
      <c r="AR2665">
        <v>-896</v>
      </c>
      <c r="AZ2665">
        <v>1200</v>
      </c>
      <c r="BA2665">
        <v>1</v>
      </c>
      <c r="BB2665" t="str">
        <f t="shared" si="1455"/>
        <v xml:space="preserve">N9217B  </v>
      </c>
      <c r="BC2665">
        <v>1</v>
      </c>
      <c r="BE2665">
        <v>0</v>
      </c>
      <c r="BF2665">
        <v>0</v>
      </c>
      <c r="BG2665">
        <v>0</v>
      </c>
      <c r="BH2665">
        <v>6575</v>
      </c>
      <c r="BI2665">
        <v>1</v>
      </c>
      <c r="BJ2665">
        <v>0</v>
      </c>
      <c r="BK2665">
        <v>0</v>
      </c>
      <c r="BL2665">
        <v>0</v>
      </c>
      <c r="BO2665">
        <v>0</v>
      </c>
      <c r="BP2665">
        <v>0</v>
      </c>
      <c r="BW2665" t="str">
        <f t="shared" si="1472"/>
        <v>14:55:34.754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285</v>
      </c>
      <c r="CR2665">
        <v>0</v>
      </c>
      <c r="CW2665">
        <v>8869029</v>
      </c>
      <c r="CY2665">
        <v>0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25">
      <c r="A2666" t="str">
        <f t="shared" ref="A2666:A2672" si="1473">"06/05/2020 14:55:30.129"</f>
        <v>06/05/2020 14:55:30.129</v>
      </c>
      <c r="C2666" t="str">
        <f t="shared" si="1470"/>
        <v>FFDFD3C0</v>
      </c>
      <c r="D2666" t="s">
        <v>113</v>
      </c>
      <c r="E2666">
        <v>3</v>
      </c>
      <c r="H2666">
        <v>166</v>
      </c>
      <c r="I2666" t="s">
        <v>114</v>
      </c>
      <c r="J2666" t="s">
        <v>115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ref="S2666:T2672" si="1474">"14:55:35.789"</f>
        <v>14:55:35.789</v>
      </c>
      <c r="T2666" t="str">
        <f t="shared" si="1474"/>
        <v>14:55:35.789</v>
      </c>
      <c r="U2666" t="str">
        <f t="shared" si="1454"/>
        <v>ACC530</v>
      </c>
      <c r="V2666">
        <v>0</v>
      </c>
      <c r="W2666">
        <v>0</v>
      </c>
      <c r="X2666">
        <v>1</v>
      </c>
      <c r="Z2666">
        <v>0</v>
      </c>
      <c r="AA2666">
        <v>9</v>
      </c>
      <c r="AB2666">
        <v>3</v>
      </c>
      <c r="AC2666">
        <v>0</v>
      </c>
      <c r="AD2666">
        <v>9</v>
      </c>
      <c r="AE2666">
        <v>0</v>
      </c>
      <c r="AF2666">
        <v>3</v>
      </c>
      <c r="AG2666">
        <v>1</v>
      </c>
      <c r="AH2666">
        <v>0</v>
      </c>
      <c r="AI2666" t="s">
        <v>932</v>
      </c>
      <c r="AJ2666">
        <v>34.133963999999999</v>
      </c>
      <c r="AK2666" t="s">
        <v>933</v>
      </c>
      <c r="AL2666">
        <v>-117.057438</v>
      </c>
      <c r="AM2666">
        <v>100</v>
      </c>
      <c r="AN2666">
        <v>6600</v>
      </c>
      <c r="AO2666" t="s">
        <v>118</v>
      </c>
      <c r="AP2666">
        <v>-15</v>
      </c>
      <c r="AQ2666">
        <v>-107</v>
      </c>
      <c r="AR2666">
        <v>-896</v>
      </c>
      <c r="AZ2666">
        <v>1200</v>
      </c>
      <c r="BA2666">
        <v>1</v>
      </c>
      <c r="BB2666" t="str">
        <f t="shared" si="1455"/>
        <v xml:space="preserve">N9217B  </v>
      </c>
      <c r="BC2666">
        <v>1</v>
      </c>
      <c r="BE2666">
        <v>0</v>
      </c>
      <c r="BF2666">
        <v>0</v>
      </c>
      <c r="BG2666">
        <v>0</v>
      </c>
      <c r="BH2666">
        <v>6550</v>
      </c>
      <c r="BI2666">
        <v>1</v>
      </c>
      <c r="BJ2666">
        <v>0</v>
      </c>
      <c r="BK2666">
        <v>0</v>
      </c>
      <c r="BL2666">
        <v>0</v>
      </c>
      <c r="BO2666">
        <v>0</v>
      </c>
      <c r="BP2666">
        <v>0</v>
      </c>
      <c r="BW2666" t="str">
        <f t="shared" ref="BW2666:BW2672" si="1475">"14:55:35.789"</f>
        <v>14:55:35.789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285</v>
      </c>
      <c r="CR2666">
        <v>0</v>
      </c>
      <c r="CW2666">
        <v>8869122</v>
      </c>
      <c r="CY2666">
        <v>0</v>
      </c>
      <c r="CZ2666">
        <v>0</v>
      </c>
      <c r="DA2666">
        <v>0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25">
      <c r="A2667" t="str">
        <f t="shared" si="1473"/>
        <v>06/05/2020 14:55:30.129</v>
      </c>
      <c r="C2667" t="str">
        <f t="shared" si="1470"/>
        <v>FFDFD3C0</v>
      </c>
      <c r="D2667" t="s">
        <v>148</v>
      </c>
      <c r="E2667">
        <v>8</v>
      </c>
      <c r="H2667">
        <v>50</v>
      </c>
      <c r="I2667" t="s">
        <v>149</v>
      </c>
      <c r="J2667" t="s">
        <v>150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474"/>
        <v>14:55:35.789</v>
      </c>
      <c r="T2667" t="str">
        <f t="shared" si="1474"/>
        <v>14:55:35.789</v>
      </c>
      <c r="U2667" t="str">
        <f t="shared" si="1454"/>
        <v>ACC530</v>
      </c>
      <c r="V2667">
        <v>0</v>
      </c>
      <c r="W2667">
        <v>0</v>
      </c>
      <c r="X2667">
        <v>1</v>
      </c>
      <c r="Z2667">
        <v>0</v>
      </c>
      <c r="AA2667">
        <v>9</v>
      </c>
      <c r="AB2667">
        <v>3</v>
      </c>
      <c r="AC2667">
        <v>0</v>
      </c>
      <c r="AD2667">
        <v>9</v>
      </c>
      <c r="AE2667">
        <v>0</v>
      </c>
      <c r="AF2667">
        <v>3</v>
      </c>
      <c r="AG2667">
        <v>1</v>
      </c>
      <c r="AH2667">
        <v>0</v>
      </c>
      <c r="AI2667" t="s">
        <v>932</v>
      </c>
      <c r="AJ2667">
        <v>34.133963999999999</v>
      </c>
      <c r="AK2667" t="s">
        <v>933</v>
      </c>
      <c r="AL2667">
        <v>-117.057438</v>
      </c>
      <c r="AM2667">
        <v>100</v>
      </c>
      <c r="AN2667">
        <v>6600</v>
      </c>
      <c r="AO2667" t="s">
        <v>118</v>
      </c>
      <c r="AP2667">
        <v>-15</v>
      </c>
      <c r="AQ2667">
        <v>-107</v>
      </c>
      <c r="AR2667">
        <v>-896</v>
      </c>
      <c r="AZ2667">
        <v>1200</v>
      </c>
      <c r="BA2667">
        <v>1</v>
      </c>
      <c r="BB2667" t="str">
        <f t="shared" si="1455"/>
        <v xml:space="preserve">N9217B  </v>
      </c>
      <c r="BC2667">
        <v>1</v>
      </c>
      <c r="BE2667">
        <v>0</v>
      </c>
      <c r="BF2667">
        <v>0</v>
      </c>
      <c r="BG2667">
        <v>0</v>
      </c>
      <c r="BH2667">
        <v>6550</v>
      </c>
      <c r="BI2667">
        <v>1</v>
      </c>
      <c r="BJ2667">
        <v>0</v>
      </c>
      <c r="BK2667">
        <v>0</v>
      </c>
      <c r="BL2667">
        <v>0</v>
      </c>
      <c r="BO2667">
        <v>0</v>
      </c>
      <c r="BP2667">
        <v>0</v>
      </c>
      <c r="BW2667" t="str">
        <f t="shared" si="1475"/>
        <v>14:55:35.789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7</v>
      </c>
      <c r="CP2667" t="s">
        <v>119</v>
      </c>
      <c r="CQ2667">
        <v>285</v>
      </c>
      <c r="CR2667">
        <v>0</v>
      </c>
      <c r="CW2667">
        <v>8869122</v>
      </c>
      <c r="CY2667">
        <v>0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25">
      <c r="A2668" t="str">
        <f t="shared" si="1473"/>
        <v>06/05/2020 14:55:30.129</v>
      </c>
      <c r="C2668" t="str">
        <f t="shared" si="1470"/>
        <v>FFDFD3C0</v>
      </c>
      <c r="D2668" t="s">
        <v>134</v>
      </c>
      <c r="E2668">
        <v>7</v>
      </c>
      <c r="F2668">
        <v>2007</v>
      </c>
      <c r="G2668" t="s">
        <v>135</v>
      </c>
      <c r="J2668" t="s">
        <v>136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474"/>
        <v>14:55:35.789</v>
      </c>
      <c r="T2668" t="str">
        <f t="shared" si="1474"/>
        <v>14:55:35.789</v>
      </c>
      <c r="U2668" t="str">
        <f t="shared" si="1454"/>
        <v>ACC530</v>
      </c>
      <c r="V2668">
        <v>0</v>
      </c>
      <c r="W2668">
        <v>0</v>
      </c>
      <c r="X2668">
        <v>1</v>
      </c>
      <c r="Z2668">
        <v>0</v>
      </c>
      <c r="AA2668">
        <v>9</v>
      </c>
      <c r="AB2668">
        <v>3</v>
      </c>
      <c r="AC2668">
        <v>0</v>
      </c>
      <c r="AD2668">
        <v>9</v>
      </c>
      <c r="AE2668">
        <v>0</v>
      </c>
      <c r="AF2668">
        <v>3</v>
      </c>
      <c r="AG2668">
        <v>1</v>
      </c>
      <c r="AH2668">
        <v>0</v>
      </c>
      <c r="AI2668" t="s">
        <v>932</v>
      </c>
      <c r="AJ2668">
        <v>34.133963999999999</v>
      </c>
      <c r="AK2668" t="s">
        <v>933</v>
      </c>
      <c r="AL2668">
        <v>-117.057438</v>
      </c>
      <c r="AM2668">
        <v>100</v>
      </c>
      <c r="AN2668">
        <v>6600</v>
      </c>
      <c r="AO2668" t="s">
        <v>118</v>
      </c>
      <c r="AP2668">
        <v>-15</v>
      </c>
      <c r="AQ2668">
        <v>-107</v>
      </c>
      <c r="AR2668">
        <v>-896</v>
      </c>
      <c r="AZ2668">
        <v>1200</v>
      </c>
      <c r="BA2668">
        <v>1</v>
      </c>
      <c r="BB2668" t="str">
        <f t="shared" si="1455"/>
        <v xml:space="preserve">N9217B  </v>
      </c>
      <c r="BC2668">
        <v>1</v>
      </c>
      <c r="BE2668">
        <v>0</v>
      </c>
      <c r="BF2668">
        <v>0</v>
      </c>
      <c r="BG2668">
        <v>0</v>
      </c>
      <c r="BH2668">
        <v>6550</v>
      </c>
      <c r="BI2668">
        <v>1</v>
      </c>
      <c r="BJ2668">
        <v>0</v>
      </c>
      <c r="BK2668">
        <v>0</v>
      </c>
      <c r="BL2668">
        <v>0</v>
      </c>
      <c r="BO2668">
        <v>0</v>
      </c>
      <c r="BP2668">
        <v>0</v>
      </c>
      <c r="BW2668" t="str">
        <f t="shared" si="1475"/>
        <v>14:55:35.789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119</v>
      </c>
      <c r="CQ2668">
        <v>285</v>
      </c>
      <c r="CR2668">
        <v>0</v>
      </c>
      <c r="CW2668">
        <v>8869122</v>
      </c>
      <c r="CY2668">
        <v>0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25">
      <c r="A2669" t="str">
        <f t="shared" si="1473"/>
        <v>06/05/2020 14:55:30.129</v>
      </c>
      <c r="C2669" t="str">
        <f t="shared" si="1470"/>
        <v>FFDFD3C0</v>
      </c>
      <c r="D2669" t="s">
        <v>141</v>
      </c>
      <c r="E2669">
        <v>20</v>
      </c>
      <c r="F2669">
        <v>1020</v>
      </c>
      <c r="G2669" t="s">
        <v>114</v>
      </c>
      <c r="J2669" t="s">
        <v>142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474"/>
        <v>14:55:35.789</v>
      </c>
      <c r="T2669" t="str">
        <f t="shared" si="1474"/>
        <v>14:55:35.789</v>
      </c>
      <c r="U2669" t="str">
        <f t="shared" si="1454"/>
        <v>ACC530</v>
      </c>
      <c r="V2669">
        <v>0</v>
      </c>
      <c r="W2669">
        <v>0</v>
      </c>
      <c r="X2669">
        <v>1</v>
      </c>
      <c r="Z2669">
        <v>0</v>
      </c>
      <c r="AA2669">
        <v>9</v>
      </c>
      <c r="AB2669">
        <v>3</v>
      </c>
      <c r="AC2669">
        <v>0</v>
      </c>
      <c r="AD2669">
        <v>9</v>
      </c>
      <c r="AE2669">
        <v>0</v>
      </c>
      <c r="AF2669">
        <v>3</v>
      </c>
      <c r="AG2669">
        <v>1</v>
      </c>
      <c r="AH2669">
        <v>0</v>
      </c>
      <c r="AI2669" t="s">
        <v>932</v>
      </c>
      <c r="AJ2669">
        <v>34.133963999999999</v>
      </c>
      <c r="AK2669" t="s">
        <v>933</v>
      </c>
      <c r="AL2669">
        <v>-117.057438</v>
      </c>
      <c r="AM2669">
        <v>100</v>
      </c>
      <c r="AN2669">
        <v>6600</v>
      </c>
      <c r="AO2669" t="s">
        <v>118</v>
      </c>
      <c r="AP2669">
        <v>-15</v>
      </c>
      <c r="AQ2669">
        <v>-107</v>
      </c>
      <c r="AR2669">
        <v>-896</v>
      </c>
      <c r="AZ2669">
        <v>1200</v>
      </c>
      <c r="BA2669">
        <v>1</v>
      </c>
      <c r="BB2669" t="str">
        <f t="shared" si="1455"/>
        <v xml:space="preserve">N9217B  </v>
      </c>
      <c r="BC2669">
        <v>1</v>
      </c>
      <c r="BE2669">
        <v>0</v>
      </c>
      <c r="BF2669">
        <v>0</v>
      </c>
      <c r="BG2669">
        <v>0</v>
      </c>
      <c r="BH2669">
        <v>6550</v>
      </c>
      <c r="BI2669">
        <v>1</v>
      </c>
      <c r="BJ2669">
        <v>0</v>
      </c>
      <c r="BK2669">
        <v>0</v>
      </c>
      <c r="BL2669">
        <v>0</v>
      </c>
      <c r="BO2669">
        <v>0</v>
      </c>
      <c r="BP2669">
        <v>0</v>
      </c>
      <c r="BW2669" t="str">
        <f t="shared" si="1475"/>
        <v>14:55:35.789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7</v>
      </c>
      <c r="CP2669" t="s">
        <v>119</v>
      </c>
      <c r="CQ2669">
        <v>285</v>
      </c>
      <c r="CR2669">
        <v>0</v>
      </c>
      <c r="CW2669">
        <v>8869122</v>
      </c>
      <c r="CY2669">
        <v>0</v>
      </c>
      <c r="CZ2669">
        <v>0</v>
      </c>
      <c r="DA2669">
        <v>1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25">
      <c r="A2670" t="str">
        <f t="shared" si="1473"/>
        <v>06/05/2020 14:55:30.129</v>
      </c>
      <c r="C2670" t="str">
        <f t="shared" si="1470"/>
        <v>FFDFD3C0</v>
      </c>
      <c r="D2670" t="s">
        <v>151</v>
      </c>
      <c r="E2670">
        <v>8</v>
      </c>
      <c r="H2670">
        <v>225</v>
      </c>
      <c r="I2670" t="s">
        <v>353</v>
      </c>
      <c r="J2670" t="s">
        <v>150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474"/>
        <v>14:55:35.789</v>
      </c>
      <c r="T2670" t="str">
        <f t="shared" si="1474"/>
        <v>14:55:35.789</v>
      </c>
      <c r="U2670" t="str">
        <f t="shared" si="1454"/>
        <v>ACC530</v>
      </c>
      <c r="V2670">
        <v>0</v>
      </c>
      <c r="W2670">
        <v>0</v>
      </c>
      <c r="X2670">
        <v>1</v>
      </c>
      <c r="Z2670">
        <v>0</v>
      </c>
      <c r="AA2670">
        <v>9</v>
      </c>
      <c r="AB2670">
        <v>3</v>
      </c>
      <c r="AC2670">
        <v>0</v>
      </c>
      <c r="AD2670">
        <v>9</v>
      </c>
      <c r="AE2670">
        <v>0</v>
      </c>
      <c r="AF2670">
        <v>3</v>
      </c>
      <c r="AG2670">
        <v>1</v>
      </c>
      <c r="AH2670">
        <v>0</v>
      </c>
      <c r="AI2670" t="s">
        <v>932</v>
      </c>
      <c r="AJ2670">
        <v>34.133963999999999</v>
      </c>
      <c r="AK2670" t="s">
        <v>933</v>
      </c>
      <c r="AL2670">
        <v>-117.057438</v>
      </c>
      <c r="AM2670">
        <v>100</v>
      </c>
      <c r="AN2670">
        <v>6600</v>
      </c>
      <c r="AO2670" t="s">
        <v>118</v>
      </c>
      <c r="AP2670">
        <v>-15</v>
      </c>
      <c r="AQ2670">
        <v>-107</v>
      </c>
      <c r="AR2670">
        <v>-896</v>
      </c>
      <c r="AZ2670">
        <v>1200</v>
      </c>
      <c r="BA2670">
        <v>1</v>
      </c>
      <c r="BB2670" t="str">
        <f t="shared" si="1455"/>
        <v xml:space="preserve">N9217B  </v>
      </c>
      <c r="BC2670">
        <v>1</v>
      </c>
      <c r="BE2670">
        <v>0</v>
      </c>
      <c r="BF2670">
        <v>0</v>
      </c>
      <c r="BG2670">
        <v>0</v>
      </c>
      <c r="BH2670">
        <v>6550</v>
      </c>
      <c r="BI2670">
        <v>1</v>
      </c>
      <c r="BJ2670">
        <v>0</v>
      </c>
      <c r="BK2670">
        <v>0</v>
      </c>
      <c r="BL2670">
        <v>0</v>
      </c>
      <c r="BO2670">
        <v>0</v>
      </c>
      <c r="BP2670">
        <v>0</v>
      </c>
      <c r="BW2670" t="str">
        <f t="shared" si="1475"/>
        <v>14:55:35.789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7</v>
      </c>
      <c r="CP2670" t="s">
        <v>119</v>
      </c>
      <c r="CQ2670">
        <v>285</v>
      </c>
      <c r="CR2670">
        <v>0</v>
      </c>
      <c r="CW2670">
        <v>8869122</v>
      </c>
      <c r="CY2670">
        <v>0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25">
      <c r="A2671" t="str">
        <f t="shared" si="1473"/>
        <v>06/05/2020 14:55:30.129</v>
      </c>
      <c r="C2671" t="str">
        <f t="shared" si="1470"/>
        <v>FFDFD3C0</v>
      </c>
      <c r="D2671" t="s">
        <v>151</v>
      </c>
      <c r="E2671">
        <v>9</v>
      </c>
      <c r="H2671">
        <v>226</v>
      </c>
      <c r="I2671" t="s">
        <v>152</v>
      </c>
      <c r="J2671" t="s">
        <v>150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474"/>
        <v>14:55:35.789</v>
      </c>
      <c r="T2671" t="str">
        <f t="shared" si="1474"/>
        <v>14:55:35.789</v>
      </c>
      <c r="U2671" t="str">
        <f t="shared" si="1454"/>
        <v>ACC530</v>
      </c>
      <c r="V2671">
        <v>0</v>
      </c>
      <c r="W2671">
        <v>0</v>
      </c>
      <c r="X2671">
        <v>1</v>
      </c>
      <c r="Z2671">
        <v>0</v>
      </c>
      <c r="AA2671">
        <v>9</v>
      </c>
      <c r="AB2671">
        <v>3</v>
      </c>
      <c r="AC2671">
        <v>0</v>
      </c>
      <c r="AD2671">
        <v>9</v>
      </c>
      <c r="AE2671">
        <v>0</v>
      </c>
      <c r="AF2671">
        <v>3</v>
      </c>
      <c r="AG2671">
        <v>1</v>
      </c>
      <c r="AH2671">
        <v>0</v>
      </c>
      <c r="AI2671" t="s">
        <v>932</v>
      </c>
      <c r="AJ2671">
        <v>34.133963999999999</v>
      </c>
      <c r="AK2671" t="s">
        <v>933</v>
      </c>
      <c r="AL2671">
        <v>-117.057438</v>
      </c>
      <c r="AM2671">
        <v>100</v>
      </c>
      <c r="AN2671">
        <v>6600</v>
      </c>
      <c r="AO2671" t="s">
        <v>118</v>
      </c>
      <c r="AP2671">
        <v>-15</v>
      </c>
      <c r="AQ2671">
        <v>-107</v>
      </c>
      <c r="AR2671">
        <v>-896</v>
      </c>
      <c r="AZ2671">
        <v>1200</v>
      </c>
      <c r="BA2671">
        <v>1</v>
      </c>
      <c r="BB2671" t="str">
        <f t="shared" si="1455"/>
        <v xml:space="preserve">N9217B  </v>
      </c>
      <c r="BC2671">
        <v>1</v>
      </c>
      <c r="BE2671">
        <v>0</v>
      </c>
      <c r="BF2671">
        <v>0</v>
      </c>
      <c r="BG2671">
        <v>0</v>
      </c>
      <c r="BH2671">
        <v>6550</v>
      </c>
      <c r="BI2671">
        <v>1</v>
      </c>
      <c r="BJ2671">
        <v>0</v>
      </c>
      <c r="BK2671">
        <v>0</v>
      </c>
      <c r="BL2671">
        <v>0</v>
      </c>
      <c r="BO2671">
        <v>0</v>
      </c>
      <c r="BP2671">
        <v>0</v>
      </c>
      <c r="BW2671" t="str">
        <f t="shared" si="1475"/>
        <v>14:55:35.789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119</v>
      </c>
      <c r="CQ2671">
        <v>285</v>
      </c>
      <c r="CR2671">
        <v>0</v>
      </c>
      <c r="CW2671">
        <v>8869122</v>
      </c>
      <c r="CY2671">
        <v>0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25">
      <c r="A2672" t="str">
        <f t="shared" si="1473"/>
        <v>06/05/2020 14:55:30.129</v>
      </c>
      <c r="C2672" t="str">
        <f t="shared" si="1470"/>
        <v>FFDFD3C0</v>
      </c>
      <c r="D2672" t="s">
        <v>148</v>
      </c>
      <c r="E2672">
        <v>11</v>
      </c>
      <c r="H2672">
        <v>53</v>
      </c>
      <c r="I2672" t="s">
        <v>364</v>
      </c>
      <c r="J2672" t="s">
        <v>150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474"/>
        <v>14:55:35.789</v>
      </c>
      <c r="T2672" t="str">
        <f t="shared" si="1474"/>
        <v>14:55:35.789</v>
      </c>
      <c r="U2672" t="str">
        <f t="shared" si="1454"/>
        <v>ACC530</v>
      </c>
      <c r="V2672">
        <v>0</v>
      </c>
      <c r="W2672">
        <v>0</v>
      </c>
      <c r="X2672">
        <v>1</v>
      </c>
      <c r="Z2672">
        <v>0</v>
      </c>
      <c r="AA2672">
        <v>9</v>
      </c>
      <c r="AB2672">
        <v>3</v>
      </c>
      <c r="AC2672">
        <v>0</v>
      </c>
      <c r="AD2672">
        <v>9</v>
      </c>
      <c r="AE2672">
        <v>0</v>
      </c>
      <c r="AF2672">
        <v>3</v>
      </c>
      <c r="AG2672">
        <v>1</v>
      </c>
      <c r="AH2672">
        <v>0</v>
      </c>
      <c r="AI2672" t="s">
        <v>932</v>
      </c>
      <c r="AJ2672">
        <v>34.133963999999999</v>
      </c>
      <c r="AK2672" t="s">
        <v>933</v>
      </c>
      <c r="AL2672">
        <v>-117.057438</v>
      </c>
      <c r="AM2672">
        <v>100</v>
      </c>
      <c r="AN2672">
        <v>6600</v>
      </c>
      <c r="AO2672" t="s">
        <v>118</v>
      </c>
      <c r="AP2672">
        <v>-15</v>
      </c>
      <c r="AQ2672">
        <v>-107</v>
      </c>
      <c r="AR2672">
        <v>-896</v>
      </c>
      <c r="AZ2672">
        <v>1200</v>
      </c>
      <c r="BA2672">
        <v>1</v>
      </c>
      <c r="BB2672" t="str">
        <f t="shared" si="1455"/>
        <v xml:space="preserve">N9217B  </v>
      </c>
      <c r="BC2672">
        <v>1</v>
      </c>
      <c r="BE2672">
        <v>0</v>
      </c>
      <c r="BF2672">
        <v>0</v>
      </c>
      <c r="BG2672">
        <v>0</v>
      </c>
      <c r="BH2672">
        <v>6550</v>
      </c>
      <c r="BI2672">
        <v>1</v>
      </c>
      <c r="BJ2672">
        <v>0</v>
      </c>
      <c r="BK2672">
        <v>0</v>
      </c>
      <c r="BL2672">
        <v>0</v>
      </c>
      <c r="BO2672">
        <v>0</v>
      </c>
      <c r="BP2672">
        <v>0</v>
      </c>
      <c r="BW2672" t="str">
        <f t="shared" si="1475"/>
        <v>14:55:35.789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7</v>
      </c>
      <c r="CP2672" t="s">
        <v>119</v>
      </c>
      <c r="CQ2672">
        <v>285</v>
      </c>
      <c r="CR2672">
        <v>0</v>
      </c>
      <c r="CW2672">
        <v>8869122</v>
      </c>
      <c r="CY2672">
        <v>0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25">
      <c r="A2673" t="str">
        <f t="shared" ref="A2673:A2679" si="1476">"06/05/2020 14:55:31.170"</f>
        <v>06/05/2020 14:55:31.170</v>
      </c>
      <c r="C2673" t="str">
        <f t="shared" si="1470"/>
        <v>FFDFD3C0</v>
      </c>
      <c r="D2673" t="s">
        <v>151</v>
      </c>
      <c r="E2673">
        <v>9</v>
      </c>
      <c r="H2673">
        <v>226</v>
      </c>
      <c r="I2673" t="s">
        <v>152</v>
      </c>
      <c r="J2673" t="s">
        <v>150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ref="S2673:S2679" si="1477">"14:55:36.805"</f>
        <v>14:55:36.805</v>
      </c>
      <c r="T2673" t="str">
        <f>"14:55:35.805"</f>
        <v>14:55:35.805</v>
      </c>
      <c r="U2673" t="str">
        <f t="shared" si="1454"/>
        <v>ACC530</v>
      </c>
      <c r="V2673">
        <v>0</v>
      </c>
      <c r="W2673">
        <v>0</v>
      </c>
      <c r="X2673">
        <v>1</v>
      </c>
      <c r="Z2673">
        <v>0</v>
      </c>
      <c r="AA2673">
        <v>9</v>
      </c>
      <c r="AB2673">
        <v>3</v>
      </c>
      <c r="AC2673">
        <v>0</v>
      </c>
      <c r="AD2673">
        <v>9</v>
      </c>
      <c r="AE2673">
        <v>0</v>
      </c>
      <c r="AF2673">
        <v>3</v>
      </c>
      <c r="AG2673">
        <v>1</v>
      </c>
      <c r="AH2673">
        <v>0</v>
      </c>
      <c r="AI2673" t="s">
        <v>934</v>
      </c>
      <c r="AJ2673">
        <v>34.133426999999998</v>
      </c>
      <c r="AK2673" t="s">
        <v>935</v>
      </c>
      <c r="AL2673">
        <v>-117.057524</v>
      </c>
      <c r="AM2673">
        <v>100</v>
      </c>
      <c r="AN2673">
        <v>6600</v>
      </c>
      <c r="AO2673" t="s">
        <v>118</v>
      </c>
      <c r="AP2673">
        <v>-15</v>
      </c>
      <c r="AQ2673">
        <v>-107</v>
      </c>
      <c r="AR2673">
        <v>-896</v>
      </c>
      <c r="AZ2673">
        <v>1200</v>
      </c>
      <c r="BA2673">
        <v>1</v>
      </c>
      <c r="BB2673" t="str">
        <f t="shared" si="1455"/>
        <v xml:space="preserve">N9217B  </v>
      </c>
      <c r="BC2673">
        <v>1</v>
      </c>
      <c r="BE2673">
        <v>0</v>
      </c>
      <c r="BF2673">
        <v>0</v>
      </c>
      <c r="BG2673">
        <v>0</v>
      </c>
      <c r="BH2673">
        <v>6550</v>
      </c>
      <c r="BI2673">
        <v>1</v>
      </c>
      <c r="BJ2673">
        <v>0</v>
      </c>
      <c r="BK2673">
        <v>0</v>
      </c>
      <c r="BL2673">
        <v>0</v>
      </c>
      <c r="BO2673">
        <v>0</v>
      </c>
      <c r="BP2673">
        <v>0</v>
      </c>
      <c r="BW2673" t="str">
        <f t="shared" ref="BW2673:BW2679" si="1478">"14:55:36.809"</f>
        <v>14:55:36.809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119</v>
      </c>
      <c r="CQ2673">
        <v>285</v>
      </c>
      <c r="CR2673">
        <v>0</v>
      </c>
      <c r="CW2673">
        <v>8869214</v>
      </c>
      <c r="CY2673">
        <v>0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25">
      <c r="A2674" t="str">
        <f t="shared" si="1476"/>
        <v>06/05/2020 14:55:31.170</v>
      </c>
      <c r="C2674" t="str">
        <f t="shared" si="1470"/>
        <v>FFDFD3C0</v>
      </c>
      <c r="D2674" t="s">
        <v>148</v>
      </c>
      <c r="E2674">
        <v>8</v>
      </c>
      <c r="H2674">
        <v>50</v>
      </c>
      <c r="I2674" t="s">
        <v>149</v>
      </c>
      <c r="J2674" t="s">
        <v>150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477"/>
        <v>14:55:36.805</v>
      </c>
      <c r="T2674" t="str">
        <f t="shared" ref="T2674:T2679" si="1479">"14:55:36.405"</f>
        <v>14:55:36.405</v>
      </c>
      <c r="U2674" t="str">
        <f t="shared" si="1454"/>
        <v>ACC530</v>
      </c>
      <c r="V2674">
        <v>0</v>
      </c>
      <c r="W2674">
        <v>0</v>
      </c>
      <c r="X2674">
        <v>1</v>
      </c>
      <c r="Z2674">
        <v>0</v>
      </c>
      <c r="AA2674">
        <v>9</v>
      </c>
      <c r="AB2674">
        <v>3</v>
      </c>
      <c r="AC2674">
        <v>0</v>
      </c>
      <c r="AD2674">
        <v>9</v>
      </c>
      <c r="AE2674">
        <v>0</v>
      </c>
      <c r="AF2674">
        <v>3</v>
      </c>
      <c r="AG2674">
        <v>1</v>
      </c>
      <c r="AH2674">
        <v>0</v>
      </c>
      <c r="AI2674" t="s">
        <v>934</v>
      </c>
      <c r="AJ2674">
        <v>34.133426999999998</v>
      </c>
      <c r="AK2674" t="s">
        <v>935</v>
      </c>
      <c r="AL2674">
        <v>-117.057524</v>
      </c>
      <c r="AM2674">
        <v>100</v>
      </c>
      <c r="AN2674">
        <v>6600</v>
      </c>
      <c r="AO2674" t="s">
        <v>118</v>
      </c>
      <c r="AP2674">
        <v>-15</v>
      </c>
      <c r="AQ2674">
        <v>-107</v>
      </c>
      <c r="AR2674">
        <v>-896</v>
      </c>
      <c r="AZ2674">
        <v>1200</v>
      </c>
      <c r="BA2674">
        <v>1</v>
      </c>
      <c r="BB2674" t="str">
        <f t="shared" si="1455"/>
        <v xml:space="preserve">N9217B  </v>
      </c>
      <c r="BC2674">
        <v>1</v>
      </c>
      <c r="BE2674">
        <v>0</v>
      </c>
      <c r="BF2674">
        <v>0</v>
      </c>
      <c r="BG2674">
        <v>0</v>
      </c>
      <c r="BH2674">
        <v>6550</v>
      </c>
      <c r="BI2674">
        <v>1</v>
      </c>
      <c r="BJ2674">
        <v>0</v>
      </c>
      <c r="BK2674">
        <v>0</v>
      </c>
      <c r="BL2674">
        <v>0</v>
      </c>
      <c r="BO2674">
        <v>0</v>
      </c>
      <c r="BP2674">
        <v>0</v>
      </c>
      <c r="BW2674" t="str">
        <f t="shared" si="1478"/>
        <v>14:55:36.809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5</v>
      </c>
      <c r="CP2674" t="s">
        <v>119</v>
      </c>
      <c r="CQ2674">
        <v>298</v>
      </c>
      <c r="CR2674">
        <v>0</v>
      </c>
      <c r="CW2674">
        <v>10444352</v>
      </c>
      <c r="CY2674">
        <v>0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25">
      <c r="A2675" t="str">
        <f t="shared" si="1476"/>
        <v>06/05/2020 14:55:31.170</v>
      </c>
      <c r="C2675" t="str">
        <f t="shared" si="1470"/>
        <v>FFDFD3C0</v>
      </c>
      <c r="D2675" t="s">
        <v>134</v>
      </c>
      <c r="E2675">
        <v>7</v>
      </c>
      <c r="F2675">
        <v>2007</v>
      </c>
      <c r="G2675" t="s">
        <v>135</v>
      </c>
      <c r="J2675" t="s">
        <v>136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1477"/>
        <v>14:55:36.805</v>
      </c>
      <c r="T2675" t="str">
        <f t="shared" si="1479"/>
        <v>14:55:36.405</v>
      </c>
      <c r="U2675" t="str">
        <f t="shared" si="1454"/>
        <v>ACC530</v>
      </c>
      <c r="V2675">
        <v>0</v>
      </c>
      <c r="W2675">
        <v>0</v>
      </c>
      <c r="X2675">
        <v>1</v>
      </c>
      <c r="Z2675">
        <v>0</v>
      </c>
      <c r="AA2675">
        <v>9</v>
      </c>
      <c r="AB2675">
        <v>3</v>
      </c>
      <c r="AC2675">
        <v>0</v>
      </c>
      <c r="AD2675">
        <v>9</v>
      </c>
      <c r="AE2675">
        <v>0</v>
      </c>
      <c r="AF2675">
        <v>3</v>
      </c>
      <c r="AG2675">
        <v>1</v>
      </c>
      <c r="AH2675">
        <v>0</v>
      </c>
      <c r="AI2675" t="s">
        <v>934</v>
      </c>
      <c r="AJ2675">
        <v>34.133426999999998</v>
      </c>
      <c r="AK2675" t="s">
        <v>935</v>
      </c>
      <c r="AL2675">
        <v>-117.057524</v>
      </c>
      <c r="AM2675">
        <v>100</v>
      </c>
      <c r="AN2675">
        <v>6600</v>
      </c>
      <c r="AO2675" t="s">
        <v>118</v>
      </c>
      <c r="AP2675">
        <v>-15</v>
      </c>
      <c r="AQ2675">
        <v>-107</v>
      </c>
      <c r="AR2675">
        <v>-896</v>
      </c>
      <c r="AZ2675">
        <v>1200</v>
      </c>
      <c r="BA2675">
        <v>1</v>
      </c>
      <c r="BB2675" t="str">
        <f t="shared" si="1455"/>
        <v xml:space="preserve">N9217B  </v>
      </c>
      <c r="BC2675">
        <v>1</v>
      </c>
      <c r="BE2675">
        <v>0</v>
      </c>
      <c r="BF2675">
        <v>0</v>
      </c>
      <c r="BG2675">
        <v>0</v>
      </c>
      <c r="BH2675">
        <v>6550</v>
      </c>
      <c r="BI2675">
        <v>1</v>
      </c>
      <c r="BJ2675">
        <v>0</v>
      </c>
      <c r="BK2675">
        <v>0</v>
      </c>
      <c r="BL2675">
        <v>0</v>
      </c>
      <c r="BO2675">
        <v>0</v>
      </c>
      <c r="BP2675">
        <v>0</v>
      </c>
      <c r="BW2675" t="str">
        <f t="shared" si="1478"/>
        <v>14:55:36.809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5</v>
      </c>
      <c r="CP2675" t="s">
        <v>119</v>
      </c>
      <c r="CQ2675">
        <v>298</v>
      </c>
      <c r="CR2675">
        <v>0</v>
      </c>
      <c r="CW2675">
        <v>10444352</v>
      </c>
      <c r="CY2675">
        <v>0</v>
      </c>
      <c r="CZ2675">
        <v>0</v>
      </c>
      <c r="DA2675">
        <v>1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25">
      <c r="A2676" t="str">
        <f t="shared" si="1476"/>
        <v>06/05/2020 14:55:31.170</v>
      </c>
      <c r="C2676" t="str">
        <f t="shared" si="1470"/>
        <v>FFDFD3C0</v>
      </c>
      <c r="D2676" t="s">
        <v>141</v>
      </c>
      <c r="E2676">
        <v>20</v>
      </c>
      <c r="F2676">
        <v>1020</v>
      </c>
      <c r="G2676" t="s">
        <v>114</v>
      </c>
      <c r="J2676" t="s">
        <v>142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477"/>
        <v>14:55:36.805</v>
      </c>
      <c r="T2676" t="str">
        <f t="shared" si="1479"/>
        <v>14:55:36.405</v>
      </c>
      <c r="U2676" t="str">
        <f t="shared" si="1454"/>
        <v>ACC530</v>
      </c>
      <c r="V2676">
        <v>0</v>
      </c>
      <c r="W2676">
        <v>0</v>
      </c>
      <c r="X2676">
        <v>1</v>
      </c>
      <c r="Z2676">
        <v>0</v>
      </c>
      <c r="AA2676">
        <v>9</v>
      </c>
      <c r="AB2676">
        <v>3</v>
      </c>
      <c r="AC2676">
        <v>0</v>
      </c>
      <c r="AD2676">
        <v>9</v>
      </c>
      <c r="AE2676">
        <v>0</v>
      </c>
      <c r="AF2676">
        <v>3</v>
      </c>
      <c r="AG2676">
        <v>1</v>
      </c>
      <c r="AH2676">
        <v>0</v>
      </c>
      <c r="AI2676" t="s">
        <v>934</v>
      </c>
      <c r="AJ2676">
        <v>34.133426999999998</v>
      </c>
      <c r="AK2676" t="s">
        <v>935</v>
      </c>
      <c r="AL2676">
        <v>-117.057524</v>
      </c>
      <c r="AM2676">
        <v>100</v>
      </c>
      <c r="AN2676">
        <v>6600</v>
      </c>
      <c r="AO2676" t="s">
        <v>118</v>
      </c>
      <c r="AP2676">
        <v>-15</v>
      </c>
      <c r="AQ2676">
        <v>-107</v>
      </c>
      <c r="AR2676">
        <v>-896</v>
      </c>
      <c r="AZ2676">
        <v>1200</v>
      </c>
      <c r="BA2676">
        <v>1</v>
      </c>
      <c r="BB2676" t="str">
        <f t="shared" si="1455"/>
        <v xml:space="preserve">N9217B  </v>
      </c>
      <c r="BC2676">
        <v>1</v>
      </c>
      <c r="BE2676">
        <v>0</v>
      </c>
      <c r="BF2676">
        <v>0</v>
      </c>
      <c r="BG2676">
        <v>0</v>
      </c>
      <c r="BH2676">
        <v>6550</v>
      </c>
      <c r="BI2676">
        <v>1</v>
      </c>
      <c r="BJ2676">
        <v>0</v>
      </c>
      <c r="BK2676">
        <v>0</v>
      </c>
      <c r="BL2676">
        <v>0</v>
      </c>
      <c r="BO2676">
        <v>0</v>
      </c>
      <c r="BP2676">
        <v>0</v>
      </c>
      <c r="BW2676" t="str">
        <f t="shared" si="1478"/>
        <v>14:55:36.809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5</v>
      </c>
      <c r="CP2676" t="s">
        <v>119</v>
      </c>
      <c r="CQ2676">
        <v>298</v>
      </c>
      <c r="CR2676">
        <v>0</v>
      </c>
      <c r="CW2676">
        <v>10444352</v>
      </c>
      <c r="CY2676">
        <v>0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25">
      <c r="A2677" t="str">
        <f t="shared" si="1476"/>
        <v>06/05/2020 14:55:31.170</v>
      </c>
      <c r="C2677" t="str">
        <f t="shared" si="1470"/>
        <v>FFDFD3C0</v>
      </c>
      <c r="D2677" t="s">
        <v>151</v>
      </c>
      <c r="E2677">
        <v>8</v>
      </c>
      <c r="H2677">
        <v>225</v>
      </c>
      <c r="I2677" t="s">
        <v>353</v>
      </c>
      <c r="J2677" t="s">
        <v>150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1477"/>
        <v>14:55:36.805</v>
      </c>
      <c r="T2677" t="str">
        <f t="shared" si="1479"/>
        <v>14:55:36.405</v>
      </c>
      <c r="U2677" t="str">
        <f t="shared" si="1454"/>
        <v>ACC530</v>
      </c>
      <c r="V2677">
        <v>0</v>
      </c>
      <c r="W2677">
        <v>0</v>
      </c>
      <c r="X2677">
        <v>1</v>
      </c>
      <c r="Z2677">
        <v>0</v>
      </c>
      <c r="AA2677">
        <v>9</v>
      </c>
      <c r="AB2677">
        <v>3</v>
      </c>
      <c r="AC2677">
        <v>0</v>
      </c>
      <c r="AD2677">
        <v>9</v>
      </c>
      <c r="AE2677">
        <v>0</v>
      </c>
      <c r="AF2677">
        <v>3</v>
      </c>
      <c r="AG2677">
        <v>1</v>
      </c>
      <c r="AH2677">
        <v>0</v>
      </c>
      <c r="AI2677" t="s">
        <v>934</v>
      </c>
      <c r="AJ2677">
        <v>34.133426999999998</v>
      </c>
      <c r="AK2677" t="s">
        <v>935</v>
      </c>
      <c r="AL2677">
        <v>-117.057524</v>
      </c>
      <c r="AM2677">
        <v>100</v>
      </c>
      <c r="AN2677">
        <v>6600</v>
      </c>
      <c r="AO2677" t="s">
        <v>118</v>
      </c>
      <c r="AP2677">
        <v>-15</v>
      </c>
      <c r="AQ2677">
        <v>-107</v>
      </c>
      <c r="AR2677">
        <v>-896</v>
      </c>
      <c r="AZ2677">
        <v>1200</v>
      </c>
      <c r="BA2677">
        <v>1</v>
      </c>
      <c r="BB2677" t="str">
        <f t="shared" si="1455"/>
        <v xml:space="preserve">N9217B  </v>
      </c>
      <c r="BC2677">
        <v>1</v>
      </c>
      <c r="BE2677">
        <v>0</v>
      </c>
      <c r="BF2677">
        <v>0</v>
      </c>
      <c r="BG2677">
        <v>0</v>
      </c>
      <c r="BH2677">
        <v>6550</v>
      </c>
      <c r="BI2677">
        <v>1</v>
      </c>
      <c r="BJ2677">
        <v>0</v>
      </c>
      <c r="BK2677">
        <v>0</v>
      </c>
      <c r="BL2677">
        <v>0</v>
      </c>
      <c r="BO2677">
        <v>0</v>
      </c>
      <c r="BP2677">
        <v>0</v>
      </c>
      <c r="BW2677" t="str">
        <f t="shared" si="1478"/>
        <v>14:55:36.809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5</v>
      </c>
      <c r="CP2677" t="s">
        <v>119</v>
      </c>
      <c r="CQ2677">
        <v>298</v>
      </c>
      <c r="CR2677">
        <v>0</v>
      </c>
      <c r="CW2677">
        <v>10444352</v>
      </c>
      <c r="CY2677">
        <v>0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25">
      <c r="A2678" t="str">
        <f t="shared" si="1476"/>
        <v>06/05/2020 14:55:31.170</v>
      </c>
      <c r="C2678" t="str">
        <f t="shared" si="1470"/>
        <v>FFDFD3C0</v>
      </c>
      <c r="D2678" t="s">
        <v>113</v>
      </c>
      <c r="E2678">
        <v>3</v>
      </c>
      <c r="H2678">
        <v>166</v>
      </c>
      <c r="I2678" t="s">
        <v>114</v>
      </c>
      <c r="J2678" t="s">
        <v>115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477"/>
        <v>14:55:36.805</v>
      </c>
      <c r="T2678" t="str">
        <f t="shared" si="1479"/>
        <v>14:55:36.405</v>
      </c>
      <c r="U2678" t="str">
        <f t="shared" si="1454"/>
        <v>ACC530</v>
      </c>
      <c r="V2678">
        <v>0</v>
      </c>
      <c r="W2678">
        <v>0</v>
      </c>
      <c r="X2678">
        <v>1</v>
      </c>
      <c r="Z2678">
        <v>0</v>
      </c>
      <c r="AA2678">
        <v>9</v>
      </c>
      <c r="AB2678">
        <v>3</v>
      </c>
      <c r="AC2678">
        <v>0</v>
      </c>
      <c r="AD2678">
        <v>9</v>
      </c>
      <c r="AE2678">
        <v>0</v>
      </c>
      <c r="AF2678">
        <v>3</v>
      </c>
      <c r="AG2678">
        <v>1</v>
      </c>
      <c r="AH2678">
        <v>0</v>
      </c>
      <c r="AI2678" t="s">
        <v>934</v>
      </c>
      <c r="AJ2678">
        <v>34.133426999999998</v>
      </c>
      <c r="AK2678" t="s">
        <v>935</v>
      </c>
      <c r="AL2678">
        <v>-117.057524</v>
      </c>
      <c r="AM2678">
        <v>100</v>
      </c>
      <c r="AN2678">
        <v>6600</v>
      </c>
      <c r="AO2678" t="s">
        <v>118</v>
      </c>
      <c r="AP2678">
        <v>-15</v>
      </c>
      <c r="AQ2678">
        <v>-107</v>
      </c>
      <c r="AR2678">
        <v>-896</v>
      </c>
      <c r="AZ2678">
        <v>1200</v>
      </c>
      <c r="BA2678">
        <v>1</v>
      </c>
      <c r="BB2678" t="str">
        <f t="shared" si="1455"/>
        <v xml:space="preserve">N9217B  </v>
      </c>
      <c r="BC2678">
        <v>1</v>
      </c>
      <c r="BE2678">
        <v>0</v>
      </c>
      <c r="BF2678">
        <v>0</v>
      </c>
      <c r="BG2678">
        <v>0</v>
      </c>
      <c r="BH2678">
        <v>6550</v>
      </c>
      <c r="BI2678">
        <v>1</v>
      </c>
      <c r="BJ2678">
        <v>0</v>
      </c>
      <c r="BK2678">
        <v>0</v>
      </c>
      <c r="BL2678">
        <v>0</v>
      </c>
      <c r="BO2678">
        <v>0</v>
      </c>
      <c r="BP2678">
        <v>0</v>
      </c>
      <c r="BW2678" t="str">
        <f t="shared" si="1478"/>
        <v>14:55:36.809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5</v>
      </c>
      <c r="CP2678" t="s">
        <v>119</v>
      </c>
      <c r="CQ2678">
        <v>298</v>
      </c>
      <c r="CR2678">
        <v>0</v>
      </c>
      <c r="CW2678">
        <v>10444352</v>
      </c>
      <c r="CY2678">
        <v>0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25">
      <c r="A2679" t="str">
        <f t="shared" si="1476"/>
        <v>06/05/2020 14:55:31.170</v>
      </c>
      <c r="C2679" t="str">
        <f t="shared" si="1470"/>
        <v>FFDFD3C0</v>
      </c>
      <c r="D2679" t="s">
        <v>148</v>
      </c>
      <c r="E2679">
        <v>11</v>
      </c>
      <c r="H2679">
        <v>53</v>
      </c>
      <c r="I2679" t="s">
        <v>364</v>
      </c>
      <c r="J2679" t="s">
        <v>150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si="1477"/>
        <v>14:55:36.805</v>
      </c>
      <c r="T2679" t="str">
        <f t="shared" si="1479"/>
        <v>14:55:36.405</v>
      </c>
      <c r="U2679" t="str">
        <f t="shared" si="1454"/>
        <v>ACC530</v>
      </c>
      <c r="V2679">
        <v>0</v>
      </c>
      <c r="W2679">
        <v>0</v>
      </c>
      <c r="X2679">
        <v>1</v>
      </c>
      <c r="Z2679">
        <v>0</v>
      </c>
      <c r="AA2679">
        <v>9</v>
      </c>
      <c r="AB2679">
        <v>3</v>
      </c>
      <c r="AC2679">
        <v>0</v>
      </c>
      <c r="AD2679">
        <v>9</v>
      </c>
      <c r="AE2679">
        <v>0</v>
      </c>
      <c r="AF2679">
        <v>3</v>
      </c>
      <c r="AG2679">
        <v>1</v>
      </c>
      <c r="AH2679">
        <v>0</v>
      </c>
      <c r="AI2679" t="s">
        <v>934</v>
      </c>
      <c r="AJ2679">
        <v>34.133426999999998</v>
      </c>
      <c r="AK2679" t="s">
        <v>935</v>
      </c>
      <c r="AL2679">
        <v>-117.057524</v>
      </c>
      <c r="AM2679">
        <v>100</v>
      </c>
      <c r="AN2679">
        <v>6600</v>
      </c>
      <c r="AO2679" t="s">
        <v>118</v>
      </c>
      <c r="AP2679">
        <v>-15</v>
      </c>
      <c r="AQ2679">
        <v>-107</v>
      </c>
      <c r="AR2679">
        <v>-896</v>
      </c>
      <c r="AZ2679">
        <v>1200</v>
      </c>
      <c r="BA2679">
        <v>1</v>
      </c>
      <c r="BB2679" t="str">
        <f t="shared" si="1455"/>
        <v xml:space="preserve">N9217B  </v>
      </c>
      <c r="BC2679">
        <v>1</v>
      </c>
      <c r="BE2679">
        <v>0</v>
      </c>
      <c r="BF2679">
        <v>0</v>
      </c>
      <c r="BG2679">
        <v>0</v>
      </c>
      <c r="BH2679">
        <v>6550</v>
      </c>
      <c r="BI2679">
        <v>1</v>
      </c>
      <c r="BJ2679">
        <v>0</v>
      </c>
      <c r="BK2679">
        <v>0</v>
      </c>
      <c r="BL2679">
        <v>0</v>
      </c>
      <c r="BO2679">
        <v>0</v>
      </c>
      <c r="BP2679">
        <v>0</v>
      </c>
      <c r="BW2679" t="str">
        <f t="shared" si="1478"/>
        <v>14:55:36.809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5</v>
      </c>
      <c r="CP2679" t="s">
        <v>119</v>
      </c>
      <c r="CQ2679">
        <v>298</v>
      </c>
      <c r="CR2679">
        <v>0</v>
      </c>
      <c r="CW2679">
        <v>10444352</v>
      </c>
      <c r="CY2679">
        <v>0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25">
      <c r="A2680" t="str">
        <f t="shared" ref="A2680:A2686" si="1480">"06/05/2020 14:55:32.248"</f>
        <v>06/05/2020 14:55:32.248</v>
      </c>
      <c r="C2680" t="str">
        <f t="shared" si="1470"/>
        <v>FFDFD3C0</v>
      </c>
      <c r="D2680" t="s">
        <v>113</v>
      </c>
      <c r="E2680">
        <v>3</v>
      </c>
      <c r="H2680">
        <v>166</v>
      </c>
      <c r="I2680" t="s">
        <v>114</v>
      </c>
      <c r="J2680" t="s">
        <v>115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ref="S2680:S2686" si="1481">"14:55:37.898"</f>
        <v>14:55:37.898</v>
      </c>
      <c r="T2680" t="str">
        <f t="shared" ref="T2680:T2686" si="1482">"14:55:37.498"</f>
        <v>14:55:37.498</v>
      </c>
      <c r="U2680" t="str">
        <f t="shared" si="1454"/>
        <v>ACC530</v>
      </c>
      <c r="V2680">
        <v>0</v>
      </c>
      <c r="W2680">
        <v>0</v>
      </c>
      <c r="X2680">
        <v>1</v>
      </c>
      <c r="Z2680">
        <v>0</v>
      </c>
      <c r="AA2680">
        <v>9</v>
      </c>
      <c r="AB2680">
        <v>3</v>
      </c>
      <c r="AC2680">
        <v>0</v>
      </c>
      <c r="AD2680">
        <v>9</v>
      </c>
      <c r="AE2680">
        <v>0</v>
      </c>
      <c r="AF2680">
        <v>3</v>
      </c>
      <c r="AG2680">
        <v>1</v>
      </c>
      <c r="AH2680">
        <v>0</v>
      </c>
      <c r="AI2680" t="s">
        <v>936</v>
      </c>
      <c r="AJ2680">
        <v>34.132891000000001</v>
      </c>
      <c r="AK2680" t="s">
        <v>937</v>
      </c>
      <c r="AL2680">
        <v>-117.05767400000001</v>
      </c>
      <c r="AM2680">
        <v>100</v>
      </c>
      <c r="AN2680">
        <v>6600</v>
      </c>
      <c r="AO2680" t="s">
        <v>118</v>
      </c>
      <c r="AP2680">
        <v>-14</v>
      </c>
      <c r="AQ2680">
        <v>-107</v>
      </c>
      <c r="AR2680">
        <v>-768</v>
      </c>
      <c r="AZ2680">
        <v>1200</v>
      </c>
      <c r="BA2680">
        <v>1</v>
      </c>
      <c r="BB2680" t="str">
        <f t="shared" si="1455"/>
        <v xml:space="preserve">N9217B  </v>
      </c>
      <c r="BC2680">
        <v>1</v>
      </c>
      <c r="BE2680">
        <v>0</v>
      </c>
      <c r="BF2680">
        <v>0</v>
      </c>
      <c r="BG2680">
        <v>0</v>
      </c>
      <c r="BH2680">
        <v>6525</v>
      </c>
      <c r="BI2680">
        <v>1</v>
      </c>
      <c r="BJ2680">
        <v>0</v>
      </c>
      <c r="BK2680">
        <v>0</v>
      </c>
      <c r="BL2680">
        <v>0</v>
      </c>
      <c r="BO2680">
        <v>0</v>
      </c>
      <c r="BP2680">
        <v>0</v>
      </c>
      <c r="BW2680" t="str">
        <f t="shared" ref="BW2680:BW2686" si="1483">"14:55:37.904"</f>
        <v>14:55:37.904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119</v>
      </c>
      <c r="CQ2680">
        <v>285</v>
      </c>
      <c r="CR2680">
        <v>0</v>
      </c>
      <c r="CW2680">
        <v>8869313</v>
      </c>
      <c r="CY2680">
        <v>0</v>
      </c>
      <c r="CZ2680">
        <v>0</v>
      </c>
      <c r="DA2680">
        <v>0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25">
      <c r="A2681" t="str">
        <f t="shared" si="1480"/>
        <v>06/05/2020 14:55:32.248</v>
      </c>
      <c r="C2681" t="str">
        <f t="shared" si="1470"/>
        <v>FFDFD3C0</v>
      </c>
      <c r="D2681" t="s">
        <v>148</v>
      </c>
      <c r="E2681">
        <v>8</v>
      </c>
      <c r="H2681">
        <v>50</v>
      </c>
      <c r="I2681" t="s">
        <v>149</v>
      </c>
      <c r="J2681" t="s">
        <v>150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481"/>
        <v>14:55:37.898</v>
      </c>
      <c r="T2681" t="str">
        <f t="shared" si="1482"/>
        <v>14:55:37.498</v>
      </c>
      <c r="U2681" t="str">
        <f t="shared" si="1454"/>
        <v>ACC530</v>
      </c>
      <c r="V2681">
        <v>0</v>
      </c>
      <c r="W2681">
        <v>0</v>
      </c>
      <c r="X2681">
        <v>1</v>
      </c>
      <c r="Z2681">
        <v>0</v>
      </c>
      <c r="AA2681">
        <v>9</v>
      </c>
      <c r="AB2681">
        <v>3</v>
      </c>
      <c r="AC2681">
        <v>0</v>
      </c>
      <c r="AD2681">
        <v>9</v>
      </c>
      <c r="AE2681">
        <v>0</v>
      </c>
      <c r="AF2681">
        <v>3</v>
      </c>
      <c r="AG2681">
        <v>1</v>
      </c>
      <c r="AH2681">
        <v>0</v>
      </c>
      <c r="AI2681" t="s">
        <v>936</v>
      </c>
      <c r="AJ2681">
        <v>34.132891000000001</v>
      </c>
      <c r="AK2681" t="s">
        <v>937</v>
      </c>
      <c r="AL2681">
        <v>-117.05767400000001</v>
      </c>
      <c r="AM2681">
        <v>100</v>
      </c>
      <c r="AN2681">
        <v>6600</v>
      </c>
      <c r="AO2681" t="s">
        <v>118</v>
      </c>
      <c r="AP2681">
        <v>-14</v>
      </c>
      <c r="AQ2681">
        <v>-107</v>
      </c>
      <c r="AR2681">
        <v>-768</v>
      </c>
      <c r="AZ2681">
        <v>1200</v>
      </c>
      <c r="BA2681">
        <v>1</v>
      </c>
      <c r="BB2681" t="str">
        <f t="shared" si="1455"/>
        <v xml:space="preserve">N9217B  </v>
      </c>
      <c r="BC2681">
        <v>1</v>
      </c>
      <c r="BE2681">
        <v>0</v>
      </c>
      <c r="BF2681">
        <v>0</v>
      </c>
      <c r="BG2681">
        <v>0</v>
      </c>
      <c r="BH2681">
        <v>6525</v>
      </c>
      <c r="BI2681">
        <v>1</v>
      </c>
      <c r="BJ2681">
        <v>0</v>
      </c>
      <c r="BK2681">
        <v>0</v>
      </c>
      <c r="BL2681">
        <v>0</v>
      </c>
      <c r="BO2681">
        <v>0</v>
      </c>
      <c r="BP2681">
        <v>0</v>
      </c>
      <c r="BW2681" t="str">
        <f t="shared" si="1483"/>
        <v>14:55:37.904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7</v>
      </c>
      <c r="CP2681" t="s">
        <v>119</v>
      </c>
      <c r="CQ2681">
        <v>285</v>
      </c>
      <c r="CR2681">
        <v>0</v>
      </c>
      <c r="CW2681">
        <v>8869313</v>
      </c>
      <c r="CY2681">
        <v>0</v>
      </c>
      <c r="CZ2681">
        <v>0</v>
      </c>
      <c r="DA2681">
        <v>1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25">
      <c r="A2682" t="str">
        <f t="shared" si="1480"/>
        <v>06/05/2020 14:55:32.248</v>
      </c>
      <c r="C2682" t="str">
        <f t="shared" si="1470"/>
        <v>FFDFD3C0</v>
      </c>
      <c r="D2682" t="s">
        <v>134</v>
      </c>
      <c r="E2682">
        <v>7</v>
      </c>
      <c r="F2682">
        <v>2007</v>
      </c>
      <c r="G2682" t="s">
        <v>135</v>
      </c>
      <c r="J2682" t="s">
        <v>136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481"/>
        <v>14:55:37.898</v>
      </c>
      <c r="T2682" t="str">
        <f t="shared" si="1482"/>
        <v>14:55:37.498</v>
      </c>
      <c r="U2682" t="str">
        <f t="shared" si="1454"/>
        <v>ACC530</v>
      </c>
      <c r="V2682">
        <v>0</v>
      </c>
      <c r="W2682">
        <v>0</v>
      </c>
      <c r="X2682">
        <v>1</v>
      </c>
      <c r="Z2682">
        <v>0</v>
      </c>
      <c r="AA2682">
        <v>9</v>
      </c>
      <c r="AB2682">
        <v>3</v>
      </c>
      <c r="AC2682">
        <v>0</v>
      </c>
      <c r="AD2682">
        <v>9</v>
      </c>
      <c r="AE2682">
        <v>0</v>
      </c>
      <c r="AF2682">
        <v>3</v>
      </c>
      <c r="AG2682">
        <v>1</v>
      </c>
      <c r="AH2682">
        <v>0</v>
      </c>
      <c r="AI2682" t="s">
        <v>936</v>
      </c>
      <c r="AJ2682">
        <v>34.132891000000001</v>
      </c>
      <c r="AK2682" t="s">
        <v>937</v>
      </c>
      <c r="AL2682">
        <v>-117.05767400000001</v>
      </c>
      <c r="AM2682">
        <v>100</v>
      </c>
      <c r="AN2682">
        <v>6600</v>
      </c>
      <c r="AO2682" t="s">
        <v>118</v>
      </c>
      <c r="AP2682">
        <v>-14</v>
      </c>
      <c r="AQ2682">
        <v>-107</v>
      </c>
      <c r="AR2682">
        <v>-768</v>
      </c>
      <c r="AZ2682">
        <v>1200</v>
      </c>
      <c r="BA2682">
        <v>1</v>
      </c>
      <c r="BB2682" t="str">
        <f t="shared" si="1455"/>
        <v xml:space="preserve">N9217B  </v>
      </c>
      <c r="BC2682">
        <v>1</v>
      </c>
      <c r="BE2682">
        <v>0</v>
      </c>
      <c r="BF2682">
        <v>0</v>
      </c>
      <c r="BG2682">
        <v>0</v>
      </c>
      <c r="BH2682">
        <v>6525</v>
      </c>
      <c r="BI2682">
        <v>1</v>
      </c>
      <c r="BJ2682">
        <v>0</v>
      </c>
      <c r="BK2682">
        <v>0</v>
      </c>
      <c r="BL2682">
        <v>0</v>
      </c>
      <c r="BO2682">
        <v>0</v>
      </c>
      <c r="BP2682">
        <v>0</v>
      </c>
      <c r="BW2682" t="str">
        <f t="shared" si="1483"/>
        <v>14:55:37.904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119</v>
      </c>
      <c r="CQ2682">
        <v>285</v>
      </c>
      <c r="CR2682">
        <v>0</v>
      </c>
      <c r="CW2682">
        <v>8869313</v>
      </c>
      <c r="CY2682">
        <v>0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25">
      <c r="A2683" t="str">
        <f t="shared" si="1480"/>
        <v>06/05/2020 14:55:32.248</v>
      </c>
      <c r="C2683" t="str">
        <f t="shared" si="1470"/>
        <v>FFDFD3C0</v>
      </c>
      <c r="D2683" t="s">
        <v>141</v>
      </c>
      <c r="E2683">
        <v>20</v>
      </c>
      <c r="F2683">
        <v>1020</v>
      </c>
      <c r="G2683" t="s">
        <v>114</v>
      </c>
      <c r="J2683" t="s">
        <v>142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481"/>
        <v>14:55:37.898</v>
      </c>
      <c r="T2683" t="str">
        <f t="shared" si="1482"/>
        <v>14:55:37.498</v>
      </c>
      <c r="U2683" t="str">
        <f t="shared" si="1454"/>
        <v>ACC530</v>
      </c>
      <c r="V2683">
        <v>0</v>
      </c>
      <c r="W2683">
        <v>0</v>
      </c>
      <c r="X2683">
        <v>1</v>
      </c>
      <c r="Z2683">
        <v>0</v>
      </c>
      <c r="AA2683">
        <v>9</v>
      </c>
      <c r="AB2683">
        <v>3</v>
      </c>
      <c r="AC2683">
        <v>0</v>
      </c>
      <c r="AD2683">
        <v>9</v>
      </c>
      <c r="AE2683">
        <v>0</v>
      </c>
      <c r="AF2683">
        <v>3</v>
      </c>
      <c r="AG2683">
        <v>1</v>
      </c>
      <c r="AH2683">
        <v>0</v>
      </c>
      <c r="AI2683" t="s">
        <v>936</v>
      </c>
      <c r="AJ2683">
        <v>34.132891000000001</v>
      </c>
      <c r="AK2683" t="s">
        <v>937</v>
      </c>
      <c r="AL2683">
        <v>-117.05767400000001</v>
      </c>
      <c r="AM2683">
        <v>100</v>
      </c>
      <c r="AN2683">
        <v>6600</v>
      </c>
      <c r="AO2683" t="s">
        <v>118</v>
      </c>
      <c r="AP2683">
        <v>-14</v>
      </c>
      <c r="AQ2683">
        <v>-107</v>
      </c>
      <c r="AR2683">
        <v>-768</v>
      </c>
      <c r="AZ2683">
        <v>1200</v>
      </c>
      <c r="BA2683">
        <v>1</v>
      </c>
      <c r="BB2683" t="str">
        <f t="shared" si="1455"/>
        <v xml:space="preserve">N9217B  </v>
      </c>
      <c r="BC2683">
        <v>1</v>
      </c>
      <c r="BE2683">
        <v>0</v>
      </c>
      <c r="BF2683">
        <v>0</v>
      </c>
      <c r="BG2683">
        <v>0</v>
      </c>
      <c r="BH2683">
        <v>6525</v>
      </c>
      <c r="BI2683">
        <v>1</v>
      </c>
      <c r="BJ2683">
        <v>0</v>
      </c>
      <c r="BK2683">
        <v>0</v>
      </c>
      <c r="BL2683">
        <v>0</v>
      </c>
      <c r="BO2683">
        <v>0</v>
      </c>
      <c r="BP2683">
        <v>0</v>
      </c>
      <c r="BW2683" t="str">
        <f t="shared" si="1483"/>
        <v>14:55:37.904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119</v>
      </c>
      <c r="CQ2683">
        <v>285</v>
      </c>
      <c r="CR2683">
        <v>0</v>
      </c>
      <c r="CW2683">
        <v>8869313</v>
      </c>
      <c r="CY2683">
        <v>0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25">
      <c r="A2684" t="str">
        <f t="shared" si="1480"/>
        <v>06/05/2020 14:55:32.248</v>
      </c>
      <c r="C2684" t="str">
        <f t="shared" si="1470"/>
        <v>FFDFD3C0</v>
      </c>
      <c r="D2684" t="s">
        <v>151</v>
      </c>
      <c r="E2684">
        <v>8</v>
      </c>
      <c r="H2684">
        <v>225</v>
      </c>
      <c r="I2684" t="s">
        <v>353</v>
      </c>
      <c r="J2684" t="s">
        <v>150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481"/>
        <v>14:55:37.898</v>
      </c>
      <c r="T2684" t="str">
        <f t="shared" si="1482"/>
        <v>14:55:37.498</v>
      </c>
      <c r="U2684" t="str">
        <f t="shared" si="1454"/>
        <v>ACC530</v>
      </c>
      <c r="V2684">
        <v>0</v>
      </c>
      <c r="W2684">
        <v>0</v>
      </c>
      <c r="X2684">
        <v>1</v>
      </c>
      <c r="Z2684">
        <v>0</v>
      </c>
      <c r="AA2684">
        <v>9</v>
      </c>
      <c r="AB2684">
        <v>3</v>
      </c>
      <c r="AC2684">
        <v>0</v>
      </c>
      <c r="AD2684">
        <v>9</v>
      </c>
      <c r="AE2684">
        <v>0</v>
      </c>
      <c r="AF2684">
        <v>3</v>
      </c>
      <c r="AG2684">
        <v>1</v>
      </c>
      <c r="AH2684">
        <v>0</v>
      </c>
      <c r="AI2684" t="s">
        <v>936</v>
      </c>
      <c r="AJ2684">
        <v>34.132891000000001</v>
      </c>
      <c r="AK2684" t="s">
        <v>937</v>
      </c>
      <c r="AL2684">
        <v>-117.05767400000001</v>
      </c>
      <c r="AM2684">
        <v>100</v>
      </c>
      <c r="AN2684">
        <v>6600</v>
      </c>
      <c r="AO2684" t="s">
        <v>118</v>
      </c>
      <c r="AP2684">
        <v>-14</v>
      </c>
      <c r="AQ2684">
        <v>-107</v>
      </c>
      <c r="AR2684">
        <v>-768</v>
      </c>
      <c r="AZ2684">
        <v>1200</v>
      </c>
      <c r="BA2684">
        <v>1</v>
      </c>
      <c r="BB2684" t="str">
        <f t="shared" si="1455"/>
        <v xml:space="preserve">N9217B  </v>
      </c>
      <c r="BC2684">
        <v>1</v>
      </c>
      <c r="BE2684">
        <v>0</v>
      </c>
      <c r="BF2684">
        <v>0</v>
      </c>
      <c r="BG2684">
        <v>0</v>
      </c>
      <c r="BH2684">
        <v>6525</v>
      </c>
      <c r="BI2684">
        <v>1</v>
      </c>
      <c r="BJ2684">
        <v>0</v>
      </c>
      <c r="BK2684">
        <v>0</v>
      </c>
      <c r="BL2684">
        <v>0</v>
      </c>
      <c r="BO2684">
        <v>0</v>
      </c>
      <c r="BP2684">
        <v>0</v>
      </c>
      <c r="BW2684" t="str">
        <f t="shared" si="1483"/>
        <v>14:55:37.904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119</v>
      </c>
      <c r="CQ2684">
        <v>285</v>
      </c>
      <c r="CR2684">
        <v>0</v>
      </c>
      <c r="CW2684">
        <v>8869313</v>
      </c>
      <c r="CY2684">
        <v>0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25">
      <c r="A2685" t="str">
        <f t="shared" si="1480"/>
        <v>06/05/2020 14:55:32.248</v>
      </c>
      <c r="C2685" t="str">
        <f t="shared" si="1470"/>
        <v>FFDFD3C0</v>
      </c>
      <c r="D2685" t="s">
        <v>151</v>
      </c>
      <c r="E2685">
        <v>9</v>
      </c>
      <c r="H2685">
        <v>226</v>
      </c>
      <c r="I2685" t="s">
        <v>152</v>
      </c>
      <c r="J2685" t="s">
        <v>150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481"/>
        <v>14:55:37.898</v>
      </c>
      <c r="T2685" t="str">
        <f t="shared" si="1482"/>
        <v>14:55:37.498</v>
      </c>
      <c r="U2685" t="str">
        <f t="shared" si="1454"/>
        <v>ACC530</v>
      </c>
      <c r="V2685">
        <v>0</v>
      </c>
      <c r="W2685">
        <v>0</v>
      </c>
      <c r="X2685">
        <v>1</v>
      </c>
      <c r="Z2685">
        <v>0</v>
      </c>
      <c r="AA2685">
        <v>9</v>
      </c>
      <c r="AB2685">
        <v>3</v>
      </c>
      <c r="AC2685">
        <v>0</v>
      </c>
      <c r="AD2685">
        <v>9</v>
      </c>
      <c r="AE2685">
        <v>0</v>
      </c>
      <c r="AF2685">
        <v>3</v>
      </c>
      <c r="AG2685">
        <v>1</v>
      </c>
      <c r="AH2685">
        <v>0</v>
      </c>
      <c r="AI2685" t="s">
        <v>936</v>
      </c>
      <c r="AJ2685">
        <v>34.132891000000001</v>
      </c>
      <c r="AK2685" t="s">
        <v>937</v>
      </c>
      <c r="AL2685">
        <v>-117.05767400000001</v>
      </c>
      <c r="AM2685">
        <v>100</v>
      </c>
      <c r="AN2685">
        <v>6600</v>
      </c>
      <c r="AO2685" t="s">
        <v>118</v>
      </c>
      <c r="AP2685">
        <v>-14</v>
      </c>
      <c r="AQ2685">
        <v>-107</v>
      </c>
      <c r="AR2685">
        <v>-768</v>
      </c>
      <c r="AZ2685">
        <v>1200</v>
      </c>
      <c r="BA2685">
        <v>1</v>
      </c>
      <c r="BB2685" t="str">
        <f t="shared" si="1455"/>
        <v xml:space="preserve">N9217B  </v>
      </c>
      <c r="BC2685">
        <v>1</v>
      </c>
      <c r="BE2685">
        <v>0</v>
      </c>
      <c r="BF2685">
        <v>0</v>
      </c>
      <c r="BG2685">
        <v>0</v>
      </c>
      <c r="BH2685">
        <v>6525</v>
      </c>
      <c r="BI2685">
        <v>1</v>
      </c>
      <c r="BJ2685">
        <v>0</v>
      </c>
      <c r="BK2685">
        <v>0</v>
      </c>
      <c r="BL2685">
        <v>0</v>
      </c>
      <c r="BO2685">
        <v>0</v>
      </c>
      <c r="BP2685">
        <v>0</v>
      </c>
      <c r="BW2685" t="str">
        <f t="shared" si="1483"/>
        <v>14:55:37.904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7</v>
      </c>
      <c r="CP2685" t="s">
        <v>119</v>
      </c>
      <c r="CQ2685">
        <v>285</v>
      </c>
      <c r="CR2685">
        <v>0</v>
      </c>
      <c r="CW2685">
        <v>8869313</v>
      </c>
      <c r="CY2685">
        <v>0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25">
      <c r="A2686" t="str">
        <f t="shared" si="1480"/>
        <v>06/05/2020 14:55:32.248</v>
      </c>
      <c r="C2686" t="str">
        <f t="shared" si="1470"/>
        <v>FFDFD3C0</v>
      </c>
      <c r="D2686" t="s">
        <v>148</v>
      </c>
      <c r="E2686">
        <v>11</v>
      </c>
      <c r="H2686">
        <v>53</v>
      </c>
      <c r="I2686" t="s">
        <v>364</v>
      </c>
      <c r="J2686" t="s">
        <v>150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481"/>
        <v>14:55:37.898</v>
      </c>
      <c r="T2686" t="str">
        <f t="shared" si="1482"/>
        <v>14:55:37.498</v>
      </c>
      <c r="U2686" t="str">
        <f t="shared" si="1454"/>
        <v>ACC530</v>
      </c>
      <c r="V2686">
        <v>0</v>
      </c>
      <c r="W2686">
        <v>0</v>
      </c>
      <c r="X2686">
        <v>1</v>
      </c>
      <c r="Z2686">
        <v>0</v>
      </c>
      <c r="AA2686">
        <v>9</v>
      </c>
      <c r="AB2686">
        <v>3</v>
      </c>
      <c r="AC2686">
        <v>0</v>
      </c>
      <c r="AD2686">
        <v>9</v>
      </c>
      <c r="AE2686">
        <v>0</v>
      </c>
      <c r="AF2686">
        <v>3</v>
      </c>
      <c r="AG2686">
        <v>1</v>
      </c>
      <c r="AH2686">
        <v>0</v>
      </c>
      <c r="AI2686" t="s">
        <v>936</v>
      </c>
      <c r="AJ2686">
        <v>34.132891000000001</v>
      </c>
      <c r="AK2686" t="s">
        <v>937</v>
      </c>
      <c r="AL2686">
        <v>-117.05767400000001</v>
      </c>
      <c r="AM2686">
        <v>100</v>
      </c>
      <c r="AN2686">
        <v>6600</v>
      </c>
      <c r="AO2686" t="s">
        <v>118</v>
      </c>
      <c r="AP2686">
        <v>-14</v>
      </c>
      <c r="AQ2686">
        <v>-107</v>
      </c>
      <c r="AR2686">
        <v>-768</v>
      </c>
      <c r="AZ2686">
        <v>1200</v>
      </c>
      <c r="BA2686">
        <v>1</v>
      </c>
      <c r="BB2686" t="str">
        <f t="shared" si="1455"/>
        <v xml:space="preserve">N9217B  </v>
      </c>
      <c r="BC2686">
        <v>1</v>
      </c>
      <c r="BE2686">
        <v>0</v>
      </c>
      <c r="BF2686">
        <v>0</v>
      </c>
      <c r="BG2686">
        <v>0</v>
      </c>
      <c r="BH2686">
        <v>6525</v>
      </c>
      <c r="BI2686">
        <v>1</v>
      </c>
      <c r="BJ2686">
        <v>0</v>
      </c>
      <c r="BK2686">
        <v>0</v>
      </c>
      <c r="BL2686">
        <v>0</v>
      </c>
      <c r="BO2686">
        <v>0</v>
      </c>
      <c r="BP2686">
        <v>0</v>
      </c>
      <c r="BW2686" t="str">
        <f t="shared" si="1483"/>
        <v>14:55:37.904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7</v>
      </c>
      <c r="CP2686" t="s">
        <v>119</v>
      </c>
      <c r="CQ2686">
        <v>285</v>
      </c>
      <c r="CR2686">
        <v>0</v>
      </c>
      <c r="CW2686">
        <v>8869313</v>
      </c>
      <c r="CY2686">
        <v>0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25">
      <c r="A2687" t="str">
        <f t="shared" ref="A2687:A2693" si="1484">"06/05/2020 14:55:33.246"</f>
        <v>06/05/2020 14:55:33.246</v>
      </c>
      <c r="C2687" t="str">
        <f t="shared" si="1470"/>
        <v>FFDFD3C0</v>
      </c>
      <c r="D2687" t="s">
        <v>151</v>
      </c>
      <c r="E2687">
        <v>9</v>
      </c>
      <c r="H2687">
        <v>226</v>
      </c>
      <c r="I2687" t="s">
        <v>152</v>
      </c>
      <c r="J2687" t="s">
        <v>150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ref="S2687:T2693" si="1485">"14:55:38.906"</f>
        <v>14:55:38.906</v>
      </c>
      <c r="T2687" t="str">
        <f t="shared" si="1485"/>
        <v>14:55:38.906</v>
      </c>
      <c r="U2687" t="str">
        <f t="shared" si="1454"/>
        <v>ACC530</v>
      </c>
      <c r="V2687">
        <v>0</v>
      </c>
      <c r="W2687">
        <v>0</v>
      </c>
      <c r="X2687">
        <v>1</v>
      </c>
      <c r="Z2687">
        <v>0</v>
      </c>
      <c r="AA2687">
        <v>9</v>
      </c>
      <c r="AB2687">
        <v>3</v>
      </c>
      <c r="AC2687">
        <v>0</v>
      </c>
      <c r="AD2687">
        <v>9</v>
      </c>
      <c r="AE2687">
        <v>0</v>
      </c>
      <c r="AF2687">
        <v>3</v>
      </c>
      <c r="AG2687">
        <v>1</v>
      </c>
      <c r="AH2687">
        <v>0</v>
      </c>
      <c r="AI2687" t="s">
        <v>938</v>
      </c>
      <c r="AJ2687">
        <v>34.132418999999999</v>
      </c>
      <c r="AK2687" t="s">
        <v>939</v>
      </c>
      <c r="AL2687">
        <v>-117.057695</v>
      </c>
      <c r="AM2687">
        <v>100</v>
      </c>
      <c r="AN2687">
        <v>6600</v>
      </c>
      <c r="AO2687" t="s">
        <v>118</v>
      </c>
      <c r="AP2687">
        <v>-12</v>
      </c>
      <c r="AQ2687">
        <v>-107</v>
      </c>
      <c r="AR2687">
        <v>-704</v>
      </c>
      <c r="AZ2687">
        <v>1200</v>
      </c>
      <c r="BA2687">
        <v>1</v>
      </c>
      <c r="BB2687" t="str">
        <f t="shared" si="1455"/>
        <v xml:space="preserve">N9217B  </v>
      </c>
      <c r="BC2687">
        <v>1</v>
      </c>
      <c r="BE2687">
        <v>0</v>
      </c>
      <c r="BF2687">
        <v>0</v>
      </c>
      <c r="BG2687">
        <v>0</v>
      </c>
      <c r="BH2687">
        <v>6500</v>
      </c>
      <c r="BI2687">
        <v>1</v>
      </c>
      <c r="BJ2687">
        <v>0</v>
      </c>
      <c r="BK2687">
        <v>0</v>
      </c>
      <c r="BL2687">
        <v>0</v>
      </c>
      <c r="BO2687">
        <v>0</v>
      </c>
      <c r="BP2687">
        <v>0</v>
      </c>
      <c r="BW2687" t="str">
        <f t="shared" ref="BW2687:BW2693" si="1486">"14:55:38.909"</f>
        <v>14:55:38.909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119</v>
      </c>
      <c r="CQ2687">
        <v>285</v>
      </c>
      <c r="CR2687">
        <v>0</v>
      </c>
      <c r="CW2687">
        <v>8869404</v>
      </c>
      <c r="CY2687">
        <v>0</v>
      </c>
      <c r="CZ2687">
        <v>0</v>
      </c>
      <c r="DA2687">
        <v>0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25">
      <c r="A2688" t="str">
        <f t="shared" si="1484"/>
        <v>06/05/2020 14:55:33.246</v>
      </c>
      <c r="C2688" t="str">
        <f t="shared" si="1470"/>
        <v>FFDFD3C0</v>
      </c>
      <c r="D2688" t="s">
        <v>148</v>
      </c>
      <c r="E2688">
        <v>11</v>
      </c>
      <c r="H2688">
        <v>53</v>
      </c>
      <c r="I2688" t="s">
        <v>364</v>
      </c>
      <c r="J2688" t="s">
        <v>150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485"/>
        <v>14:55:38.906</v>
      </c>
      <c r="T2688" t="str">
        <f t="shared" si="1485"/>
        <v>14:55:38.906</v>
      </c>
      <c r="U2688" t="str">
        <f t="shared" si="1454"/>
        <v>ACC530</v>
      </c>
      <c r="V2688">
        <v>0</v>
      </c>
      <c r="W2688">
        <v>0</v>
      </c>
      <c r="X2688">
        <v>1</v>
      </c>
      <c r="Z2688">
        <v>0</v>
      </c>
      <c r="AA2688">
        <v>9</v>
      </c>
      <c r="AB2688">
        <v>3</v>
      </c>
      <c r="AC2688">
        <v>0</v>
      </c>
      <c r="AD2688">
        <v>9</v>
      </c>
      <c r="AE2688">
        <v>0</v>
      </c>
      <c r="AF2688">
        <v>3</v>
      </c>
      <c r="AG2688">
        <v>1</v>
      </c>
      <c r="AH2688">
        <v>0</v>
      </c>
      <c r="AI2688" t="s">
        <v>938</v>
      </c>
      <c r="AJ2688">
        <v>34.132418999999999</v>
      </c>
      <c r="AK2688" t="s">
        <v>939</v>
      </c>
      <c r="AL2688">
        <v>-117.057695</v>
      </c>
      <c r="AM2688">
        <v>100</v>
      </c>
      <c r="AN2688">
        <v>6600</v>
      </c>
      <c r="AO2688" t="s">
        <v>118</v>
      </c>
      <c r="AP2688">
        <v>-12</v>
      </c>
      <c r="AQ2688">
        <v>-107</v>
      </c>
      <c r="AR2688">
        <v>-704</v>
      </c>
      <c r="AZ2688">
        <v>1200</v>
      </c>
      <c r="BA2688">
        <v>1</v>
      </c>
      <c r="BB2688" t="str">
        <f t="shared" si="1455"/>
        <v xml:space="preserve">N9217B  </v>
      </c>
      <c r="BC2688">
        <v>1</v>
      </c>
      <c r="BE2688">
        <v>0</v>
      </c>
      <c r="BF2688">
        <v>0</v>
      </c>
      <c r="BG2688">
        <v>0</v>
      </c>
      <c r="BH2688">
        <v>6500</v>
      </c>
      <c r="BI2688">
        <v>1</v>
      </c>
      <c r="BJ2688">
        <v>0</v>
      </c>
      <c r="BK2688">
        <v>0</v>
      </c>
      <c r="BL2688">
        <v>0</v>
      </c>
      <c r="BO2688">
        <v>0</v>
      </c>
      <c r="BP2688">
        <v>0</v>
      </c>
      <c r="BW2688" t="str">
        <f t="shared" si="1486"/>
        <v>14:55:38.909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7</v>
      </c>
      <c r="CP2688" t="s">
        <v>119</v>
      </c>
      <c r="CQ2688">
        <v>285</v>
      </c>
      <c r="CR2688">
        <v>0</v>
      </c>
      <c r="CW2688">
        <v>8869404</v>
      </c>
      <c r="CY2688">
        <v>0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25">
      <c r="A2689" t="str">
        <f t="shared" si="1484"/>
        <v>06/05/2020 14:55:33.246</v>
      </c>
      <c r="C2689" t="str">
        <f t="shared" si="1470"/>
        <v>FFDFD3C0</v>
      </c>
      <c r="D2689" t="s">
        <v>113</v>
      </c>
      <c r="E2689">
        <v>3</v>
      </c>
      <c r="H2689">
        <v>166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485"/>
        <v>14:55:38.906</v>
      </c>
      <c r="T2689" t="str">
        <f t="shared" si="1485"/>
        <v>14:55:38.906</v>
      </c>
      <c r="U2689" t="str">
        <f t="shared" si="1454"/>
        <v>ACC530</v>
      </c>
      <c r="V2689">
        <v>0</v>
      </c>
      <c r="W2689">
        <v>0</v>
      </c>
      <c r="X2689">
        <v>1</v>
      </c>
      <c r="Z2689">
        <v>0</v>
      </c>
      <c r="AA2689">
        <v>9</v>
      </c>
      <c r="AB2689">
        <v>3</v>
      </c>
      <c r="AC2689">
        <v>0</v>
      </c>
      <c r="AD2689">
        <v>9</v>
      </c>
      <c r="AE2689">
        <v>0</v>
      </c>
      <c r="AF2689">
        <v>3</v>
      </c>
      <c r="AG2689">
        <v>1</v>
      </c>
      <c r="AH2689">
        <v>0</v>
      </c>
      <c r="AI2689" t="s">
        <v>938</v>
      </c>
      <c r="AJ2689">
        <v>34.132418999999999</v>
      </c>
      <c r="AK2689" t="s">
        <v>939</v>
      </c>
      <c r="AL2689">
        <v>-117.057695</v>
      </c>
      <c r="AM2689">
        <v>100</v>
      </c>
      <c r="AN2689">
        <v>6600</v>
      </c>
      <c r="AO2689" t="s">
        <v>118</v>
      </c>
      <c r="AP2689">
        <v>-12</v>
      </c>
      <c r="AQ2689">
        <v>-107</v>
      </c>
      <c r="AR2689">
        <v>-704</v>
      </c>
      <c r="AZ2689">
        <v>1200</v>
      </c>
      <c r="BA2689">
        <v>1</v>
      </c>
      <c r="BB2689" t="str">
        <f t="shared" si="1455"/>
        <v xml:space="preserve">N9217B  </v>
      </c>
      <c r="BC2689">
        <v>1</v>
      </c>
      <c r="BE2689">
        <v>0</v>
      </c>
      <c r="BF2689">
        <v>0</v>
      </c>
      <c r="BG2689">
        <v>0</v>
      </c>
      <c r="BH2689">
        <v>6500</v>
      </c>
      <c r="BI2689">
        <v>1</v>
      </c>
      <c r="BJ2689">
        <v>0</v>
      </c>
      <c r="BK2689">
        <v>0</v>
      </c>
      <c r="BL2689">
        <v>0</v>
      </c>
      <c r="BO2689">
        <v>0</v>
      </c>
      <c r="BP2689">
        <v>0</v>
      </c>
      <c r="BW2689" t="str">
        <f t="shared" si="1486"/>
        <v>14:55:38.909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7</v>
      </c>
      <c r="CP2689" t="s">
        <v>119</v>
      </c>
      <c r="CQ2689">
        <v>285</v>
      </c>
      <c r="CR2689">
        <v>0</v>
      </c>
      <c r="CW2689">
        <v>8869404</v>
      </c>
      <c r="CY2689">
        <v>0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25">
      <c r="A2690" t="str">
        <f t="shared" si="1484"/>
        <v>06/05/2020 14:55:33.246</v>
      </c>
      <c r="C2690" t="str">
        <f t="shared" si="1470"/>
        <v>FFDFD3C0</v>
      </c>
      <c r="D2690" t="s">
        <v>148</v>
      </c>
      <c r="E2690">
        <v>8</v>
      </c>
      <c r="H2690">
        <v>50</v>
      </c>
      <c r="I2690" t="s">
        <v>149</v>
      </c>
      <c r="J2690" t="s">
        <v>150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485"/>
        <v>14:55:38.906</v>
      </c>
      <c r="T2690" t="str">
        <f t="shared" si="1485"/>
        <v>14:55:38.906</v>
      </c>
      <c r="U2690" t="str">
        <f t="shared" ref="U2690:U2753" si="1487">"ACC530"</f>
        <v>ACC530</v>
      </c>
      <c r="V2690">
        <v>0</v>
      </c>
      <c r="W2690">
        <v>0</v>
      </c>
      <c r="X2690">
        <v>1</v>
      </c>
      <c r="Z2690">
        <v>0</v>
      </c>
      <c r="AA2690">
        <v>9</v>
      </c>
      <c r="AB2690">
        <v>3</v>
      </c>
      <c r="AC2690">
        <v>0</v>
      </c>
      <c r="AD2690">
        <v>9</v>
      </c>
      <c r="AE2690">
        <v>0</v>
      </c>
      <c r="AF2690">
        <v>3</v>
      </c>
      <c r="AG2690">
        <v>1</v>
      </c>
      <c r="AH2690">
        <v>0</v>
      </c>
      <c r="AI2690" t="s">
        <v>938</v>
      </c>
      <c r="AJ2690">
        <v>34.132418999999999</v>
      </c>
      <c r="AK2690" t="s">
        <v>939</v>
      </c>
      <c r="AL2690">
        <v>-117.057695</v>
      </c>
      <c r="AM2690">
        <v>100</v>
      </c>
      <c r="AN2690">
        <v>6600</v>
      </c>
      <c r="AO2690" t="s">
        <v>118</v>
      </c>
      <c r="AP2690">
        <v>-12</v>
      </c>
      <c r="AQ2690">
        <v>-107</v>
      </c>
      <c r="AR2690">
        <v>-704</v>
      </c>
      <c r="AZ2690">
        <v>1200</v>
      </c>
      <c r="BA2690">
        <v>1</v>
      </c>
      <c r="BB2690" t="str">
        <f t="shared" si="1455"/>
        <v xml:space="preserve">N9217B  </v>
      </c>
      <c r="BC2690">
        <v>1</v>
      </c>
      <c r="BE2690">
        <v>0</v>
      </c>
      <c r="BF2690">
        <v>0</v>
      </c>
      <c r="BG2690">
        <v>0</v>
      </c>
      <c r="BH2690">
        <v>6500</v>
      </c>
      <c r="BI2690">
        <v>1</v>
      </c>
      <c r="BJ2690">
        <v>0</v>
      </c>
      <c r="BK2690">
        <v>0</v>
      </c>
      <c r="BL2690">
        <v>0</v>
      </c>
      <c r="BO2690">
        <v>0</v>
      </c>
      <c r="BP2690">
        <v>0</v>
      </c>
      <c r="BW2690" t="str">
        <f t="shared" si="1486"/>
        <v>14:55:38.909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119</v>
      </c>
      <c r="CQ2690">
        <v>285</v>
      </c>
      <c r="CR2690">
        <v>0</v>
      </c>
      <c r="CW2690">
        <v>8869404</v>
      </c>
      <c r="CY2690">
        <v>0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25">
      <c r="A2691" t="str">
        <f t="shared" si="1484"/>
        <v>06/05/2020 14:55:33.246</v>
      </c>
      <c r="C2691" t="str">
        <f t="shared" si="1470"/>
        <v>FFDFD3C0</v>
      </c>
      <c r="D2691" t="s">
        <v>134</v>
      </c>
      <c r="E2691">
        <v>7</v>
      </c>
      <c r="F2691">
        <v>2007</v>
      </c>
      <c r="G2691" t="s">
        <v>135</v>
      </c>
      <c r="J2691" t="s">
        <v>136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485"/>
        <v>14:55:38.906</v>
      </c>
      <c r="T2691" t="str">
        <f t="shared" si="1485"/>
        <v>14:55:38.906</v>
      </c>
      <c r="U2691" t="str">
        <f t="shared" si="1487"/>
        <v>ACC530</v>
      </c>
      <c r="V2691">
        <v>0</v>
      </c>
      <c r="W2691">
        <v>0</v>
      </c>
      <c r="X2691">
        <v>1</v>
      </c>
      <c r="Z2691">
        <v>0</v>
      </c>
      <c r="AA2691">
        <v>9</v>
      </c>
      <c r="AB2691">
        <v>3</v>
      </c>
      <c r="AC2691">
        <v>0</v>
      </c>
      <c r="AD2691">
        <v>9</v>
      </c>
      <c r="AE2691">
        <v>0</v>
      </c>
      <c r="AF2691">
        <v>3</v>
      </c>
      <c r="AG2691">
        <v>1</v>
      </c>
      <c r="AH2691">
        <v>0</v>
      </c>
      <c r="AI2691" t="s">
        <v>938</v>
      </c>
      <c r="AJ2691">
        <v>34.132418999999999</v>
      </c>
      <c r="AK2691" t="s">
        <v>939</v>
      </c>
      <c r="AL2691">
        <v>-117.057695</v>
      </c>
      <c r="AM2691">
        <v>100</v>
      </c>
      <c r="AN2691">
        <v>6600</v>
      </c>
      <c r="AO2691" t="s">
        <v>118</v>
      </c>
      <c r="AP2691">
        <v>-12</v>
      </c>
      <c r="AQ2691">
        <v>-107</v>
      </c>
      <c r="AR2691">
        <v>-704</v>
      </c>
      <c r="AZ2691">
        <v>1200</v>
      </c>
      <c r="BA2691">
        <v>1</v>
      </c>
      <c r="BB2691" t="str">
        <f t="shared" si="1455"/>
        <v xml:space="preserve">N9217B  </v>
      </c>
      <c r="BC2691">
        <v>1</v>
      </c>
      <c r="BE2691">
        <v>0</v>
      </c>
      <c r="BF2691">
        <v>0</v>
      </c>
      <c r="BG2691">
        <v>0</v>
      </c>
      <c r="BH2691">
        <v>6500</v>
      </c>
      <c r="BI2691">
        <v>1</v>
      </c>
      <c r="BJ2691">
        <v>0</v>
      </c>
      <c r="BK2691">
        <v>0</v>
      </c>
      <c r="BL2691">
        <v>0</v>
      </c>
      <c r="BO2691">
        <v>0</v>
      </c>
      <c r="BP2691">
        <v>0</v>
      </c>
      <c r="BW2691" t="str">
        <f t="shared" si="1486"/>
        <v>14:55:38.909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7</v>
      </c>
      <c r="CP2691" t="s">
        <v>119</v>
      </c>
      <c r="CQ2691">
        <v>285</v>
      </c>
      <c r="CR2691">
        <v>0</v>
      </c>
      <c r="CW2691">
        <v>8869404</v>
      </c>
      <c r="CY2691">
        <v>0</v>
      </c>
      <c r="CZ2691">
        <v>0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25">
      <c r="A2692" t="str">
        <f t="shared" si="1484"/>
        <v>06/05/2020 14:55:33.246</v>
      </c>
      <c r="C2692" t="str">
        <f t="shared" si="1470"/>
        <v>FFDFD3C0</v>
      </c>
      <c r="D2692" t="s">
        <v>141</v>
      </c>
      <c r="E2692">
        <v>20</v>
      </c>
      <c r="F2692">
        <v>1020</v>
      </c>
      <c r="G2692" t="s">
        <v>114</v>
      </c>
      <c r="J2692" t="s">
        <v>142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485"/>
        <v>14:55:38.906</v>
      </c>
      <c r="T2692" t="str">
        <f t="shared" si="1485"/>
        <v>14:55:38.906</v>
      </c>
      <c r="U2692" t="str">
        <f t="shared" si="1487"/>
        <v>ACC530</v>
      </c>
      <c r="V2692">
        <v>0</v>
      </c>
      <c r="W2692">
        <v>0</v>
      </c>
      <c r="X2692">
        <v>1</v>
      </c>
      <c r="Z2692">
        <v>0</v>
      </c>
      <c r="AA2692">
        <v>9</v>
      </c>
      <c r="AB2692">
        <v>3</v>
      </c>
      <c r="AC2692">
        <v>0</v>
      </c>
      <c r="AD2692">
        <v>9</v>
      </c>
      <c r="AE2692">
        <v>0</v>
      </c>
      <c r="AF2692">
        <v>3</v>
      </c>
      <c r="AG2692">
        <v>1</v>
      </c>
      <c r="AH2692">
        <v>0</v>
      </c>
      <c r="AI2692" t="s">
        <v>938</v>
      </c>
      <c r="AJ2692">
        <v>34.132418999999999</v>
      </c>
      <c r="AK2692" t="s">
        <v>939</v>
      </c>
      <c r="AL2692">
        <v>-117.057695</v>
      </c>
      <c r="AM2692">
        <v>100</v>
      </c>
      <c r="AN2692">
        <v>6600</v>
      </c>
      <c r="AO2692" t="s">
        <v>118</v>
      </c>
      <c r="AP2692">
        <v>-12</v>
      </c>
      <c r="AQ2692">
        <v>-107</v>
      </c>
      <c r="AR2692">
        <v>-704</v>
      </c>
      <c r="AZ2692">
        <v>1200</v>
      </c>
      <c r="BA2692">
        <v>1</v>
      </c>
      <c r="BB2692" t="str">
        <f t="shared" si="1455"/>
        <v xml:space="preserve">N9217B  </v>
      </c>
      <c r="BC2692">
        <v>1</v>
      </c>
      <c r="BE2692">
        <v>0</v>
      </c>
      <c r="BF2692">
        <v>0</v>
      </c>
      <c r="BG2692">
        <v>0</v>
      </c>
      <c r="BH2692">
        <v>6500</v>
      </c>
      <c r="BI2692">
        <v>1</v>
      </c>
      <c r="BJ2692">
        <v>0</v>
      </c>
      <c r="BK2692">
        <v>0</v>
      </c>
      <c r="BL2692">
        <v>0</v>
      </c>
      <c r="BO2692">
        <v>0</v>
      </c>
      <c r="BP2692">
        <v>0</v>
      </c>
      <c r="BW2692" t="str">
        <f t="shared" si="1486"/>
        <v>14:55:38.909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7</v>
      </c>
      <c r="CP2692" t="s">
        <v>119</v>
      </c>
      <c r="CQ2692">
        <v>285</v>
      </c>
      <c r="CR2692">
        <v>0</v>
      </c>
      <c r="CW2692">
        <v>8869404</v>
      </c>
      <c r="CY2692">
        <v>0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25">
      <c r="A2693" t="str">
        <f t="shared" si="1484"/>
        <v>06/05/2020 14:55:33.246</v>
      </c>
      <c r="C2693" t="str">
        <f t="shared" si="1470"/>
        <v>FFDFD3C0</v>
      </c>
      <c r="D2693" t="s">
        <v>151</v>
      </c>
      <c r="E2693">
        <v>8</v>
      </c>
      <c r="H2693">
        <v>225</v>
      </c>
      <c r="I2693" t="s">
        <v>353</v>
      </c>
      <c r="J2693" t="s">
        <v>150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si="1485"/>
        <v>14:55:38.906</v>
      </c>
      <c r="T2693" t="str">
        <f t="shared" si="1485"/>
        <v>14:55:38.906</v>
      </c>
      <c r="U2693" t="str">
        <f t="shared" si="1487"/>
        <v>ACC530</v>
      </c>
      <c r="V2693">
        <v>0</v>
      </c>
      <c r="W2693">
        <v>0</v>
      </c>
      <c r="X2693">
        <v>1</v>
      </c>
      <c r="Z2693">
        <v>0</v>
      </c>
      <c r="AA2693">
        <v>9</v>
      </c>
      <c r="AB2693">
        <v>3</v>
      </c>
      <c r="AC2693">
        <v>0</v>
      </c>
      <c r="AD2693">
        <v>9</v>
      </c>
      <c r="AE2693">
        <v>0</v>
      </c>
      <c r="AF2693">
        <v>3</v>
      </c>
      <c r="AG2693">
        <v>1</v>
      </c>
      <c r="AH2693">
        <v>0</v>
      </c>
      <c r="AI2693" t="s">
        <v>938</v>
      </c>
      <c r="AJ2693">
        <v>34.132418999999999</v>
      </c>
      <c r="AK2693" t="s">
        <v>939</v>
      </c>
      <c r="AL2693">
        <v>-117.057695</v>
      </c>
      <c r="AM2693">
        <v>100</v>
      </c>
      <c r="AN2693">
        <v>6600</v>
      </c>
      <c r="AO2693" t="s">
        <v>118</v>
      </c>
      <c r="AP2693">
        <v>-12</v>
      </c>
      <c r="AQ2693">
        <v>-107</v>
      </c>
      <c r="AR2693">
        <v>-704</v>
      </c>
      <c r="AZ2693">
        <v>1200</v>
      </c>
      <c r="BA2693">
        <v>1</v>
      </c>
      <c r="BB2693" t="str">
        <f t="shared" ref="BB2693:BB2756" si="1488">"N9217B  "</f>
        <v xml:space="preserve">N9217B  </v>
      </c>
      <c r="BC2693">
        <v>1</v>
      </c>
      <c r="BE2693">
        <v>0</v>
      </c>
      <c r="BF2693">
        <v>0</v>
      </c>
      <c r="BG2693">
        <v>0</v>
      </c>
      <c r="BH2693">
        <v>6500</v>
      </c>
      <c r="BI2693">
        <v>1</v>
      </c>
      <c r="BJ2693">
        <v>0</v>
      </c>
      <c r="BK2693">
        <v>0</v>
      </c>
      <c r="BL2693">
        <v>0</v>
      </c>
      <c r="BO2693">
        <v>0</v>
      </c>
      <c r="BP2693">
        <v>0</v>
      </c>
      <c r="BW2693" t="str">
        <f t="shared" si="1486"/>
        <v>14:55:38.909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119</v>
      </c>
      <c r="CQ2693">
        <v>285</v>
      </c>
      <c r="CR2693">
        <v>0</v>
      </c>
      <c r="CW2693">
        <v>8869404</v>
      </c>
      <c r="CY2693">
        <v>0</v>
      </c>
      <c r="CZ2693">
        <v>0</v>
      </c>
      <c r="DA2693">
        <v>1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25">
      <c r="A2694" t="str">
        <f t="shared" ref="A2694:A2700" si="1489">"06/05/2020 14:55:34.279"</f>
        <v>06/05/2020 14:55:34.279</v>
      </c>
      <c r="C2694" t="str">
        <f t="shared" si="1470"/>
        <v>FFDFD3C0</v>
      </c>
      <c r="D2694" t="s">
        <v>134</v>
      </c>
      <c r="E2694">
        <v>7</v>
      </c>
      <c r="F2694">
        <v>2007</v>
      </c>
      <c r="G2694" t="s">
        <v>135</v>
      </c>
      <c r="J2694" t="s">
        <v>136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ref="S2694:S2700" si="1490">"14:55:39.938"</f>
        <v>14:55:39.938</v>
      </c>
      <c r="T2694" t="str">
        <f t="shared" ref="T2694:T2700" si="1491">"14:55:39.538"</f>
        <v>14:55:39.538</v>
      </c>
      <c r="U2694" t="str">
        <f t="shared" si="1487"/>
        <v>ACC530</v>
      </c>
      <c r="V2694">
        <v>0</v>
      </c>
      <c r="W2694">
        <v>0</v>
      </c>
      <c r="X2694">
        <v>1</v>
      </c>
      <c r="Z2694">
        <v>0</v>
      </c>
      <c r="AA2694">
        <v>9</v>
      </c>
      <c r="AB2694">
        <v>3</v>
      </c>
      <c r="AC2694">
        <v>0</v>
      </c>
      <c r="AD2694">
        <v>9</v>
      </c>
      <c r="AE2694">
        <v>0</v>
      </c>
      <c r="AF2694">
        <v>3</v>
      </c>
      <c r="AG2694">
        <v>1</v>
      </c>
      <c r="AH2694">
        <v>0</v>
      </c>
      <c r="AI2694" t="s">
        <v>940</v>
      </c>
      <c r="AJ2694">
        <v>34.131861000000001</v>
      </c>
      <c r="AK2694" t="s">
        <v>941</v>
      </c>
      <c r="AL2694">
        <v>-117.05778100000001</v>
      </c>
      <c r="AM2694">
        <v>100</v>
      </c>
      <c r="AN2694">
        <v>6600</v>
      </c>
      <c r="AO2694" t="s">
        <v>118</v>
      </c>
      <c r="AP2694">
        <v>-11</v>
      </c>
      <c r="AQ2694">
        <v>-107</v>
      </c>
      <c r="AR2694">
        <v>-640</v>
      </c>
      <c r="AZ2694">
        <v>1200</v>
      </c>
      <c r="BA2694">
        <v>1</v>
      </c>
      <c r="BB2694" t="str">
        <f t="shared" si="1488"/>
        <v xml:space="preserve">N9217B  </v>
      </c>
      <c r="BC2694">
        <v>1</v>
      </c>
      <c r="BE2694">
        <v>0</v>
      </c>
      <c r="BF2694">
        <v>0</v>
      </c>
      <c r="BG2694">
        <v>0</v>
      </c>
      <c r="BH2694">
        <v>6500</v>
      </c>
      <c r="BI2694">
        <v>1</v>
      </c>
      <c r="BJ2694">
        <v>0</v>
      </c>
      <c r="BK2694">
        <v>0</v>
      </c>
      <c r="BL2694">
        <v>0</v>
      </c>
      <c r="BO2694">
        <v>0</v>
      </c>
      <c r="BP2694">
        <v>0</v>
      </c>
      <c r="BW2694" t="str">
        <f t="shared" ref="BW2694:BW2700" si="1492">"14:55:39.944"</f>
        <v>14:55:39.944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119</v>
      </c>
      <c r="CQ2694">
        <v>285</v>
      </c>
      <c r="CR2694">
        <v>0</v>
      </c>
      <c r="CW2694">
        <v>8869499</v>
      </c>
      <c r="CY2694">
        <v>0</v>
      </c>
      <c r="CZ2694">
        <v>0</v>
      </c>
      <c r="DA2694">
        <v>0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25">
      <c r="A2695" t="str">
        <f t="shared" si="1489"/>
        <v>06/05/2020 14:55:34.279</v>
      </c>
      <c r="C2695" t="str">
        <f t="shared" si="1470"/>
        <v>FFDFD3C0</v>
      </c>
      <c r="D2695" t="s">
        <v>141</v>
      </c>
      <c r="E2695">
        <v>20</v>
      </c>
      <c r="F2695">
        <v>1020</v>
      </c>
      <c r="G2695" t="s">
        <v>114</v>
      </c>
      <c r="J2695" t="s">
        <v>142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490"/>
        <v>14:55:39.938</v>
      </c>
      <c r="T2695" t="str">
        <f t="shared" si="1491"/>
        <v>14:55:39.538</v>
      </c>
      <c r="U2695" t="str">
        <f t="shared" si="1487"/>
        <v>ACC530</v>
      </c>
      <c r="V2695">
        <v>0</v>
      </c>
      <c r="W2695">
        <v>0</v>
      </c>
      <c r="X2695">
        <v>1</v>
      </c>
      <c r="Z2695">
        <v>0</v>
      </c>
      <c r="AA2695">
        <v>9</v>
      </c>
      <c r="AB2695">
        <v>3</v>
      </c>
      <c r="AC2695">
        <v>0</v>
      </c>
      <c r="AD2695">
        <v>9</v>
      </c>
      <c r="AE2695">
        <v>0</v>
      </c>
      <c r="AF2695">
        <v>3</v>
      </c>
      <c r="AG2695">
        <v>1</v>
      </c>
      <c r="AH2695">
        <v>0</v>
      </c>
      <c r="AI2695" t="s">
        <v>940</v>
      </c>
      <c r="AJ2695">
        <v>34.131861000000001</v>
      </c>
      <c r="AK2695" t="s">
        <v>941</v>
      </c>
      <c r="AL2695">
        <v>-117.05778100000001</v>
      </c>
      <c r="AM2695">
        <v>100</v>
      </c>
      <c r="AN2695">
        <v>6600</v>
      </c>
      <c r="AO2695" t="s">
        <v>118</v>
      </c>
      <c r="AP2695">
        <v>-11</v>
      </c>
      <c r="AQ2695">
        <v>-107</v>
      </c>
      <c r="AR2695">
        <v>-640</v>
      </c>
      <c r="AZ2695">
        <v>1200</v>
      </c>
      <c r="BA2695">
        <v>1</v>
      </c>
      <c r="BB2695" t="str">
        <f t="shared" si="1488"/>
        <v xml:space="preserve">N9217B  </v>
      </c>
      <c r="BC2695">
        <v>1</v>
      </c>
      <c r="BE2695">
        <v>0</v>
      </c>
      <c r="BF2695">
        <v>0</v>
      </c>
      <c r="BG2695">
        <v>0</v>
      </c>
      <c r="BH2695">
        <v>6500</v>
      </c>
      <c r="BI2695">
        <v>1</v>
      </c>
      <c r="BJ2695">
        <v>0</v>
      </c>
      <c r="BK2695">
        <v>0</v>
      </c>
      <c r="BL2695">
        <v>0</v>
      </c>
      <c r="BO2695">
        <v>0</v>
      </c>
      <c r="BP2695">
        <v>0</v>
      </c>
      <c r="BW2695" t="str">
        <f t="shared" si="1492"/>
        <v>14:55:39.944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285</v>
      </c>
      <c r="CR2695">
        <v>0</v>
      </c>
      <c r="CW2695">
        <v>8869499</v>
      </c>
      <c r="CY2695">
        <v>0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25">
      <c r="A2696" t="str">
        <f t="shared" si="1489"/>
        <v>06/05/2020 14:55:34.279</v>
      </c>
      <c r="C2696" t="str">
        <f t="shared" si="1470"/>
        <v>FFDFD3C0</v>
      </c>
      <c r="D2696" t="s">
        <v>151</v>
      </c>
      <c r="E2696">
        <v>8</v>
      </c>
      <c r="H2696">
        <v>225</v>
      </c>
      <c r="I2696" t="s">
        <v>353</v>
      </c>
      <c r="J2696" t="s">
        <v>150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490"/>
        <v>14:55:39.938</v>
      </c>
      <c r="T2696" t="str">
        <f t="shared" si="1491"/>
        <v>14:55:39.538</v>
      </c>
      <c r="U2696" t="str">
        <f t="shared" si="1487"/>
        <v>ACC530</v>
      </c>
      <c r="V2696">
        <v>0</v>
      </c>
      <c r="W2696">
        <v>0</v>
      </c>
      <c r="X2696">
        <v>1</v>
      </c>
      <c r="Z2696">
        <v>0</v>
      </c>
      <c r="AA2696">
        <v>9</v>
      </c>
      <c r="AB2696">
        <v>3</v>
      </c>
      <c r="AC2696">
        <v>0</v>
      </c>
      <c r="AD2696">
        <v>9</v>
      </c>
      <c r="AE2696">
        <v>0</v>
      </c>
      <c r="AF2696">
        <v>3</v>
      </c>
      <c r="AG2696">
        <v>1</v>
      </c>
      <c r="AH2696">
        <v>0</v>
      </c>
      <c r="AI2696" t="s">
        <v>940</v>
      </c>
      <c r="AJ2696">
        <v>34.131861000000001</v>
      </c>
      <c r="AK2696" t="s">
        <v>941</v>
      </c>
      <c r="AL2696">
        <v>-117.05778100000001</v>
      </c>
      <c r="AM2696">
        <v>100</v>
      </c>
      <c r="AN2696">
        <v>6600</v>
      </c>
      <c r="AO2696" t="s">
        <v>118</v>
      </c>
      <c r="AP2696">
        <v>-11</v>
      </c>
      <c r="AQ2696">
        <v>-107</v>
      </c>
      <c r="AR2696">
        <v>-640</v>
      </c>
      <c r="AZ2696">
        <v>1200</v>
      </c>
      <c r="BA2696">
        <v>1</v>
      </c>
      <c r="BB2696" t="str">
        <f t="shared" si="1488"/>
        <v xml:space="preserve">N9217B  </v>
      </c>
      <c r="BC2696">
        <v>1</v>
      </c>
      <c r="BE2696">
        <v>0</v>
      </c>
      <c r="BF2696">
        <v>0</v>
      </c>
      <c r="BG2696">
        <v>0</v>
      </c>
      <c r="BH2696">
        <v>6500</v>
      </c>
      <c r="BI2696">
        <v>1</v>
      </c>
      <c r="BJ2696">
        <v>0</v>
      </c>
      <c r="BK2696">
        <v>0</v>
      </c>
      <c r="BL2696">
        <v>0</v>
      </c>
      <c r="BO2696">
        <v>0</v>
      </c>
      <c r="BP2696">
        <v>0</v>
      </c>
      <c r="BW2696" t="str">
        <f t="shared" si="1492"/>
        <v>14:55:39.944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119</v>
      </c>
      <c r="CQ2696">
        <v>285</v>
      </c>
      <c r="CR2696">
        <v>0</v>
      </c>
      <c r="CW2696">
        <v>8869499</v>
      </c>
      <c r="CY2696">
        <v>0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25">
      <c r="A2697" t="str">
        <f t="shared" si="1489"/>
        <v>06/05/2020 14:55:34.279</v>
      </c>
      <c r="C2697" t="str">
        <f t="shared" si="1470"/>
        <v>FFDFD3C0</v>
      </c>
      <c r="D2697" t="s">
        <v>151</v>
      </c>
      <c r="E2697">
        <v>9</v>
      </c>
      <c r="H2697">
        <v>226</v>
      </c>
      <c r="I2697" t="s">
        <v>152</v>
      </c>
      <c r="J2697" t="s">
        <v>150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490"/>
        <v>14:55:39.938</v>
      </c>
      <c r="T2697" t="str">
        <f t="shared" si="1491"/>
        <v>14:55:39.538</v>
      </c>
      <c r="U2697" t="str">
        <f t="shared" si="1487"/>
        <v>ACC530</v>
      </c>
      <c r="V2697">
        <v>0</v>
      </c>
      <c r="W2697">
        <v>0</v>
      </c>
      <c r="X2697">
        <v>1</v>
      </c>
      <c r="Z2697">
        <v>0</v>
      </c>
      <c r="AA2697">
        <v>9</v>
      </c>
      <c r="AB2697">
        <v>3</v>
      </c>
      <c r="AC2697">
        <v>0</v>
      </c>
      <c r="AD2697">
        <v>9</v>
      </c>
      <c r="AE2697">
        <v>0</v>
      </c>
      <c r="AF2697">
        <v>3</v>
      </c>
      <c r="AG2697">
        <v>1</v>
      </c>
      <c r="AH2697">
        <v>0</v>
      </c>
      <c r="AI2697" t="s">
        <v>940</v>
      </c>
      <c r="AJ2697">
        <v>34.131861000000001</v>
      </c>
      <c r="AK2697" t="s">
        <v>941</v>
      </c>
      <c r="AL2697">
        <v>-117.05778100000001</v>
      </c>
      <c r="AM2697">
        <v>100</v>
      </c>
      <c r="AN2697">
        <v>6600</v>
      </c>
      <c r="AO2697" t="s">
        <v>118</v>
      </c>
      <c r="AP2697">
        <v>-11</v>
      </c>
      <c r="AQ2697">
        <v>-107</v>
      </c>
      <c r="AR2697">
        <v>-640</v>
      </c>
      <c r="AZ2697">
        <v>1200</v>
      </c>
      <c r="BA2697">
        <v>1</v>
      </c>
      <c r="BB2697" t="str">
        <f t="shared" si="1488"/>
        <v xml:space="preserve">N9217B  </v>
      </c>
      <c r="BC2697">
        <v>1</v>
      </c>
      <c r="BE2697">
        <v>0</v>
      </c>
      <c r="BF2697">
        <v>0</v>
      </c>
      <c r="BG2697">
        <v>0</v>
      </c>
      <c r="BH2697">
        <v>6500</v>
      </c>
      <c r="BI2697">
        <v>1</v>
      </c>
      <c r="BJ2697">
        <v>0</v>
      </c>
      <c r="BK2697">
        <v>0</v>
      </c>
      <c r="BL2697">
        <v>0</v>
      </c>
      <c r="BO2697">
        <v>0</v>
      </c>
      <c r="BP2697">
        <v>0</v>
      </c>
      <c r="BW2697" t="str">
        <f t="shared" si="1492"/>
        <v>14:55:39.944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285</v>
      </c>
      <c r="CR2697">
        <v>0</v>
      </c>
      <c r="CW2697">
        <v>8869499</v>
      </c>
      <c r="CY2697">
        <v>0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25">
      <c r="A2698" t="str">
        <f t="shared" si="1489"/>
        <v>06/05/2020 14:55:34.279</v>
      </c>
      <c r="C2698" t="str">
        <f t="shared" si="1470"/>
        <v>FFDFD3C0</v>
      </c>
      <c r="D2698" t="s">
        <v>148</v>
      </c>
      <c r="E2698">
        <v>11</v>
      </c>
      <c r="H2698">
        <v>53</v>
      </c>
      <c r="I2698" t="s">
        <v>364</v>
      </c>
      <c r="J2698" t="s">
        <v>150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490"/>
        <v>14:55:39.938</v>
      </c>
      <c r="T2698" t="str">
        <f t="shared" si="1491"/>
        <v>14:55:39.538</v>
      </c>
      <c r="U2698" t="str">
        <f t="shared" si="1487"/>
        <v>ACC530</v>
      </c>
      <c r="V2698">
        <v>0</v>
      </c>
      <c r="W2698">
        <v>0</v>
      </c>
      <c r="X2698">
        <v>1</v>
      </c>
      <c r="Z2698">
        <v>0</v>
      </c>
      <c r="AA2698">
        <v>9</v>
      </c>
      <c r="AB2698">
        <v>3</v>
      </c>
      <c r="AC2698">
        <v>0</v>
      </c>
      <c r="AD2698">
        <v>9</v>
      </c>
      <c r="AE2698">
        <v>0</v>
      </c>
      <c r="AF2698">
        <v>3</v>
      </c>
      <c r="AG2698">
        <v>1</v>
      </c>
      <c r="AH2698">
        <v>0</v>
      </c>
      <c r="AI2698" t="s">
        <v>940</v>
      </c>
      <c r="AJ2698">
        <v>34.131861000000001</v>
      </c>
      <c r="AK2698" t="s">
        <v>941</v>
      </c>
      <c r="AL2698">
        <v>-117.05778100000001</v>
      </c>
      <c r="AM2698">
        <v>100</v>
      </c>
      <c r="AN2698">
        <v>6600</v>
      </c>
      <c r="AO2698" t="s">
        <v>118</v>
      </c>
      <c r="AP2698">
        <v>-11</v>
      </c>
      <c r="AQ2698">
        <v>-107</v>
      </c>
      <c r="AR2698">
        <v>-640</v>
      </c>
      <c r="AZ2698">
        <v>1200</v>
      </c>
      <c r="BA2698">
        <v>1</v>
      </c>
      <c r="BB2698" t="str">
        <f t="shared" si="1488"/>
        <v xml:space="preserve">N9217B  </v>
      </c>
      <c r="BC2698">
        <v>1</v>
      </c>
      <c r="BE2698">
        <v>0</v>
      </c>
      <c r="BF2698">
        <v>0</v>
      </c>
      <c r="BG2698">
        <v>0</v>
      </c>
      <c r="BH2698">
        <v>6500</v>
      </c>
      <c r="BI2698">
        <v>1</v>
      </c>
      <c r="BJ2698">
        <v>0</v>
      </c>
      <c r="BK2698">
        <v>0</v>
      </c>
      <c r="BL2698">
        <v>0</v>
      </c>
      <c r="BO2698">
        <v>0</v>
      </c>
      <c r="BP2698">
        <v>0</v>
      </c>
      <c r="BW2698" t="str">
        <f t="shared" si="1492"/>
        <v>14:55:39.944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285</v>
      </c>
      <c r="CR2698">
        <v>0</v>
      </c>
      <c r="CW2698">
        <v>8869499</v>
      </c>
      <c r="CY2698">
        <v>0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25">
      <c r="A2699" t="str">
        <f t="shared" si="1489"/>
        <v>06/05/2020 14:55:34.279</v>
      </c>
      <c r="C2699" t="str">
        <f t="shared" si="1470"/>
        <v>FFDFD3C0</v>
      </c>
      <c r="D2699" t="s">
        <v>113</v>
      </c>
      <c r="E2699">
        <v>3</v>
      </c>
      <c r="H2699">
        <v>166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490"/>
        <v>14:55:39.938</v>
      </c>
      <c r="T2699" t="str">
        <f t="shared" si="1491"/>
        <v>14:55:39.538</v>
      </c>
      <c r="U2699" t="str">
        <f t="shared" si="1487"/>
        <v>ACC530</v>
      </c>
      <c r="V2699">
        <v>0</v>
      </c>
      <c r="W2699">
        <v>0</v>
      </c>
      <c r="X2699">
        <v>1</v>
      </c>
      <c r="Z2699">
        <v>0</v>
      </c>
      <c r="AA2699">
        <v>9</v>
      </c>
      <c r="AB2699">
        <v>3</v>
      </c>
      <c r="AC2699">
        <v>0</v>
      </c>
      <c r="AD2699">
        <v>9</v>
      </c>
      <c r="AE2699">
        <v>0</v>
      </c>
      <c r="AF2699">
        <v>3</v>
      </c>
      <c r="AG2699">
        <v>1</v>
      </c>
      <c r="AH2699">
        <v>0</v>
      </c>
      <c r="AI2699" t="s">
        <v>940</v>
      </c>
      <c r="AJ2699">
        <v>34.131861000000001</v>
      </c>
      <c r="AK2699" t="s">
        <v>941</v>
      </c>
      <c r="AL2699">
        <v>-117.05778100000001</v>
      </c>
      <c r="AM2699">
        <v>100</v>
      </c>
      <c r="AN2699">
        <v>6600</v>
      </c>
      <c r="AO2699" t="s">
        <v>118</v>
      </c>
      <c r="AP2699">
        <v>-11</v>
      </c>
      <c r="AQ2699">
        <v>-107</v>
      </c>
      <c r="AR2699">
        <v>-640</v>
      </c>
      <c r="AZ2699">
        <v>1200</v>
      </c>
      <c r="BA2699">
        <v>1</v>
      </c>
      <c r="BB2699" t="str">
        <f t="shared" si="1488"/>
        <v xml:space="preserve">N9217B  </v>
      </c>
      <c r="BC2699">
        <v>1</v>
      </c>
      <c r="BE2699">
        <v>0</v>
      </c>
      <c r="BF2699">
        <v>0</v>
      </c>
      <c r="BG2699">
        <v>0</v>
      </c>
      <c r="BH2699">
        <v>6500</v>
      </c>
      <c r="BI2699">
        <v>1</v>
      </c>
      <c r="BJ2699">
        <v>0</v>
      </c>
      <c r="BK2699">
        <v>0</v>
      </c>
      <c r="BL2699">
        <v>0</v>
      </c>
      <c r="BO2699">
        <v>0</v>
      </c>
      <c r="BP2699">
        <v>0</v>
      </c>
      <c r="BW2699" t="str">
        <f t="shared" si="1492"/>
        <v>14:55:39.944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285</v>
      </c>
      <c r="CR2699">
        <v>0</v>
      </c>
      <c r="CW2699">
        <v>8869499</v>
      </c>
      <c r="CY2699">
        <v>0</v>
      </c>
      <c r="CZ2699">
        <v>0</v>
      </c>
      <c r="DA2699">
        <v>1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25">
      <c r="A2700" t="str">
        <f t="shared" si="1489"/>
        <v>06/05/2020 14:55:34.279</v>
      </c>
      <c r="C2700" t="str">
        <f t="shared" si="1470"/>
        <v>FFDFD3C0</v>
      </c>
      <c r="D2700" t="s">
        <v>148</v>
      </c>
      <c r="E2700">
        <v>8</v>
      </c>
      <c r="H2700">
        <v>50</v>
      </c>
      <c r="I2700" t="s">
        <v>149</v>
      </c>
      <c r="J2700" t="s">
        <v>150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490"/>
        <v>14:55:39.938</v>
      </c>
      <c r="T2700" t="str">
        <f t="shared" si="1491"/>
        <v>14:55:39.538</v>
      </c>
      <c r="U2700" t="str">
        <f t="shared" si="1487"/>
        <v>ACC530</v>
      </c>
      <c r="V2700">
        <v>0</v>
      </c>
      <c r="W2700">
        <v>0</v>
      </c>
      <c r="X2700">
        <v>1</v>
      </c>
      <c r="Z2700">
        <v>0</v>
      </c>
      <c r="AA2700">
        <v>9</v>
      </c>
      <c r="AB2700">
        <v>3</v>
      </c>
      <c r="AC2700">
        <v>0</v>
      </c>
      <c r="AD2700">
        <v>9</v>
      </c>
      <c r="AE2700">
        <v>0</v>
      </c>
      <c r="AF2700">
        <v>3</v>
      </c>
      <c r="AG2700">
        <v>1</v>
      </c>
      <c r="AH2700">
        <v>0</v>
      </c>
      <c r="AI2700" t="s">
        <v>940</v>
      </c>
      <c r="AJ2700">
        <v>34.131861000000001</v>
      </c>
      <c r="AK2700" t="s">
        <v>941</v>
      </c>
      <c r="AL2700">
        <v>-117.05778100000001</v>
      </c>
      <c r="AM2700">
        <v>100</v>
      </c>
      <c r="AN2700">
        <v>6600</v>
      </c>
      <c r="AO2700" t="s">
        <v>118</v>
      </c>
      <c r="AP2700">
        <v>-11</v>
      </c>
      <c r="AQ2700">
        <v>-107</v>
      </c>
      <c r="AR2700">
        <v>-640</v>
      </c>
      <c r="AZ2700">
        <v>1200</v>
      </c>
      <c r="BA2700">
        <v>1</v>
      </c>
      <c r="BB2700" t="str">
        <f t="shared" si="1488"/>
        <v xml:space="preserve">N9217B  </v>
      </c>
      <c r="BC2700">
        <v>1</v>
      </c>
      <c r="BE2700">
        <v>0</v>
      </c>
      <c r="BF2700">
        <v>0</v>
      </c>
      <c r="BG2700">
        <v>0</v>
      </c>
      <c r="BH2700">
        <v>6500</v>
      </c>
      <c r="BI2700">
        <v>1</v>
      </c>
      <c r="BJ2700">
        <v>0</v>
      </c>
      <c r="BK2700">
        <v>0</v>
      </c>
      <c r="BL2700">
        <v>0</v>
      </c>
      <c r="BO2700">
        <v>0</v>
      </c>
      <c r="BP2700">
        <v>0</v>
      </c>
      <c r="BW2700" t="str">
        <f t="shared" si="1492"/>
        <v>14:55:39.944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285</v>
      </c>
      <c r="CR2700">
        <v>0</v>
      </c>
      <c r="CW2700">
        <v>8869499</v>
      </c>
      <c r="CY2700">
        <v>0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25">
      <c r="A2701" t="str">
        <f t="shared" ref="A2701:A2707" si="1493">"06/05/2020 14:55:35.261"</f>
        <v>06/05/2020 14:55:35.261</v>
      </c>
      <c r="C2701" t="str">
        <f t="shared" si="1470"/>
        <v>FFDFD3C0</v>
      </c>
      <c r="D2701" t="s">
        <v>151</v>
      </c>
      <c r="E2701">
        <v>8</v>
      </c>
      <c r="H2701">
        <v>225</v>
      </c>
      <c r="I2701" t="s">
        <v>353</v>
      </c>
      <c r="J2701" t="s">
        <v>150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ref="S2701:S2707" si="1494">"14:55:40.883"</f>
        <v>14:55:40.883</v>
      </c>
      <c r="T2701" t="str">
        <f t="shared" ref="T2701:T2707" si="1495">"14:55:40.483"</f>
        <v>14:55:40.483</v>
      </c>
      <c r="U2701" t="str">
        <f t="shared" si="1487"/>
        <v>ACC530</v>
      </c>
      <c r="V2701">
        <v>0</v>
      </c>
      <c r="W2701">
        <v>0</v>
      </c>
      <c r="X2701">
        <v>1</v>
      </c>
      <c r="Z2701">
        <v>0</v>
      </c>
      <c r="AA2701">
        <v>9</v>
      </c>
      <c r="AB2701">
        <v>3</v>
      </c>
      <c r="AC2701">
        <v>0</v>
      </c>
      <c r="AD2701">
        <v>9</v>
      </c>
      <c r="AE2701">
        <v>0</v>
      </c>
      <c r="AF2701">
        <v>3</v>
      </c>
      <c r="AG2701">
        <v>1</v>
      </c>
      <c r="AH2701">
        <v>0</v>
      </c>
      <c r="AI2701" t="s">
        <v>942</v>
      </c>
      <c r="AJ2701">
        <v>34.131410000000002</v>
      </c>
      <c r="AK2701" t="s">
        <v>943</v>
      </c>
      <c r="AL2701">
        <v>-117.05780300000001</v>
      </c>
      <c r="AM2701">
        <v>100</v>
      </c>
      <c r="AN2701">
        <v>6600</v>
      </c>
      <c r="AO2701" t="s">
        <v>118</v>
      </c>
      <c r="AP2701">
        <v>-10</v>
      </c>
      <c r="AQ2701">
        <v>-107</v>
      </c>
      <c r="AR2701">
        <v>-576</v>
      </c>
      <c r="AZ2701">
        <v>1200</v>
      </c>
      <c r="BA2701">
        <v>1</v>
      </c>
      <c r="BB2701" t="str">
        <f t="shared" si="1488"/>
        <v xml:space="preserve">N9217B  </v>
      </c>
      <c r="BC2701">
        <v>1</v>
      </c>
      <c r="BE2701">
        <v>0</v>
      </c>
      <c r="BF2701">
        <v>0</v>
      </c>
      <c r="BG2701">
        <v>0</v>
      </c>
      <c r="BH2701">
        <v>6500</v>
      </c>
      <c r="BI2701">
        <v>1</v>
      </c>
      <c r="BJ2701">
        <v>0</v>
      </c>
      <c r="BK2701">
        <v>0</v>
      </c>
      <c r="BL2701">
        <v>0</v>
      </c>
      <c r="BO2701">
        <v>0</v>
      </c>
      <c r="BP2701">
        <v>0</v>
      </c>
      <c r="BW2701" t="str">
        <f t="shared" ref="BW2701:BW2707" si="1496">"14:55:40.889"</f>
        <v>14:55:40.889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285</v>
      </c>
      <c r="CR2701">
        <v>0</v>
      </c>
      <c r="CW2701">
        <v>8869583</v>
      </c>
      <c r="CY2701">
        <v>0</v>
      </c>
      <c r="CZ2701">
        <v>0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25">
      <c r="A2702" t="str">
        <f t="shared" si="1493"/>
        <v>06/05/2020 14:55:35.261</v>
      </c>
      <c r="C2702" t="str">
        <f t="shared" si="1470"/>
        <v>FFDFD3C0</v>
      </c>
      <c r="D2702" t="s">
        <v>148</v>
      </c>
      <c r="E2702">
        <v>11</v>
      </c>
      <c r="H2702">
        <v>53</v>
      </c>
      <c r="I2702" t="s">
        <v>364</v>
      </c>
      <c r="J2702" t="s">
        <v>150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494"/>
        <v>14:55:40.883</v>
      </c>
      <c r="T2702" t="str">
        <f t="shared" si="1495"/>
        <v>14:55:40.483</v>
      </c>
      <c r="U2702" t="str">
        <f t="shared" si="1487"/>
        <v>ACC530</v>
      </c>
      <c r="V2702">
        <v>0</v>
      </c>
      <c r="W2702">
        <v>0</v>
      </c>
      <c r="X2702">
        <v>1</v>
      </c>
      <c r="Z2702">
        <v>0</v>
      </c>
      <c r="AA2702">
        <v>9</v>
      </c>
      <c r="AB2702">
        <v>3</v>
      </c>
      <c r="AC2702">
        <v>0</v>
      </c>
      <c r="AD2702">
        <v>9</v>
      </c>
      <c r="AE2702">
        <v>0</v>
      </c>
      <c r="AF2702">
        <v>3</v>
      </c>
      <c r="AG2702">
        <v>1</v>
      </c>
      <c r="AH2702">
        <v>0</v>
      </c>
      <c r="AI2702" t="s">
        <v>942</v>
      </c>
      <c r="AJ2702">
        <v>34.131410000000002</v>
      </c>
      <c r="AK2702" t="s">
        <v>943</v>
      </c>
      <c r="AL2702">
        <v>-117.05780300000001</v>
      </c>
      <c r="AM2702">
        <v>100</v>
      </c>
      <c r="AN2702">
        <v>6600</v>
      </c>
      <c r="AO2702" t="s">
        <v>118</v>
      </c>
      <c r="AP2702">
        <v>-10</v>
      </c>
      <c r="AQ2702">
        <v>-107</v>
      </c>
      <c r="AR2702">
        <v>-576</v>
      </c>
      <c r="AZ2702">
        <v>1200</v>
      </c>
      <c r="BA2702">
        <v>1</v>
      </c>
      <c r="BB2702" t="str">
        <f t="shared" si="1488"/>
        <v xml:space="preserve">N9217B  </v>
      </c>
      <c r="BC2702">
        <v>1</v>
      </c>
      <c r="BE2702">
        <v>0</v>
      </c>
      <c r="BF2702">
        <v>0</v>
      </c>
      <c r="BG2702">
        <v>0</v>
      </c>
      <c r="BH2702">
        <v>6500</v>
      </c>
      <c r="BI2702">
        <v>1</v>
      </c>
      <c r="BJ2702">
        <v>0</v>
      </c>
      <c r="BK2702">
        <v>0</v>
      </c>
      <c r="BL2702">
        <v>0</v>
      </c>
      <c r="BO2702">
        <v>0</v>
      </c>
      <c r="BP2702">
        <v>0</v>
      </c>
      <c r="BW2702" t="str">
        <f t="shared" si="1496"/>
        <v>14:55:40.889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285</v>
      </c>
      <c r="CR2702">
        <v>0</v>
      </c>
      <c r="CW2702">
        <v>8869583</v>
      </c>
      <c r="CY2702">
        <v>0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25">
      <c r="A2703" t="str">
        <f t="shared" si="1493"/>
        <v>06/05/2020 14:55:35.261</v>
      </c>
      <c r="C2703" t="str">
        <f t="shared" si="1470"/>
        <v>FFDFD3C0</v>
      </c>
      <c r="D2703" t="s">
        <v>151</v>
      </c>
      <c r="E2703">
        <v>9</v>
      </c>
      <c r="H2703">
        <v>226</v>
      </c>
      <c r="I2703" t="s">
        <v>152</v>
      </c>
      <c r="J2703" t="s">
        <v>150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494"/>
        <v>14:55:40.883</v>
      </c>
      <c r="T2703" t="str">
        <f t="shared" si="1495"/>
        <v>14:55:40.483</v>
      </c>
      <c r="U2703" t="str">
        <f t="shared" si="1487"/>
        <v>ACC530</v>
      </c>
      <c r="V2703">
        <v>0</v>
      </c>
      <c r="W2703">
        <v>0</v>
      </c>
      <c r="X2703">
        <v>1</v>
      </c>
      <c r="Z2703">
        <v>0</v>
      </c>
      <c r="AA2703">
        <v>9</v>
      </c>
      <c r="AB2703">
        <v>3</v>
      </c>
      <c r="AC2703">
        <v>0</v>
      </c>
      <c r="AD2703">
        <v>9</v>
      </c>
      <c r="AE2703">
        <v>0</v>
      </c>
      <c r="AF2703">
        <v>3</v>
      </c>
      <c r="AG2703">
        <v>1</v>
      </c>
      <c r="AH2703">
        <v>0</v>
      </c>
      <c r="AI2703" t="s">
        <v>942</v>
      </c>
      <c r="AJ2703">
        <v>34.131410000000002</v>
      </c>
      <c r="AK2703" t="s">
        <v>943</v>
      </c>
      <c r="AL2703">
        <v>-117.05780300000001</v>
      </c>
      <c r="AM2703">
        <v>100</v>
      </c>
      <c r="AN2703">
        <v>6600</v>
      </c>
      <c r="AO2703" t="s">
        <v>118</v>
      </c>
      <c r="AP2703">
        <v>-10</v>
      </c>
      <c r="AQ2703">
        <v>-107</v>
      </c>
      <c r="AR2703">
        <v>-576</v>
      </c>
      <c r="AZ2703">
        <v>1200</v>
      </c>
      <c r="BA2703">
        <v>1</v>
      </c>
      <c r="BB2703" t="str">
        <f t="shared" si="1488"/>
        <v xml:space="preserve">N9217B  </v>
      </c>
      <c r="BC2703">
        <v>1</v>
      </c>
      <c r="BE2703">
        <v>0</v>
      </c>
      <c r="BF2703">
        <v>0</v>
      </c>
      <c r="BG2703">
        <v>0</v>
      </c>
      <c r="BH2703">
        <v>6500</v>
      </c>
      <c r="BI2703">
        <v>1</v>
      </c>
      <c r="BJ2703">
        <v>0</v>
      </c>
      <c r="BK2703">
        <v>0</v>
      </c>
      <c r="BL2703">
        <v>0</v>
      </c>
      <c r="BO2703">
        <v>0</v>
      </c>
      <c r="BP2703">
        <v>0</v>
      </c>
      <c r="BW2703" t="str">
        <f t="shared" si="1496"/>
        <v>14:55:40.889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285</v>
      </c>
      <c r="CR2703">
        <v>0</v>
      </c>
      <c r="CW2703">
        <v>8869583</v>
      </c>
      <c r="CY2703">
        <v>0</v>
      </c>
      <c r="CZ2703">
        <v>0</v>
      </c>
      <c r="DA2703">
        <v>1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25">
      <c r="A2704" t="str">
        <f t="shared" si="1493"/>
        <v>06/05/2020 14:55:35.261</v>
      </c>
      <c r="C2704" t="str">
        <f t="shared" si="1470"/>
        <v>FFDFD3C0</v>
      </c>
      <c r="D2704" t="s">
        <v>113</v>
      </c>
      <c r="E2704">
        <v>3</v>
      </c>
      <c r="H2704">
        <v>166</v>
      </c>
      <c r="I2704" t="s">
        <v>114</v>
      </c>
      <c r="J2704" t="s">
        <v>115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494"/>
        <v>14:55:40.883</v>
      </c>
      <c r="T2704" t="str">
        <f t="shared" si="1495"/>
        <v>14:55:40.483</v>
      </c>
      <c r="U2704" t="str">
        <f t="shared" si="1487"/>
        <v>ACC530</v>
      </c>
      <c r="V2704">
        <v>0</v>
      </c>
      <c r="W2704">
        <v>0</v>
      </c>
      <c r="X2704">
        <v>1</v>
      </c>
      <c r="Z2704">
        <v>0</v>
      </c>
      <c r="AA2704">
        <v>9</v>
      </c>
      <c r="AB2704">
        <v>3</v>
      </c>
      <c r="AC2704">
        <v>0</v>
      </c>
      <c r="AD2704">
        <v>9</v>
      </c>
      <c r="AE2704">
        <v>0</v>
      </c>
      <c r="AF2704">
        <v>3</v>
      </c>
      <c r="AG2704">
        <v>1</v>
      </c>
      <c r="AH2704">
        <v>0</v>
      </c>
      <c r="AI2704" t="s">
        <v>942</v>
      </c>
      <c r="AJ2704">
        <v>34.131410000000002</v>
      </c>
      <c r="AK2704" t="s">
        <v>943</v>
      </c>
      <c r="AL2704">
        <v>-117.05780300000001</v>
      </c>
      <c r="AM2704">
        <v>100</v>
      </c>
      <c r="AN2704">
        <v>6600</v>
      </c>
      <c r="AO2704" t="s">
        <v>118</v>
      </c>
      <c r="AP2704">
        <v>-10</v>
      </c>
      <c r="AQ2704">
        <v>-107</v>
      </c>
      <c r="AR2704">
        <v>-576</v>
      </c>
      <c r="AZ2704">
        <v>1200</v>
      </c>
      <c r="BA2704">
        <v>1</v>
      </c>
      <c r="BB2704" t="str">
        <f t="shared" si="1488"/>
        <v xml:space="preserve">N9217B  </v>
      </c>
      <c r="BC2704">
        <v>1</v>
      </c>
      <c r="BE2704">
        <v>0</v>
      </c>
      <c r="BF2704">
        <v>0</v>
      </c>
      <c r="BG2704">
        <v>0</v>
      </c>
      <c r="BH2704">
        <v>6500</v>
      </c>
      <c r="BI2704">
        <v>1</v>
      </c>
      <c r="BJ2704">
        <v>0</v>
      </c>
      <c r="BK2704">
        <v>0</v>
      </c>
      <c r="BL2704">
        <v>0</v>
      </c>
      <c r="BO2704">
        <v>0</v>
      </c>
      <c r="BP2704">
        <v>0</v>
      </c>
      <c r="BW2704" t="str">
        <f t="shared" si="1496"/>
        <v>14:55:40.889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285</v>
      </c>
      <c r="CR2704">
        <v>0</v>
      </c>
      <c r="CW2704">
        <v>8869583</v>
      </c>
      <c r="CY2704">
        <v>0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25">
      <c r="A2705" t="str">
        <f t="shared" si="1493"/>
        <v>06/05/2020 14:55:35.261</v>
      </c>
      <c r="C2705" t="str">
        <f t="shared" si="1470"/>
        <v>FFDFD3C0</v>
      </c>
      <c r="D2705" t="s">
        <v>134</v>
      </c>
      <c r="E2705">
        <v>7</v>
      </c>
      <c r="F2705">
        <v>2007</v>
      </c>
      <c r="G2705" t="s">
        <v>135</v>
      </c>
      <c r="J2705" t="s">
        <v>136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494"/>
        <v>14:55:40.883</v>
      </c>
      <c r="T2705" t="str">
        <f t="shared" si="1495"/>
        <v>14:55:40.483</v>
      </c>
      <c r="U2705" t="str">
        <f t="shared" si="1487"/>
        <v>ACC530</v>
      </c>
      <c r="V2705">
        <v>0</v>
      </c>
      <c r="W2705">
        <v>0</v>
      </c>
      <c r="X2705">
        <v>1</v>
      </c>
      <c r="Z2705">
        <v>0</v>
      </c>
      <c r="AA2705">
        <v>9</v>
      </c>
      <c r="AB2705">
        <v>3</v>
      </c>
      <c r="AC2705">
        <v>0</v>
      </c>
      <c r="AD2705">
        <v>9</v>
      </c>
      <c r="AE2705">
        <v>0</v>
      </c>
      <c r="AF2705">
        <v>3</v>
      </c>
      <c r="AG2705">
        <v>1</v>
      </c>
      <c r="AH2705">
        <v>0</v>
      </c>
      <c r="AI2705" t="s">
        <v>942</v>
      </c>
      <c r="AJ2705">
        <v>34.131410000000002</v>
      </c>
      <c r="AK2705" t="s">
        <v>943</v>
      </c>
      <c r="AL2705">
        <v>-117.05780300000001</v>
      </c>
      <c r="AM2705">
        <v>100</v>
      </c>
      <c r="AN2705">
        <v>6600</v>
      </c>
      <c r="AO2705" t="s">
        <v>118</v>
      </c>
      <c r="AP2705">
        <v>-10</v>
      </c>
      <c r="AQ2705">
        <v>-107</v>
      </c>
      <c r="AR2705">
        <v>-576</v>
      </c>
      <c r="AZ2705">
        <v>1200</v>
      </c>
      <c r="BA2705">
        <v>1</v>
      </c>
      <c r="BB2705" t="str">
        <f t="shared" si="1488"/>
        <v xml:space="preserve">N9217B  </v>
      </c>
      <c r="BC2705">
        <v>1</v>
      </c>
      <c r="BE2705">
        <v>0</v>
      </c>
      <c r="BF2705">
        <v>0</v>
      </c>
      <c r="BG2705">
        <v>0</v>
      </c>
      <c r="BH2705">
        <v>6500</v>
      </c>
      <c r="BI2705">
        <v>1</v>
      </c>
      <c r="BJ2705">
        <v>0</v>
      </c>
      <c r="BK2705">
        <v>0</v>
      </c>
      <c r="BL2705">
        <v>0</v>
      </c>
      <c r="BO2705">
        <v>0</v>
      </c>
      <c r="BP2705">
        <v>0</v>
      </c>
      <c r="BW2705" t="str">
        <f t="shared" si="1496"/>
        <v>14:55:40.889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285</v>
      </c>
      <c r="CR2705">
        <v>0</v>
      </c>
      <c r="CW2705">
        <v>8869583</v>
      </c>
      <c r="CY2705">
        <v>0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25">
      <c r="A2706" t="str">
        <f t="shared" si="1493"/>
        <v>06/05/2020 14:55:35.261</v>
      </c>
      <c r="C2706" t="str">
        <f t="shared" si="1470"/>
        <v>FFDFD3C0</v>
      </c>
      <c r="D2706" t="s">
        <v>141</v>
      </c>
      <c r="E2706">
        <v>20</v>
      </c>
      <c r="F2706">
        <v>1020</v>
      </c>
      <c r="G2706" t="s">
        <v>114</v>
      </c>
      <c r="J2706" t="s">
        <v>142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494"/>
        <v>14:55:40.883</v>
      </c>
      <c r="T2706" t="str">
        <f t="shared" si="1495"/>
        <v>14:55:40.483</v>
      </c>
      <c r="U2706" t="str">
        <f t="shared" si="1487"/>
        <v>ACC530</v>
      </c>
      <c r="V2706">
        <v>0</v>
      </c>
      <c r="W2706">
        <v>0</v>
      </c>
      <c r="X2706">
        <v>1</v>
      </c>
      <c r="Z2706">
        <v>0</v>
      </c>
      <c r="AA2706">
        <v>9</v>
      </c>
      <c r="AB2706">
        <v>3</v>
      </c>
      <c r="AC2706">
        <v>0</v>
      </c>
      <c r="AD2706">
        <v>9</v>
      </c>
      <c r="AE2706">
        <v>0</v>
      </c>
      <c r="AF2706">
        <v>3</v>
      </c>
      <c r="AG2706">
        <v>1</v>
      </c>
      <c r="AH2706">
        <v>0</v>
      </c>
      <c r="AI2706" t="s">
        <v>942</v>
      </c>
      <c r="AJ2706">
        <v>34.131410000000002</v>
      </c>
      <c r="AK2706" t="s">
        <v>943</v>
      </c>
      <c r="AL2706">
        <v>-117.05780300000001</v>
      </c>
      <c r="AM2706">
        <v>100</v>
      </c>
      <c r="AN2706">
        <v>6600</v>
      </c>
      <c r="AO2706" t="s">
        <v>118</v>
      </c>
      <c r="AP2706">
        <v>-10</v>
      </c>
      <c r="AQ2706">
        <v>-107</v>
      </c>
      <c r="AR2706">
        <v>-576</v>
      </c>
      <c r="AZ2706">
        <v>1200</v>
      </c>
      <c r="BA2706">
        <v>1</v>
      </c>
      <c r="BB2706" t="str">
        <f t="shared" si="1488"/>
        <v xml:space="preserve">N9217B  </v>
      </c>
      <c r="BC2706">
        <v>1</v>
      </c>
      <c r="BE2706">
        <v>0</v>
      </c>
      <c r="BF2706">
        <v>0</v>
      </c>
      <c r="BG2706">
        <v>0</v>
      </c>
      <c r="BH2706">
        <v>6500</v>
      </c>
      <c r="BI2706">
        <v>1</v>
      </c>
      <c r="BJ2706">
        <v>0</v>
      </c>
      <c r="BK2706">
        <v>0</v>
      </c>
      <c r="BL2706">
        <v>0</v>
      </c>
      <c r="BO2706">
        <v>0</v>
      </c>
      <c r="BP2706">
        <v>0</v>
      </c>
      <c r="BW2706" t="str">
        <f t="shared" si="1496"/>
        <v>14:55:40.889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285</v>
      </c>
      <c r="CR2706">
        <v>0</v>
      </c>
      <c r="CW2706">
        <v>8869583</v>
      </c>
      <c r="CY2706">
        <v>0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25">
      <c r="A2707" t="str">
        <f t="shared" si="1493"/>
        <v>06/05/2020 14:55:35.261</v>
      </c>
      <c r="C2707" t="str">
        <f t="shared" si="1470"/>
        <v>FFDFD3C0</v>
      </c>
      <c r="D2707" t="s">
        <v>148</v>
      </c>
      <c r="E2707">
        <v>8</v>
      </c>
      <c r="H2707">
        <v>50</v>
      </c>
      <c r="I2707" t="s">
        <v>149</v>
      </c>
      <c r="J2707" t="s">
        <v>150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494"/>
        <v>14:55:40.883</v>
      </c>
      <c r="T2707" t="str">
        <f t="shared" si="1495"/>
        <v>14:55:40.483</v>
      </c>
      <c r="U2707" t="str">
        <f t="shared" si="1487"/>
        <v>ACC530</v>
      </c>
      <c r="V2707">
        <v>0</v>
      </c>
      <c r="W2707">
        <v>0</v>
      </c>
      <c r="X2707">
        <v>1</v>
      </c>
      <c r="Z2707">
        <v>0</v>
      </c>
      <c r="AA2707">
        <v>9</v>
      </c>
      <c r="AB2707">
        <v>3</v>
      </c>
      <c r="AC2707">
        <v>0</v>
      </c>
      <c r="AD2707">
        <v>9</v>
      </c>
      <c r="AE2707">
        <v>0</v>
      </c>
      <c r="AF2707">
        <v>3</v>
      </c>
      <c r="AG2707">
        <v>1</v>
      </c>
      <c r="AH2707">
        <v>0</v>
      </c>
      <c r="AI2707" t="s">
        <v>942</v>
      </c>
      <c r="AJ2707">
        <v>34.131410000000002</v>
      </c>
      <c r="AK2707" t="s">
        <v>943</v>
      </c>
      <c r="AL2707">
        <v>-117.05780300000001</v>
      </c>
      <c r="AM2707">
        <v>100</v>
      </c>
      <c r="AN2707">
        <v>6600</v>
      </c>
      <c r="AO2707" t="s">
        <v>118</v>
      </c>
      <c r="AP2707">
        <v>-10</v>
      </c>
      <c r="AQ2707">
        <v>-107</v>
      </c>
      <c r="AR2707">
        <v>-576</v>
      </c>
      <c r="AZ2707">
        <v>1200</v>
      </c>
      <c r="BA2707">
        <v>1</v>
      </c>
      <c r="BB2707" t="str">
        <f t="shared" si="1488"/>
        <v xml:space="preserve">N9217B  </v>
      </c>
      <c r="BC2707">
        <v>1</v>
      </c>
      <c r="BE2707">
        <v>0</v>
      </c>
      <c r="BF2707">
        <v>0</v>
      </c>
      <c r="BG2707">
        <v>0</v>
      </c>
      <c r="BH2707">
        <v>6500</v>
      </c>
      <c r="BI2707">
        <v>1</v>
      </c>
      <c r="BJ2707">
        <v>0</v>
      </c>
      <c r="BK2707">
        <v>0</v>
      </c>
      <c r="BL2707">
        <v>0</v>
      </c>
      <c r="BO2707">
        <v>0</v>
      </c>
      <c r="BP2707">
        <v>0</v>
      </c>
      <c r="BW2707" t="str">
        <f t="shared" si="1496"/>
        <v>14:55:40.889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285</v>
      </c>
      <c r="CR2707">
        <v>0</v>
      </c>
      <c r="CW2707">
        <v>8869583</v>
      </c>
      <c r="CY2707">
        <v>0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25">
      <c r="A2708" t="str">
        <f t="shared" ref="A2708:A2714" si="1497">"06/05/2020 14:55:36.288"</f>
        <v>06/05/2020 14:55:36.288</v>
      </c>
      <c r="C2708" t="str">
        <f t="shared" si="1470"/>
        <v>FFDFD3C0</v>
      </c>
      <c r="D2708" t="s">
        <v>113</v>
      </c>
      <c r="E2708">
        <v>3</v>
      </c>
      <c r="H2708">
        <v>166</v>
      </c>
      <c r="I2708" t="s">
        <v>114</v>
      </c>
      <c r="J2708" t="s">
        <v>115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ref="S2708:T2714" si="1498">"14:55:41.922"</f>
        <v>14:55:41.922</v>
      </c>
      <c r="T2708" t="str">
        <f t="shared" si="1498"/>
        <v>14:55:41.922</v>
      </c>
      <c r="U2708" t="str">
        <f t="shared" si="1487"/>
        <v>ACC530</v>
      </c>
      <c r="V2708">
        <v>0</v>
      </c>
      <c r="W2708">
        <v>0</v>
      </c>
      <c r="X2708">
        <v>1</v>
      </c>
      <c r="Z2708">
        <v>0</v>
      </c>
      <c r="AA2708">
        <v>9</v>
      </c>
      <c r="AB2708">
        <v>3</v>
      </c>
      <c r="AC2708">
        <v>0</v>
      </c>
      <c r="AD2708">
        <v>9</v>
      </c>
      <c r="AE2708">
        <v>0</v>
      </c>
      <c r="AF2708">
        <v>3</v>
      </c>
      <c r="AG2708">
        <v>1</v>
      </c>
      <c r="AH2708">
        <v>0</v>
      </c>
      <c r="AI2708" t="s">
        <v>944</v>
      </c>
      <c r="AJ2708">
        <v>34.130895000000002</v>
      </c>
      <c r="AK2708" t="s">
        <v>945</v>
      </c>
      <c r="AL2708">
        <v>-117.057846</v>
      </c>
      <c r="AM2708">
        <v>100</v>
      </c>
      <c r="AN2708">
        <v>6600</v>
      </c>
      <c r="AO2708" t="s">
        <v>118</v>
      </c>
      <c r="AP2708">
        <v>-8</v>
      </c>
      <c r="AQ2708">
        <v>-106</v>
      </c>
      <c r="AR2708">
        <v>-576</v>
      </c>
      <c r="AZ2708">
        <v>1200</v>
      </c>
      <c r="BA2708">
        <v>1</v>
      </c>
      <c r="BB2708" t="str">
        <f t="shared" si="1488"/>
        <v xml:space="preserve">N9217B  </v>
      </c>
      <c r="BC2708">
        <v>1</v>
      </c>
      <c r="BE2708">
        <v>0</v>
      </c>
      <c r="BF2708">
        <v>0</v>
      </c>
      <c r="BG2708">
        <v>0</v>
      </c>
      <c r="BH2708">
        <v>6475</v>
      </c>
      <c r="BI2708">
        <v>1</v>
      </c>
      <c r="BJ2708">
        <v>0</v>
      </c>
      <c r="BK2708">
        <v>0</v>
      </c>
      <c r="BL2708">
        <v>0</v>
      </c>
      <c r="BO2708">
        <v>0</v>
      </c>
      <c r="BP2708">
        <v>0</v>
      </c>
      <c r="BW2708" t="str">
        <f t="shared" ref="BW2708:BW2714" si="1499">"14:55:41.924"</f>
        <v>14:55:41.924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119</v>
      </c>
      <c r="CQ2708">
        <v>285</v>
      </c>
      <c r="CR2708">
        <v>0</v>
      </c>
      <c r="CW2708">
        <v>8869682</v>
      </c>
      <c r="CY2708">
        <v>0</v>
      </c>
      <c r="CZ2708">
        <v>0</v>
      </c>
      <c r="DA2708">
        <v>0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25">
      <c r="A2709" t="str">
        <f t="shared" si="1497"/>
        <v>06/05/2020 14:55:36.288</v>
      </c>
      <c r="C2709" t="str">
        <f t="shared" si="1470"/>
        <v>FFDFD3C0</v>
      </c>
      <c r="D2709" t="s">
        <v>134</v>
      </c>
      <c r="E2709">
        <v>7</v>
      </c>
      <c r="F2709">
        <v>2007</v>
      </c>
      <c r="G2709" t="s">
        <v>135</v>
      </c>
      <c r="J2709" t="s">
        <v>136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498"/>
        <v>14:55:41.922</v>
      </c>
      <c r="T2709" t="str">
        <f t="shared" si="1498"/>
        <v>14:55:41.922</v>
      </c>
      <c r="U2709" t="str">
        <f t="shared" si="1487"/>
        <v>ACC530</v>
      </c>
      <c r="V2709">
        <v>0</v>
      </c>
      <c r="W2709">
        <v>0</v>
      </c>
      <c r="X2709">
        <v>1</v>
      </c>
      <c r="Z2709">
        <v>0</v>
      </c>
      <c r="AA2709">
        <v>9</v>
      </c>
      <c r="AB2709">
        <v>3</v>
      </c>
      <c r="AC2709">
        <v>0</v>
      </c>
      <c r="AD2709">
        <v>9</v>
      </c>
      <c r="AE2709">
        <v>0</v>
      </c>
      <c r="AF2709">
        <v>3</v>
      </c>
      <c r="AG2709">
        <v>1</v>
      </c>
      <c r="AH2709">
        <v>0</v>
      </c>
      <c r="AI2709" t="s">
        <v>944</v>
      </c>
      <c r="AJ2709">
        <v>34.130895000000002</v>
      </c>
      <c r="AK2709" t="s">
        <v>945</v>
      </c>
      <c r="AL2709">
        <v>-117.057846</v>
      </c>
      <c r="AM2709">
        <v>100</v>
      </c>
      <c r="AN2709">
        <v>6600</v>
      </c>
      <c r="AO2709" t="s">
        <v>118</v>
      </c>
      <c r="AP2709">
        <v>-8</v>
      </c>
      <c r="AQ2709">
        <v>-106</v>
      </c>
      <c r="AR2709">
        <v>-576</v>
      </c>
      <c r="AZ2709">
        <v>1200</v>
      </c>
      <c r="BA2709">
        <v>1</v>
      </c>
      <c r="BB2709" t="str">
        <f t="shared" si="1488"/>
        <v xml:space="preserve">N9217B  </v>
      </c>
      <c r="BC2709">
        <v>1</v>
      </c>
      <c r="BE2709">
        <v>0</v>
      </c>
      <c r="BF2709">
        <v>0</v>
      </c>
      <c r="BG2709">
        <v>0</v>
      </c>
      <c r="BH2709">
        <v>6475</v>
      </c>
      <c r="BI2709">
        <v>1</v>
      </c>
      <c r="BJ2709">
        <v>0</v>
      </c>
      <c r="BK2709">
        <v>0</v>
      </c>
      <c r="BL2709">
        <v>0</v>
      </c>
      <c r="BO2709">
        <v>0</v>
      </c>
      <c r="BP2709">
        <v>0</v>
      </c>
      <c r="BW2709" t="str">
        <f t="shared" si="1499"/>
        <v>14:55:41.924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7</v>
      </c>
      <c r="CP2709" t="s">
        <v>119</v>
      </c>
      <c r="CQ2709">
        <v>285</v>
      </c>
      <c r="CR2709">
        <v>0</v>
      </c>
      <c r="CW2709">
        <v>8869682</v>
      </c>
      <c r="CY2709">
        <v>0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25">
      <c r="A2710" t="str">
        <f t="shared" si="1497"/>
        <v>06/05/2020 14:55:36.288</v>
      </c>
      <c r="C2710" t="str">
        <f t="shared" si="1470"/>
        <v>FFDFD3C0</v>
      </c>
      <c r="D2710" t="s">
        <v>141</v>
      </c>
      <c r="E2710">
        <v>20</v>
      </c>
      <c r="F2710">
        <v>1020</v>
      </c>
      <c r="G2710" t="s">
        <v>114</v>
      </c>
      <c r="J2710" t="s">
        <v>142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498"/>
        <v>14:55:41.922</v>
      </c>
      <c r="T2710" t="str">
        <f t="shared" si="1498"/>
        <v>14:55:41.922</v>
      </c>
      <c r="U2710" t="str">
        <f t="shared" si="1487"/>
        <v>ACC530</v>
      </c>
      <c r="V2710">
        <v>0</v>
      </c>
      <c r="W2710">
        <v>0</v>
      </c>
      <c r="X2710">
        <v>1</v>
      </c>
      <c r="Z2710">
        <v>0</v>
      </c>
      <c r="AA2710">
        <v>9</v>
      </c>
      <c r="AB2710">
        <v>3</v>
      </c>
      <c r="AC2710">
        <v>0</v>
      </c>
      <c r="AD2710">
        <v>9</v>
      </c>
      <c r="AE2710">
        <v>0</v>
      </c>
      <c r="AF2710">
        <v>3</v>
      </c>
      <c r="AG2710">
        <v>1</v>
      </c>
      <c r="AH2710">
        <v>0</v>
      </c>
      <c r="AI2710" t="s">
        <v>944</v>
      </c>
      <c r="AJ2710">
        <v>34.130895000000002</v>
      </c>
      <c r="AK2710" t="s">
        <v>945</v>
      </c>
      <c r="AL2710">
        <v>-117.057846</v>
      </c>
      <c r="AM2710">
        <v>100</v>
      </c>
      <c r="AN2710">
        <v>6600</v>
      </c>
      <c r="AO2710" t="s">
        <v>118</v>
      </c>
      <c r="AP2710">
        <v>-8</v>
      </c>
      <c r="AQ2710">
        <v>-106</v>
      </c>
      <c r="AR2710">
        <v>-576</v>
      </c>
      <c r="AZ2710">
        <v>1200</v>
      </c>
      <c r="BA2710">
        <v>1</v>
      </c>
      <c r="BB2710" t="str">
        <f t="shared" si="1488"/>
        <v xml:space="preserve">N9217B  </v>
      </c>
      <c r="BC2710">
        <v>1</v>
      </c>
      <c r="BE2710">
        <v>0</v>
      </c>
      <c r="BF2710">
        <v>0</v>
      </c>
      <c r="BG2710">
        <v>0</v>
      </c>
      <c r="BH2710">
        <v>6475</v>
      </c>
      <c r="BI2710">
        <v>1</v>
      </c>
      <c r="BJ2710">
        <v>0</v>
      </c>
      <c r="BK2710">
        <v>0</v>
      </c>
      <c r="BL2710">
        <v>0</v>
      </c>
      <c r="BO2710">
        <v>0</v>
      </c>
      <c r="BP2710">
        <v>0</v>
      </c>
      <c r="BW2710" t="str">
        <f t="shared" si="1499"/>
        <v>14:55:41.924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119</v>
      </c>
      <c r="CQ2710">
        <v>285</v>
      </c>
      <c r="CR2710">
        <v>0</v>
      </c>
      <c r="CW2710">
        <v>8869682</v>
      </c>
      <c r="CY2710">
        <v>0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25">
      <c r="A2711" t="str">
        <f t="shared" si="1497"/>
        <v>06/05/2020 14:55:36.288</v>
      </c>
      <c r="C2711" t="str">
        <f t="shared" si="1470"/>
        <v>FFDFD3C0</v>
      </c>
      <c r="D2711" t="s">
        <v>148</v>
      </c>
      <c r="E2711">
        <v>8</v>
      </c>
      <c r="H2711">
        <v>50</v>
      </c>
      <c r="I2711" t="s">
        <v>149</v>
      </c>
      <c r="J2711" t="s">
        <v>150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498"/>
        <v>14:55:41.922</v>
      </c>
      <c r="T2711" t="str">
        <f t="shared" si="1498"/>
        <v>14:55:41.922</v>
      </c>
      <c r="U2711" t="str">
        <f t="shared" si="1487"/>
        <v>ACC530</v>
      </c>
      <c r="V2711">
        <v>0</v>
      </c>
      <c r="W2711">
        <v>0</v>
      </c>
      <c r="X2711">
        <v>1</v>
      </c>
      <c r="Z2711">
        <v>0</v>
      </c>
      <c r="AA2711">
        <v>9</v>
      </c>
      <c r="AB2711">
        <v>3</v>
      </c>
      <c r="AC2711">
        <v>0</v>
      </c>
      <c r="AD2711">
        <v>9</v>
      </c>
      <c r="AE2711">
        <v>0</v>
      </c>
      <c r="AF2711">
        <v>3</v>
      </c>
      <c r="AG2711">
        <v>1</v>
      </c>
      <c r="AH2711">
        <v>0</v>
      </c>
      <c r="AI2711" t="s">
        <v>944</v>
      </c>
      <c r="AJ2711">
        <v>34.130895000000002</v>
      </c>
      <c r="AK2711" t="s">
        <v>945</v>
      </c>
      <c r="AL2711">
        <v>-117.057846</v>
      </c>
      <c r="AM2711">
        <v>100</v>
      </c>
      <c r="AN2711">
        <v>6600</v>
      </c>
      <c r="AO2711" t="s">
        <v>118</v>
      </c>
      <c r="AP2711">
        <v>-8</v>
      </c>
      <c r="AQ2711">
        <v>-106</v>
      </c>
      <c r="AR2711">
        <v>-576</v>
      </c>
      <c r="AZ2711">
        <v>1200</v>
      </c>
      <c r="BA2711">
        <v>1</v>
      </c>
      <c r="BB2711" t="str">
        <f t="shared" si="1488"/>
        <v xml:space="preserve">N9217B  </v>
      </c>
      <c r="BC2711">
        <v>1</v>
      </c>
      <c r="BE2711">
        <v>0</v>
      </c>
      <c r="BF2711">
        <v>0</v>
      </c>
      <c r="BG2711">
        <v>0</v>
      </c>
      <c r="BH2711">
        <v>6475</v>
      </c>
      <c r="BI2711">
        <v>1</v>
      </c>
      <c r="BJ2711">
        <v>0</v>
      </c>
      <c r="BK2711">
        <v>0</v>
      </c>
      <c r="BL2711">
        <v>0</v>
      </c>
      <c r="BO2711">
        <v>0</v>
      </c>
      <c r="BP2711">
        <v>0</v>
      </c>
      <c r="BW2711" t="str">
        <f t="shared" si="1499"/>
        <v>14:55:41.924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7</v>
      </c>
      <c r="CP2711" t="s">
        <v>119</v>
      </c>
      <c r="CQ2711">
        <v>285</v>
      </c>
      <c r="CR2711">
        <v>0</v>
      </c>
      <c r="CW2711">
        <v>8869682</v>
      </c>
      <c r="CY2711">
        <v>0</v>
      </c>
      <c r="CZ2711">
        <v>0</v>
      </c>
      <c r="DA2711">
        <v>1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25">
      <c r="A2712" t="str">
        <f t="shared" si="1497"/>
        <v>06/05/2020 14:55:36.288</v>
      </c>
      <c r="C2712" t="str">
        <f t="shared" si="1470"/>
        <v>FFDFD3C0</v>
      </c>
      <c r="D2712" t="s">
        <v>151</v>
      </c>
      <c r="E2712">
        <v>8</v>
      </c>
      <c r="H2712">
        <v>225</v>
      </c>
      <c r="I2712" t="s">
        <v>353</v>
      </c>
      <c r="J2712" t="s">
        <v>150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498"/>
        <v>14:55:41.922</v>
      </c>
      <c r="T2712" t="str">
        <f t="shared" si="1498"/>
        <v>14:55:41.922</v>
      </c>
      <c r="U2712" t="str">
        <f t="shared" si="1487"/>
        <v>ACC530</v>
      </c>
      <c r="V2712">
        <v>0</v>
      </c>
      <c r="W2712">
        <v>0</v>
      </c>
      <c r="X2712">
        <v>1</v>
      </c>
      <c r="Z2712">
        <v>0</v>
      </c>
      <c r="AA2712">
        <v>9</v>
      </c>
      <c r="AB2712">
        <v>3</v>
      </c>
      <c r="AC2712">
        <v>0</v>
      </c>
      <c r="AD2712">
        <v>9</v>
      </c>
      <c r="AE2712">
        <v>0</v>
      </c>
      <c r="AF2712">
        <v>3</v>
      </c>
      <c r="AG2712">
        <v>1</v>
      </c>
      <c r="AH2712">
        <v>0</v>
      </c>
      <c r="AI2712" t="s">
        <v>944</v>
      </c>
      <c r="AJ2712">
        <v>34.130895000000002</v>
      </c>
      <c r="AK2712" t="s">
        <v>945</v>
      </c>
      <c r="AL2712">
        <v>-117.057846</v>
      </c>
      <c r="AM2712">
        <v>100</v>
      </c>
      <c r="AN2712">
        <v>6600</v>
      </c>
      <c r="AO2712" t="s">
        <v>118</v>
      </c>
      <c r="AP2712">
        <v>-8</v>
      </c>
      <c r="AQ2712">
        <v>-106</v>
      </c>
      <c r="AR2712">
        <v>-576</v>
      </c>
      <c r="AZ2712">
        <v>1200</v>
      </c>
      <c r="BA2712">
        <v>1</v>
      </c>
      <c r="BB2712" t="str">
        <f t="shared" si="1488"/>
        <v xml:space="preserve">N9217B  </v>
      </c>
      <c r="BC2712">
        <v>1</v>
      </c>
      <c r="BE2712">
        <v>0</v>
      </c>
      <c r="BF2712">
        <v>0</v>
      </c>
      <c r="BG2712">
        <v>0</v>
      </c>
      <c r="BH2712">
        <v>6475</v>
      </c>
      <c r="BI2712">
        <v>1</v>
      </c>
      <c r="BJ2712">
        <v>0</v>
      </c>
      <c r="BK2712">
        <v>0</v>
      </c>
      <c r="BL2712">
        <v>0</v>
      </c>
      <c r="BO2712">
        <v>0</v>
      </c>
      <c r="BP2712">
        <v>0</v>
      </c>
      <c r="BW2712" t="str">
        <f t="shared" si="1499"/>
        <v>14:55:41.924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7</v>
      </c>
      <c r="CP2712" t="s">
        <v>119</v>
      </c>
      <c r="CQ2712">
        <v>285</v>
      </c>
      <c r="CR2712">
        <v>0</v>
      </c>
      <c r="CW2712">
        <v>8869682</v>
      </c>
      <c r="CY2712">
        <v>0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25">
      <c r="A2713" t="str">
        <f t="shared" si="1497"/>
        <v>06/05/2020 14:55:36.288</v>
      </c>
      <c r="C2713" t="str">
        <f t="shared" si="1470"/>
        <v>FFDFD3C0</v>
      </c>
      <c r="D2713" t="s">
        <v>151</v>
      </c>
      <c r="E2713">
        <v>9</v>
      </c>
      <c r="H2713">
        <v>226</v>
      </c>
      <c r="I2713" t="s">
        <v>152</v>
      </c>
      <c r="J2713" t="s">
        <v>150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498"/>
        <v>14:55:41.922</v>
      </c>
      <c r="T2713" t="str">
        <f t="shared" si="1498"/>
        <v>14:55:41.922</v>
      </c>
      <c r="U2713" t="str">
        <f t="shared" si="1487"/>
        <v>ACC530</v>
      </c>
      <c r="V2713">
        <v>0</v>
      </c>
      <c r="W2713">
        <v>0</v>
      </c>
      <c r="X2713">
        <v>1</v>
      </c>
      <c r="Z2713">
        <v>0</v>
      </c>
      <c r="AA2713">
        <v>9</v>
      </c>
      <c r="AB2713">
        <v>3</v>
      </c>
      <c r="AC2713">
        <v>0</v>
      </c>
      <c r="AD2713">
        <v>9</v>
      </c>
      <c r="AE2713">
        <v>0</v>
      </c>
      <c r="AF2713">
        <v>3</v>
      </c>
      <c r="AG2713">
        <v>1</v>
      </c>
      <c r="AH2713">
        <v>0</v>
      </c>
      <c r="AI2713" t="s">
        <v>944</v>
      </c>
      <c r="AJ2713">
        <v>34.130895000000002</v>
      </c>
      <c r="AK2713" t="s">
        <v>945</v>
      </c>
      <c r="AL2713">
        <v>-117.057846</v>
      </c>
      <c r="AM2713">
        <v>100</v>
      </c>
      <c r="AN2713">
        <v>6600</v>
      </c>
      <c r="AO2713" t="s">
        <v>118</v>
      </c>
      <c r="AP2713">
        <v>-8</v>
      </c>
      <c r="AQ2713">
        <v>-106</v>
      </c>
      <c r="AR2713">
        <v>-576</v>
      </c>
      <c r="AZ2713">
        <v>1200</v>
      </c>
      <c r="BA2713">
        <v>1</v>
      </c>
      <c r="BB2713" t="str">
        <f t="shared" si="1488"/>
        <v xml:space="preserve">N9217B  </v>
      </c>
      <c r="BC2713">
        <v>1</v>
      </c>
      <c r="BE2713">
        <v>0</v>
      </c>
      <c r="BF2713">
        <v>0</v>
      </c>
      <c r="BG2713">
        <v>0</v>
      </c>
      <c r="BH2713">
        <v>6475</v>
      </c>
      <c r="BI2713">
        <v>1</v>
      </c>
      <c r="BJ2713">
        <v>0</v>
      </c>
      <c r="BK2713">
        <v>0</v>
      </c>
      <c r="BL2713">
        <v>0</v>
      </c>
      <c r="BO2713">
        <v>0</v>
      </c>
      <c r="BP2713">
        <v>0</v>
      </c>
      <c r="BW2713" t="str">
        <f t="shared" si="1499"/>
        <v>14:55:41.924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7</v>
      </c>
      <c r="CP2713" t="s">
        <v>119</v>
      </c>
      <c r="CQ2713">
        <v>285</v>
      </c>
      <c r="CR2713">
        <v>0</v>
      </c>
      <c r="CW2713">
        <v>8869682</v>
      </c>
      <c r="CY2713">
        <v>0</v>
      </c>
      <c r="CZ2713">
        <v>0</v>
      </c>
      <c r="DA2713">
        <v>1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25">
      <c r="A2714" t="str">
        <f t="shared" si="1497"/>
        <v>06/05/2020 14:55:36.288</v>
      </c>
      <c r="C2714" t="str">
        <f t="shared" si="1470"/>
        <v>FFDFD3C0</v>
      </c>
      <c r="D2714" t="s">
        <v>148</v>
      </c>
      <c r="E2714">
        <v>11</v>
      </c>
      <c r="H2714">
        <v>53</v>
      </c>
      <c r="I2714" t="s">
        <v>364</v>
      </c>
      <c r="J2714" t="s">
        <v>150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498"/>
        <v>14:55:41.922</v>
      </c>
      <c r="T2714" t="str">
        <f t="shared" si="1498"/>
        <v>14:55:41.922</v>
      </c>
      <c r="U2714" t="str">
        <f t="shared" si="1487"/>
        <v>ACC530</v>
      </c>
      <c r="V2714">
        <v>0</v>
      </c>
      <c r="W2714">
        <v>0</v>
      </c>
      <c r="X2714">
        <v>1</v>
      </c>
      <c r="Z2714">
        <v>0</v>
      </c>
      <c r="AA2714">
        <v>9</v>
      </c>
      <c r="AB2714">
        <v>3</v>
      </c>
      <c r="AC2714">
        <v>0</v>
      </c>
      <c r="AD2714">
        <v>9</v>
      </c>
      <c r="AE2714">
        <v>0</v>
      </c>
      <c r="AF2714">
        <v>3</v>
      </c>
      <c r="AG2714">
        <v>1</v>
      </c>
      <c r="AH2714">
        <v>0</v>
      </c>
      <c r="AI2714" t="s">
        <v>944</v>
      </c>
      <c r="AJ2714">
        <v>34.130895000000002</v>
      </c>
      <c r="AK2714" t="s">
        <v>945</v>
      </c>
      <c r="AL2714">
        <v>-117.057846</v>
      </c>
      <c r="AM2714">
        <v>100</v>
      </c>
      <c r="AN2714">
        <v>6600</v>
      </c>
      <c r="AO2714" t="s">
        <v>118</v>
      </c>
      <c r="AP2714">
        <v>-8</v>
      </c>
      <c r="AQ2714">
        <v>-106</v>
      </c>
      <c r="AR2714">
        <v>-576</v>
      </c>
      <c r="AZ2714">
        <v>1200</v>
      </c>
      <c r="BA2714">
        <v>1</v>
      </c>
      <c r="BB2714" t="str">
        <f t="shared" si="1488"/>
        <v xml:space="preserve">N9217B  </v>
      </c>
      <c r="BC2714">
        <v>1</v>
      </c>
      <c r="BE2714">
        <v>0</v>
      </c>
      <c r="BF2714">
        <v>0</v>
      </c>
      <c r="BG2714">
        <v>0</v>
      </c>
      <c r="BH2714">
        <v>6475</v>
      </c>
      <c r="BI2714">
        <v>1</v>
      </c>
      <c r="BJ2714">
        <v>0</v>
      </c>
      <c r="BK2714">
        <v>0</v>
      </c>
      <c r="BL2714">
        <v>0</v>
      </c>
      <c r="BO2714">
        <v>0</v>
      </c>
      <c r="BP2714">
        <v>0</v>
      </c>
      <c r="BW2714" t="str">
        <f t="shared" si="1499"/>
        <v>14:55:41.924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119</v>
      </c>
      <c r="CQ2714">
        <v>285</v>
      </c>
      <c r="CR2714">
        <v>0</v>
      </c>
      <c r="CW2714">
        <v>8869682</v>
      </c>
      <c r="CY2714">
        <v>0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25">
      <c r="A2715" t="str">
        <f t="shared" ref="A2715:A2721" si="1500">"06/05/2020 14:55:37.281"</f>
        <v>06/05/2020 14:55:37.281</v>
      </c>
      <c r="C2715" t="str">
        <f t="shared" si="1470"/>
        <v>FFDFD3C0</v>
      </c>
      <c r="D2715" t="s">
        <v>151</v>
      </c>
      <c r="E2715">
        <v>8</v>
      </c>
      <c r="H2715">
        <v>225</v>
      </c>
      <c r="I2715" t="s">
        <v>353</v>
      </c>
      <c r="J2715" t="s">
        <v>150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ref="S2715:S2721" si="1501">"14:55:42.922"</f>
        <v>14:55:42.922</v>
      </c>
      <c r="T2715" t="str">
        <f t="shared" ref="T2715:T2721" si="1502">"14:55:42.722"</f>
        <v>14:55:42.722</v>
      </c>
      <c r="U2715" t="str">
        <f t="shared" si="1487"/>
        <v>ACC530</v>
      </c>
      <c r="V2715">
        <v>0</v>
      </c>
      <c r="W2715">
        <v>0</v>
      </c>
      <c r="X2715">
        <v>1</v>
      </c>
      <c r="Z2715">
        <v>0</v>
      </c>
      <c r="AA2715">
        <v>9</v>
      </c>
      <c r="AB2715">
        <v>3</v>
      </c>
      <c r="AC2715">
        <v>0</v>
      </c>
      <c r="AD2715">
        <v>9</v>
      </c>
      <c r="AE2715">
        <v>0</v>
      </c>
      <c r="AF2715">
        <v>3</v>
      </c>
      <c r="AG2715">
        <v>1</v>
      </c>
      <c r="AH2715">
        <v>0</v>
      </c>
      <c r="AI2715" t="s">
        <v>946</v>
      </c>
      <c r="AJ2715">
        <v>34.130401999999997</v>
      </c>
      <c r="AK2715" t="s">
        <v>947</v>
      </c>
      <c r="AL2715">
        <v>-117.057867</v>
      </c>
      <c r="AM2715">
        <v>100</v>
      </c>
      <c r="AN2715">
        <v>6600</v>
      </c>
      <c r="AO2715" t="s">
        <v>118</v>
      </c>
      <c r="AP2715">
        <v>-6</v>
      </c>
      <c r="AQ2715">
        <v>-106</v>
      </c>
      <c r="AR2715">
        <v>-576</v>
      </c>
      <c r="AZ2715">
        <v>1200</v>
      </c>
      <c r="BA2715">
        <v>1</v>
      </c>
      <c r="BB2715" t="str">
        <f t="shared" si="1488"/>
        <v xml:space="preserve">N9217B  </v>
      </c>
      <c r="BC2715">
        <v>1</v>
      </c>
      <c r="BE2715">
        <v>0</v>
      </c>
      <c r="BF2715">
        <v>0</v>
      </c>
      <c r="BG2715">
        <v>0</v>
      </c>
      <c r="BH2715">
        <v>6475</v>
      </c>
      <c r="BI2715">
        <v>1</v>
      </c>
      <c r="BJ2715">
        <v>0</v>
      </c>
      <c r="BK2715">
        <v>0</v>
      </c>
      <c r="BL2715">
        <v>0</v>
      </c>
      <c r="BO2715">
        <v>0</v>
      </c>
      <c r="BP2715">
        <v>0</v>
      </c>
      <c r="BW2715" t="str">
        <f t="shared" ref="BW2715:BW2721" si="1503">"14:55:42.928"</f>
        <v>14:55:42.928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119</v>
      </c>
      <c r="CQ2715">
        <v>285</v>
      </c>
      <c r="CR2715">
        <v>0</v>
      </c>
      <c r="CW2715">
        <v>8869776</v>
      </c>
      <c r="CY2715">
        <v>0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25">
      <c r="A2716" t="str">
        <f t="shared" si="1500"/>
        <v>06/05/2020 14:55:37.281</v>
      </c>
      <c r="C2716" t="str">
        <f t="shared" si="1470"/>
        <v>FFDFD3C0</v>
      </c>
      <c r="D2716" t="s">
        <v>148</v>
      </c>
      <c r="E2716">
        <v>11</v>
      </c>
      <c r="H2716">
        <v>53</v>
      </c>
      <c r="I2716" t="s">
        <v>364</v>
      </c>
      <c r="J2716" t="s">
        <v>150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501"/>
        <v>14:55:42.922</v>
      </c>
      <c r="T2716" t="str">
        <f t="shared" si="1502"/>
        <v>14:55:42.722</v>
      </c>
      <c r="U2716" t="str">
        <f t="shared" si="1487"/>
        <v>ACC530</v>
      </c>
      <c r="V2716">
        <v>0</v>
      </c>
      <c r="W2716">
        <v>0</v>
      </c>
      <c r="X2716">
        <v>1</v>
      </c>
      <c r="Z2716">
        <v>0</v>
      </c>
      <c r="AA2716">
        <v>9</v>
      </c>
      <c r="AB2716">
        <v>3</v>
      </c>
      <c r="AC2716">
        <v>0</v>
      </c>
      <c r="AD2716">
        <v>9</v>
      </c>
      <c r="AE2716">
        <v>0</v>
      </c>
      <c r="AF2716">
        <v>3</v>
      </c>
      <c r="AG2716">
        <v>1</v>
      </c>
      <c r="AH2716">
        <v>0</v>
      </c>
      <c r="AI2716" t="s">
        <v>946</v>
      </c>
      <c r="AJ2716">
        <v>34.130401999999997</v>
      </c>
      <c r="AK2716" t="s">
        <v>947</v>
      </c>
      <c r="AL2716">
        <v>-117.057867</v>
      </c>
      <c r="AM2716">
        <v>100</v>
      </c>
      <c r="AN2716">
        <v>6600</v>
      </c>
      <c r="AO2716" t="s">
        <v>118</v>
      </c>
      <c r="AP2716">
        <v>-6</v>
      </c>
      <c r="AQ2716">
        <v>-106</v>
      </c>
      <c r="AR2716">
        <v>-576</v>
      </c>
      <c r="AZ2716">
        <v>1200</v>
      </c>
      <c r="BA2716">
        <v>1</v>
      </c>
      <c r="BB2716" t="str">
        <f t="shared" si="1488"/>
        <v xml:space="preserve">N9217B  </v>
      </c>
      <c r="BC2716">
        <v>1</v>
      </c>
      <c r="BE2716">
        <v>0</v>
      </c>
      <c r="BF2716">
        <v>0</v>
      </c>
      <c r="BG2716">
        <v>0</v>
      </c>
      <c r="BH2716">
        <v>6475</v>
      </c>
      <c r="BI2716">
        <v>1</v>
      </c>
      <c r="BJ2716">
        <v>0</v>
      </c>
      <c r="BK2716">
        <v>0</v>
      </c>
      <c r="BL2716">
        <v>0</v>
      </c>
      <c r="BO2716">
        <v>0</v>
      </c>
      <c r="BP2716">
        <v>0</v>
      </c>
      <c r="BW2716" t="str">
        <f t="shared" si="1503"/>
        <v>14:55:42.928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285</v>
      </c>
      <c r="CR2716">
        <v>0</v>
      </c>
      <c r="CW2716">
        <v>8869776</v>
      </c>
      <c r="CY2716">
        <v>0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25">
      <c r="A2717" t="str">
        <f t="shared" si="1500"/>
        <v>06/05/2020 14:55:37.281</v>
      </c>
      <c r="C2717" t="str">
        <f t="shared" si="1470"/>
        <v>FFDFD3C0</v>
      </c>
      <c r="D2717" t="s">
        <v>151</v>
      </c>
      <c r="E2717">
        <v>9</v>
      </c>
      <c r="H2717">
        <v>226</v>
      </c>
      <c r="I2717" t="s">
        <v>152</v>
      </c>
      <c r="J2717" t="s">
        <v>150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501"/>
        <v>14:55:42.922</v>
      </c>
      <c r="T2717" t="str">
        <f t="shared" si="1502"/>
        <v>14:55:42.722</v>
      </c>
      <c r="U2717" t="str">
        <f t="shared" si="1487"/>
        <v>ACC530</v>
      </c>
      <c r="V2717">
        <v>0</v>
      </c>
      <c r="W2717">
        <v>0</v>
      </c>
      <c r="X2717">
        <v>1</v>
      </c>
      <c r="Z2717">
        <v>0</v>
      </c>
      <c r="AA2717">
        <v>9</v>
      </c>
      <c r="AB2717">
        <v>3</v>
      </c>
      <c r="AC2717">
        <v>0</v>
      </c>
      <c r="AD2717">
        <v>9</v>
      </c>
      <c r="AE2717">
        <v>0</v>
      </c>
      <c r="AF2717">
        <v>3</v>
      </c>
      <c r="AG2717">
        <v>1</v>
      </c>
      <c r="AH2717">
        <v>0</v>
      </c>
      <c r="AI2717" t="s">
        <v>946</v>
      </c>
      <c r="AJ2717">
        <v>34.130401999999997</v>
      </c>
      <c r="AK2717" t="s">
        <v>947</v>
      </c>
      <c r="AL2717">
        <v>-117.057867</v>
      </c>
      <c r="AM2717">
        <v>100</v>
      </c>
      <c r="AN2717">
        <v>6600</v>
      </c>
      <c r="AO2717" t="s">
        <v>118</v>
      </c>
      <c r="AP2717">
        <v>-6</v>
      </c>
      <c r="AQ2717">
        <v>-106</v>
      </c>
      <c r="AR2717">
        <v>-576</v>
      </c>
      <c r="AZ2717">
        <v>1200</v>
      </c>
      <c r="BA2717">
        <v>1</v>
      </c>
      <c r="BB2717" t="str">
        <f t="shared" si="1488"/>
        <v xml:space="preserve">N9217B  </v>
      </c>
      <c r="BC2717">
        <v>1</v>
      </c>
      <c r="BE2717">
        <v>0</v>
      </c>
      <c r="BF2717">
        <v>0</v>
      </c>
      <c r="BG2717">
        <v>0</v>
      </c>
      <c r="BH2717">
        <v>6475</v>
      </c>
      <c r="BI2717">
        <v>1</v>
      </c>
      <c r="BJ2717">
        <v>0</v>
      </c>
      <c r="BK2717">
        <v>0</v>
      </c>
      <c r="BL2717">
        <v>0</v>
      </c>
      <c r="BO2717">
        <v>0</v>
      </c>
      <c r="BP2717">
        <v>0</v>
      </c>
      <c r="BW2717" t="str">
        <f t="shared" si="1503"/>
        <v>14:55:42.928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7</v>
      </c>
      <c r="CP2717" t="s">
        <v>119</v>
      </c>
      <c r="CQ2717">
        <v>285</v>
      </c>
      <c r="CR2717">
        <v>0</v>
      </c>
      <c r="CW2717">
        <v>8869776</v>
      </c>
      <c r="CY2717">
        <v>0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25">
      <c r="A2718" t="str">
        <f t="shared" si="1500"/>
        <v>06/05/2020 14:55:37.281</v>
      </c>
      <c r="C2718" t="str">
        <f t="shared" si="1470"/>
        <v>FFDFD3C0</v>
      </c>
      <c r="D2718" t="s">
        <v>113</v>
      </c>
      <c r="E2718">
        <v>3</v>
      </c>
      <c r="H2718">
        <v>166</v>
      </c>
      <c r="I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501"/>
        <v>14:55:42.922</v>
      </c>
      <c r="T2718" t="str">
        <f t="shared" si="1502"/>
        <v>14:55:42.722</v>
      </c>
      <c r="U2718" t="str">
        <f t="shared" si="1487"/>
        <v>ACC530</v>
      </c>
      <c r="V2718">
        <v>0</v>
      </c>
      <c r="W2718">
        <v>0</v>
      </c>
      <c r="X2718">
        <v>1</v>
      </c>
      <c r="Z2718">
        <v>0</v>
      </c>
      <c r="AA2718">
        <v>9</v>
      </c>
      <c r="AB2718">
        <v>3</v>
      </c>
      <c r="AC2718">
        <v>0</v>
      </c>
      <c r="AD2718">
        <v>9</v>
      </c>
      <c r="AE2718">
        <v>0</v>
      </c>
      <c r="AF2718">
        <v>3</v>
      </c>
      <c r="AG2718">
        <v>1</v>
      </c>
      <c r="AH2718">
        <v>0</v>
      </c>
      <c r="AI2718" t="s">
        <v>946</v>
      </c>
      <c r="AJ2718">
        <v>34.130401999999997</v>
      </c>
      <c r="AK2718" t="s">
        <v>947</v>
      </c>
      <c r="AL2718">
        <v>-117.057867</v>
      </c>
      <c r="AM2718">
        <v>100</v>
      </c>
      <c r="AN2718">
        <v>6600</v>
      </c>
      <c r="AO2718" t="s">
        <v>118</v>
      </c>
      <c r="AP2718">
        <v>-6</v>
      </c>
      <c r="AQ2718">
        <v>-106</v>
      </c>
      <c r="AR2718">
        <v>-576</v>
      </c>
      <c r="AZ2718">
        <v>1200</v>
      </c>
      <c r="BA2718">
        <v>1</v>
      </c>
      <c r="BB2718" t="str">
        <f t="shared" si="1488"/>
        <v xml:space="preserve">N9217B  </v>
      </c>
      <c r="BC2718">
        <v>1</v>
      </c>
      <c r="BE2718">
        <v>0</v>
      </c>
      <c r="BF2718">
        <v>0</v>
      </c>
      <c r="BG2718">
        <v>0</v>
      </c>
      <c r="BH2718">
        <v>6475</v>
      </c>
      <c r="BI2718">
        <v>1</v>
      </c>
      <c r="BJ2718">
        <v>0</v>
      </c>
      <c r="BK2718">
        <v>0</v>
      </c>
      <c r="BL2718">
        <v>0</v>
      </c>
      <c r="BO2718">
        <v>0</v>
      </c>
      <c r="BP2718">
        <v>0</v>
      </c>
      <c r="BW2718" t="str">
        <f t="shared" si="1503"/>
        <v>14:55:42.928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7</v>
      </c>
      <c r="CP2718" t="s">
        <v>119</v>
      </c>
      <c r="CQ2718">
        <v>285</v>
      </c>
      <c r="CR2718">
        <v>0</v>
      </c>
      <c r="CW2718">
        <v>8869776</v>
      </c>
      <c r="CY2718">
        <v>0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25">
      <c r="A2719" t="str">
        <f t="shared" si="1500"/>
        <v>06/05/2020 14:55:37.281</v>
      </c>
      <c r="C2719" t="str">
        <f t="shared" si="1470"/>
        <v>FFDFD3C0</v>
      </c>
      <c r="D2719" t="s">
        <v>134</v>
      </c>
      <c r="E2719">
        <v>7</v>
      </c>
      <c r="F2719">
        <v>2007</v>
      </c>
      <c r="G2719" t="s">
        <v>135</v>
      </c>
      <c r="J2719" t="s">
        <v>136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501"/>
        <v>14:55:42.922</v>
      </c>
      <c r="T2719" t="str">
        <f t="shared" si="1502"/>
        <v>14:55:42.722</v>
      </c>
      <c r="U2719" t="str">
        <f t="shared" si="1487"/>
        <v>ACC530</v>
      </c>
      <c r="V2719">
        <v>0</v>
      </c>
      <c r="W2719">
        <v>0</v>
      </c>
      <c r="X2719">
        <v>1</v>
      </c>
      <c r="Z2719">
        <v>0</v>
      </c>
      <c r="AA2719">
        <v>9</v>
      </c>
      <c r="AB2719">
        <v>3</v>
      </c>
      <c r="AC2719">
        <v>0</v>
      </c>
      <c r="AD2719">
        <v>9</v>
      </c>
      <c r="AE2719">
        <v>0</v>
      </c>
      <c r="AF2719">
        <v>3</v>
      </c>
      <c r="AG2719">
        <v>1</v>
      </c>
      <c r="AH2719">
        <v>0</v>
      </c>
      <c r="AI2719" t="s">
        <v>946</v>
      </c>
      <c r="AJ2719">
        <v>34.130401999999997</v>
      </c>
      <c r="AK2719" t="s">
        <v>947</v>
      </c>
      <c r="AL2719">
        <v>-117.057867</v>
      </c>
      <c r="AM2719">
        <v>100</v>
      </c>
      <c r="AN2719">
        <v>6600</v>
      </c>
      <c r="AO2719" t="s">
        <v>118</v>
      </c>
      <c r="AP2719">
        <v>-6</v>
      </c>
      <c r="AQ2719">
        <v>-106</v>
      </c>
      <c r="AR2719">
        <v>-576</v>
      </c>
      <c r="AZ2719">
        <v>1200</v>
      </c>
      <c r="BA2719">
        <v>1</v>
      </c>
      <c r="BB2719" t="str">
        <f t="shared" si="1488"/>
        <v xml:space="preserve">N9217B  </v>
      </c>
      <c r="BC2719">
        <v>1</v>
      </c>
      <c r="BE2719">
        <v>0</v>
      </c>
      <c r="BF2719">
        <v>0</v>
      </c>
      <c r="BG2719">
        <v>0</v>
      </c>
      <c r="BH2719">
        <v>6475</v>
      </c>
      <c r="BI2719">
        <v>1</v>
      </c>
      <c r="BJ2719">
        <v>0</v>
      </c>
      <c r="BK2719">
        <v>0</v>
      </c>
      <c r="BL2719">
        <v>0</v>
      </c>
      <c r="BO2719">
        <v>0</v>
      </c>
      <c r="BP2719">
        <v>0</v>
      </c>
      <c r="BW2719" t="str">
        <f t="shared" si="1503"/>
        <v>14:55:42.928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7</v>
      </c>
      <c r="CP2719" t="s">
        <v>119</v>
      </c>
      <c r="CQ2719">
        <v>285</v>
      </c>
      <c r="CR2719">
        <v>0</v>
      </c>
      <c r="CW2719">
        <v>8869776</v>
      </c>
      <c r="CY2719">
        <v>0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25">
      <c r="A2720" t="str">
        <f t="shared" si="1500"/>
        <v>06/05/2020 14:55:37.281</v>
      </c>
      <c r="C2720" t="str">
        <f t="shared" si="1470"/>
        <v>FFDFD3C0</v>
      </c>
      <c r="D2720" t="s">
        <v>141</v>
      </c>
      <c r="E2720">
        <v>20</v>
      </c>
      <c r="F2720">
        <v>1020</v>
      </c>
      <c r="G2720" t="s">
        <v>114</v>
      </c>
      <c r="J2720" t="s">
        <v>142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501"/>
        <v>14:55:42.922</v>
      </c>
      <c r="T2720" t="str">
        <f t="shared" si="1502"/>
        <v>14:55:42.722</v>
      </c>
      <c r="U2720" t="str">
        <f t="shared" si="1487"/>
        <v>ACC530</v>
      </c>
      <c r="V2720">
        <v>0</v>
      </c>
      <c r="W2720">
        <v>0</v>
      </c>
      <c r="X2720">
        <v>1</v>
      </c>
      <c r="Z2720">
        <v>0</v>
      </c>
      <c r="AA2720">
        <v>9</v>
      </c>
      <c r="AB2720">
        <v>3</v>
      </c>
      <c r="AC2720">
        <v>0</v>
      </c>
      <c r="AD2720">
        <v>9</v>
      </c>
      <c r="AE2720">
        <v>0</v>
      </c>
      <c r="AF2720">
        <v>3</v>
      </c>
      <c r="AG2720">
        <v>1</v>
      </c>
      <c r="AH2720">
        <v>0</v>
      </c>
      <c r="AI2720" t="s">
        <v>946</v>
      </c>
      <c r="AJ2720">
        <v>34.130401999999997</v>
      </c>
      <c r="AK2720" t="s">
        <v>947</v>
      </c>
      <c r="AL2720">
        <v>-117.057867</v>
      </c>
      <c r="AM2720">
        <v>100</v>
      </c>
      <c r="AN2720">
        <v>6600</v>
      </c>
      <c r="AO2720" t="s">
        <v>118</v>
      </c>
      <c r="AP2720">
        <v>-6</v>
      </c>
      <c r="AQ2720">
        <v>-106</v>
      </c>
      <c r="AR2720">
        <v>-576</v>
      </c>
      <c r="AZ2720">
        <v>1200</v>
      </c>
      <c r="BA2720">
        <v>1</v>
      </c>
      <c r="BB2720" t="str">
        <f t="shared" si="1488"/>
        <v xml:space="preserve">N9217B  </v>
      </c>
      <c r="BC2720">
        <v>1</v>
      </c>
      <c r="BE2720">
        <v>0</v>
      </c>
      <c r="BF2720">
        <v>0</v>
      </c>
      <c r="BG2720">
        <v>0</v>
      </c>
      <c r="BH2720">
        <v>6475</v>
      </c>
      <c r="BI2720">
        <v>1</v>
      </c>
      <c r="BJ2720">
        <v>0</v>
      </c>
      <c r="BK2720">
        <v>0</v>
      </c>
      <c r="BL2720">
        <v>0</v>
      </c>
      <c r="BO2720">
        <v>0</v>
      </c>
      <c r="BP2720">
        <v>0</v>
      </c>
      <c r="BW2720" t="str">
        <f t="shared" si="1503"/>
        <v>14:55:42.928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119</v>
      </c>
      <c r="CQ2720">
        <v>285</v>
      </c>
      <c r="CR2720">
        <v>0</v>
      </c>
      <c r="CW2720">
        <v>8869776</v>
      </c>
      <c r="CY2720">
        <v>0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25">
      <c r="A2721" t="str">
        <f t="shared" si="1500"/>
        <v>06/05/2020 14:55:37.281</v>
      </c>
      <c r="C2721" t="str">
        <f t="shared" si="1470"/>
        <v>FFDFD3C0</v>
      </c>
      <c r="D2721" t="s">
        <v>148</v>
      </c>
      <c r="E2721">
        <v>8</v>
      </c>
      <c r="H2721">
        <v>50</v>
      </c>
      <c r="I2721" t="s">
        <v>149</v>
      </c>
      <c r="J2721" t="s">
        <v>150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501"/>
        <v>14:55:42.922</v>
      </c>
      <c r="T2721" t="str">
        <f t="shared" si="1502"/>
        <v>14:55:42.722</v>
      </c>
      <c r="U2721" t="str">
        <f t="shared" si="1487"/>
        <v>ACC530</v>
      </c>
      <c r="V2721">
        <v>0</v>
      </c>
      <c r="W2721">
        <v>0</v>
      </c>
      <c r="X2721">
        <v>1</v>
      </c>
      <c r="Z2721">
        <v>0</v>
      </c>
      <c r="AA2721">
        <v>9</v>
      </c>
      <c r="AB2721">
        <v>3</v>
      </c>
      <c r="AC2721">
        <v>0</v>
      </c>
      <c r="AD2721">
        <v>9</v>
      </c>
      <c r="AE2721">
        <v>0</v>
      </c>
      <c r="AF2721">
        <v>3</v>
      </c>
      <c r="AG2721">
        <v>1</v>
      </c>
      <c r="AH2721">
        <v>0</v>
      </c>
      <c r="AI2721" t="s">
        <v>946</v>
      </c>
      <c r="AJ2721">
        <v>34.130401999999997</v>
      </c>
      <c r="AK2721" t="s">
        <v>947</v>
      </c>
      <c r="AL2721">
        <v>-117.057867</v>
      </c>
      <c r="AM2721">
        <v>100</v>
      </c>
      <c r="AN2721">
        <v>6600</v>
      </c>
      <c r="AO2721" t="s">
        <v>118</v>
      </c>
      <c r="AP2721">
        <v>-6</v>
      </c>
      <c r="AQ2721">
        <v>-106</v>
      </c>
      <c r="AR2721">
        <v>-576</v>
      </c>
      <c r="AZ2721">
        <v>1200</v>
      </c>
      <c r="BA2721">
        <v>1</v>
      </c>
      <c r="BB2721" t="str">
        <f t="shared" si="1488"/>
        <v xml:space="preserve">N9217B  </v>
      </c>
      <c r="BC2721">
        <v>1</v>
      </c>
      <c r="BE2721">
        <v>0</v>
      </c>
      <c r="BF2721">
        <v>0</v>
      </c>
      <c r="BG2721">
        <v>0</v>
      </c>
      <c r="BH2721">
        <v>6475</v>
      </c>
      <c r="BI2721">
        <v>1</v>
      </c>
      <c r="BJ2721">
        <v>0</v>
      </c>
      <c r="BK2721">
        <v>0</v>
      </c>
      <c r="BL2721">
        <v>0</v>
      </c>
      <c r="BO2721">
        <v>0</v>
      </c>
      <c r="BP2721">
        <v>0</v>
      </c>
      <c r="BW2721" t="str">
        <f t="shared" si="1503"/>
        <v>14:55:42.928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119</v>
      </c>
      <c r="CQ2721">
        <v>285</v>
      </c>
      <c r="CR2721">
        <v>0</v>
      </c>
      <c r="CW2721">
        <v>8869776</v>
      </c>
      <c r="CY2721">
        <v>0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25">
      <c r="A2722" t="str">
        <f>"06/05/2020 14:55:38.369"</f>
        <v>06/05/2020 14:55:38.369</v>
      </c>
      <c r="C2722" t="str">
        <f t="shared" si="1470"/>
        <v>FFDFD3C0</v>
      </c>
      <c r="D2722" t="s">
        <v>141</v>
      </c>
      <c r="E2722">
        <v>20</v>
      </c>
      <c r="F2722">
        <v>1020</v>
      </c>
      <c r="G2722" t="s">
        <v>114</v>
      </c>
      <c r="J2722" t="s">
        <v>142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"14:55:44.023"</f>
        <v>14:55:44.023</v>
      </c>
      <c r="T2722" t="str">
        <f>"14:55:43.823"</f>
        <v>14:55:43.823</v>
      </c>
      <c r="U2722" t="str">
        <f t="shared" si="1487"/>
        <v>ACC530</v>
      </c>
      <c r="V2722">
        <v>0</v>
      </c>
      <c r="W2722">
        <v>0</v>
      </c>
      <c r="X2722">
        <v>1</v>
      </c>
      <c r="Z2722">
        <v>0</v>
      </c>
      <c r="AA2722">
        <v>9</v>
      </c>
      <c r="AB2722">
        <v>3</v>
      </c>
      <c r="AC2722">
        <v>0</v>
      </c>
      <c r="AD2722">
        <v>9</v>
      </c>
      <c r="AE2722">
        <v>0</v>
      </c>
      <c r="AF2722">
        <v>3</v>
      </c>
      <c r="AG2722">
        <v>1</v>
      </c>
      <c r="AH2722">
        <v>0</v>
      </c>
      <c r="AI2722" t="s">
        <v>948</v>
      </c>
      <c r="AJ2722">
        <v>34.129843999999999</v>
      </c>
      <c r="AK2722" t="s">
        <v>949</v>
      </c>
      <c r="AL2722">
        <v>-117.057974</v>
      </c>
      <c r="AM2722">
        <v>100</v>
      </c>
      <c r="AN2722">
        <v>6600</v>
      </c>
      <c r="AO2722" t="s">
        <v>118</v>
      </c>
      <c r="AP2722">
        <v>-4</v>
      </c>
      <c r="AQ2722">
        <v>-106</v>
      </c>
      <c r="AR2722">
        <v>-640</v>
      </c>
      <c r="AZ2722">
        <v>1200</v>
      </c>
      <c r="BA2722">
        <v>1</v>
      </c>
      <c r="BB2722" t="str">
        <f t="shared" si="1488"/>
        <v xml:space="preserve">N9217B  </v>
      </c>
      <c r="BC2722">
        <v>1</v>
      </c>
      <c r="BE2722">
        <v>0</v>
      </c>
      <c r="BF2722">
        <v>0</v>
      </c>
      <c r="BG2722">
        <v>0</v>
      </c>
      <c r="BH2722">
        <v>6450</v>
      </c>
      <c r="BI2722">
        <v>1</v>
      </c>
      <c r="BJ2722">
        <v>0</v>
      </c>
      <c r="BK2722">
        <v>0</v>
      </c>
      <c r="BL2722">
        <v>0</v>
      </c>
      <c r="BO2722">
        <v>0</v>
      </c>
      <c r="BP2722">
        <v>0</v>
      </c>
      <c r="BW2722" t="str">
        <f>"14:55:44.024"</f>
        <v>14:55:44.024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2</v>
      </c>
      <c r="CP2722" t="s">
        <v>119</v>
      </c>
      <c r="CQ2722">
        <v>295</v>
      </c>
      <c r="CR2722">
        <v>1</v>
      </c>
      <c r="CW2722">
        <v>12453025</v>
      </c>
      <c r="CY2722">
        <v>0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25">
      <c r="A2723" t="str">
        <f>"06/05/2020 14:55:38.369"</f>
        <v>06/05/2020 14:55:38.369</v>
      </c>
      <c r="C2723" t="str">
        <f t="shared" ref="C2723:C2786" si="1504">"FFDFD3C0"</f>
        <v>FFDFD3C0</v>
      </c>
      <c r="D2723" t="s">
        <v>148</v>
      </c>
      <c r="E2723">
        <v>8</v>
      </c>
      <c r="H2723">
        <v>50</v>
      </c>
      <c r="I2723" t="s">
        <v>149</v>
      </c>
      <c r="J2723" t="s">
        <v>150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"14:55:44.023"</f>
        <v>14:55:44.023</v>
      </c>
      <c r="T2723" t="str">
        <f>"14:55:43.823"</f>
        <v>14:55:43.823</v>
      </c>
      <c r="U2723" t="str">
        <f t="shared" si="1487"/>
        <v>ACC530</v>
      </c>
      <c r="V2723">
        <v>0</v>
      </c>
      <c r="W2723">
        <v>0</v>
      </c>
      <c r="X2723">
        <v>1</v>
      </c>
      <c r="Z2723">
        <v>0</v>
      </c>
      <c r="AA2723">
        <v>9</v>
      </c>
      <c r="AB2723">
        <v>3</v>
      </c>
      <c r="AC2723">
        <v>0</v>
      </c>
      <c r="AD2723">
        <v>9</v>
      </c>
      <c r="AE2723">
        <v>0</v>
      </c>
      <c r="AF2723">
        <v>3</v>
      </c>
      <c r="AG2723">
        <v>1</v>
      </c>
      <c r="AH2723">
        <v>0</v>
      </c>
      <c r="AI2723" t="s">
        <v>948</v>
      </c>
      <c r="AJ2723">
        <v>34.129843999999999</v>
      </c>
      <c r="AK2723" t="s">
        <v>949</v>
      </c>
      <c r="AL2723">
        <v>-117.057974</v>
      </c>
      <c r="AM2723">
        <v>100</v>
      </c>
      <c r="AN2723">
        <v>6600</v>
      </c>
      <c r="AO2723" t="s">
        <v>118</v>
      </c>
      <c r="AP2723">
        <v>-4</v>
      </c>
      <c r="AQ2723">
        <v>-106</v>
      </c>
      <c r="AR2723">
        <v>-640</v>
      </c>
      <c r="AZ2723">
        <v>1200</v>
      </c>
      <c r="BA2723">
        <v>1</v>
      </c>
      <c r="BB2723" t="str">
        <f t="shared" si="1488"/>
        <v xml:space="preserve">N9217B  </v>
      </c>
      <c r="BC2723">
        <v>1</v>
      </c>
      <c r="BE2723">
        <v>0</v>
      </c>
      <c r="BF2723">
        <v>0</v>
      </c>
      <c r="BG2723">
        <v>0</v>
      </c>
      <c r="BH2723">
        <v>6450</v>
      </c>
      <c r="BI2723">
        <v>1</v>
      </c>
      <c r="BJ2723">
        <v>0</v>
      </c>
      <c r="BK2723">
        <v>0</v>
      </c>
      <c r="BL2723">
        <v>0</v>
      </c>
      <c r="BO2723">
        <v>0</v>
      </c>
      <c r="BP2723">
        <v>0</v>
      </c>
      <c r="BW2723" t="str">
        <f>"14:55:44.024"</f>
        <v>14:55:44.024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2</v>
      </c>
      <c r="CP2723" t="s">
        <v>119</v>
      </c>
      <c r="CQ2723">
        <v>295</v>
      </c>
      <c r="CR2723">
        <v>1</v>
      </c>
      <c r="CW2723">
        <v>12453025</v>
      </c>
      <c r="CY2723">
        <v>0</v>
      </c>
      <c r="CZ2723">
        <v>0</v>
      </c>
      <c r="DA2723">
        <v>1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25">
      <c r="A2724" t="str">
        <f>"06/05/2020 14:55:38.369"</f>
        <v>06/05/2020 14:55:38.369</v>
      </c>
      <c r="C2724" t="str">
        <f t="shared" si="1504"/>
        <v>FFDFD3C0</v>
      </c>
      <c r="D2724" t="s">
        <v>113</v>
      </c>
      <c r="E2724">
        <v>3</v>
      </c>
      <c r="H2724">
        <v>166</v>
      </c>
      <c r="I2724" t="s">
        <v>114</v>
      </c>
      <c r="J2724" t="s">
        <v>115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"14:55:44.023"</f>
        <v>14:55:44.023</v>
      </c>
      <c r="T2724" t="str">
        <f>"14:55:43.823"</f>
        <v>14:55:43.823</v>
      </c>
      <c r="U2724" t="str">
        <f t="shared" si="1487"/>
        <v>ACC530</v>
      </c>
      <c r="V2724">
        <v>0</v>
      </c>
      <c r="W2724">
        <v>0</v>
      </c>
      <c r="X2724">
        <v>1</v>
      </c>
      <c r="Z2724">
        <v>0</v>
      </c>
      <c r="AA2724">
        <v>9</v>
      </c>
      <c r="AB2724">
        <v>3</v>
      </c>
      <c r="AC2724">
        <v>0</v>
      </c>
      <c r="AD2724">
        <v>9</v>
      </c>
      <c r="AE2724">
        <v>0</v>
      </c>
      <c r="AF2724">
        <v>3</v>
      </c>
      <c r="AG2724">
        <v>1</v>
      </c>
      <c r="AH2724">
        <v>0</v>
      </c>
      <c r="AI2724" t="s">
        <v>948</v>
      </c>
      <c r="AJ2724">
        <v>34.129843999999999</v>
      </c>
      <c r="AK2724" t="s">
        <v>949</v>
      </c>
      <c r="AL2724">
        <v>-117.057974</v>
      </c>
      <c r="AM2724">
        <v>100</v>
      </c>
      <c r="AN2724">
        <v>6600</v>
      </c>
      <c r="AO2724" t="s">
        <v>118</v>
      </c>
      <c r="AP2724">
        <v>-4</v>
      </c>
      <c r="AQ2724">
        <v>-106</v>
      </c>
      <c r="AR2724">
        <v>-640</v>
      </c>
      <c r="AZ2724">
        <v>1200</v>
      </c>
      <c r="BA2724">
        <v>1</v>
      </c>
      <c r="BB2724" t="str">
        <f t="shared" si="1488"/>
        <v xml:space="preserve">N9217B  </v>
      </c>
      <c r="BC2724">
        <v>1</v>
      </c>
      <c r="BE2724">
        <v>0</v>
      </c>
      <c r="BF2724">
        <v>0</v>
      </c>
      <c r="BG2724">
        <v>0</v>
      </c>
      <c r="BH2724">
        <v>6450</v>
      </c>
      <c r="BI2724">
        <v>1</v>
      </c>
      <c r="BJ2724">
        <v>0</v>
      </c>
      <c r="BK2724">
        <v>0</v>
      </c>
      <c r="BL2724">
        <v>0</v>
      </c>
      <c r="BO2724">
        <v>0</v>
      </c>
      <c r="BP2724">
        <v>0</v>
      </c>
      <c r="BW2724" t="str">
        <f>"14:55:44.024"</f>
        <v>14:55:44.024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2</v>
      </c>
      <c r="CP2724" t="s">
        <v>119</v>
      </c>
      <c r="CQ2724">
        <v>295</v>
      </c>
      <c r="CR2724">
        <v>1</v>
      </c>
      <c r="CW2724">
        <v>12453025</v>
      </c>
      <c r="CY2724">
        <v>0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25">
      <c r="A2725" t="str">
        <f>"06/05/2020 14:55:38.369"</f>
        <v>06/05/2020 14:55:38.369</v>
      </c>
      <c r="C2725" t="str">
        <f t="shared" si="1504"/>
        <v>FFDFD3C0</v>
      </c>
      <c r="D2725" t="s">
        <v>134</v>
      </c>
      <c r="E2725">
        <v>7</v>
      </c>
      <c r="F2725">
        <v>2007</v>
      </c>
      <c r="G2725" t="s">
        <v>135</v>
      </c>
      <c r="J2725" t="s">
        <v>136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"14:55:44.023"</f>
        <v>14:55:44.023</v>
      </c>
      <c r="T2725" t="str">
        <f>"14:55:43.823"</f>
        <v>14:55:43.823</v>
      </c>
      <c r="U2725" t="str">
        <f t="shared" si="1487"/>
        <v>ACC530</v>
      </c>
      <c r="V2725">
        <v>0</v>
      </c>
      <c r="W2725">
        <v>0</v>
      </c>
      <c r="X2725">
        <v>1</v>
      </c>
      <c r="Z2725">
        <v>0</v>
      </c>
      <c r="AA2725">
        <v>9</v>
      </c>
      <c r="AB2725">
        <v>3</v>
      </c>
      <c r="AC2725">
        <v>0</v>
      </c>
      <c r="AD2725">
        <v>9</v>
      </c>
      <c r="AE2725">
        <v>0</v>
      </c>
      <c r="AF2725">
        <v>3</v>
      </c>
      <c r="AG2725">
        <v>1</v>
      </c>
      <c r="AH2725">
        <v>0</v>
      </c>
      <c r="AI2725" t="s">
        <v>948</v>
      </c>
      <c r="AJ2725">
        <v>34.129843999999999</v>
      </c>
      <c r="AK2725" t="s">
        <v>949</v>
      </c>
      <c r="AL2725">
        <v>-117.057974</v>
      </c>
      <c r="AM2725">
        <v>100</v>
      </c>
      <c r="AN2725">
        <v>6600</v>
      </c>
      <c r="AO2725" t="s">
        <v>118</v>
      </c>
      <c r="AP2725">
        <v>-4</v>
      </c>
      <c r="AQ2725">
        <v>-106</v>
      </c>
      <c r="AR2725">
        <v>-640</v>
      </c>
      <c r="AZ2725">
        <v>1200</v>
      </c>
      <c r="BA2725">
        <v>1</v>
      </c>
      <c r="BB2725" t="str">
        <f t="shared" si="1488"/>
        <v xml:space="preserve">N9217B  </v>
      </c>
      <c r="BC2725">
        <v>1</v>
      </c>
      <c r="BE2725">
        <v>0</v>
      </c>
      <c r="BF2725">
        <v>0</v>
      </c>
      <c r="BG2725">
        <v>0</v>
      </c>
      <c r="BH2725">
        <v>6450</v>
      </c>
      <c r="BI2725">
        <v>1</v>
      </c>
      <c r="BJ2725">
        <v>0</v>
      </c>
      <c r="BK2725">
        <v>0</v>
      </c>
      <c r="BL2725">
        <v>0</v>
      </c>
      <c r="BO2725">
        <v>0</v>
      </c>
      <c r="BP2725">
        <v>0</v>
      </c>
      <c r="BW2725" t="str">
        <f>"14:55:44.024"</f>
        <v>14:55:44.024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2</v>
      </c>
      <c r="CP2725" t="s">
        <v>119</v>
      </c>
      <c r="CQ2725">
        <v>295</v>
      </c>
      <c r="CR2725">
        <v>1</v>
      </c>
      <c r="CW2725">
        <v>12453025</v>
      </c>
      <c r="CY2725">
        <v>0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25">
      <c r="A2726" t="str">
        <f t="shared" ref="A2726:A2732" si="1505">"06/05/2020 14:55:39.291"</f>
        <v>06/05/2020 14:55:39.291</v>
      </c>
      <c r="C2726" t="str">
        <f t="shared" si="1504"/>
        <v>FFDFD3C0</v>
      </c>
      <c r="D2726" t="s">
        <v>148</v>
      </c>
      <c r="E2726">
        <v>8</v>
      </c>
      <c r="H2726">
        <v>50</v>
      </c>
      <c r="I2726" t="s">
        <v>149</v>
      </c>
      <c r="J2726" t="s">
        <v>150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ref="S2726:S2732" si="1506">"14:55:44.938"</f>
        <v>14:55:44.938</v>
      </c>
      <c r="T2726" t="str">
        <f t="shared" ref="T2726:T2732" si="1507">"14:55:44.838"</f>
        <v>14:55:44.838</v>
      </c>
      <c r="U2726" t="str">
        <f t="shared" si="1487"/>
        <v>ACC530</v>
      </c>
      <c r="V2726">
        <v>0</v>
      </c>
      <c r="W2726">
        <v>0</v>
      </c>
      <c r="X2726">
        <v>1</v>
      </c>
      <c r="Z2726">
        <v>0</v>
      </c>
      <c r="AA2726">
        <v>9</v>
      </c>
      <c r="AB2726">
        <v>3</v>
      </c>
      <c r="AC2726">
        <v>0</v>
      </c>
      <c r="AD2726">
        <v>9</v>
      </c>
      <c r="AE2726">
        <v>0</v>
      </c>
      <c r="AF2726">
        <v>3</v>
      </c>
      <c r="AG2726">
        <v>1</v>
      </c>
      <c r="AH2726">
        <v>0</v>
      </c>
      <c r="AI2726" t="s">
        <v>950</v>
      </c>
      <c r="AJ2726">
        <v>34.129435999999998</v>
      </c>
      <c r="AK2726" t="s">
        <v>951</v>
      </c>
      <c r="AL2726">
        <v>-117.057931</v>
      </c>
      <c r="AM2726">
        <v>100</v>
      </c>
      <c r="AN2726">
        <v>6600</v>
      </c>
      <c r="AO2726" t="s">
        <v>118</v>
      </c>
      <c r="AP2726">
        <v>-2</v>
      </c>
      <c r="AQ2726">
        <v>-106</v>
      </c>
      <c r="AR2726">
        <v>-640</v>
      </c>
      <c r="AZ2726">
        <v>1200</v>
      </c>
      <c r="BA2726">
        <v>1</v>
      </c>
      <c r="BB2726" t="str">
        <f t="shared" si="1488"/>
        <v xml:space="preserve">N9217B  </v>
      </c>
      <c r="BC2726">
        <v>1</v>
      </c>
      <c r="BE2726">
        <v>0</v>
      </c>
      <c r="BF2726">
        <v>0</v>
      </c>
      <c r="BG2726">
        <v>0</v>
      </c>
      <c r="BH2726">
        <v>6450</v>
      </c>
      <c r="BI2726">
        <v>1</v>
      </c>
      <c r="BJ2726">
        <v>0</v>
      </c>
      <c r="BK2726">
        <v>0</v>
      </c>
      <c r="BL2726">
        <v>0</v>
      </c>
      <c r="BO2726">
        <v>0</v>
      </c>
      <c r="BP2726">
        <v>0</v>
      </c>
      <c r="BW2726" t="str">
        <f t="shared" ref="BW2726:BW2732" si="1508">"14:55:44.938"</f>
        <v>14:55:44.938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285</v>
      </c>
      <c r="CR2726">
        <v>0</v>
      </c>
      <c r="CW2726">
        <v>8869959</v>
      </c>
      <c r="CY2726">
        <v>0</v>
      </c>
      <c r="CZ2726">
        <v>0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25">
      <c r="A2727" t="str">
        <f t="shared" si="1505"/>
        <v>06/05/2020 14:55:39.291</v>
      </c>
      <c r="C2727" t="str">
        <f t="shared" si="1504"/>
        <v>FFDFD3C0</v>
      </c>
      <c r="D2727" t="s">
        <v>151</v>
      </c>
      <c r="E2727">
        <v>8</v>
      </c>
      <c r="H2727">
        <v>225</v>
      </c>
      <c r="I2727" t="s">
        <v>353</v>
      </c>
      <c r="J2727" t="s">
        <v>150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506"/>
        <v>14:55:44.938</v>
      </c>
      <c r="T2727" t="str">
        <f t="shared" si="1507"/>
        <v>14:55:44.838</v>
      </c>
      <c r="U2727" t="str">
        <f t="shared" si="1487"/>
        <v>ACC530</v>
      </c>
      <c r="V2727">
        <v>0</v>
      </c>
      <c r="W2727">
        <v>0</v>
      </c>
      <c r="X2727">
        <v>1</v>
      </c>
      <c r="Z2727">
        <v>0</v>
      </c>
      <c r="AA2727">
        <v>9</v>
      </c>
      <c r="AB2727">
        <v>3</v>
      </c>
      <c r="AC2727">
        <v>0</v>
      </c>
      <c r="AD2727">
        <v>9</v>
      </c>
      <c r="AE2727">
        <v>0</v>
      </c>
      <c r="AF2727">
        <v>3</v>
      </c>
      <c r="AG2727">
        <v>1</v>
      </c>
      <c r="AH2727">
        <v>0</v>
      </c>
      <c r="AI2727" t="s">
        <v>950</v>
      </c>
      <c r="AJ2727">
        <v>34.129435999999998</v>
      </c>
      <c r="AK2727" t="s">
        <v>951</v>
      </c>
      <c r="AL2727">
        <v>-117.057931</v>
      </c>
      <c r="AM2727">
        <v>100</v>
      </c>
      <c r="AN2727">
        <v>6600</v>
      </c>
      <c r="AO2727" t="s">
        <v>118</v>
      </c>
      <c r="AP2727">
        <v>-2</v>
      </c>
      <c r="AQ2727">
        <v>-106</v>
      </c>
      <c r="AR2727">
        <v>-640</v>
      </c>
      <c r="AZ2727">
        <v>1200</v>
      </c>
      <c r="BA2727">
        <v>1</v>
      </c>
      <c r="BB2727" t="str">
        <f t="shared" si="1488"/>
        <v xml:space="preserve">N9217B  </v>
      </c>
      <c r="BC2727">
        <v>1</v>
      </c>
      <c r="BE2727">
        <v>0</v>
      </c>
      <c r="BF2727">
        <v>0</v>
      </c>
      <c r="BG2727">
        <v>0</v>
      </c>
      <c r="BH2727">
        <v>6450</v>
      </c>
      <c r="BI2727">
        <v>1</v>
      </c>
      <c r="BJ2727">
        <v>0</v>
      </c>
      <c r="BK2727">
        <v>0</v>
      </c>
      <c r="BL2727">
        <v>0</v>
      </c>
      <c r="BO2727">
        <v>0</v>
      </c>
      <c r="BP2727">
        <v>0</v>
      </c>
      <c r="BW2727" t="str">
        <f t="shared" si="1508"/>
        <v>14:55:44.938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285</v>
      </c>
      <c r="CR2727">
        <v>0</v>
      </c>
      <c r="CW2727">
        <v>8869959</v>
      </c>
      <c r="CY2727">
        <v>0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25">
      <c r="A2728" t="str">
        <f t="shared" si="1505"/>
        <v>06/05/2020 14:55:39.291</v>
      </c>
      <c r="C2728" t="str">
        <f t="shared" si="1504"/>
        <v>FFDFD3C0</v>
      </c>
      <c r="D2728" t="s">
        <v>148</v>
      </c>
      <c r="E2728">
        <v>11</v>
      </c>
      <c r="H2728">
        <v>53</v>
      </c>
      <c r="I2728" t="s">
        <v>364</v>
      </c>
      <c r="J2728" t="s">
        <v>150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506"/>
        <v>14:55:44.938</v>
      </c>
      <c r="T2728" t="str">
        <f t="shared" si="1507"/>
        <v>14:55:44.838</v>
      </c>
      <c r="U2728" t="str">
        <f t="shared" si="1487"/>
        <v>ACC530</v>
      </c>
      <c r="V2728">
        <v>0</v>
      </c>
      <c r="W2728">
        <v>0</v>
      </c>
      <c r="X2728">
        <v>1</v>
      </c>
      <c r="Z2728">
        <v>0</v>
      </c>
      <c r="AA2728">
        <v>9</v>
      </c>
      <c r="AB2728">
        <v>3</v>
      </c>
      <c r="AC2728">
        <v>0</v>
      </c>
      <c r="AD2728">
        <v>9</v>
      </c>
      <c r="AE2728">
        <v>0</v>
      </c>
      <c r="AF2728">
        <v>3</v>
      </c>
      <c r="AG2728">
        <v>1</v>
      </c>
      <c r="AH2728">
        <v>0</v>
      </c>
      <c r="AI2728" t="s">
        <v>950</v>
      </c>
      <c r="AJ2728">
        <v>34.129435999999998</v>
      </c>
      <c r="AK2728" t="s">
        <v>951</v>
      </c>
      <c r="AL2728">
        <v>-117.057931</v>
      </c>
      <c r="AM2728">
        <v>100</v>
      </c>
      <c r="AN2728">
        <v>6600</v>
      </c>
      <c r="AO2728" t="s">
        <v>118</v>
      </c>
      <c r="AP2728">
        <v>-2</v>
      </c>
      <c r="AQ2728">
        <v>-106</v>
      </c>
      <c r="AR2728">
        <v>-640</v>
      </c>
      <c r="AZ2728">
        <v>1200</v>
      </c>
      <c r="BA2728">
        <v>1</v>
      </c>
      <c r="BB2728" t="str">
        <f t="shared" si="1488"/>
        <v xml:space="preserve">N9217B  </v>
      </c>
      <c r="BC2728">
        <v>1</v>
      </c>
      <c r="BE2728">
        <v>0</v>
      </c>
      <c r="BF2728">
        <v>0</v>
      </c>
      <c r="BG2728">
        <v>0</v>
      </c>
      <c r="BH2728">
        <v>6450</v>
      </c>
      <c r="BI2728">
        <v>1</v>
      </c>
      <c r="BJ2728">
        <v>0</v>
      </c>
      <c r="BK2728">
        <v>0</v>
      </c>
      <c r="BL2728">
        <v>0</v>
      </c>
      <c r="BO2728">
        <v>0</v>
      </c>
      <c r="BP2728">
        <v>0</v>
      </c>
      <c r="BW2728" t="str">
        <f t="shared" si="1508"/>
        <v>14:55:44.938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285</v>
      </c>
      <c r="CR2728">
        <v>0</v>
      </c>
      <c r="CW2728">
        <v>8869959</v>
      </c>
      <c r="CY2728">
        <v>0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25">
      <c r="A2729" t="str">
        <f t="shared" si="1505"/>
        <v>06/05/2020 14:55:39.291</v>
      </c>
      <c r="C2729" t="str">
        <f t="shared" si="1504"/>
        <v>FFDFD3C0</v>
      </c>
      <c r="D2729" t="s">
        <v>151</v>
      </c>
      <c r="E2729">
        <v>9</v>
      </c>
      <c r="H2729">
        <v>226</v>
      </c>
      <c r="I2729" t="s">
        <v>152</v>
      </c>
      <c r="J2729" t="s">
        <v>150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506"/>
        <v>14:55:44.938</v>
      </c>
      <c r="T2729" t="str">
        <f t="shared" si="1507"/>
        <v>14:55:44.838</v>
      </c>
      <c r="U2729" t="str">
        <f t="shared" si="1487"/>
        <v>ACC530</v>
      </c>
      <c r="V2729">
        <v>0</v>
      </c>
      <c r="W2729">
        <v>0</v>
      </c>
      <c r="X2729">
        <v>1</v>
      </c>
      <c r="Z2729">
        <v>0</v>
      </c>
      <c r="AA2729">
        <v>9</v>
      </c>
      <c r="AB2729">
        <v>3</v>
      </c>
      <c r="AC2729">
        <v>0</v>
      </c>
      <c r="AD2729">
        <v>9</v>
      </c>
      <c r="AE2729">
        <v>0</v>
      </c>
      <c r="AF2729">
        <v>3</v>
      </c>
      <c r="AG2729">
        <v>1</v>
      </c>
      <c r="AH2729">
        <v>0</v>
      </c>
      <c r="AI2729" t="s">
        <v>950</v>
      </c>
      <c r="AJ2729">
        <v>34.129435999999998</v>
      </c>
      <c r="AK2729" t="s">
        <v>951</v>
      </c>
      <c r="AL2729">
        <v>-117.057931</v>
      </c>
      <c r="AM2729">
        <v>100</v>
      </c>
      <c r="AN2729">
        <v>6600</v>
      </c>
      <c r="AO2729" t="s">
        <v>118</v>
      </c>
      <c r="AP2729">
        <v>-2</v>
      </c>
      <c r="AQ2729">
        <v>-106</v>
      </c>
      <c r="AR2729">
        <v>-640</v>
      </c>
      <c r="AZ2729">
        <v>1200</v>
      </c>
      <c r="BA2729">
        <v>1</v>
      </c>
      <c r="BB2729" t="str">
        <f t="shared" si="1488"/>
        <v xml:space="preserve">N9217B  </v>
      </c>
      <c r="BC2729">
        <v>1</v>
      </c>
      <c r="BE2729">
        <v>0</v>
      </c>
      <c r="BF2729">
        <v>0</v>
      </c>
      <c r="BG2729">
        <v>0</v>
      </c>
      <c r="BH2729">
        <v>6450</v>
      </c>
      <c r="BI2729">
        <v>1</v>
      </c>
      <c r="BJ2729">
        <v>0</v>
      </c>
      <c r="BK2729">
        <v>0</v>
      </c>
      <c r="BL2729">
        <v>0</v>
      </c>
      <c r="BO2729">
        <v>0</v>
      </c>
      <c r="BP2729">
        <v>0</v>
      </c>
      <c r="BW2729" t="str">
        <f t="shared" si="1508"/>
        <v>14:55:44.938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285</v>
      </c>
      <c r="CR2729">
        <v>0</v>
      </c>
      <c r="CW2729">
        <v>8869959</v>
      </c>
      <c r="CY2729">
        <v>0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25">
      <c r="A2730" t="str">
        <f t="shared" si="1505"/>
        <v>06/05/2020 14:55:39.291</v>
      </c>
      <c r="C2730" t="str">
        <f t="shared" si="1504"/>
        <v>FFDFD3C0</v>
      </c>
      <c r="D2730" t="s">
        <v>134</v>
      </c>
      <c r="E2730">
        <v>7</v>
      </c>
      <c r="F2730">
        <v>2007</v>
      </c>
      <c r="G2730" t="s">
        <v>135</v>
      </c>
      <c r="J2730" t="s">
        <v>136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506"/>
        <v>14:55:44.938</v>
      </c>
      <c r="T2730" t="str">
        <f t="shared" si="1507"/>
        <v>14:55:44.838</v>
      </c>
      <c r="U2730" t="str">
        <f t="shared" si="1487"/>
        <v>ACC530</v>
      </c>
      <c r="V2730">
        <v>0</v>
      </c>
      <c r="W2730">
        <v>0</v>
      </c>
      <c r="X2730">
        <v>1</v>
      </c>
      <c r="Z2730">
        <v>0</v>
      </c>
      <c r="AA2730">
        <v>9</v>
      </c>
      <c r="AB2730">
        <v>3</v>
      </c>
      <c r="AC2730">
        <v>0</v>
      </c>
      <c r="AD2730">
        <v>9</v>
      </c>
      <c r="AE2730">
        <v>0</v>
      </c>
      <c r="AF2730">
        <v>3</v>
      </c>
      <c r="AG2730">
        <v>1</v>
      </c>
      <c r="AH2730">
        <v>0</v>
      </c>
      <c r="AI2730" t="s">
        <v>950</v>
      </c>
      <c r="AJ2730">
        <v>34.129435999999998</v>
      </c>
      <c r="AK2730" t="s">
        <v>951</v>
      </c>
      <c r="AL2730">
        <v>-117.057931</v>
      </c>
      <c r="AM2730">
        <v>100</v>
      </c>
      <c r="AN2730">
        <v>6600</v>
      </c>
      <c r="AO2730" t="s">
        <v>118</v>
      </c>
      <c r="AP2730">
        <v>-2</v>
      </c>
      <c r="AQ2730">
        <v>-106</v>
      </c>
      <c r="AR2730">
        <v>-640</v>
      </c>
      <c r="AZ2730">
        <v>1200</v>
      </c>
      <c r="BA2730">
        <v>1</v>
      </c>
      <c r="BB2730" t="str">
        <f t="shared" si="1488"/>
        <v xml:space="preserve">N9217B  </v>
      </c>
      <c r="BC2730">
        <v>1</v>
      </c>
      <c r="BE2730">
        <v>0</v>
      </c>
      <c r="BF2730">
        <v>0</v>
      </c>
      <c r="BG2730">
        <v>0</v>
      </c>
      <c r="BH2730">
        <v>6450</v>
      </c>
      <c r="BI2730">
        <v>1</v>
      </c>
      <c r="BJ2730">
        <v>0</v>
      </c>
      <c r="BK2730">
        <v>0</v>
      </c>
      <c r="BL2730">
        <v>0</v>
      </c>
      <c r="BO2730">
        <v>0</v>
      </c>
      <c r="BP2730">
        <v>0</v>
      </c>
      <c r="BW2730" t="str">
        <f t="shared" si="1508"/>
        <v>14:55:44.938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285</v>
      </c>
      <c r="CR2730">
        <v>0</v>
      </c>
      <c r="CW2730">
        <v>8869959</v>
      </c>
      <c r="CY2730">
        <v>0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25">
      <c r="A2731" t="str">
        <f t="shared" si="1505"/>
        <v>06/05/2020 14:55:39.291</v>
      </c>
      <c r="C2731" t="str">
        <f t="shared" si="1504"/>
        <v>FFDFD3C0</v>
      </c>
      <c r="D2731" t="s">
        <v>113</v>
      </c>
      <c r="E2731">
        <v>3</v>
      </c>
      <c r="H2731">
        <v>166</v>
      </c>
      <c r="I2731" t="s">
        <v>114</v>
      </c>
      <c r="J2731" t="s">
        <v>115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506"/>
        <v>14:55:44.938</v>
      </c>
      <c r="T2731" t="str">
        <f t="shared" si="1507"/>
        <v>14:55:44.838</v>
      </c>
      <c r="U2731" t="str">
        <f t="shared" si="1487"/>
        <v>ACC530</v>
      </c>
      <c r="V2731">
        <v>0</v>
      </c>
      <c r="W2731">
        <v>0</v>
      </c>
      <c r="X2731">
        <v>1</v>
      </c>
      <c r="Z2731">
        <v>0</v>
      </c>
      <c r="AA2731">
        <v>9</v>
      </c>
      <c r="AB2731">
        <v>3</v>
      </c>
      <c r="AC2731">
        <v>0</v>
      </c>
      <c r="AD2731">
        <v>9</v>
      </c>
      <c r="AE2731">
        <v>0</v>
      </c>
      <c r="AF2731">
        <v>3</v>
      </c>
      <c r="AG2731">
        <v>1</v>
      </c>
      <c r="AH2731">
        <v>0</v>
      </c>
      <c r="AI2731" t="s">
        <v>950</v>
      </c>
      <c r="AJ2731">
        <v>34.129435999999998</v>
      </c>
      <c r="AK2731" t="s">
        <v>951</v>
      </c>
      <c r="AL2731">
        <v>-117.057931</v>
      </c>
      <c r="AM2731">
        <v>100</v>
      </c>
      <c r="AN2731">
        <v>6600</v>
      </c>
      <c r="AO2731" t="s">
        <v>118</v>
      </c>
      <c r="AP2731">
        <v>-2</v>
      </c>
      <c r="AQ2731">
        <v>-106</v>
      </c>
      <c r="AR2731">
        <v>-640</v>
      </c>
      <c r="AZ2731">
        <v>1200</v>
      </c>
      <c r="BA2731">
        <v>1</v>
      </c>
      <c r="BB2731" t="str">
        <f t="shared" si="1488"/>
        <v xml:space="preserve">N9217B  </v>
      </c>
      <c r="BC2731">
        <v>1</v>
      </c>
      <c r="BE2731">
        <v>0</v>
      </c>
      <c r="BF2731">
        <v>0</v>
      </c>
      <c r="BG2731">
        <v>0</v>
      </c>
      <c r="BH2731">
        <v>6450</v>
      </c>
      <c r="BI2731">
        <v>1</v>
      </c>
      <c r="BJ2731">
        <v>0</v>
      </c>
      <c r="BK2731">
        <v>0</v>
      </c>
      <c r="BL2731">
        <v>0</v>
      </c>
      <c r="BO2731">
        <v>0</v>
      </c>
      <c r="BP2731">
        <v>0</v>
      </c>
      <c r="BW2731" t="str">
        <f t="shared" si="1508"/>
        <v>14:55:44.938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7</v>
      </c>
      <c r="CP2731" t="s">
        <v>119</v>
      </c>
      <c r="CQ2731">
        <v>285</v>
      </c>
      <c r="CR2731">
        <v>0</v>
      </c>
      <c r="CW2731">
        <v>8869959</v>
      </c>
      <c r="CY2731">
        <v>0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25">
      <c r="A2732" t="str">
        <f t="shared" si="1505"/>
        <v>06/05/2020 14:55:39.291</v>
      </c>
      <c r="C2732" t="str">
        <f t="shared" si="1504"/>
        <v>FFDFD3C0</v>
      </c>
      <c r="D2732" t="s">
        <v>141</v>
      </c>
      <c r="E2732">
        <v>20</v>
      </c>
      <c r="F2732">
        <v>1020</v>
      </c>
      <c r="G2732" t="s">
        <v>114</v>
      </c>
      <c r="J2732" t="s">
        <v>142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506"/>
        <v>14:55:44.938</v>
      </c>
      <c r="T2732" t="str">
        <f t="shared" si="1507"/>
        <v>14:55:44.838</v>
      </c>
      <c r="U2732" t="str">
        <f t="shared" si="1487"/>
        <v>ACC530</v>
      </c>
      <c r="V2732">
        <v>0</v>
      </c>
      <c r="W2732">
        <v>0</v>
      </c>
      <c r="X2732">
        <v>1</v>
      </c>
      <c r="Z2732">
        <v>0</v>
      </c>
      <c r="AA2732">
        <v>9</v>
      </c>
      <c r="AB2732">
        <v>3</v>
      </c>
      <c r="AC2732">
        <v>0</v>
      </c>
      <c r="AD2732">
        <v>9</v>
      </c>
      <c r="AE2732">
        <v>0</v>
      </c>
      <c r="AF2732">
        <v>3</v>
      </c>
      <c r="AG2732">
        <v>1</v>
      </c>
      <c r="AH2732">
        <v>0</v>
      </c>
      <c r="AI2732" t="s">
        <v>950</v>
      </c>
      <c r="AJ2732">
        <v>34.129435999999998</v>
      </c>
      <c r="AK2732" t="s">
        <v>951</v>
      </c>
      <c r="AL2732">
        <v>-117.057931</v>
      </c>
      <c r="AM2732">
        <v>100</v>
      </c>
      <c r="AN2732">
        <v>6600</v>
      </c>
      <c r="AO2732" t="s">
        <v>118</v>
      </c>
      <c r="AP2732">
        <v>-2</v>
      </c>
      <c r="AQ2732">
        <v>-106</v>
      </c>
      <c r="AR2732">
        <v>-640</v>
      </c>
      <c r="AZ2732">
        <v>1200</v>
      </c>
      <c r="BA2732">
        <v>1</v>
      </c>
      <c r="BB2732" t="str">
        <f t="shared" si="1488"/>
        <v xml:space="preserve">N9217B  </v>
      </c>
      <c r="BC2732">
        <v>1</v>
      </c>
      <c r="BE2732">
        <v>0</v>
      </c>
      <c r="BF2732">
        <v>0</v>
      </c>
      <c r="BG2732">
        <v>0</v>
      </c>
      <c r="BH2732">
        <v>6450</v>
      </c>
      <c r="BI2732">
        <v>1</v>
      </c>
      <c r="BJ2732">
        <v>0</v>
      </c>
      <c r="BK2732">
        <v>0</v>
      </c>
      <c r="BL2732">
        <v>0</v>
      </c>
      <c r="BO2732">
        <v>0</v>
      </c>
      <c r="BP2732">
        <v>0</v>
      </c>
      <c r="BW2732" t="str">
        <f t="shared" si="1508"/>
        <v>14:55:44.938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7</v>
      </c>
      <c r="CP2732" t="s">
        <v>119</v>
      </c>
      <c r="CQ2732">
        <v>285</v>
      </c>
      <c r="CR2732">
        <v>0</v>
      </c>
      <c r="CW2732">
        <v>8869959</v>
      </c>
      <c r="CY2732">
        <v>0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25">
      <c r="A2733" t="str">
        <f t="shared" ref="A2733:A2739" si="1509">"06/05/2020 14:55:40.304"</f>
        <v>06/05/2020 14:55:40.304</v>
      </c>
      <c r="C2733" t="str">
        <f t="shared" si="1504"/>
        <v>FFDFD3C0</v>
      </c>
      <c r="D2733" t="s">
        <v>148</v>
      </c>
      <c r="E2733">
        <v>8</v>
      </c>
      <c r="H2733">
        <v>50</v>
      </c>
      <c r="I2733" t="s">
        <v>149</v>
      </c>
      <c r="J2733" t="s">
        <v>150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ref="S2733:T2739" si="1510">"14:55:45.938"</f>
        <v>14:55:45.938</v>
      </c>
      <c r="T2733" t="str">
        <f t="shared" si="1510"/>
        <v>14:55:45.938</v>
      </c>
      <c r="U2733" t="str">
        <f t="shared" si="1487"/>
        <v>ACC530</v>
      </c>
      <c r="V2733">
        <v>0</v>
      </c>
      <c r="W2733">
        <v>0</v>
      </c>
      <c r="X2733">
        <v>1</v>
      </c>
      <c r="Z2733">
        <v>0</v>
      </c>
      <c r="AA2733">
        <v>9</v>
      </c>
      <c r="AB2733">
        <v>3</v>
      </c>
      <c r="AC2733">
        <v>0</v>
      </c>
      <c r="AD2733">
        <v>9</v>
      </c>
      <c r="AE2733">
        <v>0</v>
      </c>
      <c r="AF2733">
        <v>3</v>
      </c>
      <c r="AG2733">
        <v>1</v>
      </c>
      <c r="AH2733">
        <v>0</v>
      </c>
      <c r="AI2733" t="s">
        <v>952</v>
      </c>
      <c r="AJ2733">
        <v>34.128942000000002</v>
      </c>
      <c r="AK2733" t="s">
        <v>953</v>
      </c>
      <c r="AL2733">
        <v>-117.057889</v>
      </c>
      <c r="AM2733">
        <v>100</v>
      </c>
      <c r="AN2733">
        <v>6600</v>
      </c>
      <c r="AO2733" t="s">
        <v>118</v>
      </c>
      <c r="AP2733">
        <v>0</v>
      </c>
      <c r="AQ2733">
        <v>-105</v>
      </c>
      <c r="AR2733">
        <v>-704</v>
      </c>
      <c r="AZ2733">
        <v>1200</v>
      </c>
      <c r="BA2733">
        <v>1</v>
      </c>
      <c r="BB2733" t="str">
        <f t="shared" si="1488"/>
        <v xml:space="preserve">N9217B  </v>
      </c>
      <c r="BC2733">
        <v>1</v>
      </c>
      <c r="BE2733">
        <v>0</v>
      </c>
      <c r="BF2733">
        <v>0</v>
      </c>
      <c r="BG2733">
        <v>0</v>
      </c>
      <c r="BH2733">
        <v>6450</v>
      </c>
      <c r="BI2733">
        <v>1</v>
      </c>
      <c r="BJ2733">
        <v>0</v>
      </c>
      <c r="BK2733">
        <v>0</v>
      </c>
      <c r="BL2733">
        <v>0</v>
      </c>
      <c r="BO2733">
        <v>0</v>
      </c>
      <c r="BP2733">
        <v>0</v>
      </c>
      <c r="BW2733" t="str">
        <f t="shared" ref="BW2733:BW2739" si="1511">"14:55:45.943"</f>
        <v>14:55:45.943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7</v>
      </c>
      <c r="CP2733" t="s">
        <v>119</v>
      </c>
      <c r="CQ2733">
        <v>285</v>
      </c>
      <c r="CR2733">
        <v>0</v>
      </c>
      <c r="CW2733">
        <v>8870055</v>
      </c>
      <c r="CY2733">
        <v>0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25">
      <c r="A2734" t="str">
        <f t="shared" si="1509"/>
        <v>06/05/2020 14:55:40.304</v>
      </c>
      <c r="C2734" t="str">
        <f t="shared" si="1504"/>
        <v>FFDFD3C0</v>
      </c>
      <c r="D2734" t="s">
        <v>151</v>
      </c>
      <c r="E2734">
        <v>8</v>
      </c>
      <c r="H2734">
        <v>225</v>
      </c>
      <c r="I2734" t="s">
        <v>353</v>
      </c>
      <c r="J2734" t="s">
        <v>150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510"/>
        <v>14:55:45.938</v>
      </c>
      <c r="T2734" t="str">
        <f t="shared" si="1510"/>
        <v>14:55:45.938</v>
      </c>
      <c r="U2734" t="str">
        <f t="shared" si="1487"/>
        <v>ACC530</v>
      </c>
      <c r="V2734">
        <v>0</v>
      </c>
      <c r="W2734">
        <v>0</v>
      </c>
      <c r="X2734">
        <v>1</v>
      </c>
      <c r="Z2734">
        <v>0</v>
      </c>
      <c r="AA2734">
        <v>9</v>
      </c>
      <c r="AB2734">
        <v>3</v>
      </c>
      <c r="AC2734">
        <v>0</v>
      </c>
      <c r="AD2734">
        <v>9</v>
      </c>
      <c r="AE2734">
        <v>0</v>
      </c>
      <c r="AF2734">
        <v>3</v>
      </c>
      <c r="AG2734">
        <v>1</v>
      </c>
      <c r="AH2734">
        <v>0</v>
      </c>
      <c r="AI2734" t="s">
        <v>952</v>
      </c>
      <c r="AJ2734">
        <v>34.128942000000002</v>
      </c>
      <c r="AK2734" t="s">
        <v>953</v>
      </c>
      <c r="AL2734">
        <v>-117.057889</v>
      </c>
      <c r="AM2734">
        <v>100</v>
      </c>
      <c r="AN2734">
        <v>6600</v>
      </c>
      <c r="AO2734" t="s">
        <v>118</v>
      </c>
      <c r="AP2734">
        <v>0</v>
      </c>
      <c r="AQ2734">
        <v>-105</v>
      </c>
      <c r="AR2734">
        <v>-704</v>
      </c>
      <c r="AZ2734">
        <v>1200</v>
      </c>
      <c r="BA2734">
        <v>1</v>
      </c>
      <c r="BB2734" t="str">
        <f t="shared" si="1488"/>
        <v xml:space="preserve">N9217B  </v>
      </c>
      <c r="BC2734">
        <v>1</v>
      </c>
      <c r="BE2734">
        <v>0</v>
      </c>
      <c r="BF2734">
        <v>0</v>
      </c>
      <c r="BG2734">
        <v>0</v>
      </c>
      <c r="BH2734">
        <v>6450</v>
      </c>
      <c r="BI2734">
        <v>1</v>
      </c>
      <c r="BJ2734">
        <v>0</v>
      </c>
      <c r="BK2734">
        <v>0</v>
      </c>
      <c r="BL2734">
        <v>0</v>
      </c>
      <c r="BO2734">
        <v>0</v>
      </c>
      <c r="BP2734">
        <v>0</v>
      </c>
      <c r="BW2734" t="str">
        <f t="shared" si="1511"/>
        <v>14:55:45.943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7</v>
      </c>
      <c r="CP2734" t="s">
        <v>119</v>
      </c>
      <c r="CQ2734">
        <v>285</v>
      </c>
      <c r="CR2734">
        <v>0</v>
      </c>
      <c r="CW2734">
        <v>8870055</v>
      </c>
      <c r="CY2734">
        <v>0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25">
      <c r="A2735" t="str">
        <f t="shared" si="1509"/>
        <v>06/05/2020 14:55:40.304</v>
      </c>
      <c r="C2735" t="str">
        <f t="shared" si="1504"/>
        <v>FFDFD3C0</v>
      </c>
      <c r="D2735" t="s">
        <v>148</v>
      </c>
      <c r="E2735">
        <v>11</v>
      </c>
      <c r="H2735">
        <v>53</v>
      </c>
      <c r="I2735" t="s">
        <v>364</v>
      </c>
      <c r="J2735" t="s">
        <v>150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510"/>
        <v>14:55:45.938</v>
      </c>
      <c r="T2735" t="str">
        <f t="shared" si="1510"/>
        <v>14:55:45.938</v>
      </c>
      <c r="U2735" t="str">
        <f t="shared" si="1487"/>
        <v>ACC530</v>
      </c>
      <c r="V2735">
        <v>0</v>
      </c>
      <c r="W2735">
        <v>0</v>
      </c>
      <c r="X2735">
        <v>1</v>
      </c>
      <c r="Z2735">
        <v>0</v>
      </c>
      <c r="AA2735">
        <v>9</v>
      </c>
      <c r="AB2735">
        <v>3</v>
      </c>
      <c r="AC2735">
        <v>0</v>
      </c>
      <c r="AD2735">
        <v>9</v>
      </c>
      <c r="AE2735">
        <v>0</v>
      </c>
      <c r="AF2735">
        <v>3</v>
      </c>
      <c r="AG2735">
        <v>1</v>
      </c>
      <c r="AH2735">
        <v>0</v>
      </c>
      <c r="AI2735" t="s">
        <v>952</v>
      </c>
      <c r="AJ2735">
        <v>34.128942000000002</v>
      </c>
      <c r="AK2735" t="s">
        <v>953</v>
      </c>
      <c r="AL2735">
        <v>-117.057889</v>
      </c>
      <c r="AM2735">
        <v>100</v>
      </c>
      <c r="AN2735">
        <v>6600</v>
      </c>
      <c r="AO2735" t="s">
        <v>118</v>
      </c>
      <c r="AP2735">
        <v>0</v>
      </c>
      <c r="AQ2735">
        <v>-105</v>
      </c>
      <c r="AR2735">
        <v>-704</v>
      </c>
      <c r="AZ2735">
        <v>1200</v>
      </c>
      <c r="BA2735">
        <v>1</v>
      </c>
      <c r="BB2735" t="str">
        <f t="shared" si="1488"/>
        <v xml:space="preserve">N9217B  </v>
      </c>
      <c r="BC2735">
        <v>1</v>
      </c>
      <c r="BE2735">
        <v>0</v>
      </c>
      <c r="BF2735">
        <v>0</v>
      </c>
      <c r="BG2735">
        <v>0</v>
      </c>
      <c r="BH2735">
        <v>6450</v>
      </c>
      <c r="BI2735">
        <v>1</v>
      </c>
      <c r="BJ2735">
        <v>0</v>
      </c>
      <c r="BK2735">
        <v>0</v>
      </c>
      <c r="BL2735">
        <v>0</v>
      </c>
      <c r="BO2735">
        <v>0</v>
      </c>
      <c r="BP2735">
        <v>0</v>
      </c>
      <c r="BW2735" t="str">
        <f t="shared" si="1511"/>
        <v>14:55:45.943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7</v>
      </c>
      <c r="CP2735" t="s">
        <v>119</v>
      </c>
      <c r="CQ2735">
        <v>285</v>
      </c>
      <c r="CR2735">
        <v>0</v>
      </c>
      <c r="CW2735">
        <v>8870055</v>
      </c>
      <c r="CY2735">
        <v>0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25">
      <c r="A2736" t="str">
        <f t="shared" si="1509"/>
        <v>06/05/2020 14:55:40.304</v>
      </c>
      <c r="C2736" t="str">
        <f t="shared" si="1504"/>
        <v>FFDFD3C0</v>
      </c>
      <c r="D2736" t="s">
        <v>134</v>
      </c>
      <c r="E2736">
        <v>7</v>
      </c>
      <c r="F2736">
        <v>2007</v>
      </c>
      <c r="G2736" t="s">
        <v>135</v>
      </c>
      <c r="J2736" t="s">
        <v>136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510"/>
        <v>14:55:45.938</v>
      </c>
      <c r="T2736" t="str">
        <f t="shared" si="1510"/>
        <v>14:55:45.938</v>
      </c>
      <c r="U2736" t="str">
        <f t="shared" si="1487"/>
        <v>ACC530</v>
      </c>
      <c r="V2736">
        <v>0</v>
      </c>
      <c r="W2736">
        <v>0</v>
      </c>
      <c r="X2736">
        <v>1</v>
      </c>
      <c r="Z2736">
        <v>0</v>
      </c>
      <c r="AA2736">
        <v>9</v>
      </c>
      <c r="AB2736">
        <v>3</v>
      </c>
      <c r="AC2736">
        <v>0</v>
      </c>
      <c r="AD2736">
        <v>9</v>
      </c>
      <c r="AE2736">
        <v>0</v>
      </c>
      <c r="AF2736">
        <v>3</v>
      </c>
      <c r="AG2736">
        <v>1</v>
      </c>
      <c r="AH2736">
        <v>0</v>
      </c>
      <c r="AI2736" t="s">
        <v>952</v>
      </c>
      <c r="AJ2736">
        <v>34.128942000000002</v>
      </c>
      <c r="AK2736" t="s">
        <v>953</v>
      </c>
      <c r="AL2736">
        <v>-117.057889</v>
      </c>
      <c r="AM2736">
        <v>100</v>
      </c>
      <c r="AN2736">
        <v>6600</v>
      </c>
      <c r="AO2736" t="s">
        <v>118</v>
      </c>
      <c r="AP2736">
        <v>0</v>
      </c>
      <c r="AQ2736">
        <v>-105</v>
      </c>
      <c r="AR2736">
        <v>-704</v>
      </c>
      <c r="AZ2736">
        <v>1200</v>
      </c>
      <c r="BA2736">
        <v>1</v>
      </c>
      <c r="BB2736" t="str">
        <f t="shared" si="1488"/>
        <v xml:space="preserve">N9217B  </v>
      </c>
      <c r="BC2736">
        <v>1</v>
      </c>
      <c r="BE2736">
        <v>0</v>
      </c>
      <c r="BF2736">
        <v>0</v>
      </c>
      <c r="BG2736">
        <v>0</v>
      </c>
      <c r="BH2736">
        <v>6450</v>
      </c>
      <c r="BI2736">
        <v>1</v>
      </c>
      <c r="BJ2736">
        <v>0</v>
      </c>
      <c r="BK2736">
        <v>0</v>
      </c>
      <c r="BL2736">
        <v>0</v>
      </c>
      <c r="BO2736">
        <v>0</v>
      </c>
      <c r="BP2736">
        <v>0</v>
      </c>
      <c r="BW2736" t="str">
        <f t="shared" si="1511"/>
        <v>14:55:45.943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7</v>
      </c>
      <c r="CP2736" t="s">
        <v>119</v>
      </c>
      <c r="CQ2736">
        <v>285</v>
      </c>
      <c r="CR2736">
        <v>0</v>
      </c>
      <c r="CW2736">
        <v>8870055</v>
      </c>
      <c r="CY2736">
        <v>0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25">
      <c r="A2737" t="str">
        <f t="shared" si="1509"/>
        <v>06/05/2020 14:55:40.304</v>
      </c>
      <c r="C2737" t="str">
        <f t="shared" si="1504"/>
        <v>FFDFD3C0</v>
      </c>
      <c r="D2737" t="s">
        <v>151</v>
      </c>
      <c r="E2737">
        <v>9</v>
      </c>
      <c r="H2737">
        <v>226</v>
      </c>
      <c r="I2737" t="s">
        <v>152</v>
      </c>
      <c r="J2737" t="s">
        <v>150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510"/>
        <v>14:55:45.938</v>
      </c>
      <c r="T2737" t="str">
        <f t="shared" si="1510"/>
        <v>14:55:45.938</v>
      </c>
      <c r="U2737" t="str">
        <f t="shared" si="1487"/>
        <v>ACC530</v>
      </c>
      <c r="V2737">
        <v>0</v>
      </c>
      <c r="W2737">
        <v>0</v>
      </c>
      <c r="X2737">
        <v>1</v>
      </c>
      <c r="Z2737">
        <v>0</v>
      </c>
      <c r="AA2737">
        <v>9</v>
      </c>
      <c r="AB2737">
        <v>3</v>
      </c>
      <c r="AC2737">
        <v>0</v>
      </c>
      <c r="AD2737">
        <v>9</v>
      </c>
      <c r="AE2737">
        <v>0</v>
      </c>
      <c r="AF2737">
        <v>3</v>
      </c>
      <c r="AG2737">
        <v>1</v>
      </c>
      <c r="AH2737">
        <v>0</v>
      </c>
      <c r="AI2737" t="s">
        <v>952</v>
      </c>
      <c r="AJ2737">
        <v>34.128942000000002</v>
      </c>
      <c r="AK2737" t="s">
        <v>953</v>
      </c>
      <c r="AL2737">
        <v>-117.057889</v>
      </c>
      <c r="AM2737">
        <v>100</v>
      </c>
      <c r="AN2737">
        <v>6600</v>
      </c>
      <c r="AO2737" t="s">
        <v>118</v>
      </c>
      <c r="AP2737">
        <v>0</v>
      </c>
      <c r="AQ2737">
        <v>-105</v>
      </c>
      <c r="AR2737">
        <v>-704</v>
      </c>
      <c r="AZ2737">
        <v>1200</v>
      </c>
      <c r="BA2737">
        <v>1</v>
      </c>
      <c r="BB2737" t="str">
        <f t="shared" si="1488"/>
        <v xml:space="preserve">N9217B  </v>
      </c>
      <c r="BC2737">
        <v>1</v>
      </c>
      <c r="BE2737">
        <v>0</v>
      </c>
      <c r="BF2737">
        <v>0</v>
      </c>
      <c r="BG2737">
        <v>0</v>
      </c>
      <c r="BH2737">
        <v>6450</v>
      </c>
      <c r="BI2737">
        <v>1</v>
      </c>
      <c r="BJ2737">
        <v>0</v>
      </c>
      <c r="BK2737">
        <v>0</v>
      </c>
      <c r="BL2737">
        <v>0</v>
      </c>
      <c r="BO2737">
        <v>0</v>
      </c>
      <c r="BP2737">
        <v>0</v>
      </c>
      <c r="BW2737" t="str">
        <f t="shared" si="1511"/>
        <v>14:55:45.943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7</v>
      </c>
      <c r="CP2737" t="s">
        <v>119</v>
      </c>
      <c r="CQ2737">
        <v>285</v>
      </c>
      <c r="CR2737">
        <v>0</v>
      </c>
      <c r="CW2737">
        <v>8870055</v>
      </c>
      <c r="CY2737">
        <v>0</v>
      </c>
      <c r="CZ2737">
        <v>0</v>
      </c>
      <c r="DA2737">
        <v>1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25">
      <c r="A2738" t="str">
        <f t="shared" si="1509"/>
        <v>06/05/2020 14:55:40.304</v>
      </c>
      <c r="C2738" t="str">
        <f t="shared" si="1504"/>
        <v>FFDFD3C0</v>
      </c>
      <c r="D2738" t="s">
        <v>113</v>
      </c>
      <c r="E2738">
        <v>3</v>
      </c>
      <c r="H2738">
        <v>166</v>
      </c>
      <c r="I2738" t="s">
        <v>114</v>
      </c>
      <c r="J2738" t="s">
        <v>115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510"/>
        <v>14:55:45.938</v>
      </c>
      <c r="T2738" t="str">
        <f t="shared" si="1510"/>
        <v>14:55:45.938</v>
      </c>
      <c r="U2738" t="str">
        <f t="shared" si="1487"/>
        <v>ACC530</v>
      </c>
      <c r="V2738">
        <v>0</v>
      </c>
      <c r="W2738">
        <v>0</v>
      </c>
      <c r="X2738">
        <v>1</v>
      </c>
      <c r="Z2738">
        <v>0</v>
      </c>
      <c r="AA2738">
        <v>9</v>
      </c>
      <c r="AB2738">
        <v>3</v>
      </c>
      <c r="AC2738">
        <v>0</v>
      </c>
      <c r="AD2738">
        <v>9</v>
      </c>
      <c r="AE2738">
        <v>0</v>
      </c>
      <c r="AF2738">
        <v>3</v>
      </c>
      <c r="AG2738">
        <v>1</v>
      </c>
      <c r="AH2738">
        <v>0</v>
      </c>
      <c r="AI2738" t="s">
        <v>952</v>
      </c>
      <c r="AJ2738">
        <v>34.128942000000002</v>
      </c>
      <c r="AK2738" t="s">
        <v>953</v>
      </c>
      <c r="AL2738">
        <v>-117.057889</v>
      </c>
      <c r="AM2738">
        <v>100</v>
      </c>
      <c r="AN2738">
        <v>6600</v>
      </c>
      <c r="AO2738" t="s">
        <v>118</v>
      </c>
      <c r="AP2738">
        <v>0</v>
      </c>
      <c r="AQ2738">
        <v>-105</v>
      </c>
      <c r="AR2738">
        <v>-704</v>
      </c>
      <c r="AZ2738">
        <v>1200</v>
      </c>
      <c r="BA2738">
        <v>1</v>
      </c>
      <c r="BB2738" t="str">
        <f t="shared" si="1488"/>
        <v xml:space="preserve">N9217B  </v>
      </c>
      <c r="BC2738">
        <v>1</v>
      </c>
      <c r="BE2738">
        <v>0</v>
      </c>
      <c r="BF2738">
        <v>0</v>
      </c>
      <c r="BG2738">
        <v>0</v>
      </c>
      <c r="BH2738">
        <v>6450</v>
      </c>
      <c r="BI2738">
        <v>1</v>
      </c>
      <c r="BJ2738">
        <v>0</v>
      </c>
      <c r="BK2738">
        <v>0</v>
      </c>
      <c r="BL2738">
        <v>0</v>
      </c>
      <c r="BO2738">
        <v>0</v>
      </c>
      <c r="BP2738">
        <v>0</v>
      </c>
      <c r="BW2738" t="str">
        <f t="shared" si="1511"/>
        <v>14:55:45.943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7</v>
      </c>
      <c r="CP2738" t="s">
        <v>119</v>
      </c>
      <c r="CQ2738">
        <v>285</v>
      </c>
      <c r="CR2738">
        <v>0</v>
      </c>
      <c r="CW2738">
        <v>8870055</v>
      </c>
      <c r="CY2738">
        <v>0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25">
      <c r="A2739" t="str">
        <f t="shared" si="1509"/>
        <v>06/05/2020 14:55:40.304</v>
      </c>
      <c r="C2739" t="str">
        <f t="shared" si="1504"/>
        <v>FFDFD3C0</v>
      </c>
      <c r="D2739" t="s">
        <v>141</v>
      </c>
      <c r="E2739">
        <v>20</v>
      </c>
      <c r="F2739">
        <v>1020</v>
      </c>
      <c r="G2739" t="s">
        <v>114</v>
      </c>
      <c r="J2739" t="s">
        <v>142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si="1510"/>
        <v>14:55:45.938</v>
      </c>
      <c r="T2739" t="str">
        <f t="shared" si="1510"/>
        <v>14:55:45.938</v>
      </c>
      <c r="U2739" t="str">
        <f t="shared" si="1487"/>
        <v>ACC530</v>
      </c>
      <c r="V2739">
        <v>0</v>
      </c>
      <c r="W2739">
        <v>0</v>
      </c>
      <c r="X2739">
        <v>1</v>
      </c>
      <c r="Z2739">
        <v>0</v>
      </c>
      <c r="AA2739">
        <v>9</v>
      </c>
      <c r="AB2739">
        <v>3</v>
      </c>
      <c r="AC2739">
        <v>0</v>
      </c>
      <c r="AD2739">
        <v>9</v>
      </c>
      <c r="AE2739">
        <v>0</v>
      </c>
      <c r="AF2739">
        <v>3</v>
      </c>
      <c r="AG2739">
        <v>1</v>
      </c>
      <c r="AH2739">
        <v>0</v>
      </c>
      <c r="AI2739" t="s">
        <v>952</v>
      </c>
      <c r="AJ2739">
        <v>34.128942000000002</v>
      </c>
      <c r="AK2739" t="s">
        <v>953</v>
      </c>
      <c r="AL2739">
        <v>-117.057889</v>
      </c>
      <c r="AM2739">
        <v>100</v>
      </c>
      <c r="AN2739">
        <v>6600</v>
      </c>
      <c r="AO2739" t="s">
        <v>118</v>
      </c>
      <c r="AP2739">
        <v>0</v>
      </c>
      <c r="AQ2739">
        <v>-105</v>
      </c>
      <c r="AR2739">
        <v>-704</v>
      </c>
      <c r="AZ2739">
        <v>1200</v>
      </c>
      <c r="BA2739">
        <v>1</v>
      </c>
      <c r="BB2739" t="str">
        <f t="shared" si="1488"/>
        <v xml:space="preserve">N9217B  </v>
      </c>
      <c r="BC2739">
        <v>1</v>
      </c>
      <c r="BE2739">
        <v>0</v>
      </c>
      <c r="BF2739">
        <v>0</v>
      </c>
      <c r="BG2739">
        <v>0</v>
      </c>
      <c r="BH2739">
        <v>6450</v>
      </c>
      <c r="BI2739">
        <v>1</v>
      </c>
      <c r="BJ2739">
        <v>0</v>
      </c>
      <c r="BK2739">
        <v>0</v>
      </c>
      <c r="BL2739">
        <v>0</v>
      </c>
      <c r="BO2739">
        <v>0</v>
      </c>
      <c r="BP2739">
        <v>0</v>
      </c>
      <c r="BW2739" t="str">
        <f t="shared" si="1511"/>
        <v>14:55:45.943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7</v>
      </c>
      <c r="CP2739" t="s">
        <v>119</v>
      </c>
      <c r="CQ2739">
        <v>285</v>
      </c>
      <c r="CR2739">
        <v>0</v>
      </c>
      <c r="CW2739">
        <v>8870055</v>
      </c>
      <c r="CY2739">
        <v>0</v>
      </c>
      <c r="CZ2739">
        <v>0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25">
      <c r="A2740" t="str">
        <f t="shared" ref="A2740:A2746" si="1512">"06/05/2020 14:55:41.418"</f>
        <v>06/05/2020 14:55:41.418</v>
      </c>
      <c r="C2740" t="str">
        <f t="shared" si="1504"/>
        <v>FFDFD3C0</v>
      </c>
      <c r="D2740" t="s">
        <v>148</v>
      </c>
      <c r="E2740">
        <v>8</v>
      </c>
      <c r="H2740">
        <v>50</v>
      </c>
      <c r="I2740" t="s">
        <v>149</v>
      </c>
      <c r="J2740" t="s">
        <v>150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ref="S2740:S2746" si="1513">"14:55:47.031"</f>
        <v>14:55:47.031</v>
      </c>
      <c r="T2740" t="str">
        <f t="shared" ref="T2740:T2746" si="1514">"14:55:46.931"</f>
        <v>14:55:46.931</v>
      </c>
      <c r="U2740" t="str">
        <f t="shared" si="1487"/>
        <v>ACC530</v>
      </c>
      <c r="V2740">
        <v>0</v>
      </c>
      <c r="W2740">
        <v>0</v>
      </c>
      <c r="X2740">
        <v>1</v>
      </c>
      <c r="Z2740">
        <v>0</v>
      </c>
      <c r="AA2740">
        <v>9</v>
      </c>
      <c r="AB2740">
        <v>3</v>
      </c>
      <c r="AC2740">
        <v>0</v>
      </c>
      <c r="AD2740">
        <v>9</v>
      </c>
      <c r="AE2740">
        <v>0</v>
      </c>
      <c r="AF2740">
        <v>3</v>
      </c>
      <c r="AG2740">
        <v>1</v>
      </c>
      <c r="AH2740">
        <v>0</v>
      </c>
      <c r="AI2740" t="s">
        <v>954</v>
      </c>
      <c r="AJ2740">
        <v>34.128428</v>
      </c>
      <c r="AK2740" t="s">
        <v>953</v>
      </c>
      <c r="AL2740">
        <v>-117.057889</v>
      </c>
      <c r="AM2740">
        <v>100</v>
      </c>
      <c r="AN2740">
        <v>6500</v>
      </c>
      <c r="AO2740" t="s">
        <v>118</v>
      </c>
      <c r="AP2740">
        <v>2</v>
      </c>
      <c r="AQ2740">
        <v>-105</v>
      </c>
      <c r="AR2740">
        <v>-704</v>
      </c>
      <c r="AZ2740">
        <v>1200</v>
      </c>
      <c r="BA2740">
        <v>1</v>
      </c>
      <c r="BB2740" t="str">
        <f t="shared" si="1488"/>
        <v xml:space="preserve">N9217B  </v>
      </c>
      <c r="BC2740">
        <v>1</v>
      </c>
      <c r="BE2740">
        <v>0</v>
      </c>
      <c r="BF2740">
        <v>0</v>
      </c>
      <c r="BG2740">
        <v>0</v>
      </c>
      <c r="BH2740">
        <v>6425</v>
      </c>
      <c r="BI2740">
        <v>1</v>
      </c>
      <c r="BJ2740">
        <v>0</v>
      </c>
      <c r="BK2740">
        <v>0</v>
      </c>
      <c r="BL2740">
        <v>0</v>
      </c>
      <c r="BO2740">
        <v>0</v>
      </c>
      <c r="BP2740">
        <v>0</v>
      </c>
      <c r="BW2740" t="str">
        <f t="shared" ref="BW2740:BW2746" si="1515">"14:55:47.038"</f>
        <v>14:55:47.038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7</v>
      </c>
      <c r="CP2740" t="s">
        <v>119</v>
      </c>
      <c r="CQ2740">
        <v>285</v>
      </c>
      <c r="CR2740">
        <v>0</v>
      </c>
      <c r="CW2740">
        <v>8870153</v>
      </c>
      <c r="CY2740">
        <v>0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25">
      <c r="A2741" t="str">
        <f t="shared" si="1512"/>
        <v>06/05/2020 14:55:41.418</v>
      </c>
      <c r="C2741" t="str">
        <f t="shared" si="1504"/>
        <v>FFDFD3C0</v>
      </c>
      <c r="D2741" t="s">
        <v>151</v>
      </c>
      <c r="E2741">
        <v>8</v>
      </c>
      <c r="H2741">
        <v>225</v>
      </c>
      <c r="I2741" t="s">
        <v>353</v>
      </c>
      <c r="J2741" t="s">
        <v>150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513"/>
        <v>14:55:47.031</v>
      </c>
      <c r="T2741" t="str">
        <f t="shared" si="1514"/>
        <v>14:55:46.931</v>
      </c>
      <c r="U2741" t="str">
        <f t="shared" si="1487"/>
        <v>ACC530</v>
      </c>
      <c r="V2741">
        <v>0</v>
      </c>
      <c r="W2741">
        <v>0</v>
      </c>
      <c r="X2741">
        <v>1</v>
      </c>
      <c r="Z2741">
        <v>0</v>
      </c>
      <c r="AA2741">
        <v>9</v>
      </c>
      <c r="AB2741">
        <v>3</v>
      </c>
      <c r="AC2741">
        <v>0</v>
      </c>
      <c r="AD2741">
        <v>9</v>
      </c>
      <c r="AE2741">
        <v>0</v>
      </c>
      <c r="AF2741">
        <v>3</v>
      </c>
      <c r="AG2741">
        <v>1</v>
      </c>
      <c r="AH2741">
        <v>0</v>
      </c>
      <c r="AI2741" t="s">
        <v>954</v>
      </c>
      <c r="AJ2741">
        <v>34.128428</v>
      </c>
      <c r="AK2741" t="s">
        <v>953</v>
      </c>
      <c r="AL2741">
        <v>-117.057889</v>
      </c>
      <c r="AM2741">
        <v>100</v>
      </c>
      <c r="AN2741">
        <v>6500</v>
      </c>
      <c r="AO2741" t="s">
        <v>118</v>
      </c>
      <c r="AP2741">
        <v>2</v>
      </c>
      <c r="AQ2741">
        <v>-105</v>
      </c>
      <c r="AR2741">
        <v>-704</v>
      </c>
      <c r="AZ2741">
        <v>1200</v>
      </c>
      <c r="BA2741">
        <v>1</v>
      </c>
      <c r="BB2741" t="str">
        <f t="shared" si="1488"/>
        <v xml:space="preserve">N9217B  </v>
      </c>
      <c r="BC2741">
        <v>1</v>
      </c>
      <c r="BE2741">
        <v>0</v>
      </c>
      <c r="BF2741">
        <v>0</v>
      </c>
      <c r="BG2741">
        <v>0</v>
      </c>
      <c r="BH2741">
        <v>6425</v>
      </c>
      <c r="BI2741">
        <v>1</v>
      </c>
      <c r="BJ2741">
        <v>0</v>
      </c>
      <c r="BK2741">
        <v>0</v>
      </c>
      <c r="BL2741">
        <v>0</v>
      </c>
      <c r="BO2741">
        <v>0</v>
      </c>
      <c r="BP2741">
        <v>0</v>
      </c>
      <c r="BW2741" t="str">
        <f t="shared" si="1515"/>
        <v>14:55:47.038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7</v>
      </c>
      <c r="CP2741" t="s">
        <v>119</v>
      </c>
      <c r="CQ2741">
        <v>285</v>
      </c>
      <c r="CR2741">
        <v>0</v>
      </c>
      <c r="CW2741">
        <v>8870153</v>
      </c>
      <c r="CY2741">
        <v>0</v>
      </c>
      <c r="CZ2741">
        <v>0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25">
      <c r="A2742" t="str">
        <f t="shared" si="1512"/>
        <v>06/05/2020 14:55:41.418</v>
      </c>
      <c r="C2742" t="str">
        <f t="shared" si="1504"/>
        <v>FFDFD3C0</v>
      </c>
      <c r="D2742" t="s">
        <v>134</v>
      </c>
      <c r="E2742">
        <v>7</v>
      </c>
      <c r="F2742">
        <v>2007</v>
      </c>
      <c r="G2742" t="s">
        <v>135</v>
      </c>
      <c r="J2742" t="s">
        <v>136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513"/>
        <v>14:55:47.031</v>
      </c>
      <c r="T2742" t="str">
        <f t="shared" si="1514"/>
        <v>14:55:46.931</v>
      </c>
      <c r="U2742" t="str">
        <f t="shared" si="1487"/>
        <v>ACC530</v>
      </c>
      <c r="V2742">
        <v>0</v>
      </c>
      <c r="W2742">
        <v>0</v>
      </c>
      <c r="X2742">
        <v>1</v>
      </c>
      <c r="Z2742">
        <v>0</v>
      </c>
      <c r="AA2742">
        <v>9</v>
      </c>
      <c r="AB2742">
        <v>3</v>
      </c>
      <c r="AC2742">
        <v>0</v>
      </c>
      <c r="AD2742">
        <v>9</v>
      </c>
      <c r="AE2742">
        <v>0</v>
      </c>
      <c r="AF2742">
        <v>3</v>
      </c>
      <c r="AG2742">
        <v>1</v>
      </c>
      <c r="AH2742">
        <v>0</v>
      </c>
      <c r="AI2742" t="s">
        <v>954</v>
      </c>
      <c r="AJ2742">
        <v>34.128428</v>
      </c>
      <c r="AK2742" t="s">
        <v>953</v>
      </c>
      <c r="AL2742">
        <v>-117.057889</v>
      </c>
      <c r="AM2742">
        <v>100</v>
      </c>
      <c r="AN2742">
        <v>6500</v>
      </c>
      <c r="AO2742" t="s">
        <v>118</v>
      </c>
      <c r="AP2742">
        <v>2</v>
      </c>
      <c r="AQ2742">
        <v>-105</v>
      </c>
      <c r="AR2742">
        <v>-704</v>
      </c>
      <c r="AZ2742">
        <v>1200</v>
      </c>
      <c r="BA2742">
        <v>1</v>
      </c>
      <c r="BB2742" t="str">
        <f t="shared" si="1488"/>
        <v xml:space="preserve">N9217B  </v>
      </c>
      <c r="BC2742">
        <v>1</v>
      </c>
      <c r="BE2742">
        <v>0</v>
      </c>
      <c r="BF2742">
        <v>0</v>
      </c>
      <c r="BG2742">
        <v>0</v>
      </c>
      <c r="BH2742">
        <v>6425</v>
      </c>
      <c r="BI2742">
        <v>1</v>
      </c>
      <c r="BJ2742">
        <v>0</v>
      </c>
      <c r="BK2742">
        <v>0</v>
      </c>
      <c r="BL2742">
        <v>0</v>
      </c>
      <c r="BO2742">
        <v>0</v>
      </c>
      <c r="BP2742">
        <v>0</v>
      </c>
      <c r="BW2742" t="str">
        <f t="shared" si="1515"/>
        <v>14:55:47.038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285</v>
      </c>
      <c r="CR2742">
        <v>0</v>
      </c>
      <c r="CW2742">
        <v>8870153</v>
      </c>
      <c r="CY2742">
        <v>0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25">
      <c r="A2743" t="str">
        <f t="shared" si="1512"/>
        <v>06/05/2020 14:55:41.418</v>
      </c>
      <c r="C2743" t="str">
        <f t="shared" si="1504"/>
        <v>FFDFD3C0</v>
      </c>
      <c r="D2743" t="s">
        <v>148</v>
      </c>
      <c r="E2743">
        <v>11</v>
      </c>
      <c r="H2743">
        <v>53</v>
      </c>
      <c r="I2743" t="s">
        <v>364</v>
      </c>
      <c r="J2743" t="s">
        <v>150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513"/>
        <v>14:55:47.031</v>
      </c>
      <c r="T2743" t="str">
        <f t="shared" si="1514"/>
        <v>14:55:46.931</v>
      </c>
      <c r="U2743" t="str">
        <f t="shared" si="1487"/>
        <v>ACC530</v>
      </c>
      <c r="V2743">
        <v>0</v>
      </c>
      <c r="W2743">
        <v>0</v>
      </c>
      <c r="X2743">
        <v>1</v>
      </c>
      <c r="Z2743">
        <v>0</v>
      </c>
      <c r="AA2743">
        <v>9</v>
      </c>
      <c r="AB2743">
        <v>3</v>
      </c>
      <c r="AC2743">
        <v>0</v>
      </c>
      <c r="AD2743">
        <v>9</v>
      </c>
      <c r="AE2743">
        <v>0</v>
      </c>
      <c r="AF2743">
        <v>3</v>
      </c>
      <c r="AG2743">
        <v>1</v>
      </c>
      <c r="AH2743">
        <v>0</v>
      </c>
      <c r="AI2743" t="s">
        <v>954</v>
      </c>
      <c r="AJ2743">
        <v>34.128428</v>
      </c>
      <c r="AK2743" t="s">
        <v>953</v>
      </c>
      <c r="AL2743">
        <v>-117.057889</v>
      </c>
      <c r="AM2743">
        <v>100</v>
      </c>
      <c r="AN2743">
        <v>6500</v>
      </c>
      <c r="AO2743" t="s">
        <v>118</v>
      </c>
      <c r="AP2743">
        <v>2</v>
      </c>
      <c r="AQ2743">
        <v>-105</v>
      </c>
      <c r="AR2743">
        <v>-704</v>
      </c>
      <c r="AZ2743">
        <v>1200</v>
      </c>
      <c r="BA2743">
        <v>1</v>
      </c>
      <c r="BB2743" t="str">
        <f t="shared" si="1488"/>
        <v xml:space="preserve">N9217B  </v>
      </c>
      <c r="BC2743">
        <v>1</v>
      </c>
      <c r="BE2743">
        <v>0</v>
      </c>
      <c r="BF2743">
        <v>0</v>
      </c>
      <c r="BG2743">
        <v>0</v>
      </c>
      <c r="BH2743">
        <v>6425</v>
      </c>
      <c r="BI2743">
        <v>1</v>
      </c>
      <c r="BJ2743">
        <v>0</v>
      </c>
      <c r="BK2743">
        <v>0</v>
      </c>
      <c r="BL2743">
        <v>0</v>
      </c>
      <c r="BO2743">
        <v>0</v>
      </c>
      <c r="BP2743">
        <v>0</v>
      </c>
      <c r="BW2743" t="str">
        <f t="shared" si="1515"/>
        <v>14:55:47.038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7</v>
      </c>
      <c r="CP2743" t="s">
        <v>119</v>
      </c>
      <c r="CQ2743">
        <v>285</v>
      </c>
      <c r="CR2743">
        <v>0</v>
      </c>
      <c r="CW2743">
        <v>8870153</v>
      </c>
      <c r="CY2743">
        <v>0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25">
      <c r="A2744" t="str">
        <f t="shared" si="1512"/>
        <v>06/05/2020 14:55:41.418</v>
      </c>
      <c r="C2744" t="str">
        <f t="shared" si="1504"/>
        <v>FFDFD3C0</v>
      </c>
      <c r="D2744" t="s">
        <v>141</v>
      </c>
      <c r="E2744">
        <v>20</v>
      </c>
      <c r="F2744">
        <v>1020</v>
      </c>
      <c r="G2744" t="s">
        <v>114</v>
      </c>
      <c r="J2744" t="s">
        <v>142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513"/>
        <v>14:55:47.031</v>
      </c>
      <c r="T2744" t="str">
        <f t="shared" si="1514"/>
        <v>14:55:46.931</v>
      </c>
      <c r="U2744" t="str">
        <f t="shared" si="1487"/>
        <v>ACC530</v>
      </c>
      <c r="V2744">
        <v>0</v>
      </c>
      <c r="W2744">
        <v>0</v>
      </c>
      <c r="X2744">
        <v>1</v>
      </c>
      <c r="Z2744">
        <v>0</v>
      </c>
      <c r="AA2744">
        <v>9</v>
      </c>
      <c r="AB2744">
        <v>3</v>
      </c>
      <c r="AC2744">
        <v>0</v>
      </c>
      <c r="AD2744">
        <v>9</v>
      </c>
      <c r="AE2744">
        <v>0</v>
      </c>
      <c r="AF2744">
        <v>3</v>
      </c>
      <c r="AG2744">
        <v>1</v>
      </c>
      <c r="AH2744">
        <v>0</v>
      </c>
      <c r="AI2744" t="s">
        <v>954</v>
      </c>
      <c r="AJ2744">
        <v>34.128428</v>
      </c>
      <c r="AK2744" t="s">
        <v>953</v>
      </c>
      <c r="AL2744">
        <v>-117.057889</v>
      </c>
      <c r="AM2744">
        <v>100</v>
      </c>
      <c r="AN2744">
        <v>6500</v>
      </c>
      <c r="AO2744" t="s">
        <v>118</v>
      </c>
      <c r="AP2744">
        <v>2</v>
      </c>
      <c r="AQ2744">
        <v>-105</v>
      </c>
      <c r="AR2744">
        <v>-704</v>
      </c>
      <c r="AZ2744">
        <v>1200</v>
      </c>
      <c r="BA2744">
        <v>1</v>
      </c>
      <c r="BB2744" t="str">
        <f t="shared" si="1488"/>
        <v xml:space="preserve">N9217B  </v>
      </c>
      <c r="BC2744">
        <v>1</v>
      </c>
      <c r="BE2744">
        <v>0</v>
      </c>
      <c r="BF2744">
        <v>0</v>
      </c>
      <c r="BG2744">
        <v>0</v>
      </c>
      <c r="BH2744">
        <v>6425</v>
      </c>
      <c r="BI2744">
        <v>1</v>
      </c>
      <c r="BJ2744">
        <v>0</v>
      </c>
      <c r="BK2744">
        <v>0</v>
      </c>
      <c r="BL2744">
        <v>0</v>
      </c>
      <c r="BO2744">
        <v>0</v>
      </c>
      <c r="BP2744">
        <v>0</v>
      </c>
      <c r="BW2744" t="str">
        <f t="shared" si="1515"/>
        <v>14:55:47.038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7</v>
      </c>
      <c r="CP2744" t="s">
        <v>119</v>
      </c>
      <c r="CQ2744">
        <v>285</v>
      </c>
      <c r="CR2744">
        <v>0</v>
      </c>
      <c r="CW2744">
        <v>8870153</v>
      </c>
      <c r="CY2744">
        <v>0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25">
      <c r="A2745" t="str">
        <f t="shared" si="1512"/>
        <v>06/05/2020 14:55:41.418</v>
      </c>
      <c r="C2745" t="str">
        <f t="shared" si="1504"/>
        <v>FFDFD3C0</v>
      </c>
      <c r="D2745" t="s">
        <v>113</v>
      </c>
      <c r="E2745">
        <v>3</v>
      </c>
      <c r="H2745">
        <v>166</v>
      </c>
      <c r="I2745" t="s">
        <v>114</v>
      </c>
      <c r="J2745" t="s">
        <v>115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513"/>
        <v>14:55:47.031</v>
      </c>
      <c r="T2745" t="str">
        <f t="shared" si="1514"/>
        <v>14:55:46.931</v>
      </c>
      <c r="U2745" t="str">
        <f t="shared" si="1487"/>
        <v>ACC530</v>
      </c>
      <c r="V2745">
        <v>0</v>
      </c>
      <c r="W2745">
        <v>0</v>
      </c>
      <c r="X2745">
        <v>1</v>
      </c>
      <c r="Z2745">
        <v>0</v>
      </c>
      <c r="AA2745">
        <v>9</v>
      </c>
      <c r="AB2745">
        <v>3</v>
      </c>
      <c r="AC2745">
        <v>0</v>
      </c>
      <c r="AD2745">
        <v>9</v>
      </c>
      <c r="AE2745">
        <v>0</v>
      </c>
      <c r="AF2745">
        <v>3</v>
      </c>
      <c r="AG2745">
        <v>1</v>
      </c>
      <c r="AH2745">
        <v>0</v>
      </c>
      <c r="AI2745" t="s">
        <v>954</v>
      </c>
      <c r="AJ2745">
        <v>34.128428</v>
      </c>
      <c r="AK2745" t="s">
        <v>953</v>
      </c>
      <c r="AL2745">
        <v>-117.057889</v>
      </c>
      <c r="AM2745">
        <v>100</v>
      </c>
      <c r="AN2745">
        <v>6500</v>
      </c>
      <c r="AO2745" t="s">
        <v>118</v>
      </c>
      <c r="AP2745">
        <v>2</v>
      </c>
      <c r="AQ2745">
        <v>-105</v>
      </c>
      <c r="AR2745">
        <v>-704</v>
      </c>
      <c r="AZ2745">
        <v>1200</v>
      </c>
      <c r="BA2745">
        <v>1</v>
      </c>
      <c r="BB2745" t="str">
        <f t="shared" si="1488"/>
        <v xml:space="preserve">N9217B  </v>
      </c>
      <c r="BC2745">
        <v>1</v>
      </c>
      <c r="BE2745">
        <v>0</v>
      </c>
      <c r="BF2745">
        <v>0</v>
      </c>
      <c r="BG2745">
        <v>0</v>
      </c>
      <c r="BH2745">
        <v>6425</v>
      </c>
      <c r="BI2745">
        <v>1</v>
      </c>
      <c r="BJ2745">
        <v>0</v>
      </c>
      <c r="BK2745">
        <v>0</v>
      </c>
      <c r="BL2745">
        <v>0</v>
      </c>
      <c r="BO2745">
        <v>0</v>
      </c>
      <c r="BP2745">
        <v>0</v>
      </c>
      <c r="BW2745" t="str">
        <f t="shared" si="1515"/>
        <v>14:55:47.038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7</v>
      </c>
      <c r="CP2745" t="s">
        <v>119</v>
      </c>
      <c r="CQ2745">
        <v>285</v>
      </c>
      <c r="CR2745">
        <v>0</v>
      </c>
      <c r="CW2745">
        <v>8870153</v>
      </c>
      <c r="CY2745">
        <v>0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25">
      <c r="A2746" t="str">
        <f t="shared" si="1512"/>
        <v>06/05/2020 14:55:41.418</v>
      </c>
      <c r="C2746" t="str">
        <f t="shared" si="1504"/>
        <v>FFDFD3C0</v>
      </c>
      <c r="D2746" t="s">
        <v>151</v>
      </c>
      <c r="E2746">
        <v>9</v>
      </c>
      <c r="H2746">
        <v>226</v>
      </c>
      <c r="I2746" t="s">
        <v>152</v>
      </c>
      <c r="J2746" t="s">
        <v>150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513"/>
        <v>14:55:47.031</v>
      </c>
      <c r="T2746" t="str">
        <f t="shared" si="1514"/>
        <v>14:55:46.931</v>
      </c>
      <c r="U2746" t="str">
        <f t="shared" si="1487"/>
        <v>ACC530</v>
      </c>
      <c r="V2746">
        <v>0</v>
      </c>
      <c r="W2746">
        <v>0</v>
      </c>
      <c r="X2746">
        <v>1</v>
      </c>
      <c r="Z2746">
        <v>0</v>
      </c>
      <c r="AA2746">
        <v>9</v>
      </c>
      <c r="AB2746">
        <v>3</v>
      </c>
      <c r="AC2746">
        <v>0</v>
      </c>
      <c r="AD2746">
        <v>9</v>
      </c>
      <c r="AE2746">
        <v>0</v>
      </c>
      <c r="AF2746">
        <v>3</v>
      </c>
      <c r="AG2746">
        <v>1</v>
      </c>
      <c r="AH2746">
        <v>0</v>
      </c>
      <c r="AI2746" t="s">
        <v>954</v>
      </c>
      <c r="AJ2746">
        <v>34.128428</v>
      </c>
      <c r="AK2746" t="s">
        <v>953</v>
      </c>
      <c r="AL2746">
        <v>-117.057889</v>
      </c>
      <c r="AM2746">
        <v>100</v>
      </c>
      <c r="AN2746">
        <v>6500</v>
      </c>
      <c r="AO2746" t="s">
        <v>118</v>
      </c>
      <c r="AP2746">
        <v>2</v>
      </c>
      <c r="AQ2746">
        <v>-105</v>
      </c>
      <c r="AR2746">
        <v>-704</v>
      </c>
      <c r="AZ2746">
        <v>1200</v>
      </c>
      <c r="BA2746">
        <v>1</v>
      </c>
      <c r="BB2746" t="str">
        <f t="shared" si="1488"/>
        <v xml:space="preserve">N9217B  </v>
      </c>
      <c r="BC2746">
        <v>1</v>
      </c>
      <c r="BE2746">
        <v>0</v>
      </c>
      <c r="BF2746">
        <v>0</v>
      </c>
      <c r="BG2746">
        <v>0</v>
      </c>
      <c r="BH2746">
        <v>6425</v>
      </c>
      <c r="BI2746">
        <v>1</v>
      </c>
      <c r="BJ2746">
        <v>0</v>
      </c>
      <c r="BK2746">
        <v>0</v>
      </c>
      <c r="BL2746">
        <v>0</v>
      </c>
      <c r="BO2746">
        <v>0</v>
      </c>
      <c r="BP2746">
        <v>0</v>
      </c>
      <c r="BW2746" t="str">
        <f t="shared" si="1515"/>
        <v>14:55:47.038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285</v>
      </c>
      <c r="CR2746">
        <v>0</v>
      </c>
      <c r="CW2746">
        <v>8870153</v>
      </c>
      <c r="CY2746">
        <v>0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25">
      <c r="A2747" t="str">
        <f t="shared" ref="A2747:A2753" si="1516">"06/05/2020 14:55:42.340"</f>
        <v>06/05/2020 14:55:42.340</v>
      </c>
      <c r="C2747" t="str">
        <f t="shared" si="1504"/>
        <v>FFDFD3C0</v>
      </c>
      <c r="D2747" t="s">
        <v>151</v>
      </c>
      <c r="E2747">
        <v>8</v>
      </c>
      <c r="H2747">
        <v>225</v>
      </c>
      <c r="I2747" t="s">
        <v>353</v>
      </c>
      <c r="J2747" t="s">
        <v>150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ref="S2747:S2753" si="1517">"14:55:47.992"</f>
        <v>14:55:47.992</v>
      </c>
      <c r="T2747" t="str">
        <f t="shared" ref="T2747:T2753" si="1518">"14:55:47.792"</f>
        <v>14:55:47.792</v>
      </c>
      <c r="U2747" t="str">
        <f t="shared" si="1487"/>
        <v>ACC530</v>
      </c>
      <c r="V2747">
        <v>0</v>
      </c>
      <c r="W2747">
        <v>0</v>
      </c>
      <c r="X2747">
        <v>1</v>
      </c>
      <c r="Z2747">
        <v>0</v>
      </c>
      <c r="AA2747">
        <v>9</v>
      </c>
      <c r="AB2747">
        <v>3</v>
      </c>
      <c r="AC2747">
        <v>0</v>
      </c>
      <c r="AD2747">
        <v>9</v>
      </c>
      <c r="AE2747">
        <v>0</v>
      </c>
      <c r="AF2747">
        <v>3</v>
      </c>
      <c r="AG2747">
        <v>1</v>
      </c>
      <c r="AH2747">
        <v>0</v>
      </c>
      <c r="AI2747" t="s">
        <v>955</v>
      </c>
      <c r="AJ2747">
        <v>34.127934000000003</v>
      </c>
      <c r="AK2747" t="s">
        <v>947</v>
      </c>
      <c r="AL2747">
        <v>-117.057867</v>
      </c>
      <c r="AM2747">
        <v>100</v>
      </c>
      <c r="AN2747">
        <v>6500</v>
      </c>
      <c r="AO2747" t="s">
        <v>118</v>
      </c>
      <c r="AP2747">
        <v>3</v>
      </c>
      <c r="AQ2747">
        <v>-105</v>
      </c>
      <c r="AR2747">
        <v>-704</v>
      </c>
      <c r="AZ2747">
        <v>1200</v>
      </c>
      <c r="BA2747">
        <v>1</v>
      </c>
      <c r="BB2747" t="str">
        <f t="shared" si="1488"/>
        <v xml:space="preserve">N9217B  </v>
      </c>
      <c r="BC2747">
        <v>1</v>
      </c>
      <c r="BE2747">
        <v>0</v>
      </c>
      <c r="BF2747">
        <v>0</v>
      </c>
      <c r="BG2747">
        <v>0</v>
      </c>
      <c r="BH2747">
        <v>6425</v>
      </c>
      <c r="BI2747">
        <v>1</v>
      </c>
      <c r="BJ2747">
        <v>0</v>
      </c>
      <c r="BK2747">
        <v>0</v>
      </c>
      <c r="BL2747">
        <v>0</v>
      </c>
      <c r="BO2747">
        <v>0</v>
      </c>
      <c r="BP2747">
        <v>0</v>
      </c>
      <c r="BW2747" t="str">
        <f t="shared" ref="BW2747:BW2753" si="1519">"14:55:47.998"</f>
        <v>14:55:47.998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119</v>
      </c>
      <c r="CQ2747">
        <v>285</v>
      </c>
      <c r="CR2747">
        <v>0</v>
      </c>
      <c r="CW2747">
        <v>8870239</v>
      </c>
      <c r="CY2747">
        <v>0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25">
      <c r="A2748" t="str">
        <f t="shared" si="1516"/>
        <v>06/05/2020 14:55:42.340</v>
      </c>
      <c r="C2748" t="str">
        <f t="shared" si="1504"/>
        <v>FFDFD3C0</v>
      </c>
      <c r="D2748" t="s">
        <v>134</v>
      </c>
      <c r="E2748">
        <v>7</v>
      </c>
      <c r="F2748">
        <v>2007</v>
      </c>
      <c r="G2748" t="s">
        <v>135</v>
      </c>
      <c r="J2748" t="s">
        <v>136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517"/>
        <v>14:55:47.992</v>
      </c>
      <c r="T2748" t="str">
        <f t="shared" si="1518"/>
        <v>14:55:47.792</v>
      </c>
      <c r="U2748" t="str">
        <f t="shared" si="1487"/>
        <v>ACC530</v>
      </c>
      <c r="V2748">
        <v>0</v>
      </c>
      <c r="W2748">
        <v>0</v>
      </c>
      <c r="X2748">
        <v>1</v>
      </c>
      <c r="Z2748">
        <v>0</v>
      </c>
      <c r="AA2748">
        <v>9</v>
      </c>
      <c r="AB2748">
        <v>3</v>
      </c>
      <c r="AC2748">
        <v>0</v>
      </c>
      <c r="AD2748">
        <v>9</v>
      </c>
      <c r="AE2748">
        <v>0</v>
      </c>
      <c r="AF2748">
        <v>3</v>
      </c>
      <c r="AG2748">
        <v>1</v>
      </c>
      <c r="AH2748">
        <v>0</v>
      </c>
      <c r="AI2748" t="s">
        <v>955</v>
      </c>
      <c r="AJ2748">
        <v>34.127934000000003</v>
      </c>
      <c r="AK2748" t="s">
        <v>947</v>
      </c>
      <c r="AL2748">
        <v>-117.057867</v>
      </c>
      <c r="AM2748">
        <v>100</v>
      </c>
      <c r="AN2748">
        <v>6500</v>
      </c>
      <c r="AO2748" t="s">
        <v>118</v>
      </c>
      <c r="AP2748">
        <v>3</v>
      </c>
      <c r="AQ2748">
        <v>-105</v>
      </c>
      <c r="AR2748">
        <v>-704</v>
      </c>
      <c r="AZ2748">
        <v>1200</v>
      </c>
      <c r="BA2748">
        <v>1</v>
      </c>
      <c r="BB2748" t="str">
        <f t="shared" si="1488"/>
        <v xml:space="preserve">N9217B  </v>
      </c>
      <c r="BC2748">
        <v>1</v>
      </c>
      <c r="BE2748">
        <v>0</v>
      </c>
      <c r="BF2748">
        <v>0</v>
      </c>
      <c r="BG2748">
        <v>0</v>
      </c>
      <c r="BH2748">
        <v>6425</v>
      </c>
      <c r="BI2748">
        <v>1</v>
      </c>
      <c r="BJ2748">
        <v>0</v>
      </c>
      <c r="BK2748">
        <v>0</v>
      </c>
      <c r="BL2748">
        <v>0</v>
      </c>
      <c r="BO2748">
        <v>0</v>
      </c>
      <c r="BP2748">
        <v>0</v>
      </c>
      <c r="BW2748" t="str">
        <f t="shared" si="1519"/>
        <v>14:55:47.998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119</v>
      </c>
      <c r="CQ2748">
        <v>285</v>
      </c>
      <c r="CR2748">
        <v>0</v>
      </c>
      <c r="CW2748">
        <v>8870239</v>
      </c>
      <c r="CY2748">
        <v>0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25">
      <c r="A2749" t="str">
        <f t="shared" si="1516"/>
        <v>06/05/2020 14:55:42.340</v>
      </c>
      <c r="C2749" t="str">
        <f t="shared" si="1504"/>
        <v>FFDFD3C0</v>
      </c>
      <c r="D2749" t="s">
        <v>148</v>
      </c>
      <c r="E2749">
        <v>11</v>
      </c>
      <c r="H2749">
        <v>53</v>
      </c>
      <c r="I2749" t="s">
        <v>364</v>
      </c>
      <c r="J2749" t="s">
        <v>150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517"/>
        <v>14:55:47.992</v>
      </c>
      <c r="T2749" t="str">
        <f t="shared" si="1518"/>
        <v>14:55:47.792</v>
      </c>
      <c r="U2749" t="str">
        <f t="shared" si="1487"/>
        <v>ACC530</v>
      </c>
      <c r="V2749">
        <v>0</v>
      </c>
      <c r="W2749">
        <v>0</v>
      </c>
      <c r="X2749">
        <v>1</v>
      </c>
      <c r="Z2749">
        <v>0</v>
      </c>
      <c r="AA2749">
        <v>9</v>
      </c>
      <c r="AB2749">
        <v>3</v>
      </c>
      <c r="AC2749">
        <v>0</v>
      </c>
      <c r="AD2749">
        <v>9</v>
      </c>
      <c r="AE2749">
        <v>0</v>
      </c>
      <c r="AF2749">
        <v>3</v>
      </c>
      <c r="AG2749">
        <v>1</v>
      </c>
      <c r="AH2749">
        <v>0</v>
      </c>
      <c r="AI2749" t="s">
        <v>955</v>
      </c>
      <c r="AJ2749">
        <v>34.127934000000003</v>
      </c>
      <c r="AK2749" t="s">
        <v>947</v>
      </c>
      <c r="AL2749">
        <v>-117.057867</v>
      </c>
      <c r="AM2749">
        <v>100</v>
      </c>
      <c r="AN2749">
        <v>6500</v>
      </c>
      <c r="AO2749" t="s">
        <v>118</v>
      </c>
      <c r="AP2749">
        <v>3</v>
      </c>
      <c r="AQ2749">
        <v>-105</v>
      </c>
      <c r="AR2749">
        <v>-704</v>
      </c>
      <c r="AZ2749">
        <v>1200</v>
      </c>
      <c r="BA2749">
        <v>1</v>
      </c>
      <c r="BB2749" t="str">
        <f t="shared" si="1488"/>
        <v xml:space="preserve">N9217B  </v>
      </c>
      <c r="BC2749">
        <v>1</v>
      </c>
      <c r="BE2749">
        <v>0</v>
      </c>
      <c r="BF2749">
        <v>0</v>
      </c>
      <c r="BG2749">
        <v>0</v>
      </c>
      <c r="BH2749">
        <v>6425</v>
      </c>
      <c r="BI2749">
        <v>1</v>
      </c>
      <c r="BJ2749">
        <v>0</v>
      </c>
      <c r="BK2749">
        <v>0</v>
      </c>
      <c r="BL2749">
        <v>0</v>
      </c>
      <c r="BO2749">
        <v>0</v>
      </c>
      <c r="BP2749">
        <v>0</v>
      </c>
      <c r="BW2749" t="str">
        <f t="shared" si="1519"/>
        <v>14:55:47.998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119</v>
      </c>
      <c r="CQ2749">
        <v>285</v>
      </c>
      <c r="CR2749">
        <v>0</v>
      </c>
      <c r="CW2749">
        <v>8870239</v>
      </c>
      <c r="CY2749">
        <v>0</v>
      </c>
      <c r="CZ2749">
        <v>0</v>
      </c>
      <c r="DA2749">
        <v>1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25">
      <c r="A2750" t="str">
        <f t="shared" si="1516"/>
        <v>06/05/2020 14:55:42.340</v>
      </c>
      <c r="C2750" t="str">
        <f t="shared" si="1504"/>
        <v>FFDFD3C0</v>
      </c>
      <c r="D2750" t="s">
        <v>141</v>
      </c>
      <c r="E2750">
        <v>20</v>
      </c>
      <c r="F2750">
        <v>1020</v>
      </c>
      <c r="G2750" t="s">
        <v>114</v>
      </c>
      <c r="J2750" t="s">
        <v>142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517"/>
        <v>14:55:47.992</v>
      </c>
      <c r="T2750" t="str">
        <f t="shared" si="1518"/>
        <v>14:55:47.792</v>
      </c>
      <c r="U2750" t="str">
        <f t="shared" si="1487"/>
        <v>ACC530</v>
      </c>
      <c r="V2750">
        <v>0</v>
      </c>
      <c r="W2750">
        <v>0</v>
      </c>
      <c r="X2750">
        <v>1</v>
      </c>
      <c r="Z2750">
        <v>0</v>
      </c>
      <c r="AA2750">
        <v>9</v>
      </c>
      <c r="AB2750">
        <v>3</v>
      </c>
      <c r="AC2750">
        <v>0</v>
      </c>
      <c r="AD2750">
        <v>9</v>
      </c>
      <c r="AE2750">
        <v>0</v>
      </c>
      <c r="AF2750">
        <v>3</v>
      </c>
      <c r="AG2750">
        <v>1</v>
      </c>
      <c r="AH2750">
        <v>0</v>
      </c>
      <c r="AI2750" t="s">
        <v>955</v>
      </c>
      <c r="AJ2750">
        <v>34.127934000000003</v>
      </c>
      <c r="AK2750" t="s">
        <v>947</v>
      </c>
      <c r="AL2750">
        <v>-117.057867</v>
      </c>
      <c r="AM2750">
        <v>100</v>
      </c>
      <c r="AN2750">
        <v>6500</v>
      </c>
      <c r="AO2750" t="s">
        <v>118</v>
      </c>
      <c r="AP2750">
        <v>3</v>
      </c>
      <c r="AQ2750">
        <v>-105</v>
      </c>
      <c r="AR2750">
        <v>-704</v>
      </c>
      <c r="AZ2750">
        <v>1200</v>
      </c>
      <c r="BA2750">
        <v>1</v>
      </c>
      <c r="BB2750" t="str">
        <f t="shared" si="1488"/>
        <v xml:space="preserve">N9217B  </v>
      </c>
      <c r="BC2750">
        <v>1</v>
      </c>
      <c r="BE2750">
        <v>0</v>
      </c>
      <c r="BF2750">
        <v>0</v>
      </c>
      <c r="BG2750">
        <v>0</v>
      </c>
      <c r="BH2750">
        <v>6425</v>
      </c>
      <c r="BI2750">
        <v>1</v>
      </c>
      <c r="BJ2750">
        <v>0</v>
      </c>
      <c r="BK2750">
        <v>0</v>
      </c>
      <c r="BL2750">
        <v>0</v>
      </c>
      <c r="BO2750">
        <v>0</v>
      </c>
      <c r="BP2750">
        <v>0</v>
      </c>
      <c r="BW2750" t="str">
        <f t="shared" si="1519"/>
        <v>14:55:47.998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285</v>
      </c>
      <c r="CR2750">
        <v>0</v>
      </c>
      <c r="CW2750">
        <v>8870239</v>
      </c>
      <c r="CY2750">
        <v>0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25">
      <c r="A2751" t="str">
        <f t="shared" si="1516"/>
        <v>06/05/2020 14:55:42.340</v>
      </c>
      <c r="C2751" t="str">
        <f t="shared" si="1504"/>
        <v>FFDFD3C0</v>
      </c>
      <c r="D2751" t="s">
        <v>113</v>
      </c>
      <c r="E2751">
        <v>3</v>
      </c>
      <c r="H2751">
        <v>166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517"/>
        <v>14:55:47.992</v>
      </c>
      <c r="T2751" t="str">
        <f t="shared" si="1518"/>
        <v>14:55:47.792</v>
      </c>
      <c r="U2751" t="str">
        <f t="shared" si="1487"/>
        <v>ACC530</v>
      </c>
      <c r="V2751">
        <v>0</v>
      </c>
      <c r="W2751">
        <v>0</v>
      </c>
      <c r="X2751">
        <v>1</v>
      </c>
      <c r="Z2751">
        <v>0</v>
      </c>
      <c r="AA2751">
        <v>9</v>
      </c>
      <c r="AB2751">
        <v>3</v>
      </c>
      <c r="AC2751">
        <v>0</v>
      </c>
      <c r="AD2751">
        <v>9</v>
      </c>
      <c r="AE2751">
        <v>0</v>
      </c>
      <c r="AF2751">
        <v>3</v>
      </c>
      <c r="AG2751">
        <v>1</v>
      </c>
      <c r="AH2751">
        <v>0</v>
      </c>
      <c r="AI2751" t="s">
        <v>955</v>
      </c>
      <c r="AJ2751">
        <v>34.127934000000003</v>
      </c>
      <c r="AK2751" t="s">
        <v>947</v>
      </c>
      <c r="AL2751">
        <v>-117.057867</v>
      </c>
      <c r="AM2751">
        <v>100</v>
      </c>
      <c r="AN2751">
        <v>6500</v>
      </c>
      <c r="AO2751" t="s">
        <v>118</v>
      </c>
      <c r="AP2751">
        <v>3</v>
      </c>
      <c r="AQ2751">
        <v>-105</v>
      </c>
      <c r="AR2751">
        <v>-704</v>
      </c>
      <c r="AZ2751">
        <v>1200</v>
      </c>
      <c r="BA2751">
        <v>1</v>
      </c>
      <c r="BB2751" t="str">
        <f t="shared" si="1488"/>
        <v xml:space="preserve">N9217B  </v>
      </c>
      <c r="BC2751">
        <v>1</v>
      </c>
      <c r="BE2751">
        <v>0</v>
      </c>
      <c r="BF2751">
        <v>0</v>
      </c>
      <c r="BG2751">
        <v>0</v>
      </c>
      <c r="BH2751">
        <v>6425</v>
      </c>
      <c r="BI2751">
        <v>1</v>
      </c>
      <c r="BJ2751">
        <v>0</v>
      </c>
      <c r="BK2751">
        <v>0</v>
      </c>
      <c r="BL2751">
        <v>0</v>
      </c>
      <c r="BO2751">
        <v>0</v>
      </c>
      <c r="BP2751">
        <v>0</v>
      </c>
      <c r="BW2751" t="str">
        <f t="shared" si="1519"/>
        <v>14:55:47.998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285</v>
      </c>
      <c r="CR2751">
        <v>0</v>
      </c>
      <c r="CW2751">
        <v>8870239</v>
      </c>
      <c r="CY2751">
        <v>0</v>
      </c>
      <c r="CZ2751">
        <v>0</v>
      </c>
      <c r="DA2751">
        <v>1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25">
      <c r="A2752" t="str">
        <f t="shared" si="1516"/>
        <v>06/05/2020 14:55:42.340</v>
      </c>
      <c r="C2752" t="str">
        <f t="shared" si="1504"/>
        <v>FFDFD3C0</v>
      </c>
      <c r="D2752" t="s">
        <v>151</v>
      </c>
      <c r="E2752">
        <v>9</v>
      </c>
      <c r="H2752">
        <v>226</v>
      </c>
      <c r="I2752" t="s">
        <v>152</v>
      </c>
      <c r="J2752" t="s">
        <v>150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517"/>
        <v>14:55:47.992</v>
      </c>
      <c r="T2752" t="str">
        <f t="shared" si="1518"/>
        <v>14:55:47.792</v>
      </c>
      <c r="U2752" t="str">
        <f t="shared" si="1487"/>
        <v>ACC530</v>
      </c>
      <c r="V2752">
        <v>0</v>
      </c>
      <c r="W2752">
        <v>0</v>
      </c>
      <c r="X2752">
        <v>1</v>
      </c>
      <c r="Z2752">
        <v>0</v>
      </c>
      <c r="AA2752">
        <v>9</v>
      </c>
      <c r="AB2752">
        <v>3</v>
      </c>
      <c r="AC2752">
        <v>0</v>
      </c>
      <c r="AD2752">
        <v>9</v>
      </c>
      <c r="AE2752">
        <v>0</v>
      </c>
      <c r="AF2752">
        <v>3</v>
      </c>
      <c r="AG2752">
        <v>1</v>
      </c>
      <c r="AH2752">
        <v>0</v>
      </c>
      <c r="AI2752" t="s">
        <v>955</v>
      </c>
      <c r="AJ2752">
        <v>34.127934000000003</v>
      </c>
      <c r="AK2752" t="s">
        <v>947</v>
      </c>
      <c r="AL2752">
        <v>-117.057867</v>
      </c>
      <c r="AM2752">
        <v>100</v>
      </c>
      <c r="AN2752">
        <v>6500</v>
      </c>
      <c r="AO2752" t="s">
        <v>118</v>
      </c>
      <c r="AP2752">
        <v>3</v>
      </c>
      <c r="AQ2752">
        <v>-105</v>
      </c>
      <c r="AR2752">
        <v>-704</v>
      </c>
      <c r="AZ2752">
        <v>1200</v>
      </c>
      <c r="BA2752">
        <v>1</v>
      </c>
      <c r="BB2752" t="str">
        <f t="shared" si="1488"/>
        <v xml:space="preserve">N9217B  </v>
      </c>
      <c r="BC2752">
        <v>1</v>
      </c>
      <c r="BE2752">
        <v>0</v>
      </c>
      <c r="BF2752">
        <v>0</v>
      </c>
      <c r="BG2752">
        <v>0</v>
      </c>
      <c r="BH2752">
        <v>6425</v>
      </c>
      <c r="BI2752">
        <v>1</v>
      </c>
      <c r="BJ2752">
        <v>0</v>
      </c>
      <c r="BK2752">
        <v>0</v>
      </c>
      <c r="BL2752">
        <v>0</v>
      </c>
      <c r="BO2752">
        <v>0</v>
      </c>
      <c r="BP2752">
        <v>0</v>
      </c>
      <c r="BW2752" t="str">
        <f t="shared" si="1519"/>
        <v>14:55:47.998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285</v>
      </c>
      <c r="CR2752">
        <v>0</v>
      </c>
      <c r="CW2752">
        <v>8870239</v>
      </c>
      <c r="CY2752">
        <v>0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25">
      <c r="A2753" t="str">
        <f t="shared" si="1516"/>
        <v>06/05/2020 14:55:42.340</v>
      </c>
      <c r="C2753" t="str">
        <f t="shared" si="1504"/>
        <v>FFDFD3C0</v>
      </c>
      <c r="D2753" t="s">
        <v>148</v>
      </c>
      <c r="E2753">
        <v>8</v>
      </c>
      <c r="H2753">
        <v>50</v>
      </c>
      <c r="I2753" t="s">
        <v>149</v>
      </c>
      <c r="J2753" t="s">
        <v>150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517"/>
        <v>14:55:47.992</v>
      </c>
      <c r="T2753" t="str">
        <f t="shared" si="1518"/>
        <v>14:55:47.792</v>
      </c>
      <c r="U2753" t="str">
        <f t="shared" si="1487"/>
        <v>ACC530</v>
      </c>
      <c r="V2753">
        <v>0</v>
      </c>
      <c r="W2753">
        <v>0</v>
      </c>
      <c r="X2753">
        <v>1</v>
      </c>
      <c r="Z2753">
        <v>0</v>
      </c>
      <c r="AA2753">
        <v>9</v>
      </c>
      <c r="AB2753">
        <v>3</v>
      </c>
      <c r="AC2753">
        <v>0</v>
      </c>
      <c r="AD2753">
        <v>9</v>
      </c>
      <c r="AE2753">
        <v>0</v>
      </c>
      <c r="AF2753">
        <v>3</v>
      </c>
      <c r="AG2753">
        <v>1</v>
      </c>
      <c r="AH2753">
        <v>0</v>
      </c>
      <c r="AI2753" t="s">
        <v>955</v>
      </c>
      <c r="AJ2753">
        <v>34.127934000000003</v>
      </c>
      <c r="AK2753" t="s">
        <v>947</v>
      </c>
      <c r="AL2753">
        <v>-117.057867</v>
      </c>
      <c r="AM2753">
        <v>100</v>
      </c>
      <c r="AN2753">
        <v>6500</v>
      </c>
      <c r="AO2753" t="s">
        <v>118</v>
      </c>
      <c r="AP2753">
        <v>3</v>
      </c>
      <c r="AQ2753">
        <v>-105</v>
      </c>
      <c r="AR2753">
        <v>-704</v>
      </c>
      <c r="AZ2753">
        <v>1200</v>
      </c>
      <c r="BA2753">
        <v>1</v>
      </c>
      <c r="BB2753" t="str">
        <f t="shared" si="1488"/>
        <v xml:space="preserve">N9217B  </v>
      </c>
      <c r="BC2753">
        <v>1</v>
      </c>
      <c r="BE2753">
        <v>0</v>
      </c>
      <c r="BF2753">
        <v>0</v>
      </c>
      <c r="BG2753">
        <v>0</v>
      </c>
      <c r="BH2753">
        <v>6425</v>
      </c>
      <c r="BI2753">
        <v>1</v>
      </c>
      <c r="BJ2753">
        <v>0</v>
      </c>
      <c r="BK2753">
        <v>0</v>
      </c>
      <c r="BL2753">
        <v>0</v>
      </c>
      <c r="BO2753">
        <v>0</v>
      </c>
      <c r="BP2753">
        <v>0</v>
      </c>
      <c r="BW2753" t="str">
        <f t="shared" si="1519"/>
        <v>14:55:47.998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7</v>
      </c>
      <c r="CP2753" t="s">
        <v>119</v>
      </c>
      <c r="CQ2753">
        <v>285</v>
      </c>
      <c r="CR2753">
        <v>0</v>
      </c>
      <c r="CW2753">
        <v>8870239</v>
      </c>
      <c r="CY2753">
        <v>0</v>
      </c>
      <c r="CZ2753">
        <v>0</v>
      </c>
      <c r="DA2753">
        <v>1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25">
      <c r="A2754" t="str">
        <f t="shared" ref="A2754:A2760" si="1520">"06/05/2020 14:55:43.341"</f>
        <v>06/05/2020 14:55:43.341</v>
      </c>
      <c r="C2754" t="str">
        <f t="shared" si="1504"/>
        <v>FFDFD3C0</v>
      </c>
      <c r="D2754" t="s">
        <v>148</v>
      </c>
      <c r="E2754">
        <v>8</v>
      </c>
      <c r="H2754">
        <v>50</v>
      </c>
      <c r="I2754" t="s">
        <v>149</v>
      </c>
      <c r="J2754" t="s">
        <v>150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ref="S2754:S2760" si="1521">"14:55:48.938"</f>
        <v>14:55:48.938</v>
      </c>
      <c r="T2754" t="str">
        <f t="shared" ref="T2754:T2760" si="1522">"14:55:48.738"</f>
        <v>14:55:48.738</v>
      </c>
      <c r="U2754" t="str">
        <f t="shared" ref="U2754:U2817" si="1523">"ACC530"</f>
        <v>ACC530</v>
      </c>
      <c r="V2754">
        <v>0</v>
      </c>
      <c r="W2754">
        <v>0</v>
      </c>
      <c r="X2754">
        <v>1</v>
      </c>
      <c r="Z2754">
        <v>0</v>
      </c>
      <c r="AA2754">
        <v>9</v>
      </c>
      <c r="AB2754">
        <v>3</v>
      </c>
      <c r="AC2754">
        <v>0</v>
      </c>
      <c r="AD2754">
        <v>9</v>
      </c>
      <c r="AE2754">
        <v>0</v>
      </c>
      <c r="AF2754">
        <v>3</v>
      </c>
      <c r="AG2754">
        <v>1</v>
      </c>
      <c r="AH2754">
        <v>0</v>
      </c>
      <c r="AI2754" t="s">
        <v>956</v>
      </c>
      <c r="AJ2754">
        <v>34.127462000000001</v>
      </c>
      <c r="AK2754" t="s">
        <v>947</v>
      </c>
      <c r="AL2754">
        <v>-117.057867</v>
      </c>
      <c r="AM2754">
        <v>100</v>
      </c>
      <c r="AN2754">
        <v>6500</v>
      </c>
      <c r="AO2754" t="s">
        <v>118</v>
      </c>
      <c r="AP2754">
        <v>4</v>
      </c>
      <c r="AQ2754">
        <v>-105</v>
      </c>
      <c r="AR2754">
        <v>-768</v>
      </c>
      <c r="AZ2754">
        <v>1200</v>
      </c>
      <c r="BA2754">
        <v>1</v>
      </c>
      <c r="BB2754" t="str">
        <f t="shared" si="1488"/>
        <v xml:space="preserve">N9217B  </v>
      </c>
      <c r="BC2754">
        <v>1</v>
      </c>
      <c r="BE2754">
        <v>0</v>
      </c>
      <c r="BF2754">
        <v>0</v>
      </c>
      <c r="BG2754">
        <v>0</v>
      </c>
      <c r="BH2754">
        <v>6400</v>
      </c>
      <c r="BI2754">
        <v>1</v>
      </c>
      <c r="BJ2754">
        <v>0</v>
      </c>
      <c r="BK2754">
        <v>0</v>
      </c>
      <c r="BL2754">
        <v>0</v>
      </c>
      <c r="BO2754">
        <v>0</v>
      </c>
      <c r="BP2754">
        <v>0</v>
      </c>
      <c r="BW2754" t="str">
        <f t="shared" ref="BW2754:BW2760" si="1524">"14:55:48.943"</f>
        <v>14:55:48.943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7</v>
      </c>
      <c r="CP2754" t="s">
        <v>119</v>
      </c>
      <c r="CQ2754">
        <v>285</v>
      </c>
      <c r="CR2754">
        <v>0</v>
      </c>
      <c r="CW2754">
        <v>8870325</v>
      </c>
      <c r="CY2754">
        <v>0</v>
      </c>
      <c r="CZ2754">
        <v>0</v>
      </c>
      <c r="DA2754">
        <v>0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25">
      <c r="A2755" t="str">
        <f t="shared" si="1520"/>
        <v>06/05/2020 14:55:43.341</v>
      </c>
      <c r="C2755" t="str">
        <f t="shared" si="1504"/>
        <v>FFDFD3C0</v>
      </c>
      <c r="D2755" t="s">
        <v>134</v>
      </c>
      <c r="E2755">
        <v>7</v>
      </c>
      <c r="F2755">
        <v>2007</v>
      </c>
      <c r="G2755" t="s">
        <v>135</v>
      </c>
      <c r="J2755" t="s">
        <v>136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521"/>
        <v>14:55:48.938</v>
      </c>
      <c r="T2755" t="str">
        <f t="shared" si="1522"/>
        <v>14:55:48.738</v>
      </c>
      <c r="U2755" t="str">
        <f t="shared" si="1523"/>
        <v>ACC530</v>
      </c>
      <c r="V2755">
        <v>0</v>
      </c>
      <c r="W2755">
        <v>0</v>
      </c>
      <c r="X2755">
        <v>1</v>
      </c>
      <c r="Z2755">
        <v>0</v>
      </c>
      <c r="AA2755">
        <v>9</v>
      </c>
      <c r="AB2755">
        <v>3</v>
      </c>
      <c r="AC2755">
        <v>0</v>
      </c>
      <c r="AD2755">
        <v>9</v>
      </c>
      <c r="AE2755">
        <v>0</v>
      </c>
      <c r="AF2755">
        <v>3</v>
      </c>
      <c r="AG2755">
        <v>1</v>
      </c>
      <c r="AH2755">
        <v>0</v>
      </c>
      <c r="AI2755" t="s">
        <v>956</v>
      </c>
      <c r="AJ2755">
        <v>34.127462000000001</v>
      </c>
      <c r="AK2755" t="s">
        <v>947</v>
      </c>
      <c r="AL2755">
        <v>-117.057867</v>
      </c>
      <c r="AM2755">
        <v>100</v>
      </c>
      <c r="AN2755">
        <v>6500</v>
      </c>
      <c r="AO2755" t="s">
        <v>118</v>
      </c>
      <c r="AP2755">
        <v>4</v>
      </c>
      <c r="AQ2755">
        <v>-105</v>
      </c>
      <c r="AR2755">
        <v>-768</v>
      </c>
      <c r="AZ2755">
        <v>1200</v>
      </c>
      <c r="BA2755">
        <v>1</v>
      </c>
      <c r="BB2755" t="str">
        <f t="shared" si="1488"/>
        <v xml:space="preserve">N9217B  </v>
      </c>
      <c r="BC2755">
        <v>1</v>
      </c>
      <c r="BE2755">
        <v>0</v>
      </c>
      <c r="BF2755">
        <v>0</v>
      </c>
      <c r="BG2755">
        <v>0</v>
      </c>
      <c r="BH2755">
        <v>6400</v>
      </c>
      <c r="BI2755">
        <v>1</v>
      </c>
      <c r="BJ2755">
        <v>0</v>
      </c>
      <c r="BK2755">
        <v>0</v>
      </c>
      <c r="BL2755">
        <v>0</v>
      </c>
      <c r="BO2755">
        <v>0</v>
      </c>
      <c r="BP2755">
        <v>0</v>
      </c>
      <c r="BW2755" t="str">
        <f t="shared" si="1524"/>
        <v>14:55:48.943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7</v>
      </c>
      <c r="CP2755" t="s">
        <v>119</v>
      </c>
      <c r="CQ2755">
        <v>285</v>
      </c>
      <c r="CR2755">
        <v>0</v>
      </c>
      <c r="CW2755">
        <v>8870325</v>
      </c>
      <c r="CY2755">
        <v>0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25">
      <c r="A2756" t="str">
        <f t="shared" si="1520"/>
        <v>06/05/2020 14:55:43.341</v>
      </c>
      <c r="C2756" t="str">
        <f t="shared" si="1504"/>
        <v>FFDFD3C0</v>
      </c>
      <c r="D2756" t="s">
        <v>151</v>
      </c>
      <c r="E2756">
        <v>8</v>
      </c>
      <c r="H2756">
        <v>225</v>
      </c>
      <c r="I2756" t="s">
        <v>353</v>
      </c>
      <c r="J2756" t="s">
        <v>150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521"/>
        <v>14:55:48.938</v>
      </c>
      <c r="T2756" t="str">
        <f t="shared" si="1522"/>
        <v>14:55:48.738</v>
      </c>
      <c r="U2756" t="str">
        <f t="shared" si="1523"/>
        <v>ACC530</v>
      </c>
      <c r="V2756">
        <v>0</v>
      </c>
      <c r="W2756">
        <v>0</v>
      </c>
      <c r="X2756">
        <v>1</v>
      </c>
      <c r="Z2756">
        <v>0</v>
      </c>
      <c r="AA2756">
        <v>9</v>
      </c>
      <c r="AB2756">
        <v>3</v>
      </c>
      <c r="AC2756">
        <v>0</v>
      </c>
      <c r="AD2756">
        <v>9</v>
      </c>
      <c r="AE2756">
        <v>0</v>
      </c>
      <c r="AF2756">
        <v>3</v>
      </c>
      <c r="AG2756">
        <v>1</v>
      </c>
      <c r="AH2756">
        <v>0</v>
      </c>
      <c r="AI2756" t="s">
        <v>956</v>
      </c>
      <c r="AJ2756">
        <v>34.127462000000001</v>
      </c>
      <c r="AK2756" t="s">
        <v>947</v>
      </c>
      <c r="AL2756">
        <v>-117.057867</v>
      </c>
      <c r="AM2756">
        <v>100</v>
      </c>
      <c r="AN2756">
        <v>6500</v>
      </c>
      <c r="AO2756" t="s">
        <v>118</v>
      </c>
      <c r="AP2756">
        <v>4</v>
      </c>
      <c r="AQ2756">
        <v>-105</v>
      </c>
      <c r="AR2756">
        <v>-768</v>
      </c>
      <c r="AZ2756">
        <v>1200</v>
      </c>
      <c r="BA2756">
        <v>1</v>
      </c>
      <c r="BB2756" t="str">
        <f t="shared" si="1488"/>
        <v xml:space="preserve">N9217B  </v>
      </c>
      <c r="BC2756">
        <v>1</v>
      </c>
      <c r="BE2756">
        <v>0</v>
      </c>
      <c r="BF2756">
        <v>0</v>
      </c>
      <c r="BG2756">
        <v>0</v>
      </c>
      <c r="BH2756">
        <v>6400</v>
      </c>
      <c r="BI2756">
        <v>1</v>
      </c>
      <c r="BJ2756">
        <v>0</v>
      </c>
      <c r="BK2756">
        <v>0</v>
      </c>
      <c r="BL2756">
        <v>0</v>
      </c>
      <c r="BO2756">
        <v>0</v>
      </c>
      <c r="BP2756">
        <v>0</v>
      </c>
      <c r="BW2756" t="str">
        <f t="shared" si="1524"/>
        <v>14:55:48.943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7</v>
      </c>
      <c r="CP2756" t="s">
        <v>119</v>
      </c>
      <c r="CQ2756">
        <v>285</v>
      </c>
      <c r="CR2756">
        <v>0</v>
      </c>
      <c r="CW2756">
        <v>8870325</v>
      </c>
      <c r="CY2756">
        <v>0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25">
      <c r="A2757" t="str">
        <f t="shared" si="1520"/>
        <v>06/05/2020 14:55:43.341</v>
      </c>
      <c r="C2757" t="str">
        <f t="shared" si="1504"/>
        <v>FFDFD3C0</v>
      </c>
      <c r="D2757" t="s">
        <v>141</v>
      </c>
      <c r="E2757">
        <v>20</v>
      </c>
      <c r="F2757">
        <v>1020</v>
      </c>
      <c r="G2757" t="s">
        <v>114</v>
      </c>
      <c r="J2757" t="s">
        <v>142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521"/>
        <v>14:55:48.938</v>
      </c>
      <c r="T2757" t="str">
        <f t="shared" si="1522"/>
        <v>14:55:48.738</v>
      </c>
      <c r="U2757" t="str">
        <f t="shared" si="1523"/>
        <v>ACC530</v>
      </c>
      <c r="V2757">
        <v>0</v>
      </c>
      <c r="W2757">
        <v>0</v>
      </c>
      <c r="X2757">
        <v>1</v>
      </c>
      <c r="Z2757">
        <v>0</v>
      </c>
      <c r="AA2757">
        <v>9</v>
      </c>
      <c r="AB2757">
        <v>3</v>
      </c>
      <c r="AC2757">
        <v>0</v>
      </c>
      <c r="AD2757">
        <v>9</v>
      </c>
      <c r="AE2757">
        <v>0</v>
      </c>
      <c r="AF2757">
        <v>3</v>
      </c>
      <c r="AG2757">
        <v>1</v>
      </c>
      <c r="AH2757">
        <v>0</v>
      </c>
      <c r="AI2757" t="s">
        <v>956</v>
      </c>
      <c r="AJ2757">
        <v>34.127462000000001</v>
      </c>
      <c r="AK2757" t="s">
        <v>947</v>
      </c>
      <c r="AL2757">
        <v>-117.057867</v>
      </c>
      <c r="AM2757">
        <v>100</v>
      </c>
      <c r="AN2757">
        <v>6500</v>
      </c>
      <c r="AO2757" t="s">
        <v>118</v>
      </c>
      <c r="AP2757">
        <v>4</v>
      </c>
      <c r="AQ2757">
        <v>-105</v>
      </c>
      <c r="AR2757">
        <v>-768</v>
      </c>
      <c r="AZ2757">
        <v>1200</v>
      </c>
      <c r="BA2757">
        <v>1</v>
      </c>
      <c r="BB2757" t="str">
        <f t="shared" ref="BB2757:BB2820" si="1525">"N9217B  "</f>
        <v xml:space="preserve">N9217B  </v>
      </c>
      <c r="BC2757">
        <v>1</v>
      </c>
      <c r="BE2757">
        <v>0</v>
      </c>
      <c r="BF2757">
        <v>0</v>
      </c>
      <c r="BG2757">
        <v>0</v>
      </c>
      <c r="BH2757">
        <v>6400</v>
      </c>
      <c r="BI2757">
        <v>1</v>
      </c>
      <c r="BJ2757">
        <v>0</v>
      </c>
      <c r="BK2757">
        <v>0</v>
      </c>
      <c r="BL2757">
        <v>0</v>
      </c>
      <c r="BO2757">
        <v>0</v>
      </c>
      <c r="BP2757">
        <v>0</v>
      </c>
      <c r="BW2757" t="str">
        <f t="shared" si="1524"/>
        <v>14:55:48.943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7</v>
      </c>
      <c r="CP2757" t="s">
        <v>119</v>
      </c>
      <c r="CQ2757">
        <v>285</v>
      </c>
      <c r="CR2757">
        <v>0</v>
      </c>
      <c r="CW2757">
        <v>8870325</v>
      </c>
      <c r="CY2757">
        <v>0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25">
      <c r="A2758" t="str">
        <f t="shared" si="1520"/>
        <v>06/05/2020 14:55:43.341</v>
      </c>
      <c r="C2758" t="str">
        <f t="shared" si="1504"/>
        <v>FFDFD3C0</v>
      </c>
      <c r="D2758" t="s">
        <v>148</v>
      </c>
      <c r="E2758">
        <v>11</v>
      </c>
      <c r="H2758">
        <v>53</v>
      </c>
      <c r="I2758" t="s">
        <v>364</v>
      </c>
      <c r="J2758" t="s">
        <v>150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521"/>
        <v>14:55:48.938</v>
      </c>
      <c r="T2758" t="str">
        <f t="shared" si="1522"/>
        <v>14:55:48.738</v>
      </c>
      <c r="U2758" t="str">
        <f t="shared" si="1523"/>
        <v>ACC530</v>
      </c>
      <c r="V2758">
        <v>0</v>
      </c>
      <c r="W2758">
        <v>0</v>
      </c>
      <c r="X2758">
        <v>1</v>
      </c>
      <c r="Z2758">
        <v>0</v>
      </c>
      <c r="AA2758">
        <v>9</v>
      </c>
      <c r="AB2758">
        <v>3</v>
      </c>
      <c r="AC2758">
        <v>0</v>
      </c>
      <c r="AD2758">
        <v>9</v>
      </c>
      <c r="AE2758">
        <v>0</v>
      </c>
      <c r="AF2758">
        <v>3</v>
      </c>
      <c r="AG2758">
        <v>1</v>
      </c>
      <c r="AH2758">
        <v>0</v>
      </c>
      <c r="AI2758" t="s">
        <v>956</v>
      </c>
      <c r="AJ2758">
        <v>34.127462000000001</v>
      </c>
      <c r="AK2758" t="s">
        <v>947</v>
      </c>
      <c r="AL2758">
        <v>-117.057867</v>
      </c>
      <c r="AM2758">
        <v>100</v>
      </c>
      <c r="AN2758">
        <v>6500</v>
      </c>
      <c r="AO2758" t="s">
        <v>118</v>
      </c>
      <c r="AP2758">
        <v>4</v>
      </c>
      <c r="AQ2758">
        <v>-105</v>
      </c>
      <c r="AR2758">
        <v>-768</v>
      </c>
      <c r="AZ2758">
        <v>1200</v>
      </c>
      <c r="BA2758">
        <v>1</v>
      </c>
      <c r="BB2758" t="str">
        <f t="shared" si="1525"/>
        <v xml:space="preserve">N9217B  </v>
      </c>
      <c r="BC2758">
        <v>1</v>
      </c>
      <c r="BE2758">
        <v>0</v>
      </c>
      <c r="BF2758">
        <v>0</v>
      </c>
      <c r="BG2758">
        <v>0</v>
      </c>
      <c r="BH2758">
        <v>6400</v>
      </c>
      <c r="BI2758">
        <v>1</v>
      </c>
      <c r="BJ2758">
        <v>0</v>
      </c>
      <c r="BK2758">
        <v>0</v>
      </c>
      <c r="BL2758">
        <v>0</v>
      </c>
      <c r="BO2758">
        <v>0</v>
      </c>
      <c r="BP2758">
        <v>0</v>
      </c>
      <c r="BW2758" t="str">
        <f t="shared" si="1524"/>
        <v>14:55:48.943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7</v>
      </c>
      <c r="CP2758" t="s">
        <v>119</v>
      </c>
      <c r="CQ2758">
        <v>285</v>
      </c>
      <c r="CR2758">
        <v>0</v>
      </c>
      <c r="CW2758">
        <v>8870325</v>
      </c>
      <c r="CY2758">
        <v>0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25">
      <c r="A2759" t="str">
        <f t="shared" si="1520"/>
        <v>06/05/2020 14:55:43.341</v>
      </c>
      <c r="C2759" t="str">
        <f t="shared" si="1504"/>
        <v>FFDFD3C0</v>
      </c>
      <c r="D2759" t="s">
        <v>113</v>
      </c>
      <c r="E2759">
        <v>3</v>
      </c>
      <c r="H2759">
        <v>166</v>
      </c>
      <c r="I2759" t="s">
        <v>114</v>
      </c>
      <c r="J2759" t="s">
        <v>115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521"/>
        <v>14:55:48.938</v>
      </c>
      <c r="T2759" t="str">
        <f t="shared" si="1522"/>
        <v>14:55:48.738</v>
      </c>
      <c r="U2759" t="str">
        <f t="shared" si="1523"/>
        <v>ACC530</v>
      </c>
      <c r="V2759">
        <v>0</v>
      </c>
      <c r="W2759">
        <v>0</v>
      </c>
      <c r="X2759">
        <v>1</v>
      </c>
      <c r="Z2759">
        <v>0</v>
      </c>
      <c r="AA2759">
        <v>9</v>
      </c>
      <c r="AB2759">
        <v>3</v>
      </c>
      <c r="AC2759">
        <v>0</v>
      </c>
      <c r="AD2759">
        <v>9</v>
      </c>
      <c r="AE2759">
        <v>0</v>
      </c>
      <c r="AF2759">
        <v>3</v>
      </c>
      <c r="AG2759">
        <v>1</v>
      </c>
      <c r="AH2759">
        <v>0</v>
      </c>
      <c r="AI2759" t="s">
        <v>956</v>
      </c>
      <c r="AJ2759">
        <v>34.127462000000001</v>
      </c>
      <c r="AK2759" t="s">
        <v>947</v>
      </c>
      <c r="AL2759">
        <v>-117.057867</v>
      </c>
      <c r="AM2759">
        <v>100</v>
      </c>
      <c r="AN2759">
        <v>6500</v>
      </c>
      <c r="AO2759" t="s">
        <v>118</v>
      </c>
      <c r="AP2759">
        <v>4</v>
      </c>
      <c r="AQ2759">
        <v>-105</v>
      </c>
      <c r="AR2759">
        <v>-768</v>
      </c>
      <c r="AZ2759">
        <v>1200</v>
      </c>
      <c r="BA2759">
        <v>1</v>
      </c>
      <c r="BB2759" t="str">
        <f t="shared" si="1525"/>
        <v xml:space="preserve">N9217B  </v>
      </c>
      <c r="BC2759">
        <v>1</v>
      </c>
      <c r="BE2759">
        <v>0</v>
      </c>
      <c r="BF2759">
        <v>0</v>
      </c>
      <c r="BG2759">
        <v>0</v>
      </c>
      <c r="BH2759">
        <v>6400</v>
      </c>
      <c r="BI2759">
        <v>1</v>
      </c>
      <c r="BJ2759">
        <v>0</v>
      </c>
      <c r="BK2759">
        <v>0</v>
      </c>
      <c r="BL2759">
        <v>0</v>
      </c>
      <c r="BO2759">
        <v>0</v>
      </c>
      <c r="BP2759">
        <v>0</v>
      </c>
      <c r="BW2759" t="str">
        <f t="shared" si="1524"/>
        <v>14:55:48.943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119</v>
      </c>
      <c r="CQ2759">
        <v>285</v>
      </c>
      <c r="CR2759">
        <v>0</v>
      </c>
      <c r="CW2759">
        <v>8870325</v>
      </c>
      <c r="CY2759">
        <v>0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25">
      <c r="A2760" t="str">
        <f t="shared" si="1520"/>
        <v>06/05/2020 14:55:43.341</v>
      </c>
      <c r="C2760" t="str">
        <f t="shared" si="1504"/>
        <v>FFDFD3C0</v>
      </c>
      <c r="D2760" t="s">
        <v>151</v>
      </c>
      <c r="E2760">
        <v>9</v>
      </c>
      <c r="H2760">
        <v>226</v>
      </c>
      <c r="I2760" t="s">
        <v>152</v>
      </c>
      <c r="J2760" t="s">
        <v>150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521"/>
        <v>14:55:48.938</v>
      </c>
      <c r="T2760" t="str">
        <f t="shared" si="1522"/>
        <v>14:55:48.738</v>
      </c>
      <c r="U2760" t="str">
        <f t="shared" si="1523"/>
        <v>ACC530</v>
      </c>
      <c r="V2760">
        <v>0</v>
      </c>
      <c r="W2760">
        <v>0</v>
      </c>
      <c r="X2760">
        <v>1</v>
      </c>
      <c r="Z2760">
        <v>0</v>
      </c>
      <c r="AA2760">
        <v>9</v>
      </c>
      <c r="AB2760">
        <v>3</v>
      </c>
      <c r="AC2760">
        <v>0</v>
      </c>
      <c r="AD2760">
        <v>9</v>
      </c>
      <c r="AE2760">
        <v>0</v>
      </c>
      <c r="AF2760">
        <v>3</v>
      </c>
      <c r="AG2760">
        <v>1</v>
      </c>
      <c r="AH2760">
        <v>0</v>
      </c>
      <c r="AI2760" t="s">
        <v>956</v>
      </c>
      <c r="AJ2760">
        <v>34.127462000000001</v>
      </c>
      <c r="AK2760" t="s">
        <v>947</v>
      </c>
      <c r="AL2760">
        <v>-117.057867</v>
      </c>
      <c r="AM2760">
        <v>100</v>
      </c>
      <c r="AN2760">
        <v>6500</v>
      </c>
      <c r="AO2760" t="s">
        <v>118</v>
      </c>
      <c r="AP2760">
        <v>4</v>
      </c>
      <c r="AQ2760">
        <v>-105</v>
      </c>
      <c r="AR2760">
        <v>-768</v>
      </c>
      <c r="AZ2760">
        <v>1200</v>
      </c>
      <c r="BA2760">
        <v>1</v>
      </c>
      <c r="BB2760" t="str">
        <f t="shared" si="1525"/>
        <v xml:space="preserve">N9217B  </v>
      </c>
      <c r="BC2760">
        <v>1</v>
      </c>
      <c r="BE2760">
        <v>0</v>
      </c>
      <c r="BF2760">
        <v>0</v>
      </c>
      <c r="BG2760">
        <v>0</v>
      </c>
      <c r="BH2760">
        <v>6400</v>
      </c>
      <c r="BI2760">
        <v>1</v>
      </c>
      <c r="BJ2760">
        <v>0</v>
      </c>
      <c r="BK2760">
        <v>0</v>
      </c>
      <c r="BL2760">
        <v>0</v>
      </c>
      <c r="BO2760">
        <v>0</v>
      </c>
      <c r="BP2760">
        <v>0</v>
      </c>
      <c r="BW2760" t="str">
        <f t="shared" si="1524"/>
        <v>14:55:48.943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285</v>
      </c>
      <c r="CR2760">
        <v>0</v>
      </c>
      <c r="CW2760">
        <v>8870325</v>
      </c>
      <c r="CY2760">
        <v>0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25">
      <c r="A2761" t="str">
        <f t="shared" ref="A2761:A2767" si="1526">"06/05/2020 14:55:44.351"</f>
        <v>06/05/2020 14:55:44.351</v>
      </c>
      <c r="C2761" t="str">
        <f t="shared" si="1504"/>
        <v>FFDFD3C0</v>
      </c>
      <c r="D2761" t="s">
        <v>148</v>
      </c>
      <c r="E2761">
        <v>8</v>
      </c>
      <c r="H2761">
        <v>50</v>
      </c>
      <c r="I2761" t="s">
        <v>149</v>
      </c>
      <c r="J2761" t="s">
        <v>150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ref="S2761:S2767" si="1527">"14:55:49.992"</f>
        <v>14:55:49.992</v>
      </c>
      <c r="T2761" t="str">
        <f t="shared" ref="T2761:T2767" si="1528">"14:55:49.892"</f>
        <v>14:55:49.892</v>
      </c>
      <c r="U2761" t="str">
        <f t="shared" si="1523"/>
        <v>ACC530</v>
      </c>
      <c r="V2761">
        <v>0</v>
      </c>
      <c r="W2761">
        <v>0</v>
      </c>
      <c r="X2761">
        <v>1</v>
      </c>
      <c r="Z2761">
        <v>0</v>
      </c>
      <c r="AA2761">
        <v>9</v>
      </c>
      <c r="AB2761">
        <v>3</v>
      </c>
      <c r="AC2761">
        <v>0</v>
      </c>
      <c r="AD2761">
        <v>9</v>
      </c>
      <c r="AE2761">
        <v>0</v>
      </c>
      <c r="AF2761">
        <v>3</v>
      </c>
      <c r="AG2761">
        <v>1</v>
      </c>
      <c r="AH2761">
        <v>0</v>
      </c>
      <c r="AI2761" t="s">
        <v>957</v>
      </c>
      <c r="AJ2761">
        <v>34.126967999999998</v>
      </c>
      <c r="AK2761" t="s">
        <v>943</v>
      </c>
      <c r="AL2761">
        <v>-117.05780300000001</v>
      </c>
      <c r="AM2761">
        <v>100</v>
      </c>
      <c r="AN2761">
        <v>6500</v>
      </c>
      <c r="AO2761" t="s">
        <v>118</v>
      </c>
      <c r="AP2761">
        <v>5</v>
      </c>
      <c r="AQ2761">
        <v>-105</v>
      </c>
      <c r="AR2761">
        <v>-768</v>
      </c>
      <c r="AZ2761">
        <v>1200</v>
      </c>
      <c r="BA2761">
        <v>1</v>
      </c>
      <c r="BB2761" t="str">
        <f t="shared" si="1525"/>
        <v xml:space="preserve">N9217B  </v>
      </c>
      <c r="BC2761">
        <v>1</v>
      </c>
      <c r="BE2761">
        <v>0</v>
      </c>
      <c r="BF2761">
        <v>0</v>
      </c>
      <c r="BG2761">
        <v>0</v>
      </c>
      <c r="BH2761">
        <v>6400</v>
      </c>
      <c r="BI2761">
        <v>1</v>
      </c>
      <c r="BJ2761">
        <v>0</v>
      </c>
      <c r="BK2761">
        <v>0</v>
      </c>
      <c r="BL2761">
        <v>0</v>
      </c>
      <c r="BO2761">
        <v>0</v>
      </c>
      <c r="BP2761">
        <v>0</v>
      </c>
      <c r="BW2761" t="str">
        <f t="shared" ref="BW2761:BW2767" si="1529">"14:55:49.993"</f>
        <v>14:55:49.993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285</v>
      </c>
      <c r="CR2761">
        <v>0</v>
      </c>
      <c r="CW2761">
        <v>8870418</v>
      </c>
      <c r="CY2761">
        <v>0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25">
      <c r="A2762" t="str">
        <f t="shared" si="1526"/>
        <v>06/05/2020 14:55:44.351</v>
      </c>
      <c r="C2762" t="str">
        <f t="shared" si="1504"/>
        <v>FFDFD3C0</v>
      </c>
      <c r="D2762" t="s">
        <v>134</v>
      </c>
      <c r="E2762">
        <v>7</v>
      </c>
      <c r="F2762">
        <v>2007</v>
      </c>
      <c r="G2762" t="s">
        <v>135</v>
      </c>
      <c r="J2762" t="s">
        <v>136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527"/>
        <v>14:55:49.992</v>
      </c>
      <c r="T2762" t="str">
        <f t="shared" si="1528"/>
        <v>14:55:49.892</v>
      </c>
      <c r="U2762" t="str">
        <f t="shared" si="1523"/>
        <v>ACC530</v>
      </c>
      <c r="V2762">
        <v>0</v>
      </c>
      <c r="W2762">
        <v>0</v>
      </c>
      <c r="X2762">
        <v>1</v>
      </c>
      <c r="Z2762">
        <v>0</v>
      </c>
      <c r="AA2762">
        <v>9</v>
      </c>
      <c r="AB2762">
        <v>3</v>
      </c>
      <c r="AC2762">
        <v>0</v>
      </c>
      <c r="AD2762">
        <v>9</v>
      </c>
      <c r="AE2762">
        <v>0</v>
      </c>
      <c r="AF2762">
        <v>3</v>
      </c>
      <c r="AG2762">
        <v>1</v>
      </c>
      <c r="AH2762">
        <v>0</v>
      </c>
      <c r="AI2762" t="s">
        <v>957</v>
      </c>
      <c r="AJ2762">
        <v>34.126967999999998</v>
      </c>
      <c r="AK2762" t="s">
        <v>943</v>
      </c>
      <c r="AL2762">
        <v>-117.05780300000001</v>
      </c>
      <c r="AM2762">
        <v>100</v>
      </c>
      <c r="AN2762">
        <v>6500</v>
      </c>
      <c r="AO2762" t="s">
        <v>118</v>
      </c>
      <c r="AP2762">
        <v>5</v>
      </c>
      <c r="AQ2762">
        <v>-105</v>
      </c>
      <c r="AR2762">
        <v>-768</v>
      </c>
      <c r="AZ2762">
        <v>1200</v>
      </c>
      <c r="BA2762">
        <v>1</v>
      </c>
      <c r="BB2762" t="str">
        <f t="shared" si="1525"/>
        <v xml:space="preserve">N9217B  </v>
      </c>
      <c r="BC2762">
        <v>1</v>
      </c>
      <c r="BE2762">
        <v>0</v>
      </c>
      <c r="BF2762">
        <v>0</v>
      </c>
      <c r="BG2762">
        <v>0</v>
      </c>
      <c r="BH2762">
        <v>6400</v>
      </c>
      <c r="BI2762">
        <v>1</v>
      </c>
      <c r="BJ2762">
        <v>0</v>
      </c>
      <c r="BK2762">
        <v>0</v>
      </c>
      <c r="BL2762">
        <v>0</v>
      </c>
      <c r="BO2762">
        <v>0</v>
      </c>
      <c r="BP2762">
        <v>0</v>
      </c>
      <c r="BW2762" t="str">
        <f t="shared" si="1529"/>
        <v>14:55:49.993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285</v>
      </c>
      <c r="CR2762">
        <v>0</v>
      </c>
      <c r="CW2762">
        <v>8870418</v>
      </c>
      <c r="CY2762">
        <v>0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25">
      <c r="A2763" t="str">
        <f t="shared" si="1526"/>
        <v>06/05/2020 14:55:44.351</v>
      </c>
      <c r="C2763" t="str">
        <f t="shared" si="1504"/>
        <v>FFDFD3C0</v>
      </c>
      <c r="D2763" t="s">
        <v>151</v>
      </c>
      <c r="E2763">
        <v>8</v>
      </c>
      <c r="H2763">
        <v>225</v>
      </c>
      <c r="I2763" t="s">
        <v>353</v>
      </c>
      <c r="J2763" t="s">
        <v>150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527"/>
        <v>14:55:49.992</v>
      </c>
      <c r="T2763" t="str">
        <f t="shared" si="1528"/>
        <v>14:55:49.892</v>
      </c>
      <c r="U2763" t="str">
        <f t="shared" si="1523"/>
        <v>ACC530</v>
      </c>
      <c r="V2763">
        <v>0</v>
      </c>
      <c r="W2763">
        <v>0</v>
      </c>
      <c r="X2763">
        <v>1</v>
      </c>
      <c r="Z2763">
        <v>0</v>
      </c>
      <c r="AA2763">
        <v>9</v>
      </c>
      <c r="AB2763">
        <v>3</v>
      </c>
      <c r="AC2763">
        <v>0</v>
      </c>
      <c r="AD2763">
        <v>9</v>
      </c>
      <c r="AE2763">
        <v>0</v>
      </c>
      <c r="AF2763">
        <v>3</v>
      </c>
      <c r="AG2763">
        <v>1</v>
      </c>
      <c r="AH2763">
        <v>0</v>
      </c>
      <c r="AI2763" t="s">
        <v>957</v>
      </c>
      <c r="AJ2763">
        <v>34.126967999999998</v>
      </c>
      <c r="AK2763" t="s">
        <v>943</v>
      </c>
      <c r="AL2763">
        <v>-117.05780300000001</v>
      </c>
      <c r="AM2763">
        <v>100</v>
      </c>
      <c r="AN2763">
        <v>6500</v>
      </c>
      <c r="AO2763" t="s">
        <v>118</v>
      </c>
      <c r="AP2763">
        <v>5</v>
      </c>
      <c r="AQ2763">
        <v>-105</v>
      </c>
      <c r="AR2763">
        <v>-768</v>
      </c>
      <c r="AZ2763">
        <v>1200</v>
      </c>
      <c r="BA2763">
        <v>1</v>
      </c>
      <c r="BB2763" t="str">
        <f t="shared" si="1525"/>
        <v xml:space="preserve">N9217B  </v>
      </c>
      <c r="BC2763">
        <v>1</v>
      </c>
      <c r="BE2763">
        <v>0</v>
      </c>
      <c r="BF2763">
        <v>0</v>
      </c>
      <c r="BG2763">
        <v>0</v>
      </c>
      <c r="BH2763">
        <v>6400</v>
      </c>
      <c r="BI2763">
        <v>1</v>
      </c>
      <c r="BJ2763">
        <v>0</v>
      </c>
      <c r="BK2763">
        <v>0</v>
      </c>
      <c r="BL2763">
        <v>0</v>
      </c>
      <c r="BO2763">
        <v>0</v>
      </c>
      <c r="BP2763">
        <v>0</v>
      </c>
      <c r="BW2763" t="str">
        <f t="shared" si="1529"/>
        <v>14:55:49.993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7</v>
      </c>
      <c r="CP2763" t="s">
        <v>119</v>
      </c>
      <c r="CQ2763">
        <v>285</v>
      </c>
      <c r="CR2763">
        <v>0</v>
      </c>
      <c r="CW2763">
        <v>8870418</v>
      </c>
      <c r="CY2763">
        <v>0</v>
      </c>
      <c r="CZ2763">
        <v>0</v>
      </c>
      <c r="DA2763">
        <v>1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25">
      <c r="A2764" t="str">
        <f t="shared" si="1526"/>
        <v>06/05/2020 14:55:44.351</v>
      </c>
      <c r="C2764" t="str">
        <f t="shared" si="1504"/>
        <v>FFDFD3C0</v>
      </c>
      <c r="D2764" t="s">
        <v>141</v>
      </c>
      <c r="E2764">
        <v>20</v>
      </c>
      <c r="F2764">
        <v>1020</v>
      </c>
      <c r="G2764" t="s">
        <v>114</v>
      </c>
      <c r="J2764" t="s">
        <v>142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527"/>
        <v>14:55:49.992</v>
      </c>
      <c r="T2764" t="str">
        <f t="shared" si="1528"/>
        <v>14:55:49.892</v>
      </c>
      <c r="U2764" t="str">
        <f t="shared" si="1523"/>
        <v>ACC530</v>
      </c>
      <c r="V2764">
        <v>0</v>
      </c>
      <c r="W2764">
        <v>0</v>
      </c>
      <c r="X2764">
        <v>1</v>
      </c>
      <c r="Z2764">
        <v>0</v>
      </c>
      <c r="AA2764">
        <v>9</v>
      </c>
      <c r="AB2764">
        <v>3</v>
      </c>
      <c r="AC2764">
        <v>0</v>
      </c>
      <c r="AD2764">
        <v>9</v>
      </c>
      <c r="AE2764">
        <v>0</v>
      </c>
      <c r="AF2764">
        <v>3</v>
      </c>
      <c r="AG2764">
        <v>1</v>
      </c>
      <c r="AH2764">
        <v>0</v>
      </c>
      <c r="AI2764" t="s">
        <v>957</v>
      </c>
      <c r="AJ2764">
        <v>34.126967999999998</v>
      </c>
      <c r="AK2764" t="s">
        <v>943</v>
      </c>
      <c r="AL2764">
        <v>-117.05780300000001</v>
      </c>
      <c r="AM2764">
        <v>100</v>
      </c>
      <c r="AN2764">
        <v>6500</v>
      </c>
      <c r="AO2764" t="s">
        <v>118</v>
      </c>
      <c r="AP2764">
        <v>5</v>
      </c>
      <c r="AQ2764">
        <v>-105</v>
      </c>
      <c r="AR2764">
        <v>-768</v>
      </c>
      <c r="AZ2764">
        <v>1200</v>
      </c>
      <c r="BA2764">
        <v>1</v>
      </c>
      <c r="BB2764" t="str">
        <f t="shared" si="1525"/>
        <v xml:space="preserve">N9217B  </v>
      </c>
      <c r="BC2764">
        <v>1</v>
      </c>
      <c r="BE2764">
        <v>0</v>
      </c>
      <c r="BF2764">
        <v>0</v>
      </c>
      <c r="BG2764">
        <v>0</v>
      </c>
      <c r="BH2764">
        <v>6400</v>
      </c>
      <c r="BI2764">
        <v>1</v>
      </c>
      <c r="BJ2764">
        <v>0</v>
      </c>
      <c r="BK2764">
        <v>0</v>
      </c>
      <c r="BL2764">
        <v>0</v>
      </c>
      <c r="BO2764">
        <v>0</v>
      </c>
      <c r="BP2764">
        <v>0</v>
      </c>
      <c r="BW2764" t="str">
        <f t="shared" si="1529"/>
        <v>14:55:49.993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7</v>
      </c>
      <c r="CP2764" t="s">
        <v>119</v>
      </c>
      <c r="CQ2764">
        <v>285</v>
      </c>
      <c r="CR2764">
        <v>0</v>
      </c>
      <c r="CW2764">
        <v>8870418</v>
      </c>
      <c r="CY2764">
        <v>0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25">
      <c r="A2765" t="str">
        <f t="shared" si="1526"/>
        <v>06/05/2020 14:55:44.351</v>
      </c>
      <c r="C2765" t="str">
        <f t="shared" si="1504"/>
        <v>FFDFD3C0</v>
      </c>
      <c r="D2765" t="s">
        <v>148</v>
      </c>
      <c r="E2765">
        <v>11</v>
      </c>
      <c r="H2765">
        <v>53</v>
      </c>
      <c r="I2765" t="s">
        <v>364</v>
      </c>
      <c r="J2765" t="s">
        <v>150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527"/>
        <v>14:55:49.992</v>
      </c>
      <c r="T2765" t="str">
        <f t="shared" si="1528"/>
        <v>14:55:49.892</v>
      </c>
      <c r="U2765" t="str">
        <f t="shared" si="1523"/>
        <v>ACC530</v>
      </c>
      <c r="V2765">
        <v>0</v>
      </c>
      <c r="W2765">
        <v>0</v>
      </c>
      <c r="X2765">
        <v>1</v>
      </c>
      <c r="Z2765">
        <v>0</v>
      </c>
      <c r="AA2765">
        <v>9</v>
      </c>
      <c r="AB2765">
        <v>3</v>
      </c>
      <c r="AC2765">
        <v>0</v>
      </c>
      <c r="AD2765">
        <v>9</v>
      </c>
      <c r="AE2765">
        <v>0</v>
      </c>
      <c r="AF2765">
        <v>3</v>
      </c>
      <c r="AG2765">
        <v>1</v>
      </c>
      <c r="AH2765">
        <v>0</v>
      </c>
      <c r="AI2765" t="s">
        <v>957</v>
      </c>
      <c r="AJ2765">
        <v>34.126967999999998</v>
      </c>
      <c r="AK2765" t="s">
        <v>943</v>
      </c>
      <c r="AL2765">
        <v>-117.05780300000001</v>
      </c>
      <c r="AM2765">
        <v>100</v>
      </c>
      <c r="AN2765">
        <v>6500</v>
      </c>
      <c r="AO2765" t="s">
        <v>118</v>
      </c>
      <c r="AP2765">
        <v>5</v>
      </c>
      <c r="AQ2765">
        <v>-105</v>
      </c>
      <c r="AR2765">
        <v>-768</v>
      </c>
      <c r="AZ2765">
        <v>1200</v>
      </c>
      <c r="BA2765">
        <v>1</v>
      </c>
      <c r="BB2765" t="str">
        <f t="shared" si="1525"/>
        <v xml:space="preserve">N9217B  </v>
      </c>
      <c r="BC2765">
        <v>1</v>
      </c>
      <c r="BE2765">
        <v>0</v>
      </c>
      <c r="BF2765">
        <v>0</v>
      </c>
      <c r="BG2765">
        <v>0</v>
      </c>
      <c r="BH2765">
        <v>6400</v>
      </c>
      <c r="BI2765">
        <v>1</v>
      </c>
      <c r="BJ2765">
        <v>0</v>
      </c>
      <c r="BK2765">
        <v>0</v>
      </c>
      <c r="BL2765">
        <v>0</v>
      </c>
      <c r="BO2765">
        <v>0</v>
      </c>
      <c r="BP2765">
        <v>0</v>
      </c>
      <c r="BW2765" t="str">
        <f t="shared" si="1529"/>
        <v>14:55:49.993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7</v>
      </c>
      <c r="CP2765" t="s">
        <v>119</v>
      </c>
      <c r="CQ2765">
        <v>285</v>
      </c>
      <c r="CR2765">
        <v>0</v>
      </c>
      <c r="CW2765">
        <v>8870418</v>
      </c>
      <c r="CY2765">
        <v>0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25">
      <c r="A2766" t="str">
        <f t="shared" si="1526"/>
        <v>06/05/2020 14:55:44.351</v>
      </c>
      <c r="C2766" t="str">
        <f t="shared" si="1504"/>
        <v>FFDFD3C0</v>
      </c>
      <c r="D2766" t="s">
        <v>113</v>
      </c>
      <c r="E2766">
        <v>3</v>
      </c>
      <c r="H2766">
        <v>166</v>
      </c>
      <c r="I2766" t="s">
        <v>114</v>
      </c>
      <c r="J2766" t="s">
        <v>115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527"/>
        <v>14:55:49.992</v>
      </c>
      <c r="T2766" t="str">
        <f t="shared" si="1528"/>
        <v>14:55:49.892</v>
      </c>
      <c r="U2766" t="str">
        <f t="shared" si="1523"/>
        <v>ACC530</v>
      </c>
      <c r="V2766">
        <v>0</v>
      </c>
      <c r="W2766">
        <v>0</v>
      </c>
      <c r="X2766">
        <v>1</v>
      </c>
      <c r="Z2766">
        <v>0</v>
      </c>
      <c r="AA2766">
        <v>9</v>
      </c>
      <c r="AB2766">
        <v>3</v>
      </c>
      <c r="AC2766">
        <v>0</v>
      </c>
      <c r="AD2766">
        <v>9</v>
      </c>
      <c r="AE2766">
        <v>0</v>
      </c>
      <c r="AF2766">
        <v>3</v>
      </c>
      <c r="AG2766">
        <v>1</v>
      </c>
      <c r="AH2766">
        <v>0</v>
      </c>
      <c r="AI2766" t="s">
        <v>957</v>
      </c>
      <c r="AJ2766">
        <v>34.126967999999998</v>
      </c>
      <c r="AK2766" t="s">
        <v>943</v>
      </c>
      <c r="AL2766">
        <v>-117.05780300000001</v>
      </c>
      <c r="AM2766">
        <v>100</v>
      </c>
      <c r="AN2766">
        <v>6500</v>
      </c>
      <c r="AO2766" t="s">
        <v>118</v>
      </c>
      <c r="AP2766">
        <v>5</v>
      </c>
      <c r="AQ2766">
        <v>-105</v>
      </c>
      <c r="AR2766">
        <v>-768</v>
      </c>
      <c r="AZ2766">
        <v>1200</v>
      </c>
      <c r="BA2766">
        <v>1</v>
      </c>
      <c r="BB2766" t="str">
        <f t="shared" si="1525"/>
        <v xml:space="preserve">N9217B  </v>
      </c>
      <c r="BC2766">
        <v>1</v>
      </c>
      <c r="BE2766">
        <v>0</v>
      </c>
      <c r="BF2766">
        <v>0</v>
      </c>
      <c r="BG2766">
        <v>0</v>
      </c>
      <c r="BH2766">
        <v>6400</v>
      </c>
      <c r="BI2766">
        <v>1</v>
      </c>
      <c r="BJ2766">
        <v>0</v>
      </c>
      <c r="BK2766">
        <v>0</v>
      </c>
      <c r="BL2766">
        <v>0</v>
      </c>
      <c r="BO2766">
        <v>0</v>
      </c>
      <c r="BP2766">
        <v>0</v>
      </c>
      <c r="BW2766" t="str">
        <f t="shared" si="1529"/>
        <v>14:55:49.993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7</v>
      </c>
      <c r="CP2766" t="s">
        <v>119</v>
      </c>
      <c r="CQ2766">
        <v>285</v>
      </c>
      <c r="CR2766">
        <v>0</v>
      </c>
      <c r="CW2766">
        <v>8870418</v>
      </c>
      <c r="CY2766">
        <v>0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25">
      <c r="A2767" t="str">
        <f t="shared" si="1526"/>
        <v>06/05/2020 14:55:44.351</v>
      </c>
      <c r="C2767" t="str">
        <f t="shared" si="1504"/>
        <v>FFDFD3C0</v>
      </c>
      <c r="D2767" t="s">
        <v>151</v>
      </c>
      <c r="E2767">
        <v>9</v>
      </c>
      <c r="H2767">
        <v>226</v>
      </c>
      <c r="I2767" t="s">
        <v>152</v>
      </c>
      <c r="J2767" t="s">
        <v>150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527"/>
        <v>14:55:49.992</v>
      </c>
      <c r="T2767" t="str">
        <f t="shared" si="1528"/>
        <v>14:55:49.892</v>
      </c>
      <c r="U2767" t="str">
        <f t="shared" si="1523"/>
        <v>ACC530</v>
      </c>
      <c r="V2767">
        <v>0</v>
      </c>
      <c r="W2767">
        <v>0</v>
      </c>
      <c r="X2767">
        <v>1</v>
      </c>
      <c r="Z2767">
        <v>0</v>
      </c>
      <c r="AA2767">
        <v>9</v>
      </c>
      <c r="AB2767">
        <v>3</v>
      </c>
      <c r="AC2767">
        <v>0</v>
      </c>
      <c r="AD2767">
        <v>9</v>
      </c>
      <c r="AE2767">
        <v>0</v>
      </c>
      <c r="AF2767">
        <v>3</v>
      </c>
      <c r="AG2767">
        <v>1</v>
      </c>
      <c r="AH2767">
        <v>0</v>
      </c>
      <c r="AI2767" t="s">
        <v>957</v>
      </c>
      <c r="AJ2767">
        <v>34.126967999999998</v>
      </c>
      <c r="AK2767" t="s">
        <v>943</v>
      </c>
      <c r="AL2767">
        <v>-117.05780300000001</v>
      </c>
      <c r="AM2767">
        <v>100</v>
      </c>
      <c r="AN2767">
        <v>6500</v>
      </c>
      <c r="AO2767" t="s">
        <v>118</v>
      </c>
      <c r="AP2767">
        <v>5</v>
      </c>
      <c r="AQ2767">
        <v>-105</v>
      </c>
      <c r="AR2767">
        <v>-768</v>
      </c>
      <c r="AZ2767">
        <v>1200</v>
      </c>
      <c r="BA2767">
        <v>1</v>
      </c>
      <c r="BB2767" t="str">
        <f t="shared" si="1525"/>
        <v xml:space="preserve">N9217B  </v>
      </c>
      <c r="BC2767">
        <v>1</v>
      </c>
      <c r="BE2767">
        <v>0</v>
      </c>
      <c r="BF2767">
        <v>0</v>
      </c>
      <c r="BG2767">
        <v>0</v>
      </c>
      <c r="BH2767">
        <v>6400</v>
      </c>
      <c r="BI2767">
        <v>1</v>
      </c>
      <c r="BJ2767">
        <v>0</v>
      </c>
      <c r="BK2767">
        <v>0</v>
      </c>
      <c r="BL2767">
        <v>0</v>
      </c>
      <c r="BO2767">
        <v>0</v>
      </c>
      <c r="BP2767">
        <v>0</v>
      </c>
      <c r="BW2767" t="str">
        <f t="shared" si="1529"/>
        <v>14:55:49.993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7</v>
      </c>
      <c r="CP2767" t="s">
        <v>119</v>
      </c>
      <c r="CQ2767">
        <v>285</v>
      </c>
      <c r="CR2767">
        <v>0</v>
      </c>
      <c r="CW2767">
        <v>8870418</v>
      </c>
      <c r="CY2767">
        <v>0</v>
      </c>
      <c r="CZ2767">
        <v>0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25">
      <c r="A2768" t="str">
        <f t="shared" ref="A2768:A2774" si="1530">"06/05/2020 14:55:45.285"</f>
        <v>06/05/2020 14:55:45.285</v>
      </c>
      <c r="C2768" t="str">
        <f t="shared" si="1504"/>
        <v>FFDFD3C0</v>
      </c>
      <c r="D2768" t="s">
        <v>151</v>
      </c>
      <c r="E2768">
        <v>9</v>
      </c>
      <c r="H2768">
        <v>226</v>
      </c>
      <c r="I2768" t="s">
        <v>152</v>
      </c>
      <c r="J2768" t="s">
        <v>150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ref="S2768:T2774" si="1531">"14:55:50.938"</f>
        <v>14:55:50.938</v>
      </c>
      <c r="T2768" t="str">
        <f t="shared" si="1531"/>
        <v>14:55:50.938</v>
      </c>
      <c r="U2768" t="str">
        <f t="shared" si="1523"/>
        <v>ACC530</v>
      </c>
      <c r="V2768">
        <v>0</v>
      </c>
      <c r="W2768">
        <v>0</v>
      </c>
      <c r="X2768">
        <v>1</v>
      </c>
      <c r="Z2768">
        <v>0</v>
      </c>
      <c r="AA2768">
        <v>9</v>
      </c>
      <c r="AB2768">
        <v>3</v>
      </c>
      <c r="AC2768">
        <v>0</v>
      </c>
      <c r="AD2768">
        <v>9</v>
      </c>
      <c r="AE2768">
        <v>0</v>
      </c>
      <c r="AF2768">
        <v>3</v>
      </c>
      <c r="AG2768">
        <v>1</v>
      </c>
      <c r="AH2768">
        <v>0</v>
      </c>
      <c r="AI2768" t="s">
        <v>958</v>
      </c>
      <c r="AJ2768">
        <v>34.126517999999997</v>
      </c>
      <c r="AK2768" t="s">
        <v>943</v>
      </c>
      <c r="AL2768">
        <v>-117.05780300000001</v>
      </c>
      <c r="AM2768">
        <v>100</v>
      </c>
      <c r="AN2768">
        <v>6500</v>
      </c>
      <c r="AO2768" t="s">
        <v>118</v>
      </c>
      <c r="AP2768">
        <v>6</v>
      </c>
      <c r="AQ2768">
        <v>-105</v>
      </c>
      <c r="AR2768">
        <v>-768</v>
      </c>
      <c r="AZ2768">
        <v>1200</v>
      </c>
      <c r="BA2768">
        <v>1</v>
      </c>
      <c r="BB2768" t="str">
        <f t="shared" si="1525"/>
        <v xml:space="preserve">N9217B  </v>
      </c>
      <c r="BC2768">
        <v>1</v>
      </c>
      <c r="BE2768">
        <v>0</v>
      </c>
      <c r="BF2768">
        <v>0</v>
      </c>
      <c r="BG2768">
        <v>0</v>
      </c>
      <c r="BH2768">
        <v>6375</v>
      </c>
      <c r="BI2768">
        <v>1</v>
      </c>
      <c r="BJ2768">
        <v>0</v>
      </c>
      <c r="BK2768">
        <v>0</v>
      </c>
      <c r="BL2768">
        <v>0</v>
      </c>
      <c r="BO2768">
        <v>0</v>
      </c>
      <c r="BP2768">
        <v>0</v>
      </c>
      <c r="BW2768" t="str">
        <f t="shared" ref="BW2768:BW2774" si="1532">"14:55:50.938"</f>
        <v>14:55:50.938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7</v>
      </c>
      <c r="CP2768" t="s">
        <v>119</v>
      </c>
      <c r="CQ2768">
        <v>285</v>
      </c>
      <c r="CR2768">
        <v>0</v>
      </c>
      <c r="CW2768">
        <v>8870501</v>
      </c>
      <c r="CY2768">
        <v>0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25">
      <c r="A2769" t="str">
        <f t="shared" si="1530"/>
        <v>06/05/2020 14:55:45.285</v>
      </c>
      <c r="C2769" t="str">
        <f t="shared" si="1504"/>
        <v>FFDFD3C0</v>
      </c>
      <c r="D2769" t="s">
        <v>148</v>
      </c>
      <c r="E2769">
        <v>8</v>
      </c>
      <c r="H2769">
        <v>50</v>
      </c>
      <c r="I2769" t="s">
        <v>149</v>
      </c>
      <c r="J2769" t="s">
        <v>150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531"/>
        <v>14:55:50.938</v>
      </c>
      <c r="T2769" t="str">
        <f t="shared" si="1531"/>
        <v>14:55:50.938</v>
      </c>
      <c r="U2769" t="str">
        <f t="shared" si="1523"/>
        <v>ACC530</v>
      </c>
      <c r="V2769">
        <v>0</v>
      </c>
      <c r="W2769">
        <v>0</v>
      </c>
      <c r="X2769">
        <v>1</v>
      </c>
      <c r="Z2769">
        <v>0</v>
      </c>
      <c r="AA2769">
        <v>9</v>
      </c>
      <c r="AB2769">
        <v>3</v>
      </c>
      <c r="AC2769">
        <v>0</v>
      </c>
      <c r="AD2769">
        <v>9</v>
      </c>
      <c r="AE2769">
        <v>0</v>
      </c>
      <c r="AF2769">
        <v>3</v>
      </c>
      <c r="AG2769">
        <v>1</v>
      </c>
      <c r="AH2769">
        <v>0</v>
      </c>
      <c r="AI2769" t="s">
        <v>958</v>
      </c>
      <c r="AJ2769">
        <v>34.126517999999997</v>
      </c>
      <c r="AK2769" t="s">
        <v>943</v>
      </c>
      <c r="AL2769">
        <v>-117.05780300000001</v>
      </c>
      <c r="AM2769">
        <v>100</v>
      </c>
      <c r="AN2769">
        <v>6500</v>
      </c>
      <c r="AO2769" t="s">
        <v>118</v>
      </c>
      <c r="AP2769">
        <v>6</v>
      </c>
      <c r="AQ2769">
        <v>-105</v>
      </c>
      <c r="AR2769">
        <v>-768</v>
      </c>
      <c r="AZ2769">
        <v>1200</v>
      </c>
      <c r="BA2769">
        <v>1</v>
      </c>
      <c r="BB2769" t="str">
        <f t="shared" si="1525"/>
        <v xml:space="preserve">N9217B  </v>
      </c>
      <c r="BC2769">
        <v>1</v>
      </c>
      <c r="BE2769">
        <v>0</v>
      </c>
      <c r="BF2769">
        <v>0</v>
      </c>
      <c r="BG2769">
        <v>0</v>
      </c>
      <c r="BH2769">
        <v>6375</v>
      </c>
      <c r="BI2769">
        <v>1</v>
      </c>
      <c r="BJ2769">
        <v>0</v>
      </c>
      <c r="BK2769">
        <v>0</v>
      </c>
      <c r="BL2769">
        <v>0</v>
      </c>
      <c r="BO2769">
        <v>0</v>
      </c>
      <c r="BP2769">
        <v>0</v>
      </c>
      <c r="BW2769" t="str">
        <f t="shared" si="1532"/>
        <v>14:55:50.938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7</v>
      </c>
      <c r="CP2769" t="s">
        <v>119</v>
      </c>
      <c r="CQ2769">
        <v>285</v>
      </c>
      <c r="CR2769">
        <v>0</v>
      </c>
      <c r="CW2769">
        <v>8870501</v>
      </c>
      <c r="CY2769">
        <v>0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25">
      <c r="A2770" t="str">
        <f t="shared" si="1530"/>
        <v>06/05/2020 14:55:45.285</v>
      </c>
      <c r="C2770" t="str">
        <f t="shared" si="1504"/>
        <v>FFDFD3C0</v>
      </c>
      <c r="D2770" t="s">
        <v>134</v>
      </c>
      <c r="E2770">
        <v>7</v>
      </c>
      <c r="F2770">
        <v>2007</v>
      </c>
      <c r="G2770" t="s">
        <v>135</v>
      </c>
      <c r="J2770" t="s">
        <v>136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531"/>
        <v>14:55:50.938</v>
      </c>
      <c r="T2770" t="str">
        <f t="shared" si="1531"/>
        <v>14:55:50.938</v>
      </c>
      <c r="U2770" t="str">
        <f t="shared" si="1523"/>
        <v>ACC530</v>
      </c>
      <c r="V2770">
        <v>0</v>
      </c>
      <c r="W2770">
        <v>0</v>
      </c>
      <c r="X2770">
        <v>1</v>
      </c>
      <c r="Z2770">
        <v>0</v>
      </c>
      <c r="AA2770">
        <v>9</v>
      </c>
      <c r="AB2770">
        <v>3</v>
      </c>
      <c r="AC2770">
        <v>0</v>
      </c>
      <c r="AD2770">
        <v>9</v>
      </c>
      <c r="AE2770">
        <v>0</v>
      </c>
      <c r="AF2770">
        <v>3</v>
      </c>
      <c r="AG2770">
        <v>1</v>
      </c>
      <c r="AH2770">
        <v>0</v>
      </c>
      <c r="AI2770" t="s">
        <v>958</v>
      </c>
      <c r="AJ2770">
        <v>34.126517999999997</v>
      </c>
      <c r="AK2770" t="s">
        <v>943</v>
      </c>
      <c r="AL2770">
        <v>-117.05780300000001</v>
      </c>
      <c r="AM2770">
        <v>100</v>
      </c>
      <c r="AN2770">
        <v>6500</v>
      </c>
      <c r="AO2770" t="s">
        <v>118</v>
      </c>
      <c r="AP2770">
        <v>6</v>
      </c>
      <c r="AQ2770">
        <v>-105</v>
      </c>
      <c r="AR2770">
        <v>-768</v>
      </c>
      <c r="AZ2770">
        <v>1200</v>
      </c>
      <c r="BA2770">
        <v>1</v>
      </c>
      <c r="BB2770" t="str">
        <f t="shared" si="1525"/>
        <v xml:space="preserve">N9217B  </v>
      </c>
      <c r="BC2770">
        <v>1</v>
      </c>
      <c r="BE2770">
        <v>0</v>
      </c>
      <c r="BF2770">
        <v>0</v>
      </c>
      <c r="BG2770">
        <v>0</v>
      </c>
      <c r="BH2770">
        <v>6375</v>
      </c>
      <c r="BI2770">
        <v>1</v>
      </c>
      <c r="BJ2770">
        <v>0</v>
      </c>
      <c r="BK2770">
        <v>0</v>
      </c>
      <c r="BL2770">
        <v>0</v>
      </c>
      <c r="BO2770">
        <v>0</v>
      </c>
      <c r="BP2770">
        <v>0</v>
      </c>
      <c r="BW2770" t="str">
        <f t="shared" si="1532"/>
        <v>14:55:50.938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7</v>
      </c>
      <c r="CP2770" t="s">
        <v>119</v>
      </c>
      <c r="CQ2770">
        <v>285</v>
      </c>
      <c r="CR2770">
        <v>0</v>
      </c>
      <c r="CW2770">
        <v>8870501</v>
      </c>
      <c r="CY2770">
        <v>0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25">
      <c r="A2771" t="str">
        <f t="shared" si="1530"/>
        <v>06/05/2020 14:55:45.285</v>
      </c>
      <c r="C2771" t="str">
        <f t="shared" si="1504"/>
        <v>FFDFD3C0</v>
      </c>
      <c r="D2771" t="s">
        <v>151</v>
      </c>
      <c r="E2771">
        <v>8</v>
      </c>
      <c r="H2771">
        <v>225</v>
      </c>
      <c r="I2771" t="s">
        <v>353</v>
      </c>
      <c r="J2771" t="s">
        <v>150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1531"/>
        <v>14:55:50.938</v>
      </c>
      <c r="T2771" t="str">
        <f t="shared" si="1531"/>
        <v>14:55:50.938</v>
      </c>
      <c r="U2771" t="str">
        <f t="shared" si="1523"/>
        <v>ACC530</v>
      </c>
      <c r="V2771">
        <v>0</v>
      </c>
      <c r="W2771">
        <v>0</v>
      </c>
      <c r="X2771">
        <v>1</v>
      </c>
      <c r="Z2771">
        <v>0</v>
      </c>
      <c r="AA2771">
        <v>9</v>
      </c>
      <c r="AB2771">
        <v>3</v>
      </c>
      <c r="AC2771">
        <v>0</v>
      </c>
      <c r="AD2771">
        <v>9</v>
      </c>
      <c r="AE2771">
        <v>0</v>
      </c>
      <c r="AF2771">
        <v>3</v>
      </c>
      <c r="AG2771">
        <v>1</v>
      </c>
      <c r="AH2771">
        <v>0</v>
      </c>
      <c r="AI2771" t="s">
        <v>958</v>
      </c>
      <c r="AJ2771">
        <v>34.126517999999997</v>
      </c>
      <c r="AK2771" t="s">
        <v>943</v>
      </c>
      <c r="AL2771">
        <v>-117.05780300000001</v>
      </c>
      <c r="AM2771">
        <v>100</v>
      </c>
      <c r="AN2771">
        <v>6500</v>
      </c>
      <c r="AO2771" t="s">
        <v>118</v>
      </c>
      <c r="AP2771">
        <v>6</v>
      </c>
      <c r="AQ2771">
        <v>-105</v>
      </c>
      <c r="AR2771">
        <v>-768</v>
      </c>
      <c r="AZ2771">
        <v>1200</v>
      </c>
      <c r="BA2771">
        <v>1</v>
      </c>
      <c r="BB2771" t="str">
        <f t="shared" si="1525"/>
        <v xml:space="preserve">N9217B  </v>
      </c>
      <c r="BC2771">
        <v>1</v>
      </c>
      <c r="BE2771">
        <v>0</v>
      </c>
      <c r="BF2771">
        <v>0</v>
      </c>
      <c r="BG2771">
        <v>0</v>
      </c>
      <c r="BH2771">
        <v>6375</v>
      </c>
      <c r="BI2771">
        <v>1</v>
      </c>
      <c r="BJ2771">
        <v>0</v>
      </c>
      <c r="BK2771">
        <v>0</v>
      </c>
      <c r="BL2771">
        <v>0</v>
      </c>
      <c r="BO2771">
        <v>0</v>
      </c>
      <c r="BP2771">
        <v>0</v>
      </c>
      <c r="BW2771" t="str">
        <f t="shared" si="1532"/>
        <v>14:55:50.938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119</v>
      </c>
      <c r="CQ2771">
        <v>285</v>
      </c>
      <c r="CR2771">
        <v>0</v>
      </c>
      <c r="CW2771">
        <v>8870501</v>
      </c>
      <c r="CY2771">
        <v>0</v>
      </c>
      <c r="CZ2771">
        <v>0</v>
      </c>
      <c r="DA2771">
        <v>1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25">
      <c r="A2772" t="str">
        <f t="shared" si="1530"/>
        <v>06/05/2020 14:55:45.285</v>
      </c>
      <c r="C2772" t="str">
        <f t="shared" si="1504"/>
        <v>FFDFD3C0</v>
      </c>
      <c r="D2772" t="s">
        <v>141</v>
      </c>
      <c r="E2772">
        <v>20</v>
      </c>
      <c r="F2772">
        <v>1020</v>
      </c>
      <c r="G2772" t="s">
        <v>114</v>
      </c>
      <c r="J2772" t="s">
        <v>142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531"/>
        <v>14:55:50.938</v>
      </c>
      <c r="T2772" t="str">
        <f t="shared" si="1531"/>
        <v>14:55:50.938</v>
      </c>
      <c r="U2772" t="str">
        <f t="shared" si="1523"/>
        <v>ACC530</v>
      </c>
      <c r="V2772">
        <v>0</v>
      </c>
      <c r="W2772">
        <v>0</v>
      </c>
      <c r="X2772">
        <v>1</v>
      </c>
      <c r="Z2772">
        <v>0</v>
      </c>
      <c r="AA2772">
        <v>9</v>
      </c>
      <c r="AB2772">
        <v>3</v>
      </c>
      <c r="AC2772">
        <v>0</v>
      </c>
      <c r="AD2772">
        <v>9</v>
      </c>
      <c r="AE2772">
        <v>0</v>
      </c>
      <c r="AF2772">
        <v>3</v>
      </c>
      <c r="AG2772">
        <v>1</v>
      </c>
      <c r="AH2772">
        <v>0</v>
      </c>
      <c r="AI2772" t="s">
        <v>958</v>
      </c>
      <c r="AJ2772">
        <v>34.126517999999997</v>
      </c>
      <c r="AK2772" t="s">
        <v>943</v>
      </c>
      <c r="AL2772">
        <v>-117.05780300000001</v>
      </c>
      <c r="AM2772">
        <v>100</v>
      </c>
      <c r="AN2772">
        <v>6500</v>
      </c>
      <c r="AO2772" t="s">
        <v>118</v>
      </c>
      <c r="AP2772">
        <v>6</v>
      </c>
      <c r="AQ2772">
        <v>-105</v>
      </c>
      <c r="AR2772">
        <v>-768</v>
      </c>
      <c r="AZ2772">
        <v>1200</v>
      </c>
      <c r="BA2772">
        <v>1</v>
      </c>
      <c r="BB2772" t="str">
        <f t="shared" si="1525"/>
        <v xml:space="preserve">N9217B  </v>
      </c>
      <c r="BC2772">
        <v>1</v>
      </c>
      <c r="BE2772">
        <v>0</v>
      </c>
      <c r="BF2772">
        <v>0</v>
      </c>
      <c r="BG2772">
        <v>0</v>
      </c>
      <c r="BH2772">
        <v>6375</v>
      </c>
      <c r="BI2772">
        <v>1</v>
      </c>
      <c r="BJ2772">
        <v>0</v>
      </c>
      <c r="BK2772">
        <v>0</v>
      </c>
      <c r="BL2772">
        <v>0</v>
      </c>
      <c r="BO2772">
        <v>0</v>
      </c>
      <c r="BP2772">
        <v>0</v>
      </c>
      <c r="BW2772" t="str">
        <f t="shared" si="1532"/>
        <v>14:55:50.938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119</v>
      </c>
      <c r="CQ2772">
        <v>285</v>
      </c>
      <c r="CR2772">
        <v>0</v>
      </c>
      <c r="CW2772">
        <v>8870501</v>
      </c>
      <c r="CY2772">
        <v>0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25">
      <c r="A2773" t="str">
        <f t="shared" si="1530"/>
        <v>06/05/2020 14:55:45.285</v>
      </c>
      <c r="C2773" t="str">
        <f t="shared" si="1504"/>
        <v>FFDFD3C0</v>
      </c>
      <c r="D2773" t="s">
        <v>148</v>
      </c>
      <c r="E2773">
        <v>11</v>
      </c>
      <c r="H2773">
        <v>53</v>
      </c>
      <c r="I2773" t="s">
        <v>364</v>
      </c>
      <c r="J2773" t="s">
        <v>150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531"/>
        <v>14:55:50.938</v>
      </c>
      <c r="T2773" t="str">
        <f t="shared" si="1531"/>
        <v>14:55:50.938</v>
      </c>
      <c r="U2773" t="str">
        <f t="shared" si="1523"/>
        <v>ACC530</v>
      </c>
      <c r="V2773">
        <v>0</v>
      </c>
      <c r="W2773">
        <v>0</v>
      </c>
      <c r="X2773">
        <v>1</v>
      </c>
      <c r="Z2773">
        <v>0</v>
      </c>
      <c r="AA2773">
        <v>9</v>
      </c>
      <c r="AB2773">
        <v>3</v>
      </c>
      <c r="AC2773">
        <v>0</v>
      </c>
      <c r="AD2773">
        <v>9</v>
      </c>
      <c r="AE2773">
        <v>0</v>
      </c>
      <c r="AF2773">
        <v>3</v>
      </c>
      <c r="AG2773">
        <v>1</v>
      </c>
      <c r="AH2773">
        <v>0</v>
      </c>
      <c r="AI2773" t="s">
        <v>958</v>
      </c>
      <c r="AJ2773">
        <v>34.126517999999997</v>
      </c>
      <c r="AK2773" t="s">
        <v>943</v>
      </c>
      <c r="AL2773">
        <v>-117.05780300000001</v>
      </c>
      <c r="AM2773">
        <v>100</v>
      </c>
      <c r="AN2773">
        <v>6500</v>
      </c>
      <c r="AO2773" t="s">
        <v>118</v>
      </c>
      <c r="AP2773">
        <v>6</v>
      </c>
      <c r="AQ2773">
        <v>-105</v>
      </c>
      <c r="AR2773">
        <v>-768</v>
      </c>
      <c r="AZ2773">
        <v>1200</v>
      </c>
      <c r="BA2773">
        <v>1</v>
      </c>
      <c r="BB2773" t="str">
        <f t="shared" si="1525"/>
        <v xml:space="preserve">N9217B  </v>
      </c>
      <c r="BC2773">
        <v>1</v>
      </c>
      <c r="BE2773">
        <v>0</v>
      </c>
      <c r="BF2773">
        <v>0</v>
      </c>
      <c r="BG2773">
        <v>0</v>
      </c>
      <c r="BH2773">
        <v>6375</v>
      </c>
      <c r="BI2773">
        <v>1</v>
      </c>
      <c r="BJ2773">
        <v>0</v>
      </c>
      <c r="BK2773">
        <v>0</v>
      </c>
      <c r="BL2773">
        <v>0</v>
      </c>
      <c r="BO2773">
        <v>0</v>
      </c>
      <c r="BP2773">
        <v>0</v>
      </c>
      <c r="BW2773" t="str">
        <f t="shared" si="1532"/>
        <v>14:55:50.938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119</v>
      </c>
      <c r="CQ2773">
        <v>285</v>
      </c>
      <c r="CR2773">
        <v>0</v>
      </c>
      <c r="CW2773">
        <v>8870501</v>
      </c>
      <c r="CY2773">
        <v>0</v>
      </c>
      <c r="CZ2773">
        <v>0</v>
      </c>
      <c r="DA2773">
        <v>1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25">
      <c r="A2774" t="str">
        <f t="shared" si="1530"/>
        <v>06/05/2020 14:55:45.285</v>
      </c>
      <c r="C2774" t="str">
        <f t="shared" si="1504"/>
        <v>FFDFD3C0</v>
      </c>
      <c r="D2774" t="s">
        <v>113</v>
      </c>
      <c r="E2774">
        <v>3</v>
      </c>
      <c r="H2774">
        <v>166</v>
      </c>
      <c r="I2774" t="s">
        <v>114</v>
      </c>
      <c r="J2774" t="s">
        <v>115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si="1531"/>
        <v>14:55:50.938</v>
      </c>
      <c r="T2774" t="str">
        <f t="shared" si="1531"/>
        <v>14:55:50.938</v>
      </c>
      <c r="U2774" t="str">
        <f t="shared" si="1523"/>
        <v>ACC530</v>
      </c>
      <c r="V2774">
        <v>0</v>
      </c>
      <c r="W2774">
        <v>0</v>
      </c>
      <c r="X2774">
        <v>1</v>
      </c>
      <c r="Z2774">
        <v>0</v>
      </c>
      <c r="AA2774">
        <v>9</v>
      </c>
      <c r="AB2774">
        <v>3</v>
      </c>
      <c r="AC2774">
        <v>0</v>
      </c>
      <c r="AD2774">
        <v>9</v>
      </c>
      <c r="AE2774">
        <v>0</v>
      </c>
      <c r="AF2774">
        <v>3</v>
      </c>
      <c r="AG2774">
        <v>1</v>
      </c>
      <c r="AH2774">
        <v>0</v>
      </c>
      <c r="AI2774" t="s">
        <v>958</v>
      </c>
      <c r="AJ2774">
        <v>34.126517999999997</v>
      </c>
      <c r="AK2774" t="s">
        <v>943</v>
      </c>
      <c r="AL2774">
        <v>-117.05780300000001</v>
      </c>
      <c r="AM2774">
        <v>100</v>
      </c>
      <c r="AN2774">
        <v>6500</v>
      </c>
      <c r="AO2774" t="s">
        <v>118</v>
      </c>
      <c r="AP2774">
        <v>6</v>
      </c>
      <c r="AQ2774">
        <v>-105</v>
      </c>
      <c r="AR2774">
        <v>-768</v>
      </c>
      <c r="AZ2774">
        <v>1200</v>
      </c>
      <c r="BA2774">
        <v>1</v>
      </c>
      <c r="BB2774" t="str">
        <f t="shared" si="1525"/>
        <v xml:space="preserve">N9217B  </v>
      </c>
      <c r="BC2774">
        <v>1</v>
      </c>
      <c r="BE2774">
        <v>0</v>
      </c>
      <c r="BF2774">
        <v>0</v>
      </c>
      <c r="BG2774">
        <v>0</v>
      </c>
      <c r="BH2774">
        <v>6375</v>
      </c>
      <c r="BI2774">
        <v>1</v>
      </c>
      <c r="BJ2774">
        <v>0</v>
      </c>
      <c r="BK2774">
        <v>0</v>
      </c>
      <c r="BL2774">
        <v>0</v>
      </c>
      <c r="BO2774">
        <v>0</v>
      </c>
      <c r="BP2774">
        <v>0</v>
      </c>
      <c r="BW2774" t="str">
        <f t="shared" si="1532"/>
        <v>14:55:50.938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119</v>
      </c>
      <c r="CQ2774">
        <v>285</v>
      </c>
      <c r="CR2774">
        <v>0</v>
      </c>
      <c r="CW2774">
        <v>8870501</v>
      </c>
      <c r="CY2774">
        <v>0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25">
      <c r="A2775" t="str">
        <f t="shared" ref="A2775:A2781" si="1533">"06/05/2020 14:55:46.174"</f>
        <v>06/05/2020 14:55:46.174</v>
      </c>
      <c r="C2775" t="str">
        <f t="shared" si="1504"/>
        <v>FFDFD3C0</v>
      </c>
      <c r="D2775" t="s">
        <v>148</v>
      </c>
      <c r="E2775">
        <v>8</v>
      </c>
      <c r="H2775">
        <v>50</v>
      </c>
      <c r="I2775" t="s">
        <v>149</v>
      </c>
      <c r="J2775" t="s">
        <v>150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ref="S2775:S2781" si="1534">"14:55:51.820"</f>
        <v>14:55:51.820</v>
      </c>
      <c r="T2775" t="str">
        <f t="shared" ref="T2775:T2781" si="1535">"14:55:51.420"</f>
        <v>14:55:51.420</v>
      </c>
      <c r="U2775" t="str">
        <f t="shared" si="1523"/>
        <v>ACC530</v>
      </c>
      <c r="V2775">
        <v>0</v>
      </c>
      <c r="W2775">
        <v>0</v>
      </c>
      <c r="X2775">
        <v>1</v>
      </c>
      <c r="Z2775">
        <v>0</v>
      </c>
      <c r="AA2775">
        <v>9</v>
      </c>
      <c r="AB2775">
        <v>3</v>
      </c>
      <c r="AC2775">
        <v>0</v>
      </c>
      <c r="AD2775">
        <v>9</v>
      </c>
      <c r="AE2775">
        <v>0</v>
      </c>
      <c r="AF2775">
        <v>3</v>
      </c>
      <c r="AG2775">
        <v>1</v>
      </c>
      <c r="AH2775">
        <v>0</v>
      </c>
      <c r="AI2775" t="s">
        <v>959</v>
      </c>
      <c r="AJ2775">
        <v>34.126089</v>
      </c>
      <c r="AK2775" t="s">
        <v>941</v>
      </c>
      <c r="AL2775">
        <v>-117.05778100000001</v>
      </c>
      <c r="AM2775">
        <v>100</v>
      </c>
      <c r="AN2775">
        <v>6500</v>
      </c>
      <c r="AO2775" t="s">
        <v>118</v>
      </c>
      <c r="AP2775">
        <v>7</v>
      </c>
      <c r="AQ2775">
        <v>-105</v>
      </c>
      <c r="AR2775">
        <v>-768</v>
      </c>
      <c r="AZ2775">
        <v>1200</v>
      </c>
      <c r="BA2775">
        <v>1</v>
      </c>
      <c r="BB2775" t="str">
        <f t="shared" si="1525"/>
        <v xml:space="preserve">N9217B  </v>
      </c>
      <c r="BC2775">
        <v>1</v>
      </c>
      <c r="BE2775">
        <v>0</v>
      </c>
      <c r="BF2775">
        <v>0</v>
      </c>
      <c r="BG2775">
        <v>0</v>
      </c>
      <c r="BH2775">
        <v>6375</v>
      </c>
      <c r="BI2775">
        <v>1</v>
      </c>
      <c r="BJ2775">
        <v>0</v>
      </c>
      <c r="BK2775">
        <v>0</v>
      </c>
      <c r="BL2775">
        <v>0</v>
      </c>
      <c r="BO2775">
        <v>0</v>
      </c>
      <c r="BP2775">
        <v>0</v>
      </c>
      <c r="BW2775" t="str">
        <f t="shared" ref="BW2775:BW2781" si="1536">"14:55:51.823"</f>
        <v>14:55:51.823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119</v>
      </c>
      <c r="CQ2775">
        <v>285</v>
      </c>
      <c r="CR2775">
        <v>0</v>
      </c>
      <c r="CW2775">
        <v>8870579</v>
      </c>
      <c r="CY2775">
        <v>0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25">
      <c r="A2776" t="str">
        <f t="shared" si="1533"/>
        <v>06/05/2020 14:55:46.174</v>
      </c>
      <c r="C2776" t="str">
        <f t="shared" si="1504"/>
        <v>FFDFD3C0</v>
      </c>
      <c r="D2776" t="s">
        <v>134</v>
      </c>
      <c r="E2776">
        <v>7</v>
      </c>
      <c r="F2776">
        <v>2007</v>
      </c>
      <c r="G2776" t="s">
        <v>135</v>
      </c>
      <c r="J2776" t="s">
        <v>136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534"/>
        <v>14:55:51.820</v>
      </c>
      <c r="T2776" t="str">
        <f t="shared" si="1535"/>
        <v>14:55:51.420</v>
      </c>
      <c r="U2776" t="str">
        <f t="shared" si="1523"/>
        <v>ACC530</v>
      </c>
      <c r="V2776">
        <v>0</v>
      </c>
      <c r="W2776">
        <v>0</v>
      </c>
      <c r="X2776">
        <v>1</v>
      </c>
      <c r="Z2776">
        <v>0</v>
      </c>
      <c r="AA2776">
        <v>9</v>
      </c>
      <c r="AB2776">
        <v>3</v>
      </c>
      <c r="AC2776">
        <v>0</v>
      </c>
      <c r="AD2776">
        <v>9</v>
      </c>
      <c r="AE2776">
        <v>0</v>
      </c>
      <c r="AF2776">
        <v>3</v>
      </c>
      <c r="AG2776">
        <v>1</v>
      </c>
      <c r="AH2776">
        <v>0</v>
      </c>
      <c r="AI2776" t="s">
        <v>959</v>
      </c>
      <c r="AJ2776">
        <v>34.126089</v>
      </c>
      <c r="AK2776" t="s">
        <v>941</v>
      </c>
      <c r="AL2776">
        <v>-117.05778100000001</v>
      </c>
      <c r="AM2776">
        <v>100</v>
      </c>
      <c r="AN2776">
        <v>6500</v>
      </c>
      <c r="AO2776" t="s">
        <v>118</v>
      </c>
      <c r="AP2776">
        <v>7</v>
      </c>
      <c r="AQ2776">
        <v>-105</v>
      </c>
      <c r="AR2776">
        <v>-768</v>
      </c>
      <c r="AZ2776">
        <v>1200</v>
      </c>
      <c r="BA2776">
        <v>1</v>
      </c>
      <c r="BB2776" t="str">
        <f t="shared" si="1525"/>
        <v xml:space="preserve">N9217B  </v>
      </c>
      <c r="BC2776">
        <v>1</v>
      </c>
      <c r="BE2776">
        <v>0</v>
      </c>
      <c r="BF2776">
        <v>0</v>
      </c>
      <c r="BG2776">
        <v>0</v>
      </c>
      <c r="BH2776">
        <v>6375</v>
      </c>
      <c r="BI2776">
        <v>1</v>
      </c>
      <c r="BJ2776">
        <v>0</v>
      </c>
      <c r="BK2776">
        <v>0</v>
      </c>
      <c r="BL2776">
        <v>0</v>
      </c>
      <c r="BO2776">
        <v>0</v>
      </c>
      <c r="BP2776">
        <v>0</v>
      </c>
      <c r="BW2776" t="str">
        <f t="shared" si="1536"/>
        <v>14:55:51.823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119</v>
      </c>
      <c r="CQ2776">
        <v>285</v>
      </c>
      <c r="CR2776">
        <v>0</v>
      </c>
      <c r="CW2776">
        <v>8870579</v>
      </c>
      <c r="CY2776">
        <v>0</v>
      </c>
      <c r="CZ2776">
        <v>0</v>
      </c>
      <c r="DA2776">
        <v>1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25">
      <c r="A2777" t="str">
        <f t="shared" si="1533"/>
        <v>06/05/2020 14:55:46.174</v>
      </c>
      <c r="C2777" t="str">
        <f t="shared" si="1504"/>
        <v>FFDFD3C0</v>
      </c>
      <c r="D2777" t="s">
        <v>141</v>
      </c>
      <c r="E2777">
        <v>20</v>
      </c>
      <c r="F2777">
        <v>1020</v>
      </c>
      <c r="G2777" t="s">
        <v>114</v>
      </c>
      <c r="J2777" t="s">
        <v>142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534"/>
        <v>14:55:51.820</v>
      </c>
      <c r="T2777" t="str">
        <f t="shared" si="1535"/>
        <v>14:55:51.420</v>
      </c>
      <c r="U2777" t="str">
        <f t="shared" si="1523"/>
        <v>ACC530</v>
      </c>
      <c r="V2777">
        <v>0</v>
      </c>
      <c r="W2777">
        <v>0</v>
      </c>
      <c r="X2777">
        <v>1</v>
      </c>
      <c r="Z2777">
        <v>0</v>
      </c>
      <c r="AA2777">
        <v>9</v>
      </c>
      <c r="AB2777">
        <v>3</v>
      </c>
      <c r="AC2777">
        <v>0</v>
      </c>
      <c r="AD2777">
        <v>9</v>
      </c>
      <c r="AE2777">
        <v>0</v>
      </c>
      <c r="AF2777">
        <v>3</v>
      </c>
      <c r="AG2777">
        <v>1</v>
      </c>
      <c r="AH2777">
        <v>0</v>
      </c>
      <c r="AI2777" t="s">
        <v>959</v>
      </c>
      <c r="AJ2777">
        <v>34.126089</v>
      </c>
      <c r="AK2777" t="s">
        <v>941</v>
      </c>
      <c r="AL2777">
        <v>-117.05778100000001</v>
      </c>
      <c r="AM2777">
        <v>100</v>
      </c>
      <c r="AN2777">
        <v>6500</v>
      </c>
      <c r="AO2777" t="s">
        <v>118</v>
      </c>
      <c r="AP2777">
        <v>7</v>
      </c>
      <c r="AQ2777">
        <v>-105</v>
      </c>
      <c r="AR2777">
        <v>-768</v>
      </c>
      <c r="AZ2777">
        <v>1200</v>
      </c>
      <c r="BA2777">
        <v>1</v>
      </c>
      <c r="BB2777" t="str">
        <f t="shared" si="1525"/>
        <v xml:space="preserve">N9217B  </v>
      </c>
      <c r="BC2777">
        <v>1</v>
      </c>
      <c r="BE2777">
        <v>0</v>
      </c>
      <c r="BF2777">
        <v>0</v>
      </c>
      <c r="BG2777">
        <v>0</v>
      </c>
      <c r="BH2777">
        <v>6375</v>
      </c>
      <c r="BI2777">
        <v>1</v>
      </c>
      <c r="BJ2777">
        <v>0</v>
      </c>
      <c r="BK2777">
        <v>0</v>
      </c>
      <c r="BL2777">
        <v>0</v>
      </c>
      <c r="BO2777">
        <v>0</v>
      </c>
      <c r="BP2777">
        <v>0</v>
      </c>
      <c r="BW2777" t="str">
        <f t="shared" si="1536"/>
        <v>14:55:51.823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119</v>
      </c>
      <c r="CQ2777">
        <v>285</v>
      </c>
      <c r="CR2777">
        <v>0</v>
      </c>
      <c r="CW2777">
        <v>8870579</v>
      </c>
      <c r="CY2777">
        <v>0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25">
      <c r="A2778" t="str">
        <f t="shared" si="1533"/>
        <v>06/05/2020 14:55:46.174</v>
      </c>
      <c r="C2778" t="str">
        <f t="shared" si="1504"/>
        <v>FFDFD3C0</v>
      </c>
      <c r="D2778" t="s">
        <v>151</v>
      </c>
      <c r="E2778">
        <v>8</v>
      </c>
      <c r="H2778">
        <v>225</v>
      </c>
      <c r="I2778" t="s">
        <v>353</v>
      </c>
      <c r="J2778" t="s">
        <v>150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534"/>
        <v>14:55:51.820</v>
      </c>
      <c r="T2778" t="str">
        <f t="shared" si="1535"/>
        <v>14:55:51.420</v>
      </c>
      <c r="U2778" t="str">
        <f t="shared" si="1523"/>
        <v>ACC530</v>
      </c>
      <c r="V2778">
        <v>0</v>
      </c>
      <c r="W2778">
        <v>0</v>
      </c>
      <c r="X2778">
        <v>1</v>
      </c>
      <c r="Z2778">
        <v>0</v>
      </c>
      <c r="AA2778">
        <v>9</v>
      </c>
      <c r="AB2778">
        <v>3</v>
      </c>
      <c r="AC2778">
        <v>0</v>
      </c>
      <c r="AD2778">
        <v>9</v>
      </c>
      <c r="AE2778">
        <v>0</v>
      </c>
      <c r="AF2778">
        <v>3</v>
      </c>
      <c r="AG2778">
        <v>1</v>
      </c>
      <c r="AH2778">
        <v>0</v>
      </c>
      <c r="AI2778" t="s">
        <v>959</v>
      </c>
      <c r="AJ2778">
        <v>34.126089</v>
      </c>
      <c r="AK2778" t="s">
        <v>941</v>
      </c>
      <c r="AL2778">
        <v>-117.05778100000001</v>
      </c>
      <c r="AM2778">
        <v>100</v>
      </c>
      <c r="AN2778">
        <v>6500</v>
      </c>
      <c r="AO2778" t="s">
        <v>118</v>
      </c>
      <c r="AP2778">
        <v>7</v>
      </c>
      <c r="AQ2778">
        <v>-105</v>
      </c>
      <c r="AR2778">
        <v>-768</v>
      </c>
      <c r="AZ2778">
        <v>1200</v>
      </c>
      <c r="BA2778">
        <v>1</v>
      </c>
      <c r="BB2778" t="str">
        <f t="shared" si="1525"/>
        <v xml:space="preserve">N9217B  </v>
      </c>
      <c r="BC2778">
        <v>1</v>
      </c>
      <c r="BE2778">
        <v>0</v>
      </c>
      <c r="BF2778">
        <v>0</v>
      </c>
      <c r="BG2778">
        <v>0</v>
      </c>
      <c r="BH2778">
        <v>6375</v>
      </c>
      <c r="BI2778">
        <v>1</v>
      </c>
      <c r="BJ2778">
        <v>0</v>
      </c>
      <c r="BK2778">
        <v>0</v>
      </c>
      <c r="BL2778">
        <v>0</v>
      </c>
      <c r="BO2778">
        <v>0</v>
      </c>
      <c r="BP2778">
        <v>0</v>
      </c>
      <c r="BW2778" t="str">
        <f t="shared" si="1536"/>
        <v>14:55:51.823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7</v>
      </c>
      <c r="CP2778" t="s">
        <v>119</v>
      </c>
      <c r="CQ2778">
        <v>285</v>
      </c>
      <c r="CR2778">
        <v>0</v>
      </c>
      <c r="CW2778">
        <v>8870579</v>
      </c>
      <c r="CY2778">
        <v>0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25">
      <c r="A2779" t="str">
        <f t="shared" si="1533"/>
        <v>06/05/2020 14:55:46.174</v>
      </c>
      <c r="C2779" t="str">
        <f t="shared" si="1504"/>
        <v>FFDFD3C0</v>
      </c>
      <c r="D2779" t="s">
        <v>113</v>
      </c>
      <c r="E2779">
        <v>3</v>
      </c>
      <c r="H2779">
        <v>166</v>
      </c>
      <c r="I2779" t="s">
        <v>114</v>
      </c>
      <c r="J2779" t="s">
        <v>115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534"/>
        <v>14:55:51.820</v>
      </c>
      <c r="T2779" t="str">
        <f t="shared" si="1535"/>
        <v>14:55:51.420</v>
      </c>
      <c r="U2779" t="str">
        <f t="shared" si="1523"/>
        <v>ACC530</v>
      </c>
      <c r="V2779">
        <v>0</v>
      </c>
      <c r="W2779">
        <v>0</v>
      </c>
      <c r="X2779">
        <v>1</v>
      </c>
      <c r="Z2779">
        <v>0</v>
      </c>
      <c r="AA2779">
        <v>9</v>
      </c>
      <c r="AB2779">
        <v>3</v>
      </c>
      <c r="AC2779">
        <v>0</v>
      </c>
      <c r="AD2779">
        <v>9</v>
      </c>
      <c r="AE2779">
        <v>0</v>
      </c>
      <c r="AF2779">
        <v>3</v>
      </c>
      <c r="AG2779">
        <v>1</v>
      </c>
      <c r="AH2779">
        <v>0</v>
      </c>
      <c r="AI2779" t="s">
        <v>959</v>
      </c>
      <c r="AJ2779">
        <v>34.126089</v>
      </c>
      <c r="AK2779" t="s">
        <v>941</v>
      </c>
      <c r="AL2779">
        <v>-117.05778100000001</v>
      </c>
      <c r="AM2779">
        <v>100</v>
      </c>
      <c r="AN2779">
        <v>6500</v>
      </c>
      <c r="AO2779" t="s">
        <v>118</v>
      </c>
      <c r="AP2779">
        <v>7</v>
      </c>
      <c r="AQ2779">
        <v>-105</v>
      </c>
      <c r="AR2779">
        <v>-768</v>
      </c>
      <c r="AZ2779">
        <v>1200</v>
      </c>
      <c r="BA2779">
        <v>1</v>
      </c>
      <c r="BB2779" t="str">
        <f t="shared" si="1525"/>
        <v xml:space="preserve">N9217B  </v>
      </c>
      <c r="BC2779">
        <v>1</v>
      </c>
      <c r="BE2779">
        <v>0</v>
      </c>
      <c r="BF2779">
        <v>0</v>
      </c>
      <c r="BG2779">
        <v>0</v>
      </c>
      <c r="BH2779">
        <v>6375</v>
      </c>
      <c r="BI2779">
        <v>1</v>
      </c>
      <c r="BJ2779">
        <v>0</v>
      </c>
      <c r="BK2779">
        <v>0</v>
      </c>
      <c r="BL2779">
        <v>0</v>
      </c>
      <c r="BO2779">
        <v>0</v>
      </c>
      <c r="BP2779">
        <v>0</v>
      </c>
      <c r="BW2779" t="str">
        <f t="shared" si="1536"/>
        <v>14:55:51.823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119</v>
      </c>
      <c r="CQ2779">
        <v>285</v>
      </c>
      <c r="CR2779">
        <v>0</v>
      </c>
      <c r="CW2779">
        <v>8870579</v>
      </c>
      <c r="CY2779">
        <v>0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25">
      <c r="A2780" t="str">
        <f t="shared" si="1533"/>
        <v>06/05/2020 14:55:46.174</v>
      </c>
      <c r="C2780" t="str">
        <f t="shared" si="1504"/>
        <v>FFDFD3C0</v>
      </c>
      <c r="D2780" t="s">
        <v>148</v>
      </c>
      <c r="E2780">
        <v>11</v>
      </c>
      <c r="H2780">
        <v>53</v>
      </c>
      <c r="I2780" t="s">
        <v>364</v>
      </c>
      <c r="J2780" t="s">
        <v>150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534"/>
        <v>14:55:51.820</v>
      </c>
      <c r="T2780" t="str">
        <f t="shared" si="1535"/>
        <v>14:55:51.420</v>
      </c>
      <c r="U2780" t="str">
        <f t="shared" si="1523"/>
        <v>ACC530</v>
      </c>
      <c r="V2780">
        <v>0</v>
      </c>
      <c r="W2780">
        <v>0</v>
      </c>
      <c r="X2780">
        <v>1</v>
      </c>
      <c r="Z2780">
        <v>0</v>
      </c>
      <c r="AA2780">
        <v>9</v>
      </c>
      <c r="AB2780">
        <v>3</v>
      </c>
      <c r="AC2780">
        <v>0</v>
      </c>
      <c r="AD2780">
        <v>9</v>
      </c>
      <c r="AE2780">
        <v>0</v>
      </c>
      <c r="AF2780">
        <v>3</v>
      </c>
      <c r="AG2780">
        <v>1</v>
      </c>
      <c r="AH2780">
        <v>0</v>
      </c>
      <c r="AI2780" t="s">
        <v>959</v>
      </c>
      <c r="AJ2780">
        <v>34.126089</v>
      </c>
      <c r="AK2780" t="s">
        <v>941</v>
      </c>
      <c r="AL2780">
        <v>-117.05778100000001</v>
      </c>
      <c r="AM2780">
        <v>100</v>
      </c>
      <c r="AN2780">
        <v>6500</v>
      </c>
      <c r="AO2780" t="s">
        <v>118</v>
      </c>
      <c r="AP2780">
        <v>7</v>
      </c>
      <c r="AQ2780">
        <v>-105</v>
      </c>
      <c r="AR2780">
        <v>-768</v>
      </c>
      <c r="AZ2780">
        <v>1200</v>
      </c>
      <c r="BA2780">
        <v>1</v>
      </c>
      <c r="BB2780" t="str">
        <f t="shared" si="1525"/>
        <v xml:space="preserve">N9217B  </v>
      </c>
      <c r="BC2780">
        <v>1</v>
      </c>
      <c r="BE2780">
        <v>0</v>
      </c>
      <c r="BF2780">
        <v>0</v>
      </c>
      <c r="BG2780">
        <v>0</v>
      </c>
      <c r="BH2780">
        <v>6375</v>
      </c>
      <c r="BI2780">
        <v>1</v>
      </c>
      <c r="BJ2780">
        <v>0</v>
      </c>
      <c r="BK2780">
        <v>0</v>
      </c>
      <c r="BL2780">
        <v>0</v>
      </c>
      <c r="BO2780">
        <v>0</v>
      </c>
      <c r="BP2780">
        <v>0</v>
      </c>
      <c r="BW2780" t="str">
        <f t="shared" si="1536"/>
        <v>14:55:51.823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119</v>
      </c>
      <c r="CQ2780">
        <v>285</v>
      </c>
      <c r="CR2780">
        <v>0</v>
      </c>
      <c r="CW2780">
        <v>8870579</v>
      </c>
      <c r="CY2780">
        <v>0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25">
      <c r="A2781" t="str">
        <f t="shared" si="1533"/>
        <v>06/05/2020 14:55:46.174</v>
      </c>
      <c r="C2781" t="str">
        <f t="shared" si="1504"/>
        <v>FFDFD3C0</v>
      </c>
      <c r="D2781" t="s">
        <v>151</v>
      </c>
      <c r="E2781">
        <v>9</v>
      </c>
      <c r="H2781">
        <v>226</v>
      </c>
      <c r="I2781" t="s">
        <v>152</v>
      </c>
      <c r="J2781" t="s">
        <v>150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534"/>
        <v>14:55:51.820</v>
      </c>
      <c r="T2781" t="str">
        <f t="shared" si="1535"/>
        <v>14:55:51.420</v>
      </c>
      <c r="U2781" t="str">
        <f t="shared" si="1523"/>
        <v>ACC530</v>
      </c>
      <c r="V2781">
        <v>0</v>
      </c>
      <c r="W2781">
        <v>0</v>
      </c>
      <c r="X2781">
        <v>1</v>
      </c>
      <c r="Z2781">
        <v>0</v>
      </c>
      <c r="AA2781">
        <v>9</v>
      </c>
      <c r="AB2781">
        <v>3</v>
      </c>
      <c r="AC2781">
        <v>0</v>
      </c>
      <c r="AD2781">
        <v>9</v>
      </c>
      <c r="AE2781">
        <v>0</v>
      </c>
      <c r="AF2781">
        <v>3</v>
      </c>
      <c r="AG2781">
        <v>1</v>
      </c>
      <c r="AH2781">
        <v>0</v>
      </c>
      <c r="AI2781" t="s">
        <v>959</v>
      </c>
      <c r="AJ2781">
        <v>34.126089</v>
      </c>
      <c r="AK2781" t="s">
        <v>941</v>
      </c>
      <c r="AL2781">
        <v>-117.05778100000001</v>
      </c>
      <c r="AM2781">
        <v>100</v>
      </c>
      <c r="AN2781">
        <v>6500</v>
      </c>
      <c r="AO2781" t="s">
        <v>118</v>
      </c>
      <c r="AP2781">
        <v>7</v>
      </c>
      <c r="AQ2781">
        <v>-105</v>
      </c>
      <c r="AR2781">
        <v>-768</v>
      </c>
      <c r="AZ2781">
        <v>1200</v>
      </c>
      <c r="BA2781">
        <v>1</v>
      </c>
      <c r="BB2781" t="str">
        <f t="shared" si="1525"/>
        <v xml:space="preserve">N9217B  </v>
      </c>
      <c r="BC2781">
        <v>1</v>
      </c>
      <c r="BE2781">
        <v>0</v>
      </c>
      <c r="BF2781">
        <v>0</v>
      </c>
      <c r="BG2781">
        <v>0</v>
      </c>
      <c r="BH2781">
        <v>6375</v>
      </c>
      <c r="BI2781">
        <v>1</v>
      </c>
      <c r="BJ2781">
        <v>0</v>
      </c>
      <c r="BK2781">
        <v>0</v>
      </c>
      <c r="BL2781">
        <v>0</v>
      </c>
      <c r="BO2781">
        <v>0</v>
      </c>
      <c r="BP2781">
        <v>0</v>
      </c>
      <c r="BW2781" t="str">
        <f t="shared" si="1536"/>
        <v>14:55:51.823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7</v>
      </c>
      <c r="CP2781" t="s">
        <v>119</v>
      </c>
      <c r="CQ2781">
        <v>285</v>
      </c>
      <c r="CR2781">
        <v>0</v>
      </c>
      <c r="CW2781">
        <v>8870579</v>
      </c>
      <c r="CY2781">
        <v>0</v>
      </c>
      <c r="CZ2781">
        <v>0</v>
      </c>
      <c r="DA2781">
        <v>1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25">
      <c r="A2782" t="str">
        <f t="shared" ref="A2782:A2788" si="1537">"06/05/2020 14:55:47.312"</f>
        <v>06/05/2020 14:55:47.312</v>
      </c>
      <c r="C2782" t="str">
        <f t="shared" si="1504"/>
        <v>FFDFD3C0</v>
      </c>
      <c r="D2782" t="s">
        <v>151</v>
      </c>
      <c r="E2782">
        <v>9</v>
      </c>
      <c r="H2782">
        <v>226</v>
      </c>
      <c r="I2782" t="s">
        <v>152</v>
      </c>
      <c r="J2782" t="s">
        <v>150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ref="S2782:T2788" si="1538">"14:55:52.977"</f>
        <v>14:55:52.977</v>
      </c>
      <c r="T2782" t="str">
        <f t="shared" si="1538"/>
        <v>14:55:52.977</v>
      </c>
      <c r="U2782" t="str">
        <f t="shared" si="1523"/>
        <v>ACC530</v>
      </c>
      <c r="V2782">
        <v>0</v>
      </c>
      <c r="W2782">
        <v>0</v>
      </c>
      <c r="X2782">
        <v>1</v>
      </c>
      <c r="Z2782">
        <v>0</v>
      </c>
      <c r="AA2782">
        <v>9</v>
      </c>
      <c r="AB2782">
        <v>3</v>
      </c>
      <c r="AC2782">
        <v>0</v>
      </c>
      <c r="AD2782">
        <v>9</v>
      </c>
      <c r="AE2782">
        <v>0</v>
      </c>
      <c r="AF2782">
        <v>3</v>
      </c>
      <c r="AG2782">
        <v>1</v>
      </c>
      <c r="AH2782">
        <v>0</v>
      </c>
      <c r="AI2782" t="s">
        <v>960</v>
      </c>
      <c r="AJ2782">
        <v>34.125531000000002</v>
      </c>
      <c r="AK2782" t="s">
        <v>961</v>
      </c>
      <c r="AL2782">
        <v>-117.057717</v>
      </c>
      <c r="AM2782">
        <v>100</v>
      </c>
      <c r="AN2782">
        <v>6500</v>
      </c>
      <c r="AO2782" t="s">
        <v>118</v>
      </c>
      <c r="AP2782">
        <v>9</v>
      </c>
      <c r="AQ2782">
        <v>-105</v>
      </c>
      <c r="AR2782">
        <v>-832</v>
      </c>
      <c r="AZ2782">
        <v>1200</v>
      </c>
      <c r="BA2782">
        <v>1</v>
      </c>
      <c r="BB2782" t="str">
        <f t="shared" si="1525"/>
        <v xml:space="preserve">N9217B  </v>
      </c>
      <c r="BC2782">
        <v>1</v>
      </c>
      <c r="BE2782">
        <v>0</v>
      </c>
      <c r="BF2782">
        <v>0</v>
      </c>
      <c r="BG2782">
        <v>0</v>
      </c>
      <c r="BH2782">
        <v>6350</v>
      </c>
      <c r="BI2782">
        <v>1</v>
      </c>
      <c r="BJ2782">
        <v>0</v>
      </c>
      <c r="BK2782">
        <v>0</v>
      </c>
      <c r="BL2782">
        <v>0</v>
      </c>
      <c r="BO2782">
        <v>0</v>
      </c>
      <c r="BP2782">
        <v>0</v>
      </c>
      <c r="BW2782" t="str">
        <f t="shared" ref="BW2782:BW2788" si="1539">"14:55:52.978"</f>
        <v>14:55:52.978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7</v>
      </c>
      <c r="CP2782" t="s">
        <v>119</v>
      </c>
      <c r="CQ2782">
        <v>285</v>
      </c>
      <c r="CR2782">
        <v>0</v>
      </c>
      <c r="CW2782">
        <v>8870676</v>
      </c>
      <c r="CY2782">
        <v>0</v>
      </c>
      <c r="CZ2782">
        <v>0</v>
      </c>
      <c r="DA2782">
        <v>0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25">
      <c r="A2783" t="str">
        <f t="shared" si="1537"/>
        <v>06/05/2020 14:55:47.312</v>
      </c>
      <c r="C2783" t="str">
        <f t="shared" si="1504"/>
        <v>FFDFD3C0</v>
      </c>
      <c r="D2783" t="s">
        <v>134</v>
      </c>
      <c r="E2783">
        <v>7</v>
      </c>
      <c r="F2783">
        <v>2007</v>
      </c>
      <c r="G2783" t="s">
        <v>135</v>
      </c>
      <c r="J2783" t="s">
        <v>136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538"/>
        <v>14:55:52.977</v>
      </c>
      <c r="T2783" t="str">
        <f t="shared" si="1538"/>
        <v>14:55:52.977</v>
      </c>
      <c r="U2783" t="str">
        <f t="shared" si="1523"/>
        <v>ACC530</v>
      </c>
      <c r="V2783">
        <v>0</v>
      </c>
      <c r="W2783">
        <v>0</v>
      </c>
      <c r="X2783">
        <v>1</v>
      </c>
      <c r="Z2783">
        <v>0</v>
      </c>
      <c r="AA2783">
        <v>9</v>
      </c>
      <c r="AB2783">
        <v>3</v>
      </c>
      <c r="AC2783">
        <v>0</v>
      </c>
      <c r="AD2783">
        <v>9</v>
      </c>
      <c r="AE2783">
        <v>0</v>
      </c>
      <c r="AF2783">
        <v>3</v>
      </c>
      <c r="AG2783">
        <v>1</v>
      </c>
      <c r="AH2783">
        <v>0</v>
      </c>
      <c r="AI2783" t="s">
        <v>960</v>
      </c>
      <c r="AJ2783">
        <v>34.125531000000002</v>
      </c>
      <c r="AK2783" t="s">
        <v>961</v>
      </c>
      <c r="AL2783">
        <v>-117.057717</v>
      </c>
      <c r="AM2783">
        <v>100</v>
      </c>
      <c r="AN2783">
        <v>6500</v>
      </c>
      <c r="AO2783" t="s">
        <v>118</v>
      </c>
      <c r="AP2783">
        <v>9</v>
      </c>
      <c r="AQ2783">
        <v>-105</v>
      </c>
      <c r="AR2783">
        <v>-832</v>
      </c>
      <c r="AZ2783">
        <v>1200</v>
      </c>
      <c r="BA2783">
        <v>1</v>
      </c>
      <c r="BB2783" t="str">
        <f t="shared" si="1525"/>
        <v xml:space="preserve">N9217B  </v>
      </c>
      <c r="BC2783">
        <v>1</v>
      </c>
      <c r="BE2783">
        <v>0</v>
      </c>
      <c r="BF2783">
        <v>0</v>
      </c>
      <c r="BG2783">
        <v>0</v>
      </c>
      <c r="BH2783">
        <v>6350</v>
      </c>
      <c r="BI2783">
        <v>1</v>
      </c>
      <c r="BJ2783">
        <v>0</v>
      </c>
      <c r="BK2783">
        <v>0</v>
      </c>
      <c r="BL2783">
        <v>0</v>
      </c>
      <c r="BO2783">
        <v>0</v>
      </c>
      <c r="BP2783">
        <v>0</v>
      </c>
      <c r="BW2783" t="str">
        <f t="shared" si="1539"/>
        <v>14:55:52.978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7</v>
      </c>
      <c r="CP2783" t="s">
        <v>119</v>
      </c>
      <c r="CQ2783">
        <v>285</v>
      </c>
      <c r="CR2783">
        <v>0</v>
      </c>
      <c r="CW2783">
        <v>8870676</v>
      </c>
      <c r="CY2783">
        <v>0</v>
      </c>
      <c r="CZ2783">
        <v>0</v>
      </c>
      <c r="DA2783">
        <v>1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25">
      <c r="A2784" t="str">
        <f t="shared" si="1537"/>
        <v>06/05/2020 14:55:47.312</v>
      </c>
      <c r="C2784" t="str">
        <f t="shared" si="1504"/>
        <v>FFDFD3C0</v>
      </c>
      <c r="D2784" t="s">
        <v>148</v>
      </c>
      <c r="E2784">
        <v>8</v>
      </c>
      <c r="H2784">
        <v>50</v>
      </c>
      <c r="I2784" t="s">
        <v>149</v>
      </c>
      <c r="J2784" t="s">
        <v>150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538"/>
        <v>14:55:52.977</v>
      </c>
      <c r="T2784" t="str">
        <f t="shared" si="1538"/>
        <v>14:55:52.977</v>
      </c>
      <c r="U2784" t="str">
        <f t="shared" si="1523"/>
        <v>ACC530</v>
      </c>
      <c r="V2784">
        <v>0</v>
      </c>
      <c r="W2784">
        <v>0</v>
      </c>
      <c r="X2784">
        <v>1</v>
      </c>
      <c r="Z2784">
        <v>0</v>
      </c>
      <c r="AA2784">
        <v>9</v>
      </c>
      <c r="AB2784">
        <v>3</v>
      </c>
      <c r="AC2784">
        <v>0</v>
      </c>
      <c r="AD2784">
        <v>9</v>
      </c>
      <c r="AE2784">
        <v>0</v>
      </c>
      <c r="AF2784">
        <v>3</v>
      </c>
      <c r="AG2784">
        <v>1</v>
      </c>
      <c r="AH2784">
        <v>0</v>
      </c>
      <c r="AI2784" t="s">
        <v>960</v>
      </c>
      <c r="AJ2784">
        <v>34.125531000000002</v>
      </c>
      <c r="AK2784" t="s">
        <v>961</v>
      </c>
      <c r="AL2784">
        <v>-117.057717</v>
      </c>
      <c r="AM2784">
        <v>100</v>
      </c>
      <c r="AN2784">
        <v>6500</v>
      </c>
      <c r="AO2784" t="s">
        <v>118</v>
      </c>
      <c r="AP2784">
        <v>9</v>
      </c>
      <c r="AQ2784">
        <v>-105</v>
      </c>
      <c r="AR2784">
        <v>-832</v>
      </c>
      <c r="AZ2784">
        <v>1200</v>
      </c>
      <c r="BA2784">
        <v>1</v>
      </c>
      <c r="BB2784" t="str">
        <f t="shared" si="1525"/>
        <v xml:space="preserve">N9217B  </v>
      </c>
      <c r="BC2784">
        <v>1</v>
      </c>
      <c r="BE2784">
        <v>0</v>
      </c>
      <c r="BF2784">
        <v>0</v>
      </c>
      <c r="BG2784">
        <v>0</v>
      </c>
      <c r="BH2784">
        <v>6350</v>
      </c>
      <c r="BI2784">
        <v>1</v>
      </c>
      <c r="BJ2784">
        <v>0</v>
      </c>
      <c r="BK2784">
        <v>0</v>
      </c>
      <c r="BL2784">
        <v>0</v>
      </c>
      <c r="BO2784">
        <v>0</v>
      </c>
      <c r="BP2784">
        <v>0</v>
      </c>
      <c r="BW2784" t="str">
        <f t="shared" si="1539"/>
        <v>14:55:52.978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7</v>
      </c>
      <c r="CP2784" t="s">
        <v>119</v>
      </c>
      <c r="CQ2784">
        <v>285</v>
      </c>
      <c r="CR2784">
        <v>0</v>
      </c>
      <c r="CW2784">
        <v>8870676</v>
      </c>
      <c r="CY2784">
        <v>0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25">
      <c r="A2785" t="str">
        <f t="shared" si="1537"/>
        <v>06/05/2020 14:55:47.312</v>
      </c>
      <c r="C2785" t="str">
        <f t="shared" si="1504"/>
        <v>FFDFD3C0</v>
      </c>
      <c r="D2785" t="s">
        <v>141</v>
      </c>
      <c r="E2785">
        <v>20</v>
      </c>
      <c r="F2785">
        <v>1020</v>
      </c>
      <c r="G2785" t="s">
        <v>114</v>
      </c>
      <c r="J2785" t="s">
        <v>142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538"/>
        <v>14:55:52.977</v>
      </c>
      <c r="T2785" t="str">
        <f t="shared" si="1538"/>
        <v>14:55:52.977</v>
      </c>
      <c r="U2785" t="str">
        <f t="shared" si="1523"/>
        <v>ACC530</v>
      </c>
      <c r="V2785">
        <v>0</v>
      </c>
      <c r="W2785">
        <v>0</v>
      </c>
      <c r="X2785">
        <v>1</v>
      </c>
      <c r="Z2785">
        <v>0</v>
      </c>
      <c r="AA2785">
        <v>9</v>
      </c>
      <c r="AB2785">
        <v>3</v>
      </c>
      <c r="AC2785">
        <v>0</v>
      </c>
      <c r="AD2785">
        <v>9</v>
      </c>
      <c r="AE2785">
        <v>0</v>
      </c>
      <c r="AF2785">
        <v>3</v>
      </c>
      <c r="AG2785">
        <v>1</v>
      </c>
      <c r="AH2785">
        <v>0</v>
      </c>
      <c r="AI2785" t="s">
        <v>960</v>
      </c>
      <c r="AJ2785">
        <v>34.125531000000002</v>
      </c>
      <c r="AK2785" t="s">
        <v>961</v>
      </c>
      <c r="AL2785">
        <v>-117.057717</v>
      </c>
      <c r="AM2785">
        <v>100</v>
      </c>
      <c r="AN2785">
        <v>6500</v>
      </c>
      <c r="AO2785" t="s">
        <v>118</v>
      </c>
      <c r="AP2785">
        <v>9</v>
      </c>
      <c r="AQ2785">
        <v>-105</v>
      </c>
      <c r="AR2785">
        <v>-832</v>
      </c>
      <c r="AZ2785">
        <v>1200</v>
      </c>
      <c r="BA2785">
        <v>1</v>
      </c>
      <c r="BB2785" t="str">
        <f t="shared" si="1525"/>
        <v xml:space="preserve">N9217B  </v>
      </c>
      <c r="BC2785">
        <v>1</v>
      </c>
      <c r="BE2785">
        <v>0</v>
      </c>
      <c r="BF2785">
        <v>0</v>
      </c>
      <c r="BG2785">
        <v>0</v>
      </c>
      <c r="BH2785">
        <v>6350</v>
      </c>
      <c r="BI2785">
        <v>1</v>
      </c>
      <c r="BJ2785">
        <v>0</v>
      </c>
      <c r="BK2785">
        <v>0</v>
      </c>
      <c r="BL2785">
        <v>0</v>
      </c>
      <c r="BO2785">
        <v>0</v>
      </c>
      <c r="BP2785">
        <v>0</v>
      </c>
      <c r="BW2785" t="str">
        <f t="shared" si="1539"/>
        <v>14:55:52.978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7</v>
      </c>
      <c r="CP2785" t="s">
        <v>119</v>
      </c>
      <c r="CQ2785">
        <v>285</v>
      </c>
      <c r="CR2785">
        <v>0</v>
      </c>
      <c r="CW2785">
        <v>8870676</v>
      </c>
      <c r="CY2785">
        <v>0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25">
      <c r="A2786" t="str">
        <f t="shared" si="1537"/>
        <v>06/05/2020 14:55:47.312</v>
      </c>
      <c r="C2786" t="str">
        <f t="shared" si="1504"/>
        <v>FFDFD3C0</v>
      </c>
      <c r="D2786" t="s">
        <v>151</v>
      </c>
      <c r="E2786">
        <v>8</v>
      </c>
      <c r="H2786">
        <v>225</v>
      </c>
      <c r="I2786" t="s">
        <v>353</v>
      </c>
      <c r="J2786" t="s">
        <v>150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538"/>
        <v>14:55:52.977</v>
      </c>
      <c r="T2786" t="str">
        <f t="shared" si="1538"/>
        <v>14:55:52.977</v>
      </c>
      <c r="U2786" t="str">
        <f t="shared" si="1523"/>
        <v>ACC530</v>
      </c>
      <c r="V2786">
        <v>0</v>
      </c>
      <c r="W2786">
        <v>0</v>
      </c>
      <c r="X2786">
        <v>1</v>
      </c>
      <c r="Z2786">
        <v>0</v>
      </c>
      <c r="AA2786">
        <v>9</v>
      </c>
      <c r="AB2786">
        <v>3</v>
      </c>
      <c r="AC2786">
        <v>0</v>
      </c>
      <c r="AD2786">
        <v>9</v>
      </c>
      <c r="AE2786">
        <v>0</v>
      </c>
      <c r="AF2786">
        <v>3</v>
      </c>
      <c r="AG2786">
        <v>1</v>
      </c>
      <c r="AH2786">
        <v>0</v>
      </c>
      <c r="AI2786" t="s">
        <v>960</v>
      </c>
      <c r="AJ2786">
        <v>34.125531000000002</v>
      </c>
      <c r="AK2786" t="s">
        <v>961</v>
      </c>
      <c r="AL2786">
        <v>-117.057717</v>
      </c>
      <c r="AM2786">
        <v>100</v>
      </c>
      <c r="AN2786">
        <v>6500</v>
      </c>
      <c r="AO2786" t="s">
        <v>118</v>
      </c>
      <c r="AP2786">
        <v>9</v>
      </c>
      <c r="AQ2786">
        <v>-105</v>
      </c>
      <c r="AR2786">
        <v>-832</v>
      </c>
      <c r="AZ2786">
        <v>1200</v>
      </c>
      <c r="BA2786">
        <v>1</v>
      </c>
      <c r="BB2786" t="str">
        <f t="shared" si="1525"/>
        <v xml:space="preserve">N9217B  </v>
      </c>
      <c r="BC2786">
        <v>1</v>
      </c>
      <c r="BE2786">
        <v>0</v>
      </c>
      <c r="BF2786">
        <v>0</v>
      </c>
      <c r="BG2786">
        <v>0</v>
      </c>
      <c r="BH2786">
        <v>6350</v>
      </c>
      <c r="BI2786">
        <v>1</v>
      </c>
      <c r="BJ2786">
        <v>0</v>
      </c>
      <c r="BK2786">
        <v>0</v>
      </c>
      <c r="BL2786">
        <v>0</v>
      </c>
      <c r="BO2786">
        <v>0</v>
      </c>
      <c r="BP2786">
        <v>0</v>
      </c>
      <c r="BW2786" t="str">
        <f t="shared" si="1539"/>
        <v>14:55:52.978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7</v>
      </c>
      <c r="CP2786" t="s">
        <v>119</v>
      </c>
      <c r="CQ2786">
        <v>285</v>
      </c>
      <c r="CR2786">
        <v>0</v>
      </c>
      <c r="CW2786">
        <v>8870676</v>
      </c>
      <c r="CY2786">
        <v>0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25">
      <c r="A2787" t="str">
        <f t="shared" si="1537"/>
        <v>06/05/2020 14:55:47.312</v>
      </c>
      <c r="C2787" t="str">
        <f t="shared" ref="C2787:C2850" si="1540">"FFDFD3C0"</f>
        <v>FFDFD3C0</v>
      </c>
      <c r="D2787" t="s">
        <v>113</v>
      </c>
      <c r="E2787">
        <v>3</v>
      </c>
      <c r="H2787">
        <v>166</v>
      </c>
      <c r="I2787" t="s">
        <v>114</v>
      </c>
      <c r="J2787" t="s">
        <v>115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538"/>
        <v>14:55:52.977</v>
      </c>
      <c r="T2787" t="str">
        <f t="shared" si="1538"/>
        <v>14:55:52.977</v>
      </c>
      <c r="U2787" t="str">
        <f t="shared" si="1523"/>
        <v>ACC530</v>
      </c>
      <c r="V2787">
        <v>0</v>
      </c>
      <c r="W2787">
        <v>0</v>
      </c>
      <c r="X2787">
        <v>1</v>
      </c>
      <c r="Z2787">
        <v>0</v>
      </c>
      <c r="AA2787">
        <v>9</v>
      </c>
      <c r="AB2787">
        <v>3</v>
      </c>
      <c r="AC2787">
        <v>0</v>
      </c>
      <c r="AD2787">
        <v>9</v>
      </c>
      <c r="AE2787">
        <v>0</v>
      </c>
      <c r="AF2787">
        <v>3</v>
      </c>
      <c r="AG2787">
        <v>1</v>
      </c>
      <c r="AH2787">
        <v>0</v>
      </c>
      <c r="AI2787" t="s">
        <v>960</v>
      </c>
      <c r="AJ2787">
        <v>34.125531000000002</v>
      </c>
      <c r="AK2787" t="s">
        <v>961</v>
      </c>
      <c r="AL2787">
        <v>-117.057717</v>
      </c>
      <c r="AM2787">
        <v>100</v>
      </c>
      <c r="AN2787">
        <v>6500</v>
      </c>
      <c r="AO2787" t="s">
        <v>118</v>
      </c>
      <c r="AP2787">
        <v>9</v>
      </c>
      <c r="AQ2787">
        <v>-105</v>
      </c>
      <c r="AR2787">
        <v>-832</v>
      </c>
      <c r="AZ2787">
        <v>1200</v>
      </c>
      <c r="BA2787">
        <v>1</v>
      </c>
      <c r="BB2787" t="str">
        <f t="shared" si="1525"/>
        <v xml:space="preserve">N9217B  </v>
      </c>
      <c r="BC2787">
        <v>1</v>
      </c>
      <c r="BE2787">
        <v>0</v>
      </c>
      <c r="BF2787">
        <v>0</v>
      </c>
      <c r="BG2787">
        <v>0</v>
      </c>
      <c r="BH2787">
        <v>6350</v>
      </c>
      <c r="BI2787">
        <v>1</v>
      </c>
      <c r="BJ2787">
        <v>0</v>
      </c>
      <c r="BK2787">
        <v>0</v>
      </c>
      <c r="BL2787">
        <v>0</v>
      </c>
      <c r="BO2787">
        <v>0</v>
      </c>
      <c r="BP2787">
        <v>0</v>
      </c>
      <c r="BW2787" t="str">
        <f t="shared" si="1539"/>
        <v>14:55:52.978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7</v>
      </c>
      <c r="CP2787" t="s">
        <v>119</v>
      </c>
      <c r="CQ2787">
        <v>285</v>
      </c>
      <c r="CR2787">
        <v>0</v>
      </c>
      <c r="CW2787">
        <v>8870676</v>
      </c>
      <c r="CY2787">
        <v>0</v>
      </c>
      <c r="CZ2787">
        <v>0</v>
      </c>
      <c r="DA2787">
        <v>1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25">
      <c r="A2788" t="str">
        <f t="shared" si="1537"/>
        <v>06/05/2020 14:55:47.312</v>
      </c>
      <c r="C2788" t="str">
        <f t="shared" si="1540"/>
        <v>FFDFD3C0</v>
      </c>
      <c r="D2788" t="s">
        <v>148</v>
      </c>
      <c r="E2788">
        <v>11</v>
      </c>
      <c r="H2788">
        <v>53</v>
      </c>
      <c r="I2788" t="s">
        <v>364</v>
      </c>
      <c r="J2788" t="s">
        <v>150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538"/>
        <v>14:55:52.977</v>
      </c>
      <c r="T2788" t="str">
        <f t="shared" si="1538"/>
        <v>14:55:52.977</v>
      </c>
      <c r="U2788" t="str">
        <f t="shared" si="1523"/>
        <v>ACC530</v>
      </c>
      <c r="V2788">
        <v>0</v>
      </c>
      <c r="W2788">
        <v>0</v>
      </c>
      <c r="X2788">
        <v>1</v>
      </c>
      <c r="Z2788">
        <v>0</v>
      </c>
      <c r="AA2788">
        <v>9</v>
      </c>
      <c r="AB2788">
        <v>3</v>
      </c>
      <c r="AC2788">
        <v>0</v>
      </c>
      <c r="AD2788">
        <v>9</v>
      </c>
      <c r="AE2788">
        <v>0</v>
      </c>
      <c r="AF2788">
        <v>3</v>
      </c>
      <c r="AG2788">
        <v>1</v>
      </c>
      <c r="AH2788">
        <v>0</v>
      </c>
      <c r="AI2788" t="s">
        <v>960</v>
      </c>
      <c r="AJ2788">
        <v>34.125531000000002</v>
      </c>
      <c r="AK2788" t="s">
        <v>961</v>
      </c>
      <c r="AL2788">
        <v>-117.057717</v>
      </c>
      <c r="AM2788">
        <v>100</v>
      </c>
      <c r="AN2788">
        <v>6500</v>
      </c>
      <c r="AO2788" t="s">
        <v>118</v>
      </c>
      <c r="AP2788">
        <v>9</v>
      </c>
      <c r="AQ2788">
        <v>-105</v>
      </c>
      <c r="AR2788">
        <v>-832</v>
      </c>
      <c r="AZ2788">
        <v>1200</v>
      </c>
      <c r="BA2788">
        <v>1</v>
      </c>
      <c r="BB2788" t="str">
        <f t="shared" si="1525"/>
        <v xml:space="preserve">N9217B  </v>
      </c>
      <c r="BC2788">
        <v>1</v>
      </c>
      <c r="BE2788">
        <v>0</v>
      </c>
      <c r="BF2788">
        <v>0</v>
      </c>
      <c r="BG2788">
        <v>0</v>
      </c>
      <c r="BH2788">
        <v>6350</v>
      </c>
      <c r="BI2788">
        <v>1</v>
      </c>
      <c r="BJ2788">
        <v>0</v>
      </c>
      <c r="BK2788">
        <v>0</v>
      </c>
      <c r="BL2788">
        <v>0</v>
      </c>
      <c r="BO2788">
        <v>0</v>
      </c>
      <c r="BP2788">
        <v>0</v>
      </c>
      <c r="BW2788" t="str">
        <f t="shared" si="1539"/>
        <v>14:55:52.978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7</v>
      </c>
      <c r="CP2788" t="s">
        <v>119</v>
      </c>
      <c r="CQ2788">
        <v>285</v>
      </c>
      <c r="CR2788">
        <v>0</v>
      </c>
      <c r="CW2788">
        <v>8870676</v>
      </c>
      <c r="CY2788">
        <v>0</v>
      </c>
      <c r="CZ2788">
        <v>0</v>
      </c>
      <c r="DA2788">
        <v>1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25">
      <c r="A2789" t="str">
        <f t="shared" ref="A2789:A2795" si="1541">"06/05/2020 14:55:48.348"</f>
        <v>06/05/2020 14:55:48.348</v>
      </c>
      <c r="C2789" t="str">
        <f t="shared" si="1540"/>
        <v>FFDFD3C0</v>
      </c>
      <c r="D2789" t="s">
        <v>148</v>
      </c>
      <c r="E2789">
        <v>8</v>
      </c>
      <c r="H2789">
        <v>50</v>
      </c>
      <c r="I2789" t="s">
        <v>149</v>
      </c>
      <c r="J2789" t="s">
        <v>150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ref="S2789:S2795" si="1542">"14:55:54.008"</f>
        <v>14:55:54.008</v>
      </c>
      <c r="T2789" t="str">
        <f t="shared" ref="T2789:T2795" si="1543">"14:55:53.508"</f>
        <v>14:55:53.508</v>
      </c>
      <c r="U2789" t="str">
        <f t="shared" si="1523"/>
        <v>ACC530</v>
      </c>
      <c r="V2789">
        <v>0</v>
      </c>
      <c r="W2789">
        <v>0</v>
      </c>
      <c r="X2789">
        <v>1</v>
      </c>
      <c r="Z2789">
        <v>0</v>
      </c>
      <c r="AA2789">
        <v>9</v>
      </c>
      <c r="AB2789">
        <v>3</v>
      </c>
      <c r="AC2789">
        <v>0</v>
      </c>
      <c r="AD2789">
        <v>9</v>
      </c>
      <c r="AE2789">
        <v>0</v>
      </c>
      <c r="AF2789">
        <v>3</v>
      </c>
      <c r="AG2789">
        <v>1</v>
      </c>
      <c r="AH2789">
        <v>0</v>
      </c>
      <c r="AI2789" t="s">
        <v>962</v>
      </c>
      <c r="AJ2789">
        <v>34.124994000000001</v>
      </c>
      <c r="AK2789" t="s">
        <v>963</v>
      </c>
      <c r="AL2789">
        <v>-117.057652</v>
      </c>
      <c r="AM2789">
        <v>100</v>
      </c>
      <c r="AN2789">
        <v>6400</v>
      </c>
      <c r="AO2789" t="s">
        <v>118</v>
      </c>
      <c r="AP2789">
        <v>10</v>
      </c>
      <c r="AQ2789">
        <v>-105</v>
      </c>
      <c r="AR2789">
        <v>-832</v>
      </c>
      <c r="AZ2789">
        <v>1200</v>
      </c>
      <c r="BA2789">
        <v>1</v>
      </c>
      <c r="BB2789" t="str">
        <f t="shared" si="1525"/>
        <v xml:space="preserve">N9217B  </v>
      </c>
      <c r="BC2789">
        <v>1</v>
      </c>
      <c r="BE2789">
        <v>0</v>
      </c>
      <c r="BF2789">
        <v>0</v>
      </c>
      <c r="BG2789">
        <v>0</v>
      </c>
      <c r="BH2789">
        <v>6250</v>
      </c>
      <c r="BI2789">
        <v>1</v>
      </c>
      <c r="BJ2789">
        <v>0</v>
      </c>
      <c r="BK2789">
        <v>0</v>
      </c>
      <c r="BL2789">
        <v>0</v>
      </c>
      <c r="BO2789">
        <v>0</v>
      </c>
      <c r="BP2789">
        <v>0</v>
      </c>
      <c r="BW2789" t="str">
        <f t="shared" ref="BW2789:BW2795" si="1544">"14:55:54.012"</f>
        <v>14:55:54.012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7</v>
      </c>
      <c r="CP2789" t="s">
        <v>119</v>
      </c>
      <c r="CQ2789">
        <v>285</v>
      </c>
      <c r="CR2789">
        <v>0</v>
      </c>
      <c r="CW2789">
        <v>8870771</v>
      </c>
      <c r="CY2789">
        <v>0</v>
      </c>
      <c r="CZ2789">
        <v>0</v>
      </c>
      <c r="DA2789">
        <v>0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25">
      <c r="A2790" t="str">
        <f t="shared" si="1541"/>
        <v>06/05/2020 14:55:48.348</v>
      </c>
      <c r="C2790" t="str">
        <f t="shared" si="1540"/>
        <v>FFDFD3C0</v>
      </c>
      <c r="D2790" t="s">
        <v>141</v>
      </c>
      <c r="E2790">
        <v>20</v>
      </c>
      <c r="F2790">
        <v>1020</v>
      </c>
      <c r="G2790" t="s">
        <v>114</v>
      </c>
      <c r="J2790" t="s">
        <v>142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542"/>
        <v>14:55:54.008</v>
      </c>
      <c r="T2790" t="str">
        <f t="shared" si="1543"/>
        <v>14:55:53.508</v>
      </c>
      <c r="U2790" t="str">
        <f t="shared" si="1523"/>
        <v>ACC530</v>
      </c>
      <c r="V2790">
        <v>0</v>
      </c>
      <c r="W2790">
        <v>0</v>
      </c>
      <c r="X2790">
        <v>1</v>
      </c>
      <c r="Z2790">
        <v>0</v>
      </c>
      <c r="AA2790">
        <v>9</v>
      </c>
      <c r="AB2790">
        <v>3</v>
      </c>
      <c r="AC2790">
        <v>0</v>
      </c>
      <c r="AD2790">
        <v>9</v>
      </c>
      <c r="AE2790">
        <v>0</v>
      </c>
      <c r="AF2790">
        <v>3</v>
      </c>
      <c r="AG2790">
        <v>1</v>
      </c>
      <c r="AH2790">
        <v>0</v>
      </c>
      <c r="AI2790" t="s">
        <v>962</v>
      </c>
      <c r="AJ2790">
        <v>34.124994000000001</v>
      </c>
      <c r="AK2790" t="s">
        <v>963</v>
      </c>
      <c r="AL2790">
        <v>-117.057652</v>
      </c>
      <c r="AM2790">
        <v>100</v>
      </c>
      <c r="AN2790">
        <v>6400</v>
      </c>
      <c r="AO2790" t="s">
        <v>118</v>
      </c>
      <c r="AP2790">
        <v>10</v>
      </c>
      <c r="AQ2790">
        <v>-105</v>
      </c>
      <c r="AR2790">
        <v>-832</v>
      </c>
      <c r="AZ2790">
        <v>1200</v>
      </c>
      <c r="BA2790">
        <v>1</v>
      </c>
      <c r="BB2790" t="str">
        <f t="shared" si="1525"/>
        <v xml:space="preserve">N9217B  </v>
      </c>
      <c r="BC2790">
        <v>1</v>
      </c>
      <c r="BE2790">
        <v>0</v>
      </c>
      <c r="BF2790">
        <v>0</v>
      </c>
      <c r="BG2790">
        <v>0</v>
      </c>
      <c r="BH2790">
        <v>6250</v>
      </c>
      <c r="BI2790">
        <v>1</v>
      </c>
      <c r="BJ2790">
        <v>0</v>
      </c>
      <c r="BK2790">
        <v>0</v>
      </c>
      <c r="BL2790">
        <v>0</v>
      </c>
      <c r="BO2790">
        <v>0</v>
      </c>
      <c r="BP2790">
        <v>0</v>
      </c>
      <c r="BW2790" t="str">
        <f t="shared" si="1544"/>
        <v>14:55:54.012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119</v>
      </c>
      <c r="CQ2790">
        <v>285</v>
      </c>
      <c r="CR2790">
        <v>0</v>
      </c>
      <c r="CW2790">
        <v>8870771</v>
      </c>
      <c r="CY2790">
        <v>0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25">
      <c r="A2791" t="str">
        <f t="shared" si="1541"/>
        <v>06/05/2020 14:55:48.348</v>
      </c>
      <c r="C2791" t="str">
        <f t="shared" si="1540"/>
        <v>FFDFD3C0</v>
      </c>
      <c r="D2791" t="s">
        <v>113</v>
      </c>
      <c r="E2791">
        <v>3</v>
      </c>
      <c r="H2791">
        <v>166</v>
      </c>
      <c r="I2791" t="s">
        <v>114</v>
      </c>
      <c r="J2791" t="s">
        <v>115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si="1542"/>
        <v>14:55:54.008</v>
      </c>
      <c r="T2791" t="str">
        <f t="shared" si="1543"/>
        <v>14:55:53.508</v>
      </c>
      <c r="U2791" t="str">
        <f t="shared" si="1523"/>
        <v>ACC530</v>
      </c>
      <c r="V2791">
        <v>0</v>
      </c>
      <c r="W2791">
        <v>0</v>
      </c>
      <c r="X2791">
        <v>1</v>
      </c>
      <c r="Z2791">
        <v>0</v>
      </c>
      <c r="AA2791">
        <v>9</v>
      </c>
      <c r="AB2791">
        <v>3</v>
      </c>
      <c r="AC2791">
        <v>0</v>
      </c>
      <c r="AD2791">
        <v>9</v>
      </c>
      <c r="AE2791">
        <v>0</v>
      </c>
      <c r="AF2791">
        <v>3</v>
      </c>
      <c r="AG2791">
        <v>1</v>
      </c>
      <c r="AH2791">
        <v>0</v>
      </c>
      <c r="AI2791" t="s">
        <v>962</v>
      </c>
      <c r="AJ2791">
        <v>34.124994000000001</v>
      </c>
      <c r="AK2791" t="s">
        <v>963</v>
      </c>
      <c r="AL2791">
        <v>-117.057652</v>
      </c>
      <c r="AM2791">
        <v>100</v>
      </c>
      <c r="AN2791">
        <v>6400</v>
      </c>
      <c r="AO2791" t="s">
        <v>118</v>
      </c>
      <c r="AP2791">
        <v>10</v>
      </c>
      <c r="AQ2791">
        <v>-105</v>
      </c>
      <c r="AR2791">
        <v>-832</v>
      </c>
      <c r="AZ2791">
        <v>1200</v>
      </c>
      <c r="BA2791">
        <v>1</v>
      </c>
      <c r="BB2791" t="str">
        <f t="shared" si="1525"/>
        <v xml:space="preserve">N9217B  </v>
      </c>
      <c r="BC2791">
        <v>1</v>
      </c>
      <c r="BE2791">
        <v>0</v>
      </c>
      <c r="BF2791">
        <v>0</v>
      </c>
      <c r="BG2791">
        <v>0</v>
      </c>
      <c r="BH2791">
        <v>6250</v>
      </c>
      <c r="BI2791">
        <v>1</v>
      </c>
      <c r="BJ2791">
        <v>0</v>
      </c>
      <c r="BK2791">
        <v>0</v>
      </c>
      <c r="BL2791">
        <v>0</v>
      </c>
      <c r="BO2791">
        <v>0</v>
      </c>
      <c r="BP2791">
        <v>0</v>
      </c>
      <c r="BW2791" t="str">
        <f t="shared" si="1544"/>
        <v>14:55:54.012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119</v>
      </c>
      <c r="CQ2791">
        <v>285</v>
      </c>
      <c r="CR2791">
        <v>0</v>
      </c>
      <c r="CW2791">
        <v>8870771</v>
      </c>
      <c r="CY2791">
        <v>0</v>
      </c>
      <c r="CZ2791">
        <v>0</v>
      </c>
      <c r="DA2791">
        <v>1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25">
      <c r="A2792" t="str">
        <f t="shared" si="1541"/>
        <v>06/05/2020 14:55:48.348</v>
      </c>
      <c r="C2792" t="str">
        <f t="shared" si="1540"/>
        <v>FFDFD3C0</v>
      </c>
      <c r="D2792" t="s">
        <v>151</v>
      </c>
      <c r="E2792">
        <v>8</v>
      </c>
      <c r="H2792">
        <v>225</v>
      </c>
      <c r="I2792" t="s">
        <v>353</v>
      </c>
      <c r="J2792" t="s">
        <v>150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542"/>
        <v>14:55:54.008</v>
      </c>
      <c r="T2792" t="str">
        <f t="shared" si="1543"/>
        <v>14:55:53.508</v>
      </c>
      <c r="U2792" t="str">
        <f t="shared" si="1523"/>
        <v>ACC530</v>
      </c>
      <c r="V2792">
        <v>0</v>
      </c>
      <c r="W2792">
        <v>0</v>
      </c>
      <c r="X2792">
        <v>1</v>
      </c>
      <c r="Z2792">
        <v>0</v>
      </c>
      <c r="AA2792">
        <v>9</v>
      </c>
      <c r="AB2792">
        <v>3</v>
      </c>
      <c r="AC2792">
        <v>0</v>
      </c>
      <c r="AD2792">
        <v>9</v>
      </c>
      <c r="AE2792">
        <v>0</v>
      </c>
      <c r="AF2792">
        <v>3</v>
      </c>
      <c r="AG2792">
        <v>1</v>
      </c>
      <c r="AH2792">
        <v>0</v>
      </c>
      <c r="AI2792" t="s">
        <v>962</v>
      </c>
      <c r="AJ2792">
        <v>34.124994000000001</v>
      </c>
      <c r="AK2792" t="s">
        <v>963</v>
      </c>
      <c r="AL2792">
        <v>-117.057652</v>
      </c>
      <c r="AM2792">
        <v>100</v>
      </c>
      <c r="AN2792">
        <v>6400</v>
      </c>
      <c r="AO2792" t="s">
        <v>118</v>
      </c>
      <c r="AP2792">
        <v>10</v>
      </c>
      <c r="AQ2792">
        <v>-105</v>
      </c>
      <c r="AR2792">
        <v>-832</v>
      </c>
      <c r="AZ2792">
        <v>1200</v>
      </c>
      <c r="BA2792">
        <v>1</v>
      </c>
      <c r="BB2792" t="str">
        <f t="shared" si="1525"/>
        <v xml:space="preserve">N9217B  </v>
      </c>
      <c r="BC2792">
        <v>1</v>
      </c>
      <c r="BE2792">
        <v>0</v>
      </c>
      <c r="BF2792">
        <v>0</v>
      </c>
      <c r="BG2792">
        <v>0</v>
      </c>
      <c r="BH2792">
        <v>6250</v>
      </c>
      <c r="BI2792">
        <v>1</v>
      </c>
      <c r="BJ2792">
        <v>0</v>
      </c>
      <c r="BK2792">
        <v>0</v>
      </c>
      <c r="BL2792">
        <v>0</v>
      </c>
      <c r="BO2792">
        <v>0</v>
      </c>
      <c r="BP2792">
        <v>0</v>
      </c>
      <c r="BW2792" t="str">
        <f t="shared" si="1544"/>
        <v>14:55:54.012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119</v>
      </c>
      <c r="CQ2792">
        <v>285</v>
      </c>
      <c r="CR2792">
        <v>0</v>
      </c>
      <c r="CW2792">
        <v>8870771</v>
      </c>
      <c r="CY2792">
        <v>0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25">
      <c r="A2793" t="str">
        <f t="shared" si="1541"/>
        <v>06/05/2020 14:55:48.348</v>
      </c>
      <c r="C2793" t="str">
        <f t="shared" si="1540"/>
        <v>FFDFD3C0</v>
      </c>
      <c r="D2793" t="s">
        <v>148</v>
      </c>
      <c r="E2793">
        <v>11</v>
      </c>
      <c r="H2793">
        <v>53</v>
      </c>
      <c r="I2793" t="s">
        <v>364</v>
      </c>
      <c r="J2793" t="s">
        <v>150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si="1542"/>
        <v>14:55:54.008</v>
      </c>
      <c r="T2793" t="str">
        <f t="shared" si="1543"/>
        <v>14:55:53.508</v>
      </c>
      <c r="U2793" t="str">
        <f t="shared" si="1523"/>
        <v>ACC530</v>
      </c>
      <c r="V2793">
        <v>0</v>
      </c>
      <c r="W2793">
        <v>0</v>
      </c>
      <c r="X2793">
        <v>1</v>
      </c>
      <c r="Z2793">
        <v>0</v>
      </c>
      <c r="AA2793">
        <v>9</v>
      </c>
      <c r="AB2793">
        <v>3</v>
      </c>
      <c r="AC2793">
        <v>0</v>
      </c>
      <c r="AD2793">
        <v>9</v>
      </c>
      <c r="AE2793">
        <v>0</v>
      </c>
      <c r="AF2793">
        <v>3</v>
      </c>
      <c r="AG2793">
        <v>1</v>
      </c>
      <c r="AH2793">
        <v>0</v>
      </c>
      <c r="AI2793" t="s">
        <v>962</v>
      </c>
      <c r="AJ2793">
        <v>34.124994000000001</v>
      </c>
      <c r="AK2793" t="s">
        <v>963</v>
      </c>
      <c r="AL2793">
        <v>-117.057652</v>
      </c>
      <c r="AM2793">
        <v>100</v>
      </c>
      <c r="AN2793">
        <v>6400</v>
      </c>
      <c r="AO2793" t="s">
        <v>118</v>
      </c>
      <c r="AP2793">
        <v>10</v>
      </c>
      <c r="AQ2793">
        <v>-105</v>
      </c>
      <c r="AR2793">
        <v>-832</v>
      </c>
      <c r="AZ2793">
        <v>1200</v>
      </c>
      <c r="BA2793">
        <v>1</v>
      </c>
      <c r="BB2793" t="str">
        <f t="shared" si="1525"/>
        <v xml:space="preserve">N9217B  </v>
      </c>
      <c r="BC2793">
        <v>1</v>
      </c>
      <c r="BE2793">
        <v>0</v>
      </c>
      <c r="BF2793">
        <v>0</v>
      </c>
      <c r="BG2793">
        <v>0</v>
      </c>
      <c r="BH2793">
        <v>6250</v>
      </c>
      <c r="BI2793">
        <v>1</v>
      </c>
      <c r="BJ2793">
        <v>0</v>
      </c>
      <c r="BK2793">
        <v>0</v>
      </c>
      <c r="BL2793">
        <v>0</v>
      </c>
      <c r="BO2793">
        <v>0</v>
      </c>
      <c r="BP2793">
        <v>0</v>
      </c>
      <c r="BW2793" t="str">
        <f t="shared" si="1544"/>
        <v>14:55:54.012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119</v>
      </c>
      <c r="CQ2793">
        <v>285</v>
      </c>
      <c r="CR2793">
        <v>0</v>
      </c>
      <c r="CW2793">
        <v>8870771</v>
      </c>
      <c r="CY2793">
        <v>0</v>
      </c>
      <c r="CZ2793">
        <v>0</v>
      </c>
      <c r="DA2793">
        <v>1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25">
      <c r="A2794" t="str">
        <f t="shared" si="1541"/>
        <v>06/05/2020 14:55:48.348</v>
      </c>
      <c r="C2794" t="str">
        <f t="shared" si="1540"/>
        <v>FFDFD3C0</v>
      </c>
      <c r="D2794" t="s">
        <v>151</v>
      </c>
      <c r="E2794">
        <v>9</v>
      </c>
      <c r="H2794">
        <v>226</v>
      </c>
      <c r="I2794" t="s">
        <v>152</v>
      </c>
      <c r="J2794" t="s">
        <v>150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si="1542"/>
        <v>14:55:54.008</v>
      </c>
      <c r="T2794" t="str">
        <f t="shared" si="1543"/>
        <v>14:55:53.508</v>
      </c>
      <c r="U2794" t="str">
        <f t="shared" si="1523"/>
        <v>ACC530</v>
      </c>
      <c r="V2794">
        <v>0</v>
      </c>
      <c r="W2794">
        <v>0</v>
      </c>
      <c r="X2794">
        <v>1</v>
      </c>
      <c r="Z2794">
        <v>0</v>
      </c>
      <c r="AA2794">
        <v>9</v>
      </c>
      <c r="AB2794">
        <v>3</v>
      </c>
      <c r="AC2794">
        <v>0</v>
      </c>
      <c r="AD2794">
        <v>9</v>
      </c>
      <c r="AE2794">
        <v>0</v>
      </c>
      <c r="AF2794">
        <v>3</v>
      </c>
      <c r="AG2794">
        <v>1</v>
      </c>
      <c r="AH2794">
        <v>0</v>
      </c>
      <c r="AI2794" t="s">
        <v>962</v>
      </c>
      <c r="AJ2794">
        <v>34.124994000000001</v>
      </c>
      <c r="AK2794" t="s">
        <v>963</v>
      </c>
      <c r="AL2794">
        <v>-117.057652</v>
      </c>
      <c r="AM2794">
        <v>100</v>
      </c>
      <c r="AN2794">
        <v>6400</v>
      </c>
      <c r="AO2794" t="s">
        <v>118</v>
      </c>
      <c r="AP2794">
        <v>10</v>
      </c>
      <c r="AQ2794">
        <v>-105</v>
      </c>
      <c r="AR2794">
        <v>-832</v>
      </c>
      <c r="AZ2794">
        <v>1200</v>
      </c>
      <c r="BA2794">
        <v>1</v>
      </c>
      <c r="BB2794" t="str">
        <f t="shared" si="1525"/>
        <v xml:space="preserve">N9217B  </v>
      </c>
      <c r="BC2794">
        <v>1</v>
      </c>
      <c r="BE2794">
        <v>0</v>
      </c>
      <c r="BF2794">
        <v>0</v>
      </c>
      <c r="BG2794">
        <v>0</v>
      </c>
      <c r="BH2794">
        <v>6250</v>
      </c>
      <c r="BI2794">
        <v>1</v>
      </c>
      <c r="BJ2794">
        <v>0</v>
      </c>
      <c r="BK2794">
        <v>0</v>
      </c>
      <c r="BL2794">
        <v>0</v>
      </c>
      <c r="BO2794">
        <v>0</v>
      </c>
      <c r="BP2794">
        <v>0</v>
      </c>
      <c r="BW2794" t="str">
        <f t="shared" si="1544"/>
        <v>14:55:54.012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7</v>
      </c>
      <c r="CP2794" t="s">
        <v>119</v>
      </c>
      <c r="CQ2794">
        <v>285</v>
      </c>
      <c r="CR2794">
        <v>0</v>
      </c>
      <c r="CW2794">
        <v>8870771</v>
      </c>
      <c r="CY2794">
        <v>0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25">
      <c r="A2795" t="str">
        <f t="shared" si="1541"/>
        <v>06/05/2020 14:55:48.348</v>
      </c>
      <c r="C2795" t="str">
        <f t="shared" si="1540"/>
        <v>FFDFD3C0</v>
      </c>
      <c r="D2795" t="s">
        <v>134</v>
      </c>
      <c r="E2795">
        <v>7</v>
      </c>
      <c r="F2795">
        <v>2007</v>
      </c>
      <c r="G2795" t="s">
        <v>135</v>
      </c>
      <c r="J2795" t="s">
        <v>136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1542"/>
        <v>14:55:54.008</v>
      </c>
      <c r="T2795" t="str">
        <f t="shared" si="1543"/>
        <v>14:55:53.508</v>
      </c>
      <c r="U2795" t="str">
        <f t="shared" si="1523"/>
        <v>ACC530</v>
      </c>
      <c r="V2795">
        <v>0</v>
      </c>
      <c r="W2795">
        <v>0</v>
      </c>
      <c r="X2795">
        <v>1</v>
      </c>
      <c r="Z2795">
        <v>0</v>
      </c>
      <c r="AA2795">
        <v>9</v>
      </c>
      <c r="AB2795">
        <v>3</v>
      </c>
      <c r="AC2795">
        <v>0</v>
      </c>
      <c r="AD2795">
        <v>9</v>
      </c>
      <c r="AE2795">
        <v>0</v>
      </c>
      <c r="AF2795">
        <v>3</v>
      </c>
      <c r="AG2795">
        <v>1</v>
      </c>
      <c r="AH2795">
        <v>0</v>
      </c>
      <c r="AI2795" t="s">
        <v>962</v>
      </c>
      <c r="AJ2795">
        <v>34.124994000000001</v>
      </c>
      <c r="AK2795" t="s">
        <v>963</v>
      </c>
      <c r="AL2795">
        <v>-117.057652</v>
      </c>
      <c r="AM2795">
        <v>100</v>
      </c>
      <c r="AN2795">
        <v>6400</v>
      </c>
      <c r="AO2795" t="s">
        <v>118</v>
      </c>
      <c r="AP2795">
        <v>10</v>
      </c>
      <c r="AQ2795">
        <v>-105</v>
      </c>
      <c r="AR2795">
        <v>-832</v>
      </c>
      <c r="AZ2795">
        <v>1200</v>
      </c>
      <c r="BA2795">
        <v>1</v>
      </c>
      <c r="BB2795" t="str">
        <f t="shared" si="1525"/>
        <v xml:space="preserve">N9217B  </v>
      </c>
      <c r="BC2795">
        <v>1</v>
      </c>
      <c r="BE2795">
        <v>0</v>
      </c>
      <c r="BF2795">
        <v>0</v>
      </c>
      <c r="BG2795">
        <v>0</v>
      </c>
      <c r="BH2795">
        <v>6250</v>
      </c>
      <c r="BI2795">
        <v>1</v>
      </c>
      <c r="BJ2795">
        <v>0</v>
      </c>
      <c r="BK2795">
        <v>0</v>
      </c>
      <c r="BL2795">
        <v>0</v>
      </c>
      <c r="BO2795">
        <v>0</v>
      </c>
      <c r="BP2795">
        <v>0</v>
      </c>
      <c r="BW2795" t="str">
        <f t="shared" si="1544"/>
        <v>14:55:54.012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7</v>
      </c>
      <c r="CP2795" t="s">
        <v>119</v>
      </c>
      <c r="CQ2795">
        <v>285</v>
      </c>
      <c r="CR2795">
        <v>0</v>
      </c>
      <c r="CW2795">
        <v>8870771</v>
      </c>
      <c r="CY2795">
        <v>0</v>
      </c>
      <c r="CZ2795">
        <v>0</v>
      </c>
      <c r="DA2795">
        <v>1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25">
      <c r="A2796" t="str">
        <f t="shared" ref="A2796:A2802" si="1545">"06/05/2020 14:55:49.540"</f>
        <v>06/05/2020 14:55:49.540</v>
      </c>
      <c r="C2796" t="str">
        <f t="shared" si="1540"/>
        <v>FFDFD3C0</v>
      </c>
      <c r="D2796" t="s">
        <v>151</v>
      </c>
      <c r="E2796">
        <v>9</v>
      </c>
      <c r="H2796">
        <v>226</v>
      </c>
      <c r="I2796" t="s">
        <v>152</v>
      </c>
      <c r="J2796" t="s">
        <v>150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ref="S2796:S2802" si="1546">"14:55:55.164"</f>
        <v>14:55:55.164</v>
      </c>
      <c r="T2796" t="str">
        <f t="shared" ref="T2796:T2802" si="1547">"14:55:55.064"</f>
        <v>14:55:55.064</v>
      </c>
      <c r="U2796" t="str">
        <f t="shared" si="1523"/>
        <v>ACC530</v>
      </c>
      <c r="V2796">
        <v>0</v>
      </c>
      <c r="W2796">
        <v>0</v>
      </c>
      <c r="X2796">
        <v>1</v>
      </c>
      <c r="Z2796">
        <v>0</v>
      </c>
      <c r="AA2796">
        <v>9</v>
      </c>
      <c r="AB2796">
        <v>3</v>
      </c>
      <c r="AC2796">
        <v>0</v>
      </c>
      <c r="AD2796">
        <v>9</v>
      </c>
      <c r="AE2796">
        <v>0</v>
      </c>
      <c r="AF2796">
        <v>3</v>
      </c>
      <c r="AG2796">
        <v>1</v>
      </c>
      <c r="AH2796">
        <v>0</v>
      </c>
      <c r="AI2796" t="s">
        <v>964</v>
      </c>
      <c r="AJ2796">
        <v>34.124457999999997</v>
      </c>
      <c r="AK2796" t="s">
        <v>965</v>
      </c>
      <c r="AL2796">
        <v>-117.057588</v>
      </c>
      <c r="AM2796">
        <v>100</v>
      </c>
      <c r="AN2796">
        <v>6400</v>
      </c>
      <c r="AO2796" t="s">
        <v>118</v>
      </c>
      <c r="AP2796">
        <v>12</v>
      </c>
      <c r="AQ2796">
        <v>-105</v>
      </c>
      <c r="AR2796">
        <v>-896</v>
      </c>
      <c r="AZ2796">
        <v>1200</v>
      </c>
      <c r="BA2796">
        <v>1</v>
      </c>
      <c r="BB2796" t="str">
        <f t="shared" si="1525"/>
        <v xml:space="preserve">N9217B  </v>
      </c>
      <c r="BC2796">
        <v>1</v>
      </c>
      <c r="BE2796">
        <v>0</v>
      </c>
      <c r="BF2796">
        <v>0</v>
      </c>
      <c r="BG2796">
        <v>0</v>
      </c>
      <c r="BH2796">
        <v>6325</v>
      </c>
      <c r="BI2796">
        <v>1</v>
      </c>
      <c r="BJ2796">
        <v>0</v>
      </c>
      <c r="BK2796">
        <v>0</v>
      </c>
      <c r="BL2796">
        <v>0</v>
      </c>
      <c r="BO2796">
        <v>0</v>
      </c>
      <c r="BP2796">
        <v>0</v>
      </c>
      <c r="BW2796" t="str">
        <f t="shared" ref="BW2796:BW2802" si="1548">"14:55:55.167"</f>
        <v>14:55:55.167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7</v>
      </c>
      <c r="CP2796" t="s">
        <v>119</v>
      </c>
      <c r="CQ2796">
        <v>285</v>
      </c>
      <c r="CR2796">
        <v>0</v>
      </c>
      <c r="CW2796">
        <v>8870873</v>
      </c>
      <c r="CY2796">
        <v>0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25">
      <c r="A2797" t="str">
        <f t="shared" si="1545"/>
        <v>06/05/2020 14:55:49.540</v>
      </c>
      <c r="C2797" t="str">
        <f t="shared" si="1540"/>
        <v>FFDFD3C0</v>
      </c>
      <c r="D2797" t="s">
        <v>134</v>
      </c>
      <c r="E2797">
        <v>7</v>
      </c>
      <c r="F2797">
        <v>2007</v>
      </c>
      <c r="G2797" t="s">
        <v>135</v>
      </c>
      <c r="J2797" t="s">
        <v>136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546"/>
        <v>14:55:55.164</v>
      </c>
      <c r="T2797" t="str">
        <f t="shared" si="1547"/>
        <v>14:55:55.064</v>
      </c>
      <c r="U2797" t="str">
        <f t="shared" si="1523"/>
        <v>ACC530</v>
      </c>
      <c r="V2797">
        <v>0</v>
      </c>
      <c r="W2797">
        <v>0</v>
      </c>
      <c r="X2797">
        <v>1</v>
      </c>
      <c r="Z2797">
        <v>0</v>
      </c>
      <c r="AA2797">
        <v>9</v>
      </c>
      <c r="AB2797">
        <v>3</v>
      </c>
      <c r="AC2797">
        <v>0</v>
      </c>
      <c r="AD2797">
        <v>9</v>
      </c>
      <c r="AE2797">
        <v>0</v>
      </c>
      <c r="AF2797">
        <v>3</v>
      </c>
      <c r="AG2797">
        <v>1</v>
      </c>
      <c r="AH2797">
        <v>0</v>
      </c>
      <c r="AI2797" t="s">
        <v>964</v>
      </c>
      <c r="AJ2797">
        <v>34.124457999999997</v>
      </c>
      <c r="AK2797" t="s">
        <v>965</v>
      </c>
      <c r="AL2797">
        <v>-117.057588</v>
      </c>
      <c r="AM2797">
        <v>100</v>
      </c>
      <c r="AN2797">
        <v>6400</v>
      </c>
      <c r="AO2797" t="s">
        <v>118</v>
      </c>
      <c r="AP2797">
        <v>12</v>
      </c>
      <c r="AQ2797">
        <v>-105</v>
      </c>
      <c r="AR2797">
        <v>-896</v>
      </c>
      <c r="AZ2797">
        <v>1200</v>
      </c>
      <c r="BA2797">
        <v>1</v>
      </c>
      <c r="BB2797" t="str">
        <f t="shared" si="1525"/>
        <v xml:space="preserve">N9217B  </v>
      </c>
      <c r="BC2797">
        <v>1</v>
      </c>
      <c r="BE2797">
        <v>0</v>
      </c>
      <c r="BF2797">
        <v>0</v>
      </c>
      <c r="BG2797">
        <v>0</v>
      </c>
      <c r="BH2797">
        <v>6325</v>
      </c>
      <c r="BI2797">
        <v>1</v>
      </c>
      <c r="BJ2797">
        <v>0</v>
      </c>
      <c r="BK2797">
        <v>0</v>
      </c>
      <c r="BL2797">
        <v>0</v>
      </c>
      <c r="BO2797">
        <v>0</v>
      </c>
      <c r="BP2797">
        <v>0</v>
      </c>
      <c r="BW2797" t="str">
        <f t="shared" si="1548"/>
        <v>14:55:55.167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7</v>
      </c>
      <c r="CP2797" t="s">
        <v>119</v>
      </c>
      <c r="CQ2797">
        <v>285</v>
      </c>
      <c r="CR2797">
        <v>0</v>
      </c>
      <c r="CW2797">
        <v>8870873</v>
      </c>
      <c r="CY2797">
        <v>0</v>
      </c>
      <c r="CZ2797">
        <v>0</v>
      </c>
      <c r="DA2797">
        <v>1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25">
      <c r="A2798" t="str">
        <f t="shared" si="1545"/>
        <v>06/05/2020 14:55:49.540</v>
      </c>
      <c r="C2798" t="str">
        <f t="shared" si="1540"/>
        <v>FFDFD3C0</v>
      </c>
      <c r="D2798" t="s">
        <v>141</v>
      </c>
      <c r="E2798">
        <v>20</v>
      </c>
      <c r="F2798">
        <v>1020</v>
      </c>
      <c r="G2798" t="s">
        <v>114</v>
      </c>
      <c r="J2798" t="s">
        <v>142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546"/>
        <v>14:55:55.164</v>
      </c>
      <c r="T2798" t="str">
        <f t="shared" si="1547"/>
        <v>14:55:55.064</v>
      </c>
      <c r="U2798" t="str">
        <f t="shared" si="1523"/>
        <v>ACC530</v>
      </c>
      <c r="V2798">
        <v>0</v>
      </c>
      <c r="W2798">
        <v>0</v>
      </c>
      <c r="X2798">
        <v>1</v>
      </c>
      <c r="Z2798">
        <v>0</v>
      </c>
      <c r="AA2798">
        <v>9</v>
      </c>
      <c r="AB2798">
        <v>3</v>
      </c>
      <c r="AC2798">
        <v>0</v>
      </c>
      <c r="AD2798">
        <v>9</v>
      </c>
      <c r="AE2798">
        <v>0</v>
      </c>
      <c r="AF2798">
        <v>3</v>
      </c>
      <c r="AG2798">
        <v>1</v>
      </c>
      <c r="AH2798">
        <v>0</v>
      </c>
      <c r="AI2798" t="s">
        <v>964</v>
      </c>
      <c r="AJ2798">
        <v>34.124457999999997</v>
      </c>
      <c r="AK2798" t="s">
        <v>965</v>
      </c>
      <c r="AL2798">
        <v>-117.057588</v>
      </c>
      <c r="AM2798">
        <v>100</v>
      </c>
      <c r="AN2798">
        <v>6400</v>
      </c>
      <c r="AO2798" t="s">
        <v>118</v>
      </c>
      <c r="AP2798">
        <v>12</v>
      </c>
      <c r="AQ2798">
        <v>-105</v>
      </c>
      <c r="AR2798">
        <v>-896</v>
      </c>
      <c r="AZ2798">
        <v>1200</v>
      </c>
      <c r="BA2798">
        <v>1</v>
      </c>
      <c r="BB2798" t="str">
        <f t="shared" si="1525"/>
        <v xml:space="preserve">N9217B  </v>
      </c>
      <c r="BC2798">
        <v>1</v>
      </c>
      <c r="BE2798">
        <v>0</v>
      </c>
      <c r="BF2798">
        <v>0</v>
      </c>
      <c r="BG2798">
        <v>0</v>
      </c>
      <c r="BH2798">
        <v>6325</v>
      </c>
      <c r="BI2798">
        <v>1</v>
      </c>
      <c r="BJ2798">
        <v>0</v>
      </c>
      <c r="BK2798">
        <v>0</v>
      </c>
      <c r="BL2798">
        <v>0</v>
      </c>
      <c r="BO2798">
        <v>0</v>
      </c>
      <c r="BP2798">
        <v>0</v>
      </c>
      <c r="BW2798" t="str">
        <f t="shared" si="1548"/>
        <v>14:55:55.167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7</v>
      </c>
      <c r="CP2798" t="s">
        <v>119</v>
      </c>
      <c r="CQ2798">
        <v>285</v>
      </c>
      <c r="CR2798">
        <v>0</v>
      </c>
      <c r="CW2798">
        <v>8870873</v>
      </c>
      <c r="CY2798">
        <v>0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25">
      <c r="A2799" t="str">
        <f t="shared" si="1545"/>
        <v>06/05/2020 14:55:49.540</v>
      </c>
      <c r="C2799" t="str">
        <f t="shared" si="1540"/>
        <v>FFDFD3C0</v>
      </c>
      <c r="D2799" t="s">
        <v>148</v>
      </c>
      <c r="E2799">
        <v>8</v>
      </c>
      <c r="H2799">
        <v>50</v>
      </c>
      <c r="I2799" t="s">
        <v>149</v>
      </c>
      <c r="J2799" t="s">
        <v>150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546"/>
        <v>14:55:55.164</v>
      </c>
      <c r="T2799" t="str">
        <f t="shared" si="1547"/>
        <v>14:55:55.064</v>
      </c>
      <c r="U2799" t="str">
        <f t="shared" si="1523"/>
        <v>ACC530</v>
      </c>
      <c r="V2799">
        <v>0</v>
      </c>
      <c r="W2799">
        <v>0</v>
      </c>
      <c r="X2799">
        <v>1</v>
      </c>
      <c r="Z2799">
        <v>0</v>
      </c>
      <c r="AA2799">
        <v>9</v>
      </c>
      <c r="AB2799">
        <v>3</v>
      </c>
      <c r="AC2799">
        <v>0</v>
      </c>
      <c r="AD2799">
        <v>9</v>
      </c>
      <c r="AE2799">
        <v>0</v>
      </c>
      <c r="AF2799">
        <v>3</v>
      </c>
      <c r="AG2799">
        <v>1</v>
      </c>
      <c r="AH2799">
        <v>0</v>
      </c>
      <c r="AI2799" t="s">
        <v>964</v>
      </c>
      <c r="AJ2799">
        <v>34.124457999999997</v>
      </c>
      <c r="AK2799" t="s">
        <v>965</v>
      </c>
      <c r="AL2799">
        <v>-117.057588</v>
      </c>
      <c r="AM2799">
        <v>100</v>
      </c>
      <c r="AN2799">
        <v>6400</v>
      </c>
      <c r="AO2799" t="s">
        <v>118</v>
      </c>
      <c r="AP2799">
        <v>12</v>
      </c>
      <c r="AQ2799">
        <v>-105</v>
      </c>
      <c r="AR2799">
        <v>-896</v>
      </c>
      <c r="AZ2799">
        <v>1200</v>
      </c>
      <c r="BA2799">
        <v>1</v>
      </c>
      <c r="BB2799" t="str">
        <f t="shared" si="1525"/>
        <v xml:space="preserve">N9217B  </v>
      </c>
      <c r="BC2799">
        <v>1</v>
      </c>
      <c r="BE2799">
        <v>0</v>
      </c>
      <c r="BF2799">
        <v>0</v>
      </c>
      <c r="BG2799">
        <v>0</v>
      </c>
      <c r="BH2799">
        <v>6325</v>
      </c>
      <c r="BI2799">
        <v>1</v>
      </c>
      <c r="BJ2799">
        <v>0</v>
      </c>
      <c r="BK2799">
        <v>0</v>
      </c>
      <c r="BL2799">
        <v>0</v>
      </c>
      <c r="BO2799">
        <v>0</v>
      </c>
      <c r="BP2799">
        <v>0</v>
      </c>
      <c r="BW2799" t="str">
        <f t="shared" si="1548"/>
        <v>14:55:55.167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7</v>
      </c>
      <c r="CP2799" t="s">
        <v>119</v>
      </c>
      <c r="CQ2799">
        <v>285</v>
      </c>
      <c r="CR2799">
        <v>0</v>
      </c>
      <c r="CW2799">
        <v>8870873</v>
      </c>
      <c r="CY2799">
        <v>0</v>
      </c>
      <c r="CZ2799">
        <v>0</v>
      </c>
      <c r="DA2799">
        <v>1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25">
      <c r="A2800" t="str">
        <f t="shared" si="1545"/>
        <v>06/05/2020 14:55:49.540</v>
      </c>
      <c r="C2800" t="str">
        <f t="shared" si="1540"/>
        <v>FFDFD3C0</v>
      </c>
      <c r="D2800" t="s">
        <v>113</v>
      </c>
      <c r="E2800">
        <v>3</v>
      </c>
      <c r="H2800">
        <v>166</v>
      </c>
      <c r="I2800" t="s">
        <v>114</v>
      </c>
      <c r="J2800" t="s">
        <v>115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546"/>
        <v>14:55:55.164</v>
      </c>
      <c r="T2800" t="str">
        <f t="shared" si="1547"/>
        <v>14:55:55.064</v>
      </c>
      <c r="U2800" t="str">
        <f t="shared" si="1523"/>
        <v>ACC530</v>
      </c>
      <c r="V2800">
        <v>0</v>
      </c>
      <c r="W2800">
        <v>0</v>
      </c>
      <c r="X2800">
        <v>1</v>
      </c>
      <c r="Z2800">
        <v>0</v>
      </c>
      <c r="AA2800">
        <v>9</v>
      </c>
      <c r="AB2800">
        <v>3</v>
      </c>
      <c r="AC2800">
        <v>0</v>
      </c>
      <c r="AD2800">
        <v>9</v>
      </c>
      <c r="AE2800">
        <v>0</v>
      </c>
      <c r="AF2800">
        <v>3</v>
      </c>
      <c r="AG2800">
        <v>1</v>
      </c>
      <c r="AH2800">
        <v>0</v>
      </c>
      <c r="AI2800" t="s">
        <v>964</v>
      </c>
      <c r="AJ2800">
        <v>34.124457999999997</v>
      </c>
      <c r="AK2800" t="s">
        <v>965</v>
      </c>
      <c r="AL2800">
        <v>-117.057588</v>
      </c>
      <c r="AM2800">
        <v>100</v>
      </c>
      <c r="AN2800">
        <v>6400</v>
      </c>
      <c r="AO2800" t="s">
        <v>118</v>
      </c>
      <c r="AP2800">
        <v>12</v>
      </c>
      <c r="AQ2800">
        <v>-105</v>
      </c>
      <c r="AR2800">
        <v>-896</v>
      </c>
      <c r="AZ2800">
        <v>1200</v>
      </c>
      <c r="BA2800">
        <v>1</v>
      </c>
      <c r="BB2800" t="str">
        <f t="shared" si="1525"/>
        <v xml:space="preserve">N9217B  </v>
      </c>
      <c r="BC2800">
        <v>1</v>
      </c>
      <c r="BE2800">
        <v>0</v>
      </c>
      <c r="BF2800">
        <v>0</v>
      </c>
      <c r="BG2800">
        <v>0</v>
      </c>
      <c r="BH2800">
        <v>6325</v>
      </c>
      <c r="BI2800">
        <v>1</v>
      </c>
      <c r="BJ2800">
        <v>0</v>
      </c>
      <c r="BK2800">
        <v>0</v>
      </c>
      <c r="BL2800">
        <v>0</v>
      </c>
      <c r="BO2800">
        <v>0</v>
      </c>
      <c r="BP2800">
        <v>0</v>
      </c>
      <c r="BW2800" t="str">
        <f t="shared" si="1548"/>
        <v>14:55:55.167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119</v>
      </c>
      <c r="CQ2800">
        <v>285</v>
      </c>
      <c r="CR2800">
        <v>0</v>
      </c>
      <c r="CW2800">
        <v>8870873</v>
      </c>
      <c r="CY2800">
        <v>0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25">
      <c r="A2801" t="str">
        <f t="shared" si="1545"/>
        <v>06/05/2020 14:55:49.540</v>
      </c>
      <c r="C2801" t="str">
        <f t="shared" si="1540"/>
        <v>FFDFD3C0</v>
      </c>
      <c r="D2801" t="s">
        <v>151</v>
      </c>
      <c r="E2801">
        <v>8</v>
      </c>
      <c r="H2801">
        <v>225</v>
      </c>
      <c r="I2801" t="s">
        <v>353</v>
      </c>
      <c r="J2801" t="s">
        <v>150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546"/>
        <v>14:55:55.164</v>
      </c>
      <c r="T2801" t="str">
        <f t="shared" si="1547"/>
        <v>14:55:55.064</v>
      </c>
      <c r="U2801" t="str">
        <f t="shared" si="1523"/>
        <v>ACC530</v>
      </c>
      <c r="V2801">
        <v>0</v>
      </c>
      <c r="W2801">
        <v>0</v>
      </c>
      <c r="X2801">
        <v>1</v>
      </c>
      <c r="Z2801">
        <v>0</v>
      </c>
      <c r="AA2801">
        <v>9</v>
      </c>
      <c r="AB2801">
        <v>3</v>
      </c>
      <c r="AC2801">
        <v>0</v>
      </c>
      <c r="AD2801">
        <v>9</v>
      </c>
      <c r="AE2801">
        <v>0</v>
      </c>
      <c r="AF2801">
        <v>3</v>
      </c>
      <c r="AG2801">
        <v>1</v>
      </c>
      <c r="AH2801">
        <v>0</v>
      </c>
      <c r="AI2801" t="s">
        <v>964</v>
      </c>
      <c r="AJ2801">
        <v>34.124457999999997</v>
      </c>
      <c r="AK2801" t="s">
        <v>965</v>
      </c>
      <c r="AL2801">
        <v>-117.057588</v>
      </c>
      <c r="AM2801">
        <v>100</v>
      </c>
      <c r="AN2801">
        <v>6400</v>
      </c>
      <c r="AO2801" t="s">
        <v>118</v>
      </c>
      <c r="AP2801">
        <v>12</v>
      </c>
      <c r="AQ2801">
        <v>-105</v>
      </c>
      <c r="AR2801">
        <v>-896</v>
      </c>
      <c r="AZ2801">
        <v>1200</v>
      </c>
      <c r="BA2801">
        <v>1</v>
      </c>
      <c r="BB2801" t="str">
        <f t="shared" si="1525"/>
        <v xml:space="preserve">N9217B  </v>
      </c>
      <c r="BC2801">
        <v>1</v>
      </c>
      <c r="BE2801">
        <v>0</v>
      </c>
      <c r="BF2801">
        <v>0</v>
      </c>
      <c r="BG2801">
        <v>0</v>
      </c>
      <c r="BH2801">
        <v>6325</v>
      </c>
      <c r="BI2801">
        <v>1</v>
      </c>
      <c r="BJ2801">
        <v>0</v>
      </c>
      <c r="BK2801">
        <v>0</v>
      </c>
      <c r="BL2801">
        <v>0</v>
      </c>
      <c r="BO2801">
        <v>0</v>
      </c>
      <c r="BP2801">
        <v>0</v>
      </c>
      <c r="BW2801" t="str">
        <f t="shared" si="1548"/>
        <v>14:55:55.167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7</v>
      </c>
      <c r="CP2801" t="s">
        <v>119</v>
      </c>
      <c r="CQ2801">
        <v>285</v>
      </c>
      <c r="CR2801">
        <v>0</v>
      </c>
      <c r="CW2801">
        <v>8870873</v>
      </c>
      <c r="CY2801">
        <v>0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25">
      <c r="A2802" t="str">
        <f t="shared" si="1545"/>
        <v>06/05/2020 14:55:49.540</v>
      </c>
      <c r="C2802" t="str">
        <f t="shared" si="1540"/>
        <v>FFDFD3C0</v>
      </c>
      <c r="D2802" t="s">
        <v>148</v>
      </c>
      <c r="E2802">
        <v>11</v>
      </c>
      <c r="H2802">
        <v>53</v>
      </c>
      <c r="I2802" t="s">
        <v>364</v>
      </c>
      <c r="J2802" t="s">
        <v>150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546"/>
        <v>14:55:55.164</v>
      </c>
      <c r="T2802" t="str">
        <f t="shared" si="1547"/>
        <v>14:55:55.064</v>
      </c>
      <c r="U2802" t="str">
        <f t="shared" si="1523"/>
        <v>ACC530</v>
      </c>
      <c r="V2802">
        <v>0</v>
      </c>
      <c r="W2802">
        <v>0</v>
      </c>
      <c r="X2802">
        <v>1</v>
      </c>
      <c r="Z2802">
        <v>0</v>
      </c>
      <c r="AA2802">
        <v>9</v>
      </c>
      <c r="AB2802">
        <v>3</v>
      </c>
      <c r="AC2802">
        <v>0</v>
      </c>
      <c r="AD2802">
        <v>9</v>
      </c>
      <c r="AE2802">
        <v>0</v>
      </c>
      <c r="AF2802">
        <v>3</v>
      </c>
      <c r="AG2802">
        <v>1</v>
      </c>
      <c r="AH2802">
        <v>0</v>
      </c>
      <c r="AI2802" t="s">
        <v>964</v>
      </c>
      <c r="AJ2802">
        <v>34.124457999999997</v>
      </c>
      <c r="AK2802" t="s">
        <v>965</v>
      </c>
      <c r="AL2802">
        <v>-117.057588</v>
      </c>
      <c r="AM2802">
        <v>100</v>
      </c>
      <c r="AN2802">
        <v>6400</v>
      </c>
      <c r="AO2802" t="s">
        <v>118</v>
      </c>
      <c r="AP2802">
        <v>12</v>
      </c>
      <c r="AQ2802">
        <v>-105</v>
      </c>
      <c r="AR2802">
        <v>-896</v>
      </c>
      <c r="AZ2802">
        <v>1200</v>
      </c>
      <c r="BA2802">
        <v>1</v>
      </c>
      <c r="BB2802" t="str">
        <f t="shared" si="1525"/>
        <v xml:space="preserve">N9217B  </v>
      </c>
      <c r="BC2802">
        <v>1</v>
      </c>
      <c r="BE2802">
        <v>0</v>
      </c>
      <c r="BF2802">
        <v>0</v>
      </c>
      <c r="BG2802">
        <v>0</v>
      </c>
      <c r="BH2802">
        <v>6325</v>
      </c>
      <c r="BI2802">
        <v>1</v>
      </c>
      <c r="BJ2802">
        <v>0</v>
      </c>
      <c r="BK2802">
        <v>0</v>
      </c>
      <c r="BL2802">
        <v>0</v>
      </c>
      <c r="BO2802">
        <v>0</v>
      </c>
      <c r="BP2802">
        <v>0</v>
      </c>
      <c r="BW2802" t="str">
        <f t="shared" si="1548"/>
        <v>14:55:55.167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119</v>
      </c>
      <c r="CQ2802">
        <v>285</v>
      </c>
      <c r="CR2802">
        <v>0</v>
      </c>
      <c r="CW2802">
        <v>8870873</v>
      </c>
      <c r="CY2802">
        <v>0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25">
      <c r="A2803" t="str">
        <f t="shared" ref="A2803:A2809" si="1549">"06/05/2020 14:55:50.467"</f>
        <v>06/05/2020 14:55:50.467</v>
      </c>
      <c r="C2803" t="str">
        <f t="shared" si="1540"/>
        <v>FFDFD3C0</v>
      </c>
      <c r="D2803" t="s">
        <v>141</v>
      </c>
      <c r="E2803">
        <v>20</v>
      </c>
      <c r="F2803">
        <v>1020</v>
      </c>
      <c r="G2803" t="s">
        <v>114</v>
      </c>
      <c r="J2803" t="s">
        <v>142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ref="S2803:S2809" si="1550">"14:55:56.141"</f>
        <v>14:55:56.141</v>
      </c>
      <c r="T2803" t="str">
        <f t="shared" ref="T2803:T2809" si="1551">"14:55:55.941"</f>
        <v>14:55:55.941</v>
      </c>
      <c r="U2803" t="str">
        <f t="shared" si="1523"/>
        <v>ACC530</v>
      </c>
      <c r="V2803">
        <v>0</v>
      </c>
      <c r="W2803">
        <v>0</v>
      </c>
      <c r="X2803">
        <v>1</v>
      </c>
      <c r="Z2803">
        <v>0</v>
      </c>
      <c r="AA2803">
        <v>9</v>
      </c>
      <c r="AB2803">
        <v>3</v>
      </c>
      <c r="AC2803">
        <v>0</v>
      </c>
      <c r="AD2803">
        <v>9</v>
      </c>
      <c r="AE2803">
        <v>0</v>
      </c>
      <c r="AF2803">
        <v>3</v>
      </c>
      <c r="AG2803">
        <v>1</v>
      </c>
      <c r="AH2803">
        <v>0</v>
      </c>
      <c r="AI2803" t="s">
        <v>966</v>
      </c>
      <c r="AJ2803">
        <v>34.123986000000002</v>
      </c>
      <c r="AK2803" t="s">
        <v>935</v>
      </c>
      <c r="AL2803">
        <v>-117.057524</v>
      </c>
      <c r="AM2803">
        <v>100</v>
      </c>
      <c r="AN2803">
        <v>6400</v>
      </c>
      <c r="AO2803" t="s">
        <v>118</v>
      </c>
      <c r="AP2803">
        <v>13</v>
      </c>
      <c r="AQ2803">
        <v>-105</v>
      </c>
      <c r="AR2803">
        <v>-832</v>
      </c>
      <c r="AZ2803">
        <v>1200</v>
      </c>
      <c r="BA2803">
        <v>1</v>
      </c>
      <c r="BB2803" t="str">
        <f t="shared" si="1525"/>
        <v xml:space="preserve">N9217B  </v>
      </c>
      <c r="BC2803">
        <v>1</v>
      </c>
      <c r="BE2803">
        <v>0</v>
      </c>
      <c r="BF2803">
        <v>0</v>
      </c>
      <c r="BG2803">
        <v>0</v>
      </c>
      <c r="BH2803">
        <v>6300</v>
      </c>
      <c r="BI2803">
        <v>1</v>
      </c>
      <c r="BJ2803">
        <v>0</v>
      </c>
      <c r="BK2803">
        <v>0</v>
      </c>
      <c r="BL2803">
        <v>0</v>
      </c>
      <c r="BO2803">
        <v>0</v>
      </c>
      <c r="BP2803">
        <v>0</v>
      </c>
      <c r="BW2803" t="str">
        <f t="shared" ref="BW2803:BW2809" si="1552">"14:55:56.142"</f>
        <v>14:55:56.142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7</v>
      </c>
      <c r="CP2803" t="s">
        <v>119</v>
      </c>
      <c r="CQ2803">
        <v>285</v>
      </c>
      <c r="CR2803">
        <v>0</v>
      </c>
      <c r="CW2803">
        <v>8870965</v>
      </c>
      <c r="CY2803">
        <v>0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25">
      <c r="A2804" t="str">
        <f t="shared" si="1549"/>
        <v>06/05/2020 14:55:50.467</v>
      </c>
      <c r="C2804" t="str">
        <f t="shared" si="1540"/>
        <v>FFDFD3C0</v>
      </c>
      <c r="D2804" t="s">
        <v>148</v>
      </c>
      <c r="E2804">
        <v>8</v>
      </c>
      <c r="H2804">
        <v>50</v>
      </c>
      <c r="I2804" t="s">
        <v>149</v>
      </c>
      <c r="J2804" t="s">
        <v>150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550"/>
        <v>14:55:56.141</v>
      </c>
      <c r="T2804" t="str">
        <f t="shared" si="1551"/>
        <v>14:55:55.941</v>
      </c>
      <c r="U2804" t="str">
        <f t="shared" si="1523"/>
        <v>ACC530</v>
      </c>
      <c r="V2804">
        <v>0</v>
      </c>
      <c r="W2804">
        <v>0</v>
      </c>
      <c r="X2804">
        <v>1</v>
      </c>
      <c r="Z2804">
        <v>0</v>
      </c>
      <c r="AA2804">
        <v>9</v>
      </c>
      <c r="AB2804">
        <v>3</v>
      </c>
      <c r="AC2804">
        <v>0</v>
      </c>
      <c r="AD2804">
        <v>9</v>
      </c>
      <c r="AE2804">
        <v>0</v>
      </c>
      <c r="AF2804">
        <v>3</v>
      </c>
      <c r="AG2804">
        <v>1</v>
      </c>
      <c r="AH2804">
        <v>0</v>
      </c>
      <c r="AI2804" t="s">
        <v>966</v>
      </c>
      <c r="AJ2804">
        <v>34.123986000000002</v>
      </c>
      <c r="AK2804" t="s">
        <v>935</v>
      </c>
      <c r="AL2804">
        <v>-117.057524</v>
      </c>
      <c r="AM2804">
        <v>100</v>
      </c>
      <c r="AN2804">
        <v>6400</v>
      </c>
      <c r="AO2804" t="s">
        <v>118</v>
      </c>
      <c r="AP2804">
        <v>13</v>
      </c>
      <c r="AQ2804">
        <v>-105</v>
      </c>
      <c r="AR2804">
        <v>-832</v>
      </c>
      <c r="AZ2804">
        <v>1200</v>
      </c>
      <c r="BA2804">
        <v>1</v>
      </c>
      <c r="BB2804" t="str">
        <f t="shared" si="1525"/>
        <v xml:space="preserve">N9217B  </v>
      </c>
      <c r="BC2804">
        <v>1</v>
      </c>
      <c r="BE2804">
        <v>0</v>
      </c>
      <c r="BF2804">
        <v>0</v>
      </c>
      <c r="BG2804">
        <v>0</v>
      </c>
      <c r="BH2804">
        <v>6300</v>
      </c>
      <c r="BI2804">
        <v>1</v>
      </c>
      <c r="BJ2804">
        <v>0</v>
      </c>
      <c r="BK2804">
        <v>0</v>
      </c>
      <c r="BL2804">
        <v>0</v>
      </c>
      <c r="BO2804">
        <v>0</v>
      </c>
      <c r="BP2804">
        <v>0</v>
      </c>
      <c r="BW2804" t="str">
        <f t="shared" si="1552"/>
        <v>14:55:56.142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7</v>
      </c>
      <c r="CP2804" t="s">
        <v>119</v>
      </c>
      <c r="CQ2804">
        <v>285</v>
      </c>
      <c r="CR2804">
        <v>0</v>
      </c>
      <c r="CW2804">
        <v>8870965</v>
      </c>
      <c r="CY2804">
        <v>0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25">
      <c r="A2805" t="str">
        <f t="shared" si="1549"/>
        <v>06/05/2020 14:55:50.467</v>
      </c>
      <c r="C2805" t="str">
        <f t="shared" si="1540"/>
        <v>FFDFD3C0</v>
      </c>
      <c r="D2805" t="s">
        <v>113</v>
      </c>
      <c r="E2805">
        <v>3</v>
      </c>
      <c r="H2805">
        <v>166</v>
      </c>
      <c r="I2805" t="s">
        <v>114</v>
      </c>
      <c r="J2805" t="s">
        <v>115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si="1550"/>
        <v>14:55:56.141</v>
      </c>
      <c r="T2805" t="str">
        <f t="shared" si="1551"/>
        <v>14:55:55.941</v>
      </c>
      <c r="U2805" t="str">
        <f t="shared" si="1523"/>
        <v>ACC530</v>
      </c>
      <c r="V2805">
        <v>0</v>
      </c>
      <c r="W2805">
        <v>0</v>
      </c>
      <c r="X2805">
        <v>1</v>
      </c>
      <c r="Z2805">
        <v>0</v>
      </c>
      <c r="AA2805">
        <v>9</v>
      </c>
      <c r="AB2805">
        <v>3</v>
      </c>
      <c r="AC2805">
        <v>0</v>
      </c>
      <c r="AD2805">
        <v>9</v>
      </c>
      <c r="AE2805">
        <v>0</v>
      </c>
      <c r="AF2805">
        <v>3</v>
      </c>
      <c r="AG2805">
        <v>1</v>
      </c>
      <c r="AH2805">
        <v>0</v>
      </c>
      <c r="AI2805" t="s">
        <v>966</v>
      </c>
      <c r="AJ2805">
        <v>34.123986000000002</v>
      </c>
      <c r="AK2805" t="s">
        <v>935</v>
      </c>
      <c r="AL2805">
        <v>-117.057524</v>
      </c>
      <c r="AM2805">
        <v>100</v>
      </c>
      <c r="AN2805">
        <v>6400</v>
      </c>
      <c r="AO2805" t="s">
        <v>118</v>
      </c>
      <c r="AP2805">
        <v>13</v>
      </c>
      <c r="AQ2805">
        <v>-105</v>
      </c>
      <c r="AR2805">
        <v>-832</v>
      </c>
      <c r="AZ2805">
        <v>1200</v>
      </c>
      <c r="BA2805">
        <v>1</v>
      </c>
      <c r="BB2805" t="str">
        <f t="shared" si="1525"/>
        <v xml:space="preserve">N9217B  </v>
      </c>
      <c r="BC2805">
        <v>1</v>
      </c>
      <c r="BE2805">
        <v>0</v>
      </c>
      <c r="BF2805">
        <v>0</v>
      </c>
      <c r="BG2805">
        <v>0</v>
      </c>
      <c r="BH2805">
        <v>6300</v>
      </c>
      <c r="BI2805">
        <v>1</v>
      </c>
      <c r="BJ2805">
        <v>0</v>
      </c>
      <c r="BK2805">
        <v>0</v>
      </c>
      <c r="BL2805">
        <v>0</v>
      </c>
      <c r="BO2805">
        <v>0</v>
      </c>
      <c r="BP2805">
        <v>0</v>
      </c>
      <c r="BW2805" t="str">
        <f t="shared" si="1552"/>
        <v>14:55:56.142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7</v>
      </c>
      <c r="CP2805" t="s">
        <v>119</v>
      </c>
      <c r="CQ2805">
        <v>285</v>
      </c>
      <c r="CR2805">
        <v>0</v>
      </c>
      <c r="CW2805">
        <v>8870965</v>
      </c>
      <c r="CY2805">
        <v>0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25">
      <c r="A2806" t="str">
        <f t="shared" si="1549"/>
        <v>06/05/2020 14:55:50.467</v>
      </c>
      <c r="C2806" t="str">
        <f t="shared" si="1540"/>
        <v>FFDFD3C0</v>
      </c>
      <c r="D2806" t="s">
        <v>151</v>
      </c>
      <c r="E2806">
        <v>8</v>
      </c>
      <c r="H2806">
        <v>225</v>
      </c>
      <c r="I2806" t="s">
        <v>353</v>
      </c>
      <c r="J2806" t="s">
        <v>150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si="1550"/>
        <v>14:55:56.141</v>
      </c>
      <c r="T2806" t="str">
        <f t="shared" si="1551"/>
        <v>14:55:55.941</v>
      </c>
      <c r="U2806" t="str">
        <f t="shared" si="1523"/>
        <v>ACC530</v>
      </c>
      <c r="V2806">
        <v>0</v>
      </c>
      <c r="W2806">
        <v>0</v>
      </c>
      <c r="X2806">
        <v>1</v>
      </c>
      <c r="Z2806">
        <v>0</v>
      </c>
      <c r="AA2806">
        <v>9</v>
      </c>
      <c r="AB2806">
        <v>3</v>
      </c>
      <c r="AC2806">
        <v>0</v>
      </c>
      <c r="AD2806">
        <v>9</v>
      </c>
      <c r="AE2806">
        <v>0</v>
      </c>
      <c r="AF2806">
        <v>3</v>
      </c>
      <c r="AG2806">
        <v>1</v>
      </c>
      <c r="AH2806">
        <v>0</v>
      </c>
      <c r="AI2806" t="s">
        <v>966</v>
      </c>
      <c r="AJ2806">
        <v>34.123986000000002</v>
      </c>
      <c r="AK2806" t="s">
        <v>935</v>
      </c>
      <c r="AL2806">
        <v>-117.057524</v>
      </c>
      <c r="AM2806">
        <v>100</v>
      </c>
      <c r="AN2806">
        <v>6400</v>
      </c>
      <c r="AO2806" t="s">
        <v>118</v>
      </c>
      <c r="AP2806">
        <v>13</v>
      </c>
      <c r="AQ2806">
        <v>-105</v>
      </c>
      <c r="AR2806">
        <v>-832</v>
      </c>
      <c r="AZ2806">
        <v>1200</v>
      </c>
      <c r="BA2806">
        <v>1</v>
      </c>
      <c r="BB2806" t="str">
        <f t="shared" si="1525"/>
        <v xml:space="preserve">N9217B  </v>
      </c>
      <c r="BC2806">
        <v>1</v>
      </c>
      <c r="BE2806">
        <v>0</v>
      </c>
      <c r="BF2806">
        <v>0</v>
      </c>
      <c r="BG2806">
        <v>0</v>
      </c>
      <c r="BH2806">
        <v>6300</v>
      </c>
      <c r="BI2806">
        <v>1</v>
      </c>
      <c r="BJ2806">
        <v>0</v>
      </c>
      <c r="BK2806">
        <v>0</v>
      </c>
      <c r="BL2806">
        <v>0</v>
      </c>
      <c r="BO2806">
        <v>0</v>
      </c>
      <c r="BP2806">
        <v>0</v>
      </c>
      <c r="BW2806" t="str">
        <f t="shared" si="1552"/>
        <v>14:55:56.142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7</v>
      </c>
      <c r="CP2806" t="s">
        <v>119</v>
      </c>
      <c r="CQ2806">
        <v>285</v>
      </c>
      <c r="CR2806">
        <v>0</v>
      </c>
      <c r="CW2806">
        <v>8870965</v>
      </c>
      <c r="CY2806">
        <v>0</v>
      </c>
      <c r="CZ2806">
        <v>0</v>
      </c>
      <c r="DA2806">
        <v>1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25">
      <c r="A2807" t="str">
        <f t="shared" si="1549"/>
        <v>06/05/2020 14:55:50.467</v>
      </c>
      <c r="C2807" t="str">
        <f t="shared" si="1540"/>
        <v>FFDFD3C0</v>
      </c>
      <c r="D2807" t="s">
        <v>148</v>
      </c>
      <c r="E2807">
        <v>11</v>
      </c>
      <c r="H2807">
        <v>53</v>
      </c>
      <c r="I2807" t="s">
        <v>364</v>
      </c>
      <c r="J2807" t="s">
        <v>150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550"/>
        <v>14:55:56.141</v>
      </c>
      <c r="T2807" t="str">
        <f t="shared" si="1551"/>
        <v>14:55:55.941</v>
      </c>
      <c r="U2807" t="str">
        <f t="shared" si="1523"/>
        <v>ACC530</v>
      </c>
      <c r="V2807">
        <v>0</v>
      </c>
      <c r="W2807">
        <v>0</v>
      </c>
      <c r="X2807">
        <v>1</v>
      </c>
      <c r="Z2807">
        <v>0</v>
      </c>
      <c r="AA2807">
        <v>9</v>
      </c>
      <c r="AB2807">
        <v>3</v>
      </c>
      <c r="AC2807">
        <v>0</v>
      </c>
      <c r="AD2807">
        <v>9</v>
      </c>
      <c r="AE2807">
        <v>0</v>
      </c>
      <c r="AF2807">
        <v>3</v>
      </c>
      <c r="AG2807">
        <v>1</v>
      </c>
      <c r="AH2807">
        <v>0</v>
      </c>
      <c r="AI2807" t="s">
        <v>966</v>
      </c>
      <c r="AJ2807">
        <v>34.123986000000002</v>
      </c>
      <c r="AK2807" t="s">
        <v>935</v>
      </c>
      <c r="AL2807">
        <v>-117.057524</v>
      </c>
      <c r="AM2807">
        <v>100</v>
      </c>
      <c r="AN2807">
        <v>6400</v>
      </c>
      <c r="AO2807" t="s">
        <v>118</v>
      </c>
      <c r="AP2807">
        <v>13</v>
      </c>
      <c r="AQ2807">
        <v>-105</v>
      </c>
      <c r="AR2807">
        <v>-832</v>
      </c>
      <c r="AZ2807">
        <v>1200</v>
      </c>
      <c r="BA2807">
        <v>1</v>
      </c>
      <c r="BB2807" t="str">
        <f t="shared" si="1525"/>
        <v xml:space="preserve">N9217B  </v>
      </c>
      <c r="BC2807">
        <v>1</v>
      </c>
      <c r="BE2807">
        <v>0</v>
      </c>
      <c r="BF2807">
        <v>0</v>
      </c>
      <c r="BG2807">
        <v>0</v>
      </c>
      <c r="BH2807">
        <v>6300</v>
      </c>
      <c r="BI2807">
        <v>1</v>
      </c>
      <c r="BJ2807">
        <v>0</v>
      </c>
      <c r="BK2807">
        <v>0</v>
      </c>
      <c r="BL2807">
        <v>0</v>
      </c>
      <c r="BO2807">
        <v>0</v>
      </c>
      <c r="BP2807">
        <v>0</v>
      </c>
      <c r="BW2807" t="str">
        <f t="shared" si="1552"/>
        <v>14:55:56.142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119</v>
      </c>
      <c r="CQ2807">
        <v>285</v>
      </c>
      <c r="CR2807">
        <v>0</v>
      </c>
      <c r="CW2807">
        <v>8870965</v>
      </c>
      <c r="CY2807">
        <v>0</v>
      </c>
      <c r="CZ2807">
        <v>0</v>
      </c>
      <c r="DA2807">
        <v>1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25">
      <c r="A2808" t="str">
        <f t="shared" si="1549"/>
        <v>06/05/2020 14:55:50.467</v>
      </c>
      <c r="C2808" t="str">
        <f t="shared" si="1540"/>
        <v>FFDFD3C0</v>
      </c>
      <c r="D2808" t="s">
        <v>151</v>
      </c>
      <c r="E2808">
        <v>9</v>
      </c>
      <c r="H2808">
        <v>226</v>
      </c>
      <c r="I2808" t="s">
        <v>152</v>
      </c>
      <c r="J2808" t="s">
        <v>150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si="1550"/>
        <v>14:55:56.141</v>
      </c>
      <c r="T2808" t="str">
        <f t="shared" si="1551"/>
        <v>14:55:55.941</v>
      </c>
      <c r="U2808" t="str">
        <f t="shared" si="1523"/>
        <v>ACC530</v>
      </c>
      <c r="V2808">
        <v>0</v>
      </c>
      <c r="W2808">
        <v>0</v>
      </c>
      <c r="X2808">
        <v>1</v>
      </c>
      <c r="Z2808">
        <v>0</v>
      </c>
      <c r="AA2808">
        <v>9</v>
      </c>
      <c r="AB2808">
        <v>3</v>
      </c>
      <c r="AC2808">
        <v>0</v>
      </c>
      <c r="AD2808">
        <v>9</v>
      </c>
      <c r="AE2808">
        <v>0</v>
      </c>
      <c r="AF2808">
        <v>3</v>
      </c>
      <c r="AG2808">
        <v>1</v>
      </c>
      <c r="AH2808">
        <v>0</v>
      </c>
      <c r="AI2808" t="s">
        <v>966</v>
      </c>
      <c r="AJ2808">
        <v>34.123986000000002</v>
      </c>
      <c r="AK2808" t="s">
        <v>935</v>
      </c>
      <c r="AL2808">
        <v>-117.057524</v>
      </c>
      <c r="AM2808">
        <v>100</v>
      </c>
      <c r="AN2808">
        <v>6400</v>
      </c>
      <c r="AO2808" t="s">
        <v>118</v>
      </c>
      <c r="AP2808">
        <v>13</v>
      </c>
      <c r="AQ2808">
        <v>-105</v>
      </c>
      <c r="AR2808">
        <v>-832</v>
      </c>
      <c r="AZ2808">
        <v>1200</v>
      </c>
      <c r="BA2808">
        <v>1</v>
      </c>
      <c r="BB2808" t="str">
        <f t="shared" si="1525"/>
        <v xml:space="preserve">N9217B  </v>
      </c>
      <c r="BC2808">
        <v>1</v>
      </c>
      <c r="BE2808">
        <v>0</v>
      </c>
      <c r="BF2808">
        <v>0</v>
      </c>
      <c r="BG2808">
        <v>0</v>
      </c>
      <c r="BH2808">
        <v>6300</v>
      </c>
      <c r="BI2808">
        <v>1</v>
      </c>
      <c r="BJ2808">
        <v>0</v>
      </c>
      <c r="BK2808">
        <v>0</v>
      </c>
      <c r="BL2808">
        <v>0</v>
      </c>
      <c r="BO2808">
        <v>0</v>
      </c>
      <c r="BP2808">
        <v>0</v>
      </c>
      <c r="BW2808" t="str">
        <f t="shared" si="1552"/>
        <v>14:55:56.142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7</v>
      </c>
      <c r="CP2808" t="s">
        <v>119</v>
      </c>
      <c r="CQ2808">
        <v>285</v>
      </c>
      <c r="CR2808">
        <v>0</v>
      </c>
      <c r="CW2808">
        <v>8870965</v>
      </c>
      <c r="CY2808">
        <v>0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25">
      <c r="A2809" t="str">
        <f t="shared" si="1549"/>
        <v>06/05/2020 14:55:50.467</v>
      </c>
      <c r="C2809" t="str">
        <f t="shared" si="1540"/>
        <v>FFDFD3C0</v>
      </c>
      <c r="D2809" t="s">
        <v>134</v>
      </c>
      <c r="E2809">
        <v>7</v>
      </c>
      <c r="F2809">
        <v>2007</v>
      </c>
      <c r="G2809" t="s">
        <v>135</v>
      </c>
      <c r="J2809" t="s">
        <v>136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550"/>
        <v>14:55:56.141</v>
      </c>
      <c r="T2809" t="str">
        <f t="shared" si="1551"/>
        <v>14:55:55.941</v>
      </c>
      <c r="U2809" t="str">
        <f t="shared" si="1523"/>
        <v>ACC530</v>
      </c>
      <c r="V2809">
        <v>0</v>
      </c>
      <c r="W2809">
        <v>0</v>
      </c>
      <c r="X2809">
        <v>1</v>
      </c>
      <c r="Z2809">
        <v>0</v>
      </c>
      <c r="AA2809">
        <v>9</v>
      </c>
      <c r="AB2809">
        <v>3</v>
      </c>
      <c r="AC2809">
        <v>0</v>
      </c>
      <c r="AD2809">
        <v>9</v>
      </c>
      <c r="AE2809">
        <v>0</v>
      </c>
      <c r="AF2809">
        <v>3</v>
      </c>
      <c r="AG2809">
        <v>1</v>
      </c>
      <c r="AH2809">
        <v>0</v>
      </c>
      <c r="AI2809" t="s">
        <v>966</v>
      </c>
      <c r="AJ2809">
        <v>34.123986000000002</v>
      </c>
      <c r="AK2809" t="s">
        <v>935</v>
      </c>
      <c r="AL2809">
        <v>-117.057524</v>
      </c>
      <c r="AM2809">
        <v>100</v>
      </c>
      <c r="AN2809">
        <v>6400</v>
      </c>
      <c r="AO2809" t="s">
        <v>118</v>
      </c>
      <c r="AP2809">
        <v>13</v>
      </c>
      <c r="AQ2809">
        <v>-105</v>
      </c>
      <c r="AR2809">
        <v>-832</v>
      </c>
      <c r="AZ2809">
        <v>1200</v>
      </c>
      <c r="BA2809">
        <v>1</v>
      </c>
      <c r="BB2809" t="str">
        <f t="shared" si="1525"/>
        <v xml:space="preserve">N9217B  </v>
      </c>
      <c r="BC2809">
        <v>1</v>
      </c>
      <c r="BE2809">
        <v>0</v>
      </c>
      <c r="BF2809">
        <v>0</v>
      </c>
      <c r="BG2809">
        <v>0</v>
      </c>
      <c r="BH2809">
        <v>6300</v>
      </c>
      <c r="BI2809">
        <v>1</v>
      </c>
      <c r="BJ2809">
        <v>0</v>
      </c>
      <c r="BK2809">
        <v>0</v>
      </c>
      <c r="BL2809">
        <v>0</v>
      </c>
      <c r="BO2809">
        <v>0</v>
      </c>
      <c r="BP2809">
        <v>0</v>
      </c>
      <c r="BW2809" t="str">
        <f t="shared" si="1552"/>
        <v>14:55:56.142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119</v>
      </c>
      <c r="CQ2809">
        <v>285</v>
      </c>
      <c r="CR2809">
        <v>0</v>
      </c>
      <c r="CW2809">
        <v>8870965</v>
      </c>
      <c r="CY2809">
        <v>0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25">
      <c r="A2810" t="str">
        <f t="shared" ref="A2810:A2816" si="1553">"06/05/2020 14:55:51.491"</f>
        <v>06/05/2020 14:55:51.491</v>
      </c>
      <c r="C2810" t="str">
        <f t="shared" si="1540"/>
        <v>FFDFD3C0</v>
      </c>
      <c r="D2810" t="s">
        <v>113</v>
      </c>
      <c r="E2810">
        <v>3</v>
      </c>
      <c r="H2810">
        <v>166</v>
      </c>
      <c r="I2810" t="s">
        <v>114</v>
      </c>
      <c r="J2810" t="s">
        <v>115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ref="S2810:S2816" si="1554">"14:55:57.156"</f>
        <v>14:55:57.156</v>
      </c>
      <c r="T2810" t="str">
        <f t="shared" ref="T2810:T2816" si="1555">"14:55:57.056"</f>
        <v>14:55:57.056</v>
      </c>
      <c r="U2810" t="str">
        <f t="shared" si="1523"/>
        <v>ACC530</v>
      </c>
      <c r="V2810">
        <v>0</v>
      </c>
      <c r="W2810">
        <v>0</v>
      </c>
      <c r="X2810">
        <v>1</v>
      </c>
      <c r="Z2810">
        <v>0</v>
      </c>
      <c r="AA2810">
        <v>9</v>
      </c>
      <c r="AB2810">
        <v>3</v>
      </c>
      <c r="AC2810">
        <v>0</v>
      </c>
      <c r="AD2810">
        <v>9</v>
      </c>
      <c r="AE2810">
        <v>0</v>
      </c>
      <c r="AF2810">
        <v>3</v>
      </c>
      <c r="AG2810">
        <v>1</v>
      </c>
      <c r="AH2810">
        <v>0</v>
      </c>
      <c r="AI2810" t="s">
        <v>967</v>
      </c>
      <c r="AJ2810">
        <v>34.123491999999999</v>
      </c>
      <c r="AK2810" t="s">
        <v>968</v>
      </c>
      <c r="AL2810">
        <v>-117.057416</v>
      </c>
      <c r="AM2810">
        <v>100</v>
      </c>
      <c r="AN2810">
        <v>6400</v>
      </c>
      <c r="AO2810" t="s">
        <v>118</v>
      </c>
      <c r="AP2810">
        <v>14</v>
      </c>
      <c r="AQ2810">
        <v>-105</v>
      </c>
      <c r="AR2810">
        <v>-896</v>
      </c>
      <c r="AZ2810">
        <v>1200</v>
      </c>
      <c r="BA2810">
        <v>1</v>
      </c>
      <c r="BB2810" t="str">
        <f t="shared" si="1525"/>
        <v xml:space="preserve">N9217B  </v>
      </c>
      <c r="BC2810">
        <v>1</v>
      </c>
      <c r="BE2810">
        <v>0</v>
      </c>
      <c r="BF2810">
        <v>0</v>
      </c>
      <c r="BG2810">
        <v>0</v>
      </c>
      <c r="BH2810">
        <v>6300</v>
      </c>
      <c r="BI2810">
        <v>1</v>
      </c>
      <c r="BJ2810">
        <v>0</v>
      </c>
      <c r="BK2810">
        <v>0</v>
      </c>
      <c r="BL2810">
        <v>0</v>
      </c>
      <c r="BO2810">
        <v>0</v>
      </c>
      <c r="BP2810">
        <v>0</v>
      </c>
      <c r="BW2810" t="str">
        <f t="shared" ref="BW2810:BW2816" si="1556">"14:55:57.162"</f>
        <v>14:55:57.162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119</v>
      </c>
      <c r="CQ2810">
        <v>285</v>
      </c>
      <c r="CR2810">
        <v>0</v>
      </c>
      <c r="CW2810">
        <v>8871054</v>
      </c>
      <c r="CY2810">
        <v>0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25">
      <c r="A2811" t="str">
        <f t="shared" si="1553"/>
        <v>06/05/2020 14:55:51.491</v>
      </c>
      <c r="C2811" t="str">
        <f t="shared" si="1540"/>
        <v>FFDFD3C0</v>
      </c>
      <c r="D2811" t="s">
        <v>151</v>
      </c>
      <c r="E2811">
        <v>8</v>
      </c>
      <c r="H2811">
        <v>225</v>
      </c>
      <c r="I2811" t="s">
        <v>353</v>
      </c>
      <c r="J2811" t="s">
        <v>150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554"/>
        <v>14:55:57.156</v>
      </c>
      <c r="T2811" t="str">
        <f t="shared" si="1555"/>
        <v>14:55:57.056</v>
      </c>
      <c r="U2811" t="str">
        <f t="shared" si="1523"/>
        <v>ACC530</v>
      </c>
      <c r="V2811">
        <v>0</v>
      </c>
      <c r="W2811">
        <v>0</v>
      </c>
      <c r="X2811">
        <v>1</v>
      </c>
      <c r="Z2811">
        <v>0</v>
      </c>
      <c r="AA2811">
        <v>9</v>
      </c>
      <c r="AB2811">
        <v>3</v>
      </c>
      <c r="AC2811">
        <v>0</v>
      </c>
      <c r="AD2811">
        <v>9</v>
      </c>
      <c r="AE2811">
        <v>0</v>
      </c>
      <c r="AF2811">
        <v>3</v>
      </c>
      <c r="AG2811">
        <v>1</v>
      </c>
      <c r="AH2811">
        <v>0</v>
      </c>
      <c r="AI2811" t="s">
        <v>967</v>
      </c>
      <c r="AJ2811">
        <v>34.123491999999999</v>
      </c>
      <c r="AK2811" t="s">
        <v>968</v>
      </c>
      <c r="AL2811">
        <v>-117.057416</v>
      </c>
      <c r="AM2811">
        <v>100</v>
      </c>
      <c r="AN2811">
        <v>6400</v>
      </c>
      <c r="AO2811" t="s">
        <v>118</v>
      </c>
      <c r="AP2811">
        <v>14</v>
      </c>
      <c r="AQ2811">
        <v>-105</v>
      </c>
      <c r="AR2811">
        <v>-896</v>
      </c>
      <c r="AZ2811">
        <v>1200</v>
      </c>
      <c r="BA2811">
        <v>1</v>
      </c>
      <c r="BB2811" t="str">
        <f t="shared" si="1525"/>
        <v xml:space="preserve">N9217B  </v>
      </c>
      <c r="BC2811">
        <v>1</v>
      </c>
      <c r="BE2811">
        <v>0</v>
      </c>
      <c r="BF2811">
        <v>0</v>
      </c>
      <c r="BG2811">
        <v>0</v>
      </c>
      <c r="BH2811">
        <v>6300</v>
      </c>
      <c r="BI2811">
        <v>1</v>
      </c>
      <c r="BJ2811">
        <v>0</v>
      </c>
      <c r="BK2811">
        <v>0</v>
      </c>
      <c r="BL2811">
        <v>0</v>
      </c>
      <c r="BO2811">
        <v>0</v>
      </c>
      <c r="BP2811">
        <v>0</v>
      </c>
      <c r="BW2811" t="str">
        <f t="shared" si="1556"/>
        <v>14:55:57.162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7</v>
      </c>
      <c r="CP2811" t="s">
        <v>119</v>
      </c>
      <c r="CQ2811">
        <v>285</v>
      </c>
      <c r="CR2811">
        <v>0</v>
      </c>
      <c r="CW2811">
        <v>8871054</v>
      </c>
      <c r="CY2811">
        <v>0</v>
      </c>
      <c r="CZ2811">
        <v>0</v>
      </c>
      <c r="DA2811">
        <v>1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25">
      <c r="A2812" t="str">
        <f t="shared" si="1553"/>
        <v>06/05/2020 14:55:51.491</v>
      </c>
      <c r="C2812" t="str">
        <f t="shared" si="1540"/>
        <v>FFDFD3C0</v>
      </c>
      <c r="D2812" t="s">
        <v>148</v>
      </c>
      <c r="E2812">
        <v>11</v>
      </c>
      <c r="H2812">
        <v>53</v>
      </c>
      <c r="I2812" t="s">
        <v>364</v>
      </c>
      <c r="J2812" t="s">
        <v>150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554"/>
        <v>14:55:57.156</v>
      </c>
      <c r="T2812" t="str">
        <f t="shared" si="1555"/>
        <v>14:55:57.056</v>
      </c>
      <c r="U2812" t="str">
        <f t="shared" si="1523"/>
        <v>ACC530</v>
      </c>
      <c r="V2812">
        <v>0</v>
      </c>
      <c r="W2812">
        <v>0</v>
      </c>
      <c r="X2812">
        <v>1</v>
      </c>
      <c r="Z2812">
        <v>0</v>
      </c>
      <c r="AA2812">
        <v>9</v>
      </c>
      <c r="AB2812">
        <v>3</v>
      </c>
      <c r="AC2812">
        <v>0</v>
      </c>
      <c r="AD2812">
        <v>9</v>
      </c>
      <c r="AE2812">
        <v>0</v>
      </c>
      <c r="AF2812">
        <v>3</v>
      </c>
      <c r="AG2812">
        <v>1</v>
      </c>
      <c r="AH2812">
        <v>0</v>
      </c>
      <c r="AI2812" t="s">
        <v>967</v>
      </c>
      <c r="AJ2812">
        <v>34.123491999999999</v>
      </c>
      <c r="AK2812" t="s">
        <v>968</v>
      </c>
      <c r="AL2812">
        <v>-117.057416</v>
      </c>
      <c r="AM2812">
        <v>100</v>
      </c>
      <c r="AN2812">
        <v>6400</v>
      </c>
      <c r="AO2812" t="s">
        <v>118</v>
      </c>
      <c r="AP2812">
        <v>14</v>
      </c>
      <c r="AQ2812">
        <v>-105</v>
      </c>
      <c r="AR2812">
        <v>-896</v>
      </c>
      <c r="AZ2812">
        <v>1200</v>
      </c>
      <c r="BA2812">
        <v>1</v>
      </c>
      <c r="BB2812" t="str">
        <f t="shared" si="1525"/>
        <v xml:space="preserve">N9217B  </v>
      </c>
      <c r="BC2812">
        <v>1</v>
      </c>
      <c r="BE2812">
        <v>0</v>
      </c>
      <c r="BF2812">
        <v>0</v>
      </c>
      <c r="BG2812">
        <v>0</v>
      </c>
      <c r="BH2812">
        <v>6300</v>
      </c>
      <c r="BI2812">
        <v>1</v>
      </c>
      <c r="BJ2812">
        <v>0</v>
      </c>
      <c r="BK2812">
        <v>0</v>
      </c>
      <c r="BL2812">
        <v>0</v>
      </c>
      <c r="BO2812">
        <v>0</v>
      </c>
      <c r="BP2812">
        <v>0</v>
      </c>
      <c r="BW2812" t="str">
        <f t="shared" si="1556"/>
        <v>14:55:57.162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7</v>
      </c>
      <c r="CP2812" t="s">
        <v>119</v>
      </c>
      <c r="CQ2812">
        <v>285</v>
      </c>
      <c r="CR2812">
        <v>0</v>
      </c>
      <c r="CW2812">
        <v>8871054</v>
      </c>
      <c r="CY2812">
        <v>0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25">
      <c r="A2813" t="str">
        <f t="shared" si="1553"/>
        <v>06/05/2020 14:55:51.491</v>
      </c>
      <c r="C2813" t="str">
        <f t="shared" si="1540"/>
        <v>FFDFD3C0</v>
      </c>
      <c r="D2813" t="s">
        <v>134</v>
      </c>
      <c r="E2813">
        <v>7</v>
      </c>
      <c r="F2813">
        <v>2007</v>
      </c>
      <c r="G2813" t="s">
        <v>135</v>
      </c>
      <c r="J2813" t="s">
        <v>136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554"/>
        <v>14:55:57.156</v>
      </c>
      <c r="T2813" t="str">
        <f t="shared" si="1555"/>
        <v>14:55:57.056</v>
      </c>
      <c r="U2813" t="str">
        <f t="shared" si="1523"/>
        <v>ACC530</v>
      </c>
      <c r="V2813">
        <v>0</v>
      </c>
      <c r="W2813">
        <v>0</v>
      </c>
      <c r="X2813">
        <v>1</v>
      </c>
      <c r="Z2813">
        <v>0</v>
      </c>
      <c r="AA2813">
        <v>9</v>
      </c>
      <c r="AB2813">
        <v>3</v>
      </c>
      <c r="AC2813">
        <v>0</v>
      </c>
      <c r="AD2813">
        <v>9</v>
      </c>
      <c r="AE2813">
        <v>0</v>
      </c>
      <c r="AF2813">
        <v>3</v>
      </c>
      <c r="AG2813">
        <v>1</v>
      </c>
      <c r="AH2813">
        <v>0</v>
      </c>
      <c r="AI2813" t="s">
        <v>967</v>
      </c>
      <c r="AJ2813">
        <v>34.123491999999999</v>
      </c>
      <c r="AK2813" t="s">
        <v>968</v>
      </c>
      <c r="AL2813">
        <v>-117.057416</v>
      </c>
      <c r="AM2813">
        <v>100</v>
      </c>
      <c r="AN2813">
        <v>6400</v>
      </c>
      <c r="AO2813" t="s">
        <v>118</v>
      </c>
      <c r="AP2813">
        <v>14</v>
      </c>
      <c r="AQ2813">
        <v>-105</v>
      </c>
      <c r="AR2813">
        <v>-896</v>
      </c>
      <c r="AZ2813">
        <v>1200</v>
      </c>
      <c r="BA2813">
        <v>1</v>
      </c>
      <c r="BB2813" t="str">
        <f t="shared" si="1525"/>
        <v xml:space="preserve">N9217B  </v>
      </c>
      <c r="BC2813">
        <v>1</v>
      </c>
      <c r="BE2813">
        <v>0</v>
      </c>
      <c r="BF2813">
        <v>0</v>
      </c>
      <c r="BG2813">
        <v>0</v>
      </c>
      <c r="BH2813">
        <v>6300</v>
      </c>
      <c r="BI2813">
        <v>1</v>
      </c>
      <c r="BJ2813">
        <v>0</v>
      </c>
      <c r="BK2813">
        <v>0</v>
      </c>
      <c r="BL2813">
        <v>0</v>
      </c>
      <c r="BO2813">
        <v>0</v>
      </c>
      <c r="BP2813">
        <v>0</v>
      </c>
      <c r="BW2813" t="str">
        <f t="shared" si="1556"/>
        <v>14:55:57.162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7</v>
      </c>
      <c r="CP2813" t="s">
        <v>119</v>
      </c>
      <c r="CQ2813">
        <v>285</v>
      </c>
      <c r="CR2813">
        <v>0</v>
      </c>
      <c r="CW2813">
        <v>8871054</v>
      </c>
      <c r="CY2813">
        <v>0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25">
      <c r="A2814" t="str">
        <f t="shared" si="1553"/>
        <v>06/05/2020 14:55:51.491</v>
      </c>
      <c r="C2814" t="str">
        <f t="shared" si="1540"/>
        <v>FFDFD3C0</v>
      </c>
      <c r="D2814" t="s">
        <v>151</v>
      </c>
      <c r="E2814">
        <v>9</v>
      </c>
      <c r="H2814">
        <v>226</v>
      </c>
      <c r="I2814" t="s">
        <v>152</v>
      </c>
      <c r="J2814" t="s">
        <v>150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1554"/>
        <v>14:55:57.156</v>
      </c>
      <c r="T2814" t="str">
        <f t="shared" si="1555"/>
        <v>14:55:57.056</v>
      </c>
      <c r="U2814" t="str">
        <f t="shared" si="1523"/>
        <v>ACC530</v>
      </c>
      <c r="V2814">
        <v>0</v>
      </c>
      <c r="W2814">
        <v>0</v>
      </c>
      <c r="X2814">
        <v>1</v>
      </c>
      <c r="Z2814">
        <v>0</v>
      </c>
      <c r="AA2814">
        <v>9</v>
      </c>
      <c r="AB2814">
        <v>3</v>
      </c>
      <c r="AC2814">
        <v>0</v>
      </c>
      <c r="AD2814">
        <v>9</v>
      </c>
      <c r="AE2814">
        <v>0</v>
      </c>
      <c r="AF2814">
        <v>3</v>
      </c>
      <c r="AG2814">
        <v>1</v>
      </c>
      <c r="AH2814">
        <v>0</v>
      </c>
      <c r="AI2814" t="s">
        <v>967</v>
      </c>
      <c r="AJ2814">
        <v>34.123491999999999</v>
      </c>
      <c r="AK2814" t="s">
        <v>968</v>
      </c>
      <c r="AL2814">
        <v>-117.057416</v>
      </c>
      <c r="AM2814">
        <v>100</v>
      </c>
      <c r="AN2814">
        <v>6400</v>
      </c>
      <c r="AO2814" t="s">
        <v>118</v>
      </c>
      <c r="AP2814">
        <v>14</v>
      </c>
      <c r="AQ2814">
        <v>-105</v>
      </c>
      <c r="AR2814">
        <v>-896</v>
      </c>
      <c r="AZ2814">
        <v>1200</v>
      </c>
      <c r="BA2814">
        <v>1</v>
      </c>
      <c r="BB2814" t="str">
        <f t="shared" si="1525"/>
        <v xml:space="preserve">N9217B  </v>
      </c>
      <c r="BC2814">
        <v>1</v>
      </c>
      <c r="BE2814">
        <v>0</v>
      </c>
      <c r="BF2814">
        <v>0</v>
      </c>
      <c r="BG2814">
        <v>0</v>
      </c>
      <c r="BH2814">
        <v>6300</v>
      </c>
      <c r="BI2814">
        <v>1</v>
      </c>
      <c r="BJ2814">
        <v>0</v>
      </c>
      <c r="BK2814">
        <v>0</v>
      </c>
      <c r="BL2814">
        <v>0</v>
      </c>
      <c r="BO2814">
        <v>0</v>
      </c>
      <c r="BP2814">
        <v>0</v>
      </c>
      <c r="BW2814" t="str">
        <f t="shared" si="1556"/>
        <v>14:55:57.162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7</v>
      </c>
      <c r="CP2814" t="s">
        <v>119</v>
      </c>
      <c r="CQ2814">
        <v>285</v>
      </c>
      <c r="CR2814">
        <v>0</v>
      </c>
      <c r="CW2814">
        <v>8871054</v>
      </c>
      <c r="CY2814">
        <v>0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25">
      <c r="A2815" t="str">
        <f t="shared" si="1553"/>
        <v>06/05/2020 14:55:51.491</v>
      </c>
      <c r="C2815" t="str">
        <f t="shared" si="1540"/>
        <v>FFDFD3C0</v>
      </c>
      <c r="D2815" t="s">
        <v>141</v>
      </c>
      <c r="E2815">
        <v>20</v>
      </c>
      <c r="F2815">
        <v>1020</v>
      </c>
      <c r="G2815" t="s">
        <v>114</v>
      </c>
      <c r="J2815" t="s">
        <v>142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1554"/>
        <v>14:55:57.156</v>
      </c>
      <c r="T2815" t="str">
        <f t="shared" si="1555"/>
        <v>14:55:57.056</v>
      </c>
      <c r="U2815" t="str">
        <f t="shared" si="1523"/>
        <v>ACC530</v>
      </c>
      <c r="V2815">
        <v>0</v>
      </c>
      <c r="W2815">
        <v>0</v>
      </c>
      <c r="X2815">
        <v>1</v>
      </c>
      <c r="Z2815">
        <v>0</v>
      </c>
      <c r="AA2815">
        <v>9</v>
      </c>
      <c r="AB2815">
        <v>3</v>
      </c>
      <c r="AC2815">
        <v>0</v>
      </c>
      <c r="AD2815">
        <v>9</v>
      </c>
      <c r="AE2815">
        <v>0</v>
      </c>
      <c r="AF2815">
        <v>3</v>
      </c>
      <c r="AG2815">
        <v>1</v>
      </c>
      <c r="AH2815">
        <v>0</v>
      </c>
      <c r="AI2815" t="s">
        <v>967</v>
      </c>
      <c r="AJ2815">
        <v>34.123491999999999</v>
      </c>
      <c r="AK2815" t="s">
        <v>968</v>
      </c>
      <c r="AL2815">
        <v>-117.057416</v>
      </c>
      <c r="AM2815">
        <v>100</v>
      </c>
      <c r="AN2815">
        <v>6400</v>
      </c>
      <c r="AO2815" t="s">
        <v>118</v>
      </c>
      <c r="AP2815">
        <v>14</v>
      </c>
      <c r="AQ2815">
        <v>-105</v>
      </c>
      <c r="AR2815">
        <v>-896</v>
      </c>
      <c r="AZ2815">
        <v>1200</v>
      </c>
      <c r="BA2815">
        <v>1</v>
      </c>
      <c r="BB2815" t="str">
        <f t="shared" si="1525"/>
        <v xml:space="preserve">N9217B  </v>
      </c>
      <c r="BC2815">
        <v>1</v>
      </c>
      <c r="BE2815">
        <v>0</v>
      </c>
      <c r="BF2815">
        <v>0</v>
      </c>
      <c r="BG2815">
        <v>0</v>
      </c>
      <c r="BH2815">
        <v>6300</v>
      </c>
      <c r="BI2815">
        <v>1</v>
      </c>
      <c r="BJ2815">
        <v>0</v>
      </c>
      <c r="BK2815">
        <v>0</v>
      </c>
      <c r="BL2815">
        <v>0</v>
      </c>
      <c r="BO2815">
        <v>0</v>
      </c>
      <c r="BP2815">
        <v>0</v>
      </c>
      <c r="BW2815" t="str">
        <f t="shared" si="1556"/>
        <v>14:55:57.162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7</v>
      </c>
      <c r="CP2815" t="s">
        <v>119</v>
      </c>
      <c r="CQ2815">
        <v>285</v>
      </c>
      <c r="CR2815">
        <v>0</v>
      </c>
      <c r="CW2815">
        <v>8871054</v>
      </c>
      <c r="CY2815">
        <v>0</v>
      </c>
      <c r="CZ2815">
        <v>0</v>
      </c>
      <c r="DA2815">
        <v>1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25">
      <c r="A2816" t="str">
        <f t="shared" si="1553"/>
        <v>06/05/2020 14:55:51.491</v>
      </c>
      <c r="C2816" t="str">
        <f t="shared" si="1540"/>
        <v>FFDFD3C0</v>
      </c>
      <c r="D2816" t="s">
        <v>148</v>
      </c>
      <c r="E2816">
        <v>8</v>
      </c>
      <c r="H2816">
        <v>50</v>
      </c>
      <c r="I2816" t="s">
        <v>149</v>
      </c>
      <c r="J2816" t="s">
        <v>150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554"/>
        <v>14:55:57.156</v>
      </c>
      <c r="T2816" t="str">
        <f t="shared" si="1555"/>
        <v>14:55:57.056</v>
      </c>
      <c r="U2816" t="str">
        <f t="shared" si="1523"/>
        <v>ACC530</v>
      </c>
      <c r="V2816">
        <v>0</v>
      </c>
      <c r="W2816">
        <v>0</v>
      </c>
      <c r="X2816">
        <v>1</v>
      </c>
      <c r="Z2816">
        <v>0</v>
      </c>
      <c r="AA2816">
        <v>9</v>
      </c>
      <c r="AB2816">
        <v>3</v>
      </c>
      <c r="AC2816">
        <v>0</v>
      </c>
      <c r="AD2816">
        <v>9</v>
      </c>
      <c r="AE2816">
        <v>0</v>
      </c>
      <c r="AF2816">
        <v>3</v>
      </c>
      <c r="AG2816">
        <v>1</v>
      </c>
      <c r="AH2816">
        <v>0</v>
      </c>
      <c r="AI2816" t="s">
        <v>967</v>
      </c>
      <c r="AJ2816">
        <v>34.123491999999999</v>
      </c>
      <c r="AK2816" t="s">
        <v>968</v>
      </c>
      <c r="AL2816">
        <v>-117.057416</v>
      </c>
      <c r="AM2816">
        <v>100</v>
      </c>
      <c r="AN2816">
        <v>6400</v>
      </c>
      <c r="AO2816" t="s">
        <v>118</v>
      </c>
      <c r="AP2816">
        <v>14</v>
      </c>
      <c r="AQ2816">
        <v>-105</v>
      </c>
      <c r="AR2816">
        <v>-896</v>
      </c>
      <c r="AZ2816">
        <v>1200</v>
      </c>
      <c r="BA2816">
        <v>1</v>
      </c>
      <c r="BB2816" t="str">
        <f t="shared" si="1525"/>
        <v xml:space="preserve">N9217B  </v>
      </c>
      <c r="BC2816">
        <v>1</v>
      </c>
      <c r="BE2816">
        <v>0</v>
      </c>
      <c r="BF2816">
        <v>0</v>
      </c>
      <c r="BG2816">
        <v>0</v>
      </c>
      <c r="BH2816">
        <v>6300</v>
      </c>
      <c r="BI2816">
        <v>1</v>
      </c>
      <c r="BJ2816">
        <v>0</v>
      </c>
      <c r="BK2816">
        <v>0</v>
      </c>
      <c r="BL2816">
        <v>0</v>
      </c>
      <c r="BO2816">
        <v>0</v>
      </c>
      <c r="BP2816">
        <v>0</v>
      </c>
      <c r="BW2816" t="str">
        <f t="shared" si="1556"/>
        <v>14:55:57.162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7</v>
      </c>
      <c r="CP2816" t="s">
        <v>119</v>
      </c>
      <c r="CQ2816">
        <v>285</v>
      </c>
      <c r="CR2816">
        <v>0</v>
      </c>
      <c r="CW2816">
        <v>8871054</v>
      </c>
      <c r="CY2816">
        <v>0</v>
      </c>
      <c r="CZ2816">
        <v>0</v>
      </c>
      <c r="DA2816">
        <v>1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25">
      <c r="A2817" t="str">
        <f t="shared" ref="A2817:A2823" si="1557">"06/05/2020 14:55:52.449"</f>
        <v>06/05/2020 14:55:52.449</v>
      </c>
      <c r="C2817" t="str">
        <f t="shared" si="1540"/>
        <v>FFDFD3C0</v>
      </c>
      <c r="D2817" t="s">
        <v>113</v>
      </c>
      <c r="E2817">
        <v>3</v>
      </c>
      <c r="H2817">
        <v>166</v>
      </c>
      <c r="I2817" t="s">
        <v>114</v>
      </c>
      <c r="J2817" t="s">
        <v>115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ref="S2817:T2823" si="1558">"14:55:58.086"</f>
        <v>14:55:58.086</v>
      </c>
      <c r="T2817" t="str">
        <f t="shared" si="1558"/>
        <v>14:55:58.086</v>
      </c>
      <c r="U2817" t="str">
        <f t="shared" si="1523"/>
        <v>ACC530</v>
      </c>
      <c r="V2817">
        <v>0</v>
      </c>
      <c r="W2817">
        <v>0</v>
      </c>
      <c r="X2817">
        <v>1</v>
      </c>
      <c r="Z2817">
        <v>0</v>
      </c>
      <c r="AA2817">
        <v>9</v>
      </c>
      <c r="AB2817">
        <v>3</v>
      </c>
      <c r="AC2817">
        <v>0</v>
      </c>
      <c r="AD2817">
        <v>9</v>
      </c>
      <c r="AE2817">
        <v>0</v>
      </c>
      <c r="AF2817">
        <v>3</v>
      </c>
      <c r="AG2817">
        <v>1</v>
      </c>
      <c r="AH2817">
        <v>0</v>
      </c>
      <c r="AI2817" t="s">
        <v>969</v>
      </c>
      <c r="AJ2817">
        <v>34.123041999999998</v>
      </c>
      <c r="AK2817" t="s">
        <v>931</v>
      </c>
      <c r="AL2817">
        <v>-117.057374</v>
      </c>
      <c r="AM2817">
        <v>100</v>
      </c>
      <c r="AN2817">
        <v>6400</v>
      </c>
      <c r="AO2817" t="s">
        <v>118</v>
      </c>
      <c r="AP2817">
        <v>15</v>
      </c>
      <c r="AQ2817">
        <v>-105</v>
      </c>
      <c r="AR2817">
        <v>-896</v>
      </c>
      <c r="AZ2817">
        <v>1200</v>
      </c>
      <c r="BA2817">
        <v>1</v>
      </c>
      <c r="BB2817" t="str">
        <f t="shared" si="1525"/>
        <v xml:space="preserve">N9217B  </v>
      </c>
      <c r="BC2817">
        <v>1</v>
      </c>
      <c r="BE2817">
        <v>0</v>
      </c>
      <c r="BF2817">
        <v>0</v>
      </c>
      <c r="BG2817">
        <v>0</v>
      </c>
      <c r="BH2817">
        <v>6275</v>
      </c>
      <c r="BI2817">
        <v>1</v>
      </c>
      <c r="BJ2817">
        <v>0</v>
      </c>
      <c r="BK2817">
        <v>0</v>
      </c>
      <c r="BL2817">
        <v>0</v>
      </c>
      <c r="BO2817">
        <v>0</v>
      </c>
      <c r="BP2817">
        <v>0</v>
      </c>
      <c r="BW2817" t="str">
        <f t="shared" ref="BW2817:BW2823" si="1559">"14:55:58.092"</f>
        <v>14:55:58.092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7</v>
      </c>
      <c r="CP2817" t="s">
        <v>119</v>
      </c>
      <c r="CQ2817">
        <v>285</v>
      </c>
      <c r="CR2817">
        <v>0</v>
      </c>
      <c r="CW2817">
        <v>8871141</v>
      </c>
      <c r="CY2817">
        <v>0</v>
      </c>
      <c r="CZ2817">
        <v>0</v>
      </c>
      <c r="DA2817">
        <v>0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25">
      <c r="A2818" t="str">
        <f t="shared" si="1557"/>
        <v>06/05/2020 14:55:52.449</v>
      </c>
      <c r="C2818" t="str">
        <f t="shared" si="1540"/>
        <v>FFDFD3C0</v>
      </c>
      <c r="D2818" t="s">
        <v>151</v>
      </c>
      <c r="E2818">
        <v>8</v>
      </c>
      <c r="H2818">
        <v>225</v>
      </c>
      <c r="I2818" t="s">
        <v>353</v>
      </c>
      <c r="J2818" t="s">
        <v>150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558"/>
        <v>14:55:58.086</v>
      </c>
      <c r="T2818" t="str">
        <f t="shared" si="1558"/>
        <v>14:55:58.086</v>
      </c>
      <c r="U2818" t="str">
        <f t="shared" ref="U2818:U2881" si="1560">"ACC530"</f>
        <v>ACC530</v>
      </c>
      <c r="V2818">
        <v>0</v>
      </c>
      <c r="W2818">
        <v>0</v>
      </c>
      <c r="X2818">
        <v>1</v>
      </c>
      <c r="Z2818">
        <v>0</v>
      </c>
      <c r="AA2818">
        <v>9</v>
      </c>
      <c r="AB2818">
        <v>3</v>
      </c>
      <c r="AC2818">
        <v>0</v>
      </c>
      <c r="AD2818">
        <v>9</v>
      </c>
      <c r="AE2818">
        <v>0</v>
      </c>
      <c r="AF2818">
        <v>3</v>
      </c>
      <c r="AG2818">
        <v>1</v>
      </c>
      <c r="AH2818">
        <v>0</v>
      </c>
      <c r="AI2818" t="s">
        <v>969</v>
      </c>
      <c r="AJ2818">
        <v>34.123041999999998</v>
      </c>
      <c r="AK2818" t="s">
        <v>931</v>
      </c>
      <c r="AL2818">
        <v>-117.057374</v>
      </c>
      <c r="AM2818">
        <v>100</v>
      </c>
      <c r="AN2818">
        <v>6400</v>
      </c>
      <c r="AO2818" t="s">
        <v>118</v>
      </c>
      <c r="AP2818">
        <v>15</v>
      </c>
      <c r="AQ2818">
        <v>-105</v>
      </c>
      <c r="AR2818">
        <v>-896</v>
      </c>
      <c r="AZ2818">
        <v>1200</v>
      </c>
      <c r="BA2818">
        <v>1</v>
      </c>
      <c r="BB2818" t="str">
        <f t="shared" si="1525"/>
        <v xml:space="preserve">N9217B  </v>
      </c>
      <c r="BC2818">
        <v>1</v>
      </c>
      <c r="BE2818">
        <v>0</v>
      </c>
      <c r="BF2818">
        <v>0</v>
      </c>
      <c r="BG2818">
        <v>0</v>
      </c>
      <c r="BH2818">
        <v>6275</v>
      </c>
      <c r="BI2818">
        <v>1</v>
      </c>
      <c r="BJ2818">
        <v>0</v>
      </c>
      <c r="BK2818">
        <v>0</v>
      </c>
      <c r="BL2818">
        <v>0</v>
      </c>
      <c r="BO2818">
        <v>0</v>
      </c>
      <c r="BP2818">
        <v>0</v>
      </c>
      <c r="BW2818" t="str">
        <f t="shared" si="1559"/>
        <v>14:55:58.092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7</v>
      </c>
      <c r="CP2818" t="s">
        <v>119</v>
      </c>
      <c r="CQ2818">
        <v>285</v>
      </c>
      <c r="CR2818">
        <v>0</v>
      </c>
      <c r="CW2818">
        <v>8871141</v>
      </c>
      <c r="CY2818">
        <v>0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25">
      <c r="A2819" t="str">
        <f t="shared" si="1557"/>
        <v>06/05/2020 14:55:52.449</v>
      </c>
      <c r="C2819" t="str">
        <f t="shared" si="1540"/>
        <v>FFDFD3C0</v>
      </c>
      <c r="D2819" t="s">
        <v>148</v>
      </c>
      <c r="E2819">
        <v>11</v>
      </c>
      <c r="H2819">
        <v>53</v>
      </c>
      <c r="I2819" t="s">
        <v>364</v>
      </c>
      <c r="J2819" t="s">
        <v>150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558"/>
        <v>14:55:58.086</v>
      </c>
      <c r="T2819" t="str">
        <f t="shared" si="1558"/>
        <v>14:55:58.086</v>
      </c>
      <c r="U2819" t="str">
        <f t="shared" si="1560"/>
        <v>ACC530</v>
      </c>
      <c r="V2819">
        <v>0</v>
      </c>
      <c r="W2819">
        <v>0</v>
      </c>
      <c r="X2819">
        <v>1</v>
      </c>
      <c r="Z2819">
        <v>0</v>
      </c>
      <c r="AA2819">
        <v>9</v>
      </c>
      <c r="AB2819">
        <v>3</v>
      </c>
      <c r="AC2819">
        <v>0</v>
      </c>
      <c r="AD2819">
        <v>9</v>
      </c>
      <c r="AE2819">
        <v>0</v>
      </c>
      <c r="AF2819">
        <v>3</v>
      </c>
      <c r="AG2819">
        <v>1</v>
      </c>
      <c r="AH2819">
        <v>0</v>
      </c>
      <c r="AI2819" t="s">
        <v>969</v>
      </c>
      <c r="AJ2819">
        <v>34.123041999999998</v>
      </c>
      <c r="AK2819" t="s">
        <v>931</v>
      </c>
      <c r="AL2819">
        <v>-117.057374</v>
      </c>
      <c r="AM2819">
        <v>100</v>
      </c>
      <c r="AN2819">
        <v>6400</v>
      </c>
      <c r="AO2819" t="s">
        <v>118</v>
      </c>
      <c r="AP2819">
        <v>15</v>
      </c>
      <c r="AQ2819">
        <v>-105</v>
      </c>
      <c r="AR2819">
        <v>-896</v>
      </c>
      <c r="AZ2819">
        <v>1200</v>
      </c>
      <c r="BA2819">
        <v>1</v>
      </c>
      <c r="BB2819" t="str">
        <f t="shared" si="1525"/>
        <v xml:space="preserve">N9217B  </v>
      </c>
      <c r="BC2819">
        <v>1</v>
      </c>
      <c r="BE2819">
        <v>0</v>
      </c>
      <c r="BF2819">
        <v>0</v>
      </c>
      <c r="BG2819">
        <v>0</v>
      </c>
      <c r="BH2819">
        <v>6275</v>
      </c>
      <c r="BI2819">
        <v>1</v>
      </c>
      <c r="BJ2819">
        <v>0</v>
      </c>
      <c r="BK2819">
        <v>0</v>
      </c>
      <c r="BL2819">
        <v>0</v>
      </c>
      <c r="BO2819">
        <v>0</v>
      </c>
      <c r="BP2819">
        <v>0</v>
      </c>
      <c r="BW2819" t="str">
        <f t="shared" si="1559"/>
        <v>14:55:58.092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119</v>
      </c>
      <c r="CQ2819">
        <v>285</v>
      </c>
      <c r="CR2819">
        <v>0</v>
      </c>
      <c r="CW2819">
        <v>8871141</v>
      </c>
      <c r="CY2819">
        <v>0</v>
      </c>
      <c r="CZ2819">
        <v>0</v>
      </c>
      <c r="DA2819">
        <v>1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25">
      <c r="A2820" t="str">
        <f t="shared" si="1557"/>
        <v>06/05/2020 14:55:52.449</v>
      </c>
      <c r="C2820" t="str">
        <f t="shared" si="1540"/>
        <v>FFDFD3C0</v>
      </c>
      <c r="D2820" t="s">
        <v>134</v>
      </c>
      <c r="E2820">
        <v>7</v>
      </c>
      <c r="F2820">
        <v>2007</v>
      </c>
      <c r="G2820" t="s">
        <v>135</v>
      </c>
      <c r="J2820" t="s">
        <v>136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558"/>
        <v>14:55:58.086</v>
      </c>
      <c r="T2820" t="str">
        <f t="shared" si="1558"/>
        <v>14:55:58.086</v>
      </c>
      <c r="U2820" t="str">
        <f t="shared" si="1560"/>
        <v>ACC530</v>
      </c>
      <c r="V2820">
        <v>0</v>
      </c>
      <c r="W2820">
        <v>0</v>
      </c>
      <c r="X2820">
        <v>1</v>
      </c>
      <c r="Z2820">
        <v>0</v>
      </c>
      <c r="AA2820">
        <v>9</v>
      </c>
      <c r="AB2820">
        <v>3</v>
      </c>
      <c r="AC2820">
        <v>0</v>
      </c>
      <c r="AD2820">
        <v>9</v>
      </c>
      <c r="AE2820">
        <v>0</v>
      </c>
      <c r="AF2820">
        <v>3</v>
      </c>
      <c r="AG2820">
        <v>1</v>
      </c>
      <c r="AH2820">
        <v>0</v>
      </c>
      <c r="AI2820" t="s">
        <v>969</v>
      </c>
      <c r="AJ2820">
        <v>34.123041999999998</v>
      </c>
      <c r="AK2820" t="s">
        <v>931</v>
      </c>
      <c r="AL2820">
        <v>-117.057374</v>
      </c>
      <c r="AM2820">
        <v>100</v>
      </c>
      <c r="AN2820">
        <v>6400</v>
      </c>
      <c r="AO2820" t="s">
        <v>118</v>
      </c>
      <c r="AP2820">
        <v>15</v>
      </c>
      <c r="AQ2820">
        <v>-105</v>
      </c>
      <c r="AR2820">
        <v>-896</v>
      </c>
      <c r="AZ2820">
        <v>1200</v>
      </c>
      <c r="BA2820">
        <v>1</v>
      </c>
      <c r="BB2820" t="str">
        <f t="shared" si="1525"/>
        <v xml:space="preserve">N9217B  </v>
      </c>
      <c r="BC2820">
        <v>1</v>
      </c>
      <c r="BE2820">
        <v>0</v>
      </c>
      <c r="BF2820">
        <v>0</v>
      </c>
      <c r="BG2820">
        <v>0</v>
      </c>
      <c r="BH2820">
        <v>6275</v>
      </c>
      <c r="BI2820">
        <v>1</v>
      </c>
      <c r="BJ2820">
        <v>0</v>
      </c>
      <c r="BK2820">
        <v>0</v>
      </c>
      <c r="BL2820">
        <v>0</v>
      </c>
      <c r="BO2820">
        <v>0</v>
      </c>
      <c r="BP2820">
        <v>0</v>
      </c>
      <c r="BW2820" t="str">
        <f t="shared" si="1559"/>
        <v>14:55:58.092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7</v>
      </c>
      <c r="CP2820" t="s">
        <v>119</v>
      </c>
      <c r="CQ2820">
        <v>285</v>
      </c>
      <c r="CR2820">
        <v>0</v>
      </c>
      <c r="CW2820">
        <v>8871141</v>
      </c>
      <c r="CY2820">
        <v>0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25">
      <c r="A2821" t="str">
        <f t="shared" si="1557"/>
        <v>06/05/2020 14:55:52.449</v>
      </c>
      <c r="C2821" t="str">
        <f t="shared" si="1540"/>
        <v>FFDFD3C0</v>
      </c>
      <c r="D2821" t="s">
        <v>151</v>
      </c>
      <c r="E2821">
        <v>9</v>
      </c>
      <c r="H2821">
        <v>226</v>
      </c>
      <c r="I2821" t="s">
        <v>152</v>
      </c>
      <c r="J2821" t="s">
        <v>150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558"/>
        <v>14:55:58.086</v>
      </c>
      <c r="T2821" t="str">
        <f t="shared" si="1558"/>
        <v>14:55:58.086</v>
      </c>
      <c r="U2821" t="str">
        <f t="shared" si="1560"/>
        <v>ACC530</v>
      </c>
      <c r="V2821">
        <v>0</v>
      </c>
      <c r="W2821">
        <v>0</v>
      </c>
      <c r="X2821">
        <v>1</v>
      </c>
      <c r="Z2821">
        <v>0</v>
      </c>
      <c r="AA2821">
        <v>9</v>
      </c>
      <c r="AB2821">
        <v>3</v>
      </c>
      <c r="AC2821">
        <v>0</v>
      </c>
      <c r="AD2821">
        <v>9</v>
      </c>
      <c r="AE2821">
        <v>0</v>
      </c>
      <c r="AF2821">
        <v>3</v>
      </c>
      <c r="AG2821">
        <v>1</v>
      </c>
      <c r="AH2821">
        <v>0</v>
      </c>
      <c r="AI2821" t="s">
        <v>969</v>
      </c>
      <c r="AJ2821">
        <v>34.123041999999998</v>
      </c>
      <c r="AK2821" t="s">
        <v>931</v>
      </c>
      <c r="AL2821">
        <v>-117.057374</v>
      </c>
      <c r="AM2821">
        <v>100</v>
      </c>
      <c r="AN2821">
        <v>6400</v>
      </c>
      <c r="AO2821" t="s">
        <v>118</v>
      </c>
      <c r="AP2821">
        <v>15</v>
      </c>
      <c r="AQ2821">
        <v>-105</v>
      </c>
      <c r="AR2821">
        <v>-896</v>
      </c>
      <c r="AZ2821">
        <v>1200</v>
      </c>
      <c r="BA2821">
        <v>1</v>
      </c>
      <c r="BB2821" t="str">
        <f t="shared" ref="BB2821:BB2884" si="1561">"N9217B  "</f>
        <v xml:space="preserve">N9217B  </v>
      </c>
      <c r="BC2821">
        <v>1</v>
      </c>
      <c r="BE2821">
        <v>0</v>
      </c>
      <c r="BF2821">
        <v>0</v>
      </c>
      <c r="BG2821">
        <v>0</v>
      </c>
      <c r="BH2821">
        <v>6275</v>
      </c>
      <c r="BI2821">
        <v>1</v>
      </c>
      <c r="BJ2821">
        <v>0</v>
      </c>
      <c r="BK2821">
        <v>0</v>
      </c>
      <c r="BL2821">
        <v>0</v>
      </c>
      <c r="BO2821">
        <v>0</v>
      </c>
      <c r="BP2821">
        <v>0</v>
      </c>
      <c r="BW2821" t="str">
        <f t="shared" si="1559"/>
        <v>14:55:58.092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119</v>
      </c>
      <c r="CQ2821">
        <v>285</v>
      </c>
      <c r="CR2821">
        <v>0</v>
      </c>
      <c r="CW2821">
        <v>8871141</v>
      </c>
      <c r="CY2821">
        <v>0</v>
      </c>
      <c r="CZ2821">
        <v>0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25">
      <c r="A2822" t="str">
        <f t="shared" si="1557"/>
        <v>06/05/2020 14:55:52.449</v>
      </c>
      <c r="C2822" t="str">
        <f t="shared" si="1540"/>
        <v>FFDFD3C0</v>
      </c>
      <c r="D2822" t="s">
        <v>141</v>
      </c>
      <c r="E2822">
        <v>20</v>
      </c>
      <c r="F2822">
        <v>1020</v>
      </c>
      <c r="G2822" t="s">
        <v>114</v>
      </c>
      <c r="J2822" t="s">
        <v>142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558"/>
        <v>14:55:58.086</v>
      </c>
      <c r="T2822" t="str">
        <f t="shared" si="1558"/>
        <v>14:55:58.086</v>
      </c>
      <c r="U2822" t="str">
        <f t="shared" si="1560"/>
        <v>ACC530</v>
      </c>
      <c r="V2822">
        <v>0</v>
      </c>
      <c r="W2822">
        <v>0</v>
      </c>
      <c r="X2822">
        <v>1</v>
      </c>
      <c r="Z2822">
        <v>0</v>
      </c>
      <c r="AA2822">
        <v>9</v>
      </c>
      <c r="AB2822">
        <v>3</v>
      </c>
      <c r="AC2822">
        <v>0</v>
      </c>
      <c r="AD2822">
        <v>9</v>
      </c>
      <c r="AE2822">
        <v>0</v>
      </c>
      <c r="AF2822">
        <v>3</v>
      </c>
      <c r="AG2822">
        <v>1</v>
      </c>
      <c r="AH2822">
        <v>0</v>
      </c>
      <c r="AI2822" t="s">
        <v>969</v>
      </c>
      <c r="AJ2822">
        <v>34.123041999999998</v>
      </c>
      <c r="AK2822" t="s">
        <v>931</v>
      </c>
      <c r="AL2822">
        <v>-117.057374</v>
      </c>
      <c r="AM2822">
        <v>100</v>
      </c>
      <c r="AN2822">
        <v>6400</v>
      </c>
      <c r="AO2822" t="s">
        <v>118</v>
      </c>
      <c r="AP2822">
        <v>15</v>
      </c>
      <c r="AQ2822">
        <v>-105</v>
      </c>
      <c r="AR2822">
        <v>-896</v>
      </c>
      <c r="AZ2822">
        <v>1200</v>
      </c>
      <c r="BA2822">
        <v>1</v>
      </c>
      <c r="BB2822" t="str">
        <f t="shared" si="1561"/>
        <v xml:space="preserve">N9217B  </v>
      </c>
      <c r="BC2822">
        <v>1</v>
      </c>
      <c r="BE2822">
        <v>0</v>
      </c>
      <c r="BF2822">
        <v>0</v>
      </c>
      <c r="BG2822">
        <v>0</v>
      </c>
      <c r="BH2822">
        <v>6275</v>
      </c>
      <c r="BI2822">
        <v>1</v>
      </c>
      <c r="BJ2822">
        <v>0</v>
      </c>
      <c r="BK2822">
        <v>0</v>
      </c>
      <c r="BL2822">
        <v>0</v>
      </c>
      <c r="BO2822">
        <v>0</v>
      </c>
      <c r="BP2822">
        <v>0</v>
      </c>
      <c r="BW2822" t="str">
        <f t="shared" si="1559"/>
        <v>14:55:58.092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119</v>
      </c>
      <c r="CQ2822">
        <v>285</v>
      </c>
      <c r="CR2822">
        <v>0</v>
      </c>
      <c r="CW2822">
        <v>8871141</v>
      </c>
      <c r="CY2822">
        <v>0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25">
      <c r="A2823" t="str">
        <f t="shared" si="1557"/>
        <v>06/05/2020 14:55:52.449</v>
      </c>
      <c r="C2823" t="str">
        <f t="shared" si="1540"/>
        <v>FFDFD3C0</v>
      </c>
      <c r="D2823" t="s">
        <v>148</v>
      </c>
      <c r="E2823">
        <v>8</v>
      </c>
      <c r="H2823">
        <v>50</v>
      </c>
      <c r="I2823" t="s">
        <v>149</v>
      </c>
      <c r="J2823" t="s">
        <v>150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558"/>
        <v>14:55:58.086</v>
      </c>
      <c r="T2823" t="str">
        <f t="shared" si="1558"/>
        <v>14:55:58.086</v>
      </c>
      <c r="U2823" t="str">
        <f t="shared" si="1560"/>
        <v>ACC530</v>
      </c>
      <c r="V2823">
        <v>0</v>
      </c>
      <c r="W2823">
        <v>0</v>
      </c>
      <c r="X2823">
        <v>1</v>
      </c>
      <c r="Z2823">
        <v>0</v>
      </c>
      <c r="AA2823">
        <v>9</v>
      </c>
      <c r="AB2823">
        <v>3</v>
      </c>
      <c r="AC2823">
        <v>0</v>
      </c>
      <c r="AD2823">
        <v>9</v>
      </c>
      <c r="AE2823">
        <v>0</v>
      </c>
      <c r="AF2823">
        <v>3</v>
      </c>
      <c r="AG2823">
        <v>1</v>
      </c>
      <c r="AH2823">
        <v>0</v>
      </c>
      <c r="AI2823" t="s">
        <v>969</v>
      </c>
      <c r="AJ2823">
        <v>34.123041999999998</v>
      </c>
      <c r="AK2823" t="s">
        <v>931</v>
      </c>
      <c r="AL2823">
        <v>-117.057374</v>
      </c>
      <c r="AM2823">
        <v>100</v>
      </c>
      <c r="AN2823">
        <v>6400</v>
      </c>
      <c r="AO2823" t="s">
        <v>118</v>
      </c>
      <c r="AP2823">
        <v>15</v>
      </c>
      <c r="AQ2823">
        <v>-105</v>
      </c>
      <c r="AR2823">
        <v>-896</v>
      </c>
      <c r="AZ2823">
        <v>1200</v>
      </c>
      <c r="BA2823">
        <v>1</v>
      </c>
      <c r="BB2823" t="str">
        <f t="shared" si="1561"/>
        <v xml:space="preserve">N9217B  </v>
      </c>
      <c r="BC2823">
        <v>1</v>
      </c>
      <c r="BE2823">
        <v>0</v>
      </c>
      <c r="BF2823">
        <v>0</v>
      </c>
      <c r="BG2823">
        <v>0</v>
      </c>
      <c r="BH2823">
        <v>6275</v>
      </c>
      <c r="BI2823">
        <v>1</v>
      </c>
      <c r="BJ2823">
        <v>0</v>
      </c>
      <c r="BK2823">
        <v>0</v>
      </c>
      <c r="BL2823">
        <v>0</v>
      </c>
      <c r="BO2823">
        <v>0</v>
      </c>
      <c r="BP2823">
        <v>0</v>
      </c>
      <c r="BW2823" t="str">
        <f t="shared" si="1559"/>
        <v>14:55:58.092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7</v>
      </c>
      <c r="CP2823" t="s">
        <v>119</v>
      </c>
      <c r="CQ2823">
        <v>285</v>
      </c>
      <c r="CR2823">
        <v>0</v>
      </c>
      <c r="CW2823">
        <v>8871141</v>
      </c>
      <c r="CY2823">
        <v>0</v>
      </c>
      <c r="CZ2823">
        <v>0</v>
      </c>
      <c r="DA2823">
        <v>1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25">
      <c r="A2824" t="str">
        <f t="shared" ref="A2824:A2830" si="1562">"06/05/2020 14:55:53.455"</f>
        <v>06/05/2020 14:55:53.455</v>
      </c>
      <c r="C2824" t="str">
        <f t="shared" si="1540"/>
        <v>FFDFD3C0</v>
      </c>
      <c r="D2824" t="s">
        <v>148</v>
      </c>
      <c r="E2824">
        <v>8</v>
      </c>
      <c r="H2824">
        <v>50</v>
      </c>
      <c r="I2824" t="s">
        <v>149</v>
      </c>
      <c r="J2824" t="s">
        <v>150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ref="S2824:S2830" si="1563">"14:55:59.078"</f>
        <v>14:55:59.078</v>
      </c>
      <c r="T2824" t="str">
        <f t="shared" ref="T2824:T2830" si="1564">"14:55:58.678"</f>
        <v>14:55:58.678</v>
      </c>
      <c r="U2824" t="str">
        <f t="shared" si="1560"/>
        <v>ACC530</v>
      </c>
      <c r="V2824">
        <v>0</v>
      </c>
      <c r="W2824">
        <v>0</v>
      </c>
      <c r="X2824">
        <v>1</v>
      </c>
      <c r="Z2824">
        <v>0</v>
      </c>
      <c r="AA2824">
        <v>9</v>
      </c>
      <c r="AB2824">
        <v>3</v>
      </c>
      <c r="AC2824">
        <v>0</v>
      </c>
      <c r="AD2824">
        <v>9</v>
      </c>
      <c r="AE2824">
        <v>0</v>
      </c>
      <c r="AF2824">
        <v>3</v>
      </c>
      <c r="AG2824">
        <v>1</v>
      </c>
      <c r="AH2824">
        <v>0</v>
      </c>
      <c r="AI2824" t="s">
        <v>970</v>
      </c>
      <c r="AJ2824">
        <v>34.122548000000002</v>
      </c>
      <c r="AK2824" t="s">
        <v>929</v>
      </c>
      <c r="AL2824">
        <v>-117.057266</v>
      </c>
      <c r="AM2824">
        <v>100</v>
      </c>
      <c r="AN2824">
        <v>6400</v>
      </c>
      <c r="AO2824" t="s">
        <v>118</v>
      </c>
      <c r="AP2824">
        <v>16</v>
      </c>
      <c r="AQ2824">
        <v>-105</v>
      </c>
      <c r="AR2824">
        <v>-896</v>
      </c>
      <c r="AZ2824">
        <v>1200</v>
      </c>
      <c r="BA2824">
        <v>1</v>
      </c>
      <c r="BB2824" t="str">
        <f t="shared" si="1561"/>
        <v xml:space="preserve">N9217B  </v>
      </c>
      <c r="BC2824">
        <v>1</v>
      </c>
      <c r="BE2824">
        <v>0</v>
      </c>
      <c r="BF2824">
        <v>0</v>
      </c>
      <c r="BG2824">
        <v>0</v>
      </c>
      <c r="BH2824">
        <v>6275</v>
      </c>
      <c r="BI2824">
        <v>1</v>
      </c>
      <c r="BJ2824">
        <v>0</v>
      </c>
      <c r="BK2824">
        <v>0</v>
      </c>
      <c r="BL2824">
        <v>0</v>
      </c>
      <c r="BO2824">
        <v>0</v>
      </c>
      <c r="BP2824">
        <v>0</v>
      </c>
      <c r="BW2824" t="str">
        <f t="shared" ref="BW2824:BW2830" si="1565">"14:55:59.082"</f>
        <v>14:55:59.082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7</v>
      </c>
      <c r="CP2824" t="s">
        <v>119</v>
      </c>
      <c r="CQ2824">
        <v>285</v>
      </c>
      <c r="CR2824">
        <v>0</v>
      </c>
      <c r="CW2824">
        <v>8871231</v>
      </c>
      <c r="CY2824">
        <v>0</v>
      </c>
      <c r="CZ2824">
        <v>0</v>
      </c>
      <c r="DA2824">
        <v>0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25">
      <c r="A2825" t="str">
        <f t="shared" si="1562"/>
        <v>06/05/2020 14:55:53.455</v>
      </c>
      <c r="C2825" t="str">
        <f t="shared" si="1540"/>
        <v>FFDFD3C0</v>
      </c>
      <c r="D2825" t="s">
        <v>113</v>
      </c>
      <c r="E2825">
        <v>3</v>
      </c>
      <c r="H2825">
        <v>166</v>
      </c>
      <c r="I2825" t="s">
        <v>114</v>
      </c>
      <c r="J2825" t="s">
        <v>115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563"/>
        <v>14:55:59.078</v>
      </c>
      <c r="T2825" t="str">
        <f t="shared" si="1564"/>
        <v>14:55:58.678</v>
      </c>
      <c r="U2825" t="str">
        <f t="shared" si="1560"/>
        <v>ACC530</v>
      </c>
      <c r="V2825">
        <v>0</v>
      </c>
      <c r="W2825">
        <v>0</v>
      </c>
      <c r="X2825">
        <v>1</v>
      </c>
      <c r="Z2825">
        <v>0</v>
      </c>
      <c r="AA2825">
        <v>9</v>
      </c>
      <c r="AB2825">
        <v>3</v>
      </c>
      <c r="AC2825">
        <v>0</v>
      </c>
      <c r="AD2825">
        <v>9</v>
      </c>
      <c r="AE2825">
        <v>0</v>
      </c>
      <c r="AF2825">
        <v>3</v>
      </c>
      <c r="AG2825">
        <v>1</v>
      </c>
      <c r="AH2825">
        <v>0</v>
      </c>
      <c r="AI2825" t="s">
        <v>970</v>
      </c>
      <c r="AJ2825">
        <v>34.122548000000002</v>
      </c>
      <c r="AK2825" t="s">
        <v>929</v>
      </c>
      <c r="AL2825">
        <v>-117.057266</v>
      </c>
      <c r="AM2825">
        <v>100</v>
      </c>
      <c r="AN2825">
        <v>6400</v>
      </c>
      <c r="AO2825" t="s">
        <v>118</v>
      </c>
      <c r="AP2825">
        <v>16</v>
      </c>
      <c r="AQ2825">
        <v>-105</v>
      </c>
      <c r="AR2825">
        <v>-896</v>
      </c>
      <c r="AZ2825">
        <v>1200</v>
      </c>
      <c r="BA2825">
        <v>1</v>
      </c>
      <c r="BB2825" t="str">
        <f t="shared" si="1561"/>
        <v xml:space="preserve">N9217B  </v>
      </c>
      <c r="BC2825">
        <v>1</v>
      </c>
      <c r="BE2825">
        <v>0</v>
      </c>
      <c r="BF2825">
        <v>0</v>
      </c>
      <c r="BG2825">
        <v>0</v>
      </c>
      <c r="BH2825">
        <v>6275</v>
      </c>
      <c r="BI2825">
        <v>1</v>
      </c>
      <c r="BJ2825">
        <v>0</v>
      </c>
      <c r="BK2825">
        <v>0</v>
      </c>
      <c r="BL2825">
        <v>0</v>
      </c>
      <c r="BO2825">
        <v>0</v>
      </c>
      <c r="BP2825">
        <v>0</v>
      </c>
      <c r="BW2825" t="str">
        <f t="shared" si="1565"/>
        <v>14:55:59.082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7</v>
      </c>
      <c r="CP2825" t="s">
        <v>119</v>
      </c>
      <c r="CQ2825">
        <v>285</v>
      </c>
      <c r="CR2825">
        <v>0</v>
      </c>
      <c r="CW2825">
        <v>8871231</v>
      </c>
      <c r="CY2825">
        <v>0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25">
      <c r="A2826" t="str">
        <f t="shared" si="1562"/>
        <v>06/05/2020 14:55:53.455</v>
      </c>
      <c r="C2826" t="str">
        <f t="shared" si="1540"/>
        <v>FFDFD3C0</v>
      </c>
      <c r="D2826" t="s">
        <v>151</v>
      </c>
      <c r="E2826">
        <v>8</v>
      </c>
      <c r="H2826">
        <v>225</v>
      </c>
      <c r="I2826" t="s">
        <v>353</v>
      </c>
      <c r="J2826" t="s">
        <v>150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563"/>
        <v>14:55:59.078</v>
      </c>
      <c r="T2826" t="str">
        <f t="shared" si="1564"/>
        <v>14:55:58.678</v>
      </c>
      <c r="U2826" t="str">
        <f t="shared" si="1560"/>
        <v>ACC530</v>
      </c>
      <c r="V2826">
        <v>0</v>
      </c>
      <c r="W2826">
        <v>0</v>
      </c>
      <c r="X2826">
        <v>1</v>
      </c>
      <c r="Z2826">
        <v>0</v>
      </c>
      <c r="AA2826">
        <v>9</v>
      </c>
      <c r="AB2826">
        <v>3</v>
      </c>
      <c r="AC2826">
        <v>0</v>
      </c>
      <c r="AD2826">
        <v>9</v>
      </c>
      <c r="AE2826">
        <v>0</v>
      </c>
      <c r="AF2826">
        <v>3</v>
      </c>
      <c r="AG2826">
        <v>1</v>
      </c>
      <c r="AH2826">
        <v>0</v>
      </c>
      <c r="AI2826" t="s">
        <v>970</v>
      </c>
      <c r="AJ2826">
        <v>34.122548000000002</v>
      </c>
      <c r="AK2826" t="s">
        <v>929</v>
      </c>
      <c r="AL2826">
        <v>-117.057266</v>
      </c>
      <c r="AM2826">
        <v>100</v>
      </c>
      <c r="AN2826">
        <v>6400</v>
      </c>
      <c r="AO2826" t="s">
        <v>118</v>
      </c>
      <c r="AP2826">
        <v>16</v>
      </c>
      <c r="AQ2826">
        <v>-105</v>
      </c>
      <c r="AR2826">
        <v>-896</v>
      </c>
      <c r="AZ2826">
        <v>1200</v>
      </c>
      <c r="BA2826">
        <v>1</v>
      </c>
      <c r="BB2826" t="str">
        <f t="shared" si="1561"/>
        <v xml:space="preserve">N9217B  </v>
      </c>
      <c r="BC2826">
        <v>1</v>
      </c>
      <c r="BE2826">
        <v>0</v>
      </c>
      <c r="BF2826">
        <v>0</v>
      </c>
      <c r="BG2826">
        <v>0</v>
      </c>
      <c r="BH2826">
        <v>6275</v>
      </c>
      <c r="BI2826">
        <v>1</v>
      </c>
      <c r="BJ2826">
        <v>0</v>
      </c>
      <c r="BK2826">
        <v>0</v>
      </c>
      <c r="BL2826">
        <v>0</v>
      </c>
      <c r="BO2826">
        <v>0</v>
      </c>
      <c r="BP2826">
        <v>0</v>
      </c>
      <c r="BW2826" t="str">
        <f t="shared" si="1565"/>
        <v>14:55:59.082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7</v>
      </c>
      <c r="CP2826" t="s">
        <v>119</v>
      </c>
      <c r="CQ2826">
        <v>285</v>
      </c>
      <c r="CR2826">
        <v>0</v>
      </c>
      <c r="CW2826">
        <v>8871231</v>
      </c>
      <c r="CY2826">
        <v>0</v>
      </c>
      <c r="CZ2826">
        <v>0</v>
      </c>
      <c r="DA2826">
        <v>1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25">
      <c r="A2827" t="str">
        <f t="shared" si="1562"/>
        <v>06/05/2020 14:55:53.455</v>
      </c>
      <c r="C2827" t="str">
        <f t="shared" si="1540"/>
        <v>FFDFD3C0</v>
      </c>
      <c r="D2827" t="s">
        <v>134</v>
      </c>
      <c r="E2827">
        <v>7</v>
      </c>
      <c r="F2827">
        <v>2007</v>
      </c>
      <c r="G2827" t="s">
        <v>135</v>
      </c>
      <c r="J2827" t="s">
        <v>136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563"/>
        <v>14:55:59.078</v>
      </c>
      <c r="T2827" t="str">
        <f t="shared" si="1564"/>
        <v>14:55:58.678</v>
      </c>
      <c r="U2827" t="str">
        <f t="shared" si="1560"/>
        <v>ACC530</v>
      </c>
      <c r="V2827">
        <v>0</v>
      </c>
      <c r="W2827">
        <v>0</v>
      </c>
      <c r="X2827">
        <v>1</v>
      </c>
      <c r="Z2827">
        <v>0</v>
      </c>
      <c r="AA2827">
        <v>9</v>
      </c>
      <c r="AB2827">
        <v>3</v>
      </c>
      <c r="AC2827">
        <v>0</v>
      </c>
      <c r="AD2827">
        <v>9</v>
      </c>
      <c r="AE2827">
        <v>0</v>
      </c>
      <c r="AF2827">
        <v>3</v>
      </c>
      <c r="AG2827">
        <v>1</v>
      </c>
      <c r="AH2827">
        <v>0</v>
      </c>
      <c r="AI2827" t="s">
        <v>970</v>
      </c>
      <c r="AJ2827">
        <v>34.122548000000002</v>
      </c>
      <c r="AK2827" t="s">
        <v>929</v>
      </c>
      <c r="AL2827">
        <v>-117.057266</v>
      </c>
      <c r="AM2827">
        <v>100</v>
      </c>
      <c r="AN2827">
        <v>6400</v>
      </c>
      <c r="AO2827" t="s">
        <v>118</v>
      </c>
      <c r="AP2827">
        <v>16</v>
      </c>
      <c r="AQ2827">
        <v>-105</v>
      </c>
      <c r="AR2827">
        <v>-896</v>
      </c>
      <c r="AZ2827">
        <v>1200</v>
      </c>
      <c r="BA2827">
        <v>1</v>
      </c>
      <c r="BB2827" t="str">
        <f t="shared" si="1561"/>
        <v xml:space="preserve">N9217B  </v>
      </c>
      <c r="BC2827">
        <v>1</v>
      </c>
      <c r="BE2827">
        <v>0</v>
      </c>
      <c r="BF2827">
        <v>0</v>
      </c>
      <c r="BG2827">
        <v>0</v>
      </c>
      <c r="BH2827">
        <v>6275</v>
      </c>
      <c r="BI2827">
        <v>1</v>
      </c>
      <c r="BJ2827">
        <v>0</v>
      </c>
      <c r="BK2827">
        <v>0</v>
      </c>
      <c r="BL2827">
        <v>0</v>
      </c>
      <c r="BO2827">
        <v>0</v>
      </c>
      <c r="BP2827">
        <v>0</v>
      </c>
      <c r="BW2827" t="str">
        <f t="shared" si="1565"/>
        <v>14:55:59.082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7</v>
      </c>
      <c r="CP2827" t="s">
        <v>119</v>
      </c>
      <c r="CQ2827">
        <v>285</v>
      </c>
      <c r="CR2827">
        <v>0</v>
      </c>
      <c r="CW2827">
        <v>8871231</v>
      </c>
      <c r="CY2827">
        <v>0</v>
      </c>
      <c r="CZ2827">
        <v>0</v>
      </c>
      <c r="DA2827">
        <v>1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25">
      <c r="A2828" t="str">
        <f t="shared" si="1562"/>
        <v>06/05/2020 14:55:53.455</v>
      </c>
      <c r="C2828" t="str">
        <f t="shared" si="1540"/>
        <v>FFDFD3C0</v>
      </c>
      <c r="D2828" t="s">
        <v>148</v>
      </c>
      <c r="E2828">
        <v>11</v>
      </c>
      <c r="H2828">
        <v>53</v>
      </c>
      <c r="I2828" t="s">
        <v>364</v>
      </c>
      <c r="J2828" t="s">
        <v>150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563"/>
        <v>14:55:59.078</v>
      </c>
      <c r="T2828" t="str">
        <f t="shared" si="1564"/>
        <v>14:55:58.678</v>
      </c>
      <c r="U2828" t="str">
        <f t="shared" si="1560"/>
        <v>ACC530</v>
      </c>
      <c r="V2828">
        <v>0</v>
      </c>
      <c r="W2828">
        <v>0</v>
      </c>
      <c r="X2828">
        <v>1</v>
      </c>
      <c r="Z2828">
        <v>0</v>
      </c>
      <c r="AA2828">
        <v>9</v>
      </c>
      <c r="AB2828">
        <v>3</v>
      </c>
      <c r="AC2828">
        <v>0</v>
      </c>
      <c r="AD2828">
        <v>9</v>
      </c>
      <c r="AE2828">
        <v>0</v>
      </c>
      <c r="AF2828">
        <v>3</v>
      </c>
      <c r="AG2828">
        <v>1</v>
      </c>
      <c r="AH2828">
        <v>0</v>
      </c>
      <c r="AI2828" t="s">
        <v>970</v>
      </c>
      <c r="AJ2828">
        <v>34.122548000000002</v>
      </c>
      <c r="AK2828" t="s">
        <v>929</v>
      </c>
      <c r="AL2828">
        <v>-117.057266</v>
      </c>
      <c r="AM2828">
        <v>100</v>
      </c>
      <c r="AN2828">
        <v>6400</v>
      </c>
      <c r="AO2828" t="s">
        <v>118</v>
      </c>
      <c r="AP2828">
        <v>16</v>
      </c>
      <c r="AQ2828">
        <v>-105</v>
      </c>
      <c r="AR2828">
        <v>-896</v>
      </c>
      <c r="AZ2828">
        <v>1200</v>
      </c>
      <c r="BA2828">
        <v>1</v>
      </c>
      <c r="BB2828" t="str">
        <f t="shared" si="1561"/>
        <v xml:space="preserve">N9217B  </v>
      </c>
      <c r="BC2828">
        <v>1</v>
      </c>
      <c r="BE2828">
        <v>0</v>
      </c>
      <c r="BF2828">
        <v>0</v>
      </c>
      <c r="BG2828">
        <v>0</v>
      </c>
      <c r="BH2828">
        <v>6275</v>
      </c>
      <c r="BI2828">
        <v>1</v>
      </c>
      <c r="BJ2828">
        <v>0</v>
      </c>
      <c r="BK2828">
        <v>0</v>
      </c>
      <c r="BL2828">
        <v>0</v>
      </c>
      <c r="BO2828">
        <v>0</v>
      </c>
      <c r="BP2828">
        <v>0</v>
      </c>
      <c r="BW2828" t="str">
        <f t="shared" si="1565"/>
        <v>14:55:59.082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7</v>
      </c>
      <c r="CP2828" t="s">
        <v>119</v>
      </c>
      <c r="CQ2828">
        <v>285</v>
      </c>
      <c r="CR2828">
        <v>0</v>
      </c>
      <c r="CW2828">
        <v>8871231</v>
      </c>
      <c r="CY2828">
        <v>0</v>
      </c>
      <c r="CZ2828">
        <v>0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25">
      <c r="A2829" t="str">
        <f t="shared" si="1562"/>
        <v>06/05/2020 14:55:53.455</v>
      </c>
      <c r="C2829" t="str">
        <f t="shared" si="1540"/>
        <v>FFDFD3C0</v>
      </c>
      <c r="D2829" t="s">
        <v>151</v>
      </c>
      <c r="E2829">
        <v>9</v>
      </c>
      <c r="H2829">
        <v>226</v>
      </c>
      <c r="I2829" t="s">
        <v>152</v>
      </c>
      <c r="J2829" t="s">
        <v>150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si="1563"/>
        <v>14:55:59.078</v>
      </c>
      <c r="T2829" t="str">
        <f t="shared" si="1564"/>
        <v>14:55:58.678</v>
      </c>
      <c r="U2829" t="str">
        <f t="shared" si="1560"/>
        <v>ACC530</v>
      </c>
      <c r="V2829">
        <v>0</v>
      </c>
      <c r="W2829">
        <v>0</v>
      </c>
      <c r="X2829">
        <v>1</v>
      </c>
      <c r="Z2829">
        <v>0</v>
      </c>
      <c r="AA2829">
        <v>9</v>
      </c>
      <c r="AB2829">
        <v>3</v>
      </c>
      <c r="AC2829">
        <v>0</v>
      </c>
      <c r="AD2829">
        <v>9</v>
      </c>
      <c r="AE2829">
        <v>0</v>
      </c>
      <c r="AF2829">
        <v>3</v>
      </c>
      <c r="AG2829">
        <v>1</v>
      </c>
      <c r="AH2829">
        <v>0</v>
      </c>
      <c r="AI2829" t="s">
        <v>970</v>
      </c>
      <c r="AJ2829">
        <v>34.122548000000002</v>
      </c>
      <c r="AK2829" t="s">
        <v>929</v>
      </c>
      <c r="AL2829">
        <v>-117.057266</v>
      </c>
      <c r="AM2829">
        <v>100</v>
      </c>
      <c r="AN2829">
        <v>6400</v>
      </c>
      <c r="AO2829" t="s">
        <v>118</v>
      </c>
      <c r="AP2829">
        <v>16</v>
      </c>
      <c r="AQ2829">
        <v>-105</v>
      </c>
      <c r="AR2829">
        <v>-896</v>
      </c>
      <c r="AZ2829">
        <v>1200</v>
      </c>
      <c r="BA2829">
        <v>1</v>
      </c>
      <c r="BB2829" t="str">
        <f t="shared" si="1561"/>
        <v xml:space="preserve">N9217B  </v>
      </c>
      <c r="BC2829">
        <v>1</v>
      </c>
      <c r="BE2829">
        <v>0</v>
      </c>
      <c r="BF2829">
        <v>0</v>
      </c>
      <c r="BG2829">
        <v>0</v>
      </c>
      <c r="BH2829">
        <v>6275</v>
      </c>
      <c r="BI2829">
        <v>1</v>
      </c>
      <c r="BJ2829">
        <v>0</v>
      </c>
      <c r="BK2829">
        <v>0</v>
      </c>
      <c r="BL2829">
        <v>0</v>
      </c>
      <c r="BO2829">
        <v>0</v>
      </c>
      <c r="BP2829">
        <v>0</v>
      </c>
      <c r="BW2829" t="str">
        <f t="shared" si="1565"/>
        <v>14:55:59.082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7</v>
      </c>
      <c r="CP2829" t="s">
        <v>119</v>
      </c>
      <c r="CQ2829">
        <v>285</v>
      </c>
      <c r="CR2829">
        <v>0</v>
      </c>
      <c r="CW2829">
        <v>8871231</v>
      </c>
      <c r="CY2829">
        <v>0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25">
      <c r="A2830" t="str">
        <f t="shared" si="1562"/>
        <v>06/05/2020 14:55:53.455</v>
      </c>
      <c r="C2830" t="str">
        <f t="shared" si="1540"/>
        <v>FFDFD3C0</v>
      </c>
      <c r="D2830" t="s">
        <v>141</v>
      </c>
      <c r="E2830">
        <v>20</v>
      </c>
      <c r="F2830">
        <v>1020</v>
      </c>
      <c r="G2830" t="s">
        <v>114</v>
      </c>
      <c r="J2830" t="s">
        <v>142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563"/>
        <v>14:55:59.078</v>
      </c>
      <c r="T2830" t="str">
        <f t="shared" si="1564"/>
        <v>14:55:58.678</v>
      </c>
      <c r="U2830" t="str">
        <f t="shared" si="1560"/>
        <v>ACC530</v>
      </c>
      <c r="V2830">
        <v>0</v>
      </c>
      <c r="W2830">
        <v>0</v>
      </c>
      <c r="X2830">
        <v>1</v>
      </c>
      <c r="Z2830">
        <v>0</v>
      </c>
      <c r="AA2830">
        <v>9</v>
      </c>
      <c r="AB2830">
        <v>3</v>
      </c>
      <c r="AC2830">
        <v>0</v>
      </c>
      <c r="AD2830">
        <v>9</v>
      </c>
      <c r="AE2830">
        <v>0</v>
      </c>
      <c r="AF2830">
        <v>3</v>
      </c>
      <c r="AG2830">
        <v>1</v>
      </c>
      <c r="AH2830">
        <v>0</v>
      </c>
      <c r="AI2830" t="s">
        <v>970</v>
      </c>
      <c r="AJ2830">
        <v>34.122548000000002</v>
      </c>
      <c r="AK2830" t="s">
        <v>929</v>
      </c>
      <c r="AL2830">
        <v>-117.057266</v>
      </c>
      <c r="AM2830">
        <v>100</v>
      </c>
      <c r="AN2830">
        <v>6400</v>
      </c>
      <c r="AO2830" t="s">
        <v>118</v>
      </c>
      <c r="AP2830">
        <v>16</v>
      </c>
      <c r="AQ2830">
        <v>-105</v>
      </c>
      <c r="AR2830">
        <v>-896</v>
      </c>
      <c r="AZ2830">
        <v>1200</v>
      </c>
      <c r="BA2830">
        <v>1</v>
      </c>
      <c r="BB2830" t="str">
        <f t="shared" si="1561"/>
        <v xml:space="preserve">N9217B  </v>
      </c>
      <c r="BC2830">
        <v>1</v>
      </c>
      <c r="BE2830">
        <v>0</v>
      </c>
      <c r="BF2830">
        <v>0</v>
      </c>
      <c r="BG2830">
        <v>0</v>
      </c>
      <c r="BH2830">
        <v>6275</v>
      </c>
      <c r="BI2830">
        <v>1</v>
      </c>
      <c r="BJ2830">
        <v>0</v>
      </c>
      <c r="BK2830">
        <v>0</v>
      </c>
      <c r="BL2830">
        <v>0</v>
      </c>
      <c r="BO2830">
        <v>0</v>
      </c>
      <c r="BP2830">
        <v>0</v>
      </c>
      <c r="BW2830" t="str">
        <f t="shared" si="1565"/>
        <v>14:55:59.082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7</v>
      </c>
      <c r="CP2830" t="s">
        <v>119</v>
      </c>
      <c r="CQ2830">
        <v>285</v>
      </c>
      <c r="CR2830">
        <v>0</v>
      </c>
      <c r="CW2830">
        <v>8871231</v>
      </c>
      <c r="CY2830">
        <v>0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25">
      <c r="A2831" t="str">
        <f t="shared" ref="A2831:A2837" si="1566">"06/05/2020 14:55:54.365"</f>
        <v>06/05/2020 14:55:54.365</v>
      </c>
      <c r="C2831" t="str">
        <f t="shared" si="1540"/>
        <v>FFDFD3C0</v>
      </c>
      <c r="D2831" t="s">
        <v>148</v>
      </c>
      <c r="E2831">
        <v>8</v>
      </c>
      <c r="H2831">
        <v>50</v>
      </c>
      <c r="I2831" t="s">
        <v>149</v>
      </c>
      <c r="J2831" t="s">
        <v>150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ref="S2831:T2837" si="1567">"14:56:00.008"</f>
        <v>14:56:00.008</v>
      </c>
      <c r="T2831" t="str">
        <f t="shared" si="1567"/>
        <v>14:56:00.008</v>
      </c>
      <c r="U2831" t="str">
        <f t="shared" si="1560"/>
        <v>ACC530</v>
      </c>
      <c r="V2831">
        <v>0</v>
      </c>
      <c r="W2831">
        <v>0</v>
      </c>
      <c r="X2831">
        <v>1</v>
      </c>
      <c r="Z2831">
        <v>0</v>
      </c>
      <c r="AA2831">
        <v>9</v>
      </c>
      <c r="AB2831">
        <v>3</v>
      </c>
      <c r="AC2831">
        <v>0</v>
      </c>
      <c r="AD2831">
        <v>9</v>
      </c>
      <c r="AE2831">
        <v>0</v>
      </c>
      <c r="AF2831">
        <v>3</v>
      </c>
      <c r="AG2831">
        <v>1</v>
      </c>
      <c r="AH2831">
        <v>0</v>
      </c>
      <c r="AI2831" t="s">
        <v>971</v>
      </c>
      <c r="AJ2831">
        <v>34.122118999999998</v>
      </c>
      <c r="AK2831" t="s">
        <v>927</v>
      </c>
      <c r="AL2831">
        <v>-117.057202</v>
      </c>
      <c r="AM2831">
        <v>100</v>
      </c>
      <c r="AN2831">
        <v>6400</v>
      </c>
      <c r="AO2831" t="s">
        <v>118</v>
      </c>
      <c r="AP2831">
        <v>17</v>
      </c>
      <c r="AQ2831">
        <v>-105</v>
      </c>
      <c r="AR2831">
        <v>-960</v>
      </c>
      <c r="AZ2831">
        <v>1200</v>
      </c>
      <c r="BA2831">
        <v>1</v>
      </c>
      <c r="BB2831" t="str">
        <f t="shared" si="1561"/>
        <v xml:space="preserve">N9217B  </v>
      </c>
      <c r="BC2831">
        <v>1</v>
      </c>
      <c r="BE2831">
        <v>0</v>
      </c>
      <c r="BF2831">
        <v>0</v>
      </c>
      <c r="BG2831">
        <v>0</v>
      </c>
      <c r="BH2831">
        <v>6250</v>
      </c>
      <c r="BI2831">
        <v>1</v>
      </c>
      <c r="BJ2831">
        <v>0</v>
      </c>
      <c r="BK2831">
        <v>0</v>
      </c>
      <c r="BL2831">
        <v>0</v>
      </c>
      <c r="BO2831">
        <v>0</v>
      </c>
      <c r="BP2831">
        <v>0</v>
      </c>
      <c r="BW2831" t="str">
        <f t="shared" ref="BW2831:BW2837" si="1568">"14:56:00.012"</f>
        <v>14:56:00.012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7</v>
      </c>
      <c r="CP2831" t="s">
        <v>119</v>
      </c>
      <c r="CQ2831">
        <v>285</v>
      </c>
      <c r="CR2831">
        <v>0</v>
      </c>
      <c r="CW2831">
        <v>8871314</v>
      </c>
      <c r="CY2831">
        <v>0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25">
      <c r="A2832" t="str">
        <f t="shared" si="1566"/>
        <v>06/05/2020 14:55:54.365</v>
      </c>
      <c r="C2832" t="str">
        <f t="shared" si="1540"/>
        <v>FFDFD3C0</v>
      </c>
      <c r="D2832" t="s">
        <v>113</v>
      </c>
      <c r="E2832">
        <v>3</v>
      </c>
      <c r="H2832">
        <v>166</v>
      </c>
      <c r="I2832" t="s">
        <v>114</v>
      </c>
      <c r="J2832" t="s">
        <v>115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567"/>
        <v>14:56:00.008</v>
      </c>
      <c r="T2832" t="str">
        <f t="shared" si="1567"/>
        <v>14:56:00.008</v>
      </c>
      <c r="U2832" t="str">
        <f t="shared" si="1560"/>
        <v>ACC530</v>
      </c>
      <c r="V2832">
        <v>0</v>
      </c>
      <c r="W2832">
        <v>0</v>
      </c>
      <c r="X2832">
        <v>1</v>
      </c>
      <c r="Z2832">
        <v>0</v>
      </c>
      <c r="AA2832">
        <v>9</v>
      </c>
      <c r="AB2832">
        <v>3</v>
      </c>
      <c r="AC2832">
        <v>0</v>
      </c>
      <c r="AD2832">
        <v>9</v>
      </c>
      <c r="AE2832">
        <v>0</v>
      </c>
      <c r="AF2832">
        <v>3</v>
      </c>
      <c r="AG2832">
        <v>1</v>
      </c>
      <c r="AH2832">
        <v>0</v>
      </c>
      <c r="AI2832" t="s">
        <v>971</v>
      </c>
      <c r="AJ2832">
        <v>34.122118999999998</v>
      </c>
      <c r="AK2832" t="s">
        <v>927</v>
      </c>
      <c r="AL2832">
        <v>-117.057202</v>
      </c>
      <c r="AM2832">
        <v>100</v>
      </c>
      <c r="AN2832">
        <v>6400</v>
      </c>
      <c r="AO2832" t="s">
        <v>118</v>
      </c>
      <c r="AP2832">
        <v>17</v>
      </c>
      <c r="AQ2832">
        <v>-105</v>
      </c>
      <c r="AR2832">
        <v>-960</v>
      </c>
      <c r="AZ2832">
        <v>1200</v>
      </c>
      <c r="BA2832">
        <v>1</v>
      </c>
      <c r="BB2832" t="str">
        <f t="shared" si="1561"/>
        <v xml:space="preserve">N9217B  </v>
      </c>
      <c r="BC2832">
        <v>1</v>
      </c>
      <c r="BE2832">
        <v>0</v>
      </c>
      <c r="BF2832">
        <v>0</v>
      </c>
      <c r="BG2832">
        <v>0</v>
      </c>
      <c r="BH2832">
        <v>6250</v>
      </c>
      <c r="BI2832">
        <v>1</v>
      </c>
      <c r="BJ2832">
        <v>0</v>
      </c>
      <c r="BK2832">
        <v>0</v>
      </c>
      <c r="BL2832">
        <v>0</v>
      </c>
      <c r="BO2832">
        <v>0</v>
      </c>
      <c r="BP2832">
        <v>0</v>
      </c>
      <c r="BW2832" t="str">
        <f t="shared" si="1568"/>
        <v>14:56:00.012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7</v>
      </c>
      <c r="CP2832" t="s">
        <v>119</v>
      </c>
      <c r="CQ2832">
        <v>285</v>
      </c>
      <c r="CR2832">
        <v>0</v>
      </c>
      <c r="CW2832">
        <v>8871314</v>
      </c>
      <c r="CY2832">
        <v>0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25">
      <c r="A2833" t="str">
        <f t="shared" si="1566"/>
        <v>06/05/2020 14:55:54.365</v>
      </c>
      <c r="C2833" t="str">
        <f t="shared" si="1540"/>
        <v>FFDFD3C0</v>
      </c>
      <c r="D2833" t="s">
        <v>134</v>
      </c>
      <c r="E2833">
        <v>7</v>
      </c>
      <c r="F2833">
        <v>2007</v>
      </c>
      <c r="G2833" t="s">
        <v>135</v>
      </c>
      <c r="J2833" t="s">
        <v>136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567"/>
        <v>14:56:00.008</v>
      </c>
      <c r="T2833" t="str">
        <f t="shared" si="1567"/>
        <v>14:56:00.008</v>
      </c>
      <c r="U2833" t="str">
        <f t="shared" si="1560"/>
        <v>ACC530</v>
      </c>
      <c r="V2833">
        <v>0</v>
      </c>
      <c r="W2833">
        <v>0</v>
      </c>
      <c r="X2833">
        <v>1</v>
      </c>
      <c r="Z2833">
        <v>0</v>
      </c>
      <c r="AA2833">
        <v>9</v>
      </c>
      <c r="AB2833">
        <v>3</v>
      </c>
      <c r="AC2833">
        <v>0</v>
      </c>
      <c r="AD2833">
        <v>9</v>
      </c>
      <c r="AE2833">
        <v>0</v>
      </c>
      <c r="AF2833">
        <v>3</v>
      </c>
      <c r="AG2833">
        <v>1</v>
      </c>
      <c r="AH2833">
        <v>0</v>
      </c>
      <c r="AI2833" t="s">
        <v>971</v>
      </c>
      <c r="AJ2833">
        <v>34.122118999999998</v>
      </c>
      <c r="AK2833" t="s">
        <v>927</v>
      </c>
      <c r="AL2833">
        <v>-117.057202</v>
      </c>
      <c r="AM2833">
        <v>100</v>
      </c>
      <c r="AN2833">
        <v>6400</v>
      </c>
      <c r="AO2833" t="s">
        <v>118</v>
      </c>
      <c r="AP2833">
        <v>17</v>
      </c>
      <c r="AQ2833">
        <v>-105</v>
      </c>
      <c r="AR2833">
        <v>-960</v>
      </c>
      <c r="AZ2833">
        <v>1200</v>
      </c>
      <c r="BA2833">
        <v>1</v>
      </c>
      <c r="BB2833" t="str">
        <f t="shared" si="1561"/>
        <v xml:space="preserve">N9217B  </v>
      </c>
      <c r="BC2833">
        <v>1</v>
      </c>
      <c r="BE2833">
        <v>0</v>
      </c>
      <c r="BF2833">
        <v>0</v>
      </c>
      <c r="BG2833">
        <v>0</v>
      </c>
      <c r="BH2833">
        <v>6250</v>
      </c>
      <c r="BI2833">
        <v>1</v>
      </c>
      <c r="BJ2833">
        <v>0</v>
      </c>
      <c r="BK2833">
        <v>0</v>
      </c>
      <c r="BL2833">
        <v>0</v>
      </c>
      <c r="BO2833">
        <v>0</v>
      </c>
      <c r="BP2833">
        <v>0</v>
      </c>
      <c r="BW2833" t="str">
        <f t="shared" si="1568"/>
        <v>14:56:00.012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7</v>
      </c>
      <c r="CP2833" t="s">
        <v>119</v>
      </c>
      <c r="CQ2833">
        <v>285</v>
      </c>
      <c r="CR2833">
        <v>0</v>
      </c>
      <c r="CW2833">
        <v>8871314</v>
      </c>
      <c r="CY2833">
        <v>0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25">
      <c r="A2834" t="str">
        <f t="shared" si="1566"/>
        <v>06/05/2020 14:55:54.365</v>
      </c>
      <c r="C2834" t="str">
        <f t="shared" si="1540"/>
        <v>FFDFD3C0</v>
      </c>
      <c r="D2834" t="s">
        <v>151</v>
      </c>
      <c r="E2834">
        <v>8</v>
      </c>
      <c r="H2834">
        <v>225</v>
      </c>
      <c r="I2834" t="s">
        <v>353</v>
      </c>
      <c r="J2834" t="s">
        <v>150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567"/>
        <v>14:56:00.008</v>
      </c>
      <c r="T2834" t="str">
        <f t="shared" si="1567"/>
        <v>14:56:00.008</v>
      </c>
      <c r="U2834" t="str">
        <f t="shared" si="1560"/>
        <v>ACC530</v>
      </c>
      <c r="V2834">
        <v>0</v>
      </c>
      <c r="W2834">
        <v>0</v>
      </c>
      <c r="X2834">
        <v>1</v>
      </c>
      <c r="Z2834">
        <v>0</v>
      </c>
      <c r="AA2834">
        <v>9</v>
      </c>
      <c r="AB2834">
        <v>3</v>
      </c>
      <c r="AC2834">
        <v>0</v>
      </c>
      <c r="AD2834">
        <v>9</v>
      </c>
      <c r="AE2834">
        <v>0</v>
      </c>
      <c r="AF2834">
        <v>3</v>
      </c>
      <c r="AG2834">
        <v>1</v>
      </c>
      <c r="AH2834">
        <v>0</v>
      </c>
      <c r="AI2834" t="s">
        <v>971</v>
      </c>
      <c r="AJ2834">
        <v>34.122118999999998</v>
      </c>
      <c r="AK2834" t="s">
        <v>927</v>
      </c>
      <c r="AL2834">
        <v>-117.057202</v>
      </c>
      <c r="AM2834">
        <v>100</v>
      </c>
      <c r="AN2834">
        <v>6400</v>
      </c>
      <c r="AO2834" t="s">
        <v>118</v>
      </c>
      <c r="AP2834">
        <v>17</v>
      </c>
      <c r="AQ2834">
        <v>-105</v>
      </c>
      <c r="AR2834">
        <v>-960</v>
      </c>
      <c r="AZ2834">
        <v>1200</v>
      </c>
      <c r="BA2834">
        <v>1</v>
      </c>
      <c r="BB2834" t="str">
        <f t="shared" si="1561"/>
        <v xml:space="preserve">N9217B  </v>
      </c>
      <c r="BC2834">
        <v>1</v>
      </c>
      <c r="BE2834">
        <v>0</v>
      </c>
      <c r="BF2834">
        <v>0</v>
      </c>
      <c r="BG2834">
        <v>0</v>
      </c>
      <c r="BH2834">
        <v>6250</v>
      </c>
      <c r="BI2834">
        <v>1</v>
      </c>
      <c r="BJ2834">
        <v>0</v>
      </c>
      <c r="BK2834">
        <v>0</v>
      </c>
      <c r="BL2834">
        <v>0</v>
      </c>
      <c r="BO2834">
        <v>0</v>
      </c>
      <c r="BP2834">
        <v>0</v>
      </c>
      <c r="BW2834" t="str">
        <f t="shared" si="1568"/>
        <v>14:56:00.012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7</v>
      </c>
      <c r="CP2834" t="s">
        <v>119</v>
      </c>
      <c r="CQ2834">
        <v>285</v>
      </c>
      <c r="CR2834">
        <v>0</v>
      </c>
      <c r="CW2834">
        <v>8871314</v>
      </c>
      <c r="CY2834">
        <v>0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25">
      <c r="A2835" t="str">
        <f t="shared" si="1566"/>
        <v>06/05/2020 14:55:54.365</v>
      </c>
      <c r="C2835" t="str">
        <f t="shared" si="1540"/>
        <v>FFDFD3C0</v>
      </c>
      <c r="D2835" t="s">
        <v>148</v>
      </c>
      <c r="E2835">
        <v>11</v>
      </c>
      <c r="H2835">
        <v>53</v>
      </c>
      <c r="I2835" t="s">
        <v>364</v>
      </c>
      <c r="J2835" t="s">
        <v>150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567"/>
        <v>14:56:00.008</v>
      </c>
      <c r="T2835" t="str">
        <f t="shared" si="1567"/>
        <v>14:56:00.008</v>
      </c>
      <c r="U2835" t="str">
        <f t="shared" si="1560"/>
        <v>ACC530</v>
      </c>
      <c r="V2835">
        <v>0</v>
      </c>
      <c r="W2835">
        <v>0</v>
      </c>
      <c r="X2835">
        <v>1</v>
      </c>
      <c r="Z2835">
        <v>0</v>
      </c>
      <c r="AA2835">
        <v>9</v>
      </c>
      <c r="AB2835">
        <v>3</v>
      </c>
      <c r="AC2835">
        <v>0</v>
      </c>
      <c r="AD2835">
        <v>9</v>
      </c>
      <c r="AE2835">
        <v>0</v>
      </c>
      <c r="AF2835">
        <v>3</v>
      </c>
      <c r="AG2835">
        <v>1</v>
      </c>
      <c r="AH2835">
        <v>0</v>
      </c>
      <c r="AI2835" t="s">
        <v>971</v>
      </c>
      <c r="AJ2835">
        <v>34.122118999999998</v>
      </c>
      <c r="AK2835" t="s">
        <v>927</v>
      </c>
      <c r="AL2835">
        <v>-117.057202</v>
      </c>
      <c r="AM2835">
        <v>100</v>
      </c>
      <c r="AN2835">
        <v>6400</v>
      </c>
      <c r="AO2835" t="s">
        <v>118</v>
      </c>
      <c r="AP2835">
        <v>17</v>
      </c>
      <c r="AQ2835">
        <v>-105</v>
      </c>
      <c r="AR2835">
        <v>-960</v>
      </c>
      <c r="AZ2835">
        <v>1200</v>
      </c>
      <c r="BA2835">
        <v>1</v>
      </c>
      <c r="BB2835" t="str">
        <f t="shared" si="1561"/>
        <v xml:space="preserve">N9217B  </v>
      </c>
      <c r="BC2835">
        <v>1</v>
      </c>
      <c r="BE2835">
        <v>0</v>
      </c>
      <c r="BF2835">
        <v>0</v>
      </c>
      <c r="BG2835">
        <v>0</v>
      </c>
      <c r="BH2835">
        <v>6250</v>
      </c>
      <c r="BI2835">
        <v>1</v>
      </c>
      <c r="BJ2835">
        <v>0</v>
      </c>
      <c r="BK2835">
        <v>0</v>
      </c>
      <c r="BL2835">
        <v>0</v>
      </c>
      <c r="BO2835">
        <v>0</v>
      </c>
      <c r="BP2835">
        <v>0</v>
      </c>
      <c r="BW2835" t="str">
        <f t="shared" si="1568"/>
        <v>14:56:00.012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285</v>
      </c>
      <c r="CR2835">
        <v>0</v>
      </c>
      <c r="CW2835">
        <v>8871314</v>
      </c>
      <c r="CY2835">
        <v>0</v>
      </c>
      <c r="CZ2835">
        <v>0</v>
      </c>
      <c r="DA2835">
        <v>1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25">
      <c r="A2836" t="str">
        <f t="shared" si="1566"/>
        <v>06/05/2020 14:55:54.365</v>
      </c>
      <c r="C2836" t="str">
        <f t="shared" si="1540"/>
        <v>FFDFD3C0</v>
      </c>
      <c r="D2836" t="s">
        <v>141</v>
      </c>
      <c r="E2836">
        <v>20</v>
      </c>
      <c r="F2836">
        <v>1020</v>
      </c>
      <c r="G2836" t="s">
        <v>114</v>
      </c>
      <c r="J2836" t="s">
        <v>142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567"/>
        <v>14:56:00.008</v>
      </c>
      <c r="T2836" t="str">
        <f t="shared" si="1567"/>
        <v>14:56:00.008</v>
      </c>
      <c r="U2836" t="str">
        <f t="shared" si="1560"/>
        <v>ACC530</v>
      </c>
      <c r="V2836">
        <v>0</v>
      </c>
      <c r="W2836">
        <v>0</v>
      </c>
      <c r="X2836">
        <v>1</v>
      </c>
      <c r="Z2836">
        <v>0</v>
      </c>
      <c r="AA2836">
        <v>9</v>
      </c>
      <c r="AB2836">
        <v>3</v>
      </c>
      <c r="AC2836">
        <v>0</v>
      </c>
      <c r="AD2836">
        <v>9</v>
      </c>
      <c r="AE2836">
        <v>0</v>
      </c>
      <c r="AF2836">
        <v>3</v>
      </c>
      <c r="AG2836">
        <v>1</v>
      </c>
      <c r="AH2836">
        <v>0</v>
      </c>
      <c r="AI2836" t="s">
        <v>971</v>
      </c>
      <c r="AJ2836">
        <v>34.122118999999998</v>
      </c>
      <c r="AK2836" t="s">
        <v>927</v>
      </c>
      <c r="AL2836">
        <v>-117.057202</v>
      </c>
      <c r="AM2836">
        <v>100</v>
      </c>
      <c r="AN2836">
        <v>6400</v>
      </c>
      <c r="AO2836" t="s">
        <v>118</v>
      </c>
      <c r="AP2836">
        <v>17</v>
      </c>
      <c r="AQ2836">
        <v>-105</v>
      </c>
      <c r="AR2836">
        <v>-960</v>
      </c>
      <c r="AZ2836">
        <v>1200</v>
      </c>
      <c r="BA2836">
        <v>1</v>
      </c>
      <c r="BB2836" t="str">
        <f t="shared" si="1561"/>
        <v xml:space="preserve">N9217B  </v>
      </c>
      <c r="BC2836">
        <v>1</v>
      </c>
      <c r="BE2836">
        <v>0</v>
      </c>
      <c r="BF2836">
        <v>0</v>
      </c>
      <c r="BG2836">
        <v>0</v>
      </c>
      <c r="BH2836">
        <v>6250</v>
      </c>
      <c r="BI2836">
        <v>1</v>
      </c>
      <c r="BJ2836">
        <v>0</v>
      </c>
      <c r="BK2836">
        <v>0</v>
      </c>
      <c r="BL2836">
        <v>0</v>
      </c>
      <c r="BO2836">
        <v>0</v>
      </c>
      <c r="BP2836">
        <v>0</v>
      </c>
      <c r="BW2836" t="str">
        <f t="shared" si="1568"/>
        <v>14:56:00.012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285</v>
      </c>
      <c r="CR2836">
        <v>0</v>
      </c>
      <c r="CW2836">
        <v>8871314</v>
      </c>
      <c r="CY2836">
        <v>0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25">
      <c r="A2837" t="str">
        <f t="shared" si="1566"/>
        <v>06/05/2020 14:55:54.365</v>
      </c>
      <c r="C2837" t="str">
        <f t="shared" si="1540"/>
        <v>FFDFD3C0</v>
      </c>
      <c r="D2837" t="s">
        <v>151</v>
      </c>
      <c r="E2837">
        <v>9</v>
      </c>
      <c r="H2837">
        <v>226</v>
      </c>
      <c r="I2837" t="s">
        <v>152</v>
      </c>
      <c r="J2837" t="s">
        <v>150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567"/>
        <v>14:56:00.008</v>
      </c>
      <c r="T2837" t="str">
        <f t="shared" si="1567"/>
        <v>14:56:00.008</v>
      </c>
      <c r="U2837" t="str">
        <f t="shared" si="1560"/>
        <v>ACC530</v>
      </c>
      <c r="V2837">
        <v>0</v>
      </c>
      <c r="W2837">
        <v>0</v>
      </c>
      <c r="X2837">
        <v>1</v>
      </c>
      <c r="Z2837">
        <v>0</v>
      </c>
      <c r="AA2837">
        <v>9</v>
      </c>
      <c r="AB2837">
        <v>3</v>
      </c>
      <c r="AC2837">
        <v>0</v>
      </c>
      <c r="AD2837">
        <v>9</v>
      </c>
      <c r="AE2837">
        <v>0</v>
      </c>
      <c r="AF2837">
        <v>3</v>
      </c>
      <c r="AG2837">
        <v>1</v>
      </c>
      <c r="AH2837">
        <v>0</v>
      </c>
      <c r="AI2837" t="s">
        <v>971</v>
      </c>
      <c r="AJ2837">
        <v>34.122118999999998</v>
      </c>
      <c r="AK2837" t="s">
        <v>927</v>
      </c>
      <c r="AL2837">
        <v>-117.057202</v>
      </c>
      <c r="AM2837">
        <v>100</v>
      </c>
      <c r="AN2837">
        <v>6400</v>
      </c>
      <c r="AO2837" t="s">
        <v>118</v>
      </c>
      <c r="AP2837">
        <v>17</v>
      </c>
      <c r="AQ2837">
        <v>-105</v>
      </c>
      <c r="AR2837">
        <v>-960</v>
      </c>
      <c r="AZ2837">
        <v>1200</v>
      </c>
      <c r="BA2837">
        <v>1</v>
      </c>
      <c r="BB2837" t="str">
        <f t="shared" si="1561"/>
        <v xml:space="preserve">N9217B  </v>
      </c>
      <c r="BC2837">
        <v>1</v>
      </c>
      <c r="BE2837">
        <v>0</v>
      </c>
      <c r="BF2837">
        <v>0</v>
      </c>
      <c r="BG2837">
        <v>0</v>
      </c>
      <c r="BH2837">
        <v>6250</v>
      </c>
      <c r="BI2837">
        <v>1</v>
      </c>
      <c r="BJ2837">
        <v>0</v>
      </c>
      <c r="BK2837">
        <v>0</v>
      </c>
      <c r="BL2837">
        <v>0</v>
      </c>
      <c r="BO2837">
        <v>0</v>
      </c>
      <c r="BP2837">
        <v>0</v>
      </c>
      <c r="BW2837" t="str">
        <f t="shared" si="1568"/>
        <v>14:56:00.012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285</v>
      </c>
      <c r="CR2837">
        <v>0</v>
      </c>
      <c r="CW2837">
        <v>8871314</v>
      </c>
      <c r="CY2837">
        <v>0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25">
      <c r="A2838" t="str">
        <f t="shared" ref="A2838:A2844" si="1569">"06/05/2020 14:55:55.425"</f>
        <v>06/05/2020 14:55:55.425</v>
      </c>
      <c r="C2838" t="str">
        <f t="shared" si="1540"/>
        <v>FFDFD3C0</v>
      </c>
      <c r="D2838" t="s">
        <v>148</v>
      </c>
      <c r="E2838">
        <v>8</v>
      </c>
      <c r="H2838">
        <v>50</v>
      </c>
      <c r="I2838" t="s">
        <v>149</v>
      </c>
      <c r="J2838" t="s">
        <v>150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ref="S2838:S2844" si="1570">"14:56:01.039"</f>
        <v>14:56:01.039</v>
      </c>
      <c r="T2838" t="str">
        <f t="shared" ref="T2838:T2844" si="1571">"14:56:00.939"</f>
        <v>14:56:00.939</v>
      </c>
      <c r="U2838" t="str">
        <f t="shared" si="1560"/>
        <v>ACC530</v>
      </c>
      <c r="V2838">
        <v>0</v>
      </c>
      <c r="W2838">
        <v>0</v>
      </c>
      <c r="X2838">
        <v>1</v>
      </c>
      <c r="Z2838">
        <v>0</v>
      </c>
      <c r="AA2838">
        <v>9</v>
      </c>
      <c r="AB2838">
        <v>3</v>
      </c>
      <c r="AC2838">
        <v>0</v>
      </c>
      <c r="AD2838">
        <v>9</v>
      </c>
      <c r="AE2838">
        <v>0</v>
      </c>
      <c r="AF2838">
        <v>3</v>
      </c>
      <c r="AG2838">
        <v>1</v>
      </c>
      <c r="AH2838">
        <v>0</v>
      </c>
      <c r="AI2838" t="s">
        <v>972</v>
      </c>
      <c r="AJ2838">
        <v>34.121625000000002</v>
      </c>
      <c r="AK2838" t="s">
        <v>925</v>
      </c>
      <c r="AL2838">
        <v>-117.057095</v>
      </c>
      <c r="AM2838">
        <v>100</v>
      </c>
      <c r="AN2838">
        <v>6300</v>
      </c>
      <c r="AO2838" t="s">
        <v>118</v>
      </c>
      <c r="AP2838">
        <v>18</v>
      </c>
      <c r="AQ2838">
        <v>-105</v>
      </c>
      <c r="AR2838">
        <v>-960</v>
      </c>
      <c r="AZ2838">
        <v>1200</v>
      </c>
      <c r="BA2838">
        <v>1</v>
      </c>
      <c r="BB2838" t="str">
        <f t="shared" si="1561"/>
        <v xml:space="preserve">N9217B  </v>
      </c>
      <c r="BC2838">
        <v>1</v>
      </c>
      <c r="BE2838">
        <v>0</v>
      </c>
      <c r="BF2838">
        <v>0</v>
      </c>
      <c r="BG2838">
        <v>0</v>
      </c>
      <c r="BH2838">
        <v>6225</v>
      </c>
      <c r="BI2838">
        <v>1</v>
      </c>
      <c r="BJ2838">
        <v>0</v>
      </c>
      <c r="BK2838">
        <v>0</v>
      </c>
      <c r="BL2838">
        <v>0</v>
      </c>
      <c r="BO2838">
        <v>0</v>
      </c>
      <c r="BP2838">
        <v>0</v>
      </c>
      <c r="BW2838" t="str">
        <f t="shared" ref="BW2838:BW2844" si="1572">"14:56:01.047"</f>
        <v>14:56:01.047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5</v>
      </c>
      <c r="CP2838" t="s">
        <v>119</v>
      </c>
      <c r="CQ2838">
        <v>285</v>
      </c>
      <c r="CR2838">
        <v>1</v>
      </c>
      <c r="CW2838">
        <v>8871411</v>
      </c>
      <c r="CY2838">
        <v>0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25">
      <c r="A2839" t="str">
        <f t="shared" si="1569"/>
        <v>06/05/2020 14:55:55.425</v>
      </c>
      <c r="C2839" t="str">
        <f t="shared" si="1540"/>
        <v>FFDFD3C0</v>
      </c>
      <c r="D2839" t="s">
        <v>113</v>
      </c>
      <c r="E2839">
        <v>3</v>
      </c>
      <c r="H2839">
        <v>166</v>
      </c>
      <c r="I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570"/>
        <v>14:56:01.039</v>
      </c>
      <c r="T2839" t="str">
        <f t="shared" si="1571"/>
        <v>14:56:00.939</v>
      </c>
      <c r="U2839" t="str">
        <f t="shared" si="1560"/>
        <v>ACC530</v>
      </c>
      <c r="V2839">
        <v>0</v>
      </c>
      <c r="W2839">
        <v>0</v>
      </c>
      <c r="X2839">
        <v>1</v>
      </c>
      <c r="Z2839">
        <v>0</v>
      </c>
      <c r="AA2839">
        <v>9</v>
      </c>
      <c r="AB2839">
        <v>3</v>
      </c>
      <c r="AC2839">
        <v>0</v>
      </c>
      <c r="AD2839">
        <v>9</v>
      </c>
      <c r="AE2839">
        <v>0</v>
      </c>
      <c r="AF2839">
        <v>3</v>
      </c>
      <c r="AG2839">
        <v>1</v>
      </c>
      <c r="AH2839">
        <v>0</v>
      </c>
      <c r="AI2839" t="s">
        <v>972</v>
      </c>
      <c r="AJ2839">
        <v>34.121625000000002</v>
      </c>
      <c r="AK2839" t="s">
        <v>925</v>
      </c>
      <c r="AL2839">
        <v>-117.057095</v>
      </c>
      <c r="AM2839">
        <v>100</v>
      </c>
      <c r="AN2839">
        <v>6300</v>
      </c>
      <c r="AO2839" t="s">
        <v>118</v>
      </c>
      <c r="AP2839">
        <v>18</v>
      </c>
      <c r="AQ2839">
        <v>-105</v>
      </c>
      <c r="AR2839">
        <v>-960</v>
      </c>
      <c r="AZ2839">
        <v>1200</v>
      </c>
      <c r="BA2839">
        <v>1</v>
      </c>
      <c r="BB2839" t="str">
        <f t="shared" si="1561"/>
        <v xml:space="preserve">N9217B  </v>
      </c>
      <c r="BC2839">
        <v>1</v>
      </c>
      <c r="BE2839">
        <v>0</v>
      </c>
      <c r="BF2839">
        <v>0</v>
      </c>
      <c r="BG2839">
        <v>0</v>
      </c>
      <c r="BH2839">
        <v>6225</v>
      </c>
      <c r="BI2839">
        <v>1</v>
      </c>
      <c r="BJ2839">
        <v>0</v>
      </c>
      <c r="BK2839">
        <v>0</v>
      </c>
      <c r="BL2839">
        <v>0</v>
      </c>
      <c r="BO2839">
        <v>0</v>
      </c>
      <c r="BP2839">
        <v>0</v>
      </c>
      <c r="BW2839" t="str">
        <f t="shared" si="1572"/>
        <v>14:56:01.047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5</v>
      </c>
      <c r="CP2839" t="s">
        <v>119</v>
      </c>
      <c r="CQ2839">
        <v>285</v>
      </c>
      <c r="CR2839">
        <v>1</v>
      </c>
      <c r="CW2839">
        <v>8871411</v>
      </c>
      <c r="CY2839">
        <v>0</v>
      </c>
      <c r="CZ2839">
        <v>0</v>
      </c>
      <c r="DA2839">
        <v>1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25">
      <c r="A2840" t="str">
        <f t="shared" si="1569"/>
        <v>06/05/2020 14:55:55.425</v>
      </c>
      <c r="C2840" t="str">
        <f t="shared" si="1540"/>
        <v>FFDFD3C0</v>
      </c>
      <c r="D2840" t="s">
        <v>134</v>
      </c>
      <c r="E2840">
        <v>7</v>
      </c>
      <c r="F2840">
        <v>2007</v>
      </c>
      <c r="G2840" t="s">
        <v>135</v>
      </c>
      <c r="J2840" t="s">
        <v>136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570"/>
        <v>14:56:01.039</v>
      </c>
      <c r="T2840" t="str">
        <f t="shared" si="1571"/>
        <v>14:56:00.939</v>
      </c>
      <c r="U2840" t="str">
        <f t="shared" si="1560"/>
        <v>ACC530</v>
      </c>
      <c r="V2840">
        <v>0</v>
      </c>
      <c r="W2840">
        <v>0</v>
      </c>
      <c r="X2840">
        <v>1</v>
      </c>
      <c r="Z2840">
        <v>0</v>
      </c>
      <c r="AA2840">
        <v>9</v>
      </c>
      <c r="AB2840">
        <v>3</v>
      </c>
      <c r="AC2840">
        <v>0</v>
      </c>
      <c r="AD2840">
        <v>9</v>
      </c>
      <c r="AE2840">
        <v>0</v>
      </c>
      <c r="AF2840">
        <v>3</v>
      </c>
      <c r="AG2840">
        <v>1</v>
      </c>
      <c r="AH2840">
        <v>0</v>
      </c>
      <c r="AI2840" t="s">
        <v>972</v>
      </c>
      <c r="AJ2840">
        <v>34.121625000000002</v>
      </c>
      <c r="AK2840" t="s">
        <v>925</v>
      </c>
      <c r="AL2840">
        <v>-117.057095</v>
      </c>
      <c r="AM2840">
        <v>100</v>
      </c>
      <c r="AN2840">
        <v>6300</v>
      </c>
      <c r="AO2840" t="s">
        <v>118</v>
      </c>
      <c r="AP2840">
        <v>18</v>
      </c>
      <c r="AQ2840">
        <v>-105</v>
      </c>
      <c r="AR2840">
        <v>-960</v>
      </c>
      <c r="AZ2840">
        <v>1200</v>
      </c>
      <c r="BA2840">
        <v>1</v>
      </c>
      <c r="BB2840" t="str">
        <f t="shared" si="1561"/>
        <v xml:space="preserve">N9217B  </v>
      </c>
      <c r="BC2840">
        <v>1</v>
      </c>
      <c r="BE2840">
        <v>0</v>
      </c>
      <c r="BF2840">
        <v>0</v>
      </c>
      <c r="BG2840">
        <v>0</v>
      </c>
      <c r="BH2840">
        <v>6225</v>
      </c>
      <c r="BI2840">
        <v>1</v>
      </c>
      <c r="BJ2840">
        <v>0</v>
      </c>
      <c r="BK2840">
        <v>0</v>
      </c>
      <c r="BL2840">
        <v>0</v>
      </c>
      <c r="BO2840">
        <v>0</v>
      </c>
      <c r="BP2840">
        <v>0</v>
      </c>
      <c r="BW2840" t="str">
        <f t="shared" si="1572"/>
        <v>14:56:01.047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5</v>
      </c>
      <c r="CP2840" t="s">
        <v>119</v>
      </c>
      <c r="CQ2840">
        <v>285</v>
      </c>
      <c r="CR2840">
        <v>1</v>
      </c>
      <c r="CW2840">
        <v>8871411</v>
      </c>
      <c r="CY2840">
        <v>0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25">
      <c r="A2841" t="str">
        <f t="shared" si="1569"/>
        <v>06/05/2020 14:55:55.425</v>
      </c>
      <c r="C2841" t="str">
        <f t="shared" si="1540"/>
        <v>FFDFD3C0</v>
      </c>
      <c r="D2841" t="s">
        <v>151</v>
      </c>
      <c r="E2841">
        <v>8</v>
      </c>
      <c r="H2841">
        <v>225</v>
      </c>
      <c r="I2841" t="s">
        <v>353</v>
      </c>
      <c r="J2841" t="s">
        <v>150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si="1570"/>
        <v>14:56:01.039</v>
      </c>
      <c r="T2841" t="str">
        <f t="shared" si="1571"/>
        <v>14:56:00.939</v>
      </c>
      <c r="U2841" t="str">
        <f t="shared" si="1560"/>
        <v>ACC530</v>
      </c>
      <c r="V2841">
        <v>0</v>
      </c>
      <c r="W2841">
        <v>0</v>
      </c>
      <c r="X2841">
        <v>1</v>
      </c>
      <c r="Z2841">
        <v>0</v>
      </c>
      <c r="AA2841">
        <v>9</v>
      </c>
      <c r="AB2841">
        <v>3</v>
      </c>
      <c r="AC2841">
        <v>0</v>
      </c>
      <c r="AD2841">
        <v>9</v>
      </c>
      <c r="AE2841">
        <v>0</v>
      </c>
      <c r="AF2841">
        <v>3</v>
      </c>
      <c r="AG2841">
        <v>1</v>
      </c>
      <c r="AH2841">
        <v>0</v>
      </c>
      <c r="AI2841" t="s">
        <v>972</v>
      </c>
      <c r="AJ2841">
        <v>34.121625000000002</v>
      </c>
      <c r="AK2841" t="s">
        <v>925</v>
      </c>
      <c r="AL2841">
        <v>-117.057095</v>
      </c>
      <c r="AM2841">
        <v>100</v>
      </c>
      <c r="AN2841">
        <v>6300</v>
      </c>
      <c r="AO2841" t="s">
        <v>118</v>
      </c>
      <c r="AP2841">
        <v>18</v>
      </c>
      <c r="AQ2841">
        <v>-105</v>
      </c>
      <c r="AR2841">
        <v>-960</v>
      </c>
      <c r="AZ2841">
        <v>1200</v>
      </c>
      <c r="BA2841">
        <v>1</v>
      </c>
      <c r="BB2841" t="str">
        <f t="shared" si="1561"/>
        <v xml:space="preserve">N9217B  </v>
      </c>
      <c r="BC2841">
        <v>1</v>
      </c>
      <c r="BE2841">
        <v>0</v>
      </c>
      <c r="BF2841">
        <v>0</v>
      </c>
      <c r="BG2841">
        <v>0</v>
      </c>
      <c r="BH2841">
        <v>6225</v>
      </c>
      <c r="BI2841">
        <v>1</v>
      </c>
      <c r="BJ2841">
        <v>0</v>
      </c>
      <c r="BK2841">
        <v>0</v>
      </c>
      <c r="BL2841">
        <v>0</v>
      </c>
      <c r="BO2841">
        <v>0</v>
      </c>
      <c r="BP2841">
        <v>0</v>
      </c>
      <c r="BW2841" t="str">
        <f t="shared" si="1572"/>
        <v>14:56:01.047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5</v>
      </c>
      <c r="CP2841" t="s">
        <v>119</v>
      </c>
      <c r="CQ2841">
        <v>285</v>
      </c>
      <c r="CR2841">
        <v>1</v>
      </c>
      <c r="CW2841">
        <v>8871411</v>
      </c>
      <c r="CY2841">
        <v>0</v>
      </c>
      <c r="CZ2841">
        <v>0</v>
      </c>
      <c r="DA2841">
        <v>1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25">
      <c r="A2842" t="str">
        <f t="shared" si="1569"/>
        <v>06/05/2020 14:55:55.425</v>
      </c>
      <c r="C2842" t="str">
        <f t="shared" si="1540"/>
        <v>FFDFD3C0</v>
      </c>
      <c r="D2842" t="s">
        <v>141</v>
      </c>
      <c r="E2842">
        <v>20</v>
      </c>
      <c r="F2842">
        <v>1020</v>
      </c>
      <c r="G2842" t="s">
        <v>114</v>
      </c>
      <c r="J2842" t="s">
        <v>142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570"/>
        <v>14:56:01.039</v>
      </c>
      <c r="T2842" t="str">
        <f t="shared" si="1571"/>
        <v>14:56:00.939</v>
      </c>
      <c r="U2842" t="str">
        <f t="shared" si="1560"/>
        <v>ACC530</v>
      </c>
      <c r="V2842">
        <v>0</v>
      </c>
      <c r="W2842">
        <v>0</v>
      </c>
      <c r="X2842">
        <v>1</v>
      </c>
      <c r="Z2842">
        <v>0</v>
      </c>
      <c r="AA2842">
        <v>9</v>
      </c>
      <c r="AB2842">
        <v>3</v>
      </c>
      <c r="AC2842">
        <v>0</v>
      </c>
      <c r="AD2842">
        <v>9</v>
      </c>
      <c r="AE2842">
        <v>0</v>
      </c>
      <c r="AF2842">
        <v>3</v>
      </c>
      <c r="AG2842">
        <v>1</v>
      </c>
      <c r="AH2842">
        <v>0</v>
      </c>
      <c r="AI2842" t="s">
        <v>972</v>
      </c>
      <c r="AJ2842">
        <v>34.121625000000002</v>
      </c>
      <c r="AK2842" t="s">
        <v>925</v>
      </c>
      <c r="AL2842">
        <v>-117.057095</v>
      </c>
      <c r="AM2842">
        <v>100</v>
      </c>
      <c r="AN2842">
        <v>6300</v>
      </c>
      <c r="AO2842" t="s">
        <v>118</v>
      </c>
      <c r="AP2842">
        <v>18</v>
      </c>
      <c r="AQ2842">
        <v>-105</v>
      </c>
      <c r="AR2842">
        <v>-960</v>
      </c>
      <c r="AZ2842">
        <v>1200</v>
      </c>
      <c r="BA2842">
        <v>1</v>
      </c>
      <c r="BB2842" t="str">
        <f t="shared" si="1561"/>
        <v xml:space="preserve">N9217B  </v>
      </c>
      <c r="BC2842">
        <v>1</v>
      </c>
      <c r="BE2842">
        <v>0</v>
      </c>
      <c r="BF2842">
        <v>0</v>
      </c>
      <c r="BG2842">
        <v>0</v>
      </c>
      <c r="BH2842">
        <v>6225</v>
      </c>
      <c r="BI2842">
        <v>1</v>
      </c>
      <c r="BJ2842">
        <v>0</v>
      </c>
      <c r="BK2842">
        <v>0</v>
      </c>
      <c r="BL2842">
        <v>0</v>
      </c>
      <c r="BO2842">
        <v>0</v>
      </c>
      <c r="BP2842">
        <v>0</v>
      </c>
      <c r="BW2842" t="str">
        <f t="shared" si="1572"/>
        <v>14:56:01.047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5</v>
      </c>
      <c r="CP2842" t="s">
        <v>119</v>
      </c>
      <c r="CQ2842">
        <v>285</v>
      </c>
      <c r="CR2842">
        <v>1</v>
      </c>
      <c r="CW2842">
        <v>8871411</v>
      </c>
      <c r="CY2842">
        <v>0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25">
      <c r="A2843" t="str">
        <f t="shared" si="1569"/>
        <v>06/05/2020 14:55:55.425</v>
      </c>
      <c r="C2843" t="str">
        <f t="shared" si="1540"/>
        <v>FFDFD3C0</v>
      </c>
      <c r="D2843" t="s">
        <v>148</v>
      </c>
      <c r="E2843">
        <v>11</v>
      </c>
      <c r="H2843">
        <v>53</v>
      </c>
      <c r="I2843" t="s">
        <v>364</v>
      </c>
      <c r="J2843" t="s">
        <v>150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570"/>
        <v>14:56:01.039</v>
      </c>
      <c r="T2843" t="str">
        <f t="shared" si="1571"/>
        <v>14:56:00.939</v>
      </c>
      <c r="U2843" t="str">
        <f t="shared" si="1560"/>
        <v>ACC530</v>
      </c>
      <c r="V2843">
        <v>0</v>
      </c>
      <c r="W2843">
        <v>0</v>
      </c>
      <c r="X2843">
        <v>1</v>
      </c>
      <c r="Z2843">
        <v>0</v>
      </c>
      <c r="AA2843">
        <v>9</v>
      </c>
      <c r="AB2843">
        <v>3</v>
      </c>
      <c r="AC2843">
        <v>0</v>
      </c>
      <c r="AD2843">
        <v>9</v>
      </c>
      <c r="AE2843">
        <v>0</v>
      </c>
      <c r="AF2843">
        <v>3</v>
      </c>
      <c r="AG2843">
        <v>1</v>
      </c>
      <c r="AH2843">
        <v>0</v>
      </c>
      <c r="AI2843" t="s">
        <v>972</v>
      </c>
      <c r="AJ2843">
        <v>34.121625000000002</v>
      </c>
      <c r="AK2843" t="s">
        <v>925</v>
      </c>
      <c r="AL2843">
        <v>-117.057095</v>
      </c>
      <c r="AM2843">
        <v>100</v>
      </c>
      <c r="AN2843">
        <v>6300</v>
      </c>
      <c r="AO2843" t="s">
        <v>118</v>
      </c>
      <c r="AP2843">
        <v>18</v>
      </c>
      <c r="AQ2843">
        <v>-105</v>
      </c>
      <c r="AR2843">
        <v>-960</v>
      </c>
      <c r="AZ2843">
        <v>1200</v>
      </c>
      <c r="BA2843">
        <v>1</v>
      </c>
      <c r="BB2843" t="str">
        <f t="shared" si="1561"/>
        <v xml:space="preserve">N9217B  </v>
      </c>
      <c r="BC2843">
        <v>1</v>
      </c>
      <c r="BE2843">
        <v>0</v>
      </c>
      <c r="BF2843">
        <v>0</v>
      </c>
      <c r="BG2843">
        <v>0</v>
      </c>
      <c r="BH2843">
        <v>6225</v>
      </c>
      <c r="BI2843">
        <v>1</v>
      </c>
      <c r="BJ2843">
        <v>0</v>
      </c>
      <c r="BK2843">
        <v>0</v>
      </c>
      <c r="BL2843">
        <v>0</v>
      </c>
      <c r="BO2843">
        <v>0</v>
      </c>
      <c r="BP2843">
        <v>0</v>
      </c>
      <c r="BW2843" t="str">
        <f t="shared" si="1572"/>
        <v>14:56:01.047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5</v>
      </c>
      <c r="CP2843" t="s">
        <v>119</v>
      </c>
      <c r="CQ2843">
        <v>285</v>
      </c>
      <c r="CR2843">
        <v>1</v>
      </c>
      <c r="CW2843">
        <v>8871411</v>
      </c>
      <c r="CY2843">
        <v>0</v>
      </c>
      <c r="CZ2843">
        <v>0</v>
      </c>
      <c r="DA2843">
        <v>1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25">
      <c r="A2844" t="str">
        <f t="shared" si="1569"/>
        <v>06/05/2020 14:55:55.425</v>
      </c>
      <c r="C2844" t="str">
        <f t="shared" si="1540"/>
        <v>FFDFD3C0</v>
      </c>
      <c r="D2844" t="s">
        <v>151</v>
      </c>
      <c r="E2844">
        <v>9</v>
      </c>
      <c r="H2844">
        <v>226</v>
      </c>
      <c r="I2844" t="s">
        <v>152</v>
      </c>
      <c r="J2844" t="s">
        <v>150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570"/>
        <v>14:56:01.039</v>
      </c>
      <c r="T2844" t="str">
        <f t="shared" si="1571"/>
        <v>14:56:00.939</v>
      </c>
      <c r="U2844" t="str">
        <f t="shared" si="1560"/>
        <v>ACC530</v>
      </c>
      <c r="V2844">
        <v>0</v>
      </c>
      <c r="W2844">
        <v>0</v>
      </c>
      <c r="X2844">
        <v>1</v>
      </c>
      <c r="Z2844">
        <v>0</v>
      </c>
      <c r="AA2844">
        <v>9</v>
      </c>
      <c r="AB2844">
        <v>3</v>
      </c>
      <c r="AC2844">
        <v>0</v>
      </c>
      <c r="AD2844">
        <v>9</v>
      </c>
      <c r="AE2844">
        <v>0</v>
      </c>
      <c r="AF2844">
        <v>3</v>
      </c>
      <c r="AG2844">
        <v>1</v>
      </c>
      <c r="AH2844">
        <v>0</v>
      </c>
      <c r="AI2844" t="s">
        <v>972</v>
      </c>
      <c r="AJ2844">
        <v>34.121625000000002</v>
      </c>
      <c r="AK2844" t="s">
        <v>925</v>
      </c>
      <c r="AL2844">
        <v>-117.057095</v>
      </c>
      <c r="AM2844">
        <v>100</v>
      </c>
      <c r="AN2844">
        <v>6300</v>
      </c>
      <c r="AO2844" t="s">
        <v>118</v>
      </c>
      <c r="AP2844">
        <v>18</v>
      </c>
      <c r="AQ2844">
        <v>-105</v>
      </c>
      <c r="AR2844">
        <v>-960</v>
      </c>
      <c r="AZ2844">
        <v>1200</v>
      </c>
      <c r="BA2844">
        <v>1</v>
      </c>
      <c r="BB2844" t="str">
        <f t="shared" si="1561"/>
        <v xml:space="preserve">N9217B  </v>
      </c>
      <c r="BC2844">
        <v>1</v>
      </c>
      <c r="BE2844">
        <v>0</v>
      </c>
      <c r="BF2844">
        <v>0</v>
      </c>
      <c r="BG2844">
        <v>0</v>
      </c>
      <c r="BH2844">
        <v>6225</v>
      </c>
      <c r="BI2844">
        <v>1</v>
      </c>
      <c r="BJ2844">
        <v>0</v>
      </c>
      <c r="BK2844">
        <v>0</v>
      </c>
      <c r="BL2844">
        <v>0</v>
      </c>
      <c r="BO2844">
        <v>0</v>
      </c>
      <c r="BP2844">
        <v>0</v>
      </c>
      <c r="BW2844" t="str">
        <f t="shared" si="1572"/>
        <v>14:56:01.047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5</v>
      </c>
      <c r="CP2844" t="s">
        <v>119</v>
      </c>
      <c r="CQ2844">
        <v>285</v>
      </c>
      <c r="CR2844">
        <v>1</v>
      </c>
      <c r="CW2844">
        <v>8871411</v>
      </c>
      <c r="CY2844">
        <v>0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25">
      <c r="A2845" t="str">
        <f t="shared" ref="A2845:A2851" si="1573">"06/05/2020 14:55:56.438"</f>
        <v>06/05/2020 14:55:56.438</v>
      </c>
      <c r="C2845" t="str">
        <f t="shared" si="1540"/>
        <v>FFDFD3C0</v>
      </c>
      <c r="D2845" t="s">
        <v>148</v>
      </c>
      <c r="E2845">
        <v>8</v>
      </c>
      <c r="H2845">
        <v>50</v>
      </c>
      <c r="I2845" t="s">
        <v>149</v>
      </c>
      <c r="J2845" t="s">
        <v>150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ref="S2845:S2851" si="1574">"14:56:02.078"</f>
        <v>14:56:02.078</v>
      </c>
      <c r="T2845" t="str">
        <f t="shared" ref="T2845:T2851" si="1575">"14:56:01.878"</f>
        <v>14:56:01.878</v>
      </c>
      <c r="U2845" t="str">
        <f t="shared" si="1560"/>
        <v>ACC530</v>
      </c>
      <c r="V2845">
        <v>0</v>
      </c>
      <c r="W2845">
        <v>0</v>
      </c>
      <c r="X2845">
        <v>1</v>
      </c>
      <c r="Z2845">
        <v>0</v>
      </c>
      <c r="AA2845">
        <v>9</v>
      </c>
      <c r="AB2845">
        <v>3</v>
      </c>
      <c r="AC2845">
        <v>0</v>
      </c>
      <c r="AD2845">
        <v>9</v>
      </c>
      <c r="AE2845">
        <v>0</v>
      </c>
      <c r="AF2845">
        <v>3</v>
      </c>
      <c r="AG2845">
        <v>1</v>
      </c>
      <c r="AH2845">
        <v>0</v>
      </c>
      <c r="AI2845" t="s">
        <v>973</v>
      </c>
      <c r="AJ2845">
        <v>34.121110000000002</v>
      </c>
      <c r="AK2845" t="s">
        <v>974</v>
      </c>
      <c r="AL2845">
        <v>-117.056923</v>
      </c>
      <c r="AM2845">
        <v>100</v>
      </c>
      <c r="AN2845">
        <v>6300</v>
      </c>
      <c r="AO2845" t="s">
        <v>118</v>
      </c>
      <c r="AP2845">
        <v>19</v>
      </c>
      <c r="AQ2845">
        <v>-105</v>
      </c>
      <c r="AR2845">
        <v>-960</v>
      </c>
      <c r="AZ2845">
        <v>1200</v>
      </c>
      <c r="BA2845">
        <v>1</v>
      </c>
      <c r="BB2845" t="str">
        <f t="shared" si="1561"/>
        <v xml:space="preserve">N9217B  </v>
      </c>
      <c r="BC2845">
        <v>1</v>
      </c>
      <c r="BE2845">
        <v>0</v>
      </c>
      <c r="BF2845">
        <v>0</v>
      </c>
      <c r="BG2845">
        <v>0</v>
      </c>
      <c r="BH2845">
        <v>6225</v>
      </c>
      <c r="BI2845">
        <v>1</v>
      </c>
      <c r="BJ2845">
        <v>0</v>
      </c>
      <c r="BK2845">
        <v>0</v>
      </c>
      <c r="BL2845">
        <v>0</v>
      </c>
      <c r="BO2845">
        <v>0</v>
      </c>
      <c r="BP2845">
        <v>0</v>
      </c>
      <c r="BW2845" t="str">
        <f t="shared" ref="BW2845:BW2851" si="1576">"14:56:02.082"</f>
        <v>14:56:02.082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285</v>
      </c>
      <c r="CR2845">
        <v>0</v>
      </c>
      <c r="CW2845">
        <v>8871504</v>
      </c>
      <c r="CY2845">
        <v>0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25">
      <c r="A2846" t="str">
        <f t="shared" si="1573"/>
        <v>06/05/2020 14:55:56.438</v>
      </c>
      <c r="C2846" t="str">
        <f t="shared" si="1540"/>
        <v>FFDFD3C0</v>
      </c>
      <c r="D2846" t="s">
        <v>113</v>
      </c>
      <c r="E2846">
        <v>3</v>
      </c>
      <c r="H2846">
        <v>166</v>
      </c>
      <c r="I2846" t="s">
        <v>114</v>
      </c>
      <c r="J2846" t="s">
        <v>115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574"/>
        <v>14:56:02.078</v>
      </c>
      <c r="T2846" t="str">
        <f t="shared" si="1575"/>
        <v>14:56:01.878</v>
      </c>
      <c r="U2846" t="str">
        <f t="shared" si="1560"/>
        <v>ACC530</v>
      </c>
      <c r="V2846">
        <v>0</v>
      </c>
      <c r="W2846">
        <v>0</v>
      </c>
      <c r="X2846">
        <v>1</v>
      </c>
      <c r="Z2846">
        <v>0</v>
      </c>
      <c r="AA2846">
        <v>9</v>
      </c>
      <c r="AB2846">
        <v>3</v>
      </c>
      <c r="AC2846">
        <v>0</v>
      </c>
      <c r="AD2846">
        <v>9</v>
      </c>
      <c r="AE2846">
        <v>0</v>
      </c>
      <c r="AF2846">
        <v>3</v>
      </c>
      <c r="AG2846">
        <v>1</v>
      </c>
      <c r="AH2846">
        <v>0</v>
      </c>
      <c r="AI2846" t="s">
        <v>973</v>
      </c>
      <c r="AJ2846">
        <v>34.121110000000002</v>
      </c>
      <c r="AK2846" t="s">
        <v>974</v>
      </c>
      <c r="AL2846">
        <v>-117.056923</v>
      </c>
      <c r="AM2846">
        <v>100</v>
      </c>
      <c r="AN2846">
        <v>6300</v>
      </c>
      <c r="AO2846" t="s">
        <v>118</v>
      </c>
      <c r="AP2846">
        <v>19</v>
      </c>
      <c r="AQ2846">
        <v>-105</v>
      </c>
      <c r="AR2846">
        <v>-960</v>
      </c>
      <c r="AZ2846">
        <v>1200</v>
      </c>
      <c r="BA2846">
        <v>1</v>
      </c>
      <c r="BB2846" t="str">
        <f t="shared" si="1561"/>
        <v xml:space="preserve">N9217B  </v>
      </c>
      <c r="BC2846">
        <v>1</v>
      </c>
      <c r="BE2846">
        <v>0</v>
      </c>
      <c r="BF2846">
        <v>0</v>
      </c>
      <c r="BG2846">
        <v>0</v>
      </c>
      <c r="BH2846">
        <v>6225</v>
      </c>
      <c r="BI2846">
        <v>1</v>
      </c>
      <c r="BJ2846">
        <v>0</v>
      </c>
      <c r="BK2846">
        <v>0</v>
      </c>
      <c r="BL2846">
        <v>0</v>
      </c>
      <c r="BO2846">
        <v>0</v>
      </c>
      <c r="BP2846">
        <v>0</v>
      </c>
      <c r="BW2846" t="str">
        <f t="shared" si="1576"/>
        <v>14:56:02.082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285</v>
      </c>
      <c r="CR2846">
        <v>0</v>
      </c>
      <c r="CW2846">
        <v>8871504</v>
      </c>
      <c r="CY2846">
        <v>0</v>
      </c>
      <c r="CZ2846">
        <v>0</v>
      </c>
      <c r="DA2846">
        <v>1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25">
      <c r="A2847" t="str">
        <f t="shared" si="1573"/>
        <v>06/05/2020 14:55:56.438</v>
      </c>
      <c r="C2847" t="str">
        <f t="shared" si="1540"/>
        <v>FFDFD3C0</v>
      </c>
      <c r="D2847" t="s">
        <v>134</v>
      </c>
      <c r="E2847">
        <v>7</v>
      </c>
      <c r="F2847">
        <v>2007</v>
      </c>
      <c r="G2847" t="s">
        <v>135</v>
      </c>
      <c r="J2847" t="s">
        <v>136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574"/>
        <v>14:56:02.078</v>
      </c>
      <c r="T2847" t="str">
        <f t="shared" si="1575"/>
        <v>14:56:01.878</v>
      </c>
      <c r="U2847" t="str">
        <f t="shared" si="1560"/>
        <v>ACC530</v>
      </c>
      <c r="V2847">
        <v>0</v>
      </c>
      <c r="W2847">
        <v>0</v>
      </c>
      <c r="X2847">
        <v>1</v>
      </c>
      <c r="Z2847">
        <v>0</v>
      </c>
      <c r="AA2847">
        <v>9</v>
      </c>
      <c r="AB2847">
        <v>3</v>
      </c>
      <c r="AC2847">
        <v>0</v>
      </c>
      <c r="AD2847">
        <v>9</v>
      </c>
      <c r="AE2847">
        <v>0</v>
      </c>
      <c r="AF2847">
        <v>3</v>
      </c>
      <c r="AG2847">
        <v>1</v>
      </c>
      <c r="AH2847">
        <v>0</v>
      </c>
      <c r="AI2847" t="s">
        <v>973</v>
      </c>
      <c r="AJ2847">
        <v>34.121110000000002</v>
      </c>
      <c r="AK2847" t="s">
        <v>974</v>
      </c>
      <c r="AL2847">
        <v>-117.056923</v>
      </c>
      <c r="AM2847">
        <v>100</v>
      </c>
      <c r="AN2847">
        <v>6300</v>
      </c>
      <c r="AO2847" t="s">
        <v>118</v>
      </c>
      <c r="AP2847">
        <v>19</v>
      </c>
      <c r="AQ2847">
        <v>-105</v>
      </c>
      <c r="AR2847">
        <v>-960</v>
      </c>
      <c r="AZ2847">
        <v>1200</v>
      </c>
      <c r="BA2847">
        <v>1</v>
      </c>
      <c r="BB2847" t="str">
        <f t="shared" si="1561"/>
        <v xml:space="preserve">N9217B  </v>
      </c>
      <c r="BC2847">
        <v>1</v>
      </c>
      <c r="BE2847">
        <v>0</v>
      </c>
      <c r="BF2847">
        <v>0</v>
      </c>
      <c r="BG2847">
        <v>0</v>
      </c>
      <c r="BH2847">
        <v>6225</v>
      </c>
      <c r="BI2847">
        <v>1</v>
      </c>
      <c r="BJ2847">
        <v>0</v>
      </c>
      <c r="BK2847">
        <v>0</v>
      </c>
      <c r="BL2847">
        <v>0</v>
      </c>
      <c r="BO2847">
        <v>0</v>
      </c>
      <c r="BP2847">
        <v>0</v>
      </c>
      <c r="BW2847" t="str">
        <f t="shared" si="1576"/>
        <v>14:56:02.082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119</v>
      </c>
      <c r="CQ2847">
        <v>285</v>
      </c>
      <c r="CR2847">
        <v>0</v>
      </c>
      <c r="CW2847">
        <v>8871504</v>
      </c>
      <c r="CY2847">
        <v>0</v>
      </c>
      <c r="CZ2847">
        <v>0</v>
      </c>
      <c r="DA2847">
        <v>1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25">
      <c r="A2848" t="str">
        <f t="shared" si="1573"/>
        <v>06/05/2020 14:55:56.438</v>
      </c>
      <c r="C2848" t="str">
        <f t="shared" si="1540"/>
        <v>FFDFD3C0</v>
      </c>
      <c r="D2848" t="s">
        <v>151</v>
      </c>
      <c r="E2848">
        <v>8</v>
      </c>
      <c r="H2848">
        <v>225</v>
      </c>
      <c r="I2848" t="s">
        <v>353</v>
      </c>
      <c r="J2848" t="s">
        <v>150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574"/>
        <v>14:56:02.078</v>
      </c>
      <c r="T2848" t="str">
        <f t="shared" si="1575"/>
        <v>14:56:01.878</v>
      </c>
      <c r="U2848" t="str">
        <f t="shared" si="1560"/>
        <v>ACC530</v>
      </c>
      <c r="V2848">
        <v>0</v>
      </c>
      <c r="W2848">
        <v>0</v>
      </c>
      <c r="X2848">
        <v>1</v>
      </c>
      <c r="Z2848">
        <v>0</v>
      </c>
      <c r="AA2848">
        <v>9</v>
      </c>
      <c r="AB2848">
        <v>3</v>
      </c>
      <c r="AC2848">
        <v>0</v>
      </c>
      <c r="AD2848">
        <v>9</v>
      </c>
      <c r="AE2848">
        <v>0</v>
      </c>
      <c r="AF2848">
        <v>3</v>
      </c>
      <c r="AG2848">
        <v>1</v>
      </c>
      <c r="AH2848">
        <v>0</v>
      </c>
      <c r="AI2848" t="s">
        <v>973</v>
      </c>
      <c r="AJ2848">
        <v>34.121110000000002</v>
      </c>
      <c r="AK2848" t="s">
        <v>974</v>
      </c>
      <c r="AL2848">
        <v>-117.056923</v>
      </c>
      <c r="AM2848">
        <v>100</v>
      </c>
      <c r="AN2848">
        <v>6300</v>
      </c>
      <c r="AO2848" t="s">
        <v>118</v>
      </c>
      <c r="AP2848">
        <v>19</v>
      </c>
      <c r="AQ2848">
        <v>-105</v>
      </c>
      <c r="AR2848">
        <v>-960</v>
      </c>
      <c r="AZ2848">
        <v>1200</v>
      </c>
      <c r="BA2848">
        <v>1</v>
      </c>
      <c r="BB2848" t="str">
        <f t="shared" si="1561"/>
        <v xml:space="preserve">N9217B  </v>
      </c>
      <c r="BC2848">
        <v>1</v>
      </c>
      <c r="BE2848">
        <v>0</v>
      </c>
      <c r="BF2848">
        <v>0</v>
      </c>
      <c r="BG2848">
        <v>0</v>
      </c>
      <c r="BH2848">
        <v>6225</v>
      </c>
      <c r="BI2848">
        <v>1</v>
      </c>
      <c r="BJ2848">
        <v>0</v>
      </c>
      <c r="BK2848">
        <v>0</v>
      </c>
      <c r="BL2848">
        <v>0</v>
      </c>
      <c r="BO2848">
        <v>0</v>
      </c>
      <c r="BP2848">
        <v>0</v>
      </c>
      <c r="BW2848" t="str">
        <f t="shared" si="1576"/>
        <v>14:56:02.082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285</v>
      </c>
      <c r="CR2848">
        <v>0</v>
      </c>
      <c r="CW2848">
        <v>8871504</v>
      </c>
      <c r="CY2848">
        <v>0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25">
      <c r="A2849" t="str">
        <f t="shared" si="1573"/>
        <v>06/05/2020 14:55:56.438</v>
      </c>
      <c r="C2849" t="str">
        <f t="shared" si="1540"/>
        <v>FFDFD3C0</v>
      </c>
      <c r="D2849" t="s">
        <v>141</v>
      </c>
      <c r="E2849">
        <v>20</v>
      </c>
      <c r="F2849">
        <v>1020</v>
      </c>
      <c r="G2849" t="s">
        <v>114</v>
      </c>
      <c r="J2849" t="s">
        <v>142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574"/>
        <v>14:56:02.078</v>
      </c>
      <c r="T2849" t="str">
        <f t="shared" si="1575"/>
        <v>14:56:01.878</v>
      </c>
      <c r="U2849" t="str">
        <f t="shared" si="1560"/>
        <v>ACC530</v>
      </c>
      <c r="V2849">
        <v>0</v>
      </c>
      <c r="W2849">
        <v>0</v>
      </c>
      <c r="X2849">
        <v>1</v>
      </c>
      <c r="Z2849">
        <v>0</v>
      </c>
      <c r="AA2849">
        <v>9</v>
      </c>
      <c r="AB2849">
        <v>3</v>
      </c>
      <c r="AC2849">
        <v>0</v>
      </c>
      <c r="AD2849">
        <v>9</v>
      </c>
      <c r="AE2849">
        <v>0</v>
      </c>
      <c r="AF2849">
        <v>3</v>
      </c>
      <c r="AG2849">
        <v>1</v>
      </c>
      <c r="AH2849">
        <v>0</v>
      </c>
      <c r="AI2849" t="s">
        <v>973</v>
      </c>
      <c r="AJ2849">
        <v>34.121110000000002</v>
      </c>
      <c r="AK2849" t="s">
        <v>974</v>
      </c>
      <c r="AL2849">
        <v>-117.056923</v>
      </c>
      <c r="AM2849">
        <v>100</v>
      </c>
      <c r="AN2849">
        <v>6300</v>
      </c>
      <c r="AO2849" t="s">
        <v>118</v>
      </c>
      <c r="AP2849">
        <v>19</v>
      </c>
      <c r="AQ2849">
        <v>-105</v>
      </c>
      <c r="AR2849">
        <v>-960</v>
      </c>
      <c r="AZ2849">
        <v>1200</v>
      </c>
      <c r="BA2849">
        <v>1</v>
      </c>
      <c r="BB2849" t="str">
        <f t="shared" si="1561"/>
        <v xml:space="preserve">N9217B  </v>
      </c>
      <c r="BC2849">
        <v>1</v>
      </c>
      <c r="BE2849">
        <v>0</v>
      </c>
      <c r="BF2849">
        <v>0</v>
      </c>
      <c r="BG2849">
        <v>0</v>
      </c>
      <c r="BH2849">
        <v>6225</v>
      </c>
      <c r="BI2849">
        <v>1</v>
      </c>
      <c r="BJ2849">
        <v>0</v>
      </c>
      <c r="BK2849">
        <v>0</v>
      </c>
      <c r="BL2849">
        <v>0</v>
      </c>
      <c r="BO2849">
        <v>0</v>
      </c>
      <c r="BP2849">
        <v>0</v>
      </c>
      <c r="BW2849" t="str">
        <f t="shared" si="1576"/>
        <v>14:56:02.082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7</v>
      </c>
      <c r="CP2849" t="s">
        <v>119</v>
      </c>
      <c r="CQ2849">
        <v>285</v>
      </c>
      <c r="CR2849">
        <v>0</v>
      </c>
      <c r="CW2849">
        <v>8871504</v>
      </c>
      <c r="CY2849">
        <v>0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25">
      <c r="A2850" t="str">
        <f t="shared" si="1573"/>
        <v>06/05/2020 14:55:56.438</v>
      </c>
      <c r="C2850" t="str">
        <f t="shared" si="1540"/>
        <v>FFDFD3C0</v>
      </c>
      <c r="D2850" t="s">
        <v>148</v>
      </c>
      <c r="E2850">
        <v>11</v>
      </c>
      <c r="H2850">
        <v>53</v>
      </c>
      <c r="I2850" t="s">
        <v>364</v>
      </c>
      <c r="J2850" t="s">
        <v>150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574"/>
        <v>14:56:02.078</v>
      </c>
      <c r="T2850" t="str">
        <f t="shared" si="1575"/>
        <v>14:56:01.878</v>
      </c>
      <c r="U2850" t="str">
        <f t="shared" si="1560"/>
        <v>ACC530</v>
      </c>
      <c r="V2850">
        <v>0</v>
      </c>
      <c r="W2850">
        <v>0</v>
      </c>
      <c r="X2850">
        <v>1</v>
      </c>
      <c r="Z2850">
        <v>0</v>
      </c>
      <c r="AA2850">
        <v>9</v>
      </c>
      <c r="AB2850">
        <v>3</v>
      </c>
      <c r="AC2850">
        <v>0</v>
      </c>
      <c r="AD2850">
        <v>9</v>
      </c>
      <c r="AE2850">
        <v>0</v>
      </c>
      <c r="AF2850">
        <v>3</v>
      </c>
      <c r="AG2850">
        <v>1</v>
      </c>
      <c r="AH2850">
        <v>0</v>
      </c>
      <c r="AI2850" t="s">
        <v>973</v>
      </c>
      <c r="AJ2850">
        <v>34.121110000000002</v>
      </c>
      <c r="AK2850" t="s">
        <v>974</v>
      </c>
      <c r="AL2850">
        <v>-117.056923</v>
      </c>
      <c r="AM2850">
        <v>100</v>
      </c>
      <c r="AN2850">
        <v>6300</v>
      </c>
      <c r="AO2850" t="s">
        <v>118</v>
      </c>
      <c r="AP2850">
        <v>19</v>
      </c>
      <c r="AQ2850">
        <v>-105</v>
      </c>
      <c r="AR2850">
        <v>-960</v>
      </c>
      <c r="AZ2850">
        <v>1200</v>
      </c>
      <c r="BA2850">
        <v>1</v>
      </c>
      <c r="BB2850" t="str">
        <f t="shared" si="1561"/>
        <v xml:space="preserve">N9217B  </v>
      </c>
      <c r="BC2850">
        <v>1</v>
      </c>
      <c r="BE2850">
        <v>0</v>
      </c>
      <c r="BF2850">
        <v>0</v>
      </c>
      <c r="BG2850">
        <v>0</v>
      </c>
      <c r="BH2850">
        <v>6225</v>
      </c>
      <c r="BI2850">
        <v>1</v>
      </c>
      <c r="BJ2850">
        <v>0</v>
      </c>
      <c r="BK2850">
        <v>0</v>
      </c>
      <c r="BL2850">
        <v>0</v>
      </c>
      <c r="BO2850">
        <v>0</v>
      </c>
      <c r="BP2850">
        <v>0</v>
      </c>
      <c r="BW2850" t="str">
        <f t="shared" si="1576"/>
        <v>14:56:02.082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7</v>
      </c>
      <c r="CP2850" t="s">
        <v>119</v>
      </c>
      <c r="CQ2850">
        <v>285</v>
      </c>
      <c r="CR2850">
        <v>0</v>
      </c>
      <c r="CW2850">
        <v>8871504</v>
      </c>
      <c r="CY2850">
        <v>0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25">
      <c r="A2851" t="str">
        <f t="shared" si="1573"/>
        <v>06/05/2020 14:55:56.438</v>
      </c>
      <c r="C2851" t="str">
        <f t="shared" ref="C2851:C2914" si="1577">"FFDFD3C0"</f>
        <v>FFDFD3C0</v>
      </c>
      <c r="D2851" t="s">
        <v>151</v>
      </c>
      <c r="E2851">
        <v>9</v>
      </c>
      <c r="H2851">
        <v>226</v>
      </c>
      <c r="I2851" t="s">
        <v>152</v>
      </c>
      <c r="J2851" t="s">
        <v>150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574"/>
        <v>14:56:02.078</v>
      </c>
      <c r="T2851" t="str">
        <f t="shared" si="1575"/>
        <v>14:56:01.878</v>
      </c>
      <c r="U2851" t="str">
        <f t="shared" si="1560"/>
        <v>ACC530</v>
      </c>
      <c r="V2851">
        <v>0</v>
      </c>
      <c r="W2851">
        <v>0</v>
      </c>
      <c r="X2851">
        <v>1</v>
      </c>
      <c r="Z2851">
        <v>0</v>
      </c>
      <c r="AA2851">
        <v>9</v>
      </c>
      <c r="AB2851">
        <v>3</v>
      </c>
      <c r="AC2851">
        <v>0</v>
      </c>
      <c r="AD2851">
        <v>9</v>
      </c>
      <c r="AE2851">
        <v>0</v>
      </c>
      <c r="AF2851">
        <v>3</v>
      </c>
      <c r="AG2851">
        <v>1</v>
      </c>
      <c r="AH2851">
        <v>0</v>
      </c>
      <c r="AI2851" t="s">
        <v>973</v>
      </c>
      <c r="AJ2851">
        <v>34.121110000000002</v>
      </c>
      <c r="AK2851" t="s">
        <v>974</v>
      </c>
      <c r="AL2851">
        <v>-117.056923</v>
      </c>
      <c r="AM2851">
        <v>100</v>
      </c>
      <c r="AN2851">
        <v>6300</v>
      </c>
      <c r="AO2851" t="s">
        <v>118</v>
      </c>
      <c r="AP2851">
        <v>19</v>
      </c>
      <c r="AQ2851">
        <v>-105</v>
      </c>
      <c r="AR2851">
        <v>-960</v>
      </c>
      <c r="AZ2851">
        <v>1200</v>
      </c>
      <c r="BA2851">
        <v>1</v>
      </c>
      <c r="BB2851" t="str">
        <f t="shared" si="1561"/>
        <v xml:space="preserve">N9217B  </v>
      </c>
      <c r="BC2851">
        <v>1</v>
      </c>
      <c r="BE2851">
        <v>0</v>
      </c>
      <c r="BF2851">
        <v>0</v>
      </c>
      <c r="BG2851">
        <v>0</v>
      </c>
      <c r="BH2851">
        <v>6225</v>
      </c>
      <c r="BI2851">
        <v>1</v>
      </c>
      <c r="BJ2851">
        <v>0</v>
      </c>
      <c r="BK2851">
        <v>0</v>
      </c>
      <c r="BL2851">
        <v>0</v>
      </c>
      <c r="BO2851">
        <v>0</v>
      </c>
      <c r="BP2851">
        <v>0</v>
      </c>
      <c r="BW2851" t="str">
        <f t="shared" si="1576"/>
        <v>14:56:02.082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7</v>
      </c>
      <c r="CP2851" t="s">
        <v>119</v>
      </c>
      <c r="CQ2851">
        <v>285</v>
      </c>
      <c r="CR2851">
        <v>0</v>
      </c>
      <c r="CW2851">
        <v>8871504</v>
      </c>
      <c r="CY2851">
        <v>0</v>
      </c>
      <c r="CZ2851">
        <v>0</v>
      </c>
      <c r="DA2851">
        <v>1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25">
      <c r="A2852" t="str">
        <f t="shared" ref="A2852:A2858" si="1578">"06/05/2020 14:55:57.399"</f>
        <v>06/05/2020 14:55:57.399</v>
      </c>
      <c r="C2852" t="str">
        <f t="shared" si="1577"/>
        <v>FFDFD3C0</v>
      </c>
      <c r="D2852" t="s">
        <v>148</v>
      </c>
      <c r="E2852">
        <v>8</v>
      </c>
      <c r="H2852">
        <v>50</v>
      </c>
      <c r="I2852" t="s">
        <v>149</v>
      </c>
      <c r="J2852" t="s">
        <v>150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ref="S2852:S2858" si="1579">"14:56:03.055"</f>
        <v>14:56:03.055</v>
      </c>
      <c r="T2852" t="str">
        <f t="shared" ref="T2852:T2858" si="1580">"14:56:02.955"</f>
        <v>14:56:02.955</v>
      </c>
      <c r="U2852" t="str">
        <f t="shared" si="1560"/>
        <v>ACC530</v>
      </c>
      <c r="V2852">
        <v>0</v>
      </c>
      <c r="W2852">
        <v>0</v>
      </c>
      <c r="X2852">
        <v>1</v>
      </c>
      <c r="Z2852">
        <v>0</v>
      </c>
      <c r="AA2852">
        <v>9</v>
      </c>
      <c r="AB2852">
        <v>3</v>
      </c>
      <c r="AC2852">
        <v>0</v>
      </c>
      <c r="AD2852">
        <v>9</v>
      </c>
      <c r="AE2852">
        <v>0</v>
      </c>
      <c r="AF2852">
        <v>3</v>
      </c>
      <c r="AG2852">
        <v>1</v>
      </c>
      <c r="AH2852">
        <v>0</v>
      </c>
      <c r="AI2852" t="s">
        <v>975</v>
      </c>
      <c r="AJ2852">
        <v>34.120595000000002</v>
      </c>
      <c r="AK2852" t="s">
        <v>976</v>
      </c>
      <c r="AL2852">
        <v>-117.056859</v>
      </c>
      <c r="AM2852">
        <v>100</v>
      </c>
      <c r="AN2852">
        <v>6300</v>
      </c>
      <c r="AO2852" t="s">
        <v>118</v>
      </c>
      <c r="AP2852">
        <v>19</v>
      </c>
      <c r="AQ2852">
        <v>-106</v>
      </c>
      <c r="AR2852">
        <v>-1024</v>
      </c>
      <c r="AZ2852">
        <v>1200</v>
      </c>
      <c r="BA2852">
        <v>1</v>
      </c>
      <c r="BB2852" t="str">
        <f t="shared" si="1561"/>
        <v xml:space="preserve">N9217B  </v>
      </c>
      <c r="BC2852">
        <v>1</v>
      </c>
      <c r="BE2852">
        <v>0</v>
      </c>
      <c r="BF2852">
        <v>0</v>
      </c>
      <c r="BG2852">
        <v>0</v>
      </c>
      <c r="BH2852">
        <v>6200</v>
      </c>
      <c r="BI2852">
        <v>1</v>
      </c>
      <c r="BJ2852">
        <v>0</v>
      </c>
      <c r="BK2852">
        <v>0</v>
      </c>
      <c r="BL2852">
        <v>0</v>
      </c>
      <c r="BO2852">
        <v>0</v>
      </c>
      <c r="BP2852">
        <v>0</v>
      </c>
      <c r="BW2852" t="str">
        <f t="shared" ref="BW2852:BW2858" si="1581">"14:56:03.057"</f>
        <v>14:56:03.057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5</v>
      </c>
      <c r="CP2852" t="s">
        <v>119</v>
      </c>
      <c r="CQ2852">
        <v>285</v>
      </c>
      <c r="CR2852">
        <v>1</v>
      </c>
      <c r="CW2852">
        <v>8871591</v>
      </c>
      <c r="CY2852">
        <v>0</v>
      </c>
      <c r="CZ2852">
        <v>0</v>
      </c>
      <c r="DA2852">
        <v>0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25">
      <c r="A2853" t="str">
        <f t="shared" si="1578"/>
        <v>06/05/2020 14:55:57.399</v>
      </c>
      <c r="C2853" t="str">
        <f t="shared" si="1577"/>
        <v>FFDFD3C0</v>
      </c>
      <c r="D2853" t="s">
        <v>113</v>
      </c>
      <c r="E2853">
        <v>3</v>
      </c>
      <c r="H2853">
        <v>166</v>
      </c>
      <c r="I2853" t="s">
        <v>114</v>
      </c>
      <c r="J2853" t="s">
        <v>115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579"/>
        <v>14:56:03.055</v>
      </c>
      <c r="T2853" t="str">
        <f t="shared" si="1580"/>
        <v>14:56:02.955</v>
      </c>
      <c r="U2853" t="str">
        <f t="shared" si="1560"/>
        <v>ACC530</v>
      </c>
      <c r="V2853">
        <v>0</v>
      </c>
      <c r="W2853">
        <v>0</v>
      </c>
      <c r="X2853">
        <v>1</v>
      </c>
      <c r="Z2853">
        <v>0</v>
      </c>
      <c r="AA2853">
        <v>9</v>
      </c>
      <c r="AB2853">
        <v>3</v>
      </c>
      <c r="AC2853">
        <v>0</v>
      </c>
      <c r="AD2853">
        <v>9</v>
      </c>
      <c r="AE2853">
        <v>0</v>
      </c>
      <c r="AF2853">
        <v>3</v>
      </c>
      <c r="AG2853">
        <v>1</v>
      </c>
      <c r="AH2853">
        <v>0</v>
      </c>
      <c r="AI2853" t="s">
        <v>975</v>
      </c>
      <c r="AJ2853">
        <v>34.120595000000002</v>
      </c>
      <c r="AK2853" t="s">
        <v>976</v>
      </c>
      <c r="AL2853">
        <v>-117.056859</v>
      </c>
      <c r="AM2853">
        <v>100</v>
      </c>
      <c r="AN2853">
        <v>6300</v>
      </c>
      <c r="AO2853" t="s">
        <v>118</v>
      </c>
      <c r="AP2853">
        <v>19</v>
      </c>
      <c r="AQ2853">
        <v>-106</v>
      </c>
      <c r="AR2853">
        <v>-1024</v>
      </c>
      <c r="AZ2853">
        <v>1200</v>
      </c>
      <c r="BA2853">
        <v>1</v>
      </c>
      <c r="BB2853" t="str">
        <f t="shared" si="1561"/>
        <v xml:space="preserve">N9217B  </v>
      </c>
      <c r="BC2853">
        <v>1</v>
      </c>
      <c r="BE2853">
        <v>0</v>
      </c>
      <c r="BF2853">
        <v>0</v>
      </c>
      <c r="BG2853">
        <v>0</v>
      </c>
      <c r="BH2853">
        <v>6200</v>
      </c>
      <c r="BI2853">
        <v>1</v>
      </c>
      <c r="BJ2853">
        <v>0</v>
      </c>
      <c r="BK2853">
        <v>0</v>
      </c>
      <c r="BL2853">
        <v>0</v>
      </c>
      <c r="BO2853">
        <v>0</v>
      </c>
      <c r="BP2853">
        <v>0</v>
      </c>
      <c r="BW2853" t="str">
        <f t="shared" si="1581"/>
        <v>14:56:03.057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5</v>
      </c>
      <c r="CP2853" t="s">
        <v>119</v>
      </c>
      <c r="CQ2853">
        <v>285</v>
      </c>
      <c r="CR2853">
        <v>1</v>
      </c>
      <c r="CW2853">
        <v>8871591</v>
      </c>
      <c r="CY2853">
        <v>0</v>
      </c>
      <c r="CZ2853">
        <v>0</v>
      </c>
      <c r="DA2853">
        <v>1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25">
      <c r="A2854" t="str">
        <f t="shared" si="1578"/>
        <v>06/05/2020 14:55:57.399</v>
      </c>
      <c r="C2854" t="str">
        <f t="shared" si="1577"/>
        <v>FFDFD3C0</v>
      </c>
      <c r="D2854" t="s">
        <v>134</v>
      </c>
      <c r="E2854">
        <v>7</v>
      </c>
      <c r="F2854">
        <v>2007</v>
      </c>
      <c r="G2854" t="s">
        <v>135</v>
      </c>
      <c r="J2854" t="s">
        <v>136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si="1579"/>
        <v>14:56:03.055</v>
      </c>
      <c r="T2854" t="str">
        <f t="shared" si="1580"/>
        <v>14:56:02.955</v>
      </c>
      <c r="U2854" t="str">
        <f t="shared" si="1560"/>
        <v>ACC530</v>
      </c>
      <c r="V2854">
        <v>0</v>
      </c>
      <c r="W2854">
        <v>0</v>
      </c>
      <c r="X2854">
        <v>1</v>
      </c>
      <c r="Z2854">
        <v>0</v>
      </c>
      <c r="AA2854">
        <v>9</v>
      </c>
      <c r="AB2854">
        <v>3</v>
      </c>
      <c r="AC2854">
        <v>0</v>
      </c>
      <c r="AD2854">
        <v>9</v>
      </c>
      <c r="AE2854">
        <v>0</v>
      </c>
      <c r="AF2854">
        <v>3</v>
      </c>
      <c r="AG2854">
        <v>1</v>
      </c>
      <c r="AH2854">
        <v>0</v>
      </c>
      <c r="AI2854" t="s">
        <v>975</v>
      </c>
      <c r="AJ2854">
        <v>34.120595000000002</v>
      </c>
      <c r="AK2854" t="s">
        <v>976</v>
      </c>
      <c r="AL2854">
        <v>-117.056859</v>
      </c>
      <c r="AM2854">
        <v>100</v>
      </c>
      <c r="AN2854">
        <v>6300</v>
      </c>
      <c r="AO2854" t="s">
        <v>118</v>
      </c>
      <c r="AP2854">
        <v>19</v>
      </c>
      <c r="AQ2854">
        <v>-106</v>
      </c>
      <c r="AR2854">
        <v>-1024</v>
      </c>
      <c r="AZ2854">
        <v>1200</v>
      </c>
      <c r="BA2854">
        <v>1</v>
      </c>
      <c r="BB2854" t="str">
        <f t="shared" si="1561"/>
        <v xml:space="preserve">N9217B  </v>
      </c>
      <c r="BC2854">
        <v>1</v>
      </c>
      <c r="BE2854">
        <v>0</v>
      </c>
      <c r="BF2854">
        <v>0</v>
      </c>
      <c r="BG2854">
        <v>0</v>
      </c>
      <c r="BH2854">
        <v>6200</v>
      </c>
      <c r="BI2854">
        <v>1</v>
      </c>
      <c r="BJ2854">
        <v>0</v>
      </c>
      <c r="BK2854">
        <v>0</v>
      </c>
      <c r="BL2854">
        <v>0</v>
      </c>
      <c r="BO2854">
        <v>0</v>
      </c>
      <c r="BP2854">
        <v>0</v>
      </c>
      <c r="BW2854" t="str">
        <f t="shared" si="1581"/>
        <v>14:56:03.057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5</v>
      </c>
      <c r="CP2854" t="s">
        <v>119</v>
      </c>
      <c r="CQ2854">
        <v>285</v>
      </c>
      <c r="CR2854">
        <v>1</v>
      </c>
      <c r="CW2854">
        <v>8871591</v>
      </c>
      <c r="CY2854">
        <v>0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25">
      <c r="A2855" t="str">
        <f t="shared" si="1578"/>
        <v>06/05/2020 14:55:57.399</v>
      </c>
      <c r="C2855" t="str">
        <f t="shared" si="1577"/>
        <v>FFDFD3C0</v>
      </c>
      <c r="D2855" t="s">
        <v>141</v>
      </c>
      <c r="E2855">
        <v>20</v>
      </c>
      <c r="F2855">
        <v>1020</v>
      </c>
      <c r="G2855" t="s">
        <v>114</v>
      </c>
      <c r="J2855" t="s">
        <v>142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579"/>
        <v>14:56:03.055</v>
      </c>
      <c r="T2855" t="str">
        <f t="shared" si="1580"/>
        <v>14:56:02.955</v>
      </c>
      <c r="U2855" t="str">
        <f t="shared" si="1560"/>
        <v>ACC530</v>
      </c>
      <c r="V2855">
        <v>0</v>
      </c>
      <c r="W2855">
        <v>0</v>
      </c>
      <c r="X2855">
        <v>1</v>
      </c>
      <c r="Z2855">
        <v>0</v>
      </c>
      <c r="AA2855">
        <v>9</v>
      </c>
      <c r="AB2855">
        <v>3</v>
      </c>
      <c r="AC2855">
        <v>0</v>
      </c>
      <c r="AD2855">
        <v>9</v>
      </c>
      <c r="AE2855">
        <v>0</v>
      </c>
      <c r="AF2855">
        <v>3</v>
      </c>
      <c r="AG2855">
        <v>1</v>
      </c>
      <c r="AH2855">
        <v>0</v>
      </c>
      <c r="AI2855" t="s">
        <v>975</v>
      </c>
      <c r="AJ2855">
        <v>34.120595000000002</v>
      </c>
      <c r="AK2855" t="s">
        <v>976</v>
      </c>
      <c r="AL2855">
        <v>-117.056859</v>
      </c>
      <c r="AM2855">
        <v>100</v>
      </c>
      <c r="AN2855">
        <v>6300</v>
      </c>
      <c r="AO2855" t="s">
        <v>118</v>
      </c>
      <c r="AP2855">
        <v>19</v>
      </c>
      <c r="AQ2855">
        <v>-106</v>
      </c>
      <c r="AR2855">
        <v>-1024</v>
      </c>
      <c r="AZ2855">
        <v>1200</v>
      </c>
      <c r="BA2855">
        <v>1</v>
      </c>
      <c r="BB2855" t="str">
        <f t="shared" si="1561"/>
        <v xml:space="preserve">N9217B  </v>
      </c>
      <c r="BC2855">
        <v>1</v>
      </c>
      <c r="BE2855">
        <v>0</v>
      </c>
      <c r="BF2855">
        <v>0</v>
      </c>
      <c r="BG2855">
        <v>0</v>
      </c>
      <c r="BH2855">
        <v>6200</v>
      </c>
      <c r="BI2855">
        <v>1</v>
      </c>
      <c r="BJ2855">
        <v>0</v>
      </c>
      <c r="BK2855">
        <v>0</v>
      </c>
      <c r="BL2855">
        <v>0</v>
      </c>
      <c r="BO2855">
        <v>0</v>
      </c>
      <c r="BP2855">
        <v>0</v>
      </c>
      <c r="BW2855" t="str">
        <f t="shared" si="1581"/>
        <v>14:56:03.057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5</v>
      </c>
      <c r="CP2855" t="s">
        <v>119</v>
      </c>
      <c r="CQ2855">
        <v>285</v>
      </c>
      <c r="CR2855">
        <v>1</v>
      </c>
      <c r="CW2855">
        <v>8871591</v>
      </c>
      <c r="CY2855">
        <v>0</v>
      </c>
      <c r="CZ2855">
        <v>0</v>
      </c>
      <c r="DA2855">
        <v>1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25">
      <c r="A2856" t="str">
        <f t="shared" si="1578"/>
        <v>06/05/2020 14:55:57.399</v>
      </c>
      <c r="C2856" t="str">
        <f t="shared" si="1577"/>
        <v>FFDFD3C0</v>
      </c>
      <c r="D2856" t="s">
        <v>151</v>
      </c>
      <c r="E2856">
        <v>8</v>
      </c>
      <c r="H2856">
        <v>225</v>
      </c>
      <c r="I2856" t="s">
        <v>353</v>
      </c>
      <c r="J2856" t="s">
        <v>150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579"/>
        <v>14:56:03.055</v>
      </c>
      <c r="T2856" t="str">
        <f t="shared" si="1580"/>
        <v>14:56:02.955</v>
      </c>
      <c r="U2856" t="str">
        <f t="shared" si="1560"/>
        <v>ACC530</v>
      </c>
      <c r="V2856">
        <v>0</v>
      </c>
      <c r="W2856">
        <v>0</v>
      </c>
      <c r="X2856">
        <v>1</v>
      </c>
      <c r="Z2856">
        <v>0</v>
      </c>
      <c r="AA2856">
        <v>9</v>
      </c>
      <c r="AB2856">
        <v>3</v>
      </c>
      <c r="AC2856">
        <v>0</v>
      </c>
      <c r="AD2856">
        <v>9</v>
      </c>
      <c r="AE2856">
        <v>0</v>
      </c>
      <c r="AF2856">
        <v>3</v>
      </c>
      <c r="AG2856">
        <v>1</v>
      </c>
      <c r="AH2856">
        <v>0</v>
      </c>
      <c r="AI2856" t="s">
        <v>975</v>
      </c>
      <c r="AJ2856">
        <v>34.120595000000002</v>
      </c>
      <c r="AK2856" t="s">
        <v>976</v>
      </c>
      <c r="AL2856">
        <v>-117.056859</v>
      </c>
      <c r="AM2856">
        <v>100</v>
      </c>
      <c r="AN2856">
        <v>6300</v>
      </c>
      <c r="AO2856" t="s">
        <v>118</v>
      </c>
      <c r="AP2856">
        <v>19</v>
      </c>
      <c r="AQ2856">
        <v>-106</v>
      </c>
      <c r="AR2856">
        <v>-1024</v>
      </c>
      <c r="AZ2856">
        <v>1200</v>
      </c>
      <c r="BA2856">
        <v>1</v>
      </c>
      <c r="BB2856" t="str">
        <f t="shared" si="1561"/>
        <v xml:space="preserve">N9217B  </v>
      </c>
      <c r="BC2856">
        <v>1</v>
      </c>
      <c r="BE2856">
        <v>0</v>
      </c>
      <c r="BF2856">
        <v>0</v>
      </c>
      <c r="BG2856">
        <v>0</v>
      </c>
      <c r="BH2856">
        <v>6200</v>
      </c>
      <c r="BI2856">
        <v>1</v>
      </c>
      <c r="BJ2856">
        <v>0</v>
      </c>
      <c r="BK2856">
        <v>0</v>
      </c>
      <c r="BL2856">
        <v>0</v>
      </c>
      <c r="BO2856">
        <v>0</v>
      </c>
      <c r="BP2856">
        <v>0</v>
      </c>
      <c r="BW2856" t="str">
        <f t="shared" si="1581"/>
        <v>14:56:03.057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5</v>
      </c>
      <c r="CP2856" t="s">
        <v>119</v>
      </c>
      <c r="CQ2856">
        <v>285</v>
      </c>
      <c r="CR2856">
        <v>1</v>
      </c>
      <c r="CW2856">
        <v>8871591</v>
      </c>
      <c r="CY2856">
        <v>0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25">
      <c r="A2857" t="str">
        <f t="shared" si="1578"/>
        <v>06/05/2020 14:55:57.399</v>
      </c>
      <c r="C2857" t="str">
        <f t="shared" si="1577"/>
        <v>FFDFD3C0</v>
      </c>
      <c r="D2857" t="s">
        <v>148</v>
      </c>
      <c r="E2857">
        <v>11</v>
      </c>
      <c r="H2857">
        <v>53</v>
      </c>
      <c r="I2857" t="s">
        <v>364</v>
      </c>
      <c r="J2857" t="s">
        <v>150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579"/>
        <v>14:56:03.055</v>
      </c>
      <c r="T2857" t="str">
        <f t="shared" si="1580"/>
        <v>14:56:02.955</v>
      </c>
      <c r="U2857" t="str">
        <f t="shared" si="1560"/>
        <v>ACC530</v>
      </c>
      <c r="V2857">
        <v>0</v>
      </c>
      <c r="W2857">
        <v>0</v>
      </c>
      <c r="X2857">
        <v>1</v>
      </c>
      <c r="Z2857">
        <v>0</v>
      </c>
      <c r="AA2857">
        <v>9</v>
      </c>
      <c r="AB2857">
        <v>3</v>
      </c>
      <c r="AC2857">
        <v>0</v>
      </c>
      <c r="AD2857">
        <v>9</v>
      </c>
      <c r="AE2857">
        <v>0</v>
      </c>
      <c r="AF2857">
        <v>3</v>
      </c>
      <c r="AG2857">
        <v>1</v>
      </c>
      <c r="AH2857">
        <v>0</v>
      </c>
      <c r="AI2857" t="s">
        <v>975</v>
      </c>
      <c r="AJ2857">
        <v>34.120595000000002</v>
      </c>
      <c r="AK2857" t="s">
        <v>976</v>
      </c>
      <c r="AL2857">
        <v>-117.056859</v>
      </c>
      <c r="AM2857">
        <v>100</v>
      </c>
      <c r="AN2857">
        <v>6300</v>
      </c>
      <c r="AO2857" t="s">
        <v>118</v>
      </c>
      <c r="AP2857">
        <v>19</v>
      </c>
      <c r="AQ2857">
        <v>-106</v>
      </c>
      <c r="AR2857">
        <v>-1024</v>
      </c>
      <c r="AZ2857">
        <v>1200</v>
      </c>
      <c r="BA2857">
        <v>1</v>
      </c>
      <c r="BB2857" t="str">
        <f t="shared" si="1561"/>
        <v xml:space="preserve">N9217B  </v>
      </c>
      <c r="BC2857">
        <v>1</v>
      </c>
      <c r="BE2857">
        <v>0</v>
      </c>
      <c r="BF2857">
        <v>0</v>
      </c>
      <c r="BG2857">
        <v>0</v>
      </c>
      <c r="BH2857">
        <v>6200</v>
      </c>
      <c r="BI2857">
        <v>1</v>
      </c>
      <c r="BJ2857">
        <v>0</v>
      </c>
      <c r="BK2857">
        <v>0</v>
      </c>
      <c r="BL2857">
        <v>0</v>
      </c>
      <c r="BO2857">
        <v>0</v>
      </c>
      <c r="BP2857">
        <v>0</v>
      </c>
      <c r="BW2857" t="str">
        <f t="shared" si="1581"/>
        <v>14:56:03.057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5</v>
      </c>
      <c r="CP2857" t="s">
        <v>119</v>
      </c>
      <c r="CQ2857">
        <v>285</v>
      </c>
      <c r="CR2857">
        <v>1</v>
      </c>
      <c r="CW2857">
        <v>8871591</v>
      </c>
      <c r="CY2857">
        <v>0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25">
      <c r="A2858" t="str">
        <f t="shared" si="1578"/>
        <v>06/05/2020 14:55:57.399</v>
      </c>
      <c r="C2858" t="str">
        <f t="shared" si="1577"/>
        <v>FFDFD3C0</v>
      </c>
      <c r="D2858" t="s">
        <v>151</v>
      </c>
      <c r="E2858">
        <v>9</v>
      </c>
      <c r="H2858">
        <v>226</v>
      </c>
      <c r="I2858" t="s">
        <v>152</v>
      </c>
      <c r="J2858" t="s">
        <v>150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579"/>
        <v>14:56:03.055</v>
      </c>
      <c r="T2858" t="str">
        <f t="shared" si="1580"/>
        <v>14:56:02.955</v>
      </c>
      <c r="U2858" t="str">
        <f t="shared" si="1560"/>
        <v>ACC530</v>
      </c>
      <c r="V2858">
        <v>0</v>
      </c>
      <c r="W2858">
        <v>0</v>
      </c>
      <c r="X2858">
        <v>1</v>
      </c>
      <c r="Z2858">
        <v>0</v>
      </c>
      <c r="AA2858">
        <v>9</v>
      </c>
      <c r="AB2858">
        <v>3</v>
      </c>
      <c r="AC2858">
        <v>0</v>
      </c>
      <c r="AD2858">
        <v>9</v>
      </c>
      <c r="AE2858">
        <v>0</v>
      </c>
      <c r="AF2858">
        <v>3</v>
      </c>
      <c r="AG2858">
        <v>1</v>
      </c>
      <c r="AH2858">
        <v>0</v>
      </c>
      <c r="AI2858" t="s">
        <v>975</v>
      </c>
      <c r="AJ2858">
        <v>34.120595000000002</v>
      </c>
      <c r="AK2858" t="s">
        <v>976</v>
      </c>
      <c r="AL2858">
        <v>-117.056859</v>
      </c>
      <c r="AM2858">
        <v>100</v>
      </c>
      <c r="AN2858">
        <v>6300</v>
      </c>
      <c r="AO2858" t="s">
        <v>118</v>
      </c>
      <c r="AP2858">
        <v>19</v>
      </c>
      <c r="AQ2858">
        <v>-106</v>
      </c>
      <c r="AR2858">
        <v>-1024</v>
      </c>
      <c r="AZ2858">
        <v>1200</v>
      </c>
      <c r="BA2858">
        <v>1</v>
      </c>
      <c r="BB2858" t="str">
        <f t="shared" si="1561"/>
        <v xml:space="preserve">N9217B  </v>
      </c>
      <c r="BC2858">
        <v>1</v>
      </c>
      <c r="BE2858">
        <v>0</v>
      </c>
      <c r="BF2858">
        <v>0</v>
      </c>
      <c r="BG2858">
        <v>0</v>
      </c>
      <c r="BH2858">
        <v>6200</v>
      </c>
      <c r="BI2858">
        <v>1</v>
      </c>
      <c r="BJ2858">
        <v>0</v>
      </c>
      <c r="BK2858">
        <v>0</v>
      </c>
      <c r="BL2858">
        <v>0</v>
      </c>
      <c r="BO2858">
        <v>0</v>
      </c>
      <c r="BP2858">
        <v>0</v>
      </c>
      <c r="BW2858" t="str">
        <f t="shared" si="1581"/>
        <v>14:56:03.057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5</v>
      </c>
      <c r="CP2858" t="s">
        <v>119</v>
      </c>
      <c r="CQ2858">
        <v>285</v>
      </c>
      <c r="CR2858">
        <v>1</v>
      </c>
      <c r="CW2858">
        <v>8871591</v>
      </c>
      <c r="CY2858">
        <v>0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25">
      <c r="A2859" t="str">
        <f t="shared" ref="A2859:A2865" si="1582">"06/05/2020 14:55:58.310"</f>
        <v>06/05/2020 14:55:58.310</v>
      </c>
      <c r="C2859" t="str">
        <f t="shared" si="1577"/>
        <v>FFDFD3C0</v>
      </c>
      <c r="D2859" t="s">
        <v>113</v>
      </c>
      <c r="E2859">
        <v>3</v>
      </c>
      <c r="H2859">
        <v>166</v>
      </c>
      <c r="I2859" t="s">
        <v>114</v>
      </c>
      <c r="J2859" t="s">
        <v>115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ref="S2859:T2865" si="1583">"14:56:03.953"</f>
        <v>14:56:03.953</v>
      </c>
      <c r="T2859" t="str">
        <f t="shared" si="1583"/>
        <v>14:56:03.953</v>
      </c>
      <c r="U2859" t="str">
        <f t="shared" si="1560"/>
        <v>ACC530</v>
      </c>
      <c r="V2859">
        <v>0</v>
      </c>
      <c r="W2859">
        <v>0</v>
      </c>
      <c r="X2859">
        <v>1</v>
      </c>
      <c r="Z2859">
        <v>0</v>
      </c>
      <c r="AA2859">
        <v>9</v>
      </c>
      <c r="AB2859">
        <v>3</v>
      </c>
      <c r="AC2859">
        <v>0</v>
      </c>
      <c r="AD2859">
        <v>9</v>
      </c>
      <c r="AE2859">
        <v>0</v>
      </c>
      <c r="AF2859">
        <v>3</v>
      </c>
      <c r="AG2859">
        <v>1</v>
      </c>
      <c r="AH2859">
        <v>0</v>
      </c>
      <c r="AI2859" t="s">
        <v>977</v>
      </c>
      <c r="AJ2859">
        <v>34.120187999999999</v>
      </c>
      <c r="AK2859" t="s">
        <v>978</v>
      </c>
      <c r="AL2859">
        <v>-117.05675100000001</v>
      </c>
      <c r="AM2859">
        <v>100</v>
      </c>
      <c r="AN2859">
        <v>6300</v>
      </c>
      <c r="AO2859" t="s">
        <v>118</v>
      </c>
      <c r="AP2859">
        <v>20</v>
      </c>
      <c r="AQ2859">
        <v>-106</v>
      </c>
      <c r="AR2859">
        <v>-960</v>
      </c>
      <c r="AZ2859">
        <v>1200</v>
      </c>
      <c r="BA2859">
        <v>1</v>
      </c>
      <c r="BB2859" t="str">
        <f t="shared" si="1561"/>
        <v xml:space="preserve">N9217B  </v>
      </c>
      <c r="BC2859">
        <v>1</v>
      </c>
      <c r="BE2859">
        <v>0</v>
      </c>
      <c r="BF2859">
        <v>0</v>
      </c>
      <c r="BG2859">
        <v>0</v>
      </c>
      <c r="BH2859">
        <v>6175</v>
      </c>
      <c r="BI2859">
        <v>1</v>
      </c>
      <c r="BJ2859">
        <v>0</v>
      </c>
      <c r="BK2859">
        <v>0</v>
      </c>
      <c r="BL2859">
        <v>0</v>
      </c>
      <c r="BO2859">
        <v>0</v>
      </c>
      <c r="BP2859">
        <v>0</v>
      </c>
      <c r="BW2859" t="str">
        <f t="shared" ref="BW2859:BW2865" si="1584">"14:56:03.956"</f>
        <v>14:56:03.956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285</v>
      </c>
      <c r="CR2859">
        <v>0</v>
      </c>
      <c r="CW2859">
        <v>8871673</v>
      </c>
      <c r="CY2859">
        <v>0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25">
      <c r="A2860" t="str">
        <f t="shared" si="1582"/>
        <v>06/05/2020 14:55:58.310</v>
      </c>
      <c r="C2860" t="str">
        <f t="shared" si="1577"/>
        <v>FFDFD3C0</v>
      </c>
      <c r="D2860" t="s">
        <v>134</v>
      </c>
      <c r="E2860">
        <v>7</v>
      </c>
      <c r="F2860">
        <v>2007</v>
      </c>
      <c r="G2860" t="s">
        <v>135</v>
      </c>
      <c r="J2860" t="s">
        <v>136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583"/>
        <v>14:56:03.953</v>
      </c>
      <c r="T2860" t="str">
        <f t="shared" si="1583"/>
        <v>14:56:03.953</v>
      </c>
      <c r="U2860" t="str">
        <f t="shared" si="1560"/>
        <v>ACC530</v>
      </c>
      <c r="V2860">
        <v>0</v>
      </c>
      <c r="W2860">
        <v>0</v>
      </c>
      <c r="X2860">
        <v>1</v>
      </c>
      <c r="Z2860">
        <v>0</v>
      </c>
      <c r="AA2860">
        <v>9</v>
      </c>
      <c r="AB2860">
        <v>3</v>
      </c>
      <c r="AC2860">
        <v>0</v>
      </c>
      <c r="AD2860">
        <v>9</v>
      </c>
      <c r="AE2860">
        <v>0</v>
      </c>
      <c r="AF2860">
        <v>3</v>
      </c>
      <c r="AG2860">
        <v>1</v>
      </c>
      <c r="AH2860">
        <v>0</v>
      </c>
      <c r="AI2860" t="s">
        <v>977</v>
      </c>
      <c r="AJ2860">
        <v>34.120187999999999</v>
      </c>
      <c r="AK2860" t="s">
        <v>978</v>
      </c>
      <c r="AL2860">
        <v>-117.05675100000001</v>
      </c>
      <c r="AM2860">
        <v>100</v>
      </c>
      <c r="AN2860">
        <v>6300</v>
      </c>
      <c r="AO2860" t="s">
        <v>118</v>
      </c>
      <c r="AP2860">
        <v>20</v>
      </c>
      <c r="AQ2860">
        <v>-106</v>
      </c>
      <c r="AR2860">
        <v>-960</v>
      </c>
      <c r="AZ2860">
        <v>1200</v>
      </c>
      <c r="BA2860">
        <v>1</v>
      </c>
      <c r="BB2860" t="str">
        <f t="shared" si="1561"/>
        <v xml:space="preserve">N9217B  </v>
      </c>
      <c r="BC2860">
        <v>1</v>
      </c>
      <c r="BE2860">
        <v>0</v>
      </c>
      <c r="BF2860">
        <v>0</v>
      </c>
      <c r="BG2860">
        <v>0</v>
      </c>
      <c r="BH2860">
        <v>6175</v>
      </c>
      <c r="BI2860">
        <v>1</v>
      </c>
      <c r="BJ2860">
        <v>0</v>
      </c>
      <c r="BK2860">
        <v>0</v>
      </c>
      <c r="BL2860">
        <v>0</v>
      </c>
      <c r="BO2860">
        <v>0</v>
      </c>
      <c r="BP2860">
        <v>0</v>
      </c>
      <c r="BW2860" t="str">
        <f t="shared" si="1584"/>
        <v>14:56:03.956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119</v>
      </c>
      <c r="CQ2860">
        <v>285</v>
      </c>
      <c r="CR2860">
        <v>0</v>
      </c>
      <c r="CW2860">
        <v>8871673</v>
      </c>
      <c r="CY2860">
        <v>0</v>
      </c>
      <c r="CZ2860">
        <v>0</v>
      </c>
      <c r="DA2860">
        <v>1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25">
      <c r="A2861" t="str">
        <f t="shared" si="1582"/>
        <v>06/05/2020 14:55:58.310</v>
      </c>
      <c r="C2861" t="str">
        <f t="shared" si="1577"/>
        <v>FFDFD3C0</v>
      </c>
      <c r="D2861" t="s">
        <v>141</v>
      </c>
      <c r="E2861">
        <v>20</v>
      </c>
      <c r="F2861">
        <v>1020</v>
      </c>
      <c r="G2861" t="s">
        <v>114</v>
      </c>
      <c r="J2861" t="s">
        <v>142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583"/>
        <v>14:56:03.953</v>
      </c>
      <c r="T2861" t="str">
        <f t="shared" si="1583"/>
        <v>14:56:03.953</v>
      </c>
      <c r="U2861" t="str">
        <f t="shared" si="1560"/>
        <v>ACC530</v>
      </c>
      <c r="V2861">
        <v>0</v>
      </c>
      <c r="W2861">
        <v>0</v>
      </c>
      <c r="X2861">
        <v>1</v>
      </c>
      <c r="Z2861">
        <v>0</v>
      </c>
      <c r="AA2861">
        <v>9</v>
      </c>
      <c r="AB2861">
        <v>3</v>
      </c>
      <c r="AC2861">
        <v>0</v>
      </c>
      <c r="AD2861">
        <v>9</v>
      </c>
      <c r="AE2861">
        <v>0</v>
      </c>
      <c r="AF2861">
        <v>3</v>
      </c>
      <c r="AG2861">
        <v>1</v>
      </c>
      <c r="AH2861">
        <v>0</v>
      </c>
      <c r="AI2861" t="s">
        <v>977</v>
      </c>
      <c r="AJ2861">
        <v>34.120187999999999</v>
      </c>
      <c r="AK2861" t="s">
        <v>978</v>
      </c>
      <c r="AL2861">
        <v>-117.05675100000001</v>
      </c>
      <c r="AM2861">
        <v>100</v>
      </c>
      <c r="AN2861">
        <v>6300</v>
      </c>
      <c r="AO2861" t="s">
        <v>118</v>
      </c>
      <c r="AP2861">
        <v>20</v>
      </c>
      <c r="AQ2861">
        <v>-106</v>
      </c>
      <c r="AR2861">
        <v>-960</v>
      </c>
      <c r="AZ2861">
        <v>1200</v>
      </c>
      <c r="BA2861">
        <v>1</v>
      </c>
      <c r="BB2861" t="str">
        <f t="shared" si="1561"/>
        <v xml:space="preserve">N9217B  </v>
      </c>
      <c r="BC2861">
        <v>1</v>
      </c>
      <c r="BE2861">
        <v>0</v>
      </c>
      <c r="BF2861">
        <v>0</v>
      </c>
      <c r="BG2861">
        <v>0</v>
      </c>
      <c r="BH2861">
        <v>6175</v>
      </c>
      <c r="BI2861">
        <v>1</v>
      </c>
      <c r="BJ2861">
        <v>0</v>
      </c>
      <c r="BK2861">
        <v>0</v>
      </c>
      <c r="BL2861">
        <v>0</v>
      </c>
      <c r="BO2861">
        <v>0</v>
      </c>
      <c r="BP2861">
        <v>0</v>
      </c>
      <c r="BW2861" t="str">
        <f t="shared" si="1584"/>
        <v>14:56:03.956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285</v>
      </c>
      <c r="CR2861">
        <v>0</v>
      </c>
      <c r="CW2861">
        <v>8871673</v>
      </c>
      <c r="CY2861">
        <v>0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25">
      <c r="A2862" t="str">
        <f t="shared" si="1582"/>
        <v>06/05/2020 14:55:58.310</v>
      </c>
      <c r="C2862" t="str">
        <f t="shared" si="1577"/>
        <v>FFDFD3C0</v>
      </c>
      <c r="D2862" t="s">
        <v>151</v>
      </c>
      <c r="E2862">
        <v>8</v>
      </c>
      <c r="H2862">
        <v>225</v>
      </c>
      <c r="I2862" t="s">
        <v>353</v>
      </c>
      <c r="J2862" t="s">
        <v>150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583"/>
        <v>14:56:03.953</v>
      </c>
      <c r="T2862" t="str">
        <f t="shared" si="1583"/>
        <v>14:56:03.953</v>
      </c>
      <c r="U2862" t="str">
        <f t="shared" si="1560"/>
        <v>ACC530</v>
      </c>
      <c r="V2862">
        <v>0</v>
      </c>
      <c r="W2862">
        <v>0</v>
      </c>
      <c r="X2862">
        <v>1</v>
      </c>
      <c r="Z2862">
        <v>0</v>
      </c>
      <c r="AA2862">
        <v>9</v>
      </c>
      <c r="AB2862">
        <v>3</v>
      </c>
      <c r="AC2862">
        <v>0</v>
      </c>
      <c r="AD2862">
        <v>9</v>
      </c>
      <c r="AE2862">
        <v>0</v>
      </c>
      <c r="AF2862">
        <v>3</v>
      </c>
      <c r="AG2862">
        <v>1</v>
      </c>
      <c r="AH2862">
        <v>0</v>
      </c>
      <c r="AI2862" t="s">
        <v>977</v>
      </c>
      <c r="AJ2862">
        <v>34.120187999999999</v>
      </c>
      <c r="AK2862" t="s">
        <v>978</v>
      </c>
      <c r="AL2862">
        <v>-117.05675100000001</v>
      </c>
      <c r="AM2862">
        <v>100</v>
      </c>
      <c r="AN2862">
        <v>6300</v>
      </c>
      <c r="AO2862" t="s">
        <v>118</v>
      </c>
      <c r="AP2862">
        <v>20</v>
      </c>
      <c r="AQ2862">
        <v>-106</v>
      </c>
      <c r="AR2862">
        <v>-960</v>
      </c>
      <c r="AZ2862">
        <v>1200</v>
      </c>
      <c r="BA2862">
        <v>1</v>
      </c>
      <c r="BB2862" t="str">
        <f t="shared" si="1561"/>
        <v xml:space="preserve">N9217B  </v>
      </c>
      <c r="BC2862">
        <v>1</v>
      </c>
      <c r="BE2862">
        <v>0</v>
      </c>
      <c r="BF2862">
        <v>0</v>
      </c>
      <c r="BG2862">
        <v>0</v>
      </c>
      <c r="BH2862">
        <v>6175</v>
      </c>
      <c r="BI2862">
        <v>1</v>
      </c>
      <c r="BJ2862">
        <v>0</v>
      </c>
      <c r="BK2862">
        <v>0</v>
      </c>
      <c r="BL2862">
        <v>0</v>
      </c>
      <c r="BO2862">
        <v>0</v>
      </c>
      <c r="BP2862">
        <v>0</v>
      </c>
      <c r="BW2862" t="str">
        <f t="shared" si="1584"/>
        <v>14:56:03.956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7</v>
      </c>
      <c r="CP2862" t="s">
        <v>119</v>
      </c>
      <c r="CQ2862">
        <v>285</v>
      </c>
      <c r="CR2862">
        <v>0</v>
      </c>
      <c r="CW2862">
        <v>8871673</v>
      </c>
      <c r="CY2862">
        <v>0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25">
      <c r="A2863" t="str">
        <f t="shared" si="1582"/>
        <v>06/05/2020 14:55:58.310</v>
      </c>
      <c r="C2863" t="str">
        <f t="shared" si="1577"/>
        <v>FFDFD3C0</v>
      </c>
      <c r="D2863" t="s">
        <v>148</v>
      </c>
      <c r="E2863">
        <v>11</v>
      </c>
      <c r="H2863">
        <v>53</v>
      </c>
      <c r="I2863" t="s">
        <v>364</v>
      </c>
      <c r="J2863" t="s">
        <v>150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583"/>
        <v>14:56:03.953</v>
      </c>
      <c r="T2863" t="str">
        <f t="shared" si="1583"/>
        <v>14:56:03.953</v>
      </c>
      <c r="U2863" t="str">
        <f t="shared" si="1560"/>
        <v>ACC530</v>
      </c>
      <c r="V2863">
        <v>0</v>
      </c>
      <c r="W2863">
        <v>0</v>
      </c>
      <c r="X2863">
        <v>1</v>
      </c>
      <c r="Z2863">
        <v>0</v>
      </c>
      <c r="AA2863">
        <v>9</v>
      </c>
      <c r="AB2863">
        <v>3</v>
      </c>
      <c r="AC2863">
        <v>0</v>
      </c>
      <c r="AD2863">
        <v>9</v>
      </c>
      <c r="AE2863">
        <v>0</v>
      </c>
      <c r="AF2863">
        <v>3</v>
      </c>
      <c r="AG2863">
        <v>1</v>
      </c>
      <c r="AH2863">
        <v>0</v>
      </c>
      <c r="AI2863" t="s">
        <v>977</v>
      </c>
      <c r="AJ2863">
        <v>34.120187999999999</v>
      </c>
      <c r="AK2863" t="s">
        <v>978</v>
      </c>
      <c r="AL2863">
        <v>-117.05675100000001</v>
      </c>
      <c r="AM2863">
        <v>100</v>
      </c>
      <c r="AN2863">
        <v>6300</v>
      </c>
      <c r="AO2863" t="s">
        <v>118</v>
      </c>
      <c r="AP2863">
        <v>20</v>
      </c>
      <c r="AQ2863">
        <v>-106</v>
      </c>
      <c r="AR2863">
        <v>-960</v>
      </c>
      <c r="AZ2863">
        <v>1200</v>
      </c>
      <c r="BA2863">
        <v>1</v>
      </c>
      <c r="BB2863" t="str">
        <f t="shared" si="1561"/>
        <v xml:space="preserve">N9217B  </v>
      </c>
      <c r="BC2863">
        <v>1</v>
      </c>
      <c r="BE2863">
        <v>0</v>
      </c>
      <c r="BF2863">
        <v>0</v>
      </c>
      <c r="BG2863">
        <v>0</v>
      </c>
      <c r="BH2863">
        <v>6175</v>
      </c>
      <c r="BI2863">
        <v>1</v>
      </c>
      <c r="BJ2863">
        <v>0</v>
      </c>
      <c r="BK2863">
        <v>0</v>
      </c>
      <c r="BL2863">
        <v>0</v>
      </c>
      <c r="BO2863">
        <v>0</v>
      </c>
      <c r="BP2863">
        <v>0</v>
      </c>
      <c r="BW2863" t="str">
        <f t="shared" si="1584"/>
        <v>14:56:03.956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7</v>
      </c>
      <c r="CP2863" t="s">
        <v>119</v>
      </c>
      <c r="CQ2863">
        <v>285</v>
      </c>
      <c r="CR2863">
        <v>0</v>
      </c>
      <c r="CW2863">
        <v>8871673</v>
      </c>
      <c r="CY2863">
        <v>0</v>
      </c>
      <c r="CZ2863">
        <v>0</v>
      </c>
      <c r="DA2863">
        <v>1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25">
      <c r="A2864" t="str">
        <f t="shared" si="1582"/>
        <v>06/05/2020 14:55:58.310</v>
      </c>
      <c r="C2864" t="str">
        <f t="shared" si="1577"/>
        <v>FFDFD3C0</v>
      </c>
      <c r="D2864" t="s">
        <v>151</v>
      </c>
      <c r="E2864">
        <v>9</v>
      </c>
      <c r="H2864">
        <v>226</v>
      </c>
      <c r="I2864" t="s">
        <v>152</v>
      </c>
      <c r="J2864" t="s">
        <v>150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583"/>
        <v>14:56:03.953</v>
      </c>
      <c r="T2864" t="str">
        <f t="shared" si="1583"/>
        <v>14:56:03.953</v>
      </c>
      <c r="U2864" t="str">
        <f t="shared" si="1560"/>
        <v>ACC530</v>
      </c>
      <c r="V2864">
        <v>0</v>
      </c>
      <c r="W2864">
        <v>0</v>
      </c>
      <c r="X2864">
        <v>1</v>
      </c>
      <c r="Z2864">
        <v>0</v>
      </c>
      <c r="AA2864">
        <v>9</v>
      </c>
      <c r="AB2864">
        <v>3</v>
      </c>
      <c r="AC2864">
        <v>0</v>
      </c>
      <c r="AD2864">
        <v>9</v>
      </c>
      <c r="AE2864">
        <v>0</v>
      </c>
      <c r="AF2864">
        <v>3</v>
      </c>
      <c r="AG2864">
        <v>1</v>
      </c>
      <c r="AH2864">
        <v>0</v>
      </c>
      <c r="AI2864" t="s">
        <v>977</v>
      </c>
      <c r="AJ2864">
        <v>34.120187999999999</v>
      </c>
      <c r="AK2864" t="s">
        <v>978</v>
      </c>
      <c r="AL2864">
        <v>-117.05675100000001</v>
      </c>
      <c r="AM2864">
        <v>100</v>
      </c>
      <c r="AN2864">
        <v>6300</v>
      </c>
      <c r="AO2864" t="s">
        <v>118</v>
      </c>
      <c r="AP2864">
        <v>20</v>
      </c>
      <c r="AQ2864">
        <v>-106</v>
      </c>
      <c r="AR2864">
        <v>-960</v>
      </c>
      <c r="AZ2864">
        <v>1200</v>
      </c>
      <c r="BA2864">
        <v>1</v>
      </c>
      <c r="BB2864" t="str">
        <f t="shared" si="1561"/>
        <v xml:space="preserve">N9217B  </v>
      </c>
      <c r="BC2864">
        <v>1</v>
      </c>
      <c r="BE2864">
        <v>0</v>
      </c>
      <c r="BF2864">
        <v>0</v>
      </c>
      <c r="BG2864">
        <v>0</v>
      </c>
      <c r="BH2864">
        <v>6175</v>
      </c>
      <c r="BI2864">
        <v>1</v>
      </c>
      <c r="BJ2864">
        <v>0</v>
      </c>
      <c r="BK2864">
        <v>0</v>
      </c>
      <c r="BL2864">
        <v>0</v>
      </c>
      <c r="BO2864">
        <v>0</v>
      </c>
      <c r="BP2864">
        <v>0</v>
      </c>
      <c r="BW2864" t="str">
        <f t="shared" si="1584"/>
        <v>14:56:03.956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7</v>
      </c>
      <c r="CP2864" t="s">
        <v>119</v>
      </c>
      <c r="CQ2864">
        <v>285</v>
      </c>
      <c r="CR2864">
        <v>0</v>
      </c>
      <c r="CW2864">
        <v>8871673</v>
      </c>
      <c r="CY2864">
        <v>0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25">
      <c r="A2865" t="str">
        <f t="shared" si="1582"/>
        <v>06/05/2020 14:55:58.310</v>
      </c>
      <c r="C2865" t="str">
        <f t="shared" si="1577"/>
        <v>FFDFD3C0</v>
      </c>
      <c r="D2865" t="s">
        <v>148</v>
      </c>
      <c r="E2865">
        <v>8</v>
      </c>
      <c r="H2865">
        <v>50</v>
      </c>
      <c r="I2865" t="s">
        <v>149</v>
      </c>
      <c r="J2865" t="s">
        <v>150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583"/>
        <v>14:56:03.953</v>
      </c>
      <c r="T2865" t="str">
        <f t="shared" si="1583"/>
        <v>14:56:03.953</v>
      </c>
      <c r="U2865" t="str">
        <f t="shared" si="1560"/>
        <v>ACC530</v>
      </c>
      <c r="V2865">
        <v>0</v>
      </c>
      <c r="W2865">
        <v>0</v>
      </c>
      <c r="X2865">
        <v>1</v>
      </c>
      <c r="Z2865">
        <v>0</v>
      </c>
      <c r="AA2865">
        <v>9</v>
      </c>
      <c r="AB2865">
        <v>3</v>
      </c>
      <c r="AC2865">
        <v>0</v>
      </c>
      <c r="AD2865">
        <v>9</v>
      </c>
      <c r="AE2865">
        <v>0</v>
      </c>
      <c r="AF2865">
        <v>3</v>
      </c>
      <c r="AG2865">
        <v>1</v>
      </c>
      <c r="AH2865">
        <v>0</v>
      </c>
      <c r="AI2865" t="s">
        <v>977</v>
      </c>
      <c r="AJ2865">
        <v>34.120187999999999</v>
      </c>
      <c r="AK2865" t="s">
        <v>978</v>
      </c>
      <c r="AL2865">
        <v>-117.05675100000001</v>
      </c>
      <c r="AM2865">
        <v>100</v>
      </c>
      <c r="AN2865">
        <v>6300</v>
      </c>
      <c r="AO2865" t="s">
        <v>118</v>
      </c>
      <c r="AP2865">
        <v>20</v>
      </c>
      <c r="AQ2865">
        <v>-106</v>
      </c>
      <c r="AR2865">
        <v>-960</v>
      </c>
      <c r="AZ2865">
        <v>1200</v>
      </c>
      <c r="BA2865">
        <v>1</v>
      </c>
      <c r="BB2865" t="str">
        <f t="shared" si="1561"/>
        <v xml:space="preserve">N9217B  </v>
      </c>
      <c r="BC2865">
        <v>1</v>
      </c>
      <c r="BE2865">
        <v>0</v>
      </c>
      <c r="BF2865">
        <v>0</v>
      </c>
      <c r="BG2865">
        <v>0</v>
      </c>
      <c r="BH2865">
        <v>6175</v>
      </c>
      <c r="BI2865">
        <v>1</v>
      </c>
      <c r="BJ2865">
        <v>0</v>
      </c>
      <c r="BK2865">
        <v>0</v>
      </c>
      <c r="BL2865">
        <v>0</v>
      </c>
      <c r="BO2865">
        <v>0</v>
      </c>
      <c r="BP2865">
        <v>0</v>
      </c>
      <c r="BW2865" t="str">
        <f t="shared" si="1584"/>
        <v>14:56:03.956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7</v>
      </c>
      <c r="CP2865" t="s">
        <v>119</v>
      </c>
      <c r="CQ2865">
        <v>285</v>
      </c>
      <c r="CR2865">
        <v>0</v>
      </c>
      <c r="CW2865">
        <v>8871673</v>
      </c>
      <c r="CY2865">
        <v>0</v>
      </c>
      <c r="CZ2865">
        <v>0</v>
      </c>
      <c r="DA2865">
        <v>1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25">
      <c r="A2866" t="str">
        <f t="shared" ref="A2866:A2872" si="1585">"06/05/2020 14:55:59.392"</f>
        <v>06/05/2020 14:55:59.392</v>
      </c>
      <c r="C2866" t="str">
        <f t="shared" si="1577"/>
        <v>FFDFD3C0</v>
      </c>
      <c r="D2866" t="s">
        <v>151</v>
      </c>
      <c r="E2866">
        <v>8</v>
      </c>
      <c r="H2866">
        <v>225</v>
      </c>
      <c r="I2866" t="s">
        <v>353</v>
      </c>
      <c r="J2866" t="s">
        <v>150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ref="S2866:T2872" si="1586">"14:56:05.063"</f>
        <v>14:56:05.063</v>
      </c>
      <c r="T2866" t="str">
        <f t="shared" si="1586"/>
        <v>14:56:05.063</v>
      </c>
      <c r="U2866" t="str">
        <f t="shared" si="1560"/>
        <v>ACC530</v>
      </c>
      <c r="V2866">
        <v>0</v>
      </c>
      <c r="W2866">
        <v>0</v>
      </c>
      <c r="X2866">
        <v>1</v>
      </c>
      <c r="Z2866">
        <v>0</v>
      </c>
      <c r="AA2866">
        <v>9</v>
      </c>
      <c r="AB2866">
        <v>3</v>
      </c>
      <c r="AC2866">
        <v>0</v>
      </c>
      <c r="AD2866">
        <v>9</v>
      </c>
      <c r="AE2866">
        <v>0</v>
      </c>
      <c r="AF2866">
        <v>3</v>
      </c>
      <c r="AG2866">
        <v>1</v>
      </c>
      <c r="AH2866">
        <v>0</v>
      </c>
      <c r="AI2866" t="s">
        <v>979</v>
      </c>
      <c r="AJ2866">
        <v>34.119630000000001</v>
      </c>
      <c r="AK2866" t="s">
        <v>980</v>
      </c>
      <c r="AL2866">
        <v>-117.05664400000001</v>
      </c>
      <c r="AM2866">
        <v>100</v>
      </c>
      <c r="AN2866">
        <v>6300</v>
      </c>
      <c r="AO2866" t="s">
        <v>118</v>
      </c>
      <c r="AP2866">
        <v>21</v>
      </c>
      <c r="AQ2866">
        <v>-106</v>
      </c>
      <c r="AR2866">
        <v>-960</v>
      </c>
      <c r="AZ2866">
        <v>1200</v>
      </c>
      <c r="BA2866">
        <v>1</v>
      </c>
      <c r="BB2866" t="str">
        <f t="shared" si="1561"/>
        <v xml:space="preserve">N9217B  </v>
      </c>
      <c r="BC2866">
        <v>1</v>
      </c>
      <c r="BE2866">
        <v>0</v>
      </c>
      <c r="BF2866">
        <v>0</v>
      </c>
      <c r="BG2866">
        <v>0</v>
      </c>
      <c r="BH2866">
        <v>6150</v>
      </c>
      <c r="BI2866">
        <v>1</v>
      </c>
      <c r="BJ2866">
        <v>0</v>
      </c>
      <c r="BK2866">
        <v>0</v>
      </c>
      <c r="BL2866">
        <v>0</v>
      </c>
      <c r="BO2866">
        <v>0</v>
      </c>
      <c r="BP2866">
        <v>0</v>
      </c>
      <c r="BW2866" t="str">
        <f t="shared" ref="BW2866:BW2872" si="1587">"14:56:05.066"</f>
        <v>14:56:05.066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7</v>
      </c>
      <c r="CP2866" t="s">
        <v>119</v>
      </c>
      <c r="CQ2866">
        <v>285</v>
      </c>
      <c r="CR2866">
        <v>0</v>
      </c>
      <c r="CW2866">
        <v>8871770</v>
      </c>
      <c r="CY2866">
        <v>0</v>
      </c>
      <c r="CZ2866">
        <v>0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25">
      <c r="A2867" t="str">
        <f t="shared" si="1585"/>
        <v>06/05/2020 14:55:59.392</v>
      </c>
      <c r="C2867" t="str">
        <f t="shared" si="1577"/>
        <v>FFDFD3C0</v>
      </c>
      <c r="D2867" t="s">
        <v>148</v>
      </c>
      <c r="E2867">
        <v>11</v>
      </c>
      <c r="H2867">
        <v>53</v>
      </c>
      <c r="I2867" t="s">
        <v>364</v>
      </c>
      <c r="J2867" t="s">
        <v>150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586"/>
        <v>14:56:05.063</v>
      </c>
      <c r="T2867" t="str">
        <f t="shared" si="1586"/>
        <v>14:56:05.063</v>
      </c>
      <c r="U2867" t="str">
        <f t="shared" si="1560"/>
        <v>ACC530</v>
      </c>
      <c r="V2867">
        <v>0</v>
      </c>
      <c r="W2867">
        <v>0</v>
      </c>
      <c r="X2867">
        <v>1</v>
      </c>
      <c r="Z2867">
        <v>0</v>
      </c>
      <c r="AA2867">
        <v>9</v>
      </c>
      <c r="AB2867">
        <v>3</v>
      </c>
      <c r="AC2867">
        <v>0</v>
      </c>
      <c r="AD2867">
        <v>9</v>
      </c>
      <c r="AE2867">
        <v>0</v>
      </c>
      <c r="AF2867">
        <v>3</v>
      </c>
      <c r="AG2867">
        <v>1</v>
      </c>
      <c r="AH2867">
        <v>0</v>
      </c>
      <c r="AI2867" t="s">
        <v>979</v>
      </c>
      <c r="AJ2867">
        <v>34.119630000000001</v>
      </c>
      <c r="AK2867" t="s">
        <v>980</v>
      </c>
      <c r="AL2867">
        <v>-117.05664400000001</v>
      </c>
      <c r="AM2867">
        <v>100</v>
      </c>
      <c r="AN2867">
        <v>6300</v>
      </c>
      <c r="AO2867" t="s">
        <v>118</v>
      </c>
      <c r="AP2867">
        <v>21</v>
      </c>
      <c r="AQ2867">
        <v>-106</v>
      </c>
      <c r="AR2867">
        <v>-960</v>
      </c>
      <c r="AZ2867">
        <v>1200</v>
      </c>
      <c r="BA2867">
        <v>1</v>
      </c>
      <c r="BB2867" t="str">
        <f t="shared" si="1561"/>
        <v xml:space="preserve">N9217B  </v>
      </c>
      <c r="BC2867">
        <v>1</v>
      </c>
      <c r="BE2867">
        <v>0</v>
      </c>
      <c r="BF2867">
        <v>0</v>
      </c>
      <c r="BG2867">
        <v>0</v>
      </c>
      <c r="BH2867">
        <v>6150</v>
      </c>
      <c r="BI2867">
        <v>1</v>
      </c>
      <c r="BJ2867">
        <v>0</v>
      </c>
      <c r="BK2867">
        <v>0</v>
      </c>
      <c r="BL2867">
        <v>0</v>
      </c>
      <c r="BO2867">
        <v>0</v>
      </c>
      <c r="BP2867">
        <v>0</v>
      </c>
      <c r="BW2867" t="str">
        <f t="shared" si="1587"/>
        <v>14:56:05.066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7</v>
      </c>
      <c r="CP2867" t="s">
        <v>119</v>
      </c>
      <c r="CQ2867">
        <v>285</v>
      </c>
      <c r="CR2867">
        <v>0</v>
      </c>
      <c r="CW2867">
        <v>8871770</v>
      </c>
      <c r="CY2867">
        <v>0</v>
      </c>
      <c r="CZ2867">
        <v>0</v>
      </c>
      <c r="DA2867">
        <v>1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25">
      <c r="A2868" t="str">
        <f t="shared" si="1585"/>
        <v>06/05/2020 14:55:59.392</v>
      </c>
      <c r="C2868" t="str">
        <f t="shared" si="1577"/>
        <v>FFDFD3C0</v>
      </c>
      <c r="D2868" t="s">
        <v>151</v>
      </c>
      <c r="E2868">
        <v>9</v>
      </c>
      <c r="H2868">
        <v>226</v>
      </c>
      <c r="I2868" t="s">
        <v>152</v>
      </c>
      <c r="J2868" t="s">
        <v>150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586"/>
        <v>14:56:05.063</v>
      </c>
      <c r="T2868" t="str">
        <f t="shared" si="1586"/>
        <v>14:56:05.063</v>
      </c>
      <c r="U2868" t="str">
        <f t="shared" si="1560"/>
        <v>ACC530</v>
      </c>
      <c r="V2868">
        <v>0</v>
      </c>
      <c r="W2868">
        <v>0</v>
      </c>
      <c r="X2868">
        <v>1</v>
      </c>
      <c r="Z2868">
        <v>0</v>
      </c>
      <c r="AA2868">
        <v>9</v>
      </c>
      <c r="AB2868">
        <v>3</v>
      </c>
      <c r="AC2868">
        <v>0</v>
      </c>
      <c r="AD2868">
        <v>9</v>
      </c>
      <c r="AE2868">
        <v>0</v>
      </c>
      <c r="AF2868">
        <v>3</v>
      </c>
      <c r="AG2868">
        <v>1</v>
      </c>
      <c r="AH2868">
        <v>0</v>
      </c>
      <c r="AI2868" t="s">
        <v>979</v>
      </c>
      <c r="AJ2868">
        <v>34.119630000000001</v>
      </c>
      <c r="AK2868" t="s">
        <v>980</v>
      </c>
      <c r="AL2868">
        <v>-117.05664400000001</v>
      </c>
      <c r="AM2868">
        <v>100</v>
      </c>
      <c r="AN2868">
        <v>6300</v>
      </c>
      <c r="AO2868" t="s">
        <v>118</v>
      </c>
      <c r="AP2868">
        <v>21</v>
      </c>
      <c r="AQ2868">
        <v>-106</v>
      </c>
      <c r="AR2868">
        <v>-960</v>
      </c>
      <c r="AZ2868">
        <v>1200</v>
      </c>
      <c r="BA2868">
        <v>1</v>
      </c>
      <c r="BB2868" t="str">
        <f t="shared" si="1561"/>
        <v xml:space="preserve">N9217B  </v>
      </c>
      <c r="BC2868">
        <v>1</v>
      </c>
      <c r="BE2868">
        <v>0</v>
      </c>
      <c r="BF2868">
        <v>0</v>
      </c>
      <c r="BG2868">
        <v>0</v>
      </c>
      <c r="BH2868">
        <v>6150</v>
      </c>
      <c r="BI2868">
        <v>1</v>
      </c>
      <c r="BJ2868">
        <v>0</v>
      </c>
      <c r="BK2868">
        <v>0</v>
      </c>
      <c r="BL2868">
        <v>0</v>
      </c>
      <c r="BO2868">
        <v>0</v>
      </c>
      <c r="BP2868">
        <v>0</v>
      </c>
      <c r="BW2868" t="str">
        <f t="shared" si="1587"/>
        <v>14:56:05.066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119</v>
      </c>
      <c r="CQ2868">
        <v>285</v>
      </c>
      <c r="CR2868">
        <v>0</v>
      </c>
      <c r="CW2868">
        <v>8871770</v>
      </c>
      <c r="CY2868">
        <v>0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25">
      <c r="A2869" t="str">
        <f t="shared" si="1585"/>
        <v>06/05/2020 14:55:59.392</v>
      </c>
      <c r="C2869" t="str">
        <f t="shared" si="1577"/>
        <v>FFDFD3C0</v>
      </c>
      <c r="D2869" t="s">
        <v>134</v>
      </c>
      <c r="E2869">
        <v>7</v>
      </c>
      <c r="F2869">
        <v>2007</v>
      </c>
      <c r="G2869" t="s">
        <v>135</v>
      </c>
      <c r="J2869" t="s">
        <v>136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586"/>
        <v>14:56:05.063</v>
      </c>
      <c r="T2869" t="str">
        <f t="shared" si="1586"/>
        <v>14:56:05.063</v>
      </c>
      <c r="U2869" t="str">
        <f t="shared" si="1560"/>
        <v>ACC530</v>
      </c>
      <c r="V2869">
        <v>0</v>
      </c>
      <c r="W2869">
        <v>0</v>
      </c>
      <c r="X2869">
        <v>1</v>
      </c>
      <c r="Z2869">
        <v>0</v>
      </c>
      <c r="AA2869">
        <v>9</v>
      </c>
      <c r="AB2869">
        <v>3</v>
      </c>
      <c r="AC2869">
        <v>0</v>
      </c>
      <c r="AD2869">
        <v>9</v>
      </c>
      <c r="AE2869">
        <v>0</v>
      </c>
      <c r="AF2869">
        <v>3</v>
      </c>
      <c r="AG2869">
        <v>1</v>
      </c>
      <c r="AH2869">
        <v>0</v>
      </c>
      <c r="AI2869" t="s">
        <v>979</v>
      </c>
      <c r="AJ2869">
        <v>34.119630000000001</v>
      </c>
      <c r="AK2869" t="s">
        <v>980</v>
      </c>
      <c r="AL2869">
        <v>-117.05664400000001</v>
      </c>
      <c r="AM2869">
        <v>100</v>
      </c>
      <c r="AN2869">
        <v>6300</v>
      </c>
      <c r="AO2869" t="s">
        <v>118</v>
      </c>
      <c r="AP2869">
        <v>21</v>
      </c>
      <c r="AQ2869">
        <v>-106</v>
      </c>
      <c r="AR2869">
        <v>-960</v>
      </c>
      <c r="AZ2869">
        <v>1200</v>
      </c>
      <c r="BA2869">
        <v>1</v>
      </c>
      <c r="BB2869" t="str">
        <f t="shared" si="1561"/>
        <v xml:space="preserve">N9217B  </v>
      </c>
      <c r="BC2869">
        <v>1</v>
      </c>
      <c r="BE2869">
        <v>0</v>
      </c>
      <c r="BF2869">
        <v>0</v>
      </c>
      <c r="BG2869">
        <v>0</v>
      </c>
      <c r="BH2869">
        <v>6150</v>
      </c>
      <c r="BI2869">
        <v>1</v>
      </c>
      <c r="BJ2869">
        <v>0</v>
      </c>
      <c r="BK2869">
        <v>0</v>
      </c>
      <c r="BL2869">
        <v>0</v>
      </c>
      <c r="BO2869">
        <v>0</v>
      </c>
      <c r="BP2869">
        <v>0</v>
      </c>
      <c r="BW2869" t="str">
        <f t="shared" si="1587"/>
        <v>14:56:05.066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7</v>
      </c>
      <c r="CP2869" t="s">
        <v>119</v>
      </c>
      <c r="CQ2869">
        <v>285</v>
      </c>
      <c r="CR2869">
        <v>0</v>
      </c>
      <c r="CW2869">
        <v>8871770</v>
      </c>
      <c r="CY2869">
        <v>0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25">
      <c r="A2870" t="str">
        <f t="shared" si="1585"/>
        <v>06/05/2020 14:55:59.392</v>
      </c>
      <c r="C2870" t="str">
        <f t="shared" si="1577"/>
        <v>FFDFD3C0</v>
      </c>
      <c r="D2870" t="s">
        <v>148</v>
      </c>
      <c r="E2870">
        <v>8</v>
      </c>
      <c r="H2870">
        <v>50</v>
      </c>
      <c r="I2870" t="s">
        <v>149</v>
      </c>
      <c r="J2870" t="s">
        <v>150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si="1586"/>
        <v>14:56:05.063</v>
      </c>
      <c r="T2870" t="str">
        <f t="shared" si="1586"/>
        <v>14:56:05.063</v>
      </c>
      <c r="U2870" t="str">
        <f t="shared" si="1560"/>
        <v>ACC530</v>
      </c>
      <c r="V2870">
        <v>0</v>
      </c>
      <c r="W2870">
        <v>0</v>
      </c>
      <c r="X2870">
        <v>1</v>
      </c>
      <c r="Z2870">
        <v>0</v>
      </c>
      <c r="AA2870">
        <v>9</v>
      </c>
      <c r="AB2870">
        <v>3</v>
      </c>
      <c r="AC2870">
        <v>0</v>
      </c>
      <c r="AD2870">
        <v>9</v>
      </c>
      <c r="AE2870">
        <v>0</v>
      </c>
      <c r="AF2870">
        <v>3</v>
      </c>
      <c r="AG2870">
        <v>1</v>
      </c>
      <c r="AH2870">
        <v>0</v>
      </c>
      <c r="AI2870" t="s">
        <v>979</v>
      </c>
      <c r="AJ2870">
        <v>34.119630000000001</v>
      </c>
      <c r="AK2870" t="s">
        <v>980</v>
      </c>
      <c r="AL2870">
        <v>-117.05664400000001</v>
      </c>
      <c r="AM2870">
        <v>100</v>
      </c>
      <c r="AN2870">
        <v>6300</v>
      </c>
      <c r="AO2870" t="s">
        <v>118</v>
      </c>
      <c r="AP2870">
        <v>21</v>
      </c>
      <c r="AQ2870">
        <v>-106</v>
      </c>
      <c r="AR2870">
        <v>-960</v>
      </c>
      <c r="AZ2870">
        <v>1200</v>
      </c>
      <c r="BA2870">
        <v>1</v>
      </c>
      <c r="BB2870" t="str">
        <f t="shared" si="1561"/>
        <v xml:space="preserve">N9217B  </v>
      </c>
      <c r="BC2870">
        <v>1</v>
      </c>
      <c r="BE2870">
        <v>0</v>
      </c>
      <c r="BF2870">
        <v>0</v>
      </c>
      <c r="BG2870">
        <v>0</v>
      </c>
      <c r="BH2870">
        <v>6150</v>
      </c>
      <c r="BI2870">
        <v>1</v>
      </c>
      <c r="BJ2870">
        <v>0</v>
      </c>
      <c r="BK2870">
        <v>0</v>
      </c>
      <c r="BL2870">
        <v>0</v>
      </c>
      <c r="BO2870">
        <v>0</v>
      </c>
      <c r="BP2870">
        <v>0</v>
      </c>
      <c r="BW2870" t="str">
        <f t="shared" si="1587"/>
        <v>14:56:05.066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119</v>
      </c>
      <c r="CQ2870">
        <v>285</v>
      </c>
      <c r="CR2870">
        <v>0</v>
      </c>
      <c r="CW2870">
        <v>8871770</v>
      </c>
      <c r="CY2870">
        <v>0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25">
      <c r="A2871" t="str">
        <f t="shared" si="1585"/>
        <v>06/05/2020 14:55:59.392</v>
      </c>
      <c r="C2871" t="str">
        <f t="shared" si="1577"/>
        <v>FFDFD3C0</v>
      </c>
      <c r="D2871" t="s">
        <v>113</v>
      </c>
      <c r="E2871">
        <v>3</v>
      </c>
      <c r="H2871">
        <v>166</v>
      </c>
      <c r="I2871" t="s">
        <v>114</v>
      </c>
      <c r="J2871" t="s">
        <v>115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1586"/>
        <v>14:56:05.063</v>
      </c>
      <c r="T2871" t="str">
        <f t="shared" si="1586"/>
        <v>14:56:05.063</v>
      </c>
      <c r="U2871" t="str">
        <f t="shared" si="1560"/>
        <v>ACC530</v>
      </c>
      <c r="V2871">
        <v>0</v>
      </c>
      <c r="W2871">
        <v>0</v>
      </c>
      <c r="X2871">
        <v>1</v>
      </c>
      <c r="Z2871">
        <v>0</v>
      </c>
      <c r="AA2871">
        <v>9</v>
      </c>
      <c r="AB2871">
        <v>3</v>
      </c>
      <c r="AC2871">
        <v>0</v>
      </c>
      <c r="AD2871">
        <v>9</v>
      </c>
      <c r="AE2871">
        <v>0</v>
      </c>
      <c r="AF2871">
        <v>3</v>
      </c>
      <c r="AG2871">
        <v>1</v>
      </c>
      <c r="AH2871">
        <v>0</v>
      </c>
      <c r="AI2871" t="s">
        <v>979</v>
      </c>
      <c r="AJ2871">
        <v>34.119630000000001</v>
      </c>
      <c r="AK2871" t="s">
        <v>980</v>
      </c>
      <c r="AL2871">
        <v>-117.05664400000001</v>
      </c>
      <c r="AM2871">
        <v>100</v>
      </c>
      <c r="AN2871">
        <v>6300</v>
      </c>
      <c r="AO2871" t="s">
        <v>118</v>
      </c>
      <c r="AP2871">
        <v>21</v>
      </c>
      <c r="AQ2871">
        <v>-106</v>
      </c>
      <c r="AR2871">
        <v>-960</v>
      </c>
      <c r="AZ2871">
        <v>1200</v>
      </c>
      <c r="BA2871">
        <v>1</v>
      </c>
      <c r="BB2871" t="str">
        <f t="shared" si="1561"/>
        <v xml:space="preserve">N9217B  </v>
      </c>
      <c r="BC2871">
        <v>1</v>
      </c>
      <c r="BE2871">
        <v>0</v>
      </c>
      <c r="BF2871">
        <v>0</v>
      </c>
      <c r="BG2871">
        <v>0</v>
      </c>
      <c r="BH2871">
        <v>6150</v>
      </c>
      <c r="BI2871">
        <v>1</v>
      </c>
      <c r="BJ2871">
        <v>0</v>
      </c>
      <c r="BK2871">
        <v>0</v>
      </c>
      <c r="BL2871">
        <v>0</v>
      </c>
      <c r="BO2871">
        <v>0</v>
      </c>
      <c r="BP2871">
        <v>0</v>
      </c>
      <c r="BW2871" t="str">
        <f t="shared" si="1587"/>
        <v>14:56:05.066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285</v>
      </c>
      <c r="CR2871">
        <v>0</v>
      </c>
      <c r="CW2871">
        <v>8871770</v>
      </c>
      <c r="CY2871">
        <v>0</v>
      </c>
      <c r="CZ2871">
        <v>0</v>
      </c>
      <c r="DA2871">
        <v>1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25">
      <c r="A2872" t="str">
        <f t="shared" si="1585"/>
        <v>06/05/2020 14:55:59.392</v>
      </c>
      <c r="C2872" t="str">
        <f t="shared" si="1577"/>
        <v>FFDFD3C0</v>
      </c>
      <c r="D2872" t="s">
        <v>141</v>
      </c>
      <c r="E2872">
        <v>20</v>
      </c>
      <c r="F2872">
        <v>1020</v>
      </c>
      <c r="G2872" t="s">
        <v>114</v>
      </c>
      <c r="J2872" t="s">
        <v>142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586"/>
        <v>14:56:05.063</v>
      </c>
      <c r="T2872" t="str">
        <f t="shared" si="1586"/>
        <v>14:56:05.063</v>
      </c>
      <c r="U2872" t="str">
        <f t="shared" si="1560"/>
        <v>ACC530</v>
      </c>
      <c r="V2872">
        <v>0</v>
      </c>
      <c r="W2872">
        <v>0</v>
      </c>
      <c r="X2872">
        <v>1</v>
      </c>
      <c r="Z2872">
        <v>0</v>
      </c>
      <c r="AA2872">
        <v>9</v>
      </c>
      <c r="AB2872">
        <v>3</v>
      </c>
      <c r="AC2872">
        <v>0</v>
      </c>
      <c r="AD2872">
        <v>9</v>
      </c>
      <c r="AE2872">
        <v>0</v>
      </c>
      <c r="AF2872">
        <v>3</v>
      </c>
      <c r="AG2872">
        <v>1</v>
      </c>
      <c r="AH2872">
        <v>0</v>
      </c>
      <c r="AI2872" t="s">
        <v>979</v>
      </c>
      <c r="AJ2872">
        <v>34.119630000000001</v>
      </c>
      <c r="AK2872" t="s">
        <v>980</v>
      </c>
      <c r="AL2872">
        <v>-117.05664400000001</v>
      </c>
      <c r="AM2872">
        <v>100</v>
      </c>
      <c r="AN2872">
        <v>6300</v>
      </c>
      <c r="AO2872" t="s">
        <v>118</v>
      </c>
      <c r="AP2872">
        <v>21</v>
      </c>
      <c r="AQ2872">
        <v>-106</v>
      </c>
      <c r="AR2872">
        <v>-960</v>
      </c>
      <c r="AZ2872">
        <v>1200</v>
      </c>
      <c r="BA2872">
        <v>1</v>
      </c>
      <c r="BB2872" t="str">
        <f t="shared" si="1561"/>
        <v xml:space="preserve">N9217B  </v>
      </c>
      <c r="BC2872">
        <v>1</v>
      </c>
      <c r="BE2872">
        <v>0</v>
      </c>
      <c r="BF2872">
        <v>0</v>
      </c>
      <c r="BG2872">
        <v>0</v>
      </c>
      <c r="BH2872">
        <v>6150</v>
      </c>
      <c r="BI2872">
        <v>1</v>
      </c>
      <c r="BJ2872">
        <v>0</v>
      </c>
      <c r="BK2872">
        <v>0</v>
      </c>
      <c r="BL2872">
        <v>0</v>
      </c>
      <c r="BO2872">
        <v>0</v>
      </c>
      <c r="BP2872">
        <v>0</v>
      </c>
      <c r="BW2872" t="str">
        <f t="shared" si="1587"/>
        <v>14:56:05.066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285</v>
      </c>
      <c r="CR2872">
        <v>0</v>
      </c>
      <c r="CW2872">
        <v>8871770</v>
      </c>
      <c r="CY2872">
        <v>0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25">
      <c r="A2873" t="str">
        <f t="shared" ref="A2873:A2879" si="1588">"06/05/2020 14:56:00.404"</f>
        <v>06/05/2020 14:56:00.404</v>
      </c>
      <c r="C2873" t="str">
        <f t="shared" si="1577"/>
        <v>FFDFD3C0</v>
      </c>
      <c r="D2873" t="s">
        <v>148</v>
      </c>
      <c r="E2873">
        <v>11</v>
      </c>
      <c r="H2873">
        <v>53</v>
      </c>
      <c r="I2873" t="s">
        <v>364</v>
      </c>
      <c r="J2873" t="s">
        <v>150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ref="S2873:T2879" si="1589">"14:56:06.039"</f>
        <v>14:56:06.039</v>
      </c>
      <c r="T2873" t="str">
        <f t="shared" si="1589"/>
        <v>14:56:06.039</v>
      </c>
      <c r="U2873" t="str">
        <f t="shared" si="1560"/>
        <v>ACC530</v>
      </c>
      <c r="V2873">
        <v>0</v>
      </c>
      <c r="W2873">
        <v>0</v>
      </c>
      <c r="X2873">
        <v>1</v>
      </c>
      <c r="Z2873">
        <v>0</v>
      </c>
      <c r="AA2873">
        <v>9</v>
      </c>
      <c r="AB2873">
        <v>3</v>
      </c>
      <c r="AC2873">
        <v>0</v>
      </c>
      <c r="AD2873">
        <v>9</v>
      </c>
      <c r="AE2873">
        <v>0</v>
      </c>
      <c r="AF2873">
        <v>3</v>
      </c>
      <c r="AG2873">
        <v>1</v>
      </c>
      <c r="AH2873">
        <v>0</v>
      </c>
      <c r="AI2873" t="s">
        <v>981</v>
      </c>
      <c r="AJ2873">
        <v>34.119135999999997</v>
      </c>
      <c r="AK2873" t="s">
        <v>917</v>
      </c>
      <c r="AL2873">
        <v>-117.056515</v>
      </c>
      <c r="AM2873">
        <v>100</v>
      </c>
      <c r="AN2873">
        <v>6300</v>
      </c>
      <c r="AO2873" t="s">
        <v>118</v>
      </c>
      <c r="AP2873">
        <v>23</v>
      </c>
      <c r="AQ2873">
        <v>-106</v>
      </c>
      <c r="AR2873">
        <v>-960</v>
      </c>
      <c r="AZ2873">
        <v>1200</v>
      </c>
      <c r="BA2873">
        <v>1</v>
      </c>
      <c r="BB2873" t="str">
        <f t="shared" si="1561"/>
        <v xml:space="preserve">N9217B  </v>
      </c>
      <c r="BC2873">
        <v>1</v>
      </c>
      <c r="BE2873">
        <v>0</v>
      </c>
      <c r="BF2873">
        <v>0</v>
      </c>
      <c r="BG2873">
        <v>0</v>
      </c>
      <c r="BH2873">
        <v>6150</v>
      </c>
      <c r="BI2873">
        <v>1</v>
      </c>
      <c r="BJ2873">
        <v>0</v>
      </c>
      <c r="BK2873">
        <v>0</v>
      </c>
      <c r="BL2873">
        <v>0</v>
      </c>
      <c r="BO2873">
        <v>0</v>
      </c>
      <c r="BP2873">
        <v>0</v>
      </c>
      <c r="BW2873" t="str">
        <f t="shared" ref="BW2873:BW2879" si="1590">"14:56:06.041"</f>
        <v>14:56:06.041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119</v>
      </c>
      <c r="CQ2873">
        <v>285</v>
      </c>
      <c r="CR2873">
        <v>0</v>
      </c>
      <c r="CW2873">
        <v>8871863</v>
      </c>
      <c r="CY2873">
        <v>0</v>
      </c>
      <c r="CZ2873">
        <v>0</v>
      </c>
      <c r="DA2873">
        <v>0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25">
      <c r="A2874" t="str">
        <f t="shared" si="1588"/>
        <v>06/05/2020 14:56:00.404</v>
      </c>
      <c r="C2874" t="str">
        <f t="shared" si="1577"/>
        <v>FFDFD3C0</v>
      </c>
      <c r="D2874" t="s">
        <v>151</v>
      </c>
      <c r="E2874">
        <v>8</v>
      </c>
      <c r="H2874">
        <v>225</v>
      </c>
      <c r="I2874" t="s">
        <v>353</v>
      </c>
      <c r="J2874" t="s">
        <v>150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589"/>
        <v>14:56:06.039</v>
      </c>
      <c r="T2874" t="str">
        <f t="shared" si="1589"/>
        <v>14:56:06.039</v>
      </c>
      <c r="U2874" t="str">
        <f t="shared" si="1560"/>
        <v>ACC530</v>
      </c>
      <c r="V2874">
        <v>0</v>
      </c>
      <c r="W2874">
        <v>0</v>
      </c>
      <c r="X2874">
        <v>1</v>
      </c>
      <c r="Z2874">
        <v>0</v>
      </c>
      <c r="AA2874">
        <v>9</v>
      </c>
      <c r="AB2874">
        <v>3</v>
      </c>
      <c r="AC2874">
        <v>0</v>
      </c>
      <c r="AD2874">
        <v>9</v>
      </c>
      <c r="AE2874">
        <v>0</v>
      </c>
      <c r="AF2874">
        <v>3</v>
      </c>
      <c r="AG2874">
        <v>1</v>
      </c>
      <c r="AH2874">
        <v>0</v>
      </c>
      <c r="AI2874" t="s">
        <v>981</v>
      </c>
      <c r="AJ2874">
        <v>34.119135999999997</v>
      </c>
      <c r="AK2874" t="s">
        <v>917</v>
      </c>
      <c r="AL2874">
        <v>-117.056515</v>
      </c>
      <c r="AM2874">
        <v>100</v>
      </c>
      <c r="AN2874">
        <v>6300</v>
      </c>
      <c r="AO2874" t="s">
        <v>118</v>
      </c>
      <c r="AP2874">
        <v>23</v>
      </c>
      <c r="AQ2874">
        <v>-106</v>
      </c>
      <c r="AR2874">
        <v>-960</v>
      </c>
      <c r="AZ2874">
        <v>1200</v>
      </c>
      <c r="BA2874">
        <v>1</v>
      </c>
      <c r="BB2874" t="str">
        <f t="shared" si="1561"/>
        <v xml:space="preserve">N9217B  </v>
      </c>
      <c r="BC2874">
        <v>1</v>
      </c>
      <c r="BE2874">
        <v>0</v>
      </c>
      <c r="BF2874">
        <v>0</v>
      </c>
      <c r="BG2874">
        <v>0</v>
      </c>
      <c r="BH2874">
        <v>6150</v>
      </c>
      <c r="BI2874">
        <v>1</v>
      </c>
      <c r="BJ2874">
        <v>0</v>
      </c>
      <c r="BK2874">
        <v>0</v>
      </c>
      <c r="BL2874">
        <v>0</v>
      </c>
      <c r="BO2874">
        <v>0</v>
      </c>
      <c r="BP2874">
        <v>0</v>
      </c>
      <c r="BW2874" t="str">
        <f t="shared" si="1590"/>
        <v>14:56:06.041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119</v>
      </c>
      <c r="CQ2874">
        <v>285</v>
      </c>
      <c r="CR2874">
        <v>0</v>
      </c>
      <c r="CW2874">
        <v>8871863</v>
      </c>
      <c r="CY2874">
        <v>0</v>
      </c>
      <c r="CZ2874">
        <v>0</v>
      </c>
      <c r="DA2874">
        <v>1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25">
      <c r="A2875" t="str">
        <f t="shared" si="1588"/>
        <v>06/05/2020 14:56:00.404</v>
      </c>
      <c r="C2875" t="str">
        <f t="shared" si="1577"/>
        <v>FFDFD3C0</v>
      </c>
      <c r="D2875" t="s">
        <v>151</v>
      </c>
      <c r="E2875">
        <v>9</v>
      </c>
      <c r="H2875">
        <v>226</v>
      </c>
      <c r="I2875" t="s">
        <v>152</v>
      </c>
      <c r="J2875" t="s">
        <v>150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589"/>
        <v>14:56:06.039</v>
      </c>
      <c r="T2875" t="str">
        <f t="shared" si="1589"/>
        <v>14:56:06.039</v>
      </c>
      <c r="U2875" t="str">
        <f t="shared" si="1560"/>
        <v>ACC530</v>
      </c>
      <c r="V2875">
        <v>0</v>
      </c>
      <c r="W2875">
        <v>0</v>
      </c>
      <c r="X2875">
        <v>1</v>
      </c>
      <c r="Z2875">
        <v>0</v>
      </c>
      <c r="AA2875">
        <v>9</v>
      </c>
      <c r="AB2875">
        <v>3</v>
      </c>
      <c r="AC2875">
        <v>0</v>
      </c>
      <c r="AD2875">
        <v>9</v>
      </c>
      <c r="AE2875">
        <v>0</v>
      </c>
      <c r="AF2875">
        <v>3</v>
      </c>
      <c r="AG2875">
        <v>1</v>
      </c>
      <c r="AH2875">
        <v>0</v>
      </c>
      <c r="AI2875" t="s">
        <v>981</v>
      </c>
      <c r="AJ2875">
        <v>34.119135999999997</v>
      </c>
      <c r="AK2875" t="s">
        <v>917</v>
      </c>
      <c r="AL2875">
        <v>-117.056515</v>
      </c>
      <c r="AM2875">
        <v>100</v>
      </c>
      <c r="AN2875">
        <v>6300</v>
      </c>
      <c r="AO2875" t="s">
        <v>118</v>
      </c>
      <c r="AP2875">
        <v>23</v>
      </c>
      <c r="AQ2875">
        <v>-106</v>
      </c>
      <c r="AR2875">
        <v>-960</v>
      </c>
      <c r="AZ2875">
        <v>1200</v>
      </c>
      <c r="BA2875">
        <v>1</v>
      </c>
      <c r="BB2875" t="str">
        <f t="shared" si="1561"/>
        <v xml:space="preserve">N9217B  </v>
      </c>
      <c r="BC2875">
        <v>1</v>
      </c>
      <c r="BE2875">
        <v>0</v>
      </c>
      <c r="BF2875">
        <v>0</v>
      </c>
      <c r="BG2875">
        <v>0</v>
      </c>
      <c r="BH2875">
        <v>6150</v>
      </c>
      <c r="BI2875">
        <v>1</v>
      </c>
      <c r="BJ2875">
        <v>0</v>
      </c>
      <c r="BK2875">
        <v>0</v>
      </c>
      <c r="BL2875">
        <v>0</v>
      </c>
      <c r="BO2875">
        <v>0</v>
      </c>
      <c r="BP2875">
        <v>0</v>
      </c>
      <c r="BW2875" t="str">
        <f t="shared" si="1590"/>
        <v>14:56:06.041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7</v>
      </c>
      <c r="CP2875" t="s">
        <v>119</v>
      </c>
      <c r="CQ2875">
        <v>285</v>
      </c>
      <c r="CR2875">
        <v>0</v>
      </c>
      <c r="CW2875">
        <v>8871863</v>
      </c>
      <c r="CY2875">
        <v>0</v>
      </c>
      <c r="CZ2875">
        <v>0</v>
      </c>
      <c r="DA2875">
        <v>1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25">
      <c r="A2876" t="str">
        <f t="shared" si="1588"/>
        <v>06/05/2020 14:56:00.404</v>
      </c>
      <c r="C2876" t="str">
        <f t="shared" si="1577"/>
        <v>FFDFD3C0</v>
      </c>
      <c r="D2876" t="s">
        <v>134</v>
      </c>
      <c r="E2876">
        <v>7</v>
      </c>
      <c r="F2876">
        <v>2007</v>
      </c>
      <c r="G2876" t="s">
        <v>135</v>
      </c>
      <c r="J2876" t="s">
        <v>136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589"/>
        <v>14:56:06.039</v>
      </c>
      <c r="T2876" t="str">
        <f t="shared" si="1589"/>
        <v>14:56:06.039</v>
      </c>
      <c r="U2876" t="str">
        <f t="shared" si="1560"/>
        <v>ACC530</v>
      </c>
      <c r="V2876">
        <v>0</v>
      </c>
      <c r="W2876">
        <v>0</v>
      </c>
      <c r="X2876">
        <v>1</v>
      </c>
      <c r="Z2876">
        <v>0</v>
      </c>
      <c r="AA2876">
        <v>9</v>
      </c>
      <c r="AB2876">
        <v>3</v>
      </c>
      <c r="AC2876">
        <v>0</v>
      </c>
      <c r="AD2876">
        <v>9</v>
      </c>
      <c r="AE2876">
        <v>0</v>
      </c>
      <c r="AF2876">
        <v>3</v>
      </c>
      <c r="AG2876">
        <v>1</v>
      </c>
      <c r="AH2876">
        <v>0</v>
      </c>
      <c r="AI2876" t="s">
        <v>981</v>
      </c>
      <c r="AJ2876">
        <v>34.119135999999997</v>
      </c>
      <c r="AK2876" t="s">
        <v>917</v>
      </c>
      <c r="AL2876">
        <v>-117.056515</v>
      </c>
      <c r="AM2876">
        <v>100</v>
      </c>
      <c r="AN2876">
        <v>6300</v>
      </c>
      <c r="AO2876" t="s">
        <v>118</v>
      </c>
      <c r="AP2876">
        <v>23</v>
      </c>
      <c r="AQ2876">
        <v>-106</v>
      </c>
      <c r="AR2876">
        <v>-960</v>
      </c>
      <c r="AZ2876">
        <v>1200</v>
      </c>
      <c r="BA2876">
        <v>1</v>
      </c>
      <c r="BB2876" t="str">
        <f t="shared" si="1561"/>
        <v xml:space="preserve">N9217B  </v>
      </c>
      <c r="BC2876">
        <v>1</v>
      </c>
      <c r="BE2876">
        <v>0</v>
      </c>
      <c r="BF2876">
        <v>0</v>
      </c>
      <c r="BG2876">
        <v>0</v>
      </c>
      <c r="BH2876">
        <v>6150</v>
      </c>
      <c r="BI2876">
        <v>1</v>
      </c>
      <c r="BJ2876">
        <v>0</v>
      </c>
      <c r="BK2876">
        <v>0</v>
      </c>
      <c r="BL2876">
        <v>0</v>
      </c>
      <c r="BO2876">
        <v>0</v>
      </c>
      <c r="BP2876">
        <v>0</v>
      </c>
      <c r="BW2876" t="str">
        <f t="shared" si="1590"/>
        <v>14:56:06.041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7</v>
      </c>
      <c r="CP2876" t="s">
        <v>119</v>
      </c>
      <c r="CQ2876">
        <v>285</v>
      </c>
      <c r="CR2876">
        <v>0</v>
      </c>
      <c r="CW2876">
        <v>8871863</v>
      </c>
      <c r="CY2876">
        <v>0</v>
      </c>
      <c r="CZ2876">
        <v>0</v>
      </c>
      <c r="DA2876">
        <v>1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25">
      <c r="A2877" t="str">
        <f t="shared" si="1588"/>
        <v>06/05/2020 14:56:00.404</v>
      </c>
      <c r="C2877" t="str">
        <f t="shared" si="1577"/>
        <v>FFDFD3C0</v>
      </c>
      <c r="D2877" t="s">
        <v>113</v>
      </c>
      <c r="E2877">
        <v>3</v>
      </c>
      <c r="H2877">
        <v>166</v>
      </c>
      <c r="I2877" t="s">
        <v>114</v>
      </c>
      <c r="J2877" t="s">
        <v>115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589"/>
        <v>14:56:06.039</v>
      </c>
      <c r="T2877" t="str">
        <f t="shared" si="1589"/>
        <v>14:56:06.039</v>
      </c>
      <c r="U2877" t="str">
        <f t="shared" si="1560"/>
        <v>ACC530</v>
      </c>
      <c r="V2877">
        <v>0</v>
      </c>
      <c r="W2877">
        <v>0</v>
      </c>
      <c r="X2877">
        <v>1</v>
      </c>
      <c r="Z2877">
        <v>0</v>
      </c>
      <c r="AA2877">
        <v>9</v>
      </c>
      <c r="AB2877">
        <v>3</v>
      </c>
      <c r="AC2877">
        <v>0</v>
      </c>
      <c r="AD2877">
        <v>9</v>
      </c>
      <c r="AE2877">
        <v>0</v>
      </c>
      <c r="AF2877">
        <v>3</v>
      </c>
      <c r="AG2877">
        <v>1</v>
      </c>
      <c r="AH2877">
        <v>0</v>
      </c>
      <c r="AI2877" t="s">
        <v>981</v>
      </c>
      <c r="AJ2877">
        <v>34.119135999999997</v>
      </c>
      <c r="AK2877" t="s">
        <v>917</v>
      </c>
      <c r="AL2877">
        <v>-117.056515</v>
      </c>
      <c r="AM2877">
        <v>100</v>
      </c>
      <c r="AN2877">
        <v>6300</v>
      </c>
      <c r="AO2877" t="s">
        <v>118</v>
      </c>
      <c r="AP2877">
        <v>23</v>
      </c>
      <c r="AQ2877">
        <v>-106</v>
      </c>
      <c r="AR2877">
        <v>-960</v>
      </c>
      <c r="AZ2877">
        <v>1200</v>
      </c>
      <c r="BA2877">
        <v>1</v>
      </c>
      <c r="BB2877" t="str">
        <f t="shared" si="1561"/>
        <v xml:space="preserve">N9217B  </v>
      </c>
      <c r="BC2877">
        <v>1</v>
      </c>
      <c r="BE2877">
        <v>0</v>
      </c>
      <c r="BF2877">
        <v>0</v>
      </c>
      <c r="BG2877">
        <v>0</v>
      </c>
      <c r="BH2877">
        <v>6150</v>
      </c>
      <c r="BI2877">
        <v>1</v>
      </c>
      <c r="BJ2877">
        <v>0</v>
      </c>
      <c r="BK2877">
        <v>0</v>
      </c>
      <c r="BL2877">
        <v>0</v>
      </c>
      <c r="BO2877">
        <v>0</v>
      </c>
      <c r="BP2877">
        <v>0</v>
      </c>
      <c r="BW2877" t="str">
        <f t="shared" si="1590"/>
        <v>14:56:06.041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7</v>
      </c>
      <c r="CP2877" t="s">
        <v>119</v>
      </c>
      <c r="CQ2877">
        <v>285</v>
      </c>
      <c r="CR2877">
        <v>0</v>
      </c>
      <c r="CW2877">
        <v>8871863</v>
      </c>
      <c r="CY2877">
        <v>0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25">
      <c r="A2878" t="str">
        <f t="shared" si="1588"/>
        <v>06/05/2020 14:56:00.404</v>
      </c>
      <c r="C2878" t="str">
        <f t="shared" si="1577"/>
        <v>FFDFD3C0</v>
      </c>
      <c r="D2878" t="s">
        <v>148</v>
      </c>
      <c r="E2878">
        <v>8</v>
      </c>
      <c r="H2878">
        <v>50</v>
      </c>
      <c r="I2878" t="s">
        <v>149</v>
      </c>
      <c r="J2878" t="s">
        <v>150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589"/>
        <v>14:56:06.039</v>
      </c>
      <c r="T2878" t="str">
        <f t="shared" si="1589"/>
        <v>14:56:06.039</v>
      </c>
      <c r="U2878" t="str">
        <f t="shared" si="1560"/>
        <v>ACC530</v>
      </c>
      <c r="V2878">
        <v>0</v>
      </c>
      <c r="W2878">
        <v>0</v>
      </c>
      <c r="X2878">
        <v>1</v>
      </c>
      <c r="Z2878">
        <v>0</v>
      </c>
      <c r="AA2878">
        <v>9</v>
      </c>
      <c r="AB2878">
        <v>3</v>
      </c>
      <c r="AC2878">
        <v>0</v>
      </c>
      <c r="AD2878">
        <v>9</v>
      </c>
      <c r="AE2878">
        <v>0</v>
      </c>
      <c r="AF2878">
        <v>3</v>
      </c>
      <c r="AG2878">
        <v>1</v>
      </c>
      <c r="AH2878">
        <v>0</v>
      </c>
      <c r="AI2878" t="s">
        <v>981</v>
      </c>
      <c r="AJ2878">
        <v>34.119135999999997</v>
      </c>
      <c r="AK2878" t="s">
        <v>917</v>
      </c>
      <c r="AL2878">
        <v>-117.056515</v>
      </c>
      <c r="AM2878">
        <v>100</v>
      </c>
      <c r="AN2878">
        <v>6300</v>
      </c>
      <c r="AO2878" t="s">
        <v>118</v>
      </c>
      <c r="AP2878">
        <v>23</v>
      </c>
      <c r="AQ2878">
        <v>-106</v>
      </c>
      <c r="AR2878">
        <v>-960</v>
      </c>
      <c r="AZ2878">
        <v>1200</v>
      </c>
      <c r="BA2878">
        <v>1</v>
      </c>
      <c r="BB2878" t="str">
        <f t="shared" si="1561"/>
        <v xml:space="preserve">N9217B  </v>
      </c>
      <c r="BC2878">
        <v>1</v>
      </c>
      <c r="BE2878">
        <v>0</v>
      </c>
      <c r="BF2878">
        <v>0</v>
      </c>
      <c r="BG2878">
        <v>0</v>
      </c>
      <c r="BH2878">
        <v>6150</v>
      </c>
      <c r="BI2878">
        <v>1</v>
      </c>
      <c r="BJ2878">
        <v>0</v>
      </c>
      <c r="BK2878">
        <v>0</v>
      </c>
      <c r="BL2878">
        <v>0</v>
      </c>
      <c r="BO2878">
        <v>0</v>
      </c>
      <c r="BP2878">
        <v>0</v>
      </c>
      <c r="BW2878" t="str">
        <f t="shared" si="1590"/>
        <v>14:56:06.041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7</v>
      </c>
      <c r="CP2878" t="s">
        <v>119</v>
      </c>
      <c r="CQ2878">
        <v>285</v>
      </c>
      <c r="CR2878">
        <v>0</v>
      </c>
      <c r="CW2878">
        <v>8871863</v>
      </c>
      <c r="CY2878">
        <v>0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25">
      <c r="A2879" t="str">
        <f t="shared" si="1588"/>
        <v>06/05/2020 14:56:00.404</v>
      </c>
      <c r="C2879" t="str">
        <f t="shared" si="1577"/>
        <v>FFDFD3C0</v>
      </c>
      <c r="D2879" t="s">
        <v>141</v>
      </c>
      <c r="E2879">
        <v>20</v>
      </c>
      <c r="F2879">
        <v>1020</v>
      </c>
      <c r="G2879" t="s">
        <v>114</v>
      </c>
      <c r="J2879" t="s">
        <v>142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589"/>
        <v>14:56:06.039</v>
      </c>
      <c r="T2879" t="str">
        <f t="shared" si="1589"/>
        <v>14:56:06.039</v>
      </c>
      <c r="U2879" t="str">
        <f t="shared" si="1560"/>
        <v>ACC530</v>
      </c>
      <c r="V2879">
        <v>0</v>
      </c>
      <c r="W2879">
        <v>0</v>
      </c>
      <c r="X2879">
        <v>1</v>
      </c>
      <c r="Z2879">
        <v>0</v>
      </c>
      <c r="AA2879">
        <v>9</v>
      </c>
      <c r="AB2879">
        <v>3</v>
      </c>
      <c r="AC2879">
        <v>0</v>
      </c>
      <c r="AD2879">
        <v>9</v>
      </c>
      <c r="AE2879">
        <v>0</v>
      </c>
      <c r="AF2879">
        <v>3</v>
      </c>
      <c r="AG2879">
        <v>1</v>
      </c>
      <c r="AH2879">
        <v>0</v>
      </c>
      <c r="AI2879" t="s">
        <v>981</v>
      </c>
      <c r="AJ2879">
        <v>34.119135999999997</v>
      </c>
      <c r="AK2879" t="s">
        <v>917</v>
      </c>
      <c r="AL2879">
        <v>-117.056515</v>
      </c>
      <c r="AM2879">
        <v>100</v>
      </c>
      <c r="AN2879">
        <v>6300</v>
      </c>
      <c r="AO2879" t="s">
        <v>118</v>
      </c>
      <c r="AP2879">
        <v>23</v>
      </c>
      <c r="AQ2879">
        <v>-106</v>
      </c>
      <c r="AR2879">
        <v>-960</v>
      </c>
      <c r="AZ2879">
        <v>1200</v>
      </c>
      <c r="BA2879">
        <v>1</v>
      </c>
      <c r="BB2879" t="str">
        <f t="shared" si="1561"/>
        <v xml:space="preserve">N9217B  </v>
      </c>
      <c r="BC2879">
        <v>1</v>
      </c>
      <c r="BE2879">
        <v>0</v>
      </c>
      <c r="BF2879">
        <v>0</v>
      </c>
      <c r="BG2879">
        <v>0</v>
      </c>
      <c r="BH2879">
        <v>6150</v>
      </c>
      <c r="BI2879">
        <v>1</v>
      </c>
      <c r="BJ2879">
        <v>0</v>
      </c>
      <c r="BK2879">
        <v>0</v>
      </c>
      <c r="BL2879">
        <v>0</v>
      </c>
      <c r="BO2879">
        <v>0</v>
      </c>
      <c r="BP2879">
        <v>0</v>
      </c>
      <c r="BW2879" t="str">
        <f t="shared" si="1590"/>
        <v>14:56:06.041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7</v>
      </c>
      <c r="CP2879" t="s">
        <v>119</v>
      </c>
      <c r="CQ2879">
        <v>285</v>
      </c>
      <c r="CR2879">
        <v>0</v>
      </c>
      <c r="CW2879">
        <v>8871863</v>
      </c>
      <c r="CY2879">
        <v>0</v>
      </c>
      <c r="CZ2879">
        <v>0</v>
      </c>
      <c r="DA2879">
        <v>1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25">
      <c r="A2880" t="str">
        <f t="shared" ref="A2880:A2886" si="1591">"06/05/2020 14:56:01.414"</f>
        <v>06/05/2020 14:56:01.414</v>
      </c>
      <c r="C2880" t="str">
        <f t="shared" si="1577"/>
        <v>FFDFD3C0</v>
      </c>
      <c r="D2880" t="s">
        <v>148</v>
      </c>
      <c r="E2880">
        <v>11</v>
      </c>
      <c r="H2880">
        <v>53</v>
      </c>
      <c r="I2880" t="s">
        <v>364</v>
      </c>
      <c r="J2880" t="s">
        <v>150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ref="S2880:T2886" si="1592">"14:56:07.039"</f>
        <v>14:56:07.039</v>
      </c>
      <c r="T2880" t="str">
        <f t="shared" si="1592"/>
        <v>14:56:07.039</v>
      </c>
      <c r="U2880" t="str">
        <f t="shared" si="1560"/>
        <v>ACC530</v>
      </c>
      <c r="V2880">
        <v>0</v>
      </c>
      <c r="W2880">
        <v>0</v>
      </c>
      <c r="X2880">
        <v>1</v>
      </c>
      <c r="Z2880">
        <v>0</v>
      </c>
      <c r="AA2880">
        <v>9</v>
      </c>
      <c r="AB2880">
        <v>3</v>
      </c>
      <c r="AC2880">
        <v>0</v>
      </c>
      <c r="AD2880">
        <v>9</v>
      </c>
      <c r="AE2880">
        <v>0</v>
      </c>
      <c r="AF2880">
        <v>3</v>
      </c>
      <c r="AG2880">
        <v>1</v>
      </c>
      <c r="AH2880">
        <v>0</v>
      </c>
      <c r="AI2880" t="s">
        <v>982</v>
      </c>
      <c r="AJ2880">
        <v>34.118642999999999</v>
      </c>
      <c r="AK2880" t="s">
        <v>983</v>
      </c>
      <c r="AL2880">
        <v>-117.056344</v>
      </c>
      <c r="AM2880">
        <v>100</v>
      </c>
      <c r="AN2880">
        <v>6200</v>
      </c>
      <c r="AO2880" t="s">
        <v>118</v>
      </c>
      <c r="AP2880">
        <v>24</v>
      </c>
      <c r="AQ2880">
        <v>-106</v>
      </c>
      <c r="AR2880">
        <v>-960</v>
      </c>
      <c r="AZ2880">
        <v>1200</v>
      </c>
      <c r="BA2880">
        <v>1</v>
      </c>
      <c r="BB2880" t="str">
        <f t="shared" si="1561"/>
        <v xml:space="preserve">N9217B  </v>
      </c>
      <c r="BC2880">
        <v>1</v>
      </c>
      <c r="BE2880">
        <v>0</v>
      </c>
      <c r="BF2880">
        <v>0</v>
      </c>
      <c r="BG2880">
        <v>0</v>
      </c>
      <c r="BH2880">
        <v>6125</v>
      </c>
      <c r="BI2880">
        <v>1</v>
      </c>
      <c r="BJ2880">
        <v>0</v>
      </c>
      <c r="BK2880">
        <v>0</v>
      </c>
      <c r="BL2880">
        <v>0</v>
      </c>
      <c r="BO2880">
        <v>0</v>
      </c>
      <c r="BP2880">
        <v>0</v>
      </c>
      <c r="BW2880" t="str">
        <f t="shared" ref="BW2880:BW2886" si="1593">"14:56:07.046"</f>
        <v>14:56:07.046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7</v>
      </c>
      <c r="CP2880" t="s">
        <v>119</v>
      </c>
      <c r="CQ2880">
        <v>285</v>
      </c>
      <c r="CR2880">
        <v>0</v>
      </c>
      <c r="CW2880">
        <v>8871954</v>
      </c>
      <c r="CY2880">
        <v>0</v>
      </c>
      <c r="CZ2880">
        <v>0</v>
      </c>
      <c r="DA2880">
        <v>0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25">
      <c r="A2881" t="str">
        <f t="shared" si="1591"/>
        <v>06/05/2020 14:56:01.414</v>
      </c>
      <c r="C2881" t="str">
        <f t="shared" si="1577"/>
        <v>FFDFD3C0</v>
      </c>
      <c r="D2881" t="s">
        <v>151</v>
      </c>
      <c r="E2881">
        <v>8</v>
      </c>
      <c r="H2881">
        <v>225</v>
      </c>
      <c r="I2881" t="s">
        <v>353</v>
      </c>
      <c r="J2881" t="s">
        <v>150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592"/>
        <v>14:56:07.039</v>
      </c>
      <c r="T2881" t="str">
        <f t="shared" si="1592"/>
        <v>14:56:07.039</v>
      </c>
      <c r="U2881" t="str">
        <f t="shared" si="1560"/>
        <v>ACC530</v>
      </c>
      <c r="V2881">
        <v>0</v>
      </c>
      <c r="W2881">
        <v>0</v>
      </c>
      <c r="X2881">
        <v>1</v>
      </c>
      <c r="Z2881">
        <v>0</v>
      </c>
      <c r="AA2881">
        <v>9</v>
      </c>
      <c r="AB2881">
        <v>3</v>
      </c>
      <c r="AC2881">
        <v>0</v>
      </c>
      <c r="AD2881">
        <v>9</v>
      </c>
      <c r="AE2881">
        <v>0</v>
      </c>
      <c r="AF2881">
        <v>3</v>
      </c>
      <c r="AG2881">
        <v>1</v>
      </c>
      <c r="AH2881">
        <v>0</v>
      </c>
      <c r="AI2881" t="s">
        <v>982</v>
      </c>
      <c r="AJ2881">
        <v>34.118642999999999</v>
      </c>
      <c r="AK2881" t="s">
        <v>983</v>
      </c>
      <c r="AL2881">
        <v>-117.056344</v>
      </c>
      <c r="AM2881">
        <v>100</v>
      </c>
      <c r="AN2881">
        <v>6200</v>
      </c>
      <c r="AO2881" t="s">
        <v>118</v>
      </c>
      <c r="AP2881">
        <v>24</v>
      </c>
      <c r="AQ2881">
        <v>-106</v>
      </c>
      <c r="AR2881">
        <v>-960</v>
      </c>
      <c r="AZ2881">
        <v>1200</v>
      </c>
      <c r="BA2881">
        <v>1</v>
      </c>
      <c r="BB2881" t="str">
        <f t="shared" si="1561"/>
        <v xml:space="preserve">N9217B  </v>
      </c>
      <c r="BC2881">
        <v>1</v>
      </c>
      <c r="BE2881">
        <v>0</v>
      </c>
      <c r="BF2881">
        <v>0</v>
      </c>
      <c r="BG2881">
        <v>0</v>
      </c>
      <c r="BH2881">
        <v>6125</v>
      </c>
      <c r="BI2881">
        <v>1</v>
      </c>
      <c r="BJ2881">
        <v>0</v>
      </c>
      <c r="BK2881">
        <v>0</v>
      </c>
      <c r="BL2881">
        <v>0</v>
      </c>
      <c r="BO2881">
        <v>0</v>
      </c>
      <c r="BP2881">
        <v>0</v>
      </c>
      <c r="BW2881" t="str">
        <f t="shared" si="1593"/>
        <v>14:56:07.046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7</v>
      </c>
      <c r="CP2881" t="s">
        <v>119</v>
      </c>
      <c r="CQ2881">
        <v>285</v>
      </c>
      <c r="CR2881">
        <v>0</v>
      </c>
      <c r="CW2881">
        <v>8871954</v>
      </c>
      <c r="CY2881">
        <v>0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25">
      <c r="A2882" t="str">
        <f t="shared" si="1591"/>
        <v>06/05/2020 14:56:01.414</v>
      </c>
      <c r="C2882" t="str">
        <f t="shared" si="1577"/>
        <v>FFDFD3C0</v>
      </c>
      <c r="D2882" t="s">
        <v>151</v>
      </c>
      <c r="E2882">
        <v>9</v>
      </c>
      <c r="H2882">
        <v>226</v>
      </c>
      <c r="I2882" t="s">
        <v>152</v>
      </c>
      <c r="J2882" t="s">
        <v>150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592"/>
        <v>14:56:07.039</v>
      </c>
      <c r="T2882" t="str">
        <f t="shared" si="1592"/>
        <v>14:56:07.039</v>
      </c>
      <c r="U2882" t="str">
        <f t="shared" ref="U2882:U2945" si="1594">"ACC530"</f>
        <v>ACC530</v>
      </c>
      <c r="V2882">
        <v>0</v>
      </c>
      <c r="W2882">
        <v>0</v>
      </c>
      <c r="X2882">
        <v>1</v>
      </c>
      <c r="Z2882">
        <v>0</v>
      </c>
      <c r="AA2882">
        <v>9</v>
      </c>
      <c r="AB2882">
        <v>3</v>
      </c>
      <c r="AC2882">
        <v>0</v>
      </c>
      <c r="AD2882">
        <v>9</v>
      </c>
      <c r="AE2882">
        <v>0</v>
      </c>
      <c r="AF2882">
        <v>3</v>
      </c>
      <c r="AG2882">
        <v>1</v>
      </c>
      <c r="AH2882">
        <v>0</v>
      </c>
      <c r="AI2882" t="s">
        <v>982</v>
      </c>
      <c r="AJ2882">
        <v>34.118642999999999</v>
      </c>
      <c r="AK2882" t="s">
        <v>983</v>
      </c>
      <c r="AL2882">
        <v>-117.056344</v>
      </c>
      <c r="AM2882">
        <v>100</v>
      </c>
      <c r="AN2882">
        <v>6200</v>
      </c>
      <c r="AO2882" t="s">
        <v>118</v>
      </c>
      <c r="AP2882">
        <v>24</v>
      </c>
      <c r="AQ2882">
        <v>-106</v>
      </c>
      <c r="AR2882">
        <v>-960</v>
      </c>
      <c r="AZ2882">
        <v>1200</v>
      </c>
      <c r="BA2882">
        <v>1</v>
      </c>
      <c r="BB2882" t="str">
        <f t="shared" si="1561"/>
        <v xml:space="preserve">N9217B  </v>
      </c>
      <c r="BC2882">
        <v>1</v>
      </c>
      <c r="BE2882">
        <v>0</v>
      </c>
      <c r="BF2882">
        <v>0</v>
      </c>
      <c r="BG2882">
        <v>0</v>
      </c>
      <c r="BH2882">
        <v>6125</v>
      </c>
      <c r="BI2882">
        <v>1</v>
      </c>
      <c r="BJ2882">
        <v>0</v>
      </c>
      <c r="BK2882">
        <v>0</v>
      </c>
      <c r="BL2882">
        <v>0</v>
      </c>
      <c r="BO2882">
        <v>0</v>
      </c>
      <c r="BP2882">
        <v>0</v>
      </c>
      <c r="BW2882" t="str">
        <f t="shared" si="1593"/>
        <v>14:56:07.046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7</v>
      </c>
      <c r="CP2882" t="s">
        <v>119</v>
      </c>
      <c r="CQ2882">
        <v>285</v>
      </c>
      <c r="CR2882">
        <v>0</v>
      </c>
      <c r="CW2882">
        <v>8871954</v>
      </c>
      <c r="CY2882">
        <v>0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25">
      <c r="A2883" t="str">
        <f t="shared" si="1591"/>
        <v>06/05/2020 14:56:01.414</v>
      </c>
      <c r="C2883" t="str">
        <f t="shared" si="1577"/>
        <v>FFDFD3C0</v>
      </c>
      <c r="D2883" t="s">
        <v>134</v>
      </c>
      <c r="E2883">
        <v>7</v>
      </c>
      <c r="F2883">
        <v>2007</v>
      </c>
      <c r="G2883" t="s">
        <v>135</v>
      </c>
      <c r="J2883" t="s">
        <v>136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592"/>
        <v>14:56:07.039</v>
      </c>
      <c r="T2883" t="str">
        <f t="shared" si="1592"/>
        <v>14:56:07.039</v>
      </c>
      <c r="U2883" t="str">
        <f t="shared" si="1594"/>
        <v>ACC530</v>
      </c>
      <c r="V2883">
        <v>0</v>
      </c>
      <c r="W2883">
        <v>0</v>
      </c>
      <c r="X2883">
        <v>1</v>
      </c>
      <c r="Z2883">
        <v>0</v>
      </c>
      <c r="AA2883">
        <v>9</v>
      </c>
      <c r="AB2883">
        <v>3</v>
      </c>
      <c r="AC2883">
        <v>0</v>
      </c>
      <c r="AD2883">
        <v>9</v>
      </c>
      <c r="AE2883">
        <v>0</v>
      </c>
      <c r="AF2883">
        <v>3</v>
      </c>
      <c r="AG2883">
        <v>1</v>
      </c>
      <c r="AH2883">
        <v>0</v>
      </c>
      <c r="AI2883" t="s">
        <v>982</v>
      </c>
      <c r="AJ2883">
        <v>34.118642999999999</v>
      </c>
      <c r="AK2883" t="s">
        <v>983</v>
      </c>
      <c r="AL2883">
        <v>-117.056344</v>
      </c>
      <c r="AM2883">
        <v>100</v>
      </c>
      <c r="AN2883">
        <v>6200</v>
      </c>
      <c r="AO2883" t="s">
        <v>118</v>
      </c>
      <c r="AP2883">
        <v>24</v>
      </c>
      <c r="AQ2883">
        <v>-106</v>
      </c>
      <c r="AR2883">
        <v>-960</v>
      </c>
      <c r="AZ2883">
        <v>1200</v>
      </c>
      <c r="BA2883">
        <v>1</v>
      </c>
      <c r="BB2883" t="str">
        <f t="shared" si="1561"/>
        <v xml:space="preserve">N9217B  </v>
      </c>
      <c r="BC2883">
        <v>1</v>
      </c>
      <c r="BE2883">
        <v>0</v>
      </c>
      <c r="BF2883">
        <v>0</v>
      </c>
      <c r="BG2883">
        <v>0</v>
      </c>
      <c r="BH2883">
        <v>6125</v>
      </c>
      <c r="BI2883">
        <v>1</v>
      </c>
      <c r="BJ2883">
        <v>0</v>
      </c>
      <c r="BK2883">
        <v>0</v>
      </c>
      <c r="BL2883">
        <v>0</v>
      </c>
      <c r="BO2883">
        <v>0</v>
      </c>
      <c r="BP2883">
        <v>0</v>
      </c>
      <c r="BW2883" t="str">
        <f t="shared" si="1593"/>
        <v>14:56:07.046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7</v>
      </c>
      <c r="CP2883" t="s">
        <v>119</v>
      </c>
      <c r="CQ2883">
        <v>285</v>
      </c>
      <c r="CR2883">
        <v>0</v>
      </c>
      <c r="CW2883">
        <v>8871954</v>
      </c>
      <c r="CY2883">
        <v>0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25">
      <c r="A2884" t="str">
        <f t="shared" si="1591"/>
        <v>06/05/2020 14:56:01.414</v>
      </c>
      <c r="C2884" t="str">
        <f t="shared" si="1577"/>
        <v>FFDFD3C0</v>
      </c>
      <c r="D2884" t="s">
        <v>141</v>
      </c>
      <c r="E2884">
        <v>20</v>
      </c>
      <c r="F2884">
        <v>1020</v>
      </c>
      <c r="G2884" t="s">
        <v>114</v>
      </c>
      <c r="J2884" t="s">
        <v>142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592"/>
        <v>14:56:07.039</v>
      </c>
      <c r="T2884" t="str">
        <f t="shared" si="1592"/>
        <v>14:56:07.039</v>
      </c>
      <c r="U2884" t="str">
        <f t="shared" si="1594"/>
        <v>ACC530</v>
      </c>
      <c r="V2884">
        <v>0</v>
      </c>
      <c r="W2884">
        <v>0</v>
      </c>
      <c r="X2884">
        <v>1</v>
      </c>
      <c r="Z2884">
        <v>0</v>
      </c>
      <c r="AA2884">
        <v>9</v>
      </c>
      <c r="AB2884">
        <v>3</v>
      </c>
      <c r="AC2884">
        <v>0</v>
      </c>
      <c r="AD2884">
        <v>9</v>
      </c>
      <c r="AE2884">
        <v>0</v>
      </c>
      <c r="AF2884">
        <v>3</v>
      </c>
      <c r="AG2884">
        <v>1</v>
      </c>
      <c r="AH2884">
        <v>0</v>
      </c>
      <c r="AI2884" t="s">
        <v>982</v>
      </c>
      <c r="AJ2884">
        <v>34.118642999999999</v>
      </c>
      <c r="AK2884" t="s">
        <v>983</v>
      </c>
      <c r="AL2884">
        <v>-117.056344</v>
      </c>
      <c r="AM2884">
        <v>100</v>
      </c>
      <c r="AN2884">
        <v>6200</v>
      </c>
      <c r="AO2884" t="s">
        <v>118</v>
      </c>
      <c r="AP2884">
        <v>24</v>
      </c>
      <c r="AQ2884">
        <v>-106</v>
      </c>
      <c r="AR2884">
        <v>-960</v>
      </c>
      <c r="AZ2884">
        <v>1200</v>
      </c>
      <c r="BA2884">
        <v>1</v>
      </c>
      <c r="BB2884" t="str">
        <f t="shared" si="1561"/>
        <v xml:space="preserve">N9217B  </v>
      </c>
      <c r="BC2884">
        <v>1</v>
      </c>
      <c r="BE2884">
        <v>0</v>
      </c>
      <c r="BF2884">
        <v>0</v>
      </c>
      <c r="BG2884">
        <v>0</v>
      </c>
      <c r="BH2884">
        <v>6125</v>
      </c>
      <c r="BI2884">
        <v>1</v>
      </c>
      <c r="BJ2884">
        <v>0</v>
      </c>
      <c r="BK2884">
        <v>0</v>
      </c>
      <c r="BL2884">
        <v>0</v>
      </c>
      <c r="BO2884">
        <v>0</v>
      </c>
      <c r="BP2884">
        <v>0</v>
      </c>
      <c r="BW2884" t="str">
        <f t="shared" si="1593"/>
        <v>14:56:07.046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119</v>
      </c>
      <c r="CQ2884">
        <v>285</v>
      </c>
      <c r="CR2884">
        <v>0</v>
      </c>
      <c r="CW2884">
        <v>8871954</v>
      </c>
      <c r="CY2884">
        <v>0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25">
      <c r="A2885" t="str">
        <f t="shared" si="1591"/>
        <v>06/05/2020 14:56:01.414</v>
      </c>
      <c r="C2885" t="str">
        <f t="shared" si="1577"/>
        <v>FFDFD3C0</v>
      </c>
      <c r="D2885" t="s">
        <v>148</v>
      </c>
      <c r="E2885">
        <v>8</v>
      </c>
      <c r="H2885">
        <v>50</v>
      </c>
      <c r="I2885" t="s">
        <v>149</v>
      </c>
      <c r="J2885" t="s">
        <v>150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592"/>
        <v>14:56:07.039</v>
      </c>
      <c r="T2885" t="str">
        <f t="shared" si="1592"/>
        <v>14:56:07.039</v>
      </c>
      <c r="U2885" t="str">
        <f t="shared" si="1594"/>
        <v>ACC530</v>
      </c>
      <c r="V2885">
        <v>0</v>
      </c>
      <c r="W2885">
        <v>0</v>
      </c>
      <c r="X2885">
        <v>1</v>
      </c>
      <c r="Z2885">
        <v>0</v>
      </c>
      <c r="AA2885">
        <v>9</v>
      </c>
      <c r="AB2885">
        <v>3</v>
      </c>
      <c r="AC2885">
        <v>0</v>
      </c>
      <c r="AD2885">
        <v>9</v>
      </c>
      <c r="AE2885">
        <v>0</v>
      </c>
      <c r="AF2885">
        <v>3</v>
      </c>
      <c r="AG2885">
        <v>1</v>
      </c>
      <c r="AH2885">
        <v>0</v>
      </c>
      <c r="AI2885" t="s">
        <v>982</v>
      </c>
      <c r="AJ2885">
        <v>34.118642999999999</v>
      </c>
      <c r="AK2885" t="s">
        <v>983</v>
      </c>
      <c r="AL2885">
        <v>-117.056344</v>
      </c>
      <c r="AM2885">
        <v>100</v>
      </c>
      <c r="AN2885">
        <v>6200</v>
      </c>
      <c r="AO2885" t="s">
        <v>118</v>
      </c>
      <c r="AP2885">
        <v>24</v>
      </c>
      <c r="AQ2885">
        <v>-106</v>
      </c>
      <c r="AR2885">
        <v>-960</v>
      </c>
      <c r="AZ2885">
        <v>1200</v>
      </c>
      <c r="BA2885">
        <v>1</v>
      </c>
      <c r="BB2885" t="str">
        <f t="shared" ref="BB2885:BB2948" si="1595">"N9217B  "</f>
        <v xml:space="preserve">N9217B  </v>
      </c>
      <c r="BC2885">
        <v>1</v>
      </c>
      <c r="BE2885">
        <v>0</v>
      </c>
      <c r="BF2885">
        <v>0</v>
      </c>
      <c r="BG2885">
        <v>0</v>
      </c>
      <c r="BH2885">
        <v>6125</v>
      </c>
      <c r="BI2885">
        <v>1</v>
      </c>
      <c r="BJ2885">
        <v>0</v>
      </c>
      <c r="BK2885">
        <v>0</v>
      </c>
      <c r="BL2885">
        <v>0</v>
      </c>
      <c r="BO2885">
        <v>0</v>
      </c>
      <c r="BP2885">
        <v>0</v>
      </c>
      <c r="BW2885" t="str">
        <f t="shared" si="1593"/>
        <v>14:56:07.046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119</v>
      </c>
      <c r="CQ2885">
        <v>285</v>
      </c>
      <c r="CR2885">
        <v>0</v>
      </c>
      <c r="CW2885">
        <v>8871954</v>
      </c>
      <c r="CY2885">
        <v>0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25">
      <c r="A2886" t="str">
        <f t="shared" si="1591"/>
        <v>06/05/2020 14:56:01.414</v>
      </c>
      <c r="C2886" t="str">
        <f t="shared" si="1577"/>
        <v>FFDFD3C0</v>
      </c>
      <c r="D2886" t="s">
        <v>113</v>
      </c>
      <c r="E2886">
        <v>3</v>
      </c>
      <c r="H2886">
        <v>166</v>
      </c>
      <c r="I2886" t="s">
        <v>114</v>
      </c>
      <c r="J2886" t="s">
        <v>115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592"/>
        <v>14:56:07.039</v>
      </c>
      <c r="T2886" t="str">
        <f t="shared" si="1592"/>
        <v>14:56:07.039</v>
      </c>
      <c r="U2886" t="str">
        <f t="shared" si="1594"/>
        <v>ACC530</v>
      </c>
      <c r="V2886">
        <v>0</v>
      </c>
      <c r="W2886">
        <v>0</v>
      </c>
      <c r="X2886">
        <v>1</v>
      </c>
      <c r="Z2886">
        <v>0</v>
      </c>
      <c r="AA2886">
        <v>9</v>
      </c>
      <c r="AB2886">
        <v>3</v>
      </c>
      <c r="AC2886">
        <v>0</v>
      </c>
      <c r="AD2886">
        <v>9</v>
      </c>
      <c r="AE2886">
        <v>0</v>
      </c>
      <c r="AF2886">
        <v>3</v>
      </c>
      <c r="AG2886">
        <v>1</v>
      </c>
      <c r="AH2886">
        <v>0</v>
      </c>
      <c r="AI2886" t="s">
        <v>982</v>
      </c>
      <c r="AJ2886">
        <v>34.118642999999999</v>
      </c>
      <c r="AK2886" t="s">
        <v>983</v>
      </c>
      <c r="AL2886">
        <v>-117.056344</v>
      </c>
      <c r="AM2886">
        <v>100</v>
      </c>
      <c r="AN2886">
        <v>6200</v>
      </c>
      <c r="AO2886" t="s">
        <v>118</v>
      </c>
      <c r="AP2886">
        <v>24</v>
      </c>
      <c r="AQ2886">
        <v>-106</v>
      </c>
      <c r="AR2886">
        <v>-960</v>
      </c>
      <c r="AZ2886">
        <v>1200</v>
      </c>
      <c r="BA2886">
        <v>1</v>
      </c>
      <c r="BB2886" t="str">
        <f t="shared" si="1595"/>
        <v xml:space="preserve">N9217B  </v>
      </c>
      <c r="BC2886">
        <v>1</v>
      </c>
      <c r="BE2886">
        <v>0</v>
      </c>
      <c r="BF2886">
        <v>0</v>
      </c>
      <c r="BG2886">
        <v>0</v>
      </c>
      <c r="BH2886">
        <v>6125</v>
      </c>
      <c r="BI2886">
        <v>1</v>
      </c>
      <c r="BJ2886">
        <v>0</v>
      </c>
      <c r="BK2886">
        <v>0</v>
      </c>
      <c r="BL2886">
        <v>0</v>
      </c>
      <c r="BO2886">
        <v>0</v>
      </c>
      <c r="BP2886">
        <v>0</v>
      </c>
      <c r="BW2886" t="str">
        <f t="shared" si="1593"/>
        <v>14:56:07.046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7</v>
      </c>
      <c r="CP2886" t="s">
        <v>119</v>
      </c>
      <c r="CQ2886">
        <v>285</v>
      </c>
      <c r="CR2886">
        <v>0</v>
      </c>
      <c r="CW2886">
        <v>8871954</v>
      </c>
      <c r="CY2886">
        <v>0</v>
      </c>
      <c r="CZ2886">
        <v>0</v>
      </c>
      <c r="DA2886">
        <v>1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25">
      <c r="A2887" t="str">
        <f t="shared" ref="A2887:A2893" si="1596">"06/05/2020 14:56:02.255"</f>
        <v>06/05/2020 14:56:02.255</v>
      </c>
      <c r="C2887" t="str">
        <f t="shared" si="1577"/>
        <v>FFDFD3C0</v>
      </c>
      <c r="D2887" t="s">
        <v>148</v>
      </c>
      <c r="E2887">
        <v>8</v>
      </c>
      <c r="H2887">
        <v>50</v>
      </c>
      <c r="I2887" t="s">
        <v>149</v>
      </c>
      <c r="J2887" t="s">
        <v>150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ref="S2887:S2893" si="1597">"14:56:07.898"</f>
        <v>14:56:07.898</v>
      </c>
      <c r="T2887" t="str">
        <f t="shared" ref="T2887:T2893" si="1598">"14:56:07.498"</f>
        <v>14:56:07.498</v>
      </c>
      <c r="U2887" t="str">
        <f t="shared" si="1594"/>
        <v>ACC530</v>
      </c>
      <c r="V2887">
        <v>0</v>
      </c>
      <c r="W2887">
        <v>0</v>
      </c>
      <c r="X2887">
        <v>1</v>
      </c>
      <c r="Z2887">
        <v>0</v>
      </c>
      <c r="AA2887">
        <v>9</v>
      </c>
      <c r="AB2887">
        <v>3</v>
      </c>
      <c r="AC2887">
        <v>0</v>
      </c>
      <c r="AD2887">
        <v>9</v>
      </c>
      <c r="AE2887">
        <v>0</v>
      </c>
      <c r="AF2887">
        <v>3</v>
      </c>
      <c r="AG2887">
        <v>1</v>
      </c>
      <c r="AH2887">
        <v>0</v>
      </c>
      <c r="AI2887" t="s">
        <v>984</v>
      </c>
      <c r="AJ2887">
        <v>34.118234999999999</v>
      </c>
      <c r="AK2887" t="s">
        <v>985</v>
      </c>
      <c r="AL2887">
        <v>-117.056236</v>
      </c>
      <c r="AM2887">
        <v>100</v>
      </c>
      <c r="AN2887">
        <v>6200</v>
      </c>
      <c r="AO2887" t="s">
        <v>118</v>
      </c>
      <c r="AP2887">
        <v>24</v>
      </c>
      <c r="AQ2887">
        <v>-106</v>
      </c>
      <c r="AR2887">
        <v>-960</v>
      </c>
      <c r="AZ2887">
        <v>1200</v>
      </c>
      <c r="BA2887">
        <v>1</v>
      </c>
      <c r="BB2887" t="str">
        <f t="shared" si="1595"/>
        <v xml:space="preserve">N9217B  </v>
      </c>
      <c r="BC2887">
        <v>1</v>
      </c>
      <c r="BE2887">
        <v>0</v>
      </c>
      <c r="BF2887">
        <v>0</v>
      </c>
      <c r="BG2887">
        <v>0</v>
      </c>
      <c r="BH2887">
        <v>6025</v>
      </c>
      <c r="BI2887">
        <v>1</v>
      </c>
      <c r="BJ2887">
        <v>0</v>
      </c>
      <c r="BK2887">
        <v>0</v>
      </c>
      <c r="BL2887">
        <v>0</v>
      </c>
      <c r="BO2887">
        <v>0</v>
      </c>
      <c r="BP2887">
        <v>0</v>
      </c>
      <c r="BW2887" t="str">
        <f t="shared" ref="BW2887:BW2893" si="1599">"14:56:07.901"</f>
        <v>14:56:07.901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7</v>
      </c>
      <c r="CP2887" t="s">
        <v>119</v>
      </c>
      <c r="CQ2887">
        <v>285</v>
      </c>
      <c r="CR2887">
        <v>0</v>
      </c>
      <c r="CW2887">
        <v>8872034</v>
      </c>
      <c r="CY2887">
        <v>0</v>
      </c>
      <c r="CZ2887">
        <v>0</v>
      </c>
      <c r="DA2887">
        <v>0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25">
      <c r="A2888" t="str">
        <f t="shared" si="1596"/>
        <v>06/05/2020 14:56:02.255</v>
      </c>
      <c r="C2888" t="str">
        <f t="shared" si="1577"/>
        <v>FFDFD3C0</v>
      </c>
      <c r="D2888" t="s">
        <v>113</v>
      </c>
      <c r="E2888">
        <v>3</v>
      </c>
      <c r="H2888">
        <v>166</v>
      </c>
      <c r="I2888" t="s">
        <v>114</v>
      </c>
      <c r="J2888" t="s">
        <v>115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597"/>
        <v>14:56:07.898</v>
      </c>
      <c r="T2888" t="str">
        <f t="shared" si="1598"/>
        <v>14:56:07.498</v>
      </c>
      <c r="U2888" t="str">
        <f t="shared" si="1594"/>
        <v>ACC530</v>
      </c>
      <c r="V2888">
        <v>0</v>
      </c>
      <c r="W2888">
        <v>0</v>
      </c>
      <c r="X2888">
        <v>1</v>
      </c>
      <c r="Z2888">
        <v>0</v>
      </c>
      <c r="AA2888">
        <v>9</v>
      </c>
      <c r="AB2888">
        <v>3</v>
      </c>
      <c r="AC2888">
        <v>0</v>
      </c>
      <c r="AD2888">
        <v>9</v>
      </c>
      <c r="AE2888">
        <v>0</v>
      </c>
      <c r="AF2888">
        <v>3</v>
      </c>
      <c r="AG2888">
        <v>1</v>
      </c>
      <c r="AH2888">
        <v>0</v>
      </c>
      <c r="AI2888" t="s">
        <v>984</v>
      </c>
      <c r="AJ2888">
        <v>34.118234999999999</v>
      </c>
      <c r="AK2888" t="s">
        <v>985</v>
      </c>
      <c r="AL2888">
        <v>-117.056236</v>
      </c>
      <c r="AM2888">
        <v>100</v>
      </c>
      <c r="AN2888">
        <v>6200</v>
      </c>
      <c r="AO2888" t="s">
        <v>118</v>
      </c>
      <c r="AP2888">
        <v>24</v>
      </c>
      <c r="AQ2888">
        <v>-106</v>
      </c>
      <c r="AR2888">
        <v>-960</v>
      </c>
      <c r="AZ2888">
        <v>1200</v>
      </c>
      <c r="BA2888">
        <v>1</v>
      </c>
      <c r="BB2888" t="str">
        <f t="shared" si="1595"/>
        <v xml:space="preserve">N9217B  </v>
      </c>
      <c r="BC2888">
        <v>1</v>
      </c>
      <c r="BE2888">
        <v>0</v>
      </c>
      <c r="BF2888">
        <v>0</v>
      </c>
      <c r="BG2888">
        <v>0</v>
      </c>
      <c r="BH2888">
        <v>6025</v>
      </c>
      <c r="BI2888">
        <v>1</v>
      </c>
      <c r="BJ2888">
        <v>0</v>
      </c>
      <c r="BK2888">
        <v>0</v>
      </c>
      <c r="BL2888">
        <v>0</v>
      </c>
      <c r="BO2888">
        <v>0</v>
      </c>
      <c r="BP2888">
        <v>0</v>
      </c>
      <c r="BW2888" t="str">
        <f t="shared" si="1599"/>
        <v>14:56:07.901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7</v>
      </c>
      <c r="CP2888" t="s">
        <v>119</v>
      </c>
      <c r="CQ2888">
        <v>285</v>
      </c>
      <c r="CR2888">
        <v>0</v>
      </c>
      <c r="CW2888">
        <v>8872034</v>
      </c>
      <c r="CY2888">
        <v>0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25">
      <c r="A2889" t="str">
        <f t="shared" si="1596"/>
        <v>06/05/2020 14:56:02.255</v>
      </c>
      <c r="C2889" t="str">
        <f t="shared" si="1577"/>
        <v>FFDFD3C0</v>
      </c>
      <c r="D2889" t="s">
        <v>148</v>
      </c>
      <c r="E2889">
        <v>11</v>
      </c>
      <c r="H2889">
        <v>53</v>
      </c>
      <c r="I2889" t="s">
        <v>364</v>
      </c>
      <c r="J2889" t="s">
        <v>150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597"/>
        <v>14:56:07.898</v>
      </c>
      <c r="T2889" t="str">
        <f t="shared" si="1598"/>
        <v>14:56:07.498</v>
      </c>
      <c r="U2889" t="str">
        <f t="shared" si="1594"/>
        <v>ACC530</v>
      </c>
      <c r="V2889">
        <v>0</v>
      </c>
      <c r="W2889">
        <v>0</v>
      </c>
      <c r="X2889">
        <v>1</v>
      </c>
      <c r="Z2889">
        <v>0</v>
      </c>
      <c r="AA2889">
        <v>9</v>
      </c>
      <c r="AB2889">
        <v>3</v>
      </c>
      <c r="AC2889">
        <v>0</v>
      </c>
      <c r="AD2889">
        <v>9</v>
      </c>
      <c r="AE2889">
        <v>0</v>
      </c>
      <c r="AF2889">
        <v>3</v>
      </c>
      <c r="AG2889">
        <v>1</v>
      </c>
      <c r="AH2889">
        <v>0</v>
      </c>
      <c r="AI2889" t="s">
        <v>984</v>
      </c>
      <c r="AJ2889">
        <v>34.118234999999999</v>
      </c>
      <c r="AK2889" t="s">
        <v>985</v>
      </c>
      <c r="AL2889">
        <v>-117.056236</v>
      </c>
      <c r="AM2889">
        <v>100</v>
      </c>
      <c r="AN2889">
        <v>6200</v>
      </c>
      <c r="AO2889" t="s">
        <v>118</v>
      </c>
      <c r="AP2889">
        <v>24</v>
      </c>
      <c r="AQ2889">
        <v>-106</v>
      </c>
      <c r="AR2889">
        <v>-960</v>
      </c>
      <c r="AZ2889">
        <v>1200</v>
      </c>
      <c r="BA2889">
        <v>1</v>
      </c>
      <c r="BB2889" t="str">
        <f t="shared" si="1595"/>
        <v xml:space="preserve">N9217B  </v>
      </c>
      <c r="BC2889">
        <v>1</v>
      </c>
      <c r="BE2889">
        <v>0</v>
      </c>
      <c r="BF2889">
        <v>0</v>
      </c>
      <c r="BG2889">
        <v>0</v>
      </c>
      <c r="BH2889">
        <v>6025</v>
      </c>
      <c r="BI2889">
        <v>1</v>
      </c>
      <c r="BJ2889">
        <v>0</v>
      </c>
      <c r="BK2889">
        <v>0</v>
      </c>
      <c r="BL2889">
        <v>0</v>
      </c>
      <c r="BO2889">
        <v>0</v>
      </c>
      <c r="BP2889">
        <v>0</v>
      </c>
      <c r="BW2889" t="str">
        <f t="shared" si="1599"/>
        <v>14:56:07.901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7</v>
      </c>
      <c r="CP2889" t="s">
        <v>119</v>
      </c>
      <c r="CQ2889">
        <v>285</v>
      </c>
      <c r="CR2889">
        <v>0</v>
      </c>
      <c r="CW2889">
        <v>8872034</v>
      </c>
      <c r="CY2889">
        <v>0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25">
      <c r="A2890" t="str">
        <f t="shared" si="1596"/>
        <v>06/05/2020 14:56:02.255</v>
      </c>
      <c r="C2890" t="str">
        <f t="shared" si="1577"/>
        <v>FFDFD3C0</v>
      </c>
      <c r="D2890" t="s">
        <v>151</v>
      </c>
      <c r="E2890">
        <v>8</v>
      </c>
      <c r="H2890">
        <v>225</v>
      </c>
      <c r="I2890" t="s">
        <v>353</v>
      </c>
      <c r="J2890" t="s">
        <v>150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597"/>
        <v>14:56:07.898</v>
      </c>
      <c r="T2890" t="str">
        <f t="shared" si="1598"/>
        <v>14:56:07.498</v>
      </c>
      <c r="U2890" t="str">
        <f t="shared" si="1594"/>
        <v>ACC530</v>
      </c>
      <c r="V2890">
        <v>0</v>
      </c>
      <c r="W2890">
        <v>0</v>
      </c>
      <c r="X2890">
        <v>1</v>
      </c>
      <c r="Z2890">
        <v>0</v>
      </c>
      <c r="AA2890">
        <v>9</v>
      </c>
      <c r="AB2890">
        <v>3</v>
      </c>
      <c r="AC2890">
        <v>0</v>
      </c>
      <c r="AD2890">
        <v>9</v>
      </c>
      <c r="AE2890">
        <v>0</v>
      </c>
      <c r="AF2890">
        <v>3</v>
      </c>
      <c r="AG2890">
        <v>1</v>
      </c>
      <c r="AH2890">
        <v>0</v>
      </c>
      <c r="AI2890" t="s">
        <v>984</v>
      </c>
      <c r="AJ2890">
        <v>34.118234999999999</v>
      </c>
      <c r="AK2890" t="s">
        <v>985</v>
      </c>
      <c r="AL2890">
        <v>-117.056236</v>
      </c>
      <c r="AM2890">
        <v>100</v>
      </c>
      <c r="AN2890">
        <v>6200</v>
      </c>
      <c r="AO2890" t="s">
        <v>118</v>
      </c>
      <c r="AP2890">
        <v>24</v>
      </c>
      <c r="AQ2890">
        <v>-106</v>
      </c>
      <c r="AR2890">
        <v>-960</v>
      </c>
      <c r="AZ2890">
        <v>1200</v>
      </c>
      <c r="BA2890">
        <v>1</v>
      </c>
      <c r="BB2890" t="str">
        <f t="shared" si="1595"/>
        <v xml:space="preserve">N9217B  </v>
      </c>
      <c r="BC2890">
        <v>1</v>
      </c>
      <c r="BE2890">
        <v>0</v>
      </c>
      <c r="BF2890">
        <v>0</v>
      </c>
      <c r="BG2890">
        <v>0</v>
      </c>
      <c r="BH2890">
        <v>6025</v>
      </c>
      <c r="BI2890">
        <v>1</v>
      </c>
      <c r="BJ2890">
        <v>0</v>
      </c>
      <c r="BK2890">
        <v>0</v>
      </c>
      <c r="BL2890">
        <v>0</v>
      </c>
      <c r="BO2890">
        <v>0</v>
      </c>
      <c r="BP2890">
        <v>0</v>
      </c>
      <c r="BW2890" t="str">
        <f t="shared" si="1599"/>
        <v>14:56:07.901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7</v>
      </c>
      <c r="CP2890" t="s">
        <v>119</v>
      </c>
      <c r="CQ2890">
        <v>285</v>
      </c>
      <c r="CR2890">
        <v>0</v>
      </c>
      <c r="CW2890">
        <v>8872034</v>
      </c>
      <c r="CY2890">
        <v>0</v>
      </c>
      <c r="CZ2890">
        <v>0</v>
      </c>
      <c r="DA2890">
        <v>1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25">
      <c r="A2891" t="str">
        <f t="shared" si="1596"/>
        <v>06/05/2020 14:56:02.255</v>
      </c>
      <c r="C2891" t="str">
        <f t="shared" si="1577"/>
        <v>FFDFD3C0</v>
      </c>
      <c r="D2891" t="s">
        <v>134</v>
      </c>
      <c r="E2891">
        <v>7</v>
      </c>
      <c r="F2891">
        <v>2007</v>
      </c>
      <c r="G2891" t="s">
        <v>135</v>
      </c>
      <c r="J2891" t="s">
        <v>136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597"/>
        <v>14:56:07.898</v>
      </c>
      <c r="T2891" t="str">
        <f t="shared" si="1598"/>
        <v>14:56:07.498</v>
      </c>
      <c r="U2891" t="str">
        <f t="shared" si="1594"/>
        <v>ACC530</v>
      </c>
      <c r="V2891">
        <v>0</v>
      </c>
      <c r="W2891">
        <v>0</v>
      </c>
      <c r="X2891">
        <v>1</v>
      </c>
      <c r="Z2891">
        <v>0</v>
      </c>
      <c r="AA2891">
        <v>9</v>
      </c>
      <c r="AB2891">
        <v>3</v>
      </c>
      <c r="AC2891">
        <v>0</v>
      </c>
      <c r="AD2891">
        <v>9</v>
      </c>
      <c r="AE2891">
        <v>0</v>
      </c>
      <c r="AF2891">
        <v>3</v>
      </c>
      <c r="AG2891">
        <v>1</v>
      </c>
      <c r="AH2891">
        <v>0</v>
      </c>
      <c r="AI2891" t="s">
        <v>984</v>
      </c>
      <c r="AJ2891">
        <v>34.118234999999999</v>
      </c>
      <c r="AK2891" t="s">
        <v>985</v>
      </c>
      <c r="AL2891">
        <v>-117.056236</v>
      </c>
      <c r="AM2891">
        <v>100</v>
      </c>
      <c r="AN2891">
        <v>6200</v>
      </c>
      <c r="AO2891" t="s">
        <v>118</v>
      </c>
      <c r="AP2891">
        <v>24</v>
      </c>
      <c r="AQ2891">
        <v>-106</v>
      </c>
      <c r="AR2891">
        <v>-960</v>
      </c>
      <c r="AZ2891">
        <v>1200</v>
      </c>
      <c r="BA2891">
        <v>1</v>
      </c>
      <c r="BB2891" t="str">
        <f t="shared" si="1595"/>
        <v xml:space="preserve">N9217B  </v>
      </c>
      <c r="BC2891">
        <v>1</v>
      </c>
      <c r="BE2891">
        <v>0</v>
      </c>
      <c r="BF2891">
        <v>0</v>
      </c>
      <c r="BG2891">
        <v>0</v>
      </c>
      <c r="BH2891">
        <v>6025</v>
      </c>
      <c r="BI2891">
        <v>1</v>
      </c>
      <c r="BJ2891">
        <v>0</v>
      </c>
      <c r="BK2891">
        <v>0</v>
      </c>
      <c r="BL2891">
        <v>0</v>
      </c>
      <c r="BO2891">
        <v>0</v>
      </c>
      <c r="BP2891">
        <v>0</v>
      </c>
      <c r="BW2891" t="str">
        <f t="shared" si="1599"/>
        <v>14:56:07.901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7</v>
      </c>
      <c r="CP2891" t="s">
        <v>119</v>
      </c>
      <c r="CQ2891">
        <v>285</v>
      </c>
      <c r="CR2891">
        <v>0</v>
      </c>
      <c r="CW2891">
        <v>8872034</v>
      </c>
      <c r="CY2891">
        <v>0</v>
      </c>
      <c r="CZ2891">
        <v>0</v>
      </c>
      <c r="DA2891">
        <v>1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25">
      <c r="A2892" t="str">
        <f t="shared" si="1596"/>
        <v>06/05/2020 14:56:02.255</v>
      </c>
      <c r="C2892" t="str">
        <f t="shared" si="1577"/>
        <v>FFDFD3C0</v>
      </c>
      <c r="D2892" t="s">
        <v>151</v>
      </c>
      <c r="E2892">
        <v>9</v>
      </c>
      <c r="H2892">
        <v>226</v>
      </c>
      <c r="I2892" t="s">
        <v>152</v>
      </c>
      <c r="J2892" t="s">
        <v>150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597"/>
        <v>14:56:07.898</v>
      </c>
      <c r="T2892" t="str">
        <f t="shared" si="1598"/>
        <v>14:56:07.498</v>
      </c>
      <c r="U2892" t="str">
        <f t="shared" si="1594"/>
        <v>ACC530</v>
      </c>
      <c r="V2892">
        <v>0</v>
      </c>
      <c r="W2892">
        <v>0</v>
      </c>
      <c r="X2892">
        <v>1</v>
      </c>
      <c r="Z2892">
        <v>0</v>
      </c>
      <c r="AA2892">
        <v>9</v>
      </c>
      <c r="AB2892">
        <v>3</v>
      </c>
      <c r="AC2892">
        <v>0</v>
      </c>
      <c r="AD2892">
        <v>9</v>
      </c>
      <c r="AE2892">
        <v>0</v>
      </c>
      <c r="AF2892">
        <v>3</v>
      </c>
      <c r="AG2892">
        <v>1</v>
      </c>
      <c r="AH2892">
        <v>0</v>
      </c>
      <c r="AI2892" t="s">
        <v>984</v>
      </c>
      <c r="AJ2892">
        <v>34.118234999999999</v>
      </c>
      <c r="AK2892" t="s">
        <v>985</v>
      </c>
      <c r="AL2892">
        <v>-117.056236</v>
      </c>
      <c r="AM2892">
        <v>100</v>
      </c>
      <c r="AN2892">
        <v>6200</v>
      </c>
      <c r="AO2892" t="s">
        <v>118</v>
      </c>
      <c r="AP2892">
        <v>24</v>
      </c>
      <c r="AQ2892">
        <v>-106</v>
      </c>
      <c r="AR2892">
        <v>-960</v>
      </c>
      <c r="AZ2892">
        <v>1200</v>
      </c>
      <c r="BA2892">
        <v>1</v>
      </c>
      <c r="BB2892" t="str">
        <f t="shared" si="1595"/>
        <v xml:space="preserve">N9217B  </v>
      </c>
      <c r="BC2892">
        <v>1</v>
      </c>
      <c r="BE2892">
        <v>0</v>
      </c>
      <c r="BF2892">
        <v>0</v>
      </c>
      <c r="BG2892">
        <v>0</v>
      </c>
      <c r="BH2892">
        <v>6025</v>
      </c>
      <c r="BI2892">
        <v>1</v>
      </c>
      <c r="BJ2892">
        <v>0</v>
      </c>
      <c r="BK2892">
        <v>0</v>
      </c>
      <c r="BL2892">
        <v>0</v>
      </c>
      <c r="BO2892">
        <v>0</v>
      </c>
      <c r="BP2892">
        <v>0</v>
      </c>
      <c r="BW2892" t="str">
        <f t="shared" si="1599"/>
        <v>14:56:07.901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7</v>
      </c>
      <c r="CP2892" t="s">
        <v>119</v>
      </c>
      <c r="CQ2892">
        <v>285</v>
      </c>
      <c r="CR2892">
        <v>0</v>
      </c>
      <c r="CW2892">
        <v>8872034</v>
      </c>
      <c r="CY2892">
        <v>0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25">
      <c r="A2893" t="str">
        <f t="shared" si="1596"/>
        <v>06/05/2020 14:56:02.255</v>
      </c>
      <c r="C2893" t="str">
        <f t="shared" si="1577"/>
        <v>FFDFD3C0</v>
      </c>
      <c r="D2893" t="s">
        <v>141</v>
      </c>
      <c r="E2893">
        <v>20</v>
      </c>
      <c r="F2893">
        <v>1020</v>
      </c>
      <c r="G2893" t="s">
        <v>114</v>
      </c>
      <c r="J2893" t="s">
        <v>142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597"/>
        <v>14:56:07.898</v>
      </c>
      <c r="T2893" t="str">
        <f t="shared" si="1598"/>
        <v>14:56:07.498</v>
      </c>
      <c r="U2893" t="str">
        <f t="shared" si="1594"/>
        <v>ACC530</v>
      </c>
      <c r="V2893">
        <v>0</v>
      </c>
      <c r="W2893">
        <v>0</v>
      </c>
      <c r="X2893">
        <v>1</v>
      </c>
      <c r="Z2893">
        <v>0</v>
      </c>
      <c r="AA2893">
        <v>9</v>
      </c>
      <c r="AB2893">
        <v>3</v>
      </c>
      <c r="AC2893">
        <v>0</v>
      </c>
      <c r="AD2893">
        <v>9</v>
      </c>
      <c r="AE2893">
        <v>0</v>
      </c>
      <c r="AF2893">
        <v>3</v>
      </c>
      <c r="AG2893">
        <v>1</v>
      </c>
      <c r="AH2893">
        <v>0</v>
      </c>
      <c r="AI2893" t="s">
        <v>984</v>
      </c>
      <c r="AJ2893">
        <v>34.118234999999999</v>
      </c>
      <c r="AK2893" t="s">
        <v>985</v>
      </c>
      <c r="AL2893">
        <v>-117.056236</v>
      </c>
      <c r="AM2893">
        <v>100</v>
      </c>
      <c r="AN2893">
        <v>6200</v>
      </c>
      <c r="AO2893" t="s">
        <v>118</v>
      </c>
      <c r="AP2893">
        <v>24</v>
      </c>
      <c r="AQ2893">
        <v>-106</v>
      </c>
      <c r="AR2893">
        <v>-960</v>
      </c>
      <c r="AZ2893">
        <v>1200</v>
      </c>
      <c r="BA2893">
        <v>1</v>
      </c>
      <c r="BB2893" t="str">
        <f t="shared" si="1595"/>
        <v xml:space="preserve">N9217B  </v>
      </c>
      <c r="BC2893">
        <v>1</v>
      </c>
      <c r="BE2893">
        <v>0</v>
      </c>
      <c r="BF2893">
        <v>0</v>
      </c>
      <c r="BG2893">
        <v>0</v>
      </c>
      <c r="BH2893">
        <v>6025</v>
      </c>
      <c r="BI2893">
        <v>1</v>
      </c>
      <c r="BJ2893">
        <v>0</v>
      </c>
      <c r="BK2893">
        <v>0</v>
      </c>
      <c r="BL2893">
        <v>0</v>
      </c>
      <c r="BO2893">
        <v>0</v>
      </c>
      <c r="BP2893">
        <v>0</v>
      </c>
      <c r="BW2893" t="str">
        <f t="shared" si="1599"/>
        <v>14:56:07.901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7</v>
      </c>
      <c r="CP2893" t="s">
        <v>119</v>
      </c>
      <c r="CQ2893">
        <v>285</v>
      </c>
      <c r="CR2893">
        <v>0</v>
      </c>
      <c r="CW2893">
        <v>8872034</v>
      </c>
      <c r="CY2893">
        <v>0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25">
      <c r="A2894" t="str">
        <f t="shared" ref="A2894:A2900" si="1600">"06/05/2020 14:56:03.251"</f>
        <v>06/05/2020 14:56:03.251</v>
      </c>
      <c r="C2894" t="str">
        <f t="shared" si="1577"/>
        <v>FFDFD3C0</v>
      </c>
      <c r="D2894" t="s">
        <v>134</v>
      </c>
      <c r="E2894">
        <v>7</v>
      </c>
      <c r="F2894">
        <v>2007</v>
      </c>
      <c r="G2894" t="s">
        <v>135</v>
      </c>
      <c r="J2894" t="s">
        <v>136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ref="S2894:S2900" si="1601">"14:56:08.875"</f>
        <v>14:56:08.875</v>
      </c>
      <c r="T2894" t="str">
        <f t="shared" ref="T2894:T2900" si="1602">"14:56:08.575"</f>
        <v>14:56:08.575</v>
      </c>
      <c r="U2894" t="str">
        <f t="shared" si="1594"/>
        <v>ACC530</v>
      </c>
      <c r="V2894">
        <v>0</v>
      </c>
      <c r="W2894">
        <v>0</v>
      </c>
      <c r="X2894">
        <v>1</v>
      </c>
      <c r="Z2894">
        <v>0</v>
      </c>
      <c r="AA2894">
        <v>9</v>
      </c>
      <c r="AB2894">
        <v>3</v>
      </c>
      <c r="AC2894">
        <v>0</v>
      </c>
      <c r="AD2894">
        <v>9</v>
      </c>
      <c r="AE2894">
        <v>0</v>
      </c>
      <c r="AF2894">
        <v>3</v>
      </c>
      <c r="AG2894">
        <v>1</v>
      </c>
      <c r="AH2894">
        <v>0</v>
      </c>
      <c r="AI2894" t="s">
        <v>986</v>
      </c>
      <c r="AJ2894">
        <v>34.117762999999997</v>
      </c>
      <c r="AK2894" t="s">
        <v>987</v>
      </c>
      <c r="AL2894">
        <v>-117.056065</v>
      </c>
      <c r="AM2894">
        <v>100</v>
      </c>
      <c r="AN2894">
        <v>6200</v>
      </c>
      <c r="AO2894" t="s">
        <v>118</v>
      </c>
      <c r="AP2894">
        <v>26</v>
      </c>
      <c r="AQ2894">
        <v>-106</v>
      </c>
      <c r="AR2894">
        <v>-960</v>
      </c>
      <c r="AZ2894">
        <v>1200</v>
      </c>
      <c r="BA2894">
        <v>1</v>
      </c>
      <c r="BB2894" t="str">
        <f t="shared" si="1595"/>
        <v xml:space="preserve">N9217B  </v>
      </c>
      <c r="BC2894">
        <v>1</v>
      </c>
      <c r="BE2894">
        <v>0</v>
      </c>
      <c r="BF2894">
        <v>0</v>
      </c>
      <c r="BG2894">
        <v>0</v>
      </c>
      <c r="BH2894">
        <v>6100</v>
      </c>
      <c r="BI2894">
        <v>1</v>
      </c>
      <c r="BJ2894">
        <v>0</v>
      </c>
      <c r="BK2894">
        <v>0</v>
      </c>
      <c r="BL2894">
        <v>0</v>
      </c>
      <c r="BO2894">
        <v>0</v>
      </c>
      <c r="BP2894">
        <v>0</v>
      </c>
      <c r="BW2894" t="str">
        <f t="shared" ref="BW2894:BW2900" si="1603">"14:56:08.876"</f>
        <v>14:56:08.876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7</v>
      </c>
      <c r="CP2894" t="s">
        <v>119</v>
      </c>
      <c r="CQ2894">
        <v>285</v>
      </c>
      <c r="CR2894">
        <v>0</v>
      </c>
      <c r="CW2894">
        <v>8872122</v>
      </c>
      <c r="CY2894">
        <v>0</v>
      </c>
      <c r="CZ2894">
        <v>0</v>
      </c>
      <c r="DA2894">
        <v>0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25">
      <c r="A2895" t="str">
        <f t="shared" si="1600"/>
        <v>06/05/2020 14:56:03.251</v>
      </c>
      <c r="C2895" t="str">
        <f t="shared" si="1577"/>
        <v>FFDFD3C0</v>
      </c>
      <c r="D2895" t="s">
        <v>151</v>
      </c>
      <c r="E2895">
        <v>9</v>
      </c>
      <c r="H2895">
        <v>226</v>
      </c>
      <c r="I2895" t="s">
        <v>152</v>
      </c>
      <c r="J2895" t="s">
        <v>150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601"/>
        <v>14:56:08.875</v>
      </c>
      <c r="T2895" t="str">
        <f t="shared" si="1602"/>
        <v>14:56:08.575</v>
      </c>
      <c r="U2895" t="str">
        <f t="shared" si="1594"/>
        <v>ACC530</v>
      </c>
      <c r="V2895">
        <v>0</v>
      </c>
      <c r="W2895">
        <v>0</v>
      </c>
      <c r="X2895">
        <v>1</v>
      </c>
      <c r="Z2895">
        <v>0</v>
      </c>
      <c r="AA2895">
        <v>9</v>
      </c>
      <c r="AB2895">
        <v>3</v>
      </c>
      <c r="AC2895">
        <v>0</v>
      </c>
      <c r="AD2895">
        <v>9</v>
      </c>
      <c r="AE2895">
        <v>0</v>
      </c>
      <c r="AF2895">
        <v>3</v>
      </c>
      <c r="AG2895">
        <v>1</v>
      </c>
      <c r="AH2895">
        <v>0</v>
      </c>
      <c r="AI2895" t="s">
        <v>986</v>
      </c>
      <c r="AJ2895">
        <v>34.117762999999997</v>
      </c>
      <c r="AK2895" t="s">
        <v>987</v>
      </c>
      <c r="AL2895">
        <v>-117.056065</v>
      </c>
      <c r="AM2895">
        <v>100</v>
      </c>
      <c r="AN2895">
        <v>6200</v>
      </c>
      <c r="AO2895" t="s">
        <v>118</v>
      </c>
      <c r="AP2895">
        <v>26</v>
      </c>
      <c r="AQ2895">
        <v>-106</v>
      </c>
      <c r="AR2895">
        <v>-960</v>
      </c>
      <c r="AZ2895">
        <v>1200</v>
      </c>
      <c r="BA2895">
        <v>1</v>
      </c>
      <c r="BB2895" t="str">
        <f t="shared" si="1595"/>
        <v xml:space="preserve">N9217B  </v>
      </c>
      <c r="BC2895">
        <v>1</v>
      </c>
      <c r="BE2895">
        <v>0</v>
      </c>
      <c r="BF2895">
        <v>0</v>
      </c>
      <c r="BG2895">
        <v>0</v>
      </c>
      <c r="BH2895">
        <v>6100</v>
      </c>
      <c r="BI2895">
        <v>1</v>
      </c>
      <c r="BJ2895">
        <v>0</v>
      </c>
      <c r="BK2895">
        <v>0</v>
      </c>
      <c r="BL2895">
        <v>0</v>
      </c>
      <c r="BO2895">
        <v>0</v>
      </c>
      <c r="BP2895">
        <v>0</v>
      </c>
      <c r="BW2895" t="str">
        <f t="shared" si="1603"/>
        <v>14:56:08.876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119</v>
      </c>
      <c r="CQ2895">
        <v>285</v>
      </c>
      <c r="CR2895">
        <v>0</v>
      </c>
      <c r="CW2895">
        <v>8872122</v>
      </c>
      <c r="CY2895">
        <v>0</v>
      </c>
      <c r="CZ2895">
        <v>0</v>
      </c>
      <c r="DA2895">
        <v>1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25">
      <c r="A2896" t="str">
        <f t="shared" si="1600"/>
        <v>06/05/2020 14:56:03.251</v>
      </c>
      <c r="C2896" t="str">
        <f t="shared" si="1577"/>
        <v>FFDFD3C0</v>
      </c>
      <c r="D2896" t="s">
        <v>141</v>
      </c>
      <c r="E2896">
        <v>20</v>
      </c>
      <c r="F2896">
        <v>1020</v>
      </c>
      <c r="G2896" t="s">
        <v>114</v>
      </c>
      <c r="J2896" t="s">
        <v>142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601"/>
        <v>14:56:08.875</v>
      </c>
      <c r="T2896" t="str">
        <f t="shared" si="1602"/>
        <v>14:56:08.575</v>
      </c>
      <c r="U2896" t="str">
        <f t="shared" si="1594"/>
        <v>ACC530</v>
      </c>
      <c r="V2896">
        <v>0</v>
      </c>
      <c r="W2896">
        <v>0</v>
      </c>
      <c r="X2896">
        <v>1</v>
      </c>
      <c r="Z2896">
        <v>0</v>
      </c>
      <c r="AA2896">
        <v>9</v>
      </c>
      <c r="AB2896">
        <v>3</v>
      </c>
      <c r="AC2896">
        <v>0</v>
      </c>
      <c r="AD2896">
        <v>9</v>
      </c>
      <c r="AE2896">
        <v>0</v>
      </c>
      <c r="AF2896">
        <v>3</v>
      </c>
      <c r="AG2896">
        <v>1</v>
      </c>
      <c r="AH2896">
        <v>0</v>
      </c>
      <c r="AI2896" t="s">
        <v>986</v>
      </c>
      <c r="AJ2896">
        <v>34.117762999999997</v>
      </c>
      <c r="AK2896" t="s">
        <v>987</v>
      </c>
      <c r="AL2896">
        <v>-117.056065</v>
      </c>
      <c r="AM2896">
        <v>100</v>
      </c>
      <c r="AN2896">
        <v>6200</v>
      </c>
      <c r="AO2896" t="s">
        <v>118</v>
      </c>
      <c r="AP2896">
        <v>26</v>
      </c>
      <c r="AQ2896">
        <v>-106</v>
      </c>
      <c r="AR2896">
        <v>-960</v>
      </c>
      <c r="AZ2896">
        <v>1200</v>
      </c>
      <c r="BA2896">
        <v>1</v>
      </c>
      <c r="BB2896" t="str">
        <f t="shared" si="1595"/>
        <v xml:space="preserve">N9217B  </v>
      </c>
      <c r="BC2896">
        <v>1</v>
      </c>
      <c r="BE2896">
        <v>0</v>
      </c>
      <c r="BF2896">
        <v>0</v>
      </c>
      <c r="BG2896">
        <v>0</v>
      </c>
      <c r="BH2896">
        <v>6100</v>
      </c>
      <c r="BI2896">
        <v>1</v>
      </c>
      <c r="BJ2896">
        <v>0</v>
      </c>
      <c r="BK2896">
        <v>0</v>
      </c>
      <c r="BL2896">
        <v>0</v>
      </c>
      <c r="BO2896">
        <v>0</v>
      </c>
      <c r="BP2896">
        <v>0</v>
      </c>
      <c r="BW2896" t="str">
        <f t="shared" si="1603"/>
        <v>14:56:08.876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119</v>
      </c>
      <c r="CQ2896">
        <v>285</v>
      </c>
      <c r="CR2896">
        <v>0</v>
      </c>
      <c r="CW2896">
        <v>8872122</v>
      </c>
      <c r="CY2896">
        <v>0</v>
      </c>
      <c r="CZ2896">
        <v>0</v>
      </c>
      <c r="DA2896">
        <v>1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25">
      <c r="A2897" t="str">
        <f t="shared" si="1600"/>
        <v>06/05/2020 14:56:03.251</v>
      </c>
      <c r="C2897" t="str">
        <f t="shared" si="1577"/>
        <v>FFDFD3C0</v>
      </c>
      <c r="D2897" t="s">
        <v>113</v>
      </c>
      <c r="E2897">
        <v>3</v>
      </c>
      <c r="H2897">
        <v>166</v>
      </c>
      <c r="I2897" t="s">
        <v>114</v>
      </c>
      <c r="J2897" t="s">
        <v>115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601"/>
        <v>14:56:08.875</v>
      </c>
      <c r="T2897" t="str">
        <f t="shared" si="1602"/>
        <v>14:56:08.575</v>
      </c>
      <c r="U2897" t="str">
        <f t="shared" si="1594"/>
        <v>ACC530</v>
      </c>
      <c r="V2897">
        <v>0</v>
      </c>
      <c r="W2897">
        <v>0</v>
      </c>
      <c r="X2897">
        <v>1</v>
      </c>
      <c r="Z2897">
        <v>0</v>
      </c>
      <c r="AA2897">
        <v>9</v>
      </c>
      <c r="AB2897">
        <v>3</v>
      </c>
      <c r="AC2897">
        <v>0</v>
      </c>
      <c r="AD2897">
        <v>9</v>
      </c>
      <c r="AE2897">
        <v>0</v>
      </c>
      <c r="AF2897">
        <v>3</v>
      </c>
      <c r="AG2897">
        <v>1</v>
      </c>
      <c r="AH2897">
        <v>0</v>
      </c>
      <c r="AI2897" t="s">
        <v>986</v>
      </c>
      <c r="AJ2897">
        <v>34.117762999999997</v>
      </c>
      <c r="AK2897" t="s">
        <v>987</v>
      </c>
      <c r="AL2897">
        <v>-117.056065</v>
      </c>
      <c r="AM2897">
        <v>100</v>
      </c>
      <c r="AN2897">
        <v>6200</v>
      </c>
      <c r="AO2897" t="s">
        <v>118</v>
      </c>
      <c r="AP2897">
        <v>26</v>
      </c>
      <c r="AQ2897">
        <v>-106</v>
      </c>
      <c r="AR2897">
        <v>-960</v>
      </c>
      <c r="AZ2897">
        <v>1200</v>
      </c>
      <c r="BA2897">
        <v>1</v>
      </c>
      <c r="BB2897" t="str">
        <f t="shared" si="1595"/>
        <v xml:space="preserve">N9217B  </v>
      </c>
      <c r="BC2897">
        <v>1</v>
      </c>
      <c r="BE2897">
        <v>0</v>
      </c>
      <c r="BF2897">
        <v>0</v>
      </c>
      <c r="BG2897">
        <v>0</v>
      </c>
      <c r="BH2897">
        <v>6100</v>
      </c>
      <c r="BI2897">
        <v>1</v>
      </c>
      <c r="BJ2897">
        <v>0</v>
      </c>
      <c r="BK2897">
        <v>0</v>
      </c>
      <c r="BL2897">
        <v>0</v>
      </c>
      <c r="BO2897">
        <v>0</v>
      </c>
      <c r="BP2897">
        <v>0</v>
      </c>
      <c r="BW2897" t="str">
        <f t="shared" si="1603"/>
        <v>14:56:08.876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7</v>
      </c>
      <c r="CP2897" t="s">
        <v>119</v>
      </c>
      <c r="CQ2897">
        <v>285</v>
      </c>
      <c r="CR2897">
        <v>0</v>
      </c>
      <c r="CW2897">
        <v>8872122</v>
      </c>
      <c r="CY2897">
        <v>0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25">
      <c r="A2898" t="str">
        <f t="shared" si="1600"/>
        <v>06/05/2020 14:56:03.251</v>
      </c>
      <c r="C2898" t="str">
        <f t="shared" si="1577"/>
        <v>FFDFD3C0</v>
      </c>
      <c r="D2898" t="s">
        <v>148</v>
      </c>
      <c r="E2898">
        <v>8</v>
      </c>
      <c r="H2898">
        <v>50</v>
      </c>
      <c r="I2898" t="s">
        <v>149</v>
      </c>
      <c r="J2898" t="s">
        <v>150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601"/>
        <v>14:56:08.875</v>
      </c>
      <c r="T2898" t="str">
        <f t="shared" si="1602"/>
        <v>14:56:08.575</v>
      </c>
      <c r="U2898" t="str">
        <f t="shared" si="1594"/>
        <v>ACC530</v>
      </c>
      <c r="V2898">
        <v>0</v>
      </c>
      <c r="W2898">
        <v>0</v>
      </c>
      <c r="X2898">
        <v>1</v>
      </c>
      <c r="Z2898">
        <v>0</v>
      </c>
      <c r="AA2898">
        <v>9</v>
      </c>
      <c r="AB2898">
        <v>3</v>
      </c>
      <c r="AC2898">
        <v>0</v>
      </c>
      <c r="AD2898">
        <v>9</v>
      </c>
      <c r="AE2898">
        <v>0</v>
      </c>
      <c r="AF2898">
        <v>3</v>
      </c>
      <c r="AG2898">
        <v>1</v>
      </c>
      <c r="AH2898">
        <v>0</v>
      </c>
      <c r="AI2898" t="s">
        <v>986</v>
      </c>
      <c r="AJ2898">
        <v>34.117762999999997</v>
      </c>
      <c r="AK2898" t="s">
        <v>987</v>
      </c>
      <c r="AL2898">
        <v>-117.056065</v>
      </c>
      <c r="AM2898">
        <v>100</v>
      </c>
      <c r="AN2898">
        <v>6200</v>
      </c>
      <c r="AO2898" t="s">
        <v>118</v>
      </c>
      <c r="AP2898">
        <v>26</v>
      </c>
      <c r="AQ2898">
        <v>-106</v>
      </c>
      <c r="AR2898">
        <v>-960</v>
      </c>
      <c r="AZ2898">
        <v>1200</v>
      </c>
      <c r="BA2898">
        <v>1</v>
      </c>
      <c r="BB2898" t="str">
        <f t="shared" si="1595"/>
        <v xml:space="preserve">N9217B  </v>
      </c>
      <c r="BC2898">
        <v>1</v>
      </c>
      <c r="BE2898">
        <v>0</v>
      </c>
      <c r="BF2898">
        <v>0</v>
      </c>
      <c r="BG2898">
        <v>0</v>
      </c>
      <c r="BH2898">
        <v>6100</v>
      </c>
      <c r="BI2898">
        <v>1</v>
      </c>
      <c r="BJ2898">
        <v>0</v>
      </c>
      <c r="BK2898">
        <v>0</v>
      </c>
      <c r="BL2898">
        <v>0</v>
      </c>
      <c r="BO2898">
        <v>0</v>
      </c>
      <c r="BP2898">
        <v>0</v>
      </c>
      <c r="BW2898" t="str">
        <f t="shared" si="1603"/>
        <v>14:56:08.876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7</v>
      </c>
      <c r="CP2898" t="s">
        <v>119</v>
      </c>
      <c r="CQ2898">
        <v>285</v>
      </c>
      <c r="CR2898">
        <v>0</v>
      </c>
      <c r="CW2898">
        <v>8872122</v>
      </c>
      <c r="CY2898">
        <v>0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25">
      <c r="A2899" t="str">
        <f t="shared" si="1600"/>
        <v>06/05/2020 14:56:03.251</v>
      </c>
      <c r="C2899" t="str">
        <f t="shared" si="1577"/>
        <v>FFDFD3C0</v>
      </c>
      <c r="D2899" t="s">
        <v>148</v>
      </c>
      <c r="E2899">
        <v>11</v>
      </c>
      <c r="H2899">
        <v>53</v>
      </c>
      <c r="I2899" t="s">
        <v>364</v>
      </c>
      <c r="J2899" t="s">
        <v>150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601"/>
        <v>14:56:08.875</v>
      </c>
      <c r="T2899" t="str">
        <f t="shared" si="1602"/>
        <v>14:56:08.575</v>
      </c>
      <c r="U2899" t="str">
        <f t="shared" si="1594"/>
        <v>ACC530</v>
      </c>
      <c r="V2899">
        <v>0</v>
      </c>
      <c r="W2899">
        <v>0</v>
      </c>
      <c r="X2899">
        <v>1</v>
      </c>
      <c r="Z2899">
        <v>0</v>
      </c>
      <c r="AA2899">
        <v>9</v>
      </c>
      <c r="AB2899">
        <v>3</v>
      </c>
      <c r="AC2899">
        <v>0</v>
      </c>
      <c r="AD2899">
        <v>9</v>
      </c>
      <c r="AE2899">
        <v>0</v>
      </c>
      <c r="AF2899">
        <v>3</v>
      </c>
      <c r="AG2899">
        <v>1</v>
      </c>
      <c r="AH2899">
        <v>0</v>
      </c>
      <c r="AI2899" t="s">
        <v>986</v>
      </c>
      <c r="AJ2899">
        <v>34.117762999999997</v>
      </c>
      <c r="AK2899" t="s">
        <v>987</v>
      </c>
      <c r="AL2899">
        <v>-117.056065</v>
      </c>
      <c r="AM2899">
        <v>100</v>
      </c>
      <c r="AN2899">
        <v>6200</v>
      </c>
      <c r="AO2899" t="s">
        <v>118</v>
      </c>
      <c r="AP2899">
        <v>26</v>
      </c>
      <c r="AQ2899">
        <v>-106</v>
      </c>
      <c r="AR2899">
        <v>-960</v>
      </c>
      <c r="AZ2899">
        <v>1200</v>
      </c>
      <c r="BA2899">
        <v>1</v>
      </c>
      <c r="BB2899" t="str">
        <f t="shared" si="1595"/>
        <v xml:space="preserve">N9217B  </v>
      </c>
      <c r="BC2899">
        <v>1</v>
      </c>
      <c r="BE2899">
        <v>0</v>
      </c>
      <c r="BF2899">
        <v>0</v>
      </c>
      <c r="BG2899">
        <v>0</v>
      </c>
      <c r="BH2899">
        <v>6100</v>
      </c>
      <c r="BI2899">
        <v>1</v>
      </c>
      <c r="BJ2899">
        <v>0</v>
      </c>
      <c r="BK2899">
        <v>0</v>
      </c>
      <c r="BL2899">
        <v>0</v>
      </c>
      <c r="BO2899">
        <v>0</v>
      </c>
      <c r="BP2899">
        <v>0</v>
      </c>
      <c r="BW2899" t="str">
        <f t="shared" si="1603"/>
        <v>14:56:08.876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7</v>
      </c>
      <c r="CP2899" t="s">
        <v>119</v>
      </c>
      <c r="CQ2899">
        <v>285</v>
      </c>
      <c r="CR2899">
        <v>0</v>
      </c>
      <c r="CW2899">
        <v>8872122</v>
      </c>
      <c r="CY2899">
        <v>0</v>
      </c>
      <c r="CZ2899">
        <v>0</v>
      </c>
      <c r="DA2899">
        <v>1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25">
      <c r="A2900" t="str">
        <f t="shared" si="1600"/>
        <v>06/05/2020 14:56:03.251</v>
      </c>
      <c r="C2900" t="str">
        <f t="shared" si="1577"/>
        <v>FFDFD3C0</v>
      </c>
      <c r="D2900" t="s">
        <v>151</v>
      </c>
      <c r="E2900">
        <v>8</v>
      </c>
      <c r="H2900">
        <v>225</v>
      </c>
      <c r="I2900" t="s">
        <v>353</v>
      </c>
      <c r="J2900" t="s">
        <v>150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601"/>
        <v>14:56:08.875</v>
      </c>
      <c r="T2900" t="str">
        <f t="shared" si="1602"/>
        <v>14:56:08.575</v>
      </c>
      <c r="U2900" t="str">
        <f t="shared" si="1594"/>
        <v>ACC530</v>
      </c>
      <c r="V2900">
        <v>0</v>
      </c>
      <c r="W2900">
        <v>0</v>
      </c>
      <c r="X2900">
        <v>1</v>
      </c>
      <c r="Z2900">
        <v>0</v>
      </c>
      <c r="AA2900">
        <v>9</v>
      </c>
      <c r="AB2900">
        <v>3</v>
      </c>
      <c r="AC2900">
        <v>0</v>
      </c>
      <c r="AD2900">
        <v>9</v>
      </c>
      <c r="AE2900">
        <v>0</v>
      </c>
      <c r="AF2900">
        <v>3</v>
      </c>
      <c r="AG2900">
        <v>1</v>
      </c>
      <c r="AH2900">
        <v>0</v>
      </c>
      <c r="AI2900" t="s">
        <v>986</v>
      </c>
      <c r="AJ2900">
        <v>34.117762999999997</v>
      </c>
      <c r="AK2900" t="s">
        <v>987</v>
      </c>
      <c r="AL2900">
        <v>-117.056065</v>
      </c>
      <c r="AM2900">
        <v>100</v>
      </c>
      <c r="AN2900">
        <v>6200</v>
      </c>
      <c r="AO2900" t="s">
        <v>118</v>
      </c>
      <c r="AP2900">
        <v>26</v>
      </c>
      <c r="AQ2900">
        <v>-106</v>
      </c>
      <c r="AR2900">
        <v>-960</v>
      </c>
      <c r="AZ2900">
        <v>1200</v>
      </c>
      <c r="BA2900">
        <v>1</v>
      </c>
      <c r="BB2900" t="str">
        <f t="shared" si="1595"/>
        <v xml:space="preserve">N9217B  </v>
      </c>
      <c r="BC2900">
        <v>1</v>
      </c>
      <c r="BE2900">
        <v>0</v>
      </c>
      <c r="BF2900">
        <v>0</v>
      </c>
      <c r="BG2900">
        <v>0</v>
      </c>
      <c r="BH2900">
        <v>6100</v>
      </c>
      <c r="BI2900">
        <v>1</v>
      </c>
      <c r="BJ2900">
        <v>0</v>
      </c>
      <c r="BK2900">
        <v>0</v>
      </c>
      <c r="BL2900">
        <v>0</v>
      </c>
      <c r="BO2900">
        <v>0</v>
      </c>
      <c r="BP2900">
        <v>0</v>
      </c>
      <c r="BW2900" t="str">
        <f t="shared" si="1603"/>
        <v>14:56:08.876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7</v>
      </c>
      <c r="CP2900" t="s">
        <v>119</v>
      </c>
      <c r="CQ2900">
        <v>285</v>
      </c>
      <c r="CR2900">
        <v>0</v>
      </c>
      <c r="CW2900">
        <v>8872122</v>
      </c>
      <c r="CY2900">
        <v>0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25">
      <c r="A2901" t="str">
        <f t="shared" ref="A2901:A2906" si="1604">"06/05/2020 14:56:04.227"</f>
        <v>06/05/2020 14:56:04.227</v>
      </c>
      <c r="C2901" t="str">
        <f t="shared" si="1577"/>
        <v>FFDFD3C0</v>
      </c>
      <c r="D2901" t="s">
        <v>113</v>
      </c>
      <c r="E2901">
        <v>3</v>
      </c>
      <c r="H2901">
        <v>166</v>
      </c>
      <c r="I2901" t="s">
        <v>114</v>
      </c>
      <c r="J2901" t="s">
        <v>115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ref="S2901:S2906" si="1605">"14:56:09.891"</f>
        <v>14:56:09.891</v>
      </c>
      <c r="T2901" t="str">
        <f t="shared" ref="T2901:T2906" si="1606">"14:56:09.591"</f>
        <v>14:56:09.591</v>
      </c>
      <c r="U2901" t="str">
        <f t="shared" si="1594"/>
        <v>ACC530</v>
      </c>
      <c r="V2901">
        <v>0</v>
      </c>
      <c r="W2901">
        <v>0</v>
      </c>
      <c r="X2901">
        <v>1</v>
      </c>
      <c r="Z2901">
        <v>0</v>
      </c>
      <c r="AA2901">
        <v>9</v>
      </c>
      <c r="AB2901">
        <v>3</v>
      </c>
      <c r="AC2901">
        <v>0</v>
      </c>
      <c r="AD2901">
        <v>9</v>
      </c>
      <c r="AE2901">
        <v>0</v>
      </c>
      <c r="AF2901">
        <v>3</v>
      </c>
      <c r="AG2901">
        <v>1</v>
      </c>
      <c r="AH2901">
        <v>0</v>
      </c>
      <c r="AI2901" t="s">
        <v>988</v>
      </c>
      <c r="AJ2901">
        <v>34.117247999999996</v>
      </c>
      <c r="AK2901" t="s">
        <v>989</v>
      </c>
      <c r="AL2901">
        <v>-117.05595700000001</v>
      </c>
      <c r="AM2901">
        <v>100</v>
      </c>
      <c r="AN2901">
        <v>6200</v>
      </c>
      <c r="AO2901" t="s">
        <v>118</v>
      </c>
      <c r="AP2901">
        <v>27</v>
      </c>
      <c r="AQ2901">
        <v>-106</v>
      </c>
      <c r="AR2901">
        <v>-960</v>
      </c>
      <c r="AZ2901">
        <v>1200</v>
      </c>
      <c r="BA2901">
        <v>1</v>
      </c>
      <c r="BB2901" t="str">
        <f t="shared" si="1595"/>
        <v xml:space="preserve">N9217B  </v>
      </c>
      <c r="BC2901">
        <v>1</v>
      </c>
      <c r="BE2901">
        <v>0</v>
      </c>
      <c r="BF2901">
        <v>0</v>
      </c>
      <c r="BG2901">
        <v>0</v>
      </c>
      <c r="BH2901">
        <v>6100</v>
      </c>
      <c r="BI2901">
        <v>1</v>
      </c>
      <c r="BJ2901">
        <v>0</v>
      </c>
      <c r="BK2901">
        <v>0</v>
      </c>
      <c r="BL2901">
        <v>0</v>
      </c>
      <c r="BO2901">
        <v>0</v>
      </c>
      <c r="BP2901">
        <v>0</v>
      </c>
      <c r="BW2901" t="str">
        <f t="shared" ref="BW2901:BW2906" si="1607">"14:56:09.896"</f>
        <v>14:56:09.896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5</v>
      </c>
      <c r="CP2901" t="s">
        <v>119</v>
      </c>
      <c r="CQ2901">
        <v>298</v>
      </c>
      <c r="CR2901">
        <v>0</v>
      </c>
      <c r="CW2901">
        <v>10448725</v>
      </c>
      <c r="CY2901">
        <v>0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25">
      <c r="A2902" t="str">
        <f t="shared" si="1604"/>
        <v>06/05/2020 14:56:04.227</v>
      </c>
      <c r="C2902" t="str">
        <f t="shared" si="1577"/>
        <v>FFDFD3C0</v>
      </c>
      <c r="D2902" t="s">
        <v>148</v>
      </c>
      <c r="E2902">
        <v>8</v>
      </c>
      <c r="H2902">
        <v>50</v>
      </c>
      <c r="I2902" t="s">
        <v>149</v>
      </c>
      <c r="J2902" t="s">
        <v>150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605"/>
        <v>14:56:09.891</v>
      </c>
      <c r="T2902" t="str">
        <f t="shared" si="1606"/>
        <v>14:56:09.591</v>
      </c>
      <c r="U2902" t="str">
        <f t="shared" si="1594"/>
        <v>ACC530</v>
      </c>
      <c r="V2902">
        <v>0</v>
      </c>
      <c r="W2902">
        <v>0</v>
      </c>
      <c r="X2902">
        <v>1</v>
      </c>
      <c r="Z2902">
        <v>0</v>
      </c>
      <c r="AA2902">
        <v>9</v>
      </c>
      <c r="AB2902">
        <v>3</v>
      </c>
      <c r="AC2902">
        <v>0</v>
      </c>
      <c r="AD2902">
        <v>9</v>
      </c>
      <c r="AE2902">
        <v>0</v>
      </c>
      <c r="AF2902">
        <v>3</v>
      </c>
      <c r="AG2902">
        <v>1</v>
      </c>
      <c r="AH2902">
        <v>0</v>
      </c>
      <c r="AI2902" t="s">
        <v>988</v>
      </c>
      <c r="AJ2902">
        <v>34.117247999999996</v>
      </c>
      <c r="AK2902" t="s">
        <v>989</v>
      </c>
      <c r="AL2902">
        <v>-117.05595700000001</v>
      </c>
      <c r="AM2902">
        <v>100</v>
      </c>
      <c r="AN2902">
        <v>6200</v>
      </c>
      <c r="AO2902" t="s">
        <v>118</v>
      </c>
      <c r="AP2902">
        <v>27</v>
      </c>
      <c r="AQ2902">
        <v>-106</v>
      </c>
      <c r="AR2902">
        <v>-960</v>
      </c>
      <c r="AZ2902">
        <v>1200</v>
      </c>
      <c r="BA2902">
        <v>1</v>
      </c>
      <c r="BB2902" t="str">
        <f t="shared" si="1595"/>
        <v xml:space="preserve">N9217B  </v>
      </c>
      <c r="BC2902">
        <v>1</v>
      </c>
      <c r="BE2902">
        <v>0</v>
      </c>
      <c r="BF2902">
        <v>0</v>
      </c>
      <c r="BG2902">
        <v>0</v>
      </c>
      <c r="BH2902">
        <v>6100</v>
      </c>
      <c r="BI2902">
        <v>1</v>
      </c>
      <c r="BJ2902">
        <v>0</v>
      </c>
      <c r="BK2902">
        <v>0</v>
      </c>
      <c r="BL2902">
        <v>0</v>
      </c>
      <c r="BO2902">
        <v>0</v>
      </c>
      <c r="BP2902">
        <v>0</v>
      </c>
      <c r="BW2902" t="str">
        <f t="shared" si="1607"/>
        <v>14:56:09.896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5</v>
      </c>
      <c r="CP2902" t="s">
        <v>119</v>
      </c>
      <c r="CQ2902">
        <v>298</v>
      </c>
      <c r="CR2902">
        <v>0</v>
      </c>
      <c r="CW2902">
        <v>10448725</v>
      </c>
      <c r="CY2902">
        <v>0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25">
      <c r="A2903" t="str">
        <f t="shared" si="1604"/>
        <v>06/05/2020 14:56:04.227</v>
      </c>
      <c r="C2903" t="str">
        <f t="shared" si="1577"/>
        <v>FFDFD3C0</v>
      </c>
      <c r="D2903" t="s">
        <v>148</v>
      </c>
      <c r="E2903">
        <v>11</v>
      </c>
      <c r="H2903">
        <v>53</v>
      </c>
      <c r="I2903" t="s">
        <v>364</v>
      </c>
      <c r="J2903" t="s">
        <v>150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605"/>
        <v>14:56:09.891</v>
      </c>
      <c r="T2903" t="str">
        <f t="shared" si="1606"/>
        <v>14:56:09.591</v>
      </c>
      <c r="U2903" t="str">
        <f t="shared" si="1594"/>
        <v>ACC530</v>
      </c>
      <c r="V2903">
        <v>0</v>
      </c>
      <c r="W2903">
        <v>0</v>
      </c>
      <c r="X2903">
        <v>1</v>
      </c>
      <c r="Z2903">
        <v>0</v>
      </c>
      <c r="AA2903">
        <v>9</v>
      </c>
      <c r="AB2903">
        <v>3</v>
      </c>
      <c r="AC2903">
        <v>0</v>
      </c>
      <c r="AD2903">
        <v>9</v>
      </c>
      <c r="AE2903">
        <v>0</v>
      </c>
      <c r="AF2903">
        <v>3</v>
      </c>
      <c r="AG2903">
        <v>1</v>
      </c>
      <c r="AH2903">
        <v>0</v>
      </c>
      <c r="AI2903" t="s">
        <v>988</v>
      </c>
      <c r="AJ2903">
        <v>34.117247999999996</v>
      </c>
      <c r="AK2903" t="s">
        <v>989</v>
      </c>
      <c r="AL2903">
        <v>-117.05595700000001</v>
      </c>
      <c r="AM2903">
        <v>100</v>
      </c>
      <c r="AN2903">
        <v>6200</v>
      </c>
      <c r="AO2903" t="s">
        <v>118</v>
      </c>
      <c r="AP2903">
        <v>27</v>
      </c>
      <c r="AQ2903">
        <v>-106</v>
      </c>
      <c r="AR2903">
        <v>-960</v>
      </c>
      <c r="AZ2903">
        <v>1200</v>
      </c>
      <c r="BA2903">
        <v>1</v>
      </c>
      <c r="BB2903" t="str">
        <f t="shared" si="1595"/>
        <v xml:space="preserve">N9217B  </v>
      </c>
      <c r="BC2903">
        <v>1</v>
      </c>
      <c r="BE2903">
        <v>0</v>
      </c>
      <c r="BF2903">
        <v>0</v>
      </c>
      <c r="BG2903">
        <v>0</v>
      </c>
      <c r="BH2903">
        <v>6100</v>
      </c>
      <c r="BI2903">
        <v>1</v>
      </c>
      <c r="BJ2903">
        <v>0</v>
      </c>
      <c r="BK2903">
        <v>0</v>
      </c>
      <c r="BL2903">
        <v>0</v>
      </c>
      <c r="BO2903">
        <v>0</v>
      </c>
      <c r="BP2903">
        <v>0</v>
      </c>
      <c r="BW2903" t="str">
        <f t="shared" si="1607"/>
        <v>14:56:09.896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5</v>
      </c>
      <c r="CP2903" t="s">
        <v>119</v>
      </c>
      <c r="CQ2903">
        <v>298</v>
      </c>
      <c r="CR2903">
        <v>0</v>
      </c>
      <c r="CW2903">
        <v>10448725</v>
      </c>
      <c r="CY2903">
        <v>0</v>
      </c>
      <c r="CZ2903">
        <v>0</v>
      </c>
      <c r="DA2903">
        <v>1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25">
      <c r="A2904" t="str">
        <f t="shared" si="1604"/>
        <v>06/05/2020 14:56:04.227</v>
      </c>
      <c r="C2904" t="str">
        <f t="shared" si="1577"/>
        <v>FFDFD3C0</v>
      </c>
      <c r="D2904" t="s">
        <v>151</v>
      </c>
      <c r="E2904">
        <v>8</v>
      </c>
      <c r="H2904">
        <v>225</v>
      </c>
      <c r="I2904" t="s">
        <v>353</v>
      </c>
      <c r="J2904" t="s">
        <v>150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605"/>
        <v>14:56:09.891</v>
      </c>
      <c r="T2904" t="str">
        <f t="shared" si="1606"/>
        <v>14:56:09.591</v>
      </c>
      <c r="U2904" t="str">
        <f t="shared" si="1594"/>
        <v>ACC530</v>
      </c>
      <c r="V2904">
        <v>0</v>
      </c>
      <c r="W2904">
        <v>0</v>
      </c>
      <c r="X2904">
        <v>1</v>
      </c>
      <c r="Z2904">
        <v>0</v>
      </c>
      <c r="AA2904">
        <v>9</v>
      </c>
      <c r="AB2904">
        <v>3</v>
      </c>
      <c r="AC2904">
        <v>0</v>
      </c>
      <c r="AD2904">
        <v>9</v>
      </c>
      <c r="AE2904">
        <v>0</v>
      </c>
      <c r="AF2904">
        <v>3</v>
      </c>
      <c r="AG2904">
        <v>1</v>
      </c>
      <c r="AH2904">
        <v>0</v>
      </c>
      <c r="AI2904" t="s">
        <v>988</v>
      </c>
      <c r="AJ2904">
        <v>34.117247999999996</v>
      </c>
      <c r="AK2904" t="s">
        <v>989</v>
      </c>
      <c r="AL2904">
        <v>-117.05595700000001</v>
      </c>
      <c r="AM2904">
        <v>100</v>
      </c>
      <c r="AN2904">
        <v>6200</v>
      </c>
      <c r="AO2904" t="s">
        <v>118</v>
      </c>
      <c r="AP2904">
        <v>27</v>
      </c>
      <c r="AQ2904">
        <v>-106</v>
      </c>
      <c r="AR2904">
        <v>-960</v>
      </c>
      <c r="AZ2904">
        <v>1200</v>
      </c>
      <c r="BA2904">
        <v>1</v>
      </c>
      <c r="BB2904" t="str">
        <f t="shared" si="1595"/>
        <v xml:space="preserve">N9217B  </v>
      </c>
      <c r="BC2904">
        <v>1</v>
      </c>
      <c r="BE2904">
        <v>0</v>
      </c>
      <c r="BF2904">
        <v>0</v>
      </c>
      <c r="BG2904">
        <v>0</v>
      </c>
      <c r="BH2904">
        <v>6100</v>
      </c>
      <c r="BI2904">
        <v>1</v>
      </c>
      <c r="BJ2904">
        <v>0</v>
      </c>
      <c r="BK2904">
        <v>0</v>
      </c>
      <c r="BL2904">
        <v>0</v>
      </c>
      <c r="BO2904">
        <v>0</v>
      </c>
      <c r="BP2904">
        <v>0</v>
      </c>
      <c r="BW2904" t="str">
        <f t="shared" si="1607"/>
        <v>14:56:09.896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5</v>
      </c>
      <c r="CP2904" t="s">
        <v>119</v>
      </c>
      <c r="CQ2904">
        <v>298</v>
      </c>
      <c r="CR2904">
        <v>0</v>
      </c>
      <c r="CW2904">
        <v>10448725</v>
      </c>
      <c r="CY2904">
        <v>0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25">
      <c r="A2905" t="str">
        <f t="shared" si="1604"/>
        <v>06/05/2020 14:56:04.227</v>
      </c>
      <c r="C2905" t="str">
        <f t="shared" si="1577"/>
        <v>FFDFD3C0</v>
      </c>
      <c r="D2905" t="s">
        <v>134</v>
      </c>
      <c r="E2905">
        <v>7</v>
      </c>
      <c r="F2905">
        <v>2007</v>
      </c>
      <c r="G2905" t="s">
        <v>135</v>
      </c>
      <c r="J2905" t="s">
        <v>136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605"/>
        <v>14:56:09.891</v>
      </c>
      <c r="T2905" t="str">
        <f t="shared" si="1606"/>
        <v>14:56:09.591</v>
      </c>
      <c r="U2905" t="str">
        <f t="shared" si="1594"/>
        <v>ACC530</v>
      </c>
      <c r="V2905">
        <v>0</v>
      </c>
      <c r="W2905">
        <v>0</v>
      </c>
      <c r="X2905">
        <v>1</v>
      </c>
      <c r="Z2905">
        <v>0</v>
      </c>
      <c r="AA2905">
        <v>9</v>
      </c>
      <c r="AB2905">
        <v>3</v>
      </c>
      <c r="AC2905">
        <v>0</v>
      </c>
      <c r="AD2905">
        <v>9</v>
      </c>
      <c r="AE2905">
        <v>0</v>
      </c>
      <c r="AF2905">
        <v>3</v>
      </c>
      <c r="AG2905">
        <v>1</v>
      </c>
      <c r="AH2905">
        <v>0</v>
      </c>
      <c r="AI2905" t="s">
        <v>988</v>
      </c>
      <c r="AJ2905">
        <v>34.117247999999996</v>
      </c>
      <c r="AK2905" t="s">
        <v>989</v>
      </c>
      <c r="AL2905">
        <v>-117.05595700000001</v>
      </c>
      <c r="AM2905">
        <v>100</v>
      </c>
      <c r="AN2905">
        <v>6200</v>
      </c>
      <c r="AO2905" t="s">
        <v>118</v>
      </c>
      <c r="AP2905">
        <v>27</v>
      </c>
      <c r="AQ2905">
        <v>-106</v>
      </c>
      <c r="AR2905">
        <v>-960</v>
      </c>
      <c r="AZ2905">
        <v>1200</v>
      </c>
      <c r="BA2905">
        <v>1</v>
      </c>
      <c r="BB2905" t="str">
        <f t="shared" si="1595"/>
        <v xml:space="preserve">N9217B  </v>
      </c>
      <c r="BC2905">
        <v>1</v>
      </c>
      <c r="BE2905">
        <v>0</v>
      </c>
      <c r="BF2905">
        <v>0</v>
      </c>
      <c r="BG2905">
        <v>0</v>
      </c>
      <c r="BH2905">
        <v>6100</v>
      </c>
      <c r="BI2905">
        <v>1</v>
      </c>
      <c r="BJ2905">
        <v>0</v>
      </c>
      <c r="BK2905">
        <v>0</v>
      </c>
      <c r="BL2905">
        <v>0</v>
      </c>
      <c r="BO2905">
        <v>0</v>
      </c>
      <c r="BP2905">
        <v>0</v>
      </c>
      <c r="BW2905" t="str">
        <f t="shared" si="1607"/>
        <v>14:56:09.896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5</v>
      </c>
      <c r="CP2905" t="s">
        <v>119</v>
      </c>
      <c r="CQ2905">
        <v>298</v>
      </c>
      <c r="CR2905">
        <v>0</v>
      </c>
      <c r="CW2905">
        <v>10448725</v>
      </c>
      <c r="CY2905">
        <v>0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25">
      <c r="A2906" t="str">
        <f t="shared" si="1604"/>
        <v>06/05/2020 14:56:04.227</v>
      </c>
      <c r="C2906" t="str">
        <f t="shared" si="1577"/>
        <v>FFDFD3C0</v>
      </c>
      <c r="D2906" t="s">
        <v>141</v>
      </c>
      <c r="E2906">
        <v>20</v>
      </c>
      <c r="F2906">
        <v>1020</v>
      </c>
      <c r="G2906" t="s">
        <v>114</v>
      </c>
      <c r="J2906" t="s">
        <v>142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605"/>
        <v>14:56:09.891</v>
      </c>
      <c r="T2906" t="str">
        <f t="shared" si="1606"/>
        <v>14:56:09.591</v>
      </c>
      <c r="U2906" t="str">
        <f t="shared" si="1594"/>
        <v>ACC530</v>
      </c>
      <c r="V2906">
        <v>0</v>
      </c>
      <c r="W2906">
        <v>0</v>
      </c>
      <c r="X2906">
        <v>1</v>
      </c>
      <c r="Z2906">
        <v>0</v>
      </c>
      <c r="AA2906">
        <v>9</v>
      </c>
      <c r="AB2906">
        <v>3</v>
      </c>
      <c r="AC2906">
        <v>0</v>
      </c>
      <c r="AD2906">
        <v>9</v>
      </c>
      <c r="AE2906">
        <v>0</v>
      </c>
      <c r="AF2906">
        <v>3</v>
      </c>
      <c r="AG2906">
        <v>1</v>
      </c>
      <c r="AH2906">
        <v>0</v>
      </c>
      <c r="AI2906" t="s">
        <v>988</v>
      </c>
      <c r="AJ2906">
        <v>34.117247999999996</v>
      </c>
      <c r="AK2906" t="s">
        <v>989</v>
      </c>
      <c r="AL2906">
        <v>-117.05595700000001</v>
      </c>
      <c r="AM2906">
        <v>100</v>
      </c>
      <c r="AN2906">
        <v>6200</v>
      </c>
      <c r="AO2906" t="s">
        <v>118</v>
      </c>
      <c r="AP2906">
        <v>27</v>
      </c>
      <c r="AQ2906">
        <v>-106</v>
      </c>
      <c r="AR2906">
        <v>-960</v>
      </c>
      <c r="AZ2906">
        <v>1200</v>
      </c>
      <c r="BA2906">
        <v>1</v>
      </c>
      <c r="BB2906" t="str">
        <f t="shared" si="1595"/>
        <v xml:space="preserve">N9217B  </v>
      </c>
      <c r="BC2906">
        <v>1</v>
      </c>
      <c r="BE2906">
        <v>0</v>
      </c>
      <c r="BF2906">
        <v>0</v>
      </c>
      <c r="BG2906">
        <v>0</v>
      </c>
      <c r="BH2906">
        <v>6100</v>
      </c>
      <c r="BI2906">
        <v>1</v>
      </c>
      <c r="BJ2906">
        <v>0</v>
      </c>
      <c r="BK2906">
        <v>0</v>
      </c>
      <c r="BL2906">
        <v>0</v>
      </c>
      <c r="BO2906">
        <v>0</v>
      </c>
      <c r="BP2906">
        <v>0</v>
      </c>
      <c r="BW2906" t="str">
        <f t="shared" si="1607"/>
        <v>14:56:09.896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5</v>
      </c>
      <c r="CP2906" t="s">
        <v>119</v>
      </c>
      <c r="CQ2906">
        <v>298</v>
      </c>
      <c r="CR2906">
        <v>0</v>
      </c>
      <c r="CW2906">
        <v>10448725</v>
      </c>
      <c r="CY2906">
        <v>0</v>
      </c>
      <c r="CZ2906">
        <v>0</v>
      </c>
      <c r="DA2906">
        <v>1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25">
      <c r="A2907" t="str">
        <f t="shared" ref="A2907:A2913" si="1608">"06/05/2020 14:56:05.388"</f>
        <v>06/05/2020 14:56:05.388</v>
      </c>
      <c r="C2907" t="str">
        <f t="shared" si="1577"/>
        <v>FFDFD3C0</v>
      </c>
      <c r="D2907" t="s">
        <v>113</v>
      </c>
      <c r="E2907">
        <v>3</v>
      </c>
      <c r="H2907">
        <v>166</v>
      </c>
      <c r="I2907" t="s">
        <v>114</v>
      </c>
      <c r="J2907" t="s">
        <v>115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ref="S2907:S2913" si="1609">"14:56:11.031"</f>
        <v>14:56:11.031</v>
      </c>
      <c r="T2907" t="str">
        <f t="shared" ref="T2907:T2913" si="1610">"14:56:10.631"</f>
        <v>14:56:10.631</v>
      </c>
      <c r="U2907" t="str">
        <f t="shared" si="1594"/>
        <v>ACC530</v>
      </c>
      <c r="V2907">
        <v>0</v>
      </c>
      <c r="W2907">
        <v>0</v>
      </c>
      <c r="X2907">
        <v>1</v>
      </c>
      <c r="Z2907">
        <v>0</v>
      </c>
      <c r="AA2907">
        <v>9</v>
      </c>
      <c r="AB2907">
        <v>3</v>
      </c>
      <c r="AC2907">
        <v>0</v>
      </c>
      <c r="AD2907">
        <v>9</v>
      </c>
      <c r="AE2907">
        <v>0</v>
      </c>
      <c r="AF2907">
        <v>3</v>
      </c>
      <c r="AG2907">
        <v>1</v>
      </c>
      <c r="AH2907">
        <v>0</v>
      </c>
      <c r="AI2907" t="s">
        <v>990</v>
      </c>
      <c r="AJ2907">
        <v>34.116689999999998</v>
      </c>
      <c r="AK2907" t="s">
        <v>991</v>
      </c>
      <c r="AL2907">
        <v>-117.055786</v>
      </c>
      <c r="AM2907">
        <v>100</v>
      </c>
      <c r="AN2907">
        <v>6200</v>
      </c>
      <c r="AO2907" t="s">
        <v>118</v>
      </c>
      <c r="AP2907">
        <v>29</v>
      </c>
      <c r="AQ2907">
        <v>-106</v>
      </c>
      <c r="AR2907">
        <v>-896</v>
      </c>
      <c r="AZ2907">
        <v>1200</v>
      </c>
      <c r="BA2907">
        <v>1</v>
      </c>
      <c r="BB2907" t="str">
        <f t="shared" si="1595"/>
        <v xml:space="preserve">N9217B  </v>
      </c>
      <c r="BC2907">
        <v>1</v>
      </c>
      <c r="BE2907">
        <v>0</v>
      </c>
      <c r="BF2907">
        <v>0</v>
      </c>
      <c r="BG2907">
        <v>0</v>
      </c>
      <c r="BH2907">
        <v>6075</v>
      </c>
      <c r="BI2907">
        <v>1</v>
      </c>
      <c r="BJ2907">
        <v>0</v>
      </c>
      <c r="BK2907">
        <v>0</v>
      </c>
      <c r="BL2907">
        <v>0</v>
      </c>
      <c r="BO2907">
        <v>0</v>
      </c>
      <c r="BP2907">
        <v>0</v>
      </c>
      <c r="BW2907" t="str">
        <f t="shared" ref="BW2907:BW2913" si="1611">"14:56:11.036"</f>
        <v>14:56:11.036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7</v>
      </c>
      <c r="CP2907" t="s">
        <v>119</v>
      </c>
      <c r="CQ2907">
        <v>285</v>
      </c>
      <c r="CR2907">
        <v>0</v>
      </c>
      <c r="CW2907">
        <v>8872309</v>
      </c>
      <c r="CY2907">
        <v>0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25">
      <c r="A2908" t="str">
        <f t="shared" si="1608"/>
        <v>06/05/2020 14:56:05.388</v>
      </c>
      <c r="C2908" t="str">
        <f t="shared" si="1577"/>
        <v>FFDFD3C0</v>
      </c>
      <c r="D2908" t="s">
        <v>148</v>
      </c>
      <c r="E2908">
        <v>8</v>
      </c>
      <c r="H2908">
        <v>50</v>
      </c>
      <c r="I2908" t="s">
        <v>149</v>
      </c>
      <c r="J2908" t="s">
        <v>150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si="1609"/>
        <v>14:56:11.031</v>
      </c>
      <c r="T2908" t="str">
        <f t="shared" si="1610"/>
        <v>14:56:10.631</v>
      </c>
      <c r="U2908" t="str">
        <f t="shared" si="1594"/>
        <v>ACC530</v>
      </c>
      <c r="V2908">
        <v>0</v>
      </c>
      <c r="W2908">
        <v>0</v>
      </c>
      <c r="X2908">
        <v>1</v>
      </c>
      <c r="Z2908">
        <v>0</v>
      </c>
      <c r="AA2908">
        <v>9</v>
      </c>
      <c r="AB2908">
        <v>3</v>
      </c>
      <c r="AC2908">
        <v>0</v>
      </c>
      <c r="AD2908">
        <v>9</v>
      </c>
      <c r="AE2908">
        <v>0</v>
      </c>
      <c r="AF2908">
        <v>3</v>
      </c>
      <c r="AG2908">
        <v>1</v>
      </c>
      <c r="AH2908">
        <v>0</v>
      </c>
      <c r="AI2908" t="s">
        <v>990</v>
      </c>
      <c r="AJ2908">
        <v>34.116689999999998</v>
      </c>
      <c r="AK2908" t="s">
        <v>991</v>
      </c>
      <c r="AL2908">
        <v>-117.055786</v>
      </c>
      <c r="AM2908">
        <v>100</v>
      </c>
      <c r="AN2908">
        <v>6200</v>
      </c>
      <c r="AO2908" t="s">
        <v>118</v>
      </c>
      <c r="AP2908">
        <v>29</v>
      </c>
      <c r="AQ2908">
        <v>-106</v>
      </c>
      <c r="AR2908">
        <v>-896</v>
      </c>
      <c r="AZ2908">
        <v>1200</v>
      </c>
      <c r="BA2908">
        <v>1</v>
      </c>
      <c r="BB2908" t="str">
        <f t="shared" si="1595"/>
        <v xml:space="preserve">N9217B  </v>
      </c>
      <c r="BC2908">
        <v>1</v>
      </c>
      <c r="BE2908">
        <v>0</v>
      </c>
      <c r="BF2908">
        <v>0</v>
      </c>
      <c r="BG2908">
        <v>0</v>
      </c>
      <c r="BH2908">
        <v>6075</v>
      </c>
      <c r="BI2908">
        <v>1</v>
      </c>
      <c r="BJ2908">
        <v>0</v>
      </c>
      <c r="BK2908">
        <v>0</v>
      </c>
      <c r="BL2908">
        <v>0</v>
      </c>
      <c r="BO2908">
        <v>0</v>
      </c>
      <c r="BP2908">
        <v>0</v>
      </c>
      <c r="BW2908" t="str">
        <f t="shared" si="1611"/>
        <v>14:56:11.036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7</v>
      </c>
      <c r="CP2908" t="s">
        <v>119</v>
      </c>
      <c r="CQ2908">
        <v>285</v>
      </c>
      <c r="CR2908">
        <v>0</v>
      </c>
      <c r="CW2908">
        <v>8872309</v>
      </c>
      <c r="CY2908">
        <v>0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25">
      <c r="A2909" t="str">
        <f t="shared" si="1608"/>
        <v>06/05/2020 14:56:05.388</v>
      </c>
      <c r="C2909" t="str">
        <f t="shared" si="1577"/>
        <v>FFDFD3C0</v>
      </c>
      <c r="D2909" t="s">
        <v>148</v>
      </c>
      <c r="E2909">
        <v>11</v>
      </c>
      <c r="H2909">
        <v>53</v>
      </c>
      <c r="I2909" t="s">
        <v>364</v>
      </c>
      <c r="J2909" t="s">
        <v>150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609"/>
        <v>14:56:11.031</v>
      </c>
      <c r="T2909" t="str">
        <f t="shared" si="1610"/>
        <v>14:56:10.631</v>
      </c>
      <c r="U2909" t="str">
        <f t="shared" si="1594"/>
        <v>ACC530</v>
      </c>
      <c r="V2909">
        <v>0</v>
      </c>
      <c r="W2909">
        <v>0</v>
      </c>
      <c r="X2909">
        <v>1</v>
      </c>
      <c r="Z2909">
        <v>0</v>
      </c>
      <c r="AA2909">
        <v>9</v>
      </c>
      <c r="AB2909">
        <v>3</v>
      </c>
      <c r="AC2909">
        <v>0</v>
      </c>
      <c r="AD2909">
        <v>9</v>
      </c>
      <c r="AE2909">
        <v>0</v>
      </c>
      <c r="AF2909">
        <v>3</v>
      </c>
      <c r="AG2909">
        <v>1</v>
      </c>
      <c r="AH2909">
        <v>0</v>
      </c>
      <c r="AI2909" t="s">
        <v>990</v>
      </c>
      <c r="AJ2909">
        <v>34.116689999999998</v>
      </c>
      <c r="AK2909" t="s">
        <v>991</v>
      </c>
      <c r="AL2909">
        <v>-117.055786</v>
      </c>
      <c r="AM2909">
        <v>100</v>
      </c>
      <c r="AN2909">
        <v>6200</v>
      </c>
      <c r="AO2909" t="s">
        <v>118</v>
      </c>
      <c r="AP2909">
        <v>29</v>
      </c>
      <c r="AQ2909">
        <v>-106</v>
      </c>
      <c r="AR2909">
        <v>-896</v>
      </c>
      <c r="AZ2909">
        <v>1200</v>
      </c>
      <c r="BA2909">
        <v>1</v>
      </c>
      <c r="BB2909" t="str">
        <f t="shared" si="1595"/>
        <v xml:space="preserve">N9217B  </v>
      </c>
      <c r="BC2909">
        <v>1</v>
      </c>
      <c r="BE2909">
        <v>0</v>
      </c>
      <c r="BF2909">
        <v>0</v>
      </c>
      <c r="BG2909">
        <v>0</v>
      </c>
      <c r="BH2909">
        <v>6075</v>
      </c>
      <c r="BI2909">
        <v>1</v>
      </c>
      <c r="BJ2909">
        <v>0</v>
      </c>
      <c r="BK2909">
        <v>0</v>
      </c>
      <c r="BL2909">
        <v>0</v>
      </c>
      <c r="BO2909">
        <v>0</v>
      </c>
      <c r="BP2909">
        <v>0</v>
      </c>
      <c r="BW2909" t="str">
        <f t="shared" si="1611"/>
        <v>14:56:11.036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7</v>
      </c>
      <c r="CP2909" t="s">
        <v>119</v>
      </c>
      <c r="CQ2909">
        <v>285</v>
      </c>
      <c r="CR2909">
        <v>0</v>
      </c>
      <c r="CW2909">
        <v>8872309</v>
      </c>
      <c r="CY2909">
        <v>0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25">
      <c r="A2910" t="str">
        <f t="shared" si="1608"/>
        <v>06/05/2020 14:56:05.388</v>
      </c>
      <c r="C2910" t="str">
        <f t="shared" si="1577"/>
        <v>FFDFD3C0</v>
      </c>
      <c r="D2910" t="s">
        <v>151</v>
      </c>
      <c r="E2910">
        <v>8</v>
      </c>
      <c r="H2910">
        <v>225</v>
      </c>
      <c r="I2910" t="s">
        <v>353</v>
      </c>
      <c r="J2910" t="s">
        <v>150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609"/>
        <v>14:56:11.031</v>
      </c>
      <c r="T2910" t="str">
        <f t="shared" si="1610"/>
        <v>14:56:10.631</v>
      </c>
      <c r="U2910" t="str">
        <f t="shared" si="1594"/>
        <v>ACC530</v>
      </c>
      <c r="V2910">
        <v>0</v>
      </c>
      <c r="W2910">
        <v>0</v>
      </c>
      <c r="X2910">
        <v>1</v>
      </c>
      <c r="Z2910">
        <v>0</v>
      </c>
      <c r="AA2910">
        <v>9</v>
      </c>
      <c r="AB2910">
        <v>3</v>
      </c>
      <c r="AC2910">
        <v>0</v>
      </c>
      <c r="AD2910">
        <v>9</v>
      </c>
      <c r="AE2910">
        <v>0</v>
      </c>
      <c r="AF2910">
        <v>3</v>
      </c>
      <c r="AG2910">
        <v>1</v>
      </c>
      <c r="AH2910">
        <v>0</v>
      </c>
      <c r="AI2910" t="s">
        <v>990</v>
      </c>
      <c r="AJ2910">
        <v>34.116689999999998</v>
      </c>
      <c r="AK2910" t="s">
        <v>991</v>
      </c>
      <c r="AL2910">
        <v>-117.055786</v>
      </c>
      <c r="AM2910">
        <v>100</v>
      </c>
      <c r="AN2910">
        <v>6200</v>
      </c>
      <c r="AO2910" t="s">
        <v>118</v>
      </c>
      <c r="AP2910">
        <v>29</v>
      </c>
      <c r="AQ2910">
        <v>-106</v>
      </c>
      <c r="AR2910">
        <v>-896</v>
      </c>
      <c r="AZ2910">
        <v>1200</v>
      </c>
      <c r="BA2910">
        <v>1</v>
      </c>
      <c r="BB2910" t="str">
        <f t="shared" si="1595"/>
        <v xml:space="preserve">N9217B  </v>
      </c>
      <c r="BC2910">
        <v>1</v>
      </c>
      <c r="BE2910">
        <v>0</v>
      </c>
      <c r="BF2910">
        <v>0</v>
      </c>
      <c r="BG2910">
        <v>0</v>
      </c>
      <c r="BH2910">
        <v>6075</v>
      </c>
      <c r="BI2910">
        <v>1</v>
      </c>
      <c r="BJ2910">
        <v>0</v>
      </c>
      <c r="BK2910">
        <v>0</v>
      </c>
      <c r="BL2910">
        <v>0</v>
      </c>
      <c r="BO2910">
        <v>0</v>
      </c>
      <c r="BP2910">
        <v>0</v>
      </c>
      <c r="BW2910" t="str">
        <f t="shared" si="1611"/>
        <v>14:56:11.036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7</v>
      </c>
      <c r="CP2910" t="s">
        <v>119</v>
      </c>
      <c r="CQ2910">
        <v>285</v>
      </c>
      <c r="CR2910">
        <v>0</v>
      </c>
      <c r="CW2910">
        <v>8872309</v>
      </c>
      <c r="CY2910">
        <v>0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25">
      <c r="A2911" t="str">
        <f t="shared" si="1608"/>
        <v>06/05/2020 14:56:05.388</v>
      </c>
      <c r="C2911" t="str">
        <f t="shared" si="1577"/>
        <v>FFDFD3C0</v>
      </c>
      <c r="D2911" t="s">
        <v>134</v>
      </c>
      <c r="E2911">
        <v>7</v>
      </c>
      <c r="F2911">
        <v>2007</v>
      </c>
      <c r="G2911" t="s">
        <v>135</v>
      </c>
      <c r="J2911" t="s">
        <v>136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609"/>
        <v>14:56:11.031</v>
      </c>
      <c r="T2911" t="str">
        <f t="shared" si="1610"/>
        <v>14:56:10.631</v>
      </c>
      <c r="U2911" t="str">
        <f t="shared" si="1594"/>
        <v>ACC530</v>
      </c>
      <c r="V2911">
        <v>0</v>
      </c>
      <c r="W2911">
        <v>0</v>
      </c>
      <c r="X2911">
        <v>1</v>
      </c>
      <c r="Z2911">
        <v>0</v>
      </c>
      <c r="AA2911">
        <v>9</v>
      </c>
      <c r="AB2911">
        <v>3</v>
      </c>
      <c r="AC2911">
        <v>0</v>
      </c>
      <c r="AD2911">
        <v>9</v>
      </c>
      <c r="AE2911">
        <v>0</v>
      </c>
      <c r="AF2911">
        <v>3</v>
      </c>
      <c r="AG2911">
        <v>1</v>
      </c>
      <c r="AH2911">
        <v>0</v>
      </c>
      <c r="AI2911" t="s">
        <v>990</v>
      </c>
      <c r="AJ2911">
        <v>34.116689999999998</v>
      </c>
      <c r="AK2911" t="s">
        <v>991</v>
      </c>
      <c r="AL2911">
        <v>-117.055786</v>
      </c>
      <c r="AM2911">
        <v>100</v>
      </c>
      <c r="AN2911">
        <v>6200</v>
      </c>
      <c r="AO2911" t="s">
        <v>118</v>
      </c>
      <c r="AP2911">
        <v>29</v>
      </c>
      <c r="AQ2911">
        <v>-106</v>
      </c>
      <c r="AR2911">
        <v>-896</v>
      </c>
      <c r="AZ2911">
        <v>1200</v>
      </c>
      <c r="BA2911">
        <v>1</v>
      </c>
      <c r="BB2911" t="str">
        <f t="shared" si="1595"/>
        <v xml:space="preserve">N9217B  </v>
      </c>
      <c r="BC2911">
        <v>1</v>
      </c>
      <c r="BE2911">
        <v>0</v>
      </c>
      <c r="BF2911">
        <v>0</v>
      </c>
      <c r="BG2911">
        <v>0</v>
      </c>
      <c r="BH2911">
        <v>6075</v>
      </c>
      <c r="BI2911">
        <v>1</v>
      </c>
      <c r="BJ2911">
        <v>0</v>
      </c>
      <c r="BK2911">
        <v>0</v>
      </c>
      <c r="BL2911">
        <v>0</v>
      </c>
      <c r="BO2911">
        <v>0</v>
      </c>
      <c r="BP2911">
        <v>0</v>
      </c>
      <c r="BW2911" t="str">
        <f t="shared" si="1611"/>
        <v>14:56:11.036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7</v>
      </c>
      <c r="CP2911" t="s">
        <v>119</v>
      </c>
      <c r="CQ2911">
        <v>285</v>
      </c>
      <c r="CR2911">
        <v>0</v>
      </c>
      <c r="CW2911">
        <v>8872309</v>
      </c>
      <c r="CY2911">
        <v>0</v>
      </c>
      <c r="CZ2911">
        <v>0</v>
      </c>
      <c r="DA2911">
        <v>1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25">
      <c r="A2912" t="str">
        <f t="shared" si="1608"/>
        <v>06/05/2020 14:56:05.388</v>
      </c>
      <c r="C2912" t="str">
        <f t="shared" si="1577"/>
        <v>FFDFD3C0</v>
      </c>
      <c r="D2912" t="s">
        <v>151</v>
      </c>
      <c r="E2912">
        <v>9</v>
      </c>
      <c r="H2912">
        <v>226</v>
      </c>
      <c r="I2912" t="s">
        <v>152</v>
      </c>
      <c r="J2912" t="s">
        <v>150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609"/>
        <v>14:56:11.031</v>
      </c>
      <c r="T2912" t="str">
        <f t="shared" si="1610"/>
        <v>14:56:10.631</v>
      </c>
      <c r="U2912" t="str">
        <f t="shared" si="1594"/>
        <v>ACC530</v>
      </c>
      <c r="V2912">
        <v>0</v>
      </c>
      <c r="W2912">
        <v>0</v>
      </c>
      <c r="X2912">
        <v>1</v>
      </c>
      <c r="Z2912">
        <v>0</v>
      </c>
      <c r="AA2912">
        <v>9</v>
      </c>
      <c r="AB2912">
        <v>3</v>
      </c>
      <c r="AC2912">
        <v>0</v>
      </c>
      <c r="AD2912">
        <v>9</v>
      </c>
      <c r="AE2912">
        <v>0</v>
      </c>
      <c r="AF2912">
        <v>3</v>
      </c>
      <c r="AG2912">
        <v>1</v>
      </c>
      <c r="AH2912">
        <v>0</v>
      </c>
      <c r="AI2912" t="s">
        <v>990</v>
      </c>
      <c r="AJ2912">
        <v>34.116689999999998</v>
      </c>
      <c r="AK2912" t="s">
        <v>991</v>
      </c>
      <c r="AL2912">
        <v>-117.055786</v>
      </c>
      <c r="AM2912">
        <v>100</v>
      </c>
      <c r="AN2912">
        <v>6200</v>
      </c>
      <c r="AO2912" t="s">
        <v>118</v>
      </c>
      <c r="AP2912">
        <v>29</v>
      </c>
      <c r="AQ2912">
        <v>-106</v>
      </c>
      <c r="AR2912">
        <v>-896</v>
      </c>
      <c r="AZ2912">
        <v>1200</v>
      </c>
      <c r="BA2912">
        <v>1</v>
      </c>
      <c r="BB2912" t="str">
        <f t="shared" si="1595"/>
        <v xml:space="preserve">N9217B  </v>
      </c>
      <c r="BC2912">
        <v>1</v>
      </c>
      <c r="BE2912">
        <v>0</v>
      </c>
      <c r="BF2912">
        <v>0</v>
      </c>
      <c r="BG2912">
        <v>0</v>
      </c>
      <c r="BH2912">
        <v>6075</v>
      </c>
      <c r="BI2912">
        <v>1</v>
      </c>
      <c r="BJ2912">
        <v>0</v>
      </c>
      <c r="BK2912">
        <v>0</v>
      </c>
      <c r="BL2912">
        <v>0</v>
      </c>
      <c r="BO2912">
        <v>0</v>
      </c>
      <c r="BP2912">
        <v>0</v>
      </c>
      <c r="BW2912" t="str">
        <f t="shared" si="1611"/>
        <v>14:56:11.036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7</v>
      </c>
      <c r="CP2912" t="s">
        <v>119</v>
      </c>
      <c r="CQ2912">
        <v>285</v>
      </c>
      <c r="CR2912">
        <v>0</v>
      </c>
      <c r="CW2912">
        <v>8872309</v>
      </c>
      <c r="CY2912">
        <v>0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25">
      <c r="A2913" t="str">
        <f t="shared" si="1608"/>
        <v>06/05/2020 14:56:05.388</v>
      </c>
      <c r="C2913" t="str">
        <f t="shared" si="1577"/>
        <v>FFDFD3C0</v>
      </c>
      <c r="D2913" t="s">
        <v>141</v>
      </c>
      <c r="E2913">
        <v>20</v>
      </c>
      <c r="F2913">
        <v>1020</v>
      </c>
      <c r="G2913" t="s">
        <v>114</v>
      </c>
      <c r="J2913" t="s">
        <v>142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609"/>
        <v>14:56:11.031</v>
      </c>
      <c r="T2913" t="str">
        <f t="shared" si="1610"/>
        <v>14:56:10.631</v>
      </c>
      <c r="U2913" t="str">
        <f t="shared" si="1594"/>
        <v>ACC530</v>
      </c>
      <c r="V2913">
        <v>0</v>
      </c>
      <c r="W2913">
        <v>0</v>
      </c>
      <c r="X2913">
        <v>1</v>
      </c>
      <c r="Z2913">
        <v>0</v>
      </c>
      <c r="AA2913">
        <v>9</v>
      </c>
      <c r="AB2913">
        <v>3</v>
      </c>
      <c r="AC2913">
        <v>0</v>
      </c>
      <c r="AD2913">
        <v>9</v>
      </c>
      <c r="AE2913">
        <v>0</v>
      </c>
      <c r="AF2913">
        <v>3</v>
      </c>
      <c r="AG2913">
        <v>1</v>
      </c>
      <c r="AH2913">
        <v>0</v>
      </c>
      <c r="AI2913" t="s">
        <v>990</v>
      </c>
      <c r="AJ2913">
        <v>34.116689999999998</v>
      </c>
      <c r="AK2913" t="s">
        <v>991</v>
      </c>
      <c r="AL2913">
        <v>-117.055786</v>
      </c>
      <c r="AM2913">
        <v>100</v>
      </c>
      <c r="AN2913">
        <v>6200</v>
      </c>
      <c r="AO2913" t="s">
        <v>118</v>
      </c>
      <c r="AP2913">
        <v>29</v>
      </c>
      <c r="AQ2913">
        <v>-106</v>
      </c>
      <c r="AR2913">
        <v>-896</v>
      </c>
      <c r="AZ2913">
        <v>1200</v>
      </c>
      <c r="BA2913">
        <v>1</v>
      </c>
      <c r="BB2913" t="str">
        <f t="shared" si="1595"/>
        <v xml:space="preserve">N9217B  </v>
      </c>
      <c r="BC2913">
        <v>1</v>
      </c>
      <c r="BE2913">
        <v>0</v>
      </c>
      <c r="BF2913">
        <v>0</v>
      </c>
      <c r="BG2913">
        <v>0</v>
      </c>
      <c r="BH2913">
        <v>6075</v>
      </c>
      <c r="BI2913">
        <v>1</v>
      </c>
      <c r="BJ2913">
        <v>0</v>
      </c>
      <c r="BK2913">
        <v>0</v>
      </c>
      <c r="BL2913">
        <v>0</v>
      </c>
      <c r="BO2913">
        <v>0</v>
      </c>
      <c r="BP2913">
        <v>0</v>
      </c>
      <c r="BW2913" t="str">
        <f t="shared" si="1611"/>
        <v>14:56:11.036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7</v>
      </c>
      <c r="CP2913" t="s">
        <v>119</v>
      </c>
      <c r="CQ2913">
        <v>285</v>
      </c>
      <c r="CR2913">
        <v>0</v>
      </c>
      <c r="CW2913">
        <v>8872309</v>
      </c>
      <c r="CY2913">
        <v>0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25">
      <c r="A2914" t="str">
        <f t="shared" ref="A2914:A2920" si="1612">"06/05/2020 14:56:06.371"</f>
        <v>06/05/2020 14:56:06.371</v>
      </c>
      <c r="C2914" t="str">
        <f t="shared" si="1577"/>
        <v>FFDFD3C0</v>
      </c>
      <c r="D2914" t="s">
        <v>148</v>
      </c>
      <c r="E2914">
        <v>11</v>
      </c>
      <c r="H2914">
        <v>53</v>
      </c>
      <c r="I2914" t="s">
        <v>364</v>
      </c>
      <c r="J2914" t="s">
        <v>150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ref="S2914:S2920" si="1613">"14:56:12.008"</f>
        <v>14:56:12.008</v>
      </c>
      <c r="T2914" t="str">
        <f t="shared" ref="T2914:T2920" si="1614">"14:56:11.708"</f>
        <v>14:56:11.708</v>
      </c>
      <c r="U2914" t="str">
        <f t="shared" si="1594"/>
        <v>ACC530</v>
      </c>
      <c r="V2914">
        <v>0</v>
      </c>
      <c r="W2914">
        <v>0</v>
      </c>
      <c r="X2914">
        <v>1</v>
      </c>
      <c r="Z2914">
        <v>0</v>
      </c>
      <c r="AA2914">
        <v>9</v>
      </c>
      <c r="AB2914">
        <v>3</v>
      </c>
      <c r="AC2914">
        <v>0</v>
      </c>
      <c r="AD2914">
        <v>9</v>
      </c>
      <c r="AE2914">
        <v>0</v>
      </c>
      <c r="AF2914">
        <v>3</v>
      </c>
      <c r="AG2914">
        <v>1</v>
      </c>
      <c r="AH2914">
        <v>0</v>
      </c>
      <c r="AI2914" t="s">
        <v>992</v>
      </c>
      <c r="AJ2914">
        <v>34.116218000000003</v>
      </c>
      <c r="AK2914" t="s">
        <v>993</v>
      </c>
      <c r="AL2914">
        <v>-117.055635</v>
      </c>
      <c r="AM2914">
        <v>100</v>
      </c>
      <c r="AN2914">
        <v>6200</v>
      </c>
      <c r="AO2914" t="s">
        <v>118</v>
      </c>
      <c r="AP2914">
        <v>30</v>
      </c>
      <c r="AQ2914">
        <v>-106</v>
      </c>
      <c r="AR2914">
        <v>-1024</v>
      </c>
      <c r="AZ2914">
        <v>1200</v>
      </c>
      <c r="BA2914">
        <v>1</v>
      </c>
      <c r="BB2914" t="str">
        <f t="shared" si="1595"/>
        <v xml:space="preserve">N9217B  </v>
      </c>
      <c r="BC2914">
        <v>1</v>
      </c>
      <c r="BE2914">
        <v>0</v>
      </c>
      <c r="BF2914">
        <v>0</v>
      </c>
      <c r="BG2914">
        <v>0</v>
      </c>
      <c r="BH2914">
        <v>6050</v>
      </c>
      <c r="BI2914">
        <v>1</v>
      </c>
      <c r="BJ2914">
        <v>0</v>
      </c>
      <c r="BK2914">
        <v>0</v>
      </c>
      <c r="BL2914">
        <v>0</v>
      </c>
      <c r="BO2914">
        <v>0</v>
      </c>
      <c r="BP2914">
        <v>0</v>
      </c>
      <c r="BW2914" t="str">
        <f t="shared" ref="BW2914:BW2920" si="1615">"14:56:12.011"</f>
        <v>14:56:12.011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7</v>
      </c>
      <c r="CP2914" t="s">
        <v>119</v>
      </c>
      <c r="CQ2914">
        <v>285</v>
      </c>
      <c r="CR2914">
        <v>0</v>
      </c>
      <c r="CW2914">
        <v>8872393</v>
      </c>
      <c r="CY2914">
        <v>0</v>
      </c>
      <c r="CZ2914">
        <v>0</v>
      </c>
      <c r="DA2914">
        <v>0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25">
      <c r="A2915" t="str">
        <f t="shared" si="1612"/>
        <v>06/05/2020 14:56:06.371</v>
      </c>
      <c r="C2915" t="str">
        <f t="shared" ref="C2915:C2978" si="1616">"FFDFD3C0"</f>
        <v>FFDFD3C0</v>
      </c>
      <c r="D2915" t="s">
        <v>151</v>
      </c>
      <c r="E2915">
        <v>8</v>
      </c>
      <c r="H2915">
        <v>225</v>
      </c>
      <c r="I2915" t="s">
        <v>353</v>
      </c>
      <c r="J2915" t="s">
        <v>150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613"/>
        <v>14:56:12.008</v>
      </c>
      <c r="T2915" t="str">
        <f t="shared" si="1614"/>
        <v>14:56:11.708</v>
      </c>
      <c r="U2915" t="str">
        <f t="shared" si="1594"/>
        <v>ACC530</v>
      </c>
      <c r="V2915">
        <v>0</v>
      </c>
      <c r="W2915">
        <v>0</v>
      </c>
      <c r="X2915">
        <v>1</v>
      </c>
      <c r="Z2915">
        <v>0</v>
      </c>
      <c r="AA2915">
        <v>9</v>
      </c>
      <c r="AB2915">
        <v>3</v>
      </c>
      <c r="AC2915">
        <v>0</v>
      </c>
      <c r="AD2915">
        <v>9</v>
      </c>
      <c r="AE2915">
        <v>0</v>
      </c>
      <c r="AF2915">
        <v>3</v>
      </c>
      <c r="AG2915">
        <v>1</v>
      </c>
      <c r="AH2915">
        <v>0</v>
      </c>
      <c r="AI2915" t="s">
        <v>992</v>
      </c>
      <c r="AJ2915">
        <v>34.116218000000003</v>
      </c>
      <c r="AK2915" t="s">
        <v>993</v>
      </c>
      <c r="AL2915">
        <v>-117.055635</v>
      </c>
      <c r="AM2915">
        <v>100</v>
      </c>
      <c r="AN2915">
        <v>6200</v>
      </c>
      <c r="AO2915" t="s">
        <v>118</v>
      </c>
      <c r="AP2915">
        <v>30</v>
      </c>
      <c r="AQ2915">
        <v>-106</v>
      </c>
      <c r="AR2915">
        <v>-1024</v>
      </c>
      <c r="AZ2915">
        <v>1200</v>
      </c>
      <c r="BA2915">
        <v>1</v>
      </c>
      <c r="BB2915" t="str">
        <f t="shared" si="1595"/>
        <v xml:space="preserve">N9217B  </v>
      </c>
      <c r="BC2915">
        <v>1</v>
      </c>
      <c r="BE2915">
        <v>0</v>
      </c>
      <c r="BF2915">
        <v>0</v>
      </c>
      <c r="BG2915">
        <v>0</v>
      </c>
      <c r="BH2915">
        <v>6050</v>
      </c>
      <c r="BI2915">
        <v>1</v>
      </c>
      <c r="BJ2915">
        <v>0</v>
      </c>
      <c r="BK2915">
        <v>0</v>
      </c>
      <c r="BL2915">
        <v>0</v>
      </c>
      <c r="BO2915">
        <v>0</v>
      </c>
      <c r="BP2915">
        <v>0</v>
      </c>
      <c r="BW2915" t="str">
        <f t="shared" si="1615"/>
        <v>14:56:12.011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7</v>
      </c>
      <c r="CP2915" t="s">
        <v>119</v>
      </c>
      <c r="CQ2915">
        <v>285</v>
      </c>
      <c r="CR2915">
        <v>0</v>
      </c>
      <c r="CW2915">
        <v>8872393</v>
      </c>
      <c r="CY2915">
        <v>0</v>
      </c>
      <c r="CZ2915">
        <v>0</v>
      </c>
      <c r="DA2915">
        <v>1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25">
      <c r="A2916" t="str">
        <f t="shared" si="1612"/>
        <v>06/05/2020 14:56:06.371</v>
      </c>
      <c r="C2916" t="str">
        <f t="shared" si="1616"/>
        <v>FFDFD3C0</v>
      </c>
      <c r="D2916" t="s">
        <v>134</v>
      </c>
      <c r="E2916">
        <v>7</v>
      </c>
      <c r="F2916">
        <v>2007</v>
      </c>
      <c r="G2916" t="s">
        <v>135</v>
      </c>
      <c r="J2916" t="s">
        <v>136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613"/>
        <v>14:56:12.008</v>
      </c>
      <c r="T2916" t="str">
        <f t="shared" si="1614"/>
        <v>14:56:11.708</v>
      </c>
      <c r="U2916" t="str">
        <f t="shared" si="1594"/>
        <v>ACC530</v>
      </c>
      <c r="V2916">
        <v>0</v>
      </c>
      <c r="W2916">
        <v>0</v>
      </c>
      <c r="X2916">
        <v>1</v>
      </c>
      <c r="Z2916">
        <v>0</v>
      </c>
      <c r="AA2916">
        <v>9</v>
      </c>
      <c r="AB2916">
        <v>3</v>
      </c>
      <c r="AC2916">
        <v>0</v>
      </c>
      <c r="AD2916">
        <v>9</v>
      </c>
      <c r="AE2916">
        <v>0</v>
      </c>
      <c r="AF2916">
        <v>3</v>
      </c>
      <c r="AG2916">
        <v>1</v>
      </c>
      <c r="AH2916">
        <v>0</v>
      </c>
      <c r="AI2916" t="s">
        <v>992</v>
      </c>
      <c r="AJ2916">
        <v>34.116218000000003</v>
      </c>
      <c r="AK2916" t="s">
        <v>993</v>
      </c>
      <c r="AL2916">
        <v>-117.055635</v>
      </c>
      <c r="AM2916">
        <v>100</v>
      </c>
      <c r="AN2916">
        <v>6200</v>
      </c>
      <c r="AO2916" t="s">
        <v>118</v>
      </c>
      <c r="AP2916">
        <v>30</v>
      </c>
      <c r="AQ2916">
        <v>-106</v>
      </c>
      <c r="AR2916">
        <v>-1024</v>
      </c>
      <c r="AZ2916">
        <v>1200</v>
      </c>
      <c r="BA2916">
        <v>1</v>
      </c>
      <c r="BB2916" t="str">
        <f t="shared" si="1595"/>
        <v xml:space="preserve">N9217B  </v>
      </c>
      <c r="BC2916">
        <v>1</v>
      </c>
      <c r="BE2916">
        <v>0</v>
      </c>
      <c r="BF2916">
        <v>0</v>
      </c>
      <c r="BG2916">
        <v>0</v>
      </c>
      <c r="BH2916">
        <v>6050</v>
      </c>
      <c r="BI2916">
        <v>1</v>
      </c>
      <c r="BJ2916">
        <v>0</v>
      </c>
      <c r="BK2916">
        <v>0</v>
      </c>
      <c r="BL2916">
        <v>0</v>
      </c>
      <c r="BO2916">
        <v>0</v>
      </c>
      <c r="BP2916">
        <v>0</v>
      </c>
      <c r="BW2916" t="str">
        <f t="shared" si="1615"/>
        <v>14:56:12.011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7</v>
      </c>
      <c r="CP2916" t="s">
        <v>119</v>
      </c>
      <c r="CQ2916">
        <v>285</v>
      </c>
      <c r="CR2916">
        <v>0</v>
      </c>
      <c r="CW2916">
        <v>8872393</v>
      </c>
      <c r="CY2916">
        <v>0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25">
      <c r="A2917" t="str">
        <f t="shared" si="1612"/>
        <v>06/05/2020 14:56:06.371</v>
      </c>
      <c r="C2917" t="str">
        <f t="shared" si="1616"/>
        <v>FFDFD3C0</v>
      </c>
      <c r="D2917" t="s">
        <v>141</v>
      </c>
      <c r="E2917">
        <v>20</v>
      </c>
      <c r="F2917">
        <v>1020</v>
      </c>
      <c r="G2917" t="s">
        <v>114</v>
      </c>
      <c r="J2917" t="s">
        <v>142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si="1613"/>
        <v>14:56:12.008</v>
      </c>
      <c r="T2917" t="str">
        <f t="shared" si="1614"/>
        <v>14:56:11.708</v>
      </c>
      <c r="U2917" t="str">
        <f t="shared" si="1594"/>
        <v>ACC530</v>
      </c>
      <c r="V2917">
        <v>0</v>
      </c>
      <c r="W2917">
        <v>0</v>
      </c>
      <c r="X2917">
        <v>1</v>
      </c>
      <c r="Z2917">
        <v>0</v>
      </c>
      <c r="AA2917">
        <v>9</v>
      </c>
      <c r="AB2917">
        <v>3</v>
      </c>
      <c r="AC2917">
        <v>0</v>
      </c>
      <c r="AD2917">
        <v>9</v>
      </c>
      <c r="AE2917">
        <v>0</v>
      </c>
      <c r="AF2917">
        <v>3</v>
      </c>
      <c r="AG2917">
        <v>1</v>
      </c>
      <c r="AH2917">
        <v>0</v>
      </c>
      <c r="AI2917" t="s">
        <v>992</v>
      </c>
      <c r="AJ2917">
        <v>34.116218000000003</v>
      </c>
      <c r="AK2917" t="s">
        <v>993</v>
      </c>
      <c r="AL2917">
        <v>-117.055635</v>
      </c>
      <c r="AM2917">
        <v>100</v>
      </c>
      <c r="AN2917">
        <v>6200</v>
      </c>
      <c r="AO2917" t="s">
        <v>118</v>
      </c>
      <c r="AP2917">
        <v>30</v>
      </c>
      <c r="AQ2917">
        <v>-106</v>
      </c>
      <c r="AR2917">
        <v>-1024</v>
      </c>
      <c r="AZ2917">
        <v>1200</v>
      </c>
      <c r="BA2917">
        <v>1</v>
      </c>
      <c r="BB2917" t="str">
        <f t="shared" si="1595"/>
        <v xml:space="preserve">N9217B  </v>
      </c>
      <c r="BC2917">
        <v>1</v>
      </c>
      <c r="BE2917">
        <v>0</v>
      </c>
      <c r="BF2917">
        <v>0</v>
      </c>
      <c r="BG2917">
        <v>0</v>
      </c>
      <c r="BH2917">
        <v>6050</v>
      </c>
      <c r="BI2917">
        <v>1</v>
      </c>
      <c r="BJ2917">
        <v>0</v>
      </c>
      <c r="BK2917">
        <v>0</v>
      </c>
      <c r="BL2917">
        <v>0</v>
      </c>
      <c r="BO2917">
        <v>0</v>
      </c>
      <c r="BP2917">
        <v>0</v>
      </c>
      <c r="BW2917" t="str">
        <f t="shared" si="1615"/>
        <v>14:56:12.011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7</v>
      </c>
      <c r="CP2917" t="s">
        <v>119</v>
      </c>
      <c r="CQ2917">
        <v>285</v>
      </c>
      <c r="CR2917">
        <v>0</v>
      </c>
      <c r="CW2917">
        <v>8872393</v>
      </c>
      <c r="CY2917">
        <v>0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25">
      <c r="A2918" t="str">
        <f t="shared" si="1612"/>
        <v>06/05/2020 14:56:06.371</v>
      </c>
      <c r="C2918" t="str">
        <f t="shared" si="1616"/>
        <v>FFDFD3C0</v>
      </c>
      <c r="D2918" t="s">
        <v>151</v>
      </c>
      <c r="E2918">
        <v>9</v>
      </c>
      <c r="H2918">
        <v>226</v>
      </c>
      <c r="I2918" t="s">
        <v>152</v>
      </c>
      <c r="J2918" t="s">
        <v>150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613"/>
        <v>14:56:12.008</v>
      </c>
      <c r="T2918" t="str">
        <f t="shared" si="1614"/>
        <v>14:56:11.708</v>
      </c>
      <c r="U2918" t="str">
        <f t="shared" si="1594"/>
        <v>ACC530</v>
      </c>
      <c r="V2918">
        <v>0</v>
      </c>
      <c r="W2918">
        <v>0</v>
      </c>
      <c r="X2918">
        <v>1</v>
      </c>
      <c r="Z2918">
        <v>0</v>
      </c>
      <c r="AA2918">
        <v>9</v>
      </c>
      <c r="AB2918">
        <v>3</v>
      </c>
      <c r="AC2918">
        <v>0</v>
      </c>
      <c r="AD2918">
        <v>9</v>
      </c>
      <c r="AE2918">
        <v>0</v>
      </c>
      <c r="AF2918">
        <v>3</v>
      </c>
      <c r="AG2918">
        <v>1</v>
      </c>
      <c r="AH2918">
        <v>0</v>
      </c>
      <c r="AI2918" t="s">
        <v>992</v>
      </c>
      <c r="AJ2918">
        <v>34.116218000000003</v>
      </c>
      <c r="AK2918" t="s">
        <v>993</v>
      </c>
      <c r="AL2918">
        <v>-117.055635</v>
      </c>
      <c r="AM2918">
        <v>100</v>
      </c>
      <c r="AN2918">
        <v>6200</v>
      </c>
      <c r="AO2918" t="s">
        <v>118</v>
      </c>
      <c r="AP2918">
        <v>30</v>
      </c>
      <c r="AQ2918">
        <v>-106</v>
      </c>
      <c r="AR2918">
        <v>-1024</v>
      </c>
      <c r="AZ2918">
        <v>1200</v>
      </c>
      <c r="BA2918">
        <v>1</v>
      </c>
      <c r="BB2918" t="str">
        <f t="shared" si="1595"/>
        <v xml:space="preserve">N9217B  </v>
      </c>
      <c r="BC2918">
        <v>1</v>
      </c>
      <c r="BE2918">
        <v>0</v>
      </c>
      <c r="BF2918">
        <v>0</v>
      </c>
      <c r="BG2918">
        <v>0</v>
      </c>
      <c r="BH2918">
        <v>6050</v>
      </c>
      <c r="BI2918">
        <v>1</v>
      </c>
      <c r="BJ2918">
        <v>0</v>
      </c>
      <c r="BK2918">
        <v>0</v>
      </c>
      <c r="BL2918">
        <v>0</v>
      </c>
      <c r="BO2918">
        <v>0</v>
      </c>
      <c r="BP2918">
        <v>0</v>
      </c>
      <c r="BW2918" t="str">
        <f t="shared" si="1615"/>
        <v>14:56:12.011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7</v>
      </c>
      <c r="CP2918" t="s">
        <v>119</v>
      </c>
      <c r="CQ2918">
        <v>285</v>
      </c>
      <c r="CR2918">
        <v>0</v>
      </c>
      <c r="CW2918">
        <v>8872393</v>
      </c>
      <c r="CY2918">
        <v>0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25">
      <c r="A2919" t="str">
        <f t="shared" si="1612"/>
        <v>06/05/2020 14:56:06.371</v>
      </c>
      <c r="C2919" t="str">
        <f t="shared" si="1616"/>
        <v>FFDFD3C0</v>
      </c>
      <c r="D2919" t="s">
        <v>113</v>
      </c>
      <c r="E2919">
        <v>3</v>
      </c>
      <c r="H2919">
        <v>166</v>
      </c>
      <c r="I2919" t="s">
        <v>114</v>
      </c>
      <c r="J2919" t="s">
        <v>115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613"/>
        <v>14:56:12.008</v>
      </c>
      <c r="T2919" t="str">
        <f t="shared" si="1614"/>
        <v>14:56:11.708</v>
      </c>
      <c r="U2919" t="str">
        <f t="shared" si="1594"/>
        <v>ACC530</v>
      </c>
      <c r="V2919">
        <v>0</v>
      </c>
      <c r="W2919">
        <v>0</v>
      </c>
      <c r="X2919">
        <v>1</v>
      </c>
      <c r="Z2919">
        <v>0</v>
      </c>
      <c r="AA2919">
        <v>9</v>
      </c>
      <c r="AB2919">
        <v>3</v>
      </c>
      <c r="AC2919">
        <v>0</v>
      </c>
      <c r="AD2919">
        <v>9</v>
      </c>
      <c r="AE2919">
        <v>0</v>
      </c>
      <c r="AF2919">
        <v>3</v>
      </c>
      <c r="AG2919">
        <v>1</v>
      </c>
      <c r="AH2919">
        <v>0</v>
      </c>
      <c r="AI2919" t="s">
        <v>992</v>
      </c>
      <c r="AJ2919">
        <v>34.116218000000003</v>
      </c>
      <c r="AK2919" t="s">
        <v>993</v>
      </c>
      <c r="AL2919">
        <v>-117.055635</v>
      </c>
      <c r="AM2919">
        <v>100</v>
      </c>
      <c r="AN2919">
        <v>6200</v>
      </c>
      <c r="AO2919" t="s">
        <v>118</v>
      </c>
      <c r="AP2919">
        <v>30</v>
      </c>
      <c r="AQ2919">
        <v>-106</v>
      </c>
      <c r="AR2919">
        <v>-1024</v>
      </c>
      <c r="AZ2919">
        <v>1200</v>
      </c>
      <c r="BA2919">
        <v>1</v>
      </c>
      <c r="BB2919" t="str">
        <f t="shared" si="1595"/>
        <v xml:space="preserve">N9217B  </v>
      </c>
      <c r="BC2919">
        <v>1</v>
      </c>
      <c r="BE2919">
        <v>0</v>
      </c>
      <c r="BF2919">
        <v>0</v>
      </c>
      <c r="BG2919">
        <v>0</v>
      </c>
      <c r="BH2919">
        <v>6050</v>
      </c>
      <c r="BI2919">
        <v>1</v>
      </c>
      <c r="BJ2919">
        <v>0</v>
      </c>
      <c r="BK2919">
        <v>0</v>
      </c>
      <c r="BL2919">
        <v>0</v>
      </c>
      <c r="BO2919">
        <v>0</v>
      </c>
      <c r="BP2919">
        <v>0</v>
      </c>
      <c r="BW2919" t="str">
        <f t="shared" si="1615"/>
        <v>14:56:12.011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7</v>
      </c>
      <c r="CP2919" t="s">
        <v>119</v>
      </c>
      <c r="CQ2919">
        <v>285</v>
      </c>
      <c r="CR2919">
        <v>0</v>
      </c>
      <c r="CW2919">
        <v>8872393</v>
      </c>
      <c r="CY2919">
        <v>0</v>
      </c>
      <c r="CZ2919">
        <v>0</v>
      </c>
      <c r="DA2919">
        <v>1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25">
      <c r="A2920" t="str">
        <f t="shared" si="1612"/>
        <v>06/05/2020 14:56:06.371</v>
      </c>
      <c r="C2920" t="str">
        <f t="shared" si="1616"/>
        <v>FFDFD3C0</v>
      </c>
      <c r="D2920" t="s">
        <v>148</v>
      </c>
      <c r="E2920">
        <v>8</v>
      </c>
      <c r="H2920">
        <v>50</v>
      </c>
      <c r="I2920" t="s">
        <v>149</v>
      </c>
      <c r="J2920" t="s">
        <v>150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613"/>
        <v>14:56:12.008</v>
      </c>
      <c r="T2920" t="str">
        <f t="shared" si="1614"/>
        <v>14:56:11.708</v>
      </c>
      <c r="U2920" t="str">
        <f t="shared" si="1594"/>
        <v>ACC530</v>
      </c>
      <c r="V2920">
        <v>0</v>
      </c>
      <c r="W2920">
        <v>0</v>
      </c>
      <c r="X2920">
        <v>1</v>
      </c>
      <c r="Z2920">
        <v>0</v>
      </c>
      <c r="AA2920">
        <v>9</v>
      </c>
      <c r="AB2920">
        <v>3</v>
      </c>
      <c r="AC2920">
        <v>0</v>
      </c>
      <c r="AD2920">
        <v>9</v>
      </c>
      <c r="AE2920">
        <v>0</v>
      </c>
      <c r="AF2920">
        <v>3</v>
      </c>
      <c r="AG2920">
        <v>1</v>
      </c>
      <c r="AH2920">
        <v>0</v>
      </c>
      <c r="AI2920" t="s">
        <v>992</v>
      </c>
      <c r="AJ2920">
        <v>34.116218000000003</v>
      </c>
      <c r="AK2920" t="s">
        <v>993</v>
      </c>
      <c r="AL2920">
        <v>-117.055635</v>
      </c>
      <c r="AM2920">
        <v>100</v>
      </c>
      <c r="AN2920">
        <v>6200</v>
      </c>
      <c r="AO2920" t="s">
        <v>118</v>
      </c>
      <c r="AP2920">
        <v>30</v>
      </c>
      <c r="AQ2920">
        <v>-106</v>
      </c>
      <c r="AR2920">
        <v>-1024</v>
      </c>
      <c r="AZ2920">
        <v>1200</v>
      </c>
      <c r="BA2920">
        <v>1</v>
      </c>
      <c r="BB2920" t="str">
        <f t="shared" si="1595"/>
        <v xml:space="preserve">N9217B  </v>
      </c>
      <c r="BC2920">
        <v>1</v>
      </c>
      <c r="BE2920">
        <v>0</v>
      </c>
      <c r="BF2920">
        <v>0</v>
      </c>
      <c r="BG2920">
        <v>0</v>
      </c>
      <c r="BH2920">
        <v>6050</v>
      </c>
      <c r="BI2920">
        <v>1</v>
      </c>
      <c r="BJ2920">
        <v>0</v>
      </c>
      <c r="BK2920">
        <v>0</v>
      </c>
      <c r="BL2920">
        <v>0</v>
      </c>
      <c r="BO2920">
        <v>0</v>
      </c>
      <c r="BP2920">
        <v>0</v>
      </c>
      <c r="BW2920" t="str">
        <f t="shared" si="1615"/>
        <v>14:56:12.011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7</v>
      </c>
      <c r="CP2920" t="s">
        <v>119</v>
      </c>
      <c r="CQ2920">
        <v>285</v>
      </c>
      <c r="CR2920">
        <v>0</v>
      </c>
      <c r="CW2920">
        <v>8872393</v>
      </c>
      <c r="CY2920">
        <v>0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25">
      <c r="A2921" t="str">
        <f t="shared" ref="A2921:A2927" si="1617">"06/05/2020 14:56:07.436"</f>
        <v>06/05/2020 14:56:07.436</v>
      </c>
      <c r="C2921" t="str">
        <f t="shared" si="1616"/>
        <v>FFDFD3C0</v>
      </c>
      <c r="D2921" t="s">
        <v>151</v>
      </c>
      <c r="E2921">
        <v>8</v>
      </c>
      <c r="H2921">
        <v>225</v>
      </c>
      <c r="I2921" t="s">
        <v>353</v>
      </c>
      <c r="J2921" t="s">
        <v>150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ref="S2921:T2927" si="1618">"14:56:13.086"</f>
        <v>14:56:13.086</v>
      </c>
      <c r="T2921" t="str">
        <f t="shared" si="1618"/>
        <v>14:56:13.086</v>
      </c>
      <c r="U2921" t="str">
        <f t="shared" si="1594"/>
        <v>ACC530</v>
      </c>
      <c r="V2921">
        <v>0</v>
      </c>
      <c r="W2921">
        <v>0</v>
      </c>
      <c r="X2921">
        <v>1</v>
      </c>
      <c r="Z2921">
        <v>0</v>
      </c>
      <c r="AA2921">
        <v>9</v>
      </c>
      <c r="AB2921">
        <v>3</v>
      </c>
      <c r="AC2921">
        <v>0</v>
      </c>
      <c r="AD2921">
        <v>9</v>
      </c>
      <c r="AE2921">
        <v>0</v>
      </c>
      <c r="AF2921">
        <v>3</v>
      </c>
      <c r="AG2921">
        <v>1</v>
      </c>
      <c r="AH2921">
        <v>0</v>
      </c>
      <c r="AI2921" t="s">
        <v>994</v>
      </c>
      <c r="AJ2921">
        <v>34.115724999999998</v>
      </c>
      <c r="AK2921" t="s">
        <v>995</v>
      </c>
      <c r="AL2921">
        <v>-117.055442</v>
      </c>
      <c r="AM2921">
        <v>100</v>
      </c>
      <c r="AN2921">
        <v>6200</v>
      </c>
      <c r="AO2921" t="s">
        <v>118</v>
      </c>
      <c r="AP2921">
        <v>32</v>
      </c>
      <c r="AQ2921">
        <v>-105</v>
      </c>
      <c r="AR2921">
        <v>-960</v>
      </c>
      <c r="AZ2921">
        <v>1200</v>
      </c>
      <c r="BA2921">
        <v>1</v>
      </c>
      <c r="BB2921" t="str">
        <f t="shared" si="1595"/>
        <v xml:space="preserve">N9217B  </v>
      </c>
      <c r="BC2921">
        <v>1</v>
      </c>
      <c r="BE2921">
        <v>0</v>
      </c>
      <c r="BF2921">
        <v>0</v>
      </c>
      <c r="BG2921">
        <v>0</v>
      </c>
      <c r="BH2921">
        <v>6025</v>
      </c>
      <c r="BI2921">
        <v>1</v>
      </c>
      <c r="BJ2921">
        <v>0</v>
      </c>
      <c r="BK2921">
        <v>0</v>
      </c>
      <c r="BL2921">
        <v>0</v>
      </c>
      <c r="BO2921">
        <v>0</v>
      </c>
      <c r="BP2921">
        <v>0</v>
      </c>
      <c r="BW2921" t="str">
        <f t="shared" ref="BW2921:BW2927" si="1619">"14:56:13.091"</f>
        <v>14:56:13.091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7</v>
      </c>
      <c r="CP2921" t="s">
        <v>119</v>
      </c>
      <c r="CQ2921">
        <v>285</v>
      </c>
      <c r="CR2921">
        <v>0</v>
      </c>
      <c r="CW2921">
        <v>8872488</v>
      </c>
      <c r="CY2921">
        <v>0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25">
      <c r="A2922" t="str">
        <f t="shared" si="1617"/>
        <v>06/05/2020 14:56:07.436</v>
      </c>
      <c r="C2922" t="str">
        <f t="shared" si="1616"/>
        <v>FFDFD3C0</v>
      </c>
      <c r="D2922" t="s">
        <v>134</v>
      </c>
      <c r="E2922">
        <v>7</v>
      </c>
      <c r="F2922">
        <v>2007</v>
      </c>
      <c r="G2922" t="s">
        <v>135</v>
      </c>
      <c r="J2922" t="s">
        <v>136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618"/>
        <v>14:56:13.086</v>
      </c>
      <c r="T2922" t="str">
        <f t="shared" si="1618"/>
        <v>14:56:13.086</v>
      </c>
      <c r="U2922" t="str">
        <f t="shared" si="1594"/>
        <v>ACC530</v>
      </c>
      <c r="V2922">
        <v>0</v>
      </c>
      <c r="W2922">
        <v>0</v>
      </c>
      <c r="X2922">
        <v>1</v>
      </c>
      <c r="Z2922">
        <v>0</v>
      </c>
      <c r="AA2922">
        <v>9</v>
      </c>
      <c r="AB2922">
        <v>3</v>
      </c>
      <c r="AC2922">
        <v>0</v>
      </c>
      <c r="AD2922">
        <v>9</v>
      </c>
      <c r="AE2922">
        <v>0</v>
      </c>
      <c r="AF2922">
        <v>3</v>
      </c>
      <c r="AG2922">
        <v>1</v>
      </c>
      <c r="AH2922">
        <v>0</v>
      </c>
      <c r="AI2922" t="s">
        <v>994</v>
      </c>
      <c r="AJ2922">
        <v>34.115724999999998</v>
      </c>
      <c r="AK2922" t="s">
        <v>995</v>
      </c>
      <c r="AL2922">
        <v>-117.055442</v>
      </c>
      <c r="AM2922">
        <v>100</v>
      </c>
      <c r="AN2922">
        <v>6200</v>
      </c>
      <c r="AO2922" t="s">
        <v>118</v>
      </c>
      <c r="AP2922">
        <v>32</v>
      </c>
      <c r="AQ2922">
        <v>-105</v>
      </c>
      <c r="AR2922">
        <v>-960</v>
      </c>
      <c r="AZ2922">
        <v>1200</v>
      </c>
      <c r="BA2922">
        <v>1</v>
      </c>
      <c r="BB2922" t="str">
        <f t="shared" si="1595"/>
        <v xml:space="preserve">N9217B  </v>
      </c>
      <c r="BC2922">
        <v>1</v>
      </c>
      <c r="BE2922">
        <v>0</v>
      </c>
      <c r="BF2922">
        <v>0</v>
      </c>
      <c r="BG2922">
        <v>0</v>
      </c>
      <c r="BH2922">
        <v>6025</v>
      </c>
      <c r="BI2922">
        <v>1</v>
      </c>
      <c r="BJ2922">
        <v>0</v>
      </c>
      <c r="BK2922">
        <v>0</v>
      </c>
      <c r="BL2922">
        <v>0</v>
      </c>
      <c r="BO2922">
        <v>0</v>
      </c>
      <c r="BP2922">
        <v>0</v>
      </c>
      <c r="BW2922" t="str">
        <f t="shared" si="1619"/>
        <v>14:56:13.091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7</v>
      </c>
      <c r="CP2922" t="s">
        <v>119</v>
      </c>
      <c r="CQ2922">
        <v>285</v>
      </c>
      <c r="CR2922">
        <v>0</v>
      </c>
      <c r="CW2922">
        <v>8872488</v>
      </c>
      <c r="CY2922">
        <v>0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25">
      <c r="A2923" t="str">
        <f t="shared" si="1617"/>
        <v>06/05/2020 14:56:07.436</v>
      </c>
      <c r="C2923" t="str">
        <f t="shared" si="1616"/>
        <v>FFDFD3C0</v>
      </c>
      <c r="D2923" t="s">
        <v>141</v>
      </c>
      <c r="E2923">
        <v>20</v>
      </c>
      <c r="F2923">
        <v>1020</v>
      </c>
      <c r="G2923" t="s">
        <v>114</v>
      </c>
      <c r="J2923" t="s">
        <v>142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618"/>
        <v>14:56:13.086</v>
      </c>
      <c r="T2923" t="str">
        <f t="shared" si="1618"/>
        <v>14:56:13.086</v>
      </c>
      <c r="U2923" t="str">
        <f t="shared" si="1594"/>
        <v>ACC530</v>
      </c>
      <c r="V2923">
        <v>0</v>
      </c>
      <c r="W2923">
        <v>0</v>
      </c>
      <c r="X2923">
        <v>1</v>
      </c>
      <c r="Z2923">
        <v>0</v>
      </c>
      <c r="AA2923">
        <v>9</v>
      </c>
      <c r="AB2923">
        <v>3</v>
      </c>
      <c r="AC2923">
        <v>0</v>
      </c>
      <c r="AD2923">
        <v>9</v>
      </c>
      <c r="AE2923">
        <v>0</v>
      </c>
      <c r="AF2923">
        <v>3</v>
      </c>
      <c r="AG2923">
        <v>1</v>
      </c>
      <c r="AH2923">
        <v>0</v>
      </c>
      <c r="AI2923" t="s">
        <v>994</v>
      </c>
      <c r="AJ2923">
        <v>34.115724999999998</v>
      </c>
      <c r="AK2923" t="s">
        <v>995</v>
      </c>
      <c r="AL2923">
        <v>-117.055442</v>
      </c>
      <c r="AM2923">
        <v>100</v>
      </c>
      <c r="AN2923">
        <v>6200</v>
      </c>
      <c r="AO2923" t="s">
        <v>118</v>
      </c>
      <c r="AP2923">
        <v>32</v>
      </c>
      <c r="AQ2923">
        <v>-105</v>
      </c>
      <c r="AR2923">
        <v>-960</v>
      </c>
      <c r="AZ2923">
        <v>1200</v>
      </c>
      <c r="BA2923">
        <v>1</v>
      </c>
      <c r="BB2923" t="str">
        <f t="shared" si="1595"/>
        <v xml:space="preserve">N9217B  </v>
      </c>
      <c r="BC2923">
        <v>1</v>
      </c>
      <c r="BE2923">
        <v>0</v>
      </c>
      <c r="BF2923">
        <v>0</v>
      </c>
      <c r="BG2923">
        <v>0</v>
      </c>
      <c r="BH2923">
        <v>6025</v>
      </c>
      <c r="BI2923">
        <v>1</v>
      </c>
      <c r="BJ2923">
        <v>0</v>
      </c>
      <c r="BK2923">
        <v>0</v>
      </c>
      <c r="BL2923">
        <v>0</v>
      </c>
      <c r="BO2923">
        <v>0</v>
      </c>
      <c r="BP2923">
        <v>0</v>
      </c>
      <c r="BW2923" t="str">
        <f t="shared" si="1619"/>
        <v>14:56:13.091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7</v>
      </c>
      <c r="CP2923" t="s">
        <v>119</v>
      </c>
      <c r="CQ2923">
        <v>285</v>
      </c>
      <c r="CR2923">
        <v>0</v>
      </c>
      <c r="CW2923">
        <v>8872488</v>
      </c>
      <c r="CY2923">
        <v>0</v>
      </c>
      <c r="CZ2923">
        <v>0</v>
      </c>
      <c r="DA2923">
        <v>1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25">
      <c r="A2924" t="str">
        <f t="shared" si="1617"/>
        <v>06/05/2020 14:56:07.436</v>
      </c>
      <c r="C2924" t="str">
        <f t="shared" si="1616"/>
        <v>FFDFD3C0</v>
      </c>
      <c r="D2924" t="s">
        <v>151</v>
      </c>
      <c r="E2924">
        <v>9</v>
      </c>
      <c r="H2924">
        <v>226</v>
      </c>
      <c r="I2924" t="s">
        <v>152</v>
      </c>
      <c r="J2924" t="s">
        <v>150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si="1618"/>
        <v>14:56:13.086</v>
      </c>
      <c r="T2924" t="str">
        <f t="shared" si="1618"/>
        <v>14:56:13.086</v>
      </c>
      <c r="U2924" t="str">
        <f t="shared" si="1594"/>
        <v>ACC530</v>
      </c>
      <c r="V2924">
        <v>0</v>
      </c>
      <c r="W2924">
        <v>0</v>
      </c>
      <c r="X2924">
        <v>1</v>
      </c>
      <c r="Z2924">
        <v>0</v>
      </c>
      <c r="AA2924">
        <v>9</v>
      </c>
      <c r="AB2924">
        <v>3</v>
      </c>
      <c r="AC2924">
        <v>0</v>
      </c>
      <c r="AD2924">
        <v>9</v>
      </c>
      <c r="AE2924">
        <v>0</v>
      </c>
      <c r="AF2924">
        <v>3</v>
      </c>
      <c r="AG2924">
        <v>1</v>
      </c>
      <c r="AH2924">
        <v>0</v>
      </c>
      <c r="AI2924" t="s">
        <v>994</v>
      </c>
      <c r="AJ2924">
        <v>34.115724999999998</v>
      </c>
      <c r="AK2924" t="s">
        <v>995</v>
      </c>
      <c r="AL2924">
        <v>-117.055442</v>
      </c>
      <c r="AM2924">
        <v>100</v>
      </c>
      <c r="AN2924">
        <v>6200</v>
      </c>
      <c r="AO2924" t="s">
        <v>118</v>
      </c>
      <c r="AP2924">
        <v>32</v>
      </c>
      <c r="AQ2924">
        <v>-105</v>
      </c>
      <c r="AR2924">
        <v>-960</v>
      </c>
      <c r="AZ2924">
        <v>1200</v>
      </c>
      <c r="BA2924">
        <v>1</v>
      </c>
      <c r="BB2924" t="str">
        <f t="shared" si="1595"/>
        <v xml:space="preserve">N9217B  </v>
      </c>
      <c r="BC2924">
        <v>1</v>
      </c>
      <c r="BE2924">
        <v>0</v>
      </c>
      <c r="BF2924">
        <v>0</v>
      </c>
      <c r="BG2924">
        <v>0</v>
      </c>
      <c r="BH2924">
        <v>6025</v>
      </c>
      <c r="BI2924">
        <v>1</v>
      </c>
      <c r="BJ2924">
        <v>0</v>
      </c>
      <c r="BK2924">
        <v>0</v>
      </c>
      <c r="BL2924">
        <v>0</v>
      </c>
      <c r="BO2924">
        <v>0</v>
      </c>
      <c r="BP2924">
        <v>0</v>
      </c>
      <c r="BW2924" t="str">
        <f t="shared" si="1619"/>
        <v>14:56:13.091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7</v>
      </c>
      <c r="CP2924" t="s">
        <v>119</v>
      </c>
      <c r="CQ2924">
        <v>285</v>
      </c>
      <c r="CR2924">
        <v>0</v>
      </c>
      <c r="CW2924">
        <v>8872488</v>
      </c>
      <c r="CY2924">
        <v>0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25">
      <c r="A2925" t="str">
        <f t="shared" si="1617"/>
        <v>06/05/2020 14:56:07.436</v>
      </c>
      <c r="C2925" t="str">
        <f t="shared" si="1616"/>
        <v>FFDFD3C0</v>
      </c>
      <c r="D2925" t="s">
        <v>113</v>
      </c>
      <c r="E2925">
        <v>3</v>
      </c>
      <c r="H2925">
        <v>166</v>
      </c>
      <c r="I2925" t="s">
        <v>114</v>
      </c>
      <c r="J2925" t="s">
        <v>115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618"/>
        <v>14:56:13.086</v>
      </c>
      <c r="T2925" t="str">
        <f t="shared" si="1618"/>
        <v>14:56:13.086</v>
      </c>
      <c r="U2925" t="str">
        <f t="shared" si="1594"/>
        <v>ACC530</v>
      </c>
      <c r="V2925">
        <v>0</v>
      </c>
      <c r="W2925">
        <v>0</v>
      </c>
      <c r="X2925">
        <v>1</v>
      </c>
      <c r="Z2925">
        <v>0</v>
      </c>
      <c r="AA2925">
        <v>9</v>
      </c>
      <c r="AB2925">
        <v>3</v>
      </c>
      <c r="AC2925">
        <v>0</v>
      </c>
      <c r="AD2925">
        <v>9</v>
      </c>
      <c r="AE2925">
        <v>0</v>
      </c>
      <c r="AF2925">
        <v>3</v>
      </c>
      <c r="AG2925">
        <v>1</v>
      </c>
      <c r="AH2925">
        <v>0</v>
      </c>
      <c r="AI2925" t="s">
        <v>994</v>
      </c>
      <c r="AJ2925">
        <v>34.115724999999998</v>
      </c>
      <c r="AK2925" t="s">
        <v>995</v>
      </c>
      <c r="AL2925">
        <v>-117.055442</v>
      </c>
      <c r="AM2925">
        <v>100</v>
      </c>
      <c r="AN2925">
        <v>6200</v>
      </c>
      <c r="AO2925" t="s">
        <v>118</v>
      </c>
      <c r="AP2925">
        <v>32</v>
      </c>
      <c r="AQ2925">
        <v>-105</v>
      </c>
      <c r="AR2925">
        <v>-960</v>
      </c>
      <c r="AZ2925">
        <v>1200</v>
      </c>
      <c r="BA2925">
        <v>1</v>
      </c>
      <c r="BB2925" t="str">
        <f t="shared" si="1595"/>
        <v xml:space="preserve">N9217B  </v>
      </c>
      <c r="BC2925">
        <v>1</v>
      </c>
      <c r="BE2925">
        <v>0</v>
      </c>
      <c r="BF2925">
        <v>0</v>
      </c>
      <c r="BG2925">
        <v>0</v>
      </c>
      <c r="BH2925">
        <v>6025</v>
      </c>
      <c r="BI2925">
        <v>1</v>
      </c>
      <c r="BJ2925">
        <v>0</v>
      </c>
      <c r="BK2925">
        <v>0</v>
      </c>
      <c r="BL2925">
        <v>0</v>
      </c>
      <c r="BO2925">
        <v>0</v>
      </c>
      <c r="BP2925">
        <v>0</v>
      </c>
      <c r="BW2925" t="str">
        <f t="shared" si="1619"/>
        <v>14:56:13.091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7</v>
      </c>
      <c r="CP2925" t="s">
        <v>119</v>
      </c>
      <c r="CQ2925">
        <v>285</v>
      </c>
      <c r="CR2925">
        <v>0</v>
      </c>
      <c r="CW2925">
        <v>8872488</v>
      </c>
      <c r="CY2925">
        <v>0</v>
      </c>
      <c r="CZ2925">
        <v>0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25">
      <c r="A2926" t="str">
        <f t="shared" si="1617"/>
        <v>06/05/2020 14:56:07.436</v>
      </c>
      <c r="C2926" t="str">
        <f t="shared" si="1616"/>
        <v>FFDFD3C0</v>
      </c>
      <c r="D2926" t="s">
        <v>148</v>
      </c>
      <c r="E2926">
        <v>8</v>
      </c>
      <c r="H2926">
        <v>50</v>
      </c>
      <c r="I2926" t="s">
        <v>149</v>
      </c>
      <c r="J2926" t="s">
        <v>150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618"/>
        <v>14:56:13.086</v>
      </c>
      <c r="T2926" t="str">
        <f t="shared" si="1618"/>
        <v>14:56:13.086</v>
      </c>
      <c r="U2926" t="str">
        <f t="shared" si="1594"/>
        <v>ACC530</v>
      </c>
      <c r="V2926">
        <v>0</v>
      </c>
      <c r="W2926">
        <v>0</v>
      </c>
      <c r="X2926">
        <v>1</v>
      </c>
      <c r="Z2926">
        <v>0</v>
      </c>
      <c r="AA2926">
        <v>9</v>
      </c>
      <c r="AB2926">
        <v>3</v>
      </c>
      <c r="AC2926">
        <v>0</v>
      </c>
      <c r="AD2926">
        <v>9</v>
      </c>
      <c r="AE2926">
        <v>0</v>
      </c>
      <c r="AF2926">
        <v>3</v>
      </c>
      <c r="AG2926">
        <v>1</v>
      </c>
      <c r="AH2926">
        <v>0</v>
      </c>
      <c r="AI2926" t="s">
        <v>994</v>
      </c>
      <c r="AJ2926">
        <v>34.115724999999998</v>
      </c>
      <c r="AK2926" t="s">
        <v>995</v>
      </c>
      <c r="AL2926">
        <v>-117.055442</v>
      </c>
      <c r="AM2926">
        <v>100</v>
      </c>
      <c r="AN2926">
        <v>6200</v>
      </c>
      <c r="AO2926" t="s">
        <v>118</v>
      </c>
      <c r="AP2926">
        <v>32</v>
      </c>
      <c r="AQ2926">
        <v>-105</v>
      </c>
      <c r="AR2926">
        <v>-960</v>
      </c>
      <c r="AZ2926">
        <v>1200</v>
      </c>
      <c r="BA2926">
        <v>1</v>
      </c>
      <c r="BB2926" t="str">
        <f t="shared" si="1595"/>
        <v xml:space="preserve">N9217B  </v>
      </c>
      <c r="BC2926">
        <v>1</v>
      </c>
      <c r="BE2926">
        <v>0</v>
      </c>
      <c r="BF2926">
        <v>0</v>
      </c>
      <c r="BG2926">
        <v>0</v>
      </c>
      <c r="BH2926">
        <v>6025</v>
      </c>
      <c r="BI2926">
        <v>1</v>
      </c>
      <c r="BJ2926">
        <v>0</v>
      </c>
      <c r="BK2926">
        <v>0</v>
      </c>
      <c r="BL2926">
        <v>0</v>
      </c>
      <c r="BO2926">
        <v>0</v>
      </c>
      <c r="BP2926">
        <v>0</v>
      </c>
      <c r="BW2926" t="str">
        <f t="shared" si="1619"/>
        <v>14:56:13.091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7</v>
      </c>
      <c r="CP2926" t="s">
        <v>119</v>
      </c>
      <c r="CQ2926">
        <v>285</v>
      </c>
      <c r="CR2926">
        <v>0</v>
      </c>
      <c r="CW2926">
        <v>8872488</v>
      </c>
      <c r="CY2926">
        <v>0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25">
      <c r="A2927" t="str">
        <f t="shared" si="1617"/>
        <v>06/05/2020 14:56:07.436</v>
      </c>
      <c r="C2927" t="str">
        <f t="shared" si="1616"/>
        <v>FFDFD3C0</v>
      </c>
      <c r="D2927" t="s">
        <v>148</v>
      </c>
      <c r="E2927">
        <v>11</v>
      </c>
      <c r="H2927">
        <v>53</v>
      </c>
      <c r="I2927" t="s">
        <v>364</v>
      </c>
      <c r="J2927" t="s">
        <v>150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618"/>
        <v>14:56:13.086</v>
      </c>
      <c r="T2927" t="str">
        <f t="shared" si="1618"/>
        <v>14:56:13.086</v>
      </c>
      <c r="U2927" t="str">
        <f t="shared" si="1594"/>
        <v>ACC530</v>
      </c>
      <c r="V2927">
        <v>0</v>
      </c>
      <c r="W2927">
        <v>0</v>
      </c>
      <c r="X2927">
        <v>1</v>
      </c>
      <c r="Z2927">
        <v>0</v>
      </c>
      <c r="AA2927">
        <v>9</v>
      </c>
      <c r="AB2927">
        <v>3</v>
      </c>
      <c r="AC2927">
        <v>0</v>
      </c>
      <c r="AD2927">
        <v>9</v>
      </c>
      <c r="AE2927">
        <v>0</v>
      </c>
      <c r="AF2927">
        <v>3</v>
      </c>
      <c r="AG2927">
        <v>1</v>
      </c>
      <c r="AH2927">
        <v>0</v>
      </c>
      <c r="AI2927" t="s">
        <v>994</v>
      </c>
      <c r="AJ2927">
        <v>34.115724999999998</v>
      </c>
      <c r="AK2927" t="s">
        <v>995</v>
      </c>
      <c r="AL2927">
        <v>-117.055442</v>
      </c>
      <c r="AM2927">
        <v>100</v>
      </c>
      <c r="AN2927">
        <v>6200</v>
      </c>
      <c r="AO2927" t="s">
        <v>118</v>
      </c>
      <c r="AP2927">
        <v>32</v>
      </c>
      <c r="AQ2927">
        <v>-105</v>
      </c>
      <c r="AR2927">
        <v>-960</v>
      </c>
      <c r="AZ2927">
        <v>1200</v>
      </c>
      <c r="BA2927">
        <v>1</v>
      </c>
      <c r="BB2927" t="str">
        <f t="shared" si="1595"/>
        <v xml:space="preserve">N9217B  </v>
      </c>
      <c r="BC2927">
        <v>1</v>
      </c>
      <c r="BE2927">
        <v>0</v>
      </c>
      <c r="BF2927">
        <v>0</v>
      </c>
      <c r="BG2927">
        <v>0</v>
      </c>
      <c r="BH2927">
        <v>6025</v>
      </c>
      <c r="BI2927">
        <v>1</v>
      </c>
      <c r="BJ2927">
        <v>0</v>
      </c>
      <c r="BK2927">
        <v>0</v>
      </c>
      <c r="BL2927">
        <v>0</v>
      </c>
      <c r="BO2927">
        <v>0</v>
      </c>
      <c r="BP2927">
        <v>0</v>
      </c>
      <c r="BW2927" t="str">
        <f t="shared" si="1619"/>
        <v>14:56:13.091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7</v>
      </c>
      <c r="CP2927" t="s">
        <v>119</v>
      </c>
      <c r="CQ2927">
        <v>285</v>
      </c>
      <c r="CR2927">
        <v>0</v>
      </c>
      <c r="CW2927">
        <v>8872488</v>
      </c>
      <c r="CY2927">
        <v>0</v>
      </c>
      <c r="CZ2927">
        <v>0</v>
      </c>
      <c r="DA2927">
        <v>1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25">
      <c r="A2928" t="str">
        <f t="shared" ref="A2928:A2934" si="1620">"06/05/2020 14:56:08.443"</f>
        <v>06/05/2020 14:56:08.443</v>
      </c>
      <c r="C2928" t="str">
        <f t="shared" si="1616"/>
        <v>FFDFD3C0</v>
      </c>
      <c r="D2928" t="s">
        <v>148</v>
      </c>
      <c r="E2928">
        <v>11</v>
      </c>
      <c r="H2928">
        <v>53</v>
      </c>
      <c r="I2928" t="s">
        <v>364</v>
      </c>
      <c r="J2928" t="s">
        <v>150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ref="S2928:T2934" si="1621">"14:56:14.078"</f>
        <v>14:56:14.078</v>
      </c>
      <c r="T2928" t="str">
        <f t="shared" si="1621"/>
        <v>14:56:14.078</v>
      </c>
      <c r="U2928" t="str">
        <f t="shared" si="1594"/>
        <v>ACC530</v>
      </c>
      <c r="V2928">
        <v>0</v>
      </c>
      <c r="W2928">
        <v>0</v>
      </c>
      <c r="X2928">
        <v>1</v>
      </c>
      <c r="Z2928">
        <v>0</v>
      </c>
      <c r="AA2928">
        <v>9</v>
      </c>
      <c r="AB2928">
        <v>3</v>
      </c>
      <c r="AC2928">
        <v>0</v>
      </c>
      <c r="AD2928">
        <v>9</v>
      </c>
      <c r="AE2928">
        <v>0</v>
      </c>
      <c r="AF2928">
        <v>3</v>
      </c>
      <c r="AG2928">
        <v>1</v>
      </c>
      <c r="AH2928">
        <v>0</v>
      </c>
      <c r="AI2928" t="s">
        <v>996</v>
      </c>
      <c r="AJ2928">
        <v>34.115209999999998</v>
      </c>
      <c r="AK2928" t="s">
        <v>997</v>
      </c>
      <c r="AL2928">
        <v>-117.055228</v>
      </c>
      <c r="AM2928">
        <v>100</v>
      </c>
      <c r="AN2928">
        <v>6100</v>
      </c>
      <c r="AO2928" t="s">
        <v>118</v>
      </c>
      <c r="AP2928">
        <v>34</v>
      </c>
      <c r="AQ2928">
        <v>-105</v>
      </c>
      <c r="AR2928">
        <v>-896</v>
      </c>
      <c r="AZ2928">
        <v>1200</v>
      </c>
      <c r="BA2928">
        <v>1</v>
      </c>
      <c r="BB2928" t="str">
        <f t="shared" si="1595"/>
        <v xml:space="preserve">N9217B  </v>
      </c>
      <c r="BC2928">
        <v>1</v>
      </c>
      <c r="BE2928">
        <v>0</v>
      </c>
      <c r="BF2928">
        <v>0</v>
      </c>
      <c r="BG2928">
        <v>0</v>
      </c>
      <c r="BH2928">
        <v>6025</v>
      </c>
      <c r="BI2928">
        <v>1</v>
      </c>
      <c r="BJ2928">
        <v>0</v>
      </c>
      <c r="BK2928">
        <v>0</v>
      </c>
      <c r="BL2928">
        <v>0</v>
      </c>
      <c r="BO2928">
        <v>0</v>
      </c>
      <c r="BP2928">
        <v>0</v>
      </c>
      <c r="BW2928" t="str">
        <f t="shared" ref="BW2928:BW2934" si="1622">"14:56:14.080"</f>
        <v>14:56:14.080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6</v>
      </c>
      <c r="CP2928" t="s">
        <v>119</v>
      </c>
      <c r="CQ2928">
        <v>285</v>
      </c>
      <c r="CR2928">
        <v>3</v>
      </c>
      <c r="CW2928">
        <v>8872581</v>
      </c>
      <c r="CY2928">
        <v>0</v>
      </c>
      <c r="CZ2928">
        <v>0</v>
      </c>
      <c r="DA2928">
        <v>0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25">
      <c r="A2929" t="str">
        <f t="shared" si="1620"/>
        <v>06/05/2020 14:56:08.443</v>
      </c>
      <c r="C2929" t="str">
        <f t="shared" si="1616"/>
        <v>FFDFD3C0</v>
      </c>
      <c r="D2929" t="s">
        <v>134</v>
      </c>
      <c r="E2929">
        <v>7</v>
      </c>
      <c r="F2929">
        <v>2007</v>
      </c>
      <c r="G2929" t="s">
        <v>135</v>
      </c>
      <c r="J2929" t="s">
        <v>136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621"/>
        <v>14:56:14.078</v>
      </c>
      <c r="T2929" t="str">
        <f t="shared" si="1621"/>
        <v>14:56:14.078</v>
      </c>
      <c r="U2929" t="str">
        <f t="shared" si="1594"/>
        <v>ACC530</v>
      </c>
      <c r="V2929">
        <v>0</v>
      </c>
      <c r="W2929">
        <v>0</v>
      </c>
      <c r="X2929">
        <v>1</v>
      </c>
      <c r="Z2929">
        <v>0</v>
      </c>
      <c r="AA2929">
        <v>9</v>
      </c>
      <c r="AB2929">
        <v>3</v>
      </c>
      <c r="AC2929">
        <v>0</v>
      </c>
      <c r="AD2929">
        <v>9</v>
      </c>
      <c r="AE2929">
        <v>0</v>
      </c>
      <c r="AF2929">
        <v>3</v>
      </c>
      <c r="AG2929">
        <v>1</v>
      </c>
      <c r="AH2929">
        <v>0</v>
      </c>
      <c r="AI2929" t="s">
        <v>996</v>
      </c>
      <c r="AJ2929">
        <v>34.115209999999998</v>
      </c>
      <c r="AK2929" t="s">
        <v>997</v>
      </c>
      <c r="AL2929">
        <v>-117.055228</v>
      </c>
      <c r="AM2929">
        <v>100</v>
      </c>
      <c r="AN2929">
        <v>6100</v>
      </c>
      <c r="AO2929" t="s">
        <v>118</v>
      </c>
      <c r="AP2929">
        <v>34</v>
      </c>
      <c r="AQ2929">
        <v>-105</v>
      </c>
      <c r="AR2929">
        <v>-896</v>
      </c>
      <c r="AZ2929">
        <v>1200</v>
      </c>
      <c r="BA2929">
        <v>1</v>
      </c>
      <c r="BB2929" t="str">
        <f t="shared" si="1595"/>
        <v xml:space="preserve">N9217B  </v>
      </c>
      <c r="BC2929">
        <v>1</v>
      </c>
      <c r="BE2929">
        <v>0</v>
      </c>
      <c r="BF2929">
        <v>0</v>
      </c>
      <c r="BG2929">
        <v>0</v>
      </c>
      <c r="BH2929">
        <v>6025</v>
      </c>
      <c r="BI2929">
        <v>1</v>
      </c>
      <c r="BJ2929">
        <v>0</v>
      </c>
      <c r="BK2929">
        <v>0</v>
      </c>
      <c r="BL2929">
        <v>0</v>
      </c>
      <c r="BO2929">
        <v>0</v>
      </c>
      <c r="BP2929">
        <v>0</v>
      </c>
      <c r="BW2929" t="str">
        <f t="shared" si="1622"/>
        <v>14:56:14.080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6</v>
      </c>
      <c r="CP2929" t="s">
        <v>119</v>
      </c>
      <c r="CQ2929">
        <v>285</v>
      </c>
      <c r="CR2929">
        <v>3</v>
      </c>
      <c r="CW2929">
        <v>8872581</v>
      </c>
      <c r="CY2929">
        <v>0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25">
      <c r="A2930" t="str">
        <f t="shared" si="1620"/>
        <v>06/05/2020 14:56:08.443</v>
      </c>
      <c r="C2930" t="str">
        <f t="shared" si="1616"/>
        <v>FFDFD3C0</v>
      </c>
      <c r="D2930" t="s">
        <v>151</v>
      </c>
      <c r="E2930">
        <v>8</v>
      </c>
      <c r="H2930">
        <v>225</v>
      </c>
      <c r="I2930" t="s">
        <v>353</v>
      </c>
      <c r="J2930" t="s">
        <v>150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621"/>
        <v>14:56:14.078</v>
      </c>
      <c r="T2930" t="str">
        <f t="shared" si="1621"/>
        <v>14:56:14.078</v>
      </c>
      <c r="U2930" t="str">
        <f t="shared" si="1594"/>
        <v>ACC530</v>
      </c>
      <c r="V2930">
        <v>0</v>
      </c>
      <c r="W2930">
        <v>0</v>
      </c>
      <c r="X2930">
        <v>1</v>
      </c>
      <c r="Z2930">
        <v>0</v>
      </c>
      <c r="AA2930">
        <v>9</v>
      </c>
      <c r="AB2930">
        <v>3</v>
      </c>
      <c r="AC2930">
        <v>0</v>
      </c>
      <c r="AD2930">
        <v>9</v>
      </c>
      <c r="AE2930">
        <v>0</v>
      </c>
      <c r="AF2930">
        <v>3</v>
      </c>
      <c r="AG2930">
        <v>1</v>
      </c>
      <c r="AH2930">
        <v>0</v>
      </c>
      <c r="AI2930" t="s">
        <v>996</v>
      </c>
      <c r="AJ2930">
        <v>34.115209999999998</v>
      </c>
      <c r="AK2930" t="s">
        <v>997</v>
      </c>
      <c r="AL2930">
        <v>-117.055228</v>
      </c>
      <c r="AM2930">
        <v>100</v>
      </c>
      <c r="AN2930">
        <v>6100</v>
      </c>
      <c r="AO2930" t="s">
        <v>118</v>
      </c>
      <c r="AP2930">
        <v>34</v>
      </c>
      <c r="AQ2930">
        <v>-105</v>
      </c>
      <c r="AR2930">
        <v>-896</v>
      </c>
      <c r="AZ2930">
        <v>1200</v>
      </c>
      <c r="BA2930">
        <v>1</v>
      </c>
      <c r="BB2930" t="str">
        <f t="shared" si="1595"/>
        <v xml:space="preserve">N9217B  </v>
      </c>
      <c r="BC2930">
        <v>1</v>
      </c>
      <c r="BE2930">
        <v>0</v>
      </c>
      <c r="BF2930">
        <v>0</v>
      </c>
      <c r="BG2930">
        <v>0</v>
      </c>
      <c r="BH2930">
        <v>6025</v>
      </c>
      <c r="BI2930">
        <v>1</v>
      </c>
      <c r="BJ2930">
        <v>0</v>
      </c>
      <c r="BK2930">
        <v>0</v>
      </c>
      <c r="BL2930">
        <v>0</v>
      </c>
      <c r="BO2930">
        <v>0</v>
      </c>
      <c r="BP2930">
        <v>0</v>
      </c>
      <c r="BW2930" t="str">
        <f t="shared" si="1622"/>
        <v>14:56:14.080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6</v>
      </c>
      <c r="CP2930" t="s">
        <v>119</v>
      </c>
      <c r="CQ2930">
        <v>285</v>
      </c>
      <c r="CR2930">
        <v>3</v>
      </c>
      <c r="CW2930">
        <v>8872581</v>
      </c>
      <c r="CY2930">
        <v>0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25">
      <c r="A2931" t="str">
        <f t="shared" si="1620"/>
        <v>06/05/2020 14:56:08.443</v>
      </c>
      <c r="C2931" t="str">
        <f t="shared" si="1616"/>
        <v>FFDFD3C0</v>
      </c>
      <c r="D2931" t="s">
        <v>141</v>
      </c>
      <c r="E2931">
        <v>20</v>
      </c>
      <c r="F2931">
        <v>1020</v>
      </c>
      <c r="G2931" t="s">
        <v>114</v>
      </c>
      <c r="J2931" t="s">
        <v>142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si="1621"/>
        <v>14:56:14.078</v>
      </c>
      <c r="T2931" t="str">
        <f t="shared" si="1621"/>
        <v>14:56:14.078</v>
      </c>
      <c r="U2931" t="str">
        <f t="shared" si="1594"/>
        <v>ACC530</v>
      </c>
      <c r="V2931">
        <v>0</v>
      </c>
      <c r="W2931">
        <v>0</v>
      </c>
      <c r="X2931">
        <v>1</v>
      </c>
      <c r="Z2931">
        <v>0</v>
      </c>
      <c r="AA2931">
        <v>9</v>
      </c>
      <c r="AB2931">
        <v>3</v>
      </c>
      <c r="AC2931">
        <v>0</v>
      </c>
      <c r="AD2931">
        <v>9</v>
      </c>
      <c r="AE2931">
        <v>0</v>
      </c>
      <c r="AF2931">
        <v>3</v>
      </c>
      <c r="AG2931">
        <v>1</v>
      </c>
      <c r="AH2931">
        <v>0</v>
      </c>
      <c r="AI2931" t="s">
        <v>996</v>
      </c>
      <c r="AJ2931">
        <v>34.115209999999998</v>
      </c>
      <c r="AK2931" t="s">
        <v>997</v>
      </c>
      <c r="AL2931">
        <v>-117.055228</v>
      </c>
      <c r="AM2931">
        <v>100</v>
      </c>
      <c r="AN2931">
        <v>6100</v>
      </c>
      <c r="AO2931" t="s">
        <v>118</v>
      </c>
      <c r="AP2931">
        <v>34</v>
      </c>
      <c r="AQ2931">
        <v>-105</v>
      </c>
      <c r="AR2931">
        <v>-896</v>
      </c>
      <c r="AZ2931">
        <v>1200</v>
      </c>
      <c r="BA2931">
        <v>1</v>
      </c>
      <c r="BB2931" t="str">
        <f t="shared" si="1595"/>
        <v xml:space="preserve">N9217B  </v>
      </c>
      <c r="BC2931">
        <v>1</v>
      </c>
      <c r="BE2931">
        <v>0</v>
      </c>
      <c r="BF2931">
        <v>0</v>
      </c>
      <c r="BG2931">
        <v>0</v>
      </c>
      <c r="BH2931">
        <v>6025</v>
      </c>
      <c r="BI2931">
        <v>1</v>
      </c>
      <c r="BJ2931">
        <v>0</v>
      </c>
      <c r="BK2931">
        <v>0</v>
      </c>
      <c r="BL2931">
        <v>0</v>
      </c>
      <c r="BO2931">
        <v>0</v>
      </c>
      <c r="BP2931">
        <v>0</v>
      </c>
      <c r="BW2931" t="str">
        <f t="shared" si="1622"/>
        <v>14:56:14.080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6</v>
      </c>
      <c r="CP2931" t="s">
        <v>119</v>
      </c>
      <c r="CQ2931">
        <v>285</v>
      </c>
      <c r="CR2931">
        <v>3</v>
      </c>
      <c r="CW2931">
        <v>8872581</v>
      </c>
      <c r="CY2931">
        <v>0</v>
      </c>
      <c r="CZ2931">
        <v>0</v>
      </c>
      <c r="DA2931">
        <v>1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25">
      <c r="A2932" t="str">
        <f t="shared" si="1620"/>
        <v>06/05/2020 14:56:08.443</v>
      </c>
      <c r="C2932" t="str">
        <f t="shared" si="1616"/>
        <v>FFDFD3C0</v>
      </c>
      <c r="D2932" t="s">
        <v>151</v>
      </c>
      <c r="E2932">
        <v>9</v>
      </c>
      <c r="H2932">
        <v>226</v>
      </c>
      <c r="I2932" t="s">
        <v>152</v>
      </c>
      <c r="J2932" t="s">
        <v>150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621"/>
        <v>14:56:14.078</v>
      </c>
      <c r="T2932" t="str">
        <f t="shared" si="1621"/>
        <v>14:56:14.078</v>
      </c>
      <c r="U2932" t="str">
        <f t="shared" si="1594"/>
        <v>ACC530</v>
      </c>
      <c r="V2932">
        <v>0</v>
      </c>
      <c r="W2932">
        <v>0</v>
      </c>
      <c r="X2932">
        <v>1</v>
      </c>
      <c r="Z2932">
        <v>0</v>
      </c>
      <c r="AA2932">
        <v>9</v>
      </c>
      <c r="AB2932">
        <v>3</v>
      </c>
      <c r="AC2932">
        <v>0</v>
      </c>
      <c r="AD2932">
        <v>9</v>
      </c>
      <c r="AE2932">
        <v>0</v>
      </c>
      <c r="AF2932">
        <v>3</v>
      </c>
      <c r="AG2932">
        <v>1</v>
      </c>
      <c r="AH2932">
        <v>0</v>
      </c>
      <c r="AI2932" t="s">
        <v>996</v>
      </c>
      <c r="AJ2932">
        <v>34.115209999999998</v>
      </c>
      <c r="AK2932" t="s">
        <v>997</v>
      </c>
      <c r="AL2932">
        <v>-117.055228</v>
      </c>
      <c r="AM2932">
        <v>100</v>
      </c>
      <c r="AN2932">
        <v>6100</v>
      </c>
      <c r="AO2932" t="s">
        <v>118</v>
      </c>
      <c r="AP2932">
        <v>34</v>
      </c>
      <c r="AQ2932">
        <v>-105</v>
      </c>
      <c r="AR2932">
        <v>-896</v>
      </c>
      <c r="AZ2932">
        <v>1200</v>
      </c>
      <c r="BA2932">
        <v>1</v>
      </c>
      <c r="BB2932" t="str">
        <f t="shared" si="1595"/>
        <v xml:space="preserve">N9217B  </v>
      </c>
      <c r="BC2932">
        <v>1</v>
      </c>
      <c r="BE2932">
        <v>0</v>
      </c>
      <c r="BF2932">
        <v>0</v>
      </c>
      <c r="BG2932">
        <v>0</v>
      </c>
      <c r="BH2932">
        <v>6025</v>
      </c>
      <c r="BI2932">
        <v>1</v>
      </c>
      <c r="BJ2932">
        <v>0</v>
      </c>
      <c r="BK2932">
        <v>0</v>
      </c>
      <c r="BL2932">
        <v>0</v>
      </c>
      <c r="BO2932">
        <v>0</v>
      </c>
      <c r="BP2932">
        <v>0</v>
      </c>
      <c r="BW2932" t="str">
        <f t="shared" si="1622"/>
        <v>14:56:14.080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6</v>
      </c>
      <c r="CP2932" t="s">
        <v>119</v>
      </c>
      <c r="CQ2932">
        <v>285</v>
      </c>
      <c r="CR2932">
        <v>3</v>
      </c>
      <c r="CW2932">
        <v>8872581</v>
      </c>
      <c r="CY2932">
        <v>0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25">
      <c r="A2933" t="str">
        <f t="shared" si="1620"/>
        <v>06/05/2020 14:56:08.443</v>
      </c>
      <c r="C2933" t="str">
        <f t="shared" si="1616"/>
        <v>FFDFD3C0</v>
      </c>
      <c r="D2933" t="s">
        <v>113</v>
      </c>
      <c r="E2933">
        <v>3</v>
      </c>
      <c r="H2933">
        <v>166</v>
      </c>
      <c r="I2933" t="s">
        <v>114</v>
      </c>
      <c r="J2933" t="s">
        <v>115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621"/>
        <v>14:56:14.078</v>
      </c>
      <c r="T2933" t="str">
        <f t="shared" si="1621"/>
        <v>14:56:14.078</v>
      </c>
      <c r="U2933" t="str">
        <f t="shared" si="1594"/>
        <v>ACC530</v>
      </c>
      <c r="V2933">
        <v>0</v>
      </c>
      <c r="W2933">
        <v>0</v>
      </c>
      <c r="X2933">
        <v>1</v>
      </c>
      <c r="Z2933">
        <v>0</v>
      </c>
      <c r="AA2933">
        <v>9</v>
      </c>
      <c r="AB2933">
        <v>3</v>
      </c>
      <c r="AC2933">
        <v>0</v>
      </c>
      <c r="AD2933">
        <v>9</v>
      </c>
      <c r="AE2933">
        <v>0</v>
      </c>
      <c r="AF2933">
        <v>3</v>
      </c>
      <c r="AG2933">
        <v>1</v>
      </c>
      <c r="AH2933">
        <v>0</v>
      </c>
      <c r="AI2933" t="s">
        <v>996</v>
      </c>
      <c r="AJ2933">
        <v>34.115209999999998</v>
      </c>
      <c r="AK2933" t="s">
        <v>997</v>
      </c>
      <c r="AL2933">
        <v>-117.055228</v>
      </c>
      <c r="AM2933">
        <v>100</v>
      </c>
      <c r="AN2933">
        <v>6100</v>
      </c>
      <c r="AO2933" t="s">
        <v>118</v>
      </c>
      <c r="AP2933">
        <v>34</v>
      </c>
      <c r="AQ2933">
        <v>-105</v>
      </c>
      <c r="AR2933">
        <v>-896</v>
      </c>
      <c r="AZ2933">
        <v>1200</v>
      </c>
      <c r="BA2933">
        <v>1</v>
      </c>
      <c r="BB2933" t="str">
        <f t="shared" si="1595"/>
        <v xml:space="preserve">N9217B  </v>
      </c>
      <c r="BC2933">
        <v>1</v>
      </c>
      <c r="BE2933">
        <v>0</v>
      </c>
      <c r="BF2933">
        <v>0</v>
      </c>
      <c r="BG2933">
        <v>0</v>
      </c>
      <c r="BH2933">
        <v>6025</v>
      </c>
      <c r="BI2933">
        <v>1</v>
      </c>
      <c r="BJ2933">
        <v>0</v>
      </c>
      <c r="BK2933">
        <v>0</v>
      </c>
      <c r="BL2933">
        <v>0</v>
      </c>
      <c r="BO2933">
        <v>0</v>
      </c>
      <c r="BP2933">
        <v>0</v>
      </c>
      <c r="BW2933" t="str">
        <f t="shared" si="1622"/>
        <v>14:56:14.080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6</v>
      </c>
      <c r="CP2933" t="s">
        <v>119</v>
      </c>
      <c r="CQ2933">
        <v>285</v>
      </c>
      <c r="CR2933">
        <v>3</v>
      </c>
      <c r="CW2933">
        <v>8872581</v>
      </c>
      <c r="CY2933">
        <v>0</v>
      </c>
      <c r="CZ2933">
        <v>0</v>
      </c>
      <c r="DA2933">
        <v>1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25">
      <c r="A2934" t="str">
        <f t="shared" si="1620"/>
        <v>06/05/2020 14:56:08.443</v>
      </c>
      <c r="C2934" t="str">
        <f t="shared" si="1616"/>
        <v>FFDFD3C0</v>
      </c>
      <c r="D2934" t="s">
        <v>148</v>
      </c>
      <c r="E2934">
        <v>8</v>
      </c>
      <c r="H2934">
        <v>50</v>
      </c>
      <c r="I2934" t="s">
        <v>149</v>
      </c>
      <c r="J2934" t="s">
        <v>150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621"/>
        <v>14:56:14.078</v>
      </c>
      <c r="T2934" t="str">
        <f t="shared" si="1621"/>
        <v>14:56:14.078</v>
      </c>
      <c r="U2934" t="str">
        <f t="shared" si="1594"/>
        <v>ACC530</v>
      </c>
      <c r="V2934">
        <v>0</v>
      </c>
      <c r="W2934">
        <v>0</v>
      </c>
      <c r="X2934">
        <v>1</v>
      </c>
      <c r="Z2934">
        <v>0</v>
      </c>
      <c r="AA2934">
        <v>9</v>
      </c>
      <c r="AB2934">
        <v>3</v>
      </c>
      <c r="AC2934">
        <v>0</v>
      </c>
      <c r="AD2934">
        <v>9</v>
      </c>
      <c r="AE2934">
        <v>0</v>
      </c>
      <c r="AF2934">
        <v>3</v>
      </c>
      <c r="AG2934">
        <v>1</v>
      </c>
      <c r="AH2934">
        <v>0</v>
      </c>
      <c r="AI2934" t="s">
        <v>996</v>
      </c>
      <c r="AJ2934">
        <v>34.115209999999998</v>
      </c>
      <c r="AK2934" t="s">
        <v>997</v>
      </c>
      <c r="AL2934">
        <v>-117.055228</v>
      </c>
      <c r="AM2934">
        <v>100</v>
      </c>
      <c r="AN2934">
        <v>6100</v>
      </c>
      <c r="AO2934" t="s">
        <v>118</v>
      </c>
      <c r="AP2934">
        <v>34</v>
      </c>
      <c r="AQ2934">
        <v>-105</v>
      </c>
      <c r="AR2934">
        <v>-896</v>
      </c>
      <c r="AZ2934">
        <v>1200</v>
      </c>
      <c r="BA2934">
        <v>1</v>
      </c>
      <c r="BB2934" t="str">
        <f t="shared" si="1595"/>
        <v xml:space="preserve">N9217B  </v>
      </c>
      <c r="BC2934">
        <v>1</v>
      </c>
      <c r="BE2934">
        <v>0</v>
      </c>
      <c r="BF2934">
        <v>0</v>
      </c>
      <c r="BG2934">
        <v>0</v>
      </c>
      <c r="BH2934">
        <v>6025</v>
      </c>
      <c r="BI2934">
        <v>1</v>
      </c>
      <c r="BJ2934">
        <v>0</v>
      </c>
      <c r="BK2934">
        <v>0</v>
      </c>
      <c r="BL2934">
        <v>0</v>
      </c>
      <c r="BO2934">
        <v>0</v>
      </c>
      <c r="BP2934">
        <v>0</v>
      </c>
      <c r="BW2934" t="str">
        <f t="shared" si="1622"/>
        <v>14:56:14.080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6</v>
      </c>
      <c r="CP2934" t="s">
        <v>119</v>
      </c>
      <c r="CQ2934">
        <v>285</v>
      </c>
      <c r="CR2934">
        <v>3</v>
      </c>
      <c r="CW2934">
        <v>8872581</v>
      </c>
      <c r="CY2934">
        <v>0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25">
      <c r="A2935" t="str">
        <f t="shared" ref="A2935:A2941" si="1623">"06/05/2020 14:56:09.478"</f>
        <v>06/05/2020 14:56:09.478</v>
      </c>
      <c r="C2935" t="str">
        <f t="shared" si="1616"/>
        <v>FFDFD3C0</v>
      </c>
      <c r="D2935" t="s">
        <v>151</v>
      </c>
      <c r="E2935">
        <v>9</v>
      </c>
      <c r="H2935">
        <v>226</v>
      </c>
      <c r="I2935" t="s">
        <v>152</v>
      </c>
      <c r="J2935" t="s">
        <v>150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ref="S2935:S2941" si="1624">"14:56:15.125"</f>
        <v>14:56:15.125</v>
      </c>
      <c r="T2935" t="str">
        <f>"14:56:14.725"</f>
        <v>14:56:14.725</v>
      </c>
      <c r="U2935" t="str">
        <f t="shared" si="1594"/>
        <v>ACC530</v>
      </c>
      <c r="V2935">
        <v>0</v>
      </c>
      <c r="W2935">
        <v>0</v>
      </c>
      <c r="X2935">
        <v>1</v>
      </c>
      <c r="Z2935">
        <v>0</v>
      </c>
      <c r="AA2935">
        <v>9</v>
      </c>
      <c r="AB2935">
        <v>3</v>
      </c>
      <c r="AC2935">
        <v>0</v>
      </c>
      <c r="AD2935">
        <v>9</v>
      </c>
      <c r="AE2935">
        <v>0</v>
      </c>
      <c r="AF2935">
        <v>3</v>
      </c>
      <c r="AG2935">
        <v>1</v>
      </c>
      <c r="AH2935">
        <v>0</v>
      </c>
      <c r="AI2935" t="s">
        <v>998</v>
      </c>
      <c r="AJ2935">
        <v>34.114694999999998</v>
      </c>
      <c r="AK2935" t="s">
        <v>999</v>
      </c>
      <c r="AL2935">
        <v>-117.055035</v>
      </c>
      <c r="AM2935">
        <v>100</v>
      </c>
      <c r="AN2935">
        <v>6100</v>
      </c>
      <c r="AO2935" t="s">
        <v>118</v>
      </c>
      <c r="AP2935">
        <v>34</v>
      </c>
      <c r="AQ2935">
        <v>-105</v>
      </c>
      <c r="AR2935">
        <v>-896</v>
      </c>
      <c r="AZ2935">
        <v>1200</v>
      </c>
      <c r="BA2935">
        <v>1</v>
      </c>
      <c r="BB2935" t="str">
        <f t="shared" si="1595"/>
        <v xml:space="preserve">N9217B  </v>
      </c>
      <c r="BC2935">
        <v>1</v>
      </c>
      <c r="BE2935">
        <v>0</v>
      </c>
      <c r="BF2935">
        <v>0</v>
      </c>
      <c r="BG2935">
        <v>0</v>
      </c>
      <c r="BH2935">
        <v>6000</v>
      </c>
      <c r="BI2935">
        <v>1</v>
      </c>
      <c r="BJ2935">
        <v>0</v>
      </c>
      <c r="BK2935">
        <v>0</v>
      </c>
      <c r="BL2935">
        <v>0</v>
      </c>
      <c r="BO2935">
        <v>0</v>
      </c>
      <c r="BP2935">
        <v>0</v>
      </c>
      <c r="BW2935" t="str">
        <f>"14:56:15.130"</f>
        <v>14:56:15.130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285</v>
      </c>
      <c r="CR2935">
        <v>0</v>
      </c>
      <c r="CW2935">
        <v>8872667</v>
      </c>
      <c r="CY2935">
        <v>0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25">
      <c r="A2936" t="str">
        <f t="shared" si="1623"/>
        <v>06/05/2020 14:56:09.478</v>
      </c>
      <c r="C2936" t="str">
        <f t="shared" si="1616"/>
        <v>FFDFD3C0</v>
      </c>
      <c r="D2936" t="s">
        <v>113</v>
      </c>
      <c r="E2936">
        <v>3</v>
      </c>
      <c r="H2936">
        <v>166</v>
      </c>
      <c r="I2936" t="s">
        <v>114</v>
      </c>
      <c r="J2936" t="s">
        <v>115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624"/>
        <v>14:56:15.125</v>
      </c>
      <c r="T2936" t="str">
        <f t="shared" ref="T2936:T2941" si="1625">"14:56:15.125"</f>
        <v>14:56:15.125</v>
      </c>
      <c r="U2936" t="str">
        <f t="shared" si="1594"/>
        <v>ACC530</v>
      </c>
      <c r="V2936">
        <v>0</v>
      </c>
      <c r="W2936">
        <v>0</v>
      </c>
      <c r="X2936">
        <v>1</v>
      </c>
      <c r="Z2936">
        <v>0</v>
      </c>
      <c r="AA2936">
        <v>9</v>
      </c>
      <c r="AB2936">
        <v>3</v>
      </c>
      <c r="AC2936">
        <v>0</v>
      </c>
      <c r="AD2936">
        <v>9</v>
      </c>
      <c r="AE2936">
        <v>0</v>
      </c>
      <c r="AF2936">
        <v>3</v>
      </c>
      <c r="AG2936">
        <v>1</v>
      </c>
      <c r="AH2936">
        <v>0</v>
      </c>
      <c r="AI2936" t="s">
        <v>998</v>
      </c>
      <c r="AJ2936">
        <v>34.114694999999998</v>
      </c>
      <c r="AK2936" t="s">
        <v>999</v>
      </c>
      <c r="AL2936">
        <v>-117.055035</v>
      </c>
      <c r="AM2936">
        <v>100</v>
      </c>
      <c r="AN2936">
        <v>6100</v>
      </c>
      <c r="AO2936" t="s">
        <v>118</v>
      </c>
      <c r="AP2936">
        <v>35</v>
      </c>
      <c r="AQ2936">
        <v>-105</v>
      </c>
      <c r="AR2936">
        <v>-896</v>
      </c>
      <c r="AZ2936">
        <v>1200</v>
      </c>
      <c r="BA2936">
        <v>1</v>
      </c>
      <c r="BB2936" t="str">
        <f t="shared" si="1595"/>
        <v xml:space="preserve">N9217B  </v>
      </c>
      <c r="BC2936">
        <v>1</v>
      </c>
      <c r="BE2936">
        <v>0</v>
      </c>
      <c r="BF2936">
        <v>0</v>
      </c>
      <c r="BG2936">
        <v>0</v>
      </c>
      <c r="BH2936">
        <v>6000</v>
      </c>
      <c r="BI2936">
        <v>1</v>
      </c>
      <c r="BJ2936">
        <v>0</v>
      </c>
      <c r="BK2936">
        <v>0</v>
      </c>
      <c r="BL2936">
        <v>0</v>
      </c>
      <c r="BO2936">
        <v>0</v>
      </c>
      <c r="BP2936">
        <v>0</v>
      </c>
      <c r="BW2936" t="str">
        <f t="shared" ref="BW2936:BW2941" si="1626">"14:56:15.131"</f>
        <v>14:56:15.131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298</v>
      </c>
      <c r="CR2936">
        <v>0</v>
      </c>
      <c r="CW2936">
        <v>10449400</v>
      </c>
      <c r="CY2936">
        <v>0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25">
      <c r="A2937" t="str">
        <f t="shared" si="1623"/>
        <v>06/05/2020 14:56:09.478</v>
      </c>
      <c r="C2937" t="str">
        <f t="shared" si="1616"/>
        <v>FFDFD3C0</v>
      </c>
      <c r="D2937" t="s">
        <v>148</v>
      </c>
      <c r="E2937">
        <v>8</v>
      </c>
      <c r="H2937">
        <v>50</v>
      </c>
      <c r="I2937" t="s">
        <v>149</v>
      </c>
      <c r="J2937" t="s">
        <v>150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624"/>
        <v>14:56:15.125</v>
      </c>
      <c r="T2937" t="str">
        <f t="shared" si="1625"/>
        <v>14:56:15.125</v>
      </c>
      <c r="U2937" t="str">
        <f t="shared" si="1594"/>
        <v>ACC530</v>
      </c>
      <c r="V2937">
        <v>0</v>
      </c>
      <c r="W2937">
        <v>0</v>
      </c>
      <c r="X2937">
        <v>1</v>
      </c>
      <c r="Z2937">
        <v>0</v>
      </c>
      <c r="AA2937">
        <v>9</v>
      </c>
      <c r="AB2937">
        <v>3</v>
      </c>
      <c r="AC2937">
        <v>0</v>
      </c>
      <c r="AD2937">
        <v>9</v>
      </c>
      <c r="AE2937">
        <v>0</v>
      </c>
      <c r="AF2937">
        <v>3</v>
      </c>
      <c r="AG2937">
        <v>1</v>
      </c>
      <c r="AH2937">
        <v>0</v>
      </c>
      <c r="AI2937" t="s">
        <v>998</v>
      </c>
      <c r="AJ2937">
        <v>34.114694999999998</v>
      </c>
      <c r="AK2937" t="s">
        <v>999</v>
      </c>
      <c r="AL2937">
        <v>-117.055035</v>
      </c>
      <c r="AM2937">
        <v>100</v>
      </c>
      <c r="AN2937">
        <v>6100</v>
      </c>
      <c r="AO2937" t="s">
        <v>118</v>
      </c>
      <c r="AP2937">
        <v>35</v>
      </c>
      <c r="AQ2937">
        <v>-105</v>
      </c>
      <c r="AR2937">
        <v>-896</v>
      </c>
      <c r="AZ2937">
        <v>1200</v>
      </c>
      <c r="BA2937">
        <v>1</v>
      </c>
      <c r="BB2937" t="str">
        <f t="shared" si="1595"/>
        <v xml:space="preserve">N9217B  </v>
      </c>
      <c r="BC2937">
        <v>1</v>
      </c>
      <c r="BE2937">
        <v>0</v>
      </c>
      <c r="BF2937">
        <v>0</v>
      </c>
      <c r="BG2937">
        <v>0</v>
      </c>
      <c r="BH2937">
        <v>6000</v>
      </c>
      <c r="BI2937">
        <v>1</v>
      </c>
      <c r="BJ2937">
        <v>0</v>
      </c>
      <c r="BK2937">
        <v>0</v>
      </c>
      <c r="BL2937">
        <v>0</v>
      </c>
      <c r="BO2937">
        <v>0</v>
      </c>
      <c r="BP2937">
        <v>0</v>
      </c>
      <c r="BW2937" t="str">
        <f t="shared" si="1626"/>
        <v>14:56:15.131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298</v>
      </c>
      <c r="CR2937">
        <v>0</v>
      </c>
      <c r="CW2937">
        <v>10449400</v>
      </c>
      <c r="CY2937">
        <v>0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25">
      <c r="A2938" t="str">
        <f t="shared" si="1623"/>
        <v>06/05/2020 14:56:09.478</v>
      </c>
      <c r="C2938" t="str">
        <f t="shared" si="1616"/>
        <v>FFDFD3C0</v>
      </c>
      <c r="D2938" t="s">
        <v>134</v>
      </c>
      <c r="E2938">
        <v>7</v>
      </c>
      <c r="F2938">
        <v>2007</v>
      </c>
      <c r="G2938" t="s">
        <v>135</v>
      </c>
      <c r="J2938" t="s">
        <v>136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si="1624"/>
        <v>14:56:15.125</v>
      </c>
      <c r="T2938" t="str">
        <f t="shared" si="1625"/>
        <v>14:56:15.125</v>
      </c>
      <c r="U2938" t="str">
        <f t="shared" si="1594"/>
        <v>ACC530</v>
      </c>
      <c r="V2938">
        <v>0</v>
      </c>
      <c r="W2938">
        <v>0</v>
      </c>
      <c r="X2938">
        <v>1</v>
      </c>
      <c r="Z2938">
        <v>0</v>
      </c>
      <c r="AA2938">
        <v>9</v>
      </c>
      <c r="AB2938">
        <v>3</v>
      </c>
      <c r="AC2938">
        <v>0</v>
      </c>
      <c r="AD2938">
        <v>9</v>
      </c>
      <c r="AE2938">
        <v>0</v>
      </c>
      <c r="AF2938">
        <v>3</v>
      </c>
      <c r="AG2938">
        <v>1</v>
      </c>
      <c r="AH2938">
        <v>0</v>
      </c>
      <c r="AI2938" t="s">
        <v>998</v>
      </c>
      <c r="AJ2938">
        <v>34.114694999999998</v>
      </c>
      <c r="AK2938" t="s">
        <v>999</v>
      </c>
      <c r="AL2938">
        <v>-117.055035</v>
      </c>
      <c r="AM2938">
        <v>100</v>
      </c>
      <c r="AN2938">
        <v>6100</v>
      </c>
      <c r="AO2938" t="s">
        <v>118</v>
      </c>
      <c r="AP2938">
        <v>35</v>
      </c>
      <c r="AQ2938">
        <v>-105</v>
      </c>
      <c r="AR2938">
        <v>-896</v>
      </c>
      <c r="AZ2938">
        <v>1200</v>
      </c>
      <c r="BA2938">
        <v>1</v>
      </c>
      <c r="BB2938" t="str">
        <f t="shared" si="1595"/>
        <v xml:space="preserve">N9217B  </v>
      </c>
      <c r="BC2938">
        <v>1</v>
      </c>
      <c r="BE2938">
        <v>0</v>
      </c>
      <c r="BF2938">
        <v>0</v>
      </c>
      <c r="BG2938">
        <v>0</v>
      </c>
      <c r="BH2938">
        <v>6000</v>
      </c>
      <c r="BI2938">
        <v>1</v>
      </c>
      <c r="BJ2938">
        <v>0</v>
      </c>
      <c r="BK2938">
        <v>0</v>
      </c>
      <c r="BL2938">
        <v>0</v>
      </c>
      <c r="BO2938">
        <v>0</v>
      </c>
      <c r="BP2938">
        <v>0</v>
      </c>
      <c r="BW2938" t="str">
        <f t="shared" si="1626"/>
        <v>14:56:15.131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119</v>
      </c>
      <c r="CQ2938">
        <v>298</v>
      </c>
      <c r="CR2938">
        <v>0</v>
      </c>
      <c r="CW2938">
        <v>10449400</v>
      </c>
      <c r="CY2938">
        <v>0</v>
      </c>
      <c r="CZ2938">
        <v>0</v>
      </c>
      <c r="DA2938">
        <v>1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25">
      <c r="A2939" t="str">
        <f t="shared" si="1623"/>
        <v>06/05/2020 14:56:09.478</v>
      </c>
      <c r="C2939" t="str">
        <f t="shared" si="1616"/>
        <v>FFDFD3C0</v>
      </c>
      <c r="D2939" t="s">
        <v>148</v>
      </c>
      <c r="E2939">
        <v>11</v>
      </c>
      <c r="H2939">
        <v>53</v>
      </c>
      <c r="I2939" t="s">
        <v>364</v>
      </c>
      <c r="J2939" t="s">
        <v>150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624"/>
        <v>14:56:15.125</v>
      </c>
      <c r="T2939" t="str">
        <f t="shared" si="1625"/>
        <v>14:56:15.125</v>
      </c>
      <c r="U2939" t="str">
        <f t="shared" si="1594"/>
        <v>ACC530</v>
      </c>
      <c r="V2939">
        <v>0</v>
      </c>
      <c r="W2939">
        <v>0</v>
      </c>
      <c r="X2939">
        <v>1</v>
      </c>
      <c r="Z2939">
        <v>0</v>
      </c>
      <c r="AA2939">
        <v>9</v>
      </c>
      <c r="AB2939">
        <v>3</v>
      </c>
      <c r="AC2939">
        <v>0</v>
      </c>
      <c r="AD2939">
        <v>9</v>
      </c>
      <c r="AE2939">
        <v>0</v>
      </c>
      <c r="AF2939">
        <v>3</v>
      </c>
      <c r="AG2939">
        <v>1</v>
      </c>
      <c r="AH2939">
        <v>0</v>
      </c>
      <c r="AI2939" t="s">
        <v>998</v>
      </c>
      <c r="AJ2939">
        <v>34.114694999999998</v>
      </c>
      <c r="AK2939" t="s">
        <v>999</v>
      </c>
      <c r="AL2939">
        <v>-117.055035</v>
      </c>
      <c r="AM2939">
        <v>100</v>
      </c>
      <c r="AN2939">
        <v>6100</v>
      </c>
      <c r="AO2939" t="s">
        <v>118</v>
      </c>
      <c r="AP2939">
        <v>35</v>
      </c>
      <c r="AQ2939">
        <v>-105</v>
      </c>
      <c r="AR2939">
        <v>-896</v>
      </c>
      <c r="AZ2939">
        <v>1200</v>
      </c>
      <c r="BA2939">
        <v>1</v>
      </c>
      <c r="BB2939" t="str">
        <f t="shared" si="1595"/>
        <v xml:space="preserve">N9217B  </v>
      </c>
      <c r="BC2939">
        <v>1</v>
      </c>
      <c r="BE2939">
        <v>0</v>
      </c>
      <c r="BF2939">
        <v>0</v>
      </c>
      <c r="BG2939">
        <v>0</v>
      </c>
      <c r="BH2939">
        <v>6000</v>
      </c>
      <c r="BI2939">
        <v>1</v>
      </c>
      <c r="BJ2939">
        <v>0</v>
      </c>
      <c r="BK2939">
        <v>0</v>
      </c>
      <c r="BL2939">
        <v>0</v>
      </c>
      <c r="BO2939">
        <v>0</v>
      </c>
      <c r="BP2939">
        <v>0</v>
      </c>
      <c r="BW2939" t="str">
        <f t="shared" si="1626"/>
        <v>14:56:15.131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7</v>
      </c>
      <c r="CP2939" t="s">
        <v>119</v>
      </c>
      <c r="CQ2939">
        <v>298</v>
      </c>
      <c r="CR2939">
        <v>0</v>
      </c>
      <c r="CW2939">
        <v>10449400</v>
      </c>
      <c r="CY2939">
        <v>0</v>
      </c>
      <c r="CZ2939">
        <v>0</v>
      </c>
      <c r="DA2939">
        <v>1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25">
      <c r="A2940" t="str">
        <f t="shared" si="1623"/>
        <v>06/05/2020 14:56:09.478</v>
      </c>
      <c r="C2940" t="str">
        <f t="shared" si="1616"/>
        <v>FFDFD3C0</v>
      </c>
      <c r="D2940" t="s">
        <v>151</v>
      </c>
      <c r="E2940">
        <v>8</v>
      </c>
      <c r="H2940">
        <v>225</v>
      </c>
      <c r="I2940" t="s">
        <v>353</v>
      </c>
      <c r="J2940" t="s">
        <v>150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624"/>
        <v>14:56:15.125</v>
      </c>
      <c r="T2940" t="str">
        <f t="shared" si="1625"/>
        <v>14:56:15.125</v>
      </c>
      <c r="U2940" t="str">
        <f t="shared" si="1594"/>
        <v>ACC530</v>
      </c>
      <c r="V2940">
        <v>0</v>
      </c>
      <c r="W2940">
        <v>0</v>
      </c>
      <c r="X2940">
        <v>1</v>
      </c>
      <c r="Z2940">
        <v>0</v>
      </c>
      <c r="AA2940">
        <v>9</v>
      </c>
      <c r="AB2940">
        <v>3</v>
      </c>
      <c r="AC2940">
        <v>0</v>
      </c>
      <c r="AD2940">
        <v>9</v>
      </c>
      <c r="AE2940">
        <v>0</v>
      </c>
      <c r="AF2940">
        <v>3</v>
      </c>
      <c r="AG2940">
        <v>1</v>
      </c>
      <c r="AH2940">
        <v>0</v>
      </c>
      <c r="AI2940" t="s">
        <v>998</v>
      </c>
      <c r="AJ2940">
        <v>34.114694999999998</v>
      </c>
      <c r="AK2940" t="s">
        <v>999</v>
      </c>
      <c r="AL2940">
        <v>-117.055035</v>
      </c>
      <c r="AM2940">
        <v>100</v>
      </c>
      <c r="AN2940">
        <v>6100</v>
      </c>
      <c r="AO2940" t="s">
        <v>118</v>
      </c>
      <c r="AP2940">
        <v>35</v>
      </c>
      <c r="AQ2940">
        <v>-105</v>
      </c>
      <c r="AR2940">
        <v>-896</v>
      </c>
      <c r="AZ2940">
        <v>1200</v>
      </c>
      <c r="BA2940">
        <v>1</v>
      </c>
      <c r="BB2940" t="str">
        <f t="shared" si="1595"/>
        <v xml:space="preserve">N9217B  </v>
      </c>
      <c r="BC2940">
        <v>1</v>
      </c>
      <c r="BE2940">
        <v>0</v>
      </c>
      <c r="BF2940">
        <v>0</v>
      </c>
      <c r="BG2940">
        <v>0</v>
      </c>
      <c r="BH2940">
        <v>6000</v>
      </c>
      <c r="BI2940">
        <v>1</v>
      </c>
      <c r="BJ2940">
        <v>0</v>
      </c>
      <c r="BK2940">
        <v>0</v>
      </c>
      <c r="BL2940">
        <v>0</v>
      </c>
      <c r="BO2940">
        <v>0</v>
      </c>
      <c r="BP2940">
        <v>0</v>
      </c>
      <c r="BW2940" t="str">
        <f t="shared" si="1626"/>
        <v>14:56:15.131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7</v>
      </c>
      <c r="CP2940" t="s">
        <v>119</v>
      </c>
      <c r="CQ2940">
        <v>298</v>
      </c>
      <c r="CR2940">
        <v>0</v>
      </c>
      <c r="CW2940">
        <v>10449400</v>
      </c>
      <c r="CY2940">
        <v>0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25">
      <c r="A2941" t="str">
        <f t="shared" si="1623"/>
        <v>06/05/2020 14:56:09.478</v>
      </c>
      <c r="C2941" t="str">
        <f t="shared" si="1616"/>
        <v>FFDFD3C0</v>
      </c>
      <c r="D2941" t="s">
        <v>141</v>
      </c>
      <c r="E2941">
        <v>20</v>
      </c>
      <c r="F2941">
        <v>1020</v>
      </c>
      <c r="G2941" t="s">
        <v>114</v>
      </c>
      <c r="J2941" t="s">
        <v>142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624"/>
        <v>14:56:15.125</v>
      </c>
      <c r="T2941" t="str">
        <f t="shared" si="1625"/>
        <v>14:56:15.125</v>
      </c>
      <c r="U2941" t="str">
        <f t="shared" si="1594"/>
        <v>ACC530</v>
      </c>
      <c r="V2941">
        <v>0</v>
      </c>
      <c r="W2941">
        <v>0</v>
      </c>
      <c r="X2941">
        <v>1</v>
      </c>
      <c r="Z2941">
        <v>0</v>
      </c>
      <c r="AA2941">
        <v>9</v>
      </c>
      <c r="AB2941">
        <v>3</v>
      </c>
      <c r="AC2941">
        <v>0</v>
      </c>
      <c r="AD2941">
        <v>9</v>
      </c>
      <c r="AE2941">
        <v>0</v>
      </c>
      <c r="AF2941">
        <v>3</v>
      </c>
      <c r="AG2941">
        <v>1</v>
      </c>
      <c r="AH2941">
        <v>0</v>
      </c>
      <c r="AI2941" t="s">
        <v>998</v>
      </c>
      <c r="AJ2941">
        <v>34.114694999999998</v>
      </c>
      <c r="AK2941" t="s">
        <v>999</v>
      </c>
      <c r="AL2941">
        <v>-117.055035</v>
      </c>
      <c r="AM2941">
        <v>100</v>
      </c>
      <c r="AN2941">
        <v>6100</v>
      </c>
      <c r="AO2941" t="s">
        <v>118</v>
      </c>
      <c r="AP2941">
        <v>35</v>
      </c>
      <c r="AQ2941">
        <v>-105</v>
      </c>
      <c r="AR2941">
        <v>-896</v>
      </c>
      <c r="AZ2941">
        <v>1200</v>
      </c>
      <c r="BA2941">
        <v>1</v>
      </c>
      <c r="BB2941" t="str">
        <f t="shared" si="1595"/>
        <v xml:space="preserve">N9217B  </v>
      </c>
      <c r="BC2941">
        <v>1</v>
      </c>
      <c r="BE2941">
        <v>0</v>
      </c>
      <c r="BF2941">
        <v>0</v>
      </c>
      <c r="BG2941">
        <v>0</v>
      </c>
      <c r="BH2941">
        <v>6000</v>
      </c>
      <c r="BI2941">
        <v>1</v>
      </c>
      <c r="BJ2941">
        <v>0</v>
      </c>
      <c r="BK2941">
        <v>0</v>
      </c>
      <c r="BL2941">
        <v>0</v>
      </c>
      <c r="BO2941">
        <v>0</v>
      </c>
      <c r="BP2941">
        <v>0</v>
      </c>
      <c r="BW2941" t="str">
        <f t="shared" si="1626"/>
        <v>14:56:15.131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7</v>
      </c>
      <c r="CP2941" t="s">
        <v>119</v>
      </c>
      <c r="CQ2941">
        <v>298</v>
      </c>
      <c r="CR2941">
        <v>0</v>
      </c>
      <c r="CW2941">
        <v>10449400</v>
      </c>
      <c r="CY2941">
        <v>0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25">
      <c r="A2942" t="str">
        <f t="shared" ref="A2942:A2947" si="1627">"06/05/2020 14:56:10.389"</f>
        <v>06/05/2020 14:56:10.389</v>
      </c>
      <c r="C2942" t="str">
        <f t="shared" si="1616"/>
        <v>FFDFD3C0</v>
      </c>
      <c r="D2942" t="s">
        <v>113</v>
      </c>
      <c r="E2942">
        <v>3</v>
      </c>
      <c r="H2942">
        <v>166</v>
      </c>
      <c r="I2942" t="s">
        <v>114</v>
      </c>
      <c r="J2942" t="s">
        <v>115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ref="S2942:S2947" si="1628">"14:56:16.023"</f>
        <v>14:56:16.023</v>
      </c>
      <c r="T2942" t="str">
        <f t="shared" ref="T2942:T2947" si="1629">"14:56:15.723"</f>
        <v>14:56:15.723</v>
      </c>
      <c r="U2942" t="str">
        <f t="shared" si="1594"/>
        <v>ACC530</v>
      </c>
      <c r="V2942">
        <v>0</v>
      </c>
      <c r="W2942">
        <v>0</v>
      </c>
      <c r="X2942">
        <v>1</v>
      </c>
      <c r="Z2942">
        <v>0</v>
      </c>
      <c r="AA2942">
        <v>9</v>
      </c>
      <c r="AB2942">
        <v>3</v>
      </c>
      <c r="AC2942">
        <v>0</v>
      </c>
      <c r="AD2942">
        <v>9</v>
      </c>
      <c r="AE2942">
        <v>0</v>
      </c>
      <c r="AF2942">
        <v>3</v>
      </c>
      <c r="AG2942">
        <v>1</v>
      </c>
      <c r="AH2942">
        <v>0</v>
      </c>
      <c r="AI2942" t="s">
        <v>1000</v>
      </c>
      <c r="AJ2942">
        <v>34.114243999999999</v>
      </c>
      <c r="AK2942" t="s">
        <v>1001</v>
      </c>
      <c r="AL2942">
        <v>-117.05484199999999</v>
      </c>
      <c r="AM2942">
        <v>100</v>
      </c>
      <c r="AN2942">
        <v>6100</v>
      </c>
      <c r="AO2942" t="s">
        <v>118</v>
      </c>
      <c r="AP2942">
        <v>36</v>
      </c>
      <c r="AQ2942">
        <v>-105</v>
      </c>
      <c r="AR2942">
        <v>-768</v>
      </c>
      <c r="AZ2942">
        <v>1200</v>
      </c>
      <c r="BA2942">
        <v>1</v>
      </c>
      <c r="BB2942" t="str">
        <f t="shared" si="1595"/>
        <v xml:space="preserve">N9217B  </v>
      </c>
      <c r="BC2942">
        <v>1</v>
      </c>
      <c r="BE2942">
        <v>0</v>
      </c>
      <c r="BF2942">
        <v>0</v>
      </c>
      <c r="BG2942">
        <v>0</v>
      </c>
      <c r="BH2942">
        <v>6000</v>
      </c>
      <c r="BI2942">
        <v>1</v>
      </c>
      <c r="BJ2942">
        <v>0</v>
      </c>
      <c r="BK2942">
        <v>0</v>
      </c>
      <c r="BL2942">
        <v>0</v>
      </c>
      <c r="BO2942">
        <v>0</v>
      </c>
      <c r="BP2942">
        <v>0</v>
      </c>
      <c r="BW2942" t="str">
        <f t="shared" ref="BW2942:BW2947" si="1630">"14:56:16.030"</f>
        <v>14:56:16.030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6</v>
      </c>
      <c r="CP2942" t="s">
        <v>119</v>
      </c>
      <c r="CQ2942">
        <v>298</v>
      </c>
      <c r="CR2942">
        <v>0</v>
      </c>
      <c r="CW2942">
        <v>10449522</v>
      </c>
      <c r="CY2942">
        <v>0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25">
      <c r="A2943" t="str">
        <f t="shared" si="1627"/>
        <v>06/05/2020 14:56:10.389</v>
      </c>
      <c r="C2943" t="str">
        <f t="shared" si="1616"/>
        <v>FFDFD3C0</v>
      </c>
      <c r="D2943" t="s">
        <v>148</v>
      </c>
      <c r="E2943">
        <v>8</v>
      </c>
      <c r="H2943">
        <v>50</v>
      </c>
      <c r="I2943" t="s">
        <v>149</v>
      </c>
      <c r="J2943" t="s">
        <v>150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628"/>
        <v>14:56:16.023</v>
      </c>
      <c r="T2943" t="str">
        <f t="shared" si="1629"/>
        <v>14:56:15.723</v>
      </c>
      <c r="U2943" t="str">
        <f t="shared" si="1594"/>
        <v>ACC530</v>
      </c>
      <c r="V2943">
        <v>0</v>
      </c>
      <c r="W2943">
        <v>0</v>
      </c>
      <c r="X2943">
        <v>1</v>
      </c>
      <c r="Z2943">
        <v>0</v>
      </c>
      <c r="AA2943">
        <v>9</v>
      </c>
      <c r="AB2943">
        <v>3</v>
      </c>
      <c r="AC2943">
        <v>0</v>
      </c>
      <c r="AD2943">
        <v>9</v>
      </c>
      <c r="AE2943">
        <v>0</v>
      </c>
      <c r="AF2943">
        <v>3</v>
      </c>
      <c r="AG2943">
        <v>1</v>
      </c>
      <c r="AH2943">
        <v>0</v>
      </c>
      <c r="AI2943" t="s">
        <v>1000</v>
      </c>
      <c r="AJ2943">
        <v>34.114243999999999</v>
      </c>
      <c r="AK2943" t="s">
        <v>1001</v>
      </c>
      <c r="AL2943">
        <v>-117.05484199999999</v>
      </c>
      <c r="AM2943">
        <v>100</v>
      </c>
      <c r="AN2943">
        <v>6100</v>
      </c>
      <c r="AO2943" t="s">
        <v>118</v>
      </c>
      <c r="AP2943">
        <v>36</v>
      </c>
      <c r="AQ2943">
        <v>-105</v>
      </c>
      <c r="AR2943">
        <v>-768</v>
      </c>
      <c r="AZ2943">
        <v>1200</v>
      </c>
      <c r="BA2943">
        <v>1</v>
      </c>
      <c r="BB2943" t="str">
        <f t="shared" si="1595"/>
        <v xml:space="preserve">N9217B  </v>
      </c>
      <c r="BC2943">
        <v>1</v>
      </c>
      <c r="BE2943">
        <v>0</v>
      </c>
      <c r="BF2943">
        <v>0</v>
      </c>
      <c r="BG2943">
        <v>0</v>
      </c>
      <c r="BH2943">
        <v>6000</v>
      </c>
      <c r="BI2943">
        <v>1</v>
      </c>
      <c r="BJ2943">
        <v>0</v>
      </c>
      <c r="BK2943">
        <v>0</v>
      </c>
      <c r="BL2943">
        <v>0</v>
      </c>
      <c r="BO2943">
        <v>0</v>
      </c>
      <c r="BP2943">
        <v>0</v>
      </c>
      <c r="BW2943" t="str">
        <f t="shared" si="1630"/>
        <v>14:56:16.030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6</v>
      </c>
      <c r="CP2943" t="s">
        <v>119</v>
      </c>
      <c r="CQ2943">
        <v>298</v>
      </c>
      <c r="CR2943">
        <v>0</v>
      </c>
      <c r="CW2943">
        <v>10449522</v>
      </c>
      <c r="CY2943">
        <v>0</v>
      </c>
      <c r="CZ2943">
        <v>0</v>
      </c>
      <c r="DA2943">
        <v>1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25">
      <c r="A2944" t="str">
        <f t="shared" si="1627"/>
        <v>06/05/2020 14:56:10.389</v>
      </c>
      <c r="C2944" t="str">
        <f t="shared" si="1616"/>
        <v>FFDFD3C0</v>
      </c>
      <c r="D2944" t="s">
        <v>134</v>
      </c>
      <c r="E2944">
        <v>7</v>
      </c>
      <c r="F2944">
        <v>2007</v>
      </c>
      <c r="G2944" t="s">
        <v>135</v>
      </c>
      <c r="J2944" t="s">
        <v>136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628"/>
        <v>14:56:16.023</v>
      </c>
      <c r="T2944" t="str">
        <f t="shared" si="1629"/>
        <v>14:56:15.723</v>
      </c>
      <c r="U2944" t="str">
        <f t="shared" si="1594"/>
        <v>ACC530</v>
      </c>
      <c r="V2944">
        <v>0</v>
      </c>
      <c r="W2944">
        <v>0</v>
      </c>
      <c r="X2944">
        <v>1</v>
      </c>
      <c r="Z2944">
        <v>0</v>
      </c>
      <c r="AA2944">
        <v>9</v>
      </c>
      <c r="AB2944">
        <v>3</v>
      </c>
      <c r="AC2944">
        <v>0</v>
      </c>
      <c r="AD2944">
        <v>9</v>
      </c>
      <c r="AE2944">
        <v>0</v>
      </c>
      <c r="AF2944">
        <v>3</v>
      </c>
      <c r="AG2944">
        <v>1</v>
      </c>
      <c r="AH2944">
        <v>0</v>
      </c>
      <c r="AI2944" t="s">
        <v>1000</v>
      </c>
      <c r="AJ2944">
        <v>34.114243999999999</v>
      </c>
      <c r="AK2944" t="s">
        <v>1001</v>
      </c>
      <c r="AL2944">
        <v>-117.05484199999999</v>
      </c>
      <c r="AM2944">
        <v>100</v>
      </c>
      <c r="AN2944">
        <v>6100</v>
      </c>
      <c r="AO2944" t="s">
        <v>118</v>
      </c>
      <c r="AP2944">
        <v>36</v>
      </c>
      <c r="AQ2944">
        <v>-105</v>
      </c>
      <c r="AR2944">
        <v>-768</v>
      </c>
      <c r="AZ2944">
        <v>1200</v>
      </c>
      <c r="BA2944">
        <v>1</v>
      </c>
      <c r="BB2944" t="str">
        <f t="shared" si="1595"/>
        <v xml:space="preserve">N9217B  </v>
      </c>
      <c r="BC2944">
        <v>1</v>
      </c>
      <c r="BE2944">
        <v>0</v>
      </c>
      <c r="BF2944">
        <v>0</v>
      </c>
      <c r="BG2944">
        <v>0</v>
      </c>
      <c r="BH2944">
        <v>6000</v>
      </c>
      <c r="BI2944">
        <v>1</v>
      </c>
      <c r="BJ2944">
        <v>0</v>
      </c>
      <c r="BK2944">
        <v>0</v>
      </c>
      <c r="BL2944">
        <v>0</v>
      </c>
      <c r="BO2944">
        <v>0</v>
      </c>
      <c r="BP2944">
        <v>0</v>
      </c>
      <c r="BW2944" t="str">
        <f t="shared" si="1630"/>
        <v>14:56:16.030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6</v>
      </c>
      <c r="CP2944" t="s">
        <v>119</v>
      </c>
      <c r="CQ2944">
        <v>298</v>
      </c>
      <c r="CR2944">
        <v>0</v>
      </c>
      <c r="CW2944">
        <v>10449522</v>
      </c>
      <c r="CY2944">
        <v>0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25">
      <c r="A2945" t="str">
        <f t="shared" si="1627"/>
        <v>06/05/2020 14:56:10.389</v>
      </c>
      <c r="C2945" t="str">
        <f t="shared" si="1616"/>
        <v>FFDFD3C0</v>
      </c>
      <c r="D2945" t="s">
        <v>148</v>
      </c>
      <c r="E2945">
        <v>11</v>
      </c>
      <c r="H2945">
        <v>53</v>
      </c>
      <c r="I2945" t="s">
        <v>364</v>
      </c>
      <c r="J2945" t="s">
        <v>150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si="1628"/>
        <v>14:56:16.023</v>
      </c>
      <c r="T2945" t="str">
        <f t="shared" si="1629"/>
        <v>14:56:15.723</v>
      </c>
      <c r="U2945" t="str">
        <f t="shared" si="1594"/>
        <v>ACC530</v>
      </c>
      <c r="V2945">
        <v>0</v>
      </c>
      <c r="W2945">
        <v>0</v>
      </c>
      <c r="X2945">
        <v>1</v>
      </c>
      <c r="Z2945">
        <v>0</v>
      </c>
      <c r="AA2945">
        <v>9</v>
      </c>
      <c r="AB2945">
        <v>3</v>
      </c>
      <c r="AC2945">
        <v>0</v>
      </c>
      <c r="AD2945">
        <v>9</v>
      </c>
      <c r="AE2945">
        <v>0</v>
      </c>
      <c r="AF2945">
        <v>3</v>
      </c>
      <c r="AG2945">
        <v>1</v>
      </c>
      <c r="AH2945">
        <v>0</v>
      </c>
      <c r="AI2945" t="s">
        <v>1000</v>
      </c>
      <c r="AJ2945">
        <v>34.114243999999999</v>
      </c>
      <c r="AK2945" t="s">
        <v>1001</v>
      </c>
      <c r="AL2945">
        <v>-117.05484199999999</v>
      </c>
      <c r="AM2945">
        <v>100</v>
      </c>
      <c r="AN2945">
        <v>6100</v>
      </c>
      <c r="AO2945" t="s">
        <v>118</v>
      </c>
      <c r="AP2945">
        <v>36</v>
      </c>
      <c r="AQ2945">
        <v>-105</v>
      </c>
      <c r="AR2945">
        <v>-768</v>
      </c>
      <c r="AZ2945">
        <v>1200</v>
      </c>
      <c r="BA2945">
        <v>1</v>
      </c>
      <c r="BB2945" t="str">
        <f t="shared" si="1595"/>
        <v xml:space="preserve">N9217B  </v>
      </c>
      <c r="BC2945">
        <v>1</v>
      </c>
      <c r="BE2945">
        <v>0</v>
      </c>
      <c r="BF2945">
        <v>0</v>
      </c>
      <c r="BG2945">
        <v>0</v>
      </c>
      <c r="BH2945">
        <v>6000</v>
      </c>
      <c r="BI2945">
        <v>1</v>
      </c>
      <c r="BJ2945">
        <v>0</v>
      </c>
      <c r="BK2945">
        <v>0</v>
      </c>
      <c r="BL2945">
        <v>0</v>
      </c>
      <c r="BO2945">
        <v>0</v>
      </c>
      <c r="BP2945">
        <v>0</v>
      </c>
      <c r="BW2945" t="str">
        <f t="shared" si="1630"/>
        <v>14:56:16.030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6</v>
      </c>
      <c r="CP2945" t="s">
        <v>119</v>
      </c>
      <c r="CQ2945">
        <v>298</v>
      </c>
      <c r="CR2945">
        <v>0</v>
      </c>
      <c r="CW2945">
        <v>10449522</v>
      </c>
      <c r="CY2945">
        <v>0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25">
      <c r="A2946" t="str">
        <f t="shared" si="1627"/>
        <v>06/05/2020 14:56:10.389</v>
      </c>
      <c r="C2946" t="str">
        <f t="shared" si="1616"/>
        <v>FFDFD3C0</v>
      </c>
      <c r="D2946" t="s">
        <v>151</v>
      </c>
      <c r="E2946">
        <v>8</v>
      </c>
      <c r="H2946">
        <v>225</v>
      </c>
      <c r="I2946" t="s">
        <v>353</v>
      </c>
      <c r="J2946" t="s">
        <v>150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628"/>
        <v>14:56:16.023</v>
      </c>
      <c r="T2946" t="str">
        <f t="shared" si="1629"/>
        <v>14:56:15.723</v>
      </c>
      <c r="U2946" t="str">
        <f t="shared" ref="U2946:U3009" si="1631">"ACC530"</f>
        <v>ACC530</v>
      </c>
      <c r="V2946">
        <v>0</v>
      </c>
      <c r="W2946">
        <v>0</v>
      </c>
      <c r="X2946">
        <v>1</v>
      </c>
      <c r="Z2946">
        <v>0</v>
      </c>
      <c r="AA2946">
        <v>9</v>
      </c>
      <c r="AB2946">
        <v>3</v>
      </c>
      <c r="AC2946">
        <v>0</v>
      </c>
      <c r="AD2946">
        <v>9</v>
      </c>
      <c r="AE2946">
        <v>0</v>
      </c>
      <c r="AF2946">
        <v>3</v>
      </c>
      <c r="AG2946">
        <v>1</v>
      </c>
      <c r="AH2946">
        <v>0</v>
      </c>
      <c r="AI2946" t="s">
        <v>1000</v>
      </c>
      <c r="AJ2946">
        <v>34.114243999999999</v>
      </c>
      <c r="AK2946" t="s">
        <v>1001</v>
      </c>
      <c r="AL2946">
        <v>-117.05484199999999</v>
      </c>
      <c r="AM2946">
        <v>100</v>
      </c>
      <c r="AN2946">
        <v>6100</v>
      </c>
      <c r="AO2946" t="s">
        <v>118</v>
      </c>
      <c r="AP2946">
        <v>36</v>
      </c>
      <c r="AQ2946">
        <v>-105</v>
      </c>
      <c r="AR2946">
        <v>-768</v>
      </c>
      <c r="AZ2946">
        <v>1200</v>
      </c>
      <c r="BA2946">
        <v>1</v>
      </c>
      <c r="BB2946" t="str">
        <f t="shared" si="1595"/>
        <v xml:space="preserve">N9217B  </v>
      </c>
      <c r="BC2946">
        <v>1</v>
      </c>
      <c r="BE2946">
        <v>0</v>
      </c>
      <c r="BF2946">
        <v>0</v>
      </c>
      <c r="BG2946">
        <v>0</v>
      </c>
      <c r="BH2946">
        <v>6000</v>
      </c>
      <c r="BI2946">
        <v>1</v>
      </c>
      <c r="BJ2946">
        <v>0</v>
      </c>
      <c r="BK2946">
        <v>0</v>
      </c>
      <c r="BL2946">
        <v>0</v>
      </c>
      <c r="BO2946">
        <v>0</v>
      </c>
      <c r="BP2946">
        <v>0</v>
      </c>
      <c r="BW2946" t="str">
        <f t="shared" si="1630"/>
        <v>14:56:16.030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6</v>
      </c>
      <c r="CP2946" t="s">
        <v>119</v>
      </c>
      <c r="CQ2946">
        <v>298</v>
      </c>
      <c r="CR2946">
        <v>0</v>
      </c>
      <c r="CW2946">
        <v>10449522</v>
      </c>
      <c r="CY2946">
        <v>0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25">
      <c r="A2947" t="str">
        <f t="shared" si="1627"/>
        <v>06/05/2020 14:56:10.389</v>
      </c>
      <c r="C2947" t="str">
        <f t="shared" si="1616"/>
        <v>FFDFD3C0</v>
      </c>
      <c r="D2947" t="s">
        <v>141</v>
      </c>
      <c r="E2947">
        <v>20</v>
      </c>
      <c r="F2947">
        <v>1020</v>
      </c>
      <c r="G2947" t="s">
        <v>114</v>
      </c>
      <c r="J2947" t="s">
        <v>142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628"/>
        <v>14:56:16.023</v>
      </c>
      <c r="T2947" t="str">
        <f t="shared" si="1629"/>
        <v>14:56:15.723</v>
      </c>
      <c r="U2947" t="str">
        <f t="shared" si="1631"/>
        <v>ACC530</v>
      </c>
      <c r="V2947">
        <v>0</v>
      </c>
      <c r="W2947">
        <v>0</v>
      </c>
      <c r="X2947">
        <v>1</v>
      </c>
      <c r="Z2947">
        <v>0</v>
      </c>
      <c r="AA2947">
        <v>9</v>
      </c>
      <c r="AB2947">
        <v>3</v>
      </c>
      <c r="AC2947">
        <v>0</v>
      </c>
      <c r="AD2947">
        <v>9</v>
      </c>
      <c r="AE2947">
        <v>0</v>
      </c>
      <c r="AF2947">
        <v>3</v>
      </c>
      <c r="AG2947">
        <v>1</v>
      </c>
      <c r="AH2947">
        <v>0</v>
      </c>
      <c r="AI2947" t="s">
        <v>1000</v>
      </c>
      <c r="AJ2947">
        <v>34.114243999999999</v>
      </c>
      <c r="AK2947" t="s">
        <v>1001</v>
      </c>
      <c r="AL2947">
        <v>-117.05484199999999</v>
      </c>
      <c r="AM2947">
        <v>100</v>
      </c>
      <c r="AN2947">
        <v>6100</v>
      </c>
      <c r="AO2947" t="s">
        <v>118</v>
      </c>
      <c r="AP2947">
        <v>36</v>
      </c>
      <c r="AQ2947">
        <v>-105</v>
      </c>
      <c r="AR2947">
        <v>-768</v>
      </c>
      <c r="AZ2947">
        <v>1200</v>
      </c>
      <c r="BA2947">
        <v>1</v>
      </c>
      <c r="BB2947" t="str">
        <f t="shared" si="1595"/>
        <v xml:space="preserve">N9217B  </v>
      </c>
      <c r="BC2947">
        <v>1</v>
      </c>
      <c r="BE2947">
        <v>0</v>
      </c>
      <c r="BF2947">
        <v>0</v>
      </c>
      <c r="BG2947">
        <v>0</v>
      </c>
      <c r="BH2947">
        <v>6000</v>
      </c>
      <c r="BI2947">
        <v>1</v>
      </c>
      <c r="BJ2947">
        <v>0</v>
      </c>
      <c r="BK2947">
        <v>0</v>
      </c>
      <c r="BL2947">
        <v>0</v>
      </c>
      <c r="BO2947">
        <v>0</v>
      </c>
      <c r="BP2947">
        <v>0</v>
      </c>
      <c r="BW2947" t="str">
        <f t="shared" si="1630"/>
        <v>14:56:16.030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6</v>
      </c>
      <c r="CP2947" t="s">
        <v>119</v>
      </c>
      <c r="CQ2947">
        <v>298</v>
      </c>
      <c r="CR2947">
        <v>0</v>
      </c>
      <c r="CW2947">
        <v>10449522</v>
      </c>
      <c r="CY2947">
        <v>0</v>
      </c>
      <c r="CZ2947">
        <v>0</v>
      </c>
      <c r="DA2947">
        <v>1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25">
      <c r="A2948" t="str">
        <f t="shared" ref="A2948:A2954" si="1632">"06/05/2020 14:56:11.246"</f>
        <v>06/05/2020 14:56:11.246</v>
      </c>
      <c r="C2948" t="str">
        <f t="shared" si="1616"/>
        <v>FFDFD3C0</v>
      </c>
      <c r="D2948" t="s">
        <v>113</v>
      </c>
      <c r="E2948">
        <v>3</v>
      </c>
      <c r="H2948">
        <v>166</v>
      </c>
      <c r="I2948" t="s">
        <v>114</v>
      </c>
      <c r="J2948" t="s">
        <v>115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ref="S2948:S2954" si="1633">"14:56:16.898"</f>
        <v>14:56:16.898</v>
      </c>
      <c r="T2948" t="str">
        <f t="shared" ref="T2948:T2954" si="1634">"14:56:16.598"</f>
        <v>14:56:16.598</v>
      </c>
      <c r="U2948" t="str">
        <f t="shared" si="1631"/>
        <v>ACC530</v>
      </c>
      <c r="V2948">
        <v>0</v>
      </c>
      <c r="W2948">
        <v>0</v>
      </c>
      <c r="X2948">
        <v>1</v>
      </c>
      <c r="Z2948">
        <v>0</v>
      </c>
      <c r="AA2948">
        <v>9</v>
      </c>
      <c r="AB2948">
        <v>3</v>
      </c>
      <c r="AC2948">
        <v>0</v>
      </c>
      <c r="AD2948">
        <v>9</v>
      </c>
      <c r="AE2948">
        <v>0</v>
      </c>
      <c r="AF2948">
        <v>3</v>
      </c>
      <c r="AG2948">
        <v>1</v>
      </c>
      <c r="AH2948">
        <v>0</v>
      </c>
      <c r="AI2948" t="s">
        <v>1002</v>
      </c>
      <c r="AJ2948">
        <v>34.113835999999999</v>
      </c>
      <c r="AK2948" t="s">
        <v>1003</v>
      </c>
      <c r="AL2948">
        <v>-117.05467</v>
      </c>
      <c r="AM2948">
        <v>100</v>
      </c>
      <c r="AN2948">
        <v>6100</v>
      </c>
      <c r="AO2948" t="s">
        <v>118</v>
      </c>
      <c r="AP2948">
        <v>37</v>
      </c>
      <c r="AQ2948">
        <v>-104</v>
      </c>
      <c r="AR2948">
        <v>-832</v>
      </c>
      <c r="AZ2948">
        <v>1200</v>
      </c>
      <c r="BA2948">
        <v>1</v>
      </c>
      <c r="BB2948" t="str">
        <f t="shared" si="1595"/>
        <v xml:space="preserve">N9217B  </v>
      </c>
      <c r="BC2948">
        <v>1</v>
      </c>
      <c r="BE2948">
        <v>0</v>
      </c>
      <c r="BF2948">
        <v>0</v>
      </c>
      <c r="BG2948">
        <v>0</v>
      </c>
      <c r="BH2948">
        <v>5975</v>
      </c>
      <c r="BI2948">
        <v>1</v>
      </c>
      <c r="BJ2948">
        <v>0</v>
      </c>
      <c r="BK2948">
        <v>0</v>
      </c>
      <c r="BL2948">
        <v>0</v>
      </c>
      <c r="BO2948">
        <v>0</v>
      </c>
      <c r="BP2948">
        <v>0</v>
      </c>
      <c r="BW2948" t="str">
        <f t="shared" ref="BW2948:BW2954" si="1635">"14:56:16.900"</f>
        <v>14:56:16.900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7</v>
      </c>
      <c r="CP2948" t="s">
        <v>119</v>
      </c>
      <c r="CQ2948">
        <v>285</v>
      </c>
      <c r="CR2948">
        <v>0</v>
      </c>
      <c r="CW2948">
        <v>8872836</v>
      </c>
      <c r="CY2948">
        <v>0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25">
      <c r="A2949" t="str">
        <f t="shared" si="1632"/>
        <v>06/05/2020 14:56:11.246</v>
      </c>
      <c r="C2949" t="str">
        <f t="shared" si="1616"/>
        <v>FFDFD3C0</v>
      </c>
      <c r="D2949" t="s">
        <v>151</v>
      </c>
      <c r="E2949">
        <v>9</v>
      </c>
      <c r="H2949">
        <v>226</v>
      </c>
      <c r="I2949" t="s">
        <v>152</v>
      </c>
      <c r="J2949" t="s">
        <v>150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633"/>
        <v>14:56:16.898</v>
      </c>
      <c r="T2949" t="str">
        <f t="shared" si="1634"/>
        <v>14:56:16.598</v>
      </c>
      <c r="U2949" t="str">
        <f t="shared" si="1631"/>
        <v>ACC530</v>
      </c>
      <c r="V2949">
        <v>0</v>
      </c>
      <c r="W2949">
        <v>0</v>
      </c>
      <c r="X2949">
        <v>1</v>
      </c>
      <c r="Z2949">
        <v>0</v>
      </c>
      <c r="AA2949">
        <v>9</v>
      </c>
      <c r="AB2949">
        <v>3</v>
      </c>
      <c r="AC2949">
        <v>0</v>
      </c>
      <c r="AD2949">
        <v>9</v>
      </c>
      <c r="AE2949">
        <v>0</v>
      </c>
      <c r="AF2949">
        <v>3</v>
      </c>
      <c r="AG2949">
        <v>1</v>
      </c>
      <c r="AH2949">
        <v>0</v>
      </c>
      <c r="AI2949" t="s">
        <v>1002</v>
      </c>
      <c r="AJ2949">
        <v>34.113835999999999</v>
      </c>
      <c r="AK2949" t="s">
        <v>1003</v>
      </c>
      <c r="AL2949">
        <v>-117.05467</v>
      </c>
      <c r="AM2949">
        <v>100</v>
      </c>
      <c r="AN2949">
        <v>6100</v>
      </c>
      <c r="AO2949" t="s">
        <v>118</v>
      </c>
      <c r="AP2949">
        <v>37</v>
      </c>
      <c r="AQ2949">
        <v>-104</v>
      </c>
      <c r="AR2949">
        <v>-832</v>
      </c>
      <c r="AZ2949">
        <v>1200</v>
      </c>
      <c r="BA2949">
        <v>1</v>
      </c>
      <c r="BB2949" t="str">
        <f t="shared" ref="BB2949:BB3012" si="1636">"N9217B  "</f>
        <v xml:space="preserve">N9217B  </v>
      </c>
      <c r="BC2949">
        <v>1</v>
      </c>
      <c r="BE2949">
        <v>0</v>
      </c>
      <c r="BF2949">
        <v>0</v>
      </c>
      <c r="BG2949">
        <v>0</v>
      </c>
      <c r="BH2949">
        <v>5975</v>
      </c>
      <c r="BI2949">
        <v>1</v>
      </c>
      <c r="BJ2949">
        <v>0</v>
      </c>
      <c r="BK2949">
        <v>0</v>
      </c>
      <c r="BL2949">
        <v>0</v>
      </c>
      <c r="BO2949">
        <v>0</v>
      </c>
      <c r="BP2949">
        <v>0</v>
      </c>
      <c r="BW2949" t="str">
        <f t="shared" si="1635"/>
        <v>14:56:16.900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7</v>
      </c>
      <c r="CP2949" t="s">
        <v>119</v>
      </c>
      <c r="CQ2949">
        <v>285</v>
      </c>
      <c r="CR2949">
        <v>0</v>
      </c>
      <c r="CW2949">
        <v>8872836</v>
      </c>
      <c r="CY2949">
        <v>0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25">
      <c r="A2950" t="str">
        <f t="shared" si="1632"/>
        <v>06/05/2020 14:56:11.246</v>
      </c>
      <c r="C2950" t="str">
        <f t="shared" si="1616"/>
        <v>FFDFD3C0</v>
      </c>
      <c r="D2950" t="s">
        <v>148</v>
      </c>
      <c r="E2950">
        <v>8</v>
      </c>
      <c r="H2950">
        <v>50</v>
      </c>
      <c r="I2950" t="s">
        <v>149</v>
      </c>
      <c r="J2950" t="s">
        <v>150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633"/>
        <v>14:56:16.898</v>
      </c>
      <c r="T2950" t="str">
        <f t="shared" si="1634"/>
        <v>14:56:16.598</v>
      </c>
      <c r="U2950" t="str">
        <f t="shared" si="1631"/>
        <v>ACC530</v>
      </c>
      <c r="V2950">
        <v>0</v>
      </c>
      <c r="W2950">
        <v>0</v>
      </c>
      <c r="X2950">
        <v>1</v>
      </c>
      <c r="Z2950">
        <v>0</v>
      </c>
      <c r="AA2950">
        <v>9</v>
      </c>
      <c r="AB2950">
        <v>3</v>
      </c>
      <c r="AC2950">
        <v>0</v>
      </c>
      <c r="AD2950">
        <v>9</v>
      </c>
      <c r="AE2950">
        <v>0</v>
      </c>
      <c r="AF2950">
        <v>3</v>
      </c>
      <c r="AG2950">
        <v>1</v>
      </c>
      <c r="AH2950">
        <v>0</v>
      </c>
      <c r="AI2950" t="s">
        <v>1002</v>
      </c>
      <c r="AJ2950">
        <v>34.113835999999999</v>
      </c>
      <c r="AK2950" t="s">
        <v>1003</v>
      </c>
      <c r="AL2950">
        <v>-117.05467</v>
      </c>
      <c r="AM2950">
        <v>100</v>
      </c>
      <c r="AN2950">
        <v>6100</v>
      </c>
      <c r="AO2950" t="s">
        <v>118</v>
      </c>
      <c r="AP2950">
        <v>37</v>
      </c>
      <c r="AQ2950">
        <v>-104</v>
      </c>
      <c r="AR2950">
        <v>-832</v>
      </c>
      <c r="AZ2950">
        <v>1200</v>
      </c>
      <c r="BA2950">
        <v>1</v>
      </c>
      <c r="BB2950" t="str">
        <f t="shared" si="1636"/>
        <v xml:space="preserve">N9217B  </v>
      </c>
      <c r="BC2950">
        <v>1</v>
      </c>
      <c r="BE2950">
        <v>0</v>
      </c>
      <c r="BF2950">
        <v>0</v>
      </c>
      <c r="BG2950">
        <v>0</v>
      </c>
      <c r="BH2950">
        <v>5975</v>
      </c>
      <c r="BI2950">
        <v>1</v>
      </c>
      <c r="BJ2950">
        <v>0</v>
      </c>
      <c r="BK2950">
        <v>0</v>
      </c>
      <c r="BL2950">
        <v>0</v>
      </c>
      <c r="BO2950">
        <v>0</v>
      </c>
      <c r="BP2950">
        <v>0</v>
      </c>
      <c r="BW2950" t="str">
        <f t="shared" si="1635"/>
        <v>14:56:16.900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7</v>
      </c>
      <c r="CP2950" t="s">
        <v>119</v>
      </c>
      <c r="CQ2950">
        <v>285</v>
      </c>
      <c r="CR2950">
        <v>0</v>
      </c>
      <c r="CW2950">
        <v>8872836</v>
      </c>
      <c r="CY2950">
        <v>0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25">
      <c r="A2951" t="str">
        <f t="shared" si="1632"/>
        <v>06/05/2020 14:56:11.246</v>
      </c>
      <c r="C2951" t="str">
        <f t="shared" si="1616"/>
        <v>FFDFD3C0</v>
      </c>
      <c r="D2951" t="s">
        <v>134</v>
      </c>
      <c r="E2951">
        <v>7</v>
      </c>
      <c r="F2951">
        <v>2007</v>
      </c>
      <c r="G2951" t="s">
        <v>135</v>
      </c>
      <c r="J2951" t="s">
        <v>136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633"/>
        <v>14:56:16.898</v>
      </c>
      <c r="T2951" t="str">
        <f t="shared" si="1634"/>
        <v>14:56:16.598</v>
      </c>
      <c r="U2951" t="str">
        <f t="shared" si="1631"/>
        <v>ACC530</v>
      </c>
      <c r="V2951">
        <v>0</v>
      </c>
      <c r="W2951">
        <v>0</v>
      </c>
      <c r="X2951">
        <v>1</v>
      </c>
      <c r="Z2951">
        <v>0</v>
      </c>
      <c r="AA2951">
        <v>9</v>
      </c>
      <c r="AB2951">
        <v>3</v>
      </c>
      <c r="AC2951">
        <v>0</v>
      </c>
      <c r="AD2951">
        <v>9</v>
      </c>
      <c r="AE2951">
        <v>0</v>
      </c>
      <c r="AF2951">
        <v>3</v>
      </c>
      <c r="AG2951">
        <v>1</v>
      </c>
      <c r="AH2951">
        <v>0</v>
      </c>
      <c r="AI2951" t="s">
        <v>1002</v>
      </c>
      <c r="AJ2951">
        <v>34.113835999999999</v>
      </c>
      <c r="AK2951" t="s">
        <v>1003</v>
      </c>
      <c r="AL2951">
        <v>-117.05467</v>
      </c>
      <c r="AM2951">
        <v>100</v>
      </c>
      <c r="AN2951">
        <v>6100</v>
      </c>
      <c r="AO2951" t="s">
        <v>118</v>
      </c>
      <c r="AP2951">
        <v>37</v>
      </c>
      <c r="AQ2951">
        <v>-104</v>
      </c>
      <c r="AR2951">
        <v>-832</v>
      </c>
      <c r="AZ2951">
        <v>1200</v>
      </c>
      <c r="BA2951">
        <v>1</v>
      </c>
      <c r="BB2951" t="str">
        <f t="shared" si="1636"/>
        <v xml:space="preserve">N9217B  </v>
      </c>
      <c r="BC2951">
        <v>1</v>
      </c>
      <c r="BE2951">
        <v>0</v>
      </c>
      <c r="BF2951">
        <v>0</v>
      </c>
      <c r="BG2951">
        <v>0</v>
      </c>
      <c r="BH2951">
        <v>5975</v>
      </c>
      <c r="BI2951">
        <v>1</v>
      </c>
      <c r="BJ2951">
        <v>0</v>
      </c>
      <c r="BK2951">
        <v>0</v>
      </c>
      <c r="BL2951">
        <v>0</v>
      </c>
      <c r="BO2951">
        <v>0</v>
      </c>
      <c r="BP2951">
        <v>0</v>
      </c>
      <c r="BW2951" t="str">
        <f t="shared" si="1635"/>
        <v>14:56:16.900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285</v>
      </c>
      <c r="CR2951">
        <v>0</v>
      </c>
      <c r="CW2951">
        <v>8872836</v>
      </c>
      <c r="CY2951">
        <v>0</v>
      </c>
      <c r="CZ2951">
        <v>0</v>
      </c>
      <c r="DA2951">
        <v>1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25">
      <c r="A2952" t="str">
        <f t="shared" si="1632"/>
        <v>06/05/2020 14:56:11.246</v>
      </c>
      <c r="C2952" t="str">
        <f t="shared" si="1616"/>
        <v>FFDFD3C0</v>
      </c>
      <c r="D2952" t="s">
        <v>148</v>
      </c>
      <c r="E2952">
        <v>11</v>
      </c>
      <c r="H2952">
        <v>53</v>
      </c>
      <c r="I2952" t="s">
        <v>364</v>
      </c>
      <c r="J2952" t="s">
        <v>150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1633"/>
        <v>14:56:16.898</v>
      </c>
      <c r="T2952" t="str">
        <f t="shared" si="1634"/>
        <v>14:56:16.598</v>
      </c>
      <c r="U2952" t="str">
        <f t="shared" si="1631"/>
        <v>ACC530</v>
      </c>
      <c r="V2952">
        <v>0</v>
      </c>
      <c r="W2952">
        <v>0</v>
      </c>
      <c r="X2952">
        <v>1</v>
      </c>
      <c r="Z2952">
        <v>0</v>
      </c>
      <c r="AA2952">
        <v>9</v>
      </c>
      <c r="AB2952">
        <v>3</v>
      </c>
      <c r="AC2952">
        <v>0</v>
      </c>
      <c r="AD2952">
        <v>9</v>
      </c>
      <c r="AE2952">
        <v>0</v>
      </c>
      <c r="AF2952">
        <v>3</v>
      </c>
      <c r="AG2952">
        <v>1</v>
      </c>
      <c r="AH2952">
        <v>0</v>
      </c>
      <c r="AI2952" t="s">
        <v>1002</v>
      </c>
      <c r="AJ2952">
        <v>34.113835999999999</v>
      </c>
      <c r="AK2952" t="s">
        <v>1003</v>
      </c>
      <c r="AL2952">
        <v>-117.05467</v>
      </c>
      <c r="AM2952">
        <v>100</v>
      </c>
      <c r="AN2952">
        <v>6100</v>
      </c>
      <c r="AO2952" t="s">
        <v>118</v>
      </c>
      <c r="AP2952">
        <v>37</v>
      </c>
      <c r="AQ2952">
        <v>-104</v>
      </c>
      <c r="AR2952">
        <v>-832</v>
      </c>
      <c r="AZ2952">
        <v>1200</v>
      </c>
      <c r="BA2952">
        <v>1</v>
      </c>
      <c r="BB2952" t="str">
        <f t="shared" si="1636"/>
        <v xml:space="preserve">N9217B  </v>
      </c>
      <c r="BC2952">
        <v>1</v>
      </c>
      <c r="BE2952">
        <v>0</v>
      </c>
      <c r="BF2952">
        <v>0</v>
      </c>
      <c r="BG2952">
        <v>0</v>
      </c>
      <c r="BH2952">
        <v>5975</v>
      </c>
      <c r="BI2952">
        <v>1</v>
      </c>
      <c r="BJ2952">
        <v>0</v>
      </c>
      <c r="BK2952">
        <v>0</v>
      </c>
      <c r="BL2952">
        <v>0</v>
      </c>
      <c r="BO2952">
        <v>0</v>
      </c>
      <c r="BP2952">
        <v>0</v>
      </c>
      <c r="BW2952" t="str">
        <f t="shared" si="1635"/>
        <v>14:56:16.900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7</v>
      </c>
      <c r="CP2952" t="s">
        <v>119</v>
      </c>
      <c r="CQ2952">
        <v>285</v>
      </c>
      <c r="CR2952">
        <v>0</v>
      </c>
      <c r="CW2952">
        <v>8872836</v>
      </c>
      <c r="CY2952">
        <v>0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25">
      <c r="A2953" t="str">
        <f t="shared" si="1632"/>
        <v>06/05/2020 14:56:11.246</v>
      </c>
      <c r="C2953" t="str">
        <f t="shared" si="1616"/>
        <v>FFDFD3C0</v>
      </c>
      <c r="D2953" t="s">
        <v>141</v>
      </c>
      <c r="E2953">
        <v>20</v>
      </c>
      <c r="F2953">
        <v>1020</v>
      </c>
      <c r="G2953" t="s">
        <v>114</v>
      </c>
      <c r="J2953" t="s">
        <v>142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633"/>
        <v>14:56:16.898</v>
      </c>
      <c r="T2953" t="str">
        <f t="shared" si="1634"/>
        <v>14:56:16.598</v>
      </c>
      <c r="U2953" t="str">
        <f t="shared" si="1631"/>
        <v>ACC530</v>
      </c>
      <c r="V2953">
        <v>0</v>
      </c>
      <c r="W2953">
        <v>0</v>
      </c>
      <c r="X2953">
        <v>1</v>
      </c>
      <c r="Z2953">
        <v>0</v>
      </c>
      <c r="AA2953">
        <v>9</v>
      </c>
      <c r="AB2953">
        <v>3</v>
      </c>
      <c r="AC2953">
        <v>0</v>
      </c>
      <c r="AD2953">
        <v>9</v>
      </c>
      <c r="AE2953">
        <v>0</v>
      </c>
      <c r="AF2953">
        <v>3</v>
      </c>
      <c r="AG2953">
        <v>1</v>
      </c>
      <c r="AH2953">
        <v>0</v>
      </c>
      <c r="AI2953" t="s">
        <v>1002</v>
      </c>
      <c r="AJ2953">
        <v>34.113835999999999</v>
      </c>
      <c r="AK2953" t="s">
        <v>1003</v>
      </c>
      <c r="AL2953">
        <v>-117.05467</v>
      </c>
      <c r="AM2953">
        <v>100</v>
      </c>
      <c r="AN2953">
        <v>6100</v>
      </c>
      <c r="AO2953" t="s">
        <v>118</v>
      </c>
      <c r="AP2953">
        <v>37</v>
      </c>
      <c r="AQ2953">
        <v>-104</v>
      </c>
      <c r="AR2953">
        <v>-832</v>
      </c>
      <c r="AZ2953">
        <v>1200</v>
      </c>
      <c r="BA2953">
        <v>1</v>
      </c>
      <c r="BB2953" t="str">
        <f t="shared" si="1636"/>
        <v xml:space="preserve">N9217B  </v>
      </c>
      <c r="BC2953">
        <v>1</v>
      </c>
      <c r="BE2953">
        <v>0</v>
      </c>
      <c r="BF2953">
        <v>0</v>
      </c>
      <c r="BG2953">
        <v>0</v>
      </c>
      <c r="BH2953">
        <v>5975</v>
      </c>
      <c r="BI2953">
        <v>1</v>
      </c>
      <c r="BJ2953">
        <v>0</v>
      </c>
      <c r="BK2953">
        <v>0</v>
      </c>
      <c r="BL2953">
        <v>0</v>
      </c>
      <c r="BO2953">
        <v>0</v>
      </c>
      <c r="BP2953">
        <v>0</v>
      </c>
      <c r="BW2953" t="str">
        <f t="shared" si="1635"/>
        <v>14:56:16.900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7</v>
      </c>
      <c r="CP2953" t="s">
        <v>119</v>
      </c>
      <c r="CQ2953">
        <v>285</v>
      </c>
      <c r="CR2953">
        <v>0</v>
      </c>
      <c r="CW2953">
        <v>8872836</v>
      </c>
      <c r="CY2953">
        <v>0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25">
      <c r="A2954" t="str">
        <f t="shared" si="1632"/>
        <v>06/05/2020 14:56:11.246</v>
      </c>
      <c r="C2954" t="str">
        <f t="shared" si="1616"/>
        <v>FFDFD3C0</v>
      </c>
      <c r="D2954" t="s">
        <v>151</v>
      </c>
      <c r="E2954">
        <v>8</v>
      </c>
      <c r="H2954">
        <v>225</v>
      </c>
      <c r="I2954" t="s">
        <v>353</v>
      </c>
      <c r="J2954" t="s">
        <v>150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633"/>
        <v>14:56:16.898</v>
      </c>
      <c r="T2954" t="str">
        <f t="shared" si="1634"/>
        <v>14:56:16.598</v>
      </c>
      <c r="U2954" t="str">
        <f t="shared" si="1631"/>
        <v>ACC530</v>
      </c>
      <c r="V2954">
        <v>0</v>
      </c>
      <c r="W2954">
        <v>0</v>
      </c>
      <c r="X2954">
        <v>1</v>
      </c>
      <c r="Z2954">
        <v>0</v>
      </c>
      <c r="AA2954">
        <v>9</v>
      </c>
      <c r="AB2954">
        <v>3</v>
      </c>
      <c r="AC2954">
        <v>0</v>
      </c>
      <c r="AD2954">
        <v>9</v>
      </c>
      <c r="AE2954">
        <v>0</v>
      </c>
      <c r="AF2954">
        <v>3</v>
      </c>
      <c r="AG2954">
        <v>1</v>
      </c>
      <c r="AH2954">
        <v>0</v>
      </c>
      <c r="AI2954" t="s">
        <v>1002</v>
      </c>
      <c r="AJ2954">
        <v>34.113835999999999</v>
      </c>
      <c r="AK2954" t="s">
        <v>1003</v>
      </c>
      <c r="AL2954">
        <v>-117.05467</v>
      </c>
      <c r="AM2954">
        <v>100</v>
      </c>
      <c r="AN2954">
        <v>6100</v>
      </c>
      <c r="AO2954" t="s">
        <v>118</v>
      </c>
      <c r="AP2954">
        <v>37</v>
      </c>
      <c r="AQ2954">
        <v>-104</v>
      </c>
      <c r="AR2954">
        <v>-832</v>
      </c>
      <c r="AZ2954">
        <v>1200</v>
      </c>
      <c r="BA2954">
        <v>1</v>
      </c>
      <c r="BB2954" t="str">
        <f t="shared" si="1636"/>
        <v xml:space="preserve">N9217B  </v>
      </c>
      <c r="BC2954">
        <v>1</v>
      </c>
      <c r="BE2954">
        <v>0</v>
      </c>
      <c r="BF2954">
        <v>0</v>
      </c>
      <c r="BG2954">
        <v>0</v>
      </c>
      <c r="BH2954">
        <v>5975</v>
      </c>
      <c r="BI2954">
        <v>1</v>
      </c>
      <c r="BJ2954">
        <v>0</v>
      </c>
      <c r="BK2954">
        <v>0</v>
      </c>
      <c r="BL2954">
        <v>0</v>
      </c>
      <c r="BO2954">
        <v>0</v>
      </c>
      <c r="BP2954">
        <v>0</v>
      </c>
      <c r="BW2954" t="str">
        <f t="shared" si="1635"/>
        <v>14:56:16.900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7</v>
      </c>
      <c r="CP2954" t="s">
        <v>119</v>
      </c>
      <c r="CQ2954">
        <v>285</v>
      </c>
      <c r="CR2954">
        <v>0</v>
      </c>
      <c r="CW2954">
        <v>8872836</v>
      </c>
      <c r="CY2954">
        <v>0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25">
      <c r="A2955" t="str">
        <f t="shared" ref="A2955:A2961" si="1637">"06/05/2020 14:56:12.229"</f>
        <v>06/05/2020 14:56:12.229</v>
      </c>
      <c r="C2955" t="str">
        <f t="shared" si="1616"/>
        <v>FFDFD3C0</v>
      </c>
      <c r="D2955" t="s">
        <v>148</v>
      </c>
      <c r="E2955">
        <v>8</v>
      </c>
      <c r="H2955">
        <v>50</v>
      </c>
      <c r="I2955" t="s">
        <v>149</v>
      </c>
      <c r="J2955" t="s">
        <v>150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ref="S2955:S2961" si="1638">"14:56:17.859"</f>
        <v>14:56:17.859</v>
      </c>
      <c r="T2955" t="str">
        <f t="shared" ref="T2955:T2961" si="1639">"14:56:17.659"</f>
        <v>14:56:17.659</v>
      </c>
      <c r="U2955" t="str">
        <f t="shared" si="1631"/>
        <v>ACC530</v>
      </c>
      <c r="V2955">
        <v>0</v>
      </c>
      <c r="W2955">
        <v>0</v>
      </c>
      <c r="X2955">
        <v>1</v>
      </c>
      <c r="Z2955">
        <v>0</v>
      </c>
      <c r="AA2955">
        <v>9</v>
      </c>
      <c r="AB2955">
        <v>3</v>
      </c>
      <c r="AC2955">
        <v>0</v>
      </c>
      <c r="AD2955">
        <v>9</v>
      </c>
      <c r="AE2955">
        <v>0</v>
      </c>
      <c r="AF2955">
        <v>3</v>
      </c>
      <c r="AG2955">
        <v>1</v>
      </c>
      <c r="AH2955">
        <v>0</v>
      </c>
      <c r="AI2955" t="s">
        <v>1004</v>
      </c>
      <c r="AJ2955">
        <v>34.113385999999998</v>
      </c>
      <c r="AK2955" t="s">
        <v>1005</v>
      </c>
      <c r="AL2955">
        <v>-117.054455</v>
      </c>
      <c r="AM2955">
        <v>100</v>
      </c>
      <c r="AN2955">
        <v>6100</v>
      </c>
      <c r="AO2955" t="s">
        <v>118</v>
      </c>
      <c r="AP2955">
        <v>39</v>
      </c>
      <c r="AQ2955">
        <v>-104</v>
      </c>
      <c r="AR2955">
        <v>-704</v>
      </c>
      <c r="AZ2955">
        <v>1200</v>
      </c>
      <c r="BA2955">
        <v>1</v>
      </c>
      <c r="BB2955" t="str">
        <f t="shared" si="1636"/>
        <v xml:space="preserve">N9217B  </v>
      </c>
      <c r="BC2955">
        <v>1</v>
      </c>
      <c r="BE2955">
        <v>0</v>
      </c>
      <c r="BF2955">
        <v>0</v>
      </c>
      <c r="BG2955">
        <v>0</v>
      </c>
      <c r="BH2955">
        <v>5975</v>
      </c>
      <c r="BI2955">
        <v>1</v>
      </c>
      <c r="BJ2955">
        <v>0</v>
      </c>
      <c r="BK2955">
        <v>0</v>
      </c>
      <c r="BL2955">
        <v>0</v>
      </c>
      <c r="BO2955">
        <v>0</v>
      </c>
      <c r="BP2955">
        <v>0</v>
      </c>
      <c r="BW2955" t="str">
        <f t="shared" ref="BW2955:BW2961" si="1640">"14:56:17.860"</f>
        <v>14:56:17.860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7</v>
      </c>
      <c r="CP2955" t="s">
        <v>119</v>
      </c>
      <c r="CQ2955">
        <v>285</v>
      </c>
      <c r="CR2955">
        <v>0</v>
      </c>
      <c r="CW2955">
        <v>8872922</v>
      </c>
      <c r="CY2955">
        <v>0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25">
      <c r="A2956" t="str">
        <f t="shared" si="1637"/>
        <v>06/05/2020 14:56:12.229</v>
      </c>
      <c r="C2956" t="str">
        <f t="shared" si="1616"/>
        <v>FFDFD3C0</v>
      </c>
      <c r="D2956" t="s">
        <v>148</v>
      </c>
      <c r="E2956">
        <v>11</v>
      </c>
      <c r="H2956">
        <v>53</v>
      </c>
      <c r="I2956" t="s">
        <v>364</v>
      </c>
      <c r="J2956" t="s">
        <v>150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638"/>
        <v>14:56:17.859</v>
      </c>
      <c r="T2956" t="str">
        <f t="shared" si="1639"/>
        <v>14:56:17.659</v>
      </c>
      <c r="U2956" t="str">
        <f t="shared" si="1631"/>
        <v>ACC530</v>
      </c>
      <c r="V2956">
        <v>0</v>
      </c>
      <c r="W2956">
        <v>0</v>
      </c>
      <c r="X2956">
        <v>1</v>
      </c>
      <c r="Z2956">
        <v>0</v>
      </c>
      <c r="AA2956">
        <v>9</v>
      </c>
      <c r="AB2956">
        <v>3</v>
      </c>
      <c r="AC2956">
        <v>0</v>
      </c>
      <c r="AD2956">
        <v>9</v>
      </c>
      <c r="AE2956">
        <v>0</v>
      </c>
      <c r="AF2956">
        <v>3</v>
      </c>
      <c r="AG2956">
        <v>1</v>
      </c>
      <c r="AH2956">
        <v>0</v>
      </c>
      <c r="AI2956" t="s">
        <v>1004</v>
      </c>
      <c r="AJ2956">
        <v>34.113385999999998</v>
      </c>
      <c r="AK2956" t="s">
        <v>1005</v>
      </c>
      <c r="AL2956">
        <v>-117.054455</v>
      </c>
      <c r="AM2956">
        <v>100</v>
      </c>
      <c r="AN2956">
        <v>6100</v>
      </c>
      <c r="AO2956" t="s">
        <v>118</v>
      </c>
      <c r="AP2956">
        <v>39</v>
      </c>
      <c r="AQ2956">
        <v>-104</v>
      </c>
      <c r="AR2956">
        <v>-704</v>
      </c>
      <c r="AZ2956">
        <v>1200</v>
      </c>
      <c r="BA2956">
        <v>1</v>
      </c>
      <c r="BB2956" t="str">
        <f t="shared" si="1636"/>
        <v xml:space="preserve">N9217B  </v>
      </c>
      <c r="BC2956">
        <v>1</v>
      </c>
      <c r="BE2956">
        <v>0</v>
      </c>
      <c r="BF2956">
        <v>0</v>
      </c>
      <c r="BG2956">
        <v>0</v>
      </c>
      <c r="BH2956">
        <v>5975</v>
      </c>
      <c r="BI2956">
        <v>1</v>
      </c>
      <c r="BJ2956">
        <v>0</v>
      </c>
      <c r="BK2956">
        <v>0</v>
      </c>
      <c r="BL2956">
        <v>0</v>
      </c>
      <c r="BO2956">
        <v>0</v>
      </c>
      <c r="BP2956">
        <v>0</v>
      </c>
      <c r="BW2956" t="str">
        <f t="shared" si="1640"/>
        <v>14:56:17.860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7</v>
      </c>
      <c r="CP2956" t="s">
        <v>119</v>
      </c>
      <c r="CQ2956">
        <v>285</v>
      </c>
      <c r="CR2956">
        <v>0</v>
      </c>
      <c r="CW2956">
        <v>8872922</v>
      </c>
      <c r="CY2956">
        <v>0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25">
      <c r="A2957" t="str">
        <f t="shared" si="1637"/>
        <v>06/05/2020 14:56:12.229</v>
      </c>
      <c r="C2957" t="str">
        <f t="shared" si="1616"/>
        <v>FFDFD3C0</v>
      </c>
      <c r="D2957" t="s">
        <v>141</v>
      </c>
      <c r="E2957">
        <v>20</v>
      </c>
      <c r="F2957">
        <v>1020</v>
      </c>
      <c r="G2957" t="s">
        <v>114</v>
      </c>
      <c r="J2957" t="s">
        <v>142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638"/>
        <v>14:56:17.859</v>
      </c>
      <c r="T2957" t="str">
        <f t="shared" si="1639"/>
        <v>14:56:17.659</v>
      </c>
      <c r="U2957" t="str">
        <f t="shared" si="1631"/>
        <v>ACC530</v>
      </c>
      <c r="V2957">
        <v>0</v>
      </c>
      <c r="W2957">
        <v>0</v>
      </c>
      <c r="X2957">
        <v>1</v>
      </c>
      <c r="Z2957">
        <v>0</v>
      </c>
      <c r="AA2957">
        <v>9</v>
      </c>
      <c r="AB2957">
        <v>3</v>
      </c>
      <c r="AC2957">
        <v>0</v>
      </c>
      <c r="AD2957">
        <v>9</v>
      </c>
      <c r="AE2957">
        <v>0</v>
      </c>
      <c r="AF2957">
        <v>3</v>
      </c>
      <c r="AG2957">
        <v>1</v>
      </c>
      <c r="AH2957">
        <v>0</v>
      </c>
      <c r="AI2957" t="s">
        <v>1004</v>
      </c>
      <c r="AJ2957">
        <v>34.113385999999998</v>
      </c>
      <c r="AK2957" t="s">
        <v>1005</v>
      </c>
      <c r="AL2957">
        <v>-117.054455</v>
      </c>
      <c r="AM2957">
        <v>100</v>
      </c>
      <c r="AN2957">
        <v>6100</v>
      </c>
      <c r="AO2957" t="s">
        <v>118</v>
      </c>
      <c r="AP2957">
        <v>39</v>
      </c>
      <c r="AQ2957">
        <v>-104</v>
      </c>
      <c r="AR2957">
        <v>-704</v>
      </c>
      <c r="AZ2957">
        <v>1200</v>
      </c>
      <c r="BA2957">
        <v>1</v>
      </c>
      <c r="BB2957" t="str">
        <f t="shared" si="1636"/>
        <v xml:space="preserve">N9217B  </v>
      </c>
      <c r="BC2957">
        <v>1</v>
      </c>
      <c r="BE2957">
        <v>0</v>
      </c>
      <c r="BF2957">
        <v>0</v>
      </c>
      <c r="BG2957">
        <v>0</v>
      </c>
      <c r="BH2957">
        <v>5975</v>
      </c>
      <c r="BI2957">
        <v>1</v>
      </c>
      <c r="BJ2957">
        <v>0</v>
      </c>
      <c r="BK2957">
        <v>0</v>
      </c>
      <c r="BL2957">
        <v>0</v>
      </c>
      <c r="BO2957">
        <v>0</v>
      </c>
      <c r="BP2957">
        <v>0</v>
      </c>
      <c r="BW2957" t="str">
        <f t="shared" si="1640"/>
        <v>14:56:17.860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7</v>
      </c>
      <c r="CP2957" t="s">
        <v>119</v>
      </c>
      <c r="CQ2957">
        <v>285</v>
      </c>
      <c r="CR2957">
        <v>0</v>
      </c>
      <c r="CW2957">
        <v>8872922</v>
      </c>
      <c r="CY2957">
        <v>0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25">
      <c r="A2958" t="str">
        <f t="shared" si="1637"/>
        <v>06/05/2020 14:56:12.229</v>
      </c>
      <c r="C2958" t="str">
        <f t="shared" si="1616"/>
        <v>FFDFD3C0</v>
      </c>
      <c r="D2958" t="s">
        <v>151</v>
      </c>
      <c r="E2958">
        <v>8</v>
      </c>
      <c r="H2958">
        <v>225</v>
      </c>
      <c r="I2958" t="s">
        <v>353</v>
      </c>
      <c r="J2958" t="s">
        <v>150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638"/>
        <v>14:56:17.859</v>
      </c>
      <c r="T2958" t="str">
        <f t="shared" si="1639"/>
        <v>14:56:17.659</v>
      </c>
      <c r="U2958" t="str">
        <f t="shared" si="1631"/>
        <v>ACC530</v>
      </c>
      <c r="V2958">
        <v>0</v>
      </c>
      <c r="W2958">
        <v>0</v>
      </c>
      <c r="X2958">
        <v>1</v>
      </c>
      <c r="Z2958">
        <v>0</v>
      </c>
      <c r="AA2958">
        <v>9</v>
      </c>
      <c r="AB2958">
        <v>3</v>
      </c>
      <c r="AC2958">
        <v>0</v>
      </c>
      <c r="AD2958">
        <v>9</v>
      </c>
      <c r="AE2958">
        <v>0</v>
      </c>
      <c r="AF2958">
        <v>3</v>
      </c>
      <c r="AG2958">
        <v>1</v>
      </c>
      <c r="AH2958">
        <v>0</v>
      </c>
      <c r="AI2958" t="s">
        <v>1004</v>
      </c>
      <c r="AJ2958">
        <v>34.113385999999998</v>
      </c>
      <c r="AK2958" t="s">
        <v>1005</v>
      </c>
      <c r="AL2958">
        <v>-117.054455</v>
      </c>
      <c r="AM2958">
        <v>100</v>
      </c>
      <c r="AN2958">
        <v>6100</v>
      </c>
      <c r="AO2958" t="s">
        <v>118</v>
      </c>
      <c r="AP2958">
        <v>39</v>
      </c>
      <c r="AQ2958">
        <v>-104</v>
      </c>
      <c r="AR2958">
        <v>-704</v>
      </c>
      <c r="AZ2958">
        <v>1200</v>
      </c>
      <c r="BA2958">
        <v>1</v>
      </c>
      <c r="BB2958" t="str">
        <f t="shared" si="1636"/>
        <v xml:space="preserve">N9217B  </v>
      </c>
      <c r="BC2958">
        <v>1</v>
      </c>
      <c r="BE2958">
        <v>0</v>
      </c>
      <c r="BF2958">
        <v>0</v>
      </c>
      <c r="BG2958">
        <v>0</v>
      </c>
      <c r="BH2958">
        <v>5975</v>
      </c>
      <c r="BI2958">
        <v>1</v>
      </c>
      <c r="BJ2958">
        <v>0</v>
      </c>
      <c r="BK2958">
        <v>0</v>
      </c>
      <c r="BL2958">
        <v>0</v>
      </c>
      <c r="BO2958">
        <v>0</v>
      </c>
      <c r="BP2958">
        <v>0</v>
      </c>
      <c r="BW2958" t="str">
        <f t="shared" si="1640"/>
        <v>14:56:17.860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7</v>
      </c>
      <c r="CP2958" t="s">
        <v>119</v>
      </c>
      <c r="CQ2958">
        <v>285</v>
      </c>
      <c r="CR2958">
        <v>0</v>
      </c>
      <c r="CW2958">
        <v>8872922</v>
      </c>
      <c r="CY2958">
        <v>0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25">
      <c r="A2959" t="str">
        <f t="shared" si="1637"/>
        <v>06/05/2020 14:56:12.229</v>
      </c>
      <c r="C2959" t="str">
        <f t="shared" si="1616"/>
        <v>FFDFD3C0</v>
      </c>
      <c r="D2959" t="s">
        <v>113</v>
      </c>
      <c r="E2959">
        <v>3</v>
      </c>
      <c r="H2959">
        <v>166</v>
      </c>
      <c r="I2959" t="s">
        <v>114</v>
      </c>
      <c r="J2959" t="s">
        <v>115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si="1638"/>
        <v>14:56:17.859</v>
      </c>
      <c r="T2959" t="str">
        <f t="shared" si="1639"/>
        <v>14:56:17.659</v>
      </c>
      <c r="U2959" t="str">
        <f t="shared" si="1631"/>
        <v>ACC530</v>
      </c>
      <c r="V2959">
        <v>0</v>
      </c>
      <c r="W2959">
        <v>0</v>
      </c>
      <c r="X2959">
        <v>1</v>
      </c>
      <c r="Z2959">
        <v>0</v>
      </c>
      <c r="AA2959">
        <v>9</v>
      </c>
      <c r="AB2959">
        <v>3</v>
      </c>
      <c r="AC2959">
        <v>0</v>
      </c>
      <c r="AD2959">
        <v>9</v>
      </c>
      <c r="AE2959">
        <v>0</v>
      </c>
      <c r="AF2959">
        <v>3</v>
      </c>
      <c r="AG2959">
        <v>1</v>
      </c>
      <c r="AH2959">
        <v>0</v>
      </c>
      <c r="AI2959" t="s">
        <v>1004</v>
      </c>
      <c r="AJ2959">
        <v>34.113385999999998</v>
      </c>
      <c r="AK2959" t="s">
        <v>1005</v>
      </c>
      <c r="AL2959">
        <v>-117.054455</v>
      </c>
      <c r="AM2959">
        <v>100</v>
      </c>
      <c r="AN2959">
        <v>6100</v>
      </c>
      <c r="AO2959" t="s">
        <v>118</v>
      </c>
      <c r="AP2959">
        <v>39</v>
      </c>
      <c r="AQ2959">
        <v>-104</v>
      </c>
      <c r="AR2959">
        <v>-704</v>
      </c>
      <c r="AZ2959">
        <v>1200</v>
      </c>
      <c r="BA2959">
        <v>1</v>
      </c>
      <c r="BB2959" t="str">
        <f t="shared" si="1636"/>
        <v xml:space="preserve">N9217B  </v>
      </c>
      <c r="BC2959">
        <v>1</v>
      </c>
      <c r="BE2959">
        <v>0</v>
      </c>
      <c r="BF2959">
        <v>0</v>
      </c>
      <c r="BG2959">
        <v>0</v>
      </c>
      <c r="BH2959">
        <v>5975</v>
      </c>
      <c r="BI2959">
        <v>1</v>
      </c>
      <c r="BJ2959">
        <v>0</v>
      </c>
      <c r="BK2959">
        <v>0</v>
      </c>
      <c r="BL2959">
        <v>0</v>
      </c>
      <c r="BO2959">
        <v>0</v>
      </c>
      <c r="BP2959">
        <v>0</v>
      </c>
      <c r="BW2959" t="str">
        <f t="shared" si="1640"/>
        <v>14:56:17.860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7</v>
      </c>
      <c r="CP2959" t="s">
        <v>119</v>
      </c>
      <c r="CQ2959">
        <v>285</v>
      </c>
      <c r="CR2959">
        <v>0</v>
      </c>
      <c r="CW2959">
        <v>8872922</v>
      </c>
      <c r="CY2959">
        <v>0</v>
      </c>
      <c r="CZ2959">
        <v>0</v>
      </c>
      <c r="DA2959">
        <v>1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25">
      <c r="A2960" t="str">
        <f t="shared" si="1637"/>
        <v>06/05/2020 14:56:12.229</v>
      </c>
      <c r="C2960" t="str">
        <f t="shared" si="1616"/>
        <v>FFDFD3C0</v>
      </c>
      <c r="D2960" t="s">
        <v>151</v>
      </c>
      <c r="E2960">
        <v>9</v>
      </c>
      <c r="H2960">
        <v>226</v>
      </c>
      <c r="I2960" t="s">
        <v>152</v>
      </c>
      <c r="J2960" t="s">
        <v>150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638"/>
        <v>14:56:17.859</v>
      </c>
      <c r="T2960" t="str">
        <f t="shared" si="1639"/>
        <v>14:56:17.659</v>
      </c>
      <c r="U2960" t="str">
        <f t="shared" si="1631"/>
        <v>ACC530</v>
      </c>
      <c r="V2960">
        <v>0</v>
      </c>
      <c r="W2960">
        <v>0</v>
      </c>
      <c r="X2960">
        <v>1</v>
      </c>
      <c r="Z2960">
        <v>0</v>
      </c>
      <c r="AA2960">
        <v>9</v>
      </c>
      <c r="AB2960">
        <v>3</v>
      </c>
      <c r="AC2960">
        <v>0</v>
      </c>
      <c r="AD2960">
        <v>9</v>
      </c>
      <c r="AE2960">
        <v>0</v>
      </c>
      <c r="AF2960">
        <v>3</v>
      </c>
      <c r="AG2960">
        <v>1</v>
      </c>
      <c r="AH2960">
        <v>0</v>
      </c>
      <c r="AI2960" t="s">
        <v>1004</v>
      </c>
      <c r="AJ2960">
        <v>34.113385999999998</v>
      </c>
      <c r="AK2960" t="s">
        <v>1005</v>
      </c>
      <c r="AL2960">
        <v>-117.054455</v>
      </c>
      <c r="AM2960">
        <v>100</v>
      </c>
      <c r="AN2960">
        <v>6100</v>
      </c>
      <c r="AO2960" t="s">
        <v>118</v>
      </c>
      <c r="AP2960">
        <v>39</v>
      </c>
      <c r="AQ2960">
        <v>-104</v>
      </c>
      <c r="AR2960">
        <v>-704</v>
      </c>
      <c r="AZ2960">
        <v>1200</v>
      </c>
      <c r="BA2960">
        <v>1</v>
      </c>
      <c r="BB2960" t="str">
        <f t="shared" si="1636"/>
        <v xml:space="preserve">N9217B  </v>
      </c>
      <c r="BC2960">
        <v>1</v>
      </c>
      <c r="BE2960">
        <v>0</v>
      </c>
      <c r="BF2960">
        <v>0</v>
      </c>
      <c r="BG2960">
        <v>0</v>
      </c>
      <c r="BH2960">
        <v>5975</v>
      </c>
      <c r="BI2960">
        <v>1</v>
      </c>
      <c r="BJ2960">
        <v>0</v>
      </c>
      <c r="BK2960">
        <v>0</v>
      </c>
      <c r="BL2960">
        <v>0</v>
      </c>
      <c r="BO2960">
        <v>0</v>
      </c>
      <c r="BP2960">
        <v>0</v>
      </c>
      <c r="BW2960" t="str">
        <f t="shared" si="1640"/>
        <v>14:56:17.860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7</v>
      </c>
      <c r="CP2960" t="s">
        <v>119</v>
      </c>
      <c r="CQ2960">
        <v>285</v>
      </c>
      <c r="CR2960">
        <v>0</v>
      </c>
      <c r="CW2960">
        <v>8872922</v>
      </c>
      <c r="CY2960">
        <v>0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25">
      <c r="A2961" t="str">
        <f t="shared" si="1637"/>
        <v>06/05/2020 14:56:12.229</v>
      </c>
      <c r="C2961" t="str">
        <f t="shared" si="1616"/>
        <v>FFDFD3C0</v>
      </c>
      <c r="D2961" t="s">
        <v>134</v>
      </c>
      <c r="E2961">
        <v>7</v>
      </c>
      <c r="F2961">
        <v>2007</v>
      </c>
      <c r="G2961" t="s">
        <v>135</v>
      </c>
      <c r="J2961" t="s">
        <v>136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638"/>
        <v>14:56:17.859</v>
      </c>
      <c r="T2961" t="str">
        <f t="shared" si="1639"/>
        <v>14:56:17.659</v>
      </c>
      <c r="U2961" t="str">
        <f t="shared" si="1631"/>
        <v>ACC530</v>
      </c>
      <c r="V2961">
        <v>0</v>
      </c>
      <c r="W2961">
        <v>0</v>
      </c>
      <c r="X2961">
        <v>1</v>
      </c>
      <c r="Z2961">
        <v>0</v>
      </c>
      <c r="AA2961">
        <v>9</v>
      </c>
      <c r="AB2961">
        <v>3</v>
      </c>
      <c r="AC2961">
        <v>0</v>
      </c>
      <c r="AD2961">
        <v>9</v>
      </c>
      <c r="AE2961">
        <v>0</v>
      </c>
      <c r="AF2961">
        <v>3</v>
      </c>
      <c r="AG2961">
        <v>1</v>
      </c>
      <c r="AH2961">
        <v>0</v>
      </c>
      <c r="AI2961" t="s">
        <v>1004</v>
      </c>
      <c r="AJ2961">
        <v>34.113385999999998</v>
      </c>
      <c r="AK2961" t="s">
        <v>1005</v>
      </c>
      <c r="AL2961">
        <v>-117.054455</v>
      </c>
      <c r="AM2961">
        <v>100</v>
      </c>
      <c r="AN2961">
        <v>6100</v>
      </c>
      <c r="AO2961" t="s">
        <v>118</v>
      </c>
      <c r="AP2961">
        <v>39</v>
      </c>
      <c r="AQ2961">
        <v>-104</v>
      </c>
      <c r="AR2961">
        <v>-704</v>
      </c>
      <c r="AZ2961">
        <v>1200</v>
      </c>
      <c r="BA2961">
        <v>1</v>
      </c>
      <c r="BB2961" t="str">
        <f t="shared" si="1636"/>
        <v xml:space="preserve">N9217B  </v>
      </c>
      <c r="BC2961">
        <v>1</v>
      </c>
      <c r="BE2961">
        <v>0</v>
      </c>
      <c r="BF2961">
        <v>0</v>
      </c>
      <c r="BG2961">
        <v>0</v>
      </c>
      <c r="BH2961">
        <v>5975</v>
      </c>
      <c r="BI2961">
        <v>1</v>
      </c>
      <c r="BJ2961">
        <v>0</v>
      </c>
      <c r="BK2961">
        <v>0</v>
      </c>
      <c r="BL2961">
        <v>0</v>
      </c>
      <c r="BO2961">
        <v>0</v>
      </c>
      <c r="BP2961">
        <v>0</v>
      </c>
      <c r="BW2961" t="str">
        <f t="shared" si="1640"/>
        <v>14:56:17.860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285</v>
      </c>
      <c r="CR2961">
        <v>0</v>
      </c>
      <c r="CW2961">
        <v>8872922</v>
      </c>
      <c r="CY2961">
        <v>0</v>
      </c>
      <c r="CZ2961">
        <v>0</v>
      </c>
      <c r="DA2961">
        <v>1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25">
      <c r="A2962" t="str">
        <f t="shared" ref="A2962:A2968" si="1641">"06/05/2020 14:56:13.242"</f>
        <v>06/05/2020 14:56:13.242</v>
      </c>
      <c r="C2962" t="str">
        <f t="shared" si="1616"/>
        <v>FFDFD3C0</v>
      </c>
      <c r="D2962" t="s">
        <v>148</v>
      </c>
      <c r="E2962">
        <v>8</v>
      </c>
      <c r="H2962">
        <v>50</v>
      </c>
      <c r="I2962" t="s">
        <v>149</v>
      </c>
      <c r="J2962" t="s">
        <v>150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ref="S2962:S2968" si="1642">"14:56:18.906"</f>
        <v>14:56:18.906</v>
      </c>
      <c r="T2962" t="str">
        <f t="shared" ref="T2962:T2968" si="1643">"14:56:18.706"</f>
        <v>14:56:18.706</v>
      </c>
      <c r="U2962" t="str">
        <f t="shared" si="1631"/>
        <v>ACC530</v>
      </c>
      <c r="V2962">
        <v>0</v>
      </c>
      <c r="W2962">
        <v>0</v>
      </c>
      <c r="X2962">
        <v>1</v>
      </c>
      <c r="Z2962">
        <v>0</v>
      </c>
      <c r="AA2962">
        <v>9</v>
      </c>
      <c r="AB2962">
        <v>3</v>
      </c>
      <c r="AC2962">
        <v>0</v>
      </c>
      <c r="AD2962">
        <v>9</v>
      </c>
      <c r="AE2962">
        <v>0</v>
      </c>
      <c r="AF2962">
        <v>3</v>
      </c>
      <c r="AG2962">
        <v>1</v>
      </c>
      <c r="AH2962">
        <v>0</v>
      </c>
      <c r="AI2962" t="s">
        <v>1006</v>
      </c>
      <c r="AJ2962">
        <v>34.112870999999998</v>
      </c>
      <c r="AK2962" t="s">
        <v>1007</v>
      </c>
      <c r="AL2962">
        <v>-117.054219</v>
      </c>
      <c r="AM2962">
        <v>100</v>
      </c>
      <c r="AN2962">
        <v>6100</v>
      </c>
      <c r="AO2962" t="s">
        <v>118</v>
      </c>
      <c r="AP2962">
        <v>39</v>
      </c>
      <c r="AQ2962">
        <v>-104</v>
      </c>
      <c r="AR2962">
        <v>-704</v>
      </c>
      <c r="AZ2962">
        <v>1200</v>
      </c>
      <c r="BA2962">
        <v>1</v>
      </c>
      <c r="BB2962" t="str">
        <f t="shared" si="1636"/>
        <v xml:space="preserve">N9217B  </v>
      </c>
      <c r="BC2962">
        <v>1</v>
      </c>
      <c r="BE2962">
        <v>0</v>
      </c>
      <c r="BF2962">
        <v>0</v>
      </c>
      <c r="BG2962">
        <v>0</v>
      </c>
      <c r="BH2962">
        <v>5950</v>
      </c>
      <c r="BI2962">
        <v>1</v>
      </c>
      <c r="BJ2962">
        <v>0</v>
      </c>
      <c r="BK2962">
        <v>0</v>
      </c>
      <c r="BL2962">
        <v>0</v>
      </c>
      <c r="BO2962">
        <v>0</v>
      </c>
      <c r="BP2962">
        <v>0</v>
      </c>
      <c r="BW2962" t="str">
        <f t="shared" ref="BW2962:BW2968" si="1644">"14:56:18.910"</f>
        <v>14:56:18.910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285</v>
      </c>
      <c r="CR2962">
        <v>0</v>
      </c>
      <c r="CW2962">
        <v>8873014</v>
      </c>
      <c r="CY2962">
        <v>0</v>
      </c>
      <c r="CZ2962">
        <v>0</v>
      </c>
      <c r="DA2962">
        <v>0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25">
      <c r="A2963" t="str">
        <f t="shared" si="1641"/>
        <v>06/05/2020 14:56:13.242</v>
      </c>
      <c r="C2963" t="str">
        <f t="shared" si="1616"/>
        <v>FFDFD3C0</v>
      </c>
      <c r="D2963" t="s">
        <v>141</v>
      </c>
      <c r="E2963">
        <v>20</v>
      </c>
      <c r="F2963">
        <v>1020</v>
      </c>
      <c r="G2963" t="s">
        <v>114</v>
      </c>
      <c r="J2963" t="s">
        <v>142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642"/>
        <v>14:56:18.906</v>
      </c>
      <c r="T2963" t="str">
        <f t="shared" si="1643"/>
        <v>14:56:18.706</v>
      </c>
      <c r="U2963" t="str">
        <f t="shared" si="1631"/>
        <v>ACC530</v>
      </c>
      <c r="V2963">
        <v>0</v>
      </c>
      <c r="W2963">
        <v>0</v>
      </c>
      <c r="X2963">
        <v>1</v>
      </c>
      <c r="Z2963">
        <v>0</v>
      </c>
      <c r="AA2963">
        <v>9</v>
      </c>
      <c r="AB2963">
        <v>3</v>
      </c>
      <c r="AC2963">
        <v>0</v>
      </c>
      <c r="AD2963">
        <v>9</v>
      </c>
      <c r="AE2963">
        <v>0</v>
      </c>
      <c r="AF2963">
        <v>3</v>
      </c>
      <c r="AG2963">
        <v>1</v>
      </c>
      <c r="AH2963">
        <v>0</v>
      </c>
      <c r="AI2963" t="s">
        <v>1006</v>
      </c>
      <c r="AJ2963">
        <v>34.112870999999998</v>
      </c>
      <c r="AK2963" t="s">
        <v>1007</v>
      </c>
      <c r="AL2963">
        <v>-117.054219</v>
      </c>
      <c r="AM2963">
        <v>100</v>
      </c>
      <c r="AN2963">
        <v>6100</v>
      </c>
      <c r="AO2963" t="s">
        <v>118</v>
      </c>
      <c r="AP2963">
        <v>39</v>
      </c>
      <c r="AQ2963">
        <v>-104</v>
      </c>
      <c r="AR2963">
        <v>-704</v>
      </c>
      <c r="AZ2963">
        <v>1200</v>
      </c>
      <c r="BA2963">
        <v>1</v>
      </c>
      <c r="BB2963" t="str">
        <f t="shared" si="1636"/>
        <v xml:space="preserve">N9217B  </v>
      </c>
      <c r="BC2963">
        <v>1</v>
      </c>
      <c r="BE2963">
        <v>0</v>
      </c>
      <c r="BF2963">
        <v>0</v>
      </c>
      <c r="BG2963">
        <v>0</v>
      </c>
      <c r="BH2963">
        <v>5950</v>
      </c>
      <c r="BI2963">
        <v>1</v>
      </c>
      <c r="BJ2963">
        <v>0</v>
      </c>
      <c r="BK2963">
        <v>0</v>
      </c>
      <c r="BL2963">
        <v>0</v>
      </c>
      <c r="BO2963">
        <v>0</v>
      </c>
      <c r="BP2963">
        <v>0</v>
      </c>
      <c r="BW2963" t="str">
        <f t="shared" si="1644"/>
        <v>14:56:18.910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119</v>
      </c>
      <c r="CQ2963">
        <v>285</v>
      </c>
      <c r="CR2963">
        <v>0</v>
      </c>
      <c r="CW2963">
        <v>8873014</v>
      </c>
      <c r="CY2963">
        <v>0</v>
      </c>
      <c r="CZ2963">
        <v>0</v>
      </c>
      <c r="DA2963">
        <v>1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25">
      <c r="A2964" t="str">
        <f t="shared" si="1641"/>
        <v>06/05/2020 14:56:13.242</v>
      </c>
      <c r="C2964" t="str">
        <f t="shared" si="1616"/>
        <v>FFDFD3C0</v>
      </c>
      <c r="D2964" t="s">
        <v>148</v>
      </c>
      <c r="E2964">
        <v>11</v>
      </c>
      <c r="H2964">
        <v>53</v>
      </c>
      <c r="I2964" t="s">
        <v>364</v>
      </c>
      <c r="J2964" t="s">
        <v>150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642"/>
        <v>14:56:18.906</v>
      </c>
      <c r="T2964" t="str">
        <f t="shared" si="1643"/>
        <v>14:56:18.706</v>
      </c>
      <c r="U2964" t="str">
        <f t="shared" si="1631"/>
        <v>ACC530</v>
      </c>
      <c r="V2964">
        <v>0</v>
      </c>
      <c r="W2964">
        <v>0</v>
      </c>
      <c r="X2964">
        <v>1</v>
      </c>
      <c r="Z2964">
        <v>0</v>
      </c>
      <c r="AA2964">
        <v>9</v>
      </c>
      <c r="AB2964">
        <v>3</v>
      </c>
      <c r="AC2964">
        <v>0</v>
      </c>
      <c r="AD2964">
        <v>9</v>
      </c>
      <c r="AE2964">
        <v>0</v>
      </c>
      <c r="AF2964">
        <v>3</v>
      </c>
      <c r="AG2964">
        <v>1</v>
      </c>
      <c r="AH2964">
        <v>0</v>
      </c>
      <c r="AI2964" t="s">
        <v>1006</v>
      </c>
      <c r="AJ2964">
        <v>34.112870999999998</v>
      </c>
      <c r="AK2964" t="s">
        <v>1007</v>
      </c>
      <c r="AL2964">
        <v>-117.054219</v>
      </c>
      <c r="AM2964">
        <v>100</v>
      </c>
      <c r="AN2964">
        <v>6100</v>
      </c>
      <c r="AO2964" t="s">
        <v>118</v>
      </c>
      <c r="AP2964">
        <v>39</v>
      </c>
      <c r="AQ2964">
        <v>-104</v>
      </c>
      <c r="AR2964">
        <v>-704</v>
      </c>
      <c r="AZ2964">
        <v>1200</v>
      </c>
      <c r="BA2964">
        <v>1</v>
      </c>
      <c r="BB2964" t="str">
        <f t="shared" si="1636"/>
        <v xml:space="preserve">N9217B  </v>
      </c>
      <c r="BC2964">
        <v>1</v>
      </c>
      <c r="BE2964">
        <v>0</v>
      </c>
      <c r="BF2964">
        <v>0</v>
      </c>
      <c r="BG2964">
        <v>0</v>
      </c>
      <c r="BH2964">
        <v>5950</v>
      </c>
      <c r="BI2964">
        <v>1</v>
      </c>
      <c r="BJ2964">
        <v>0</v>
      </c>
      <c r="BK2964">
        <v>0</v>
      </c>
      <c r="BL2964">
        <v>0</v>
      </c>
      <c r="BO2964">
        <v>0</v>
      </c>
      <c r="BP2964">
        <v>0</v>
      </c>
      <c r="BW2964" t="str">
        <f t="shared" si="1644"/>
        <v>14:56:18.910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119</v>
      </c>
      <c r="CQ2964">
        <v>285</v>
      </c>
      <c r="CR2964">
        <v>0</v>
      </c>
      <c r="CW2964">
        <v>8873014</v>
      </c>
      <c r="CY2964">
        <v>0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25">
      <c r="A2965" t="str">
        <f t="shared" si="1641"/>
        <v>06/05/2020 14:56:13.242</v>
      </c>
      <c r="C2965" t="str">
        <f t="shared" si="1616"/>
        <v>FFDFD3C0</v>
      </c>
      <c r="D2965" t="s">
        <v>151</v>
      </c>
      <c r="E2965">
        <v>8</v>
      </c>
      <c r="H2965">
        <v>225</v>
      </c>
      <c r="I2965" t="s">
        <v>353</v>
      </c>
      <c r="J2965" t="s">
        <v>150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642"/>
        <v>14:56:18.906</v>
      </c>
      <c r="T2965" t="str">
        <f t="shared" si="1643"/>
        <v>14:56:18.706</v>
      </c>
      <c r="U2965" t="str">
        <f t="shared" si="1631"/>
        <v>ACC530</v>
      </c>
      <c r="V2965">
        <v>0</v>
      </c>
      <c r="W2965">
        <v>0</v>
      </c>
      <c r="X2965">
        <v>1</v>
      </c>
      <c r="Z2965">
        <v>0</v>
      </c>
      <c r="AA2965">
        <v>9</v>
      </c>
      <c r="AB2965">
        <v>3</v>
      </c>
      <c r="AC2965">
        <v>0</v>
      </c>
      <c r="AD2965">
        <v>9</v>
      </c>
      <c r="AE2965">
        <v>0</v>
      </c>
      <c r="AF2965">
        <v>3</v>
      </c>
      <c r="AG2965">
        <v>1</v>
      </c>
      <c r="AH2965">
        <v>0</v>
      </c>
      <c r="AI2965" t="s">
        <v>1006</v>
      </c>
      <c r="AJ2965">
        <v>34.112870999999998</v>
      </c>
      <c r="AK2965" t="s">
        <v>1007</v>
      </c>
      <c r="AL2965">
        <v>-117.054219</v>
      </c>
      <c r="AM2965">
        <v>100</v>
      </c>
      <c r="AN2965">
        <v>6100</v>
      </c>
      <c r="AO2965" t="s">
        <v>118</v>
      </c>
      <c r="AP2965">
        <v>39</v>
      </c>
      <c r="AQ2965">
        <v>-104</v>
      </c>
      <c r="AR2965">
        <v>-704</v>
      </c>
      <c r="AZ2965">
        <v>1200</v>
      </c>
      <c r="BA2965">
        <v>1</v>
      </c>
      <c r="BB2965" t="str">
        <f t="shared" si="1636"/>
        <v xml:space="preserve">N9217B  </v>
      </c>
      <c r="BC2965">
        <v>1</v>
      </c>
      <c r="BE2965">
        <v>0</v>
      </c>
      <c r="BF2965">
        <v>0</v>
      </c>
      <c r="BG2965">
        <v>0</v>
      </c>
      <c r="BH2965">
        <v>5950</v>
      </c>
      <c r="BI2965">
        <v>1</v>
      </c>
      <c r="BJ2965">
        <v>0</v>
      </c>
      <c r="BK2965">
        <v>0</v>
      </c>
      <c r="BL2965">
        <v>0</v>
      </c>
      <c r="BO2965">
        <v>0</v>
      </c>
      <c r="BP2965">
        <v>0</v>
      </c>
      <c r="BW2965" t="str">
        <f t="shared" si="1644"/>
        <v>14:56:18.910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119</v>
      </c>
      <c r="CQ2965">
        <v>285</v>
      </c>
      <c r="CR2965">
        <v>0</v>
      </c>
      <c r="CW2965">
        <v>8873014</v>
      </c>
      <c r="CY2965">
        <v>0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25">
      <c r="A2966" t="str">
        <f t="shared" si="1641"/>
        <v>06/05/2020 14:56:13.242</v>
      </c>
      <c r="C2966" t="str">
        <f t="shared" si="1616"/>
        <v>FFDFD3C0</v>
      </c>
      <c r="D2966" t="s">
        <v>113</v>
      </c>
      <c r="E2966">
        <v>3</v>
      </c>
      <c r="H2966">
        <v>166</v>
      </c>
      <c r="I2966" t="s">
        <v>114</v>
      </c>
      <c r="J2966" t="s">
        <v>115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si="1642"/>
        <v>14:56:18.906</v>
      </c>
      <c r="T2966" t="str">
        <f t="shared" si="1643"/>
        <v>14:56:18.706</v>
      </c>
      <c r="U2966" t="str">
        <f t="shared" si="1631"/>
        <v>ACC530</v>
      </c>
      <c r="V2966">
        <v>0</v>
      </c>
      <c r="W2966">
        <v>0</v>
      </c>
      <c r="X2966">
        <v>1</v>
      </c>
      <c r="Z2966">
        <v>0</v>
      </c>
      <c r="AA2966">
        <v>9</v>
      </c>
      <c r="AB2966">
        <v>3</v>
      </c>
      <c r="AC2966">
        <v>0</v>
      </c>
      <c r="AD2966">
        <v>9</v>
      </c>
      <c r="AE2966">
        <v>0</v>
      </c>
      <c r="AF2966">
        <v>3</v>
      </c>
      <c r="AG2966">
        <v>1</v>
      </c>
      <c r="AH2966">
        <v>0</v>
      </c>
      <c r="AI2966" t="s">
        <v>1006</v>
      </c>
      <c r="AJ2966">
        <v>34.112870999999998</v>
      </c>
      <c r="AK2966" t="s">
        <v>1007</v>
      </c>
      <c r="AL2966">
        <v>-117.054219</v>
      </c>
      <c r="AM2966">
        <v>100</v>
      </c>
      <c r="AN2966">
        <v>6100</v>
      </c>
      <c r="AO2966" t="s">
        <v>118</v>
      </c>
      <c r="AP2966">
        <v>39</v>
      </c>
      <c r="AQ2966">
        <v>-104</v>
      </c>
      <c r="AR2966">
        <v>-704</v>
      </c>
      <c r="AZ2966">
        <v>1200</v>
      </c>
      <c r="BA2966">
        <v>1</v>
      </c>
      <c r="BB2966" t="str">
        <f t="shared" si="1636"/>
        <v xml:space="preserve">N9217B  </v>
      </c>
      <c r="BC2966">
        <v>1</v>
      </c>
      <c r="BE2966">
        <v>0</v>
      </c>
      <c r="BF2966">
        <v>0</v>
      </c>
      <c r="BG2966">
        <v>0</v>
      </c>
      <c r="BH2966">
        <v>5950</v>
      </c>
      <c r="BI2966">
        <v>1</v>
      </c>
      <c r="BJ2966">
        <v>0</v>
      </c>
      <c r="BK2966">
        <v>0</v>
      </c>
      <c r="BL2966">
        <v>0</v>
      </c>
      <c r="BO2966">
        <v>0</v>
      </c>
      <c r="BP2966">
        <v>0</v>
      </c>
      <c r="BW2966" t="str">
        <f t="shared" si="1644"/>
        <v>14:56:18.910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7</v>
      </c>
      <c r="CP2966" t="s">
        <v>119</v>
      </c>
      <c r="CQ2966">
        <v>285</v>
      </c>
      <c r="CR2966">
        <v>0</v>
      </c>
      <c r="CW2966">
        <v>8873014</v>
      </c>
      <c r="CY2966">
        <v>0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25">
      <c r="A2967" t="str">
        <f t="shared" si="1641"/>
        <v>06/05/2020 14:56:13.242</v>
      </c>
      <c r="C2967" t="str">
        <f t="shared" si="1616"/>
        <v>FFDFD3C0</v>
      </c>
      <c r="D2967" t="s">
        <v>151</v>
      </c>
      <c r="E2967">
        <v>9</v>
      </c>
      <c r="H2967">
        <v>226</v>
      </c>
      <c r="I2967" t="s">
        <v>152</v>
      </c>
      <c r="J2967" t="s">
        <v>150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642"/>
        <v>14:56:18.906</v>
      </c>
      <c r="T2967" t="str">
        <f t="shared" si="1643"/>
        <v>14:56:18.706</v>
      </c>
      <c r="U2967" t="str">
        <f t="shared" si="1631"/>
        <v>ACC530</v>
      </c>
      <c r="V2967">
        <v>0</v>
      </c>
      <c r="W2967">
        <v>0</v>
      </c>
      <c r="X2967">
        <v>1</v>
      </c>
      <c r="Z2967">
        <v>0</v>
      </c>
      <c r="AA2967">
        <v>9</v>
      </c>
      <c r="AB2967">
        <v>3</v>
      </c>
      <c r="AC2967">
        <v>0</v>
      </c>
      <c r="AD2967">
        <v>9</v>
      </c>
      <c r="AE2967">
        <v>0</v>
      </c>
      <c r="AF2967">
        <v>3</v>
      </c>
      <c r="AG2967">
        <v>1</v>
      </c>
      <c r="AH2967">
        <v>0</v>
      </c>
      <c r="AI2967" t="s">
        <v>1006</v>
      </c>
      <c r="AJ2967">
        <v>34.112870999999998</v>
      </c>
      <c r="AK2967" t="s">
        <v>1007</v>
      </c>
      <c r="AL2967">
        <v>-117.054219</v>
      </c>
      <c r="AM2967">
        <v>100</v>
      </c>
      <c r="AN2967">
        <v>6100</v>
      </c>
      <c r="AO2967" t="s">
        <v>118</v>
      </c>
      <c r="AP2967">
        <v>39</v>
      </c>
      <c r="AQ2967">
        <v>-104</v>
      </c>
      <c r="AR2967">
        <v>-704</v>
      </c>
      <c r="AZ2967">
        <v>1200</v>
      </c>
      <c r="BA2967">
        <v>1</v>
      </c>
      <c r="BB2967" t="str">
        <f t="shared" si="1636"/>
        <v xml:space="preserve">N9217B  </v>
      </c>
      <c r="BC2967">
        <v>1</v>
      </c>
      <c r="BE2967">
        <v>0</v>
      </c>
      <c r="BF2967">
        <v>0</v>
      </c>
      <c r="BG2967">
        <v>0</v>
      </c>
      <c r="BH2967">
        <v>5950</v>
      </c>
      <c r="BI2967">
        <v>1</v>
      </c>
      <c r="BJ2967">
        <v>0</v>
      </c>
      <c r="BK2967">
        <v>0</v>
      </c>
      <c r="BL2967">
        <v>0</v>
      </c>
      <c r="BO2967">
        <v>0</v>
      </c>
      <c r="BP2967">
        <v>0</v>
      </c>
      <c r="BW2967" t="str">
        <f t="shared" si="1644"/>
        <v>14:56:18.910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285</v>
      </c>
      <c r="CR2967">
        <v>0</v>
      </c>
      <c r="CW2967">
        <v>8873014</v>
      </c>
      <c r="CY2967">
        <v>0</v>
      </c>
      <c r="CZ2967">
        <v>0</v>
      </c>
      <c r="DA2967">
        <v>1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25">
      <c r="A2968" t="str">
        <f t="shared" si="1641"/>
        <v>06/05/2020 14:56:13.242</v>
      </c>
      <c r="C2968" t="str">
        <f t="shared" si="1616"/>
        <v>FFDFD3C0</v>
      </c>
      <c r="D2968" t="s">
        <v>134</v>
      </c>
      <c r="E2968">
        <v>7</v>
      </c>
      <c r="F2968">
        <v>2007</v>
      </c>
      <c r="G2968" t="s">
        <v>135</v>
      </c>
      <c r="J2968" t="s">
        <v>136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642"/>
        <v>14:56:18.906</v>
      </c>
      <c r="T2968" t="str">
        <f t="shared" si="1643"/>
        <v>14:56:18.706</v>
      </c>
      <c r="U2968" t="str">
        <f t="shared" si="1631"/>
        <v>ACC530</v>
      </c>
      <c r="V2968">
        <v>0</v>
      </c>
      <c r="W2968">
        <v>0</v>
      </c>
      <c r="X2968">
        <v>1</v>
      </c>
      <c r="Z2968">
        <v>0</v>
      </c>
      <c r="AA2968">
        <v>9</v>
      </c>
      <c r="AB2968">
        <v>3</v>
      </c>
      <c r="AC2968">
        <v>0</v>
      </c>
      <c r="AD2968">
        <v>9</v>
      </c>
      <c r="AE2968">
        <v>0</v>
      </c>
      <c r="AF2968">
        <v>3</v>
      </c>
      <c r="AG2968">
        <v>1</v>
      </c>
      <c r="AH2968">
        <v>0</v>
      </c>
      <c r="AI2968" t="s">
        <v>1006</v>
      </c>
      <c r="AJ2968">
        <v>34.112870999999998</v>
      </c>
      <c r="AK2968" t="s">
        <v>1007</v>
      </c>
      <c r="AL2968">
        <v>-117.054219</v>
      </c>
      <c r="AM2968">
        <v>100</v>
      </c>
      <c r="AN2968">
        <v>6100</v>
      </c>
      <c r="AO2968" t="s">
        <v>118</v>
      </c>
      <c r="AP2968">
        <v>39</v>
      </c>
      <c r="AQ2968">
        <v>-104</v>
      </c>
      <c r="AR2968">
        <v>-704</v>
      </c>
      <c r="AZ2968">
        <v>1200</v>
      </c>
      <c r="BA2968">
        <v>1</v>
      </c>
      <c r="BB2968" t="str">
        <f t="shared" si="1636"/>
        <v xml:space="preserve">N9217B  </v>
      </c>
      <c r="BC2968">
        <v>1</v>
      </c>
      <c r="BE2968">
        <v>0</v>
      </c>
      <c r="BF2968">
        <v>0</v>
      </c>
      <c r="BG2968">
        <v>0</v>
      </c>
      <c r="BH2968">
        <v>5950</v>
      </c>
      <c r="BI2968">
        <v>1</v>
      </c>
      <c r="BJ2968">
        <v>0</v>
      </c>
      <c r="BK2968">
        <v>0</v>
      </c>
      <c r="BL2968">
        <v>0</v>
      </c>
      <c r="BO2968">
        <v>0</v>
      </c>
      <c r="BP2968">
        <v>0</v>
      </c>
      <c r="BW2968" t="str">
        <f t="shared" si="1644"/>
        <v>14:56:18.910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7</v>
      </c>
      <c r="CP2968" t="s">
        <v>119</v>
      </c>
      <c r="CQ2968">
        <v>285</v>
      </c>
      <c r="CR2968">
        <v>0</v>
      </c>
      <c r="CW2968">
        <v>8873014</v>
      </c>
      <c r="CY2968">
        <v>0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25">
      <c r="A2969" t="str">
        <f t="shared" ref="A2969:A2975" si="1645">"06/05/2020 14:56:14.352"</f>
        <v>06/05/2020 14:56:14.352</v>
      </c>
      <c r="C2969" t="str">
        <f t="shared" si="1616"/>
        <v>FFDFD3C0</v>
      </c>
      <c r="D2969" t="s">
        <v>141</v>
      </c>
      <c r="E2969">
        <v>20</v>
      </c>
      <c r="F2969">
        <v>1020</v>
      </c>
      <c r="G2969" t="s">
        <v>114</v>
      </c>
      <c r="J2969" t="s">
        <v>142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ref="S2969:S2975" si="1646">"14:56:19.953"</f>
        <v>14:56:19.953</v>
      </c>
      <c r="T2969" t="str">
        <f t="shared" ref="T2969:T2975" si="1647">"14:56:19.653"</f>
        <v>14:56:19.653</v>
      </c>
      <c r="U2969" t="str">
        <f t="shared" si="1631"/>
        <v>ACC530</v>
      </c>
      <c r="V2969">
        <v>0</v>
      </c>
      <c r="W2969">
        <v>0</v>
      </c>
      <c r="X2969">
        <v>1</v>
      </c>
      <c r="Z2969">
        <v>0</v>
      </c>
      <c r="AA2969">
        <v>9</v>
      </c>
      <c r="AB2969">
        <v>3</v>
      </c>
      <c r="AC2969">
        <v>0</v>
      </c>
      <c r="AD2969">
        <v>9</v>
      </c>
      <c r="AE2969">
        <v>0</v>
      </c>
      <c r="AF2969">
        <v>3</v>
      </c>
      <c r="AG2969">
        <v>1</v>
      </c>
      <c r="AH2969">
        <v>0</v>
      </c>
      <c r="AI2969" t="s">
        <v>1008</v>
      </c>
      <c r="AJ2969">
        <v>34.112355999999998</v>
      </c>
      <c r="AK2969" t="s">
        <v>895</v>
      </c>
      <c r="AL2969">
        <v>-117.054005</v>
      </c>
      <c r="AM2969">
        <v>100</v>
      </c>
      <c r="AN2969">
        <v>6100</v>
      </c>
      <c r="AO2969" t="s">
        <v>118</v>
      </c>
      <c r="AP2969">
        <v>40</v>
      </c>
      <c r="AQ2969">
        <v>-103</v>
      </c>
      <c r="AR2969">
        <v>-640</v>
      </c>
      <c r="AZ2969">
        <v>1200</v>
      </c>
      <c r="BA2969">
        <v>1</v>
      </c>
      <c r="BB2969" t="str">
        <f t="shared" si="1636"/>
        <v xml:space="preserve">N9217B  </v>
      </c>
      <c r="BC2969">
        <v>1</v>
      </c>
      <c r="BE2969">
        <v>0</v>
      </c>
      <c r="BF2969">
        <v>0</v>
      </c>
      <c r="BG2969">
        <v>0</v>
      </c>
      <c r="BH2969">
        <v>5950</v>
      </c>
      <c r="BI2969">
        <v>1</v>
      </c>
      <c r="BJ2969">
        <v>0</v>
      </c>
      <c r="BK2969">
        <v>0</v>
      </c>
      <c r="BL2969">
        <v>0</v>
      </c>
      <c r="BO2969">
        <v>0</v>
      </c>
      <c r="BP2969">
        <v>0</v>
      </c>
      <c r="BW2969" t="str">
        <f t="shared" ref="BW2969:BW2975" si="1648">"14:56:19.960"</f>
        <v>14:56:19.960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285</v>
      </c>
      <c r="CR2969">
        <v>0</v>
      </c>
      <c r="CW2969">
        <v>8873114</v>
      </c>
      <c r="CY2969">
        <v>0</v>
      </c>
      <c r="CZ2969">
        <v>0</v>
      </c>
      <c r="DA2969">
        <v>0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25">
      <c r="A2970" t="str">
        <f t="shared" si="1645"/>
        <v>06/05/2020 14:56:14.352</v>
      </c>
      <c r="C2970" t="str">
        <f t="shared" si="1616"/>
        <v>FFDFD3C0</v>
      </c>
      <c r="D2970" t="s">
        <v>148</v>
      </c>
      <c r="E2970">
        <v>8</v>
      </c>
      <c r="H2970">
        <v>50</v>
      </c>
      <c r="I2970" t="s">
        <v>149</v>
      </c>
      <c r="J2970" t="s">
        <v>150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646"/>
        <v>14:56:19.953</v>
      </c>
      <c r="T2970" t="str">
        <f t="shared" si="1647"/>
        <v>14:56:19.653</v>
      </c>
      <c r="U2970" t="str">
        <f t="shared" si="1631"/>
        <v>ACC530</v>
      </c>
      <c r="V2970">
        <v>0</v>
      </c>
      <c r="W2970">
        <v>0</v>
      </c>
      <c r="X2970">
        <v>1</v>
      </c>
      <c r="Z2970">
        <v>0</v>
      </c>
      <c r="AA2970">
        <v>9</v>
      </c>
      <c r="AB2970">
        <v>3</v>
      </c>
      <c r="AC2970">
        <v>0</v>
      </c>
      <c r="AD2970">
        <v>9</v>
      </c>
      <c r="AE2970">
        <v>0</v>
      </c>
      <c r="AF2970">
        <v>3</v>
      </c>
      <c r="AG2970">
        <v>1</v>
      </c>
      <c r="AH2970">
        <v>0</v>
      </c>
      <c r="AI2970" t="s">
        <v>1008</v>
      </c>
      <c r="AJ2970">
        <v>34.112355999999998</v>
      </c>
      <c r="AK2970" t="s">
        <v>895</v>
      </c>
      <c r="AL2970">
        <v>-117.054005</v>
      </c>
      <c r="AM2970">
        <v>100</v>
      </c>
      <c r="AN2970">
        <v>6100</v>
      </c>
      <c r="AO2970" t="s">
        <v>118</v>
      </c>
      <c r="AP2970">
        <v>40</v>
      </c>
      <c r="AQ2970">
        <v>-103</v>
      </c>
      <c r="AR2970">
        <v>-640</v>
      </c>
      <c r="AZ2970">
        <v>1200</v>
      </c>
      <c r="BA2970">
        <v>1</v>
      </c>
      <c r="BB2970" t="str">
        <f t="shared" si="1636"/>
        <v xml:space="preserve">N9217B  </v>
      </c>
      <c r="BC2970">
        <v>1</v>
      </c>
      <c r="BE2970">
        <v>0</v>
      </c>
      <c r="BF2970">
        <v>0</v>
      </c>
      <c r="BG2970">
        <v>0</v>
      </c>
      <c r="BH2970">
        <v>5950</v>
      </c>
      <c r="BI2970">
        <v>1</v>
      </c>
      <c r="BJ2970">
        <v>0</v>
      </c>
      <c r="BK2970">
        <v>0</v>
      </c>
      <c r="BL2970">
        <v>0</v>
      </c>
      <c r="BO2970">
        <v>0</v>
      </c>
      <c r="BP2970">
        <v>0</v>
      </c>
      <c r="BW2970" t="str">
        <f t="shared" si="1648"/>
        <v>14:56:19.960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7</v>
      </c>
      <c r="CP2970" t="s">
        <v>119</v>
      </c>
      <c r="CQ2970">
        <v>285</v>
      </c>
      <c r="CR2970">
        <v>0</v>
      </c>
      <c r="CW2970">
        <v>8873114</v>
      </c>
      <c r="CY2970">
        <v>0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25">
      <c r="A2971" t="str">
        <f t="shared" si="1645"/>
        <v>06/05/2020 14:56:14.352</v>
      </c>
      <c r="C2971" t="str">
        <f t="shared" si="1616"/>
        <v>FFDFD3C0</v>
      </c>
      <c r="D2971" t="s">
        <v>148</v>
      </c>
      <c r="E2971">
        <v>11</v>
      </c>
      <c r="H2971">
        <v>53</v>
      </c>
      <c r="I2971" t="s">
        <v>364</v>
      </c>
      <c r="J2971" t="s">
        <v>150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646"/>
        <v>14:56:19.953</v>
      </c>
      <c r="T2971" t="str">
        <f t="shared" si="1647"/>
        <v>14:56:19.653</v>
      </c>
      <c r="U2971" t="str">
        <f t="shared" si="1631"/>
        <v>ACC530</v>
      </c>
      <c r="V2971">
        <v>0</v>
      </c>
      <c r="W2971">
        <v>0</v>
      </c>
      <c r="X2971">
        <v>1</v>
      </c>
      <c r="Z2971">
        <v>0</v>
      </c>
      <c r="AA2971">
        <v>9</v>
      </c>
      <c r="AB2971">
        <v>3</v>
      </c>
      <c r="AC2971">
        <v>0</v>
      </c>
      <c r="AD2971">
        <v>9</v>
      </c>
      <c r="AE2971">
        <v>0</v>
      </c>
      <c r="AF2971">
        <v>3</v>
      </c>
      <c r="AG2971">
        <v>1</v>
      </c>
      <c r="AH2971">
        <v>0</v>
      </c>
      <c r="AI2971" t="s">
        <v>1008</v>
      </c>
      <c r="AJ2971">
        <v>34.112355999999998</v>
      </c>
      <c r="AK2971" t="s">
        <v>895</v>
      </c>
      <c r="AL2971">
        <v>-117.054005</v>
      </c>
      <c r="AM2971">
        <v>100</v>
      </c>
      <c r="AN2971">
        <v>6100</v>
      </c>
      <c r="AO2971" t="s">
        <v>118</v>
      </c>
      <c r="AP2971">
        <v>40</v>
      </c>
      <c r="AQ2971">
        <v>-103</v>
      </c>
      <c r="AR2971">
        <v>-640</v>
      </c>
      <c r="AZ2971">
        <v>1200</v>
      </c>
      <c r="BA2971">
        <v>1</v>
      </c>
      <c r="BB2971" t="str">
        <f t="shared" si="1636"/>
        <v xml:space="preserve">N9217B  </v>
      </c>
      <c r="BC2971">
        <v>1</v>
      </c>
      <c r="BE2971">
        <v>0</v>
      </c>
      <c r="BF2971">
        <v>0</v>
      </c>
      <c r="BG2971">
        <v>0</v>
      </c>
      <c r="BH2971">
        <v>5950</v>
      </c>
      <c r="BI2971">
        <v>1</v>
      </c>
      <c r="BJ2971">
        <v>0</v>
      </c>
      <c r="BK2971">
        <v>0</v>
      </c>
      <c r="BL2971">
        <v>0</v>
      </c>
      <c r="BO2971">
        <v>0</v>
      </c>
      <c r="BP2971">
        <v>0</v>
      </c>
      <c r="BW2971" t="str">
        <f t="shared" si="1648"/>
        <v>14:56:19.960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119</v>
      </c>
      <c r="CQ2971">
        <v>285</v>
      </c>
      <c r="CR2971">
        <v>0</v>
      </c>
      <c r="CW2971">
        <v>8873114</v>
      </c>
      <c r="CY2971">
        <v>0</v>
      </c>
      <c r="CZ2971">
        <v>0</v>
      </c>
      <c r="DA2971">
        <v>1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25">
      <c r="A2972" t="str">
        <f t="shared" si="1645"/>
        <v>06/05/2020 14:56:14.352</v>
      </c>
      <c r="C2972" t="str">
        <f t="shared" si="1616"/>
        <v>FFDFD3C0</v>
      </c>
      <c r="D2972" t="s">
        <v>151</v>
      </c>
      <c r="E2972">
        <v>8</v>
      </c>
      <c r="H2972">
        <v>225</v>
      </c>
      <c r="I2972" t="s">
        <v>353</v>
      </c>
      <c r="J2972" t="s">
        <v>150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646"/>
        <v>14:56:19.953</v>
      </c>
      <c r="T2972" t="str">
        <f t="shared" si="1647"/>
        <v>14:56:19.653</v>
      </c>
      <c r="U2972" t="str">
        <f t="shared" si="1631"/>
        <v>ACC530</v>
      </c>
      <c r="V2972">
        <v>0</v>
      </c>
      <c r="W2972">
        <v>0</v>
      </c>
      <c r="X2972">
        <v>1</v>
      </c>
      <c r="Z2972">
        <v>0</v>
      </c>
      <c r="AA2972">
        <v>9</v>
      </c>
      <c r="AB2972">
        <v>3</v>
      </c>
      <c r="AC2972">
        <v>0</v>
      </c>
      <c r="AD2972">
        <v>9</v>
      </c>
      <c r="AE2972">
        <v>0</v>
      </c>
      <c r="AF2972">
        <v>3</v>
      </c>
      <c r="AG2972">
        <v>1</v>
      </c>
      <c r="AH2972">
        <v>0</v>
      </c>
      <c r="AI2972" t="s">
        <v>1008</v>
      </c>
      <c r="AJ2972">
        <v>34.112355999999998</v>
      </c>
      <c r="AK2972" t="s">
        <v>895</v>
      </c>
      <c r="AL2972">
        <v>-117.054005</v>
      </c>
      <c r="AM2972">
        <v>100</v>
      </c>
      <c r="AN2972">
        <v>6100</v>
      </c>
      <c r="AO2972" t="s">
        <v>118</v>
      </c>
      <c r="AP2972">
        <v>40</v>
      </c>
      <c r="AQ2972">
        <v>-103</v>
      </c>
      <c r="AR2972">
        <v>-640</v>
      </c>
      <c r="AZ2972">
        <v>1200</v>
      </c>
      <c r="BA2972">
        <v>1</v>
      </c>
      <c r="BB2972" t="str">
        <f t="shared" si="1636"/>
        <v xml:space="preserve">N9217B  </v>
      </c>
      <c r="BC2972">
        <v>1</v>
      </c>
      <c r="BE2972">
        <v>0</v>
      </c>
      <c r="BF2972">
        <v>0</v>
      </c>
      <c r="BG2972">
        <v>0</v>
      </c>
      <c r="BH2972">
        <v>5950</v>
      </c>
      <c r="BI2972">
        <v>1</v>
      </c>
      <c r="BJ2972">
        <v>0</v>
      </c>
      <c r="BK2972">
        <v>0</v>
      </c>
      <c r="BL2972">
        <v>0</v>
      </c>
      <c r="BO2972">
        <v>0</v>
      </c>
      <c r="BP2972">
        <v>0</v>
      </c>
      <c r="BW2972" t="str">
        <f t="shared" si="1648"/>
        <v>14:56:19.960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7</v>
      </c>
      <c r="CP2972" t="s">
        <v>119</v>
      </c>
      <c r="CQ2972">
        <v>285</v>
      </c>
      <c r="CR2972">
        <v>0</v>
      </c>
      <c r="CW2972">
        <v>8873114</v>
      </c>
      <c r="CY2972">
        <v>0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25">
      <c r="A2973" t="str">
        <f t="shared" si="1645"/>
        <v>06/05/2020 14:56:14.352</v>
      </c>
      <c r="C2973" t="str">
        <f t="shared" si="1616"/>
        <v>FFDFD3C0</v>
      </c>
      <c r="D2973" t="s">
        <v>113</v>
      </c>
      <c r="E2973">
        <v>3</v>
      </c>
      <c r="H2973">
        <v>166</v>
      </c>
      <c r="I2973" t="s">
        <v>114</v>
      </c>
      <c r="J2973" t="s">
        <v>115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si="1646"/>
        <v>14:56:19.953</v>
      </c>
      <c r="T2973" t="str">
        <f t="shared" si="1647"/>
        <v>14:56:19.653</v>
      </c>
      <c r="U2973" t="str">
        <f t="shared" si="1631"/>
        <v>ACC530</v>
      </c>
      <c r="V2973">
        <v>0</v>
      </c>
      <c r="W2973">
        <v>0</v>
      </c>
      <c r="X2973">
        <v>1</v>
      </c>
      <c r="Z2973">
        <v>0</v>
      </c>
      <c r="AA2973">
        <v>9</v>
      </c>
      <c r="AB2973">
        <v>3</v>
      </c>
      <c r="AC2973">
        <v>0</v>
      </c>
      <c r="AD2973">
        <v>9</v>
      </c>
      <c r="AE2973">
        <v>0</v>
      </c>
      <c r="AF2973">
        <v>3</v>
      </c>
      <c r="AG2973">
        <v>1</v>
      </c>
      <c r="AH2973">
        <v>0</v>
      </c>
      <c r="AI2973" t="s">
        <v>1008</v>
      </c>
      <c r="AJ2973">
        <v>34.112355999999998</v>
      </c>
      <c r="AK2973" t="s">
        <v>895</v>
      </c>
      <c r="AL2973">
        <v>-117.054005</v>
      </c>
      <c r="AM2973">
        <v>100</v>
      </c>
      <c r="AN2973">
        <v>6100</v>
      </c>
      <c r="AO2973" t="s">
        <v>118</v>
      </c>
      <c r="AP2973">
        <v>40</v>
      </c>
      <c r="AQ2973">
        <v>-103</v>
      </c>
      <c r="AR2973">
        <v>-640</v>
      </c>
      <c r="AZ2973">
        <v>1200</v>
      </c>
      <c r="BA2973">
        <v>1</v>
      </c>
      <c r="BB2973" t="str">
        <f t="shared" si="1636"/>
        <v xml:space="preserve">N9217B  </v>
      </c>
      <c r="BC2973">
        <v>1</v>
      </c>
      <c r="BE2973">
        <v>0</v>
      </c>
      <c r="BF2973">
        <v>0</v>
      </c>
      <c r="BG2973">
        <v>0</v>
      </c>
      <c r="BH2973">
        <v>5950</v>
      </c>
      <c r="BI2973">
        <v>1</v>
      </c>
      <c r="BJ2973">
        <v>0</v>
      </c>
      <c r="BK2973">
        <v>0</v>
      </c>
      <c r="BL2973">
        <v>0</v>
      </c>
      <c r="BO2973">
        <v>0</v>
      </c>
      <c r="BP2973">
        <v>0</v>
      </c>
      <c r="BW2973" t="str">
        <f t="shared" si="1648"/>
        <v>14:56:19.960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7</v>
      </c>
      <c r="CP2973" t="s">
        <v>119</v>
      </c>
      <c r="CQ2973">
        <v>285</v>
      </c>
      <c r="CR2973">
        <v>0</v>
      </c>
      <c r="CW2973">
        <v>8873114</v>
      </c>
      <c r="CY2973">
        <v>0</v>
      </c>
      <c r="CZ2973">
        <v>0</v>
      </c>
      <c r="DA2973">
        <v>1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25">
      <c r="A2974" t="str">
        <f t="shared" si="1645"/>
        <v>06/05/2020 14:56:14.352</v>
      </c>
      <c r="C2974" t="str">
        <f t="shared" si="1616"/>
        <v>FFDFD3C0</v>
      </c>
      <c r="D2974" t="s">
        <v>151</v>
      </c>
      <c r="E2974">
        <v>9</v>
      </c>
      <c r="H2974">
        <v>226</v>
      </c>
      <c r="I2974" t="s">
        <v>152</v>
      </c>
      <c r="J2974" t="s">
        <v>150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646"/>
        <v>14:56:19.953</v>
      </c>
      <c r="T2974" t="str">
        <f t="shared" si="1647"/>
        <v>14:56:19.653</v>
      </c>
      <c r="U2974" t="str">
        <f t="shared" si="1631"/>
        <v>ACC530</v>
      </c>
      <c r="V2974">
        <v>0</v>
      </c>
      <c r="W2974">
        <v>0</v>
      </c>
      <c r="X2974">
        <v>1</v>
      </c>
      <c r="Z2974">
        <v>0</v>
      </c>
      <c r="AA2974">
        <v>9</v>
      </c>
      <c r="AB2974">
        <v>3</v>
      </c>
      <c r="AC2974">
        <v>0</v>
      </c>
      <c r="AD2974">
        <v>9</v>
      </c>
      <c r="AE2974">
        <v>0</v>
      </c>
      <c r="AF2974">
        <v>3</v>
      </c>
      <c r="AG2974">
        <v>1</v>
      </c>
      <c r="AH2974">
        <v>0</v>
      </c>
      <c r="AI2974" t="s">
        <v>1008</v>
      </c>
      <c r="AJ2974">
        <v>34.112355999999998</v>
      </c>
      <c r="AK2974" t="s">
        <v>895</v>
      </c>
      <c r="AL2974">
        <v>-117.054005</v>
      </c>
      <c r="AM2974">
        <v>100</v>
      </c>
      <c r="AN2974">
        <v>6100</v>
      </c>
      <c r="AO2974" t="s">
        <v>118</v>
      </c>
      <c r="AP2974">
        <v>40</v>
      </c>
      <c r="AQ2974">
        <v>-103</v>
      </c>
      <c r="AR2974">
        <v>-640</v>
      </c>
      <c r="AZ2974">
        <v>1200</v>
      </c>
      <c r="BA2974">
        <v>1</v>
      </c>
      <c r="BB2974" t="str">
        <f t="shared" si="1636"/>
        <v xml:space="preserve">N9217B  </v>
      </c>
      <c r="BC2974">
        <v>1</v>
      </c>
      <c r="BE2974">
        <v>0</v>
      </c>
      <c r="BF2974">
        <v>0</v>
      </c>
      <c r="BG2974">
        <v>0</v>
      </c>
      <c r="BH2974">
        <v>5950</v>
      </c>
      <c r="BI2974">
        <v>1</v>
      </c>
      <c r="BJ2974">
        <v>0</v>
      </c>
      <c r="BK2974">
        <v>0</v>
      </c>
      <c r="BL2974">
        <v>0</v>
      </c>
      <c r="BO2974">
        <v>0</v>
      </c>
      <c r="BP2974">
        <v>0</v>
      </c>
      <c r="BW2974" t="str">
        <f t="shared" si="1648"/>
        <v>14:56:19.960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7</v>
      </c>
      <c r="CP2974" t="s">
        <v>119</v>
      </c>
      <c r="CQ2974">
        <v>285</v>
      </c>
      <c r="CR2974">
        <v>0</v>
      </c>
      <c r="CW2974">
        <v>8873114</v>
      </c>
      <c r="CY2974">
        <v>0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25">
      <c r="A2975" t="str">
        <f t="shared" si="1645"/>
        <v>06/05/2020 14:56:14.352</v>
      </c>
      <c r="C2975" t="str">
        <f t="shared" si="1616"/>
        <v>FFDFD3C0</v>
      </c>
      <c r="D2975" t="s">
        <v>134</v>
      </c>
      <c r="E2975">
        <v>7</v>
      </c>
      <c r="F2975">
        <v>2007</v>
      </c>
      <c r="G2975" t="s">
        <v>135</v>
      </c>
      <c r="J2975" t="s">
        <v>136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646"/>
        <v>14:56:19.953</v>
      </c>
      <c r="T2975" t="str">
        <f t="shared" si="1647"/>
        <v>14:56:19.653</v>
      </c>
      <c r="U2975" t="str">
        <f t="shared" si="1631"/>
        <v>ACC530</v>
      </c>
      <c r="V2975">
        <v>0</v>
      </c>
      <c r="W2975">
        <v>0</v>
      </c>
      <c r="X2975">
        <v>1</v>
      </c>
      <c r="Z2975">
        <v>0</v>
      </c>
      <c r="AA2975">
        <v>9</v>
      </c>
      <c r="AB2975">
        <v>3</v>
      </c>
      <c r="AC2975">
        <v>0</v>
      </c>
      <c r="AD2975">
        <v>9</v>
      </c>
      <c r="AE2975">
        <v>0</v>
      </c>
      <c r="AF2975">
        <v>3</v>
      </c>
      <c r="AG2975">
        <v>1</v>
      </c>
      <c r="AH2975">
        <v>0</v>
      </c>
      <c r="AI2975" t="s">
        <v>1008</v>
      </c>
      <c r="AJ2975">
        <v>34.112355999999998</v>
      </c>
      <c r="AK2975" t="s">
        <v>895</v>
      </c>
      <c r="AL2975">
        <v>-117.054005</v>
      </c>
      <c r="AM2975">
        <v>100</v>
      </c>
      <c r="AN2975">
        <v>6100</v>
      </c>
      <c r="AO2975" t="s">
        <v>118</v>
      </c>
      <c r="AP2975">
        <v>40</v>
      </c>
      <c r="AQ2975">
        <v>-103</v>
      </c>
      <c r="AR2975">
        <v>-640</v>
      </c>
      <c r="AZ2975">
        <v>1200</v>
      </c>
      <c r="BA2975">
        <v>1</v>
      </c>
      <c r="BB2975" t="str">
        <f t="shared" si="1636"/>
        <v xml:space="preserve">N9217B  </v>
      </c>
      <c r="BC2975">
        <v>1</v>
      </c>
      <c r="BE2975">
        <v>0</v>
      </c>
      <c r="BF2975">
        <v>0</v>
      </c>
      <c r="BG2975">
        <v>0</v>
      </c>
      <c r="BH2975">
        <v>5950</v>
      </c>
      <c r="BI2975">
        <v>1</v>
      </c>
      <c r="BJ2975">
        <v>0</v>
      </c>
      <c r="BK2975">
        <v>0</v>
      </c>
      <c r="BL2975">
        <v>0</v>
      </c>
      <c r="BO2975">
        <v>0</v>
      </c>
      <c r="BP2975">
        <v>0</v>
      </c>
      <c r="BW2975" t="str">
        <f t="shared" si="1648"/>
        <v>14:56:19.960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7</v>
      </c>
      <c r="CP2975" t="s">
        <v>119</v>
      </c>
      <c r="CQ2975">
        <v>285</v>
      </c>
      <c r="CR2975">
        <v>0</v>
      </c>
      <c r="CW2975">
        <v>8873114</v>
      </c>
      <c r="CY2975">
        <v>0</v>
      </c>
      <c r="CZ2975">
        <v>0</v>
      </c>
      <c r="DA2975">
        <v>1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25">
      <c r="A2976" t="str">
        <f t="shared" ref="A2976:A2982" si="1649">"06/05/2020 14:56:15.463"</f>
        <v>06/05/2020 14:56:15.463</v>
      </c>
      <c r="C2976" t="str">
        <f t="shared" si="1616"/>
        <v>FFDFD3C0</v>
      </c>
      <c r="D2976" t="s">
        <v>141</v>
      </c>
      <c r="E2976">
        <v>20</v>
      </c>
      <c r="F2976">
        <v>1020</v>
      </c>
      <c r="G2976" t="s">
        <v>114</v>
      </c>
      <c r="J2976" t="s">
        <v>142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ref="S2976:T2982" si="1650">"14:56:21.109"</f>
        <v>14:56:21.109</v>
      </c>
      <c r="T2976" t="str">
        <f t="shared" si="1650"/>
        <v>14:56:21.109</v>
      </c>
      <c r="U2976" t="str">
        <f t="shared" si="1631"/>
        <v>ACC530</v>
      </c>
      <c r="V2976">
        <v>0</v>
      </c>
      <c r="W2976">
        <v>0</v>
      </c>
      <c r="X2976">
        <v>1</v>
      </c>
      <c r="Z2976">
        <v>0</v>
      </c>
      <c r="AA2976">
        <v>9</v>
      </c>
      <c r="AB2976">
        <v>3</v>
      </c>
      <c r="AC2976">
        <v>0</v>
      </c>
      <c r="AD2976">
        <v>9</v>
      </c>
      <c r="AE2976">
        <v>0</v>
      </c>
      <c r="AF2976">
        <v>3</v>
      </c>
      <c r="AG2976">
        <v>1</v>
      </c>
      <c r="AH2976">
        <v>0</v>
      </c>
      <c r="AI2976" t="s">
        <v>1009</v>
      </c>
      <c r="AJ2976">
        <v>34.111798</v>
      </c>
      <c r="AK2976" t="s">
        <v>893</v>
      </c>
      <c r="AL2976">
        <v>-117.053726</v>
      </c>
      <c r="AM2976">
        <v>100</v>
      </c>
      <c r="AN2976">
        <v>6000</v>
      </c>
      <c r="AO2976" t="s">
        <v>118</v>
      </c>
      <c r="AP2976">
        <v>42</v>
      </c>
      <c r="AQ2976">
        <v>-102</v>
      </c>
      <c r="AR2976">
        <v>-640</v>
      </c>
      <c r="AZ2976">
        <v>1200</v>
      </c>
      <c r="BA2976">
        <v>1</v>
      </c>
      <c r="BB2976" t="str">
        <f t="shared" si="1636"/>
        <v xml:space="preserve">N9217B  </v>
      </c>
      <c r="BC2976">
        <v>1</v>
      </c>
      <c r="BE2976">
        <v>0</v>
      </c>
      <c r="BF2976">
        <v>0</v>
      </c>
      <c r="BG2976">
        <v>0</v>
      </c>
      <c r="BH2976">
        <v>5925</v>
      </c>
      <c r="BI2976">
        <v>1</v>
      </c>
      <c r="BJ2976">
        <v>0</v>
      </c>
      <c r="BK2976">
        <v>0</v>
      </c>
      <c r="BL2976">
        <v>0</v>
      </c>
      <c r="BO2976">
        <v>0</v>
      </c>
      <c r="BP2976">
        <v>0</v>
      </c>
      <c r="BW2976" t="str">
        <f t="shared" ref="BW2976:BW2982" si="1651">"14:56:21.115"</f>
        <v>14:56:21.115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7</v>
      </c>
      <c r="CP2976" t="s">
        <v>119</v>
      </c>
      <c r="CQ2976">
        <v>285</v>
      </c>
      <c r="CR2976">
        <v>0</v>
      </c>
      <c r="CW2976">
        <v>8873219</v>
      </c>
      <c r="CY2976">
        <v>0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25">
      <c r="A2977" t="str">
        <f t="shared" si="1649"/>
        <v>06/05/2020 14:56:15.463</v>
      </c>
      <c r="C2977" t="str">
        <f t="shared" si="1616"/>
        <v>FFDFD3C0</v>
      </c>
      <c r="D2977" t="s">
        <v>148</v>
      </c>
      <c r="E2977">
        <v>8</v>
      </c>
      <c r="H2977">
        <v>50</v>
      </c>
      <c r="I2977" t="s">
        <v>149</v>
      </c>
      <c r="J2977" t="s">
        <v>150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650"/>
        <v>14:56:21.109</v>
      </c>
      <c r="T2977" t="str">
        <f t="shared" si="1650"/>
        <v>14:56:21.109</v>
      </c>
      <c r="U2977" t="str">
        <f t="shared" si="1631"/>
        <v>ACC530</v>
      </c>
      <c r="V2977">
        <v>0</v>
      </c>
      <c r="W2977">
        <v>0</v>
      </c>
      <c r="X2977">
        <v>1</v>
      </c>
      <c r="Z2977">
        <v>0</v>
      </c>
      <c r="AA2977">
        <v>9</v>
      </c>
      <c r="AB2977">
        <v>3</v>
      </c>
      <c r="AC2977">
        <v>0</v>
      </c>
      <c r="AD2977">
        <v>9</v>
      </c>
      <c r="AE2977">
        <v>0</v>
      </c>
      <c r="AF2977">
        <v>3</v>
      </c>
      <c r="AG2977">
        <v>1</v>
      </c>
      <c r="AH2977">
        <v>0</v>
      </c>
      <c r="AI2977" t="s">
        <v>1009</v>
      </c>
      <c r="AJ2977">
        <v>34.111798</v>
      </c>
      <c r="AK2977" t="s">
        <v>893</v>
      </c>
      <c r="AL2977">
        <v>-117.053726</v>
      </c>
      <c r="AM2977">
        <v>100</v>
      </c>
      <c r="AN2977">
        <v>6000</v>
      </c>
      <c r="AO2977" t="s">
        <v>118</v>
      </c>
      <c r="AP2977">
        <v>42</v>
      </c>
      <c r="AQ2977">
        <v>-102</v>
      </c>
      <c r="AR2977">
        <v>-640</v>
      </c>
      <c r="AZ2977">
        <v>1200</v>
      </c>
      <c r="BA2977">
        <v>1</v>
      </c>
      <c r="BB2977" t="str">
        <f t="shared" si="1636"/>
        <v xml:space="preserve">N9217B  </v>
      </c>
      <c r="BC2977">
        <v>1</v>
      </c>
      <c r="BE2977">
        <v>0</v>
      </c>
      <c r="BF2977">
        <v>0</v>
      </c>
      <c r="BG2977">
        <v>0</v>
      </c>
      <c r="BH2977">
        <v>5925</v>
      </c>
      <c r="BI2977">
        <v>1</v>
      </c>
      <c r="BJ2977">
        <v>0</v>
      </c>
      <c r="BK2977">
        <v>0</v>
      </c>
      <c r="BL2977">
        <v>0</v>
      </c>
      <c r="BO2977">
        <v>0</v>
      </c>
      <c r="BP2977">
        <v>0</v>
      </c>
      <c r="BW2977" t="str">
        <f t="shared" si="1651"/>
        <v>14:56:21.115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7</v>
      </c>
      <c r="CP2977" t="s">
        <v>119</v>
      </c>
      <c r="CQ2977">
        <v>285</v>
      </c>
      <c r="CR2977">
        <v>0</v>
      </c>
      <c r="CW2977">
        <v>8873219</v>
      </c>
      <c r="CY2977">
        <v>0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25">
      <c r="A2978" t="str">
        <f t="shared" si="1649"/>
        <v>06/05/2020 14:56:15.463</v>
      </c>
      <c r="C2978" t="str">
        <f t="shared" si="1616"/>
        <v>FFDFD3C0</v>
      </c>
      <c r="D2978" t="s">
        <v>148</v>
      </c>
      <c r="E2978">
        <v>11</v>
      </c>
      <c r="H2978">
        <v>53</v>
      </c>
      <c r="I2978" t="s">
        <v>364</v>
      </c>
      <c r="J2978" t="s">
        <v>150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650"/>
        <v>14:56:21.109</v>
      </c>
      <c r="T2978" t="str">
        <f t="shared" si="1650"/>
        <v>14:56:21.109</v>
      </c>
      <c r="U2978" t="str">
        <f t="shared" si="1631"/>
        <v>ACC530</v>
      </c>
      <c r="V2978">
        <v>0</v>
      </c>
      <c r="W2978">
        <v>0</v>
      </c>
      <c r="X2978">
        <v>1</v>
      </c>
      <c r="Z2978">
        <v>0</v>
      </c>
      <c r="AA2978">
        <v>9</v>
      </c>
      <c r="AB2978">
        <v>3</v>
      </c>
      <c r="AC2978">
        <v>0</v>
      </c>
      <c r="AD2978">
        <v>9</v>
      </c>
      <c r="AE2978">
        <v>0</v>
      </c>
      <c r="AF2978">
        <v>3</v>
      </c>
      <c r="AG2978">
        <v>1</v>
      </c>
      <c r="AH2978">
        <v>0</v>
      </c>
      <c r="AI2978" t="s">
        <v>1009</v>
      </c>
      <c r="AJ2978">
        <v>34.111798</v>
      </c>
      <c r="AK2978" t="s">
        <v>893</v>
      </c>
      <c r="AL2978">
        <v>-117.053726</v>
      </c>
      <c r="AM2978">
        <v>100</v>
      </c>
      <c r="AN2978">
        <v>6000</v>
      </c>
      <c r="AO2978" t="s">
        <v>118</v>
      </c>
      <c r="AP2978">
        <v>42</v>
      </c>
      <c r="AQ2978">
        <v>-102</v>
      </c>
      <c r="AR2978">
        <v>-640</v>
      </c>
      <c r="AZ2978">
        <v>1200</v>
      </c>
      <c r="BA2978">
        <v>1</v>
      </c>
      <c r="BB2978" t="str">
        <f t="shared" si="1636"/>
        <v xml:space="preserve">N9217B  </v>
      </c>
      <c r="BC2978">
        <v>1</v>
      </c>
      <c r="BE2978">
        <v>0</v>
      </c>
      <c r="BF2978">
        <v>0</v>
      </c>
      <c r="BG2978">
        <v>0</v>
      </c>
      <c r="BH2978">
        <v>5925</v>
      </c>
      <c r="BI2978">
        <v>1</v>
      </c>
      <c r="BJ2978">
        <v>0</v>
      </c>
      <c r="BK2978">
        <v>0</v>
      </c>
      <c r="BL2978">
        <v>0</v>
      </c>
      <c r="BO2978">
        <v>0</v>
      </c>
      <c r="BP2978">
        <v>0</v>
      </c>
      <c r="BW2978" t="str">
        <f t="shared" si="1651"/>
        <v>14:56:21.115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7</v>
      </c>
      <c r="CP2978" t="s">
        <v>119</v>
      </c>
      <c r="CQ2978">
        <v>285</v>
      </c>
      <c r="CR2978">
        <v>0</v>
      </c>
      <c r="CW2978">
        <v>8873219</v>
      </c>
      <c r="CY2978">
        <v>0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25">
      <c r="A2979" t="str">
        <f t="shared" si="1649"/>
        <v>06/05/2020 14:56:15.463</v>
      </c>
      <c r="C2979" t="str">
        <f t="shared" ref="C2979:C3042" si="1652">"FFDFD3C0"</f>
        <v>FFDFD3C0</v>
      </c>
      <c r="D2979" t="s">
        <v>151</v>
      </c>
      <c r="E2979">
        <v>8</v>
      </c>
      <c r="H2979">
        <v>225</v>
      </c>
      <c r="I2979" t="s">
        <v>353</v>
      </c>
      <c r="J2979" t="s">
        <v>150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650"/>
        <v>14:56:21.109</v>
      </c>
      <c r="T2979" t="str">
        <f t="shared" si="1650"/>
        <v>14:56:21.109</v>
      </c>
      <c r="U2979" t="str">
        <f t="shared" si="1631"/>
        <v>ACC530</v>
      </c>
      <c r="V2979">
        <v>0</v>
      </c>
      <c r="W2979">
        <v>0</v>
      </c>
      <c r="X2979">
        <v>1</v>
      </c>
      <c r="Z2979">
        <v>0</v>
      </c>
      <c r="AA2979">
        <v>9</v>
      </c>
      <c r="AB2979">
        <v>3</v>
      </c>
      <c r="AC2979">
        <v>0</v>
      </c>
      <c r="AD2979">
        <v>9</v>
      </c>
      <c r="AE2979">
        <v>0</v>
      </c>
      <c r="AF2979">
        <v>3</v>
      </c>
      <c r="AG2979">
        <v>1</v>
      </c>
      <c r="AH2979">
        <v>0</v>
      </c>
      <c r="AI2979" t="s">
        <v>1009</v>
      </c>
      <c r="AJ2979">
        <v>34.111798</v>
      </c>
      <c r="AK2979" t="s">
        <v>893</v>
      </c>
      <c r="AL2979">
        <v>-117.053726</v>
      </c>
      <c r="AM2979">
        <v>100</v>
      </c>
      <c r="AN2979">
        <v>6000</v>
      </c>
      <c r="AO2979" t="s">
        <v>118</v>
      </c>
      <c r="AP2979">
        <v>42</v>
      </c>
      <c r="AQ2979">
        <v>-102</v>
      </c>
      <c r="AR2979">
        <v>-640</v>
      </c>
      <c r="AZ2979">
        <v>1200</v>
      </c>
      <c r="BA2979">
        <v>1</v>
      </c>
      <c r="BB2979" t="str">
        <f t="shared" si="1636"/>
        <v xml:space="preserve">N9217B  </v>
      </c>
      <c r="BC2979">
        <v>1</v>
      </c>
      <c r="BE2979">
        <v>0</v>
      </c>
      <c r="BF2979">
        <v>0</v>
      </c>
      <c r="BG2979">
        <v>0</v>
      </c>
      <c r="BH2979">
        <v>5925</v>
      </c>
      <c r="BI2979">
        <v>1</v>
      </c>
      <c r="BJ2979">
        <v>0</v>
      </c>
      <c r="BK2979">
        <v>0</v>
      </c>
      <c r="BL2979">
        <v>0</v>
      </c>
      <c r="BO2979">
        <v>0</v>
      </c>
      <c r="BP2979">
        <v>0</v>
      </c>
      <c r="BW2979" t="str">
        <f t="shared" si="1651"/>
        <v>14:56:21.115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7</v>
      </c>
      <c r="CP2979" t="s">
        <v>119</v>
      </c>
      <c r="CQ2979">
        <v>285</v>
      </c>
      <c r="CR2979">
        <v>0</v>
      </c>
      <c r="CW2979">
        <v>8873219</v>
      </c>
      <c r="CY2979">
        <v>0</v>
      </c>
      <c r="CZ2979">
        <v>0</v>
      </c>
      <c r="DA2979">
        <v>1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25">
      <c r="A2980" t="str">
        <f t="shared" si="1649"/>
        <v>06/05/2020 14:56:15.463</v>
      </c>
      <c r="C2980" t="str">
        <f t="shared" si="1652"/>
        <v>FFDFD3C0</v>
      </c>
      <c r="D2980" t="s">
        <v>113</v>
      </c>
      <c r="E2980">
        <v>3</v>
      </c>
      <c r="H2980">
        <v>166</v>
      </c>
      <c r="I2980" t="s">
        <v>114</v>
      </c>
      <c r="J2980" t="s">
        <v>115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si="1650"/>
        <v>14:56:21.109</v>
      </c>
      <c r="T2980" t="str">
        <f t="shared" si="1650"/>
        <v>14:56:21.109</v>
      </c>
      <c r="U2980" t="str">
        <f t="shared" si="1631"/>
        <v>ACC530</v>
      </c>
      <c r="V2980">
        <v>0</v>
      </c>
      <c r="W2980">
        <v>0</v>
      </c>
      <c r="X2980">
        <v>1</v>
      </c>
      <c r="Z2980">
        <v>0</v>
      </c>
      <c r="AA2980">
        <v>9</v>
      </c>
      <c r="AB2980">
        <v>3</v>
      </c>
      <c r="AC2980">
        <v>0</v>
      </c>
      <c r="AD2980">
        <v>9</v>
      </c>
      <c r="AE2980">
        <v>0</v>
      </c>
      <c r="AF2980">
        <v>3</v>
      </c>
      <c r="AG2980">
        <v>1</v>
      </c>
      <c r="AH2980">
        <v>0</v>
      </c>
      <c r="AI2980" t="s">
        <v>1009</v>
      </c>
      <c r="AJ2980">
        <v>34.111798</v>
      </c>
      <c r="AK2980" t="s">
        <v>893</v>
      </c>
      <c r="AL2980">
        <v>-117.053726</v>
      </c>
      <c r="AM2980">
        <v>100</v>
      </c>
      <c r="AN2980">
        <v>6000</v>
      </c>
      <c r="AO2980" t="s">
        <v>118</v>
      </c>
      <c r="AP2980">
        <v>42</v>
      </c>
      <c r="AQ2980">
        <v>-102</v>
      </c>
      <c r="AR2980">
        <v>-640</v>
      </c>
      <c r="AZ2980">
        <v>1200</v>
      </c>
      <c r="BA2980">
        <v>1</v>
      </c>
      <c r="BB2980" t="str">
        <f t="shared" si="1636"/>
        <v xml:space="preserve">N9217B  </v>
      </c>
      <c r="BC2980">
        <v>1</v>
      </c>
      <c r="BE2980">
        <v>0</v>
      </c>
      <c r="BF2980">
        <v>0</v>
      </c>
      <c r="BG2980">
        <v>0</v>
      </c>
      <c r="BH2980">
        <v>5925</v>
      </c>
      <c r="BI2980">
        <v>1</v>
      </c>
      <c r="BJ2980">
        <v>0</v>
      </c>
      <c r="BK2980">
        <v>0</v>
      </c>
      <c r="BL2980">
        <v>0</v>
      </c>
      <c r="BO2980">
        <v>0</v>
      </c>
      <c r="BP2980">
        <v>0</v>
      </c>
      <c r="BW2980" t="str">
        <f t="shared" si="1651"/>
        <v>14:56:21.115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7</v>
      </c>
      <c r="CP2980" t="s">
        <v>119</v>
      </c>
      <c r="CQ2980">
        <v>285</v>
      </c>
      <c r="CR2980">
        <v>0</v>
      </c>
      <c r="CW2980">
        <v>8873219</v>
      </c>
      <c r="CY2980">
        <v>0</v>
      </c>
      <c r="CZ2980">
        <v>0</v>
      </c>
      <c r="DA2980">
        <v>1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25">
      <c r="A2981" t="str">
        <f t="shared" si="1649"/>
        <v>06/05/2020 14:56:15.463</v>
      </c>
      <c r="C2981" t="str">
        <f t="shared" si="1652"/>
        <v>FFDFD3C0</v>
      </c>
      <c r="D2981" t="s">
        <v>151</v>
      </c>
      <c r="E2981">
        <v>9</v>
      </c>
      <c r="H2981">
        <v>226</v>
      </c>
      <c r="I2981" t="s">
        <v>152</v>
      </c>
      <c r="J2981" t="s">
        <v>150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650"/>
        <v>14:56:21.109</v>
      </c>
      <c r="T2981" t="str">
        <f t="shared" si="1650"/>
        <v>14:56:21.109</v>
      </c>
      <c r="U2981" t="str">
        <f t="shared" si="1631"/>
        <v>ACC530</v>
      </c>
      <c r="V2981">
        <v>0</v>
      </c>
      <c r="W2981">
        <v>0</v>
      </c>
      <c r="X2981">
        <v>1</v>
      </c>
      <c r="Z2981">
        <v>0</v>
      </c>
      <c r="AA2981">
        <v>9</v>
      </c>
      <c r="AB2981">
        <v>3</v>
      </c>
      <c r="AC2981">
        <v>0</v>
      </c>
      <c r="AD2981">
        <v>9</v>
      </c>
      <c r="AE2981">
        <v>0</v>
      </c>
      <c r="AF2981">
        <v>3</v>
      </c>
      <c r="AG2981">
        <v>1</v>
      </c>
      <c r="AH2981">
        <v>0</v>
      </c>
      <c r="AI2981" t="s">
        <v>1009</v>
      </c>
      <c r="AJ2981">
        <v>34.111798</v>
      </c>
      <c r="AK2981" t="s">
        <v>893</v>
      </c>
      <c r="AL2981">
        <v>-117.053726</v>
      </c>
      <c r="AM2981">
        <v>100</v>
      </c>
      <c r="AN2981">
        <v>6000</v>
      </c>
      <c r="AO2981" t="s">
        <v>118</v>
      </c>
      <c r="AP2981">
        <v>42</v>
      </c>
      <c r="AQ2981">
        <v>-102</v>
      </c>
      <c r="AR2981">
        <v>-640</v>
      </c>
      <c r="AZ2981">
        <v>1200</v>
      </c>
      <c r="BA2981">
        <v>1</v>
      </c>
      <c r="BB2981" t="str">
        <f t="shared" si="1636"/>
        <v xml:space="preserve">N9217B  </v>
      </c>
      <c r="BC2981">
        <v>1</v>
      </c>
      <c r="BE2981">
        <v>0</v>
      </c>
      <c r="BF2981">
        <v>0</v>
      </c>
      <c r="BG2981">
        <v>0</v>
      </c>
      <c r="BH2981">
        <v>5925</v>
      </c>
      <c r="BI2981">
        <v>1</v>
      </c>
      <c r="BJ2981">
        <v>0</v>
      </c>
      <c r="BK2981">
        <v>0</v>
      </c>
      <c r="BL2981">
        <v>0</v>
      </c>
      <c r="BO2981">
        <v>0</v>
      </c>
      <c r="BP2981">
        <v>0</v>
      </c>
      <c r="BW2981" t="str">
        <f t="shared" si="1651"/>
        <v>14:56:21.115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7</v>
      </c>
      <c r="CP2981" t="s">
        <v>119</v>
      </c>
      <c r="CQ2981">
        <v>285</v>
      </c>
      <c r="CR2981">
        <v>0</v>
      </c>
      <c r="CW2981">
        <v>8873219</v>
      </c>
      <c r="CY2981">
        <v>0</v>
      </c>
      <c r="CZ2981">
        <v>0</v>
      </c>
      <c r="DA2981">
        <v>1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25">
      <c r="A2982" t="str">
        <f t="shared" si="1649"/>
        <v>06/05/2020 14:56:15.463</v>
      </c>
      <c r="C2982" t="str">
        <f t="shared" si="1652"/>
        <v>FFDFD3C0</v>
      </c>
      <c r="D2982" t="s">
        <v>134</v>
      </c>
      <c r="E2982">
        <v>7</v>
      </c>
      <c r="F2982">
        <v>2007</v>
      </c>
      <c r="G2982" t="s">
        <v>135</v>
      </c>
      <c r="J2982" t="s">
        <v>136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650"/>
        <v>14:56:21.109</v>
      </c>
      <c r="T2982" t="str">
        <f t="shared" si="1650"/>
        <v>14:56:21.109</v>
      </c>
      <c r="U2982" t="str">
        <f t="shared" si="1631"/>
        <v>ACC530</v>
      </c>
      <c r="V2982">
        <v>0</v>
      </c>
      <c r="W2982">
        <v>0</v>
      </c>
      <c r="X2982">
        <v>1</v>
      </c>
      <c r="Z2982">
        <v>0</v>
      </c>
      <c r="AA2982">
        <v>9</v>
      </c>
      <c r="AB2982">
        <v>3</v>
      </c>
      <c r="AC2982">
        <v>0</v>
      </c>
      <c r="AD2982">
        <v>9</v>
      </c>
      <c r="AE2982">
        <v>0</v>
      </c>
      <c r="AF2982">
        <v>3</v>
      </c>
      <c r="AG2982">
        <v>1</v>
      </c>
      <c r="AH2982">
        <v>0</v>
      </c>
      <c r="AI2982" t="s">
        <v>1009</v>
      </c>
      <c r="AJ2982">
        <v>34.111798</v>
      </c>
      <c r="AK2982" t="s">
        <v>893</v>
      </c>
      <c r="AL2982">
        <v>-117.053726</v>
      </c>
      <c r="AM2982">
        <v>100</v>
      </c>
      <c r="AN2982">
        <v>6000</v>
      </c>
      <c r="AO2982" t="s">
        <v>118</v>
      </c>
      <c r="AP2982">
        <v>42</v>
      </c>
      <c r="AQ2982">
        <v>-102</v>
      </c>
      <c r="AR2982">
        <v>-640</v>
      </c>
      <c r="AZ2982">
        <v>1200</v>
      </c>
      <c r="BA2982">
        <v>1</v>
      </c>
      <c r="BB2982" t="str">
        <f t="shared" si="1636"/>
        <v xml:space="preserve">N9217B  </v>
      </c>
      <c r="BC2982">
        <v>1</v>
      </c>
      <c r="BE2982">
        <v>0</v>
      </c>
      <c r="BF2982">
        <v>0</v>
      </c>
      <c r="BG2982">
        <v>0</v>
      </c>
      <c r="BH2982">
        <v>5925</v>
      </c>
      <c r="BI2982">
        <v>1</v>
      </c>
      <c r="BJ2982">
        <v>0</v>
      </c>
      <c r="BK2982">
        <v>0</v>
      </c>
      <c r="BL2982">
        <v>0</v>
      </c>
      <c r="BO2982">
        <v>0</v>
      </c>
      <c r="BP2982">
        <v>0</v>
      </c>
      <c r="BW2982" t="str">
        <f t="shared" si="1651"/>
        <v>14:56:21.115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7</v>
      </c>
      <c r="CP2982" t="s">
        <v>119</v>
      </c>
      <c r="CQ2982">
        <v>285</v>
      </c>
      <c r="CR2982">
        <v>0</v>
      </c>
      <c r="CW2982">
        <v>8873219</v>
      </c>
      <c r="CY2982">
        <v>0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25">
      <c r="A2983" t="str">
        <f t="shared" ref="A2983:A2989" si="1653">"06/05/2020 14:56:16.438"</f>
        <v>06/05/2020 14:56:16.438</v>
      </c>
      <c r="C2983" t="str">
        <f t="shared" si="1652"/>
        <v>FFDFD3C0</v>
      </c>
      <c r="D2983" t="s">
        <v>151</v>
      </c>
      <c r="E2983">
        <v>8</v>
      </c>
      <c r="H2983">
        <v>225</v>
      </c>
      <c r="I2983" t="s">
        <v>353</v>
      </c>
      <c r="J2983" t="s">
        <v>150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ref="S2983:S2989" si="1654">"14:56:22.055"</f>
        <v>14:56:22.055</v>
      </c>
      <c r="T2983" t="str">
        <f t="shared" ref="T2983:T2989" si="1655">"14:56:21.755"</f>
        <v>14:56:21.755</v>
      </c>
      <c r="U2983" t="str">
        <f t="shared" si="1631"/>
        <v>ACC530</v>
      </c>
      <c r="V2983">
        <v>0</v>
      </c>
      <c r="W2983">
        <v>0</v>
      </c>
      <c r="X2983">
        <v>1</v>
      </c>
      <c r="Z2983">
        <v>0</v>
      </c>
      <c r="AA2983">
        <v>9</v>
      </c>
      <c r="AB2983">
        <v>3</v>
      </c>
      <c r="AC2983">
        <v>0</v>
      </c>
      <c r="AD2983">
        <v>9</v>
      </c>
      <c r="AE2983">
        <v>0</v>
      </c>
      <c r="AF2983">
        <v>3</v>
      </c>
      <c r="AG2983">
        <v>1</v>
      </c>
      <c r="AH2983">
        <v>0</v>
      </c>
      <c r="AI2983" t="s">
        <v>1010</v>
      </c>
      <c r="AJ2983">
        <v>34.111412000000001</v>
      </c>
      <c r="AK2983" t="s">
        <v>1011</v>
      </c>
      <c r="AL2983">
        <v>-117.05349</v>
      </c>
      <c r="AM2983">
        <v>100</v>
      </c>
      <c r="AN2983">
        <v>6000</v>
      </c>
      <c r="AO2983" t="s">
        <v>118</v>
      </c>
      <c r="AP2983">
        <v>42</v>
      </c>
      <c r="AQ2983">
        <v>-102</v>
      </c>
      <c r="AR2983">
        <v>-640</v>
      </c>
      <c r="AZ2983">
        <v>1200</v>
      </c>
      <c r="BA2983">
        <v>1</v>
      </c>
      <c r="BB2983" t="str">
        <f t="shared" si="1636"/>
        <v xml:space="preserve">N9217B  </v>
      </c>
      <c r="BC2983">
        <v>1</v>
      </c>
      <c r="BE2983">
        <v>0</v>
      </c>
      <c r="BF2983">
        <v>0</v>
      </c>
      <c r="BG2983">
        <v>0</v>
      </c>
      <c r="BH2983">
        <v>5925</v>
      </c>
      <c r="BI2983">
        <v>1</v>
      </c>
      <c r="BJ2983">
        <v>0</v>
      </c>
      <c r="BK2983">
        <v>0</v>
      </c>
      <c r="BL2983">
        <v>0</v>
      </c>
      <c r="BO2983">
        <v>0</v>
      </c>
      <c r="BP2983">
        <v>0</v>
      </c>
      <c r="BW2983" t="str">
        <f t="shared" ref="BW2983:BW2989" si="1656">"14:56:22.060"</f>
        <v>14:56:22.060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119</v>
      </c>
      <c r="CQ2983">
        <v>285</v>
      </c>
      <c r="CR2983">
        <v>0</v>
      </c>
      <c r="CW2983">
        <v>8873304</v>
      </c>
      <c r="CY2983">
        <v>0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25">
      <c r="A2984" t="str">
        <f t="shared" si="1653"/>
        <v>06/05/2020 14:56:16.438</v>
      </c>
      <c r="C2984" t="str">
        <f t="shared" si="1652"/>
        <v>FFDFD3C0</v>
      </c>
      <c r="D2984" t="s">
        <v>113</v>
      </c>
      <c r="E2984">
        <v>3</v>
      </c>
      <c r="H2984">
        <v>166</v>
      </c>
      <c r="I2984" t="s">
        <v>114</v>
      </c>
      <c r="J2984" t="s">
        <v>115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654"/>
        <v>14:56:22.055</v>
      </c>
      <c r="T2984" t="str">
        <f t="shared" si="1655"/>
        <v>14:56:21.755</v>
      </c>
      <c r="U2984" t="str">
        <f t="shared" si="1631"/>
        <v>ACC530</v>
      </c>
      <c r="V2984">
        <v>0</v>
      </c>
      <c r="W2984">
        <v>0</v>
      </c>
      <c r="X2984">
        <v>1</v>
      </c>
      <c r="Z2984">
        <v>0</v>
      </c>
      <c r="AA2984">
        <v>9</v>
      </c>
      <c r="AB2984">
        <v>3</v>
      </c>
      <c r="AC2984">
        <v>0</v>
      </c>
      <c r="AD2984">
        <v>9</v>
      </c>
      <c r="AE2984">
        <v>0</v>
      </c>
      <c r="AF2984">
        <v>3</v>
      </c>
      <c r="AG2984">
        <v>1</v>
      </c>
      <c r="AH2984">
        <v>0</v>
      </c>
      <c r="AI2984" t="s">
        <v>1010</v>
      </c>
      <c r="AJ2984">
        <v>34.111412000000001</v>
      </c>
      <c r="AK2984" t="s">
        <v>1011</v>
      </c>
      <c r="AL2984">
        <v>-117.05349</v>
      </c>
      <c r="AM2984">
        <v>100</v>
      </c>
      <c r="AN2984">
        <v>6000</v>
      </c>
      <c r="AO2984" t="s">
        <v>118</v>
      </c>
      <c r="AP2984">
        <v>42</v>
      </c>
      <c r="AQ2984">
        <v>-102</v>
      </c>
      <c r="AR2984">
        <v>-640</v>
      </c>
      <c r="AZ2984">
        <v>1200</v>
      </c>
      <c r="BA2984">
        <v>1</v>
      </c>
      <c r="BB2984" t="str">
        <f t="shared" si="1636"/>
        <v xml:space="preserve">N9217B  </v>
      </c>
      <c r="BC2984">
        <v>1</v>
      </c>
      <c r="BE2984">
        <v>0</v>
      </c>
      <c r="BF2984">
        <v>0</v>
      </c>
      <c r="BG2984">
        <v>0</v>
      </c>
      <c r="BH2984">
        <v>5925</v>
      </c>
      <c r="BI2984">
        <v>1</v>
      </c>
      <c r="BJ2984">
        <v>0</v>
      </c>
      <c r="BK2984">
        <v>0</v>
      </c>
      <c r="BL2984">
        <v>0</v>
      </c>
      <c r="BO2984">
        <v>0</v>
      </c>
      <c r="BP2984">
        <v>0</v>
      </c>
      <c r="BW2984" t="str">
        <f t="shared" si="1656"/>
        <v>14:56:22.060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119</v>
      </c>
      <c r="CQ2984">
        <v>285</v>
      </c>
      <c r="CR2984">
        <v>0</v>
      </c>
      <c r="CW2984">
        <v>8873304</v>
      </c>
      <c r="CY2984">
        <v>0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25">
      <c r="A2985" t="str">
        <f t="shared" si="1653"/>
        <v>06/05/2020 14:56:16.438</v>
      </c>
      <c r="C2985" t="str">
        <f t="shared" si="1652"/>
        <v>FFDFD3C0</v>
      </c>
      <c r="D2985" t="s">
        <v>134</v>
      </c>
      <c r="E2985">
        <v>7</v>
      </c>
      <c r="F2985">
        <v>2007</v>
      </c>
      <c r="G2985" t="s">
        <v>135</v>
      </c>
      <c r="J2985" t="s">
        <v>136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654"/>
        <v>14:56:22.055</v>
      </c>
      <c r="T2985" t="str">
        <f t="shared" si="1655"/>
        <v>14:56:21.755</v>
      </c>
      <c r="U2985" t="str">
        <f t="shared" si="1631"/>
        <v>ACC530</v>
      </c>
      <c r="V2985">
        <v>0</v>
      </c>
      <c r="W2985">
        <v>0</v>
      </c>
      <c r="X2985">
        <v>1</v>
      </c>
      <c r="Z2985">
        <v>0</v>
      </c>
      <c r="AA2985">
        <v>9</v>
      </c>
      <c r="AB2985">
        <v>3</v>
      </c>
      <c r="AC2985">
        <v>0</v>
      </c>
      <c r="AD2985">
        <v>9</v>
      </c>
      <c r="AE2985">
        <v>0</v>
      </c>
      <c r="AF2985">
        <v>3</v>
      </c>
      <c r="AG2985">
        <v>1</v>
      </c>
      <c r="AH2985">
        <v>0</v>
      </c>
      <c r="AI2985" t="s">
        <v>1010</v>
      </c>
      <c r="AJ2985">
        <v>34.111412000000001</v>
      </c>
      <c r="AK2985" t="s">
        <v>1011</v>
      </c>
      <c r="AL2985">
        <v>-117.05349</v>
      </c>
      <c r="AM2985">
        <v>100</v>
      </c>
      <c r="AN2985">
        <v>6000</v>
      </c>
      <c r="AO2985" t="s">
        <v>118</v>
      </c>
      <c r="AP2985">
        <v>42</v>
      </c>
      <c r="AQ2985">
        <v>-102</v>
      </c>
      <c r="AR2985">
        <v>-640</v>
      </c>
      <c r="AZ2985">
        <v>1200</v>
      </c>
      <c r="BA2985">
        <v>1</v>
      </c>
      <c r="BB2985" t="str">
        <f t="shared" si="1636"/>
        <v xml:space="preserve">N9217B  </v>
      </c>
      <c r="BC2985">
        <v>1</v>
      </c>
      <c r="BE2985">
        <v>0</v>
      </c>
      <c r="BF2985">
        <v>0</v>
      </c>
      <c r="BG2985">
        <v>0</v>
      </c>
      <c r="BH2985">
        <v>5925</v>
      </c>
      <c r="BI2985">
        <v>1</v>
      </c>
      <c r="BJ2985">
        <v>0</v>
      </c>
      <c r="BK2985">
        <v>0</v>
      </c>
      <c r="BL2985">
        <v>0</v>
      </c>
      <c r="BO2985">
        <v>0</v>
      </c>
      <c r="BP2985">
        <v>0</v>
      </c>
      <c r="BW2985" t="str">
        <f t="shared" si="1656"/>
        <v>14:56:22.060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119</v>
      </c>
      <c r="CQ2985">
        <v>285</v>
      </c>
      <c r="CR2985">
        <v>0</v>
      </c>
      <c r="CW2985">
        <v>8873304</v>
      </c>
      <c r="CY2985">
        <v>0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25">
      <c r="A2986" t="str">
        <f t="shared" si="1653"/>
        <v>06/05/2020 14:56:16.438</v>
      </c>
      <c r="C2986" t="str">
        <f t="shared" si="1652"/>
        <v>FFDFD3C0</v>
      </c>
      <c r="D2986" t="s">
        <v>151</v>
      </c>
      <c r="E2986">
        <v>9</v>
      </c>
      <c r="H2986">
        <v>226</v>
      </c>
      <c r="I2986" t="s">
        <v>152</v>
      </c>
      <c r="J2986" t="s">
        <v>150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654"/>
        <v>14:56:22.055</v>
      </c>
      <c r="T2986" t="str">
        <f t="shared" si="1655"/>
        <v>14:56:21.755</v>
      </c>
      <c r="U2986" t="str">
        <f t="shared" si="1631"/>
        <v>ACC530</v>
      </c>
      <c r="V2986">
        <v>0</v>
      </c>
      <c r="W2986">
        <v>0</v>
      </c>
      <c r="X2986">
        <v>1</v>
      </c>
      <c r="Z2986">
        <v>0</v>
      </c>
      <c r="AA2986">
        <v>9</v>
      </c>
      <c r="AB2986">
        <v>3</v>
      </c>
      <c r="AC2986">
        <v>0</v>
      </c>
      <c r="AD2986">
        <v>9</v>
      </c>
      <c r="AE2986">
        <v>0</v>
      </c>
      <c r="AF2986">
        <v>3</v>
      </c>
      <c r="AG2986">
        <v>1</v>
      </c>
      <c r="AH2986">
        <v>0</v>
      </c>
      <c r="AI2986" t="s">
        <v>1010</v>
      </c>
      <c r="AJ2986">
        <v>34.111412000000001</v>
      </c>
      <c r="AK2986" t="s">
        <v>1011</v>
      </c>
      <c r="AL2986">
        <v>-117.05349</v>
      </c>
      <c r="AM2986">
        <v>100</v>
      </c>
      <c r="AN2986">
        <v>6000</v>
      </c>
      <c r="AO2986" t="s">
        <v>118</v>
      </c>
      <c r="AP2986">
        <v>42</v>
      </c>
      <c r="AQ2986">
        <v>-102</v>
      </c>
      <c r="AR2986">
        <v>-640</v>
      </c>
      <c r="AZ2986">
        <v>1200</v>
      </c>
      <c r="BA2986">
        <v>1</v>
      </c>
      <c r="BB2986" t="str">
        <f t="shared" si="1636"/>
        <v xml:space="preserve">N9217B  </v>
      </c>
      <c r="BC2986">
        <v>1</v>
      </c>
      <c r="BE2986">
        <v>0</v>
      </c>
      <c r="BF2986">
        <v>0</v>
      </c>
      <c r="BG2986">
        <v>0</v>
      </c>
      <c r="BH2986">
        <v>5925</v>
      </c>
      <c r="BI2986">
        <v>1</v>
      </c>
      <c r="BJ2986">
        <v>0</v>
      </c>
      <c r="BK2986">
        <v>0</v>
      </c>
      <c r="BL2986">
        <v>0</v>
      </c>
      <c r="BO2986">
        <v>0</v>
      </c>
      <c r="BP2986">
        <v>0</v>
      </c>
      <c r="BW2986" t="str">
        <f t="shared" si="1656"/>
        <v>14:56:22.060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285</v>
      </c>
      <c r="CR2986">
        <v>0</v>
      </c>
      <c r="CW2986">
        <v>8873304</v>
      </c>
      <c r="CY2986">
        <v>0</v>
      </c>
      <c r="CZ2986">
        <v>0</v>
      </c>
      <c r="DA2986">
        <v>1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25">
      <c r="A2987" t="str">
        <f t="shared" si="1653"/>
        <v>06/05/2020 14:56:16.438</v>
      </c>
      <c r="C2987" t="str">
        <f t="shared" si="1652"/>
        <v>FFDFD3C0</v>
      </c>
      <c r="D2987" t="s">
        <v>141</v>
      </c>
      <c r="E2987">
        <v>20</v>
      </c>
      <c r="F2987">
        <v>1020</v>
      </c>
      <c r="G2987" t="s">
        <v>114</v>
      </c>
      <c r="J2987" t="s">
        <v>142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si="1654"/>
        <v>14:56:22.055</v>
      </c>
      <c r="T2987" t="str">
        <f t="shared" si="1655"/>
        <v>14:56:21.755</v>
      </c>
      <c r="U2987" t="str">
        <f t="shared" si="1631"/>
        <v>ACC530</v>
      </c>
      <c r="V2987">
        <v>0</v>
      </c>
      <c r="W2987">
        <v>0</v>
      </c>
      <c r="X2987">
        <v>1</v>
      </c>
      <c r="Z2987">
        <v>0</v>
      </c>
      <c r="AA2987">
        <v>9</v>
      </c>
      <c r="AB2987">
        <v>3</v>
      </c>
      <c r="AC2987">
        <v>0</v>
      </c>
      <c r="AD2987">
        <v>9</v>
      </c>
      <c r="AE2987">
        <v>0</v>
      </c>
      <c r="AF2987">
        <v>3</v>
      </c>
      <c r="AG2987">
        <v>1</v>
      </c>
      <c r="AH2987">
        <v>0</v>
      </c>
      <c r="AI2987" t="s">
        <v>1010</v>
      </c>
      <c r="AJ2987">
        <v>34.111412000000001</v>
      </c>
      <c r="AK2987" t="s">
        <v>1011</v>
      </c>
      <c r="AL2987">
        <v>-117.05349</v>
      </c>
      <c r="AM2987">
        <v>100</v>
      </c>
      <c r="AN2987">
        <v>6000</v>
      </c>
      <c r="AO2987" t="s">
        <v>118</v>
      </c>
      <c r="AP2987">
        <v>42</v>
      </c>
      <c r="AQ2987">
        <v>-102</v>
      </c>
      <c r="AR2987">
        <v>-640</v>
      </c>
      <c r="AZ2987">
        <v>1200</v>
      </c>
      <c r="BA2987">
        <v>1</v>
      </c>
      <c r="BB2987" t="str">
        <f t="shared" si="1636"/>
        <v xml:space="preserve">N9217B  </v>
      </c>
      <c r="BC2987">
        <v>1</v>
      </c>
      <c r="BE2987">
        <v>0</v>
      </c>
      <c r="BF2987">
        <v>0</v>
      </c>
      <c r="BG2987">
        <v>0</v>
      </c>
      <c r="BH2987">
        <v>5925</v>
      </c>
      <c r="BI2987">
        <v>1</v>
      </c>
      <c r="BJ2987">
        <v>0</v>
      </c>
      <c r="BK2987">
        <v>0</v>
      </c>
      <c r="BL2987">
        <v>0</v>
      </c>
      <c r="BO2987">
        <v>0</v>
      </c>
      <c r="BP2987">
        <v>0</v>
      </c>
      <c r="BW2987" t="str">
        <f t="shared" si="1656"/>
        <v>14:56:22.060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7</v>
      </c>
      <c r="CP2987" t="s">
        <v>119</v>
      </c>
      <c r="CQ2987">
        <v>285</v>
      </c>
      <c r="CR2987">
        <v>0</v>
      </c>
      <c r="CW2987">
        <v>8873304</v>
      </c>
      <c r="CY2987">
        <v>0</v>
      </c>
      <c r="CZ2987">
        <v>0</v>
      </c>
      <c r="DA2987">
        <v>1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25">
      <c r="A2988" t="str">
        <f t="shared" si="1653"/>
        <v>06/05/2020 14:56:16.438</v>
      </c>
      <c r="C2988" t="str">
        <f t="shared" si="1652"/>
        <v>FFDFD3C0</v>
      </c>
      <c r="D2988" t="s">
        <v>148</v>
      </c>
      <c r="E2988">
        <v>8</v>
      </c>
      <c r="H2988">
        <v>50</v>
      </c>
      <c r="I2988" t="s">
        <v>149</v>
      </c>
      <c r="J2988" t="s">
        <v>150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654"/>
        <v>14:56:22.055</v>
      </c>
      <c r="T2988" t="str">
        <f t="shared" si="1655"/>
        <v>14:56:21.755</v>
      </c>
      <c r="U2988" t="str">
        <f t="shared" si="1631"/>
        <v>ACC530</v>
      </c>
      <c r="V2988">
        <v>0</v>
      </c>
      <c r="W2988">
        <v>0</v>
      </c>
      <c r="X2988">
        <v>1</v>
      </c>
      <c r="Z2988">
        <v>0</v>
      </c>
      <c r="AA2988">
        <v>9</v>
      </c>
      <c r="AB2988">
        <v>3</v>
      </c>
      <c r="AC2988">
        <v>0</v>
      </c>
      <c r="AD2988">
        <v>9</v>
      </c>
      <c r="AE2988">
        <v>0</v>
      </c>
      <c r="AF2988">
        <v>3</v>
      </c>
      <c r="AG2988">
        <v>1</v>
      </c>
      <c r="AH2988">
        <v>0</v>
      </c>
      <c r="AI2988" t="s">
        <v>1010</v>
      </c>
      <c r="AJ2988">
        <v>34.111412000000001</v>
      </c>
      <c r="AK2988" t="s">
        <v>1011</v>
      </c>
      <c r="AL2988">
        <v>-117.05349</v>
      </c>
      <c r="AM2988">
        <v>100</v>
      </c>
      <c r="AN2988">
        <v>6000</v>
      </c>
      <c r="AO2988" t="s">
        <v>118</v>
      </c>
      <c r="AP2988">
        <v>42</v>
      </c>
      <c r="AQ2988">
        <v>-102</v>
      </c>
      <c r="AR2988">
        <v>-640</v>
      </c>
      <c r="AZ2988">
        <v>1200</v>
      </c>
      <c r="BA2988">
        <v>1</v>
      </c>
      <c r="BB2988" t="str">
        <f t="shared" si="1636"/>
        <v xml:space="preserve">N9217B  </v>
      </c>
      <c r="BC2988">
        <v>1</v>
      </c>
      <c r="BE2988">
        <v>0</v>
      </c>
      <c r="BF2988">
        <v>0</v>
      </c>
      <c r="BG2988">
        <v>0</v>
      </c>
      <c r="BH2988">
        <v>5925</v>
      </c>
      <c r="BI2988">
        <v>1</v>
      </c>
      <c r="BJ2988">
        <v>0</v>
      </c>
      <c r="BK2988">
        <v>0</v>
      </c>
      <c r="BL2988">
        <v>0</v>
      </c>
      <c r="BO2988">
        <v>0</v>
      </c>
      <c r="BP2988">
        <v>0</v>
      </c>
      <c r="BW2988" t="str">
        <f t="shared" si="1656"/>
        <v>14:56:22.060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7</v>
      </c>
      <c r="CP2988" t="s">
        <v>119</v>
      </c>
      <c r="CQ2988">
        <v>285</v>
      </c>
      <c r="CR2988">
        <v>0</v>
      </c>
      <c r="CW2988">
        <v>8873304</v>
      </c>
      <c r="CY2988">
        <v>0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25">
      <c r="A2989" t="str">
        <f t="shared" si="1653"/>
        <v>06/05/2020 14:56:16.438</v>
      </c>
      <c r="C2989" t="str">
        <f t="shared" si="1652"/>
        <v>FFDFD3C0</v>
      </c>
      <c r="D2989" t="s">
        <v>148</v>
      </c>
      <c r="E2989">
        <v>11</v>
      </c>
      <c r="H2989">
        <v>53</v>
      </c>
      <c r="I2989" t="s">
        <v>364</v>
      </c>
      <c r="J2989" t="s">
        <v>150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654"/>
        <v>14:56:22.055</v>
      </c>
      <c r="T2989" t="str">
        <f t="shared" si="1655"/>
        <v>14:56:21.755</v>
      </c>
      <c r="U2989" t="str">
        <f t="shared" si="1631"/>
        <v>ACC530</v>
      </c>
      <c r="V2989">
        <v>0</v>
      </c>
      <c r="W2989">
        <v>0</v>
      </c>
      <c r="X2989">
        <v>1</v>
      </c>
      <c r="Z2989">
        <v>0</v>
      </c>
      <c r="AA2989">
        <v>9</v>
      </c>
      <c r="AB2989">
        <v>3</v>
      </c>
      <c r="AC2989">
        <v>0</v>
      </c>
      <c r="AD2989">
        <v>9</v>
      </c>
      <c r="AE2989">
        <v>0</v>
      </c>
      <c r="AF2989">
        <v>3</v>
      </c>
      <c r="AG2989">
        <v>1</v>
      </c>
      <c r="AH2989">
        <v>0</v>
      </c>
      <c r="AI2989" t="s">
        <v>1010</v>
      </c>
      <c r="AJ2989">
        <v>34.111412000000001</v>
      </c>
      <c r="AK2989" t="s">
        <v>1011</v>
      </c>
      <c r="AL2989">
        <v>-117.05349</v>
      </c>
      <c r="AM2989">
        <v>100</v>
      </c>
      <c r="AN2989">
        <v>6000</v>
      </c>
      <c r="AO2989" t="s">
        <v>118</v>
      </c>
      <c r="AP2989">
        <v>42</v>
      </c>
      <c r="AQ2989">
        <v>-102</v>
      </c>
      <c r="AR2989">
        <v>-640</v>
      </c>
      <c r="AZ2989">
        <v>1200</v>
      </c>
      <c r="BA2989">
        <v>1</v>
      </c>
      <c r="BB2989" t="str">
        <f t="shared" si="1636"/>
        <v xml:space="preserve">N9217B  </v>
      </c>
      <c r="BC2989">
        <v>1</v>
      </c>
      <c r="BE2989">
        <v>0</v>
      </c>
      <c r="BF2989">
        <v>0</v>
      </c>
      <c r="BG2989">
        <v>0</v>
      </c>
      <c r="BH2989">
        <v>5925</v>
      </c>
      <c r="BI2989">
        <v>1</v>
      </c>
      <c r="BJ2989">
        <v>0</v>
      </c>
      <c r="BK2989">
        <v>0</v>
      </c>
      <c r="BL2989">
        <v>0</v>
      </c>
      <c r="BO2989">
        <v>0</v>
      </c>
      <c r="BP2989">
        <v>0</v>
      </c>
      <c r="BW2989" t="str">
        <f t="shared" si="1656"/>
        <v>14:56:22.060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7</v>
      </c>
      <c r="CP2989" t="s">
        <v>119</v>
      </c>
      <c r="CQ2989">
        <v>285</v>
      </c>
      <c r="CR2989">
        <v>0</v>
      </c>
      <c r="CW2989">
        <v>8873304</v>
      </c>
      <c r="CY2989">
        <v>0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25">
      <c r="A2990" t="str">
        <f t="shared" ref="A2990:A2996" si="1657">"06/05/2020 14:56:17.378"</f>
        <v>06/05/2020 14:56:17.378</v>
      </c>
      <c r="C2990" t="str">
        <f t="shared" si="1652"/>
        <v>FFDFD3C0</v>
      </c>
      <c r="D2990" t="s">
        <v>141</v>
      </c>
      <c r="E2990">
        <v>20</v>
      </c>
      <c r="F2990">
        <v>1020</v>
      </c>
      <c r="G2990" t="s">
        <v>114</v>
      </c>
      <c r="J2990" t="s">
        <v>142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ref="S2990:S2996" si="1658">"14:56:23.031"</f>
        <v>14:56:23.031</v>
      </c>
      <c r="T2990" t="str">
        <f t="shared" ref="T2990:T2996" si="1659">"14:56:22.831"</f>
        <v>14:56:22.831</v>
      </c>
      <c r="U2990" t="str">
        <f t="shared" si="1631"/>
        <v>ACC530</v>
      </c>
      <c r="V2990">
        <v>0</v>
      </c>
      <c r="W2990">
        <v>0</v>
      </c>
      <c r="X2990">
        <v>1</v>
      </c>
      <c r="Z2990">
        <v>0</v>
      </c>
      <c r="AA2990">
        <v>9</v>
      </c>
      <c r="AB2990">
        <v>3</v>
      </c>
      <c r="AC2990">
        <v>0</v>
      </c>
      <c r="AD2990">
        <v>9</v>
      </c>
      <c r="AE2990">
        <v>0</v>
      </c>
      <c r="AF2990">
        <v>3</v>
      </c>
      <c r="AG2990">
        <v>1</v>
      </c>
      <c r="AH2990">
        <v>0</v>
      </c>
      <c r="AI2990" t="s">
        <v>1012</v>
      </c>
      <c r="AJ2990">
        <v>34.110917999999998</v>
      </c>
      <c r="AK2990" t="s">
        <v>1013</v>
      </c>
      <c r="AL2990">
        <v>-117.053254</v>
      </c>
      <c r="AM2990">
        <v>100</v>
      </c>
      <c r="AN2990">
        <v>6000</v>
      </c>
      <c r="AO2990" t="s">
        <v>118</v>
      </c>
      <c r="AP2990">
        <v>43</v>
      </c>
      <c r="AQ2990">
        <v>-101</v>
      </c>
      <c r="AR2990">
        <v>-512</v>
      </c>
      <c r="AZ2990">
        <v>1200</v>
      </c>
      <c r="BA2990">
        <v>1</v>
      </c>
      <c r="BB2990" t="str">
        <f t="shared" si="1636"/>
        <v xml:space="preserve">N9217B  </v>
      </c>
      <c r="BC2990">
        <v>1</v>
      </c>
      <c r="BE2990">
        <v>0</v>
      </c>
      <c r="BF2990">
        <v>0</v>
      </c>
      <c r="BG2990">
        <v>0</v>
      </c>
      <c r="BH2990">
        <v>5900</v>
      </c>
      <c r="BI2990">
        <v>1</v>
      </c>
      <c r="BJ2990">
        <v>0</v>
      </c>
      <c r="BK2990">
        <v>0</v>
      </c>
      <c r="BL2990">
        <v>0</v>
      </c>
      <c r="BO2990">
        <v>0</v>
      </c>
      <c r="BP2990">
        <v>0</v>
      </c>
      <c r="BW2990" t="str">
        <f t="shared" ref="BW2990:BW2996" si="1660">"14:56:23.035"</f>
        <v>14:56:23.035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7</v>
      </c>
      <c r="CP2990" t="s">
        <v>119</v>
      </c>
      <c r="CQ2990">
        <v>285</v>
      </c>
      <c r="CR2990">
        <v>0</v>
      </c>
      <c r="CW2990">
        <v>8873385</v>
      </c>
      <c r="CY2990">
        <v>0</v>
      </c>
      <c r="CZ2990">
        <v>0</v>
      </c>
      <c r="DA2990">
        <v>0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25">
      <c r="A2991" t="str">
        <f t="shared" si="1657"/>
        <v>06/05/2020 14:56:17.378</v>
      </c>
      <c r="C2991" t="str">
        <f t="shared" si="1652"/>
        <v>FFDFD3C0</v>
      </c>
      <c r="D2991" t="s">
        <v>148</v>
      </c>
      <c r="E2991">
        <v>8</v>
      </c>
      <c r="H2991">
        <v>50</v>
      </c>
      <c r="I2991" t="s">
        <v>149</v>
      </c>
      <c r="J2991" t="s">
        <v>150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658"/>
        <v>14:56:23.031</v>
      </c>
      <c r="T2991" t="str">
        <f t="shared" si="1659"/>
        <v>14:56:22.831</v>
      </c>
      <c r="U2991" t="str">
        <f t="shared" si="1631"/>
        <v>ACC530</v>
      </c>
      <c r="V2991">
        <v>0</v>
      </c>
      <c r="W2991">
        <v>0</v>
      </c>
      <c r="X2991">
        <v>1</v>
      </c>
      <c r="Z2991">
        <v>0</v>
      </c>
      <c r="AA2991">
        <v>9</v>
      </c>
      <c r="AB2991">
        <v>3</v>
      </c>
      <c r="AC2991">
        <v>0</v>
      </c>
      <c r="AD2991">
        <v>9</v>
      </c>
      <c r="AE2991">
        <v>0</v>
      </c>
      <c r="AF2991">
        <v>3</v>
      </c>
      <c r="AG2991">
        <v>1</v>
      </c>
      <c r="AH2991">
        <v>0</v>
      </c>
      <c r="AI2991" t="s">
        <v>1012</v>
      </c>
      <c r="AJ2991">
        <v>34.110917999999998</v>
      </c>
      <c r="AK2991" t="s">
        <v>1013</v>
      </c>
      <c r="AL2991">
        <v>-117.053254</v>
      </c>
      <c r="AM2991">
        <v>100</v>
      </c>
      <c r="AN2991">
        <v>6000</v>
      </c>
      <c r="AO2991" t="s">
        <v>118</v>
      </c>
      <c r="AP2991">
        <v>43</v>
      </c>
      <c r="AQ2991">
        <v>-101</v>
      </c>
      <c r="AR2991">
        <v>-512</v>
      </c>
      <c r="AZ2991">
        <v>1200</v>
      </c>
      <c r="BA2991">
        <v>1</v>
      </c>
      <c r="BB2991" t="str">
        <f t="shared" si="1636"/>
        <v xml:space="preserve">N9217B  </v>
      </c>
      <c r="BC2991">
        <v>1</v>
      </c>
      <c r="BE2991">
        <v>0</v>
      </c>
      <c r="BF2991">
        <v>0</v>
      </c>
      <c r="BG2991">
        <v>0</v>
      </c>
      <c r="BH2991">
        <v>5900</v>
      </c>
      <c r="BI2991">
        <v>1</v>
      </c>
      <c r="BJ2991">
        <v>0</v>
      </c>
      <c r="BK2991">
        <v>0</v>
      </c>
      <c r="BL2991">
        <v>0</v>
      </c>
      <c r="BO2991">
        <v>0</v>
      </c>
      <c r="BP2991">
        <v>0</v>
      </c>
      <c r="BW2991" t="str">
        <f t="shared" si="1660"/>
        <v>14:56:23.035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7</v>
      </c>
      <c r="CP2991" t="s">
        <v>119</v>
      </c>
      <c r="CQ2991">
        <v>285</v>
      </c>
      <c r="CR2991">
        <v>0</v>
      </c>
      <c r="CW2991">
        <v>8873385</v>
      </c>
      <c r="CY2991">
        <v>0</v>
      </c>
      <c r="CZ2991">
        <v>0</v>
      </c>
      <c r="DA2991">
        <v>1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25">
      <c r="A2992" t="str">
        <f t="shared" si="1657"/>
        <v>06/05/2020 14:56:17.378</v>
      </c>
      <c r="C2992" t="str">
        <f t="shared" si="1652"/>
        <v>FFDFD3C0</v>
      </c>
      <c r="D2992" t="s">
        <v>148</v>
      </c>
      <c r="E2992">
        <v>11</v>
      </c>
      <c r="H2992">
        <v>53</v>
      </c>
      <c r="I2992" t="s">
        <v>364</v>
      </c>
      <c r="J2992" t="s">
        <v>150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658"/>
        <v>14:56:23.031</v>
      </c>
      <c r="T2992" t="str">
        <f t="shared" si="1659"/>
        <v>14:56:22.831</v>
      </c>
      <c r="U2992" t="str">
        <f t="shared" si="1631"/>
        <v>ACC530</v>
      </c>
      <c r="V2992">
        <v>0</v>
      </c>
      <c r="W2992">
        <v>0</v>
      </c>
      <c r="X2992">
        <v>1</v>
      </c>
      <c r="Z2992">
        <v>0</v>
      </c>
      <c r="AA2992">
        <v>9</v>
      </c>
      <c r="AB2992">
        <v>3</v>
      </c>
      <c r="AC2992">
        <v>0</v>
      </c>
      <c r="AD2992">
        <v>9</v>
      </c>
      <c r="AE2992">
        <v>0</v>
      </c>
      <c r="AF2992">
        <v>3</v>
      </c>
      <c r="AG2992">
        <v>1</v>
      </c>
      <c r="AH2992">
        <v>0</v>
      </c>
      <c r="AI2992" t="s">
        <v>1012</v>
      </c>
      <c r="AJ2992">
        <v>34.110917999999998</v>
      </c>
      <c r="AK2992" t="s">
        <v>1013</v>
      </c>
      <c r="AL2992">
        <v>-117.053254</v>
      </c>
      <c r="AM2992">
        <v>100</v>
      </c>
      <c r="AN2992">
        <v>6000</v>
      </c>
      <c r="AO2992" t="s">
        <v>118</v>
      </c>
      <c r="AP2992">
        <v>43</v>
      </c>
      <c r="AQ2992">
        <v>-101</v>
      </c>
      <c r="AR2992">
        <v>-512</v>
      </c>
      <c r="AZ2992">
        <v>1200</v>
      </c>
      <c r="BA2992">
        <v>1</v>
      </c>
      <c r="BB2992" t="str">
        <f t="shared" si="1636"/>
        <v xml:space="preserve">N9217B  </v>
      </c>
      <c r="BC2992">
        <v>1</v>
      </c>
      <c r="BE2992">
        <v>0</v>
      </c>
      <c r="BF2992">
        <v>0</v>
      </c>
      <c r="BG2992">
        <v>0</v>
      </c>
      <c r="BH2992">
        <v>5900</v>
      </c>
      <c r="BI2992">
        <v>1</v>
      </c>
      <c r="BJ2992">
        <v>0</v>
      </c>
      <c r="BK2992">
        <v>0</v>
      </c>
      <c r="BL2992">
        <v>0</v>
      </c>
      <c r="BO2992">
        <v>0</v>
      </c>
      <c r="BP2992">
        <v>0</v>
      </c>
      <c r="BW2992" t="str">
        <f t="shared" si="1660"/>
        <v>14:56:23.035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7</v>
      </c>
      <c r="CP2992" t="s">
        <v>119</v>
      </c>
      <c r="CQ2992">
        <v>285</v>
      </c>
      <c r="CR2992">
        <v>0</v>
      </c>
      <c r="CW2992">
        <v>8873385</v>
      </c>
      <c r="CY2992">
        <v>0</v>
      </c>
      <c r="CZ2992">
        <v>0</v>
      </c>
      <c r="DA2992">
        <v>1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25">
      <c r="A2993" t="str">
        <f t="shared" si="1657"/>
        <v>06/05/2020 14:56:17.378</v>
      </c>
      <c r="C2993" t="str">
        <f t="shared" si="1652"/>
        <v>FFDFD3C0</v>
      </c>
      <c r="D2993" t="s">
        <v>151</v>
      </c>
      <c r="E2993">
        <v>8</v>
      </c>
      <c r="H2993">
        <v>225</v>
      </c>
      <c r="I2993" t="s">
        <v>353</v>
      </c>
      <c r="J2993" t="s">
        <v>150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658"/>
        <v>14:56:23.031</v>
      </c>
      <c r="T2993" t="str">
        <f t="shared" si="1659"/>
        <v>14:56:22.831</v>
      </c>
      <c r="U2993" t="str">
        <f t="shared" si="1631"/>
        <v>ACC530</v>
      </c>
      <c r="V2993">
        <v>0</v>
      </c>
      <c r="W2993">
        <v>0</v>
      </c>
      <c r="X2993">
        <v>1</v>
      </c>
      <c r="Z2993">
        <v>0</v>
      </c>
      <c r="AA2993">
        <v>9</v>
      </c>
      <c r="AB2993">
        <v>3</v>
      </c>
      <c r="AC2993">
        <v>0</v>
      </c>
      <c r="AD2993">
        <v>9</v>
      </c>
      <c r="AE2993">
        <v>0</v>
      </c>
      <c r="AF2993">
        <v>3</v>
      </c>
      <c r="AG2993">
        <v>1</v>
      </c>
      <c r="AH2993">
        <v>0</v>
      </c>
      <c r="AI2993" t="s">
        <v>1012</v>
      </c>
      <c r="AJ2993">
        <v>34.110917999999998</v>
      </c>
      <c r="AK2993" t="s">
        <v>1013</v>
      </c>
      <c r="AL2993">
        <v>-117.053254</v>
      </c>
      <c r="AM2993">
        <v>100</v>
      </c>
      <c r="AN2993">
        <v>6000</v>
      </c>
      <c r="AO2993" t="s">
        <v>118</v>
      </c>
      <c r="AP2993">
        <v>43</v>
      </c>
      <c r="AQ2993">
        <v>-101</v>
      </c>
      <c r="AR2993">
        <v>-512</v>
      </c>
      <c r="AZ2993">
        <v>1200</v>
      </c>
      <c r="BA2993">
        <v>1</v>
      </c>
      <c r="BB2993" t="str">
        <f t="shared" si="1636"/>
        <v xml:space="preserve">N9217B  </v>
      </c>
      <c r="BC2993">
        <v>1</v>
      </c>
      <c r="BE2993">
        <v>0</v>
      </c>
      <c r="BF2993">
        <v>0</v>
      </c>
      <c r="BG2993">
        <v>0</v>
      </c>
      <c r="BH2993">
        <v>5900</v>
      </c>
      <c r="BI2993">
        <v>1</v>
      </c>
      <c r="BJ2993">
        <v>0</v>
      </c>
      <c r="BK2993">
        <v>0</v>
      </c>
      <c r="BL2993">
        <v>0</v>
      </c>
      <c r="BO2993">
        <v>0</v>
      </c>
      <c r="BP2993">
        <v>0</v>
      </c>
      <c r="BW2993" t="str">
        <f t="shared" si="1660"/>
        <v>14:56:23.035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7</v>
      </c>
      <c r="CP2993" t="s">
        <v>119</v>
      </c>
      <c r="CQ2993">
        <v>285</v>
      </c>
      <c r="CR2993">
        <v>0</v>
      </c>
      <c r="CW2993">
        <v>8873385</v>
      </c>
      <c r="CY2993">
        <v>0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25">
      <c r="A2994" t="str">
        <f t="shared" si="1657"/>
        <v>06/05/2020 14:56:17.378</v>
      </c>
      <c r="C2994" t="str">
        <f t="shared" si="1652"/>
        <v>FFDFD3C0</v>
      </c>
      <c r="D2994" t="s">
        <v>113</v>
      </c>
      <c r="E2994">
        <v>3</v>
      </c>
      <c r="H2994">
        <v>166</v>
      </c>
      <c r="I2994" t="s">
        <v>114</v>
      </c>
      <c r="J2994" t="s">
        <v>115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658"/>
        <v>14:56:23.031</v>
      </c>
      <c r="T2994" t="str">
        <f t="shared" si="1659"/>
        <v>14:56:22.831</v>
      </c>
      <c r="U2994" t="str">
        <f t="shared" si="1631"/>
        <v>ACC530</v>
      </c>
      <c r="V2994">
        <v>0</v>
      </c>
      <c r="W2994">
        <v>0</v>
      </c>
      <c r="X2994">
        <v>1</v>
      </c>
      <c r="Z2994">
        <v>0</v>
      </c>
      <c r="AA2994">
        <v>9</v>
      </c>
      <c r="AB2994">
        <v>3</v>
      </c>
      <c r="AC2994">
        <v>0</v>
      </c>
      <c r="AD2994">
        <v>9</v>
      </c>
      <c r="AE2994">
        <v>0</v>
      </c>
      <c r="AF2994">
        <v>3</v>
      </c>
      <c r="AG2994">
        <v>1</v>
      </c>
      <c r="AH2994">
        <v>0</v>
      </c>
      <c r="AI2994" t="s">
        <v>1012</v>
      </c>
      <c r="AJ2994">
        <v>34.110917999999998</v>
      </c>
      <c r="AK2994" t="s">
        <v>1013</v>
      </c>
      <c r="AL2994">
        <v>-117.053254</v>
      </c>
      <c r="AM2994">
        <v>100</v>
      </c>
      <c r="AN2994">
        <v>6000</v>
      </c>
      <c r="AO2994" t="s">
        <v>118</v>
      </c>
      <c r="AP2994">
        <v>43</v>
      </c>
      <c r="AQ2994">
        <v>-101</v>
      </c>
      <c r="AR2994">
        <v>-512</v>
      </c>
      <c r="AZ2994">
        <v>1200</v>
      </c>
      <c r="BA2994">
        <v>1</v>
      </c>
      <c r="BB2994" t="str">
        <f t="shared" si="1636"/>
        <v xml:space="preserve">N9217B  </v>
      </c>
      <c r="BC2994">
        <v>1</v>
      </c>
      <c r="BE2994">
        <v>0</v>
      </c>
      <c r="BF2994">
        <v>0</v>
      </c>
      <c r="BG2994">
        <v>0</v>
      </c>
      <c r="BH2994">
        <v>5900</v>
      </c>
      <c r="BI2994">
        <v>1</v>
      </c>
      <c r="BJ2994">
        <v>0</v>
      </c>
      <c r="BK2994">
        <v>0</v>
      </c>
      <c r="BL2994">
        <v>0</v>
      </c>
      <c r="BO2994">
        <v>0</v>
      </c>
      <c r="BP2994">
        <v>0</v>
      </c>
      <c r="BW2994" t="str">
        <f t="shared" si="1660"/>
        <v>14:56:23.035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7</v>
      </c>
      <c r="CP2994" t="s">
        <v>119</v>
      </c>
      <c r="CQ2994">
        <v>285</v>
      </c>
      <c r="CR2994">
        <v>0</v>
      </c>
      <c r="CW2994">
        <v>8873385</v>
      </c>
      <c r="CY2994">
        <v>0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25">
      <c r="A2995" t="str">
        <f t="shared" si="1657"/>
        <v>06/05/2020 14:56:17.378</v>
      </c>
      <c r="C2995" t="str">
        <f t="shared" si="1652"/>
        <v>FFDFD3C0</v>
      </c>
      <c r="D2995" t="s">
        <v>134</v>
      </c>
      <c r="E2995">
        <v>7</v>
      </c>
      <c r="F2995">
        <v>2007</v>
      </c>
      <c r="G2995" t="s">
        <v>135</v>
      </c>
      <c r="J2995" t="s">
        <v>136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658"/>
        <v>14:56:23.031</v>
      </c>
      <c r="T2995" t="str">
        <f t="shared" si="1659"/>
        <v>14:56:22.831</v>
      </c>
      <c r="U2995" t="str">
        <f t="shared" si="1631"/>
        <v>ACC530</v>
      </c>
      <c r="V2995">
        <v>0</v>
      </c>
      <c r="W2995">
        <v>0</v>
      </c>
      <c r="X2995">
        <v>1</v>
      </c>
      <c r="Z2995">
        <v>0</v>
      </c>
      <c r="AA2995">
        <v>9</v>
      </c>
      <c r="AB2995">
        <v>3</v>
      </c>
      <c r="AC2995">
        <v>0</v>
      </c>
      <c r="AD2995">
        <v>9</v>
      </c>
      <c r="AE2995">
        <v>0</v>
      </c>
      <c r="AF2995">
        <v>3</v>
      </c>
      <c r="AG2995">
        <v>1</v>
      </c>
      <c r="AH2995">
        <v>0</v>
      </c>
      <c r="AI2995" t="s">
        <v>1012</v>
      </c>
      <c r="AJ2995">
        <v>34.110917999999998</v>
      </c>
      <c r="AK2995" t="s">
        <v>1013</v>
      </c>
      <c r="AL2995">
        <v>-117.053254</v>
      </c>
      <c r="AM2995">
        <v>100</v>
      </c>
      <c r="AN2995">
        <v>6000</v>
      </c>
      <c r="AO2995" t="s">
        <v>118</v>
      </c>
      <c r="AP2995">
        <v>43</v>
      </c>
      <c r="AQ2995">
        <v>-101</v>
      </c>
      <c r="AR2995">
        <v>-512</v>
      </c>
      <c r="AZ2995">
        <v>1200</v>
      </c>
      <c r="BA2995">
        <v>1</v>
      </c>
      <c r="BB2995" t="str">
        <f t="shared" si="1636"/>
        <v xml:space="preserve">N9217B  </v>
      </c>
      <c r="BC2995">
        <v>1</v>
      </c>
      <c r="BE2995">
        <v>0</v>
      </c>
      <c r="BF2995">
        <v>0</v>
      </c>
      <c r="BG2995">
        <v>0</v>
      </c>
      <c r="BH2995">
        <v>5900</v>
      </c>
      <c r="BI2995">
        <v>1</v>
      </c>
      <c r="BJ2995">
        <v>0</v>
      </c>
      <c r="BK2995">
        <v>0</v>
      </c>
      <c r="BL2995">
        <v>0</v>
      </c>
      <c r="BO2995">
        <v>0</v>
      </c>
      <c r="BP2995">
        <v>0</v>
      </c>
      <c r="BW2995" t="str">
        <f t="shared" si="1660"/>
        <v>14:56:23.035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7</v>
      </c>
      <c r="CP2995" t="s">
        <v>119</v>
      </c>
      <c r="CQ2995">
        <v>285</v>
      </c>
      <c r="CR2995">
        <v>0</v>
      </c>
      <c r="CW2995">
        <v>8873385</v>
      </c>
      <c r="CY2995">
        <v>0</v>
      </c>
      <c r="CZ2995">
        <v>0</v>
      </c>
      <c r="DA2995">
        <v>1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25">
      <c r="A2996" t="str">
        <f t="shared" si="1657"/>
        <v>06/05/2020 14:56:17.378</v>
      </c>
      <c r="C2996" t="str">
        <f t="shared" si="1652"/>
        <v>FFDFD3C0</v>
      </c>
      <c r="D2996" t="s">
        <v>151</v>
      </c>
      <c r="E2996">
        <v>9</v>
      </c>
      <c r="H2996">
        <v>226</v>
      </c>
      <c r="I2996" t="s">
        <v>152</v>
      </c>
      <c r="J2996" t="s">
        <v>150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si="1658"/>
        <v>14:56:23.031</v>
      </c>
      <c r="T2996" t="str">
        <f t="shared" si="1659"/>
        <v>14:56:22.831</v>
      </c>
      <c r="U2996" t="str">
        <f t="shared" si="1631"/>
        <v>ACC530</v>
      </c>
      <c r="V2996">
        <v>0</v>
      </c>
      <c r="W2996">
        <v>0</v>
      </c>
      <c r="X2996">
        <v>1</v>
      </c>
      <c r="Z2996">
        <v>0</v>
      </c>
      <c r="AA2996">
        <v>9</v>
      </c>
      <c r="AB2996">
        <v>3</v>
      </c>
      <c r="AC2996">
        <v>0</v>
      </c>
      <c r="AD2996">
        <v>9</v>
      </c>
      <c r="AE2996">
        <v>0</v>
      </c>
      <c r="AF2996">
        <v>3</v>
      </c>
      <c r="AG2996">
        <v>1</v>
      </c>
      <c r="AH2996">
        <v>0</v>
      </c>
      <c r="AI2996" t="s">
        <v>1012</v>
      </c>
      <c r="AJ2996">
        <v>34.110917999999998</v>
      </c>
      <c r="AK2996" t="s">
        <v>1013</v>
      </c>
      <c r="AL2996">
        <v>-117.053254</v>
      </c>
      <c r="AM2996">
        <v>100</v>
      </c>
      <c r="AN2996">
        <v>6000</v>
      </c>
      <c r="AO2996" t="s">
        <v>118</v>
      </c>
      <c r="AP2996">
        <v>43</v>
      </c>
      <c r="AQ2996">
        <v>-101</v>
      </c>
      <c r="AR2996">
        <v>-512</v>
      </c>
      <c r="AZ2996">
        <v>1200</v>
      </c>
      <c r="BA2996">
        <v>1</v>
      </c>
      <c r="BB2996" t="str">
        <f t="shared" si="1636"/>
        <v xml:space="preserve">N9217B  </v>
      </c>
      <c r="BC2996">
        <v>1</v>
      </c>
      <c r="BE2996">
        <v>0</v>
      </c>
      <c r="BF2996">
        <v>0</v>
      </c>
      <c r="BG2996">
        <v>0</v>
      </c>
      <c r="BH2996">
        <v>5900</v>
      </c>
      <c r="BI2996">
        <v>1</v>
      </c>
      <c r="BJ2996">
        <v>0</v>
      </c>
      <c r="BK2996">
        <v>0</v>
      </c>
      <c r="BL2996">
        <v>0</v>
      </c>
      <c r="BO2996">
        <v>0</v>
      </c>
      <c r="BP2996">
        <v>0</v>
      </c>
      <c r="BW2996" t="str">
        <f t="shared" si="1660"/>
        <v>14:56:23.035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7</v>
      </c>
      <c r="CP2996" t="s">
        <v>119</v>
      </c>
      <c r="CQ2996">
        <v>285</v>
      </c>
      <c r="CR2996">
        <v>0</v>
      </c>
      <c r="CW2996">
        <v>8873385</v>
      </c>
      <c r="CY2996">
        <v>0</v>
      </c>
      <c r="CZ2996">
        <v>0</v>
      </c>
      <c r="DA2996">
        <v>1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25">
      <c r="A2997" t="str">
        <f t="shared" ref="A2997:A3003" si="1661">"06/05/2020 14:56:18.487"</f>
        <v>06/05/2020 14:56:18.487</v>
      </c>
      <c r="C2997" t="str">
        <f t="shared" si="1652"/>
        <v>FFDFD3C0</v>
      </c>
      <c r="D2997" t="s">
        <v>141</v>
      </c>
      <c r="E2997">
        <v>20</v>
      </c>
      <c r="F2997">
        <v>1020</v>
      </c>
      <c r="G2997" t="s">
        <v>114</v>
      </c>
      <c r="J2997" t="s">
        <v>142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ref="S2997:S3003" si="1662">"14:56:24.141"</f>
        <v>14:56:24.141</v>
      </c>
      <c r="T2997" t="str">
        <f t="shared" ref="T2997:T3003" si="1663">"14:56:23.841"</f>
        <v>14:56:23.841</v>
      </c>
      <c r="U2997" t="str">
        <f t="shared" si="1631"/>
        <v>ACC530</v>
      </c>
      <c r="V2997">
        <v>0</v>
      </c>
      <c r="W2997">
        <v>0</v>
      </c>
      <c r="X2997">
        <v>1</v>
      </c>
      <c r="Z2997">
        <v>0</v>
      </c>
      <c r="AA2997">
        <v>9</v>
      </c>
      <c r="AB2997">
        <v>3</v>
      </c>
      <c r="AC2997">
        <v>0</v>
      </c>
      <c r="AD2997">
        <v>9</v>
      </c>
      <c r="AE2997">
        <v>0</v>
      </c>
      <c r="AF2997">
        <v>3</v>
      </c>
      <c r="AG2997">
        <v>1</v>
      </c>
      <c r="AH2997">
        <v>0</v>
      </c>
      <c r="AI2997" t="s">
        <v>1014</v>
      </c>
      <c r="AJ2997">
        <v>34.110402999999998</v>
      </c>
      <c r="AK2997" t="s">
        <v>1015</v>
      </c>
      <c r="AL2997">
        <v>-117.05299599999999</v>
      </c>
      <c r="AM2997">
        <v>100</v>
      </c>
      <c r="AN2997">
        <v>6000</v>
      </c>
      <c r="AO2997" t="s">
        <v>118</v>
      </c>
      <c r="AP2997">
        <v>43</v>
      </c>
      <c r="AQ2997">
        <v>-100</v>
      </c>
      <c r="AR2997">
        <v>-576</v>
      </c>
      <c r="AZ2997">
        <v>1200</v>
      </c>
      <c r="BA2997">
        <v>1</v>
      </c>
      <c r="BB2997" t="str">
        <f t="shared" si="1636"/>
        <v xml:space="preserve">N9217B  </v>
      </c>
      <c r="BC2997">
        <v>1</v>
      </c>
      <c r="BE2997">
        <v>0</v>
      </c>
      <c r="BF2997">
        <v>0</v>
      </c>
      <c r="BG2997">
        <v>0</v>
      </c>
      <c r="BH2997">
        <v>5900</v>
      </c>
      <c r="BI2997">
        <v>1</v>
      </c>
      <c r="BJ2997">
        <v>0</v>
      </c>
      <c r="BK2997">
        <v>0</v>
      </c>
      <c r="BL2997">
        <v>0</v>
      </c>
      <c r="BO2997">
        <v>0</v>
      </c>
      <c r="BP2997">
        <v>0</v>
      </c>
      <c r="BW2997" t="str">
        <f t="shared" ref="BW2997:BW3003" si="1664">"14:56:24.144"</f>
        <v>14:56:24.144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7</v>
      </c>
      <c r="CP2997" t="s">
        <v>119</v>
      </c>
      <c r="CQ2997">
        <v>285</v>
      </c>
      <c r="CR2997">
        <v>0</v>
      </c>
      <c r="CW2997">
        <v>8873486</v>
      </c>
      <c r="CY2997">
        <v>0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25">
      <c r="A2998" t="str">
        <f t="shared" si="1661"/>
        <v>06/05/2020 14:56:18.487</v>
      </c>
      <c r="C2998" t="str">
        <f t="shared" si="1652"/>
        <v>FFDFD3C0</v>
      </c>
      <c r="D2998" t="s">
        <v>148</v>
      </c>
      <c r="E2998">
        <v>8</v>
      </c>
      <c r="H2998">
        <v>50</v>
      </c>
      <c r="I2998" t="s">
        <v>149</v>
      </c>
      <c r="J2998" t="s">
        <v>150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662"/>
        <v>14:56:24.141</v>
      </c>
      <c r="T2998" t="str">
        <f t="shared" si="1663"/>
        <v>14:56:23.841</v>
      </c>
      <c r="U2998" t="str">
        <f t="shared" si="1631"/>
        <v>ACC530</v>
      </c>
      <c r="V2998">
        <v>0</v>
      </c>
      <c r="W2998">
        <v>0</v>
      </c>
      <c r="X2998">
        <v>1</v>
      </c>
      <c r="Z2998">
        <v>0</v>
      </c>
      <c r="AA2998">
        <v>9</v>
      </c>
      <c r="AB2998">
        <v>3</v>
      </c>
      <c r="AC2998">
        <v>0</v>
      </c>
      <c r="AD2998">
        <v>9</v>
      </c>
      <c r="AE2998">
        <v>0</v>
      </c>
      <c r="AF2998">
        <v>3</v>
      </c>
      <c r="AG2998">
        <v>1</v>
      </c>
      <c r="AH2998">
        <v>0</v>
      </c>
      <c r="AI2998" t="s">
        <v>1014</v>
      </c>
      <c r="AJ2998">
        <v>34.110402999999998</v>
      </c>
      <c r="AK2998" t="s">
        <v>1015</v>
      </c>
      <c r="AL2998">
        <v>-117.05299599999999</v>
      </c>
      <c r="AM2998">
        <v>100</v>
      </c>
      <c r="AN2998">
        <v>6000</v>
      </c>
      <c r="AO2998" t="s">
        <v>118</v>
      </c>
      <c r="AP2998">
        <v>43</v>
      </c>
      <c r="AQ2998">
        <v>-100</v>
      </c>
      <c r="AR2998">
        <v>-576</v>
      </c>
      <c r="AZ2998">
        <v>1200</v>
      </c>
      <c r="BA2998">
        <v>1</v>
      </c>
      <c r="BB2998" t="str">
        <f t="shared" si="1636"/>
        <v xml:space="preserve">N9217B  </v>
      </c>
      <c r="BC2998">
        <v>1</v>
      </c>
      <c r="BE2998">
        <v>0</v>
      </c>
      <c r="BF2998">
        <v>0</v>
      </c>
      <c r="BG2998">
        <v>0</v>
      </c>
      <c r="BH2998">
        <v>5900</v>
      </c>
      <c r="BI2998">
        <v>1</v>
      </c>
      <c r="BJ2998">
        <v>0</v>
      </c>
      <c r="BK2998">
        <v>0</v>
      </c>
      <c r="BL2998">
        <v>0</v>
      </c>
      <c r="BO2998">
        <v>0</v>
      </c>
      <c r="BP2998">
        <v>0</v>
      </c>
      <c r="BW2998" t="str">
        <f t="shared" si="1664"/>
        <v>14:56:24.144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119</v>
      </c>
      <c r="CQ2998">
        <v>285</v>
      </c>
      <c r="CR2998">
        <v>0</v>
      </c>
      <c r="CW2998">
        <v>8873486</v>
      </c>
      <c r="CY2998">
        <v>0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25">
      <c r="A2999" t="str">
        <f t="shared" si="1661"/>
        <v>06/05/2020 14:56:18.487</v>
      </c>
      <c r="C2999" t="str">
        <f t="shared" si="1652"/>
        <v>FFDFD3C0</v>
      </c>
      <c r="D2999" t="s">
        <v>148</v>
      </c>
      <c r="E2999">
        <v>11</v>
      </c>
      <c r="H2999">
        <v>53</v>
      </c>
      <c r="I2999" t="s">
        <v>364</v>
      </c>
      <c r="J2999" t="s">
        <v>150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662"/>
        <v>14:56:24.141</v>
      </c>
      <c r="T2999" t="str">
        <f t="shared" si="1663"/>
        <v>14:56:23.841</v>
      </c>
      <c r="U2999" t="str">
        <f t="shared" si="1631"/>
        <v>ACC530</v>
      </c>
      <c r="V2999">
        <v>0</v>
      </c>
      <c r="W2999">
        <v>0</v>
      </c>
      <c r="X2999">
        <v>1</v>
      </c>
      <c r="Z2999">
        <v>0</v>
      </c>
      <c r="AA2999">
        <v>9</v>
      </c>
      <c r="AB2999">
        <v>3</v>
      </c>
      <c r="AC2999">
        <v>0</v>
      </c>
      <c r="AD2999">
        <v>9</v>
      </c>
      <c r="AE2999">
        <v>0</v>
      </c>
      <c r="AF2999">
        <v>3</v>
      </c>
      <c r="AG2999">
        <v>1</v>
      </c>
      <c r="AH2999">
        <v>0</v>
      </c>
      <c r="AI2999" t="s">
        <v>1014</v>
      </c>
      <c r="AJ2999">
        <v>34.110402999999998</v>
      </c>
      <c r="AK2999" t="s">
        <v>1015</v>
      </c>
      <c r="AL2999">
        <v>-117.05299599999999</v>
      </c>
      <c r="AM2999">
        <v>100</v>
      </c>
      <c r="AN2999">
        <v>6000</v>
      </c>
      <c r="AO2999" t="s">
        <v>118</v>
      </c>
      <c r="AP2999">
        <v>43</v>
      </c>
      <c r="AQ2999">
        <v>-100</v>
      </c>
      <c r="AR2999">
        <v>-576</v>
      </c>
      <c r="AZ2999">
        <v>1200</v>
      </c>
      <c r="BA2999">
        <v>1</v>
      </c>
      <c r="BB2999" t="str">
        <f t="shared" si="1636"/>
        <v xml:space="preserve">N9217B  </v>
      </c>
      <c r="BC2999">
        <v>1</v>
      </c>
      <c r="BE2999">
        <v>0</v>
      </c>
      <c r="BF2999">
        <v>0</v>
      </c>
      <c r="BG2999">
        <v>0</v>
      </c>
      <c r="BH2999">
        <v>5900</v>
      </c>
      <c r="BI2999">
        <v>1</v>
      </c>
      <c r="BJ2999">
        <v>0</v>
      </c>
      <c r="BK2999">
        <v>0</v>
      </c>
      <c r="BL2999">
        <v>0</v>
      </c>
      <c r="BO2999">
        <v>0</v>
      </c>
      <c r="BP2999">
        <v>0</v>
      </c>
      <c r="BW2999" t="str">
        <f t="shared" si="1664"/>
        <v>14:56:24.144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119</v>
      </c>
      <c r="CQ2999">
        <v>285</v>
      </c>
      <c r="CR2999">
        <v>0</v>
      </c>
      <c r="CW2999">
        <v>8873486</v>
      </c>
      <c r="CY2999">
        <v>0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25">
      <c r="A3000" t="str">
        <f t="shared" si="1661"/>
        <v>06/05/2020 14:56:18.487</v>
      </c>
      <c r="C3000" t="str">
        <f t="shared" si="1652"/>
        <v>FFDFD3C0</v>
      </c>
      <c r="D3000" t="s">
        <v>151</v>
      </c>
      <c r="E3000">
        <v>8</v>
      </c>
      <c r="H3000">
        <v>225</v>
      </c>
      <c r="I3000" t="s">
        <v>353</v>
      </c>
      <c r="J3000" t="s">
        <v>150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662"/>
        <v>14:56:24.141</v>
      </c>
      <c r="T3000" t="str">
        <f t="shared" si="1663"/>
        <v>14:56:23.841</v>
      </c>
      <c r="U3000" t="str">
        <f t="shared" si="1631"/>
        <v>ACC530</v>
      </c>
      <c r="V3000">
        <v>0</v>
      </c>
      <c r="W3000">
        <v>0</v>
      </c>
      <c r="X3000">
        <v>1</v>
      </c>
      <c r="Z3000">
        <v>0</v>
      </c>
      <c r="AA3000">
        <v>9</v>
      </c>
      <c r="AB3000">
        <v>3</v>
      </c>
      <c r="AC3000">
        <v>0</v>
      </c>
      <c r="AD3000">
        <v>9</v>
      </c>
      <c r="AE3000">
        <v>0</v>
      </c>
      <c r="AF3000">
        <v>3</v>
      </c>
      <c r="AG3000">
        <v>1</v>
      </c>
      <c r="AH3000">
        <v>0</v>
      </c>
      <c r="AI3000" t="s">
        <v>1014</v>
      </c>
      <c r="AJ3000">
        <v>34.110402999999998</v>
      </c>
      <c r="AK3000" t="s">
        <v>1015</v>
      </c>
      <c r="AL3000">
        <v>-117.05299599999999</v>
      </c>
      <c r="AM3000">
        <v>100</v>
      </c>
      <c r="AN3000">
        <v>6000</v>
      </c>
      <c r="AO3000" t="s">
        <v>118</v>
      </c>
      <c r="AP3000">
        <v>43</v>
      </c>
      <c r="AQ3000">
        <v>-100</v>
      </c>
      <c r="AR3000">
        <v>-576</v>
      </c>
      <c r="AZ3000">
        <v>1200</v>
      </c>
      <c r="BA3000">
        <v>1</v>
      </c>
      <c r="BB3000" t="str">
        <f t="shared" si="1636"/>
        <v xml:space="preserve">N9217B  </v>
      </c>
      <c r="BC3000">
        <v>1</v>
      </c>
      <c r="BE3000">
        <v>0</v>
      </c>
      <c r="BF3000">
        <v>0</v>
      </c>
      <c r="BG3000">
        <v>0</v>
      </c>
      <c r="BH3000">
        <v>5900</v>
      </c>
      <c r="BI3000">
        <v>1</v>
      </c>
      <c r="BJ3000">
        <v>0</v>
      </c>
      <c r="BK3000">
        <v>0</v>
      </c>
      <c r="BL3000">
        <v>0</v>
      </c>
      <c r="BO3000">
        <v>0</v>
      </c>
      <c r="BP3000">
        <v>0</v>
      </c>
      <c r="BW3000" t="str">
        <f t="shared" si="1664"/>
        <v>14:56:24.144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119</v>
      </c>
      <c r="CQ3000">
        <v>285</v>
      </c>
      <c r="CR3000">
        <v>0</v>
      </c>
      <c r="CW3000">
        <v>8873486</v>
      </c>
      <c r="CY3000">
        <v>0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25">
      <c r="A3001" t="str">
        <f t="shared" si="1661"/>
        <v>06/05/2020 14:56:18.487</v>
      </c>
      <c r="C3001" t="str">
        <f t="shared" si="1652"/>
        <v>FFDFD3C0</v>
      </c>
      <c r="D3001" t="s">
        <v>113</v>
      </c>
      <c r="E3001">
        <v>3</v>
      </c>
      <c r="H3001">
        <v>166</v>
      </c>
      <c r="I3001" t="s">
        <v>114</v>
      </c>
      <c r="J3001" t="s">
        <v>115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 t="shared" si="1662"/>
        <v>14:56:24.141</v>
      </c>
      <c r="T3001" t="str">
        <f t="shared" si="1663"/>
        <v>14:56:23.841</v>
      </c>
      <c r="U3001" t="str">
        <f t="shared" si="1631"/>
        <v>ACC530</v>
      </c>
      <c r="V3001">
        <v>0</v>
      </c>
      <c r="W3001">
        <v>0</v>
      </c>
      <c r="X3001">
        <v>1</v>
      </c>
      <c r="Z3001">
        <v>0</v>
      </c>
      <c r="AA3001">
        <v>9</v>
      </c>
      <c r="AB3001">
        <v>3</v>
      </c>
      <c r="AC3001">
        <v>0</v>
      </c>
      <c r="AD3001">
        <v>9</v>
      </c>
      <c r="AE3001">
        <v>0</v>
      </c>
      <c r="AF3001">
        <v>3</v>
      </c>
      <c r="AG3001">
        <v>1</v>
      </c>
      <c r="AH3001">
        <v>0</v>
      </c>
      <c r="AI3001" t="s">
        <v>1014</v>
      </c>
      <c r="AJ3001">
        <v>34.110402999999998</v>
      </c>
      <c r="AK3001" t="s">
        <v>1015</v>
      </c>
      <c r="AL3001">
        <v>-117.05299599999999</v>
      </c>
      <c r="AM3001">
        <v>100</v>
      </c>
      <c r="AN3001">
        <v>6000</v>
      </c>
      <c r="AO3001" t="s">
        <v>118</v>
      </c>
      <c r="AP3001">
        <v>43</v>
      </c>
      <c r="AQ3001">
        <v>-100</v>
      </c>
      <c r="AR3001">
        <v>-576</v>
      </c>
      <c r="AZ3001">
        <v>1200</v>
      </c>
      <c r="BA3001">
        <v>1</v>
      </c>
      <c r="BB3001" t="str">
        <f t="shared" si="1636"/>
        <v xml:space="preserve">N9217B  </v>
      </c>
      <c r="BC3001">
        <v>1</v>
      </c>
      <c r="BE3001">
        <v>0</v>
      </c>
      <c r="BF3001">
        <v>0</v>
      </c>
      <c r="BG3001">
        <v>0</v>
      </c>
      <c r="BH3001">
        <v>5900</v>
      </c>
      <c r="BI3001">
        <v>1</v>
      </c>
      <c r="BJ3001">
        <v>0</v>
      </c>
      <c r="BK3001">
        <v>0</v>
      </c>
      <c r="BL3001">
        <v>0</v>
      </c>
      <c r="BO3001">
        <v>0</v>
      </c>
      <c r="BP3001">
        <v>0</v>
      </c>
      <c r="BW3001" t="str">
        <f t="shared" si="1664"/>
        <v>14:56:24.144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7</v>
      </c>
      <c r="CP3001" t="s">
        <v>119</v>
      </c>
      <c r="CQ3001">
        <v>285</v>
      </c>
      <c r="CR3001">
        <v>0</v>
      </c>
      <c r="CW3001">
        <v>8873486</v>
      </c>
      <c r="CY3001">
        <v>0</v>
      </c>
      <c r="CZ3001">
        <v>0</v>
      </c>
      <c r="DA3001">
        <v>1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25">
      <c r="A3002" t="str">
        <f t="shared" si="1661"/>
        <v>06/05/2020 14:56:18.487</v>
      </c>
      <c r="C3002" t="str">
        <f t="shared" si="1652"/>
        <v>FFDFD3C0</v>
      </c>
      <c r="D3002" t="s">
        <v>134</v>
      </c>
      <c r="E3002">
        <v>7</v>
      </c>
      <c r="F3002">
        <v>2007</v>
      </c>
      <c r="G3002" t="s">
        <v>135</v>
      </c>
      <c r="J3002" t="s">
        <v>136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si="1662"/>
        <v>14:56:24.141</v>
      </c>
      <c r="T3002" t="str">
        <f t="shared" si="1663"/>
        <v>14:56:23.841</v>
      </c>
      <c r="U3002" t="str">
        <f t="shared" si="1631"/>
        <v>ACC530</v>
      </c>
      <c r="V3002">
        <v>0</v>
      </c>
      <c r="W3002">
        <v>0</v>
      </c>
      <c r="X3002">
        <v>1</v>
      </c>
      <c r="Z3002">
        <v>0</v>
      </c>
      <c r="AA3002">
        <v>9</v>
      </c>
      <c r="AB3002">
        <v>3</v>
      </c>
      <c r="AC3002">
        <v>0</v>
      </c>
      <c r="AD3002">
        <v>9</v>
      </c>
      <c r="AE3002">
        <v>0</v>
      </c>
      <c r="AF3002">
        <v>3</v>
      </c>
      <c r="AG3002">
        <v>1</v>
      </c>
      <c r="AH3002">
        <v>0</v>
      </c>
      <c r="AI3002" t="s">
        <v>1014</v>
      </c>
      <c r="AJ3002">
        <v>34.110402999999998</v>
      </c>
      <c r="AK3002" t="s">
        <v>1015</v>
      </c>
      <c r="AL3002">
        <v>-117.05299599999999</v>
      </c>
      <c r="AM3002">
        <v>100</v>
      </c>
      <c r="AN3002">
        <v>6000</v>
      </c>
      <c r="AO3002" t="s">
        <v>118</v>
      </c>
      <c r="AP3002">
        <v>43</v>
      </c>
      <c r="AQ3002">
        <v>-100</v>
      </c>
      <c r="AR3002">
        <v>-576</v>
      </c>
      <c r="AZ3002">
        <v>1200</v>
      </c>
      <c r="BA3002">
        <v>1</v>
      </c>
      <c r="BB3002" t="str">
        <f t="shared" si="1636"/>
        <v xml:space="preserve">N9217B  </v>
      </c>
      <c r="BC3002">
        <v>1</v>
      </c>
      <c r="BE3002">
        <v>0</v>
      </c>
      <c r="BF3002">
        <v>0</v>
      </c>
      <c r="BG3002">
        <v>0</v>
      </c>
      <c r="BH3002">
        <v>5900</v>
      </c>
      <c r="BI3002">
        <v>1</v>
      </c>
      <c r="BJ3002">
        <v>0</v>
      </c>
      <c r="BK3002">
        <v>0</v>
      </c>
      <c r="BL3002">
        <v>0</v>
      </c>
      <c r="BO3002">
        <v>0</v>
      </c>
      <c r="BP3002">
        <v>0</v>
      </c>
      <c r="BW3002" t="str">
        <f t="shared" si="1664"/>
        <v>14:56:24.144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119</v>
      </c>
      <c r="CQ3002">
        <v>285</v>
      </c>
      <c r="CR3002">
        <v>0</v>
      </c>
      <c r="CW3002">
        <v>8873486</v>
      </c>
      <c r="CY3002">
        <v>0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25">
      <c r="A3003" t="str">
        <f t="shared" si="1661"/>
        <v>06/05/2020 14:56:18.487</v>
      </c>
      <c r="C3003" t="str">
        <f t="shared" si="1652"/>
        <v>FFDFD3C0</v>
      </c>
      <c r="D3003" t="s">
        <v>151</v>
      </c>
      <c r="E3003">
        <v>9</v>
      </c>
      <c r="H3003">
        <v>226</v>
      </c>
      <c r="I3003" t="s">
        <v>152</v>
      </c>
      <c r="J3003" t="s">
        <v>150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si="1662"/>
        <v>14:56:24.141</v>
      </c>
      <c r="T3003" t="str">
        <f t="shared" si="1663"/>
        <v>14:56:23.841</v>
      </c>
      <c r="U3003" t="str">
        <f t="shared" si="1631"/>
        <v>ACC530</v>
      </c>
      <c r="V3003">
        <v>0</v>
      </c>
      <c r="W3003">
        <v>0</v>
      </c>
      <c r="X3003">
        <v>1</v>
      </c>
      <c r="Z3003">
        <v>0</v>
      </c>
      <c r="AA3003">
        <v>9</v>
      </c>
      <c r="AB3003">
        <v>3</v>
      </c>
      <c r="AC3003">
        <v>0</v>
      </c>
      <c r="AD3003">
        <v>9</v>
      </c>
      <c r="AE3003">
        <v>0</v>
      </c>
      <c r="AF3003">
        <v>3</v>
      </c>
      <c r="AG3003">
        <v>1</v>
      </c>
      <c r="AH3003">
        <v>0</v>
      </c>
      <c r="AI3003" t="s">
        <v>1014</v>
      </c>
      <c r="AJ3003">
        <v>34.110402999999998</v>
      </c>
      <c r="AK3003" t="s">
        <v>1015</v>
      </c>
      <c r="AL3003">
        <v>-117.05299599999999</v>
      </c>
      <c r="AM3003">
        <v>100</v>
      </c>
      <c r="AN3003">
        <v>6000</v>
      </c>
      <c r="AO3003" t="s">
        <v>118</v>
      </c>
      <c r="AP3003">
        <v>43</v>
      </c>
      <c r="AQ3003">
        <v>-100</v>
      </c>
      <c r="AR3003">
        <v>-576</v>
      </c>
      <c r="AZ3003">
        <v>1200</v>
      </c>
      <c r="BA3003">
        <v>1</v>
      </c>
      <c r="BB3003" t="str">
        <f t="shared" si="1636"/>
        <v xml:space="preserve">N9217B  </v>
      </c>
      <c r="BC3003">
        <v>1</v>
      </c>
      <c r="BE3003">
        <v>0</v>
      </c>
      <c r="BF3003">
        <v>0</v>
      </c>
      <c r="BG3003">
        <v>0</v>
      </c>
      <c r="BH3003">
        <v>5900</v>
      </c>
      <c r="BI3003">
        <v>1</v>
      </c>
      <c r="BJ3003">
        <v>0</v>
      </c>
      <c r="BK3003">
        <v>0</v>
      </c>
      <c r="BL3003">
        <v>0</v>
      </c>
      <c r="BO3003">
        <v>0</v>
      </c>
      <c r="BP3003">
        <v>0</v>
      </c>
      <c r="BW3003" t="str">
        <f t="shared" si="1664"/>
        <v>14:56:24.144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7</v>
      </c>
      <c r="CP3003" t="s">
        <v>119</v>
      </c>
      <c r="CQ3003">
        <v>285</v>
      </c>
      <c r="CR3003">
        <v>0</v>
      </c>
      <c r="CW3003">
        <v>8873486</v>
      </c>
      <c r="CY3003">
        <v>0</v>
      </c>
      <c r="CZ3003">
        <v>0</v>
      </c>
      <c r="DA3003">
        <v>1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25">
      <c r="A3004" t="str">
        <f t="shared" ref="A3004:A3010" si="1665">"06/05/2020 14:56:19.562"</f>
        <v>06/05/2020 14:56:19.562</v>
      </c>
      <c r="C3004" t="str">
        <f t="shared" si="1652"/>
        <v>FFDFD3C0</v>
      </c>
      <c r="D3004" t="s">
        <v>148</v>
      </c>
      <c r="E3004">
        <v>11</v>
      </c>
      <c r="H3004">
        <v>53</v>
      </c>
      <c r="I3004" t="s">
        <v>364</v>
      </c>
      <c r="J3004" t="s">
        <v>150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ref="S3004:S3010" si="1666">"14:56:25.172"</f>
        <v>14:56:25.172</v>
      </c>
      <c r="T3004" t="str">
        <f t="shared" ref="T3004:T3010" si="1667">"14:56:24.772"</f>
        <v>14:56:24.772</v>
      </c>
      <c r="U3004" t="str">
        <f t="shared" si="1631"/>
        <v>ACC530</v>
      </c>
      <c r="V3004">
        <v>0</v>
      </c>
      <c r="W3004">
        <v>0</v>
      </c>
      <c r="X3004">
        <v>1</v>
      </c>
      <c r="Z3004">
        <v>0</v>
      </c>
      <c r="AA3004">
        <v>9</v>
      </c>
      <c r="AB3004">
        <v>3</v>
      </c>
      <c r="AC3004">
        <v>0</v>
      </c>
      <c r="AD3004">
        <v>9</v>
      </c>
      <c r="AE3004">
        <v>0</v>
      </c>
      <c r="AF3004">
        <v>3</v>
      </c>
      <c r="AG3004">
        <v>1</v>
      </c>
      <c r="AH3004">
        <v>0</v>
      </c>
      <c r="AI3004" t="s">
        <v>1016</v>
      </c>
      <c r="AJ3004">
        <v>34.109931000000003</v>
      </c>
      <c r="AK3004" t="s">
        <v>1017</v>
      </c>
      <c r="AL3004">
        <v>-117.05276000000001</v>
      </c>
      <c r="AM3004">
        <v>100</v>
      </c>
      <c r="AN3004">
        <v>6000</v>
      </c>
      <c r="AO3004" t="s">
        <v>118</v>
      </c>
      <c r="AP3004">
        <v>43</v>
      </c>
      <c r="AQ3004">
        <v>-100</v>
      </c>
      <c r="AR3004">
        <v>-576</v>
      </c>
      <c r="AZ3004">
        <v>1200</v>
      </c>
      <c r="BA3004">
        <v>1</v>
      </c>
      <c r="BB3004" t="str">
        <f t="shared" si="1636"/>
        <v xml:space="preserve">N9217B  </v>
      </c>
      <c r="BC3004">
        <v>1</v>
      </c>
      <c r="BE3004">
        <v>0</v>
      </c>
      <c r="BF3004">
        <v>0</v>
      </c>
      <c r="BG3004">
        <v>0</v>
      </c>
      <c r="BH3004">
        <v>5900</v>
      </c>
      <c r="BI3004">
        <v>1</v>
      </c>
      <c r="BJ3004">
        <v>0</v>
      </c>
      <c r="BK3004">
        <v>0</v>
      </c>
      <c r="BL3004">
        <v>0</v>
      </c>
      <c r="BO3004">
        <v>0</v>
      </c>
      <c r="BP3004">
        <v>0</v>
      </c>
      <c r="BW3004" t="str">
        <f>"14:56:25.180"</f>
        <v>14:56:25.180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5</v>
      </c>
      <c r="CP3004" t="s">
        <v>119</v>
      </c>
      <c r="CQ3004">
        <v>298</v>
      </c>
      <c r="CR3004">
        <v>0</v>
      </c>
      <c r="CW3004">
        <v>10450715</v>
      </c>
      <c r="CY3004">
        <v>0</v>
      </c>
      <c r="CZ3004">
        <v>0</v>
      </c>
      <c r="DA3004">
        <v>0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25">
      <c r="A3005" t="str">
        <f t="shared" si="1665"/>
        <v>06/05/2020 14:56:19.562</v>
      </c>
      <c r="C3005" t="str">
        <f t="shared" si="1652"/>
        <v>FFDFD3C0</v>
      </c>
      <c r="D3005" t="s">
        <v>148</v>
      </c>
      <c r="E3005">
        <v>8</v>
      </c>
      <c r="H3005">
        <v>50</v>
      </c>
      <c r="I3005" t="s">
        <v>149</v>
      </c>
      <c r="J3005" t="s">
        <v>150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si="1666"/>
        <v>14:56:25.172</v>
      </c>
      <c r="T3005" t="str">
        <f t="shared" si="1667"/>
        <v>14:56:24.772</v>
      </c>
      <c r="U3005" t="str">
        <f t="shared" si="1631"/>
        <v>ACC530</v>
      </c>
      <c r="V3005">
        <v>0</v>
      </c>
      <c r="W3005">
        <v>0</v>
      </c>
      <c r="X3005">
        <v>1</v>
      </c>
      <c r="Z3005">
        <v>0</v>
      </c>
      <c r="AA3005">
        <v>9</v>
      </c>
      <c r="AB3005">
        <v>3</v>
      </c>
      <c r="AC3005">
        <v>0</v>
      </c>
      <c r="AD3005">
        <v>9</v>
      </c>
      <c r="AE3005">
        <v>0</v>
      </c>
      <c r="AF3005">
        <v>3</v>
      </c>
      <c r="AG3005">
        <v>1</v>
      </c>
      <c r="AH3005">
        <v>0</v>
      </c>
      <c r="AI3005" t="s">
        <v>1016</v>
      </c>
      <c r="AJ3005">
        <v>34.109931000000003</v>
      </c>
      <c r="AK3005" t="s">
        <v>1017</v>
      </c>
      <c r="AL3005">
        <v>-117.05276000000001</v>
      </c>
      <c r="AM3005">
        <v>100</v>
      </c>
      <c r="AN3005">
        <v>6000</v>
      </c>
      <c r="AO3005" t="s">
        <v>118</v>
      </c>
      <c r="AP3005">
        <v>43</v>
      </c>
      <c r="AQ3005">
        <v>-100</v>
      </c>
      <c r="AR3005">
        <v>-576</v>
      </c>
      <c r="AZ3005">
        <v>1200</v>
      </c>
      <c r="BA3005">
        <v>1</v>
      </c>
      <c r="BB3005" t="str">
        <f t="shared" si="1636"/>
        <v xml:space="preserve">N9217B  </v>
      </c>
      <c r="BC3005">
        <v>1</v>
      </c>
      <c r="BE3005">
        <v>0</v>
      </c>
      <c r="BF3005">
        <v>0</v>
      </c>
      <c r="BG3005">
        <v>0</v>
      </c>
      <c r="BH3005">
        <v>5900</v>
      </c>
      <c r="BI3005">
        <v>1</v>
      </c>
      <c r="BJ3005">
        <v>0</v>
      </c>
      <c r="BK3005">
        <v>0</v>
      </c>
      <c r="BL3005">
        <v>0</v>
      </c>
      <c r="BO3005">
        <v>0</v>
      </c>
      <c r="BP3005">
        <v>0</v>
      </c>
      <c r="BW3005" t="str">
        <f>"14:56:25.180"</f>
        <v>14:56:25.180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5</v>
      </c>
      <c r="CP3005" t="s">
        <v>119</v>
      </c>
      <c r="CQ3005">
        <v>298</v>
      </c>
      <c r="CR3005">
        <v>0</v>
      </c>
      <c r="CW3005">
        <v>10450715</v>
      </c>
      <c r="CY3005">
        <v>0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25">
      <c r="A3006" t="str">
        <f t="shared" si="1665"/>
        <v>06/05/2020 14:56:19.562</v>
      </c>
      <c r="C3006" t="str">
        <f t="shared" si="1652"/>
        <v>FFDFD3C0</v>
      </c>
      <c r="D3006" t="s">
        <v>151</v>
      </c>
      <c r="E3006">
        <v>8</v>
      </c>
      <c r="H3006">
        <v>225</v>
      </c>
      <c r="I3006" t="s">
        <v>353</v>
      </c>
      <c r="J3006" t="s">
        <v>150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666"/>
        <v>14:56:25.172</v>
      </c>
      <c r="T3006" t="str">
        <f t="shared" si="1667"/>
        <v>14:56:24.772</v>
      </c>
      <c r="U3006" t="str">
        <f t="shared" si="1631"/>
        <v>ACC530</v>
      </c>
      <c r="V3006">
        <v>0</v>
      </c>
      <c r="W3006">
        <v>0</v>
      </c>
      <c r="X3006">
        <v>1</v>
      </c>
      <c r="Z3006">
        <v>0</v>
      </c>
      <c r="AA3006">
        <v>9</v>
      </c>
      <c r="AB3006">
        <v>3</v>
      </c>
      <c r="AC3006">
        <v>0</v>
      </c>
      <c r="AD3006">
        <v>9</v>
      </c>
      <c r="AE3006">
        <v>0</v>
      </c>
      <c r="AF3006">
        <v>3</v>
      </c>
      <c r="AG3006">
        <v>1</v>
      </c>
      <c r="AH3006">
        <v>0</v>
      </c>
      <c r="AI3006" t="s">
        <v>1016</v>
      </c>
      <c r="AJ3006">
        <v>34.109931000000003</v>
      </c>
      <c r="AK3006" t="s">
        <v>1017</v>
      </c>
      <c r="AL3006">
        <v>-117.05276000000001</v>
      </c>
      <c r="AM3006">
        <v>100</v>
      </c>
      <c r="AN3006">
        <v>6000</v>
      </c>
      <c r="AO3006" t="s">
        <v>118</v>
      </c>
      <c r="AP3006">
        <v>43</v>
      </c>
      <c r="AQ3006">
        <v>-100</v>
      </c>
      <c r="AR3006">
        <v>-576</v>
      </c>
      <c r="AZ3006">
        <v>1200</v>
      </c>
      <c r="BA3006">
        <v>1</v>
      </c>
      <c r="BB3006" t="str">
        <f t="shared" si="1636"/>
        <v xml:space="preserve">N9217B  </v>
      </c>
      <c r="BC3006">
        <v>1</v>
      </c>
      <c r="BE3006">
        <v>0</v>
      </c>
      <c r="BF3006">
        <v>0</v>
      </c>
      <c r="BG3006">
        <v>0</v>
      </c>
      <c r="BH3006">
        <v>5900</v>
      </c>
      <c r="BI3006">
        <v>1</v>
      </c>
      <c r="BJ3006">
        <v>0</v>
      </c>
      <c r="BK3006">
        <v>0</v>
      </c>
      <c r="BL3006">
        <v>0</v>
      </c>
      <c r="BO3006">
        <v>0</v>
      </c>
      <c r="BP3006">
        <v>0</v>
      </c>
      <c r="BW3006" t="str">
        <f>"14:56:25.180"</f>
        <v>14:56:25.180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5</v>
      </c>
      <c r="CP3006" t="s">
        <v>119</v>
      </c>
      <c r="CQ3006">
        <v>298</v>
      </c>
      <c r="CR3006">
        <v>0</v>
      </c>
      <c r="CW3006">
        <v>10450715</v>
      </c>
      <c r="CY3006">
        <v>0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25">
      <c r="A3007" t="str">
        <f t="shared" si="1665"/>
        <v>06/05/2020 14:56:19.562</v>
      </c>
      <c r="C3007" t="str">
        <f t="shared" si="1652"/>
        <v>FFDFD3C0</v>
      </c>
      <c r="D3007" t="s">
        <v>113</v>
      </c>
      <c r="E3007">
        <v>3</v>
      </c>
      <c r="H3007">
        <v>166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666"/>
        <v>14:56:25.172</v>
      </c>
      <c r="T3007" t="str">
        <f t="shared" si="1667"/>
        <v>14:56:24.772</v>
      </c>
      <c r="U3007" t="str">
        <f t="shared" si="1631"/>
        <v>ACC530</v>
      </c>
      <c r="V3007">
        <v>0</v>
      </c>
      <c r="W3007">
        <v>0</v>
      </c>
      <c r="X3007">
        <v>1</v>
      </c>
      <c r="Z3007">
        <v>0</v>
      </c>
      <c r="AA3007">
        <v>9</v>
      </c>
      <c r="AB3007">
        <v>3</v>
      </c>
      <c r="AC3007">
        <v>0</v>
      </c>
      <c r="AD3007">
        <v>9</v>
      </c>
      <c r="AE3007">
        <v>0</v>
      </c>
      <c r="AF3007">
        <v>3</v>
      </c>
      <c r="AG3007">
        <v>1</v>
      </c>
      <c r="AH3007">
        <v>0</v>
      </c>
      <c r="AI3007" t="s">
        <v>1016</v>
      </c>
      <c r="AJ3007">
        <v>34.109931000000003</v>
      </c>
      <c r="AK3007" t="s">
        <v>1017</v>
      </c>
      <c r="AL3007">
        <v>-117.05276000000001</v>
      </c>
      <c r="AM3007">
        <v>100</v>
      </c>
      <c r="AN3007">
        <v>6000</v>
      </c>
      <c r="AO3007" t="s">
        <v>118</v>
      </c>
      <c r="AP3007">
        <v>43</v>
      </c>
      <c r="AQ3007">
        <v>-100</v>
      </c>
      <c r="AR3007">
        <v>-576</v>
      </c>
      <c r="AZ3007">
        <v>1200</v>
      </c>
      <c r="BA3007">
        <v>1</v>
      </c>
      <c r="BB3007" t="str">
        <f t="shared" si="1636"/>
        <v xml:space="preserve">N9217B  </v>
      </c>
      <c r="BC3007">
        <v>1</v>
      </c>
      <c r="BE3007">
        <v>0</v>
      </c>
      <c r="BF3007">
        <v>0</v>
      </c>
      <c r="BG3007">
        <v>0</v>
      </c>
      <c r="BH3007">
        <v>5900</v>
      </c>
      <c r="BI3007">
        <v>1</v>
      </c>
      <c r="BJ3007">
        <v>0</v>
      </c>
      <c r="BK3007">
        <v>0</v>
      </c>
      <c r="BL3007">
        <v>0</v>
      </c>
      <c r="BO3007">
        <v>0</v>
      </c>
      <c r="BP3007">
        <v>0</v>
      </c>
      <c r="BW3007" t="str">
        <f>"14:56:25.180"</f>
        <v>14:56:25.180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5</v>
      </c>
      <c r="CP3007" t="s">
        <v>119</v>
      </c>
      <c r="CQ3007">
        <v>298</v>
      </c>
      <c r="CR3007">
        <v>0</v>
      </c>
      <c r="CW3007">
        <v>10450715</v>
      </c>
      <c r="CY3007">
        <v>0</v>
      </c>
      <c r="CZ3007">
        <v>0</v>
      </c>
      <c r="DA3007">
        <v>1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25">
      <c r="A3008" t="str">
        <f t="shared" si="1665"/>
        <v>06/05/2020 14:56:19.562</v>
      </c>
      <c r="C3008" t="str">
        <f t="shared" si="1652"/>
        <v>FFDFD3C0</v>
      </c>
      <c r="D3008" t="s">
        <v>134</v>
      </c>
      <c r="E3008">
        <v>7</v>
      </c>
      <c r="F3008">
        <v>2007</v>
      </c>
      <c r="G3008" t="s">
        <v>135</v>
      </c>
      <c r="J3008" t="s">
        <v>136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666"/>
        <v>14:56:25.172</v>
      </c>
      <c r="T3008" t="str">
        <f t="shared" si="1667"/>
        <v>14:56:24.772</v>
      </c>
      <c r="U3008" t="str">
        <f t="shared" si="1631"/>
        <v>ACC530</v>
      </c>
      <c r="V3008">
        <v>0</v>
      </c>
      <c r="W3008">
        <v>0</v>
      </c>
      <c r="X3008">
        <v>1</v>
      </c>
      <c r="Z3008">
        <v>0</v>
      </c>
      <c r="AA3008">
        <v>9</v>
      </c>
      <c r="AB3008">
        <v>3</v>
      </c>
      <c r="AC3008">
        <v>0</v>
      </c>
      <c r="AD3008">
        <v>9</v>
      </c>
      <c r="AE3008">
        <v>0</v>
      </c>
      <c r="AF3008">
        <v>3</v>
      </c>
      <c r="AG3008">
        <v>1</v>
      </c>
      <c r="AH3008">
        <v>0</v>
      </c>
      <c r="AI3008" t="s">
        <v>1016</v>
      </c>
      <c r="AJ3008">
        <v>34.109931000000003</v>
      </c>
      <c r="AK3008" t="s">
        <v>1017</v>
      </c>
      <c r="AL3008">
        <v>-117.05276000000001</v>
      </c>
      <c r="AM3008">
        <v>100</v>
      </c>
      <c r="AN3008">
        <v>6000</v>
      </c>
      <c r="AO3008" t="s">
        <v>118</v>
      </c>
      <c r="AP3008">
        <v>43</v>
      </c>
      <c r="AQ3008">
        <v>-100</v>
      </c>
      <c r="AR3008">
        <v>-576</v>
      </c>
      <c r="AZ3008">
        <v>1200</v>
      </c>
      <c r="BA3008">
        <v>1</v>
      </c>
      <c r="BB3008" t="str">
        <f t="shared" si="1636"/>
        <v xml:space="preserve">N9217B  </v>
      </c>
      <c r="BC3008">
        <v>1</v>
      </c>
      <c r="BE3008">
        <v>0</v>
      </c>
      <c r="BF3008">
        <v>0</v>
      </c>
      <c r="BG3008">
        <v>0</v>
      </c>
      <c r="BH3008">
        <v>5900</v>
      </c>
      <c r="BI3008">
        <v>1</v>
      </c>
      <c r="BJ3008">
        <v>0</v>
      </c>
      <c r="BK3008">
        <v>0</v>
      </c>
      <c r="BL3008">
        <v>0</v>
      </c>
      <c r="BO3008">
        <v>0</v>
      </c>
      <c r="BP3008">
        <v>0</v>
      </c>
      <c r="BW3008" t="str">
        <f>"14:56:25.180"</f>
        <v>14:56:25.180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5</v>
      </c>
      <c r="CP3008" t="s">
        <v>119</v>
      </c>
      <c r="CQ3008">
        <v>298</v>
      </c>
      <c r="CR3008">
        <v>0</v>
      </c>
      <c r="CW3008">
        <v>10450715</v>
      </c>
      <c r="CY3008">
        <v>0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25">
      <c r="A3009" t="str">
        <f t="shared" si="1665"/>
        <v>06/05/2020 14:56:19.562</v>
      </c>
      <c r="C3009" t="str">
        <f t="shared" si="1652"/>
        <v>FFDFD3C0</v>
      </c>
      <c r="D3009" t="s">
        <v>151</v>
      </c>
      <c r="E3009">
        <v>9</v>
      </c>
      <c r="H3009">
        <v>226</v>
      </c>
      <c r="I3009" t="s">
        <v>152</v>
      </c>
      <c r="J3009" t="s">
        <v>150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666"/>
        <v>14:56:25.172</v>
      </c>
      <c r="T3009" t="str">
        <f t="shared" si="1667"/>
        <v>14:56:24.772</v>
      </c>
      <c r="U3009" t="str">
        <f t="shared" si="1631"/>
        <v>ACC530</v>
      </c>
      <c r="V3009">
        <v>0</v>
      </c>
      <c r="W3009">
        <v>0</v>
      </c>
      <c r="X3009">
        <v>1</v>
      </c>
      <c r="Z3009">
        <v>0</v>
      </c>
      <c r="AA3009">
        <v>9</v>
      </c>
      <c r="AB3009">
        <v>3</v>
      </c>
      <c r="AC3009">
        <v>0</v>
      </c>
      <c r="AD3009">
        <v>9</v>
      </c>
      <c r="AE3009">
        <v>0</v>
      </c>
      <c r="AF3009">
        <v>3</v>
      </c>
      <c r="AG3009">
        <v>1</v>
      </c>
      <c r="AH3009">
        <v>0</v>
      </c>
      <c r="AI3009" t="s">
        <v>1016</v>
      </c>
      <c r="AJ3009">
        <v>34.109931000000003</v>
      </c>
      <c r="AK3009" t="s">
        <v>1017</v>
      </c>
      <c r="AL3009">
        <v>-117.05276000000001</v>
      </c>
      <c r="AM3009">
        <v>100</v>
      </c>
      <c r="AN3009">
        <v>6000</v>
      </c>
      <c r="AO3009" t="s">
        <v>118</v>
      </c>
      <c r="AP3009">
        <v>43</v>
      </c>
      <c r="AQ3009">
        <v>-100</v>
      </c>
      <c r="AR3009">
        <v>-576</v>
      </c>
      <c r="AZ3009">
        <v>1200</v>
      </c>
      <c r="BA3009">
        <v>1</v>
      </c>
      <c r="BB3009" t="str">
        <f t="shared" si="1636"/>
        <v xml:space="preserve">N9217B  </v>
      </c>
      <c r="BC3009">
        <v>1</v>
      </c>
      <c r="BE3009">
        <v>0</v>
      </c>
      <c r="BF3009">
        <v>0</v>
      </c>
      <c r="BG3009">
        <v>0</v>
      </c>
      <c r="BH3009">
        <v>5900</v>
      </c>
      <c r="BI3009">
        <v>1</v>
      </c>
      <c r="BJ3009">
        <v>0</v>
      </c>
      <c r="BK3009">
        <v>0</v>
      </c>
      <c r="BL3009">
        <v>0</v>
      </c>
      <c r="BO3009">
        <v>0</v>
      </c>
      <c r="BP3009">
        <v>0</v>
      </c>
      <c r="BW3009" t="str">
        <f>"14:56:25.179"</f>
        <v>14:56:25.179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5</v>
      </c>
      <c r="CP3009" t="s">
        <v>119</v>
      </c>
      <c r="CQ3009">
        <v>285</v>
      </c>
      <c r="CR3009">
        <v>1</v>
      </c>
      <c r="CW3009">
        <v>8873577</v>
      </c>
      <c r="CY3009">
        <v>0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25">
      <c r="A3010" t="str">
        <f t="shared" si="1665"/>
        <v>06/05/2020 14:56:19.562</v>
      </c>
      <c r="C3010" t="str">
        <f t="shared" si="1652"/>
        <v>FFDFD3C0</v>
      </c>
      <c r="D3010" t="s">
        <v>141</v>
      </c>
      <c r="E3010">
        <v>20</v>
      </c>
      <c r="F3010">
        <v>1020</v>
      </c>
      <c r="G3010" t="s">
        <v>114</v>
      </c>
      <c r="J3010" t="s">
        <v>142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666"/>
        <v>14:56:25.172</v>
      </c>
      <c r="T3010" t="str">
        <f t="shared" si="1667"/>
        <v>14:56:24.772</v>
      </c>
      <c r="U3010" t="str">
        <f t="shared" ref="U3010:U3073" si="1668">"ACC530"</f>
        <v>ACC530</v>
      </c>
      <c r="V3010">
        <v>0</v>
      </c>
      <c r="W3010">
        <v>0</v>
      </c>
      <c r="X3010">
        <v>1</v>
      </c>
      <c r="Z3010">
        <v>0</v>
      </c>
      <c r="AA3010">
        <v>9</v>
      </c>
      <c r="AB3010">
        <v>3</v>
      </c>
      <c r="AC3010">
        <v>0</v>
      </c>
      <c r="AD3010">
        <v>9</v>
      </c>
      <c r="AE3010">
        <v>0</v>
      </c>
      <c r="AF3010">
        <v>3</v>
      </c>
      <c r="AG3010">
        <v>1</v>
      </c>
      <c r="AH3010">
        <v>0</v>
      </c>
      <c r="AI3010" t="s">
        <v>1016</v>
      </c>
      <c r="AJ3010">
        <v>34.109931000000003</v>
      </c>
      <c r="AK3010" t="s">
        <v>1017</v>
      </c>
      <c r="AL3010">
        <v>-117.05276000000001</v>
      </c>
      <c r="AM3010">
        <v>100</v>
      </c>
      <c r="AN3010">
        <v>6000</v>
      </c>
      <c r="AO3010" t="s">
        <v>118</v>
      </c>
      <c r="AP3010">
        <v>43</v>
      </c>
      <c r="AQ3010">
        <v>-100</v>
      </c>
      <c r="AR3010">
        <v>-576</v>
      </c>
      <c r="AZ3010">
        <v>1200</v>
      </c>
      <c r="BA3010">
        <v>1</v>
      </c>
      <c r="BB3010" t="str">
        <f t="shared" si="1636"/>
        <v xml:space="preserve">N9217B  </v>
      </c>
      <c r="BC3010">
        <v>1</v>
      </c>
      <c r="BE3010">
        <v>0</v>
      </c>
      <c r="BF3010">
        <v>0</v>
      </c>
      <c r="BG3010">
        <v>0</v>
      </c>
      <c r="BH3010">
        <v>5900</v>
      </c>
      <c r="BI3010">
        <v>1</v>
      </c>
      <c r="BJ3010">
        <v>0</v>
      </c>
      <c r="BK3010">
        <v>0</v>
      </c>
      <c r="BL3010">
        <v>0</v>
      </c>
      <c r="BO3010">
        <v>0</v>
      </c>
      <c r="BP3010">
        <v>0</v>
      </c>
      <c r="BW3010" t="str">
        <f>"14:56:25.180"</f>
        <v>14:56:25.180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5</v>
      </c>
      <c r="CP3010" t="s">
        <v>119</v>
      </c>
      <c r="CQ3010">
        <v>298</v>
      </c>
      <c r="CR3010">
        <v>0</v>
      </c>
      <c r="CW3010">
        <v>10450715</v>
      </c>
      <c r="CY3010">
        <v>0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25">
      <c r="A3011" t="str">
        <f t="shared" ref="A3011:A3017" si="1669">"06/05/2020 14:56:20.385"</f>
        <v>06/05/2020 14:56:20.385</v>
      </c>
      <c r="C3011" t="str">
        <f t="shared" si="1652"/>
        <v>FFDFD3C0</v>
      </c>
      <c r="D3011" t="s">
        <v>134</v>
      </c>
      <c r="E3011">
        <v>7</v>
      </c>
      <c r="F3011">
        <v>2007</v>
      </c>
      <c r="G3011" t="s">
        <v>135</v>
      </c>
      <c r="J3011" t="s">
        <v>136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ref="S3011:S3017" si="1670">"14:56:26.047"</f>
        <v>14:56:26.047</v>
      </c>
      <c r="T3011" t="str">
        <f t="shared" ref="T3011:T3017" si="1671">"14:56:25.747"</f>
        <v>14:56:25.747</v>
      </c>
      <c r="U3011" t="str">
        <f t="shared" si="1668"/>
        <v>ACC530</v>
      </c>
      <c r="V3011">
        <v>0</v>
      </c>
      <c r="W3011">
        <v>0</v>
      </c>
      <c r="X3011">
        <v>1</v>
      </c>
      <c r="Z3011">
        <v>0</v>
      </c>
      <c r="AA3011">
        <v>9</v>
      </c>
      <c r="AB3011">
        <v>3</v>
      </c>
      <c r="AC3011">
        <v>0</v>
      </c>
      <c r="AD3011">
        <v>9</v>
      </c>
      <c r="AE3011">
        <v>0</v>
      </c>
      <c r="AF3011">
        <v>3</v>
      </c>
      <c r="AG3011">
        <v>1</v>
      </c>
      <c r="AH3011">
        <v>0</v>
      </c>
      <c r="AI3011" t="s">
        <v>1018</v>
      </c>
      <c r="AJ3011">
        <v>34.109523000000003</v>
      </c>
      <c r="AK3011" t="s">
        <v>1019</v>
      </c>
      <c r="AL3011">
        <v>-117.05254600000001</v>
      </c>
      <c r="AM3011">
        <v>100</v>
      </c>
      <c r="AN3011">
        <v>6000</v>
      </c>
      <c r="AO3011" t="s">
        <v>118</v>
      </c>
      <c r="AP3011">
        <v>43</v>
      </c>
      <c r="AQ3011">
        <v>-100</v>
      </c>
      <c r="AR3011">
        <v>-512</v>
      </c>
      <c r="AZ3011">
        <v>1200</v>
      </c>
      <c r="BA3011">
        <v>1</v>
      </c>
      <c r="BB3011" t="str">
        <f t="shared" si="1636"/>
        <v xml:space="preserve">N9217B  </v>
      </c>
      <c r="BC3011">
        <v>1</v>
      </c>
      <c r="BE3011">
        <v>0</v>
      </c>
      <c r="BF3011">
        <v>0</v>
      </c>
      <c r="BG3011">
        <v>0</v>
      </c>
      <c r="BH3011">
        <v>5875</v>
      </c>
      <c r="BI3011">
        <v>1</v>
      </c>
      <c r="BJ3011">
        <v>0</v>
      </c>
      <c r="BK3011">
        <v>0</v>
      </c>
      <c r="BL3011">
        <v>0</v>
      </c>
      <c r="BO3011">
        <v>0</v>
      </c>
      <c r="BP3011">
        <v>0</v>
      </c>
      <c r="BW3011" t="str">
        <f t="shared" ref="BW3011:BW3017" si="1672">"14:56:26.049"</f>
        <v>14:56:26.049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119</v>
      </c>
      <c r="CQ3011">
        <v>285</v>
      </c>
      <c r="CR3011">
        <v>0</v>
      </c>
      <c r="CW3011">
        <v>8873649</v>
      </c>
      <c r="CY3011">
        <v>0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25">
      <c r="A3012" t="str">
        <f t="shared" si="1669"/>
        <v>06/05/2020 14:56:20.385</v>
      </c>
      <c r="C3012" t="str">
        <f t="shared" si="1652"/>
        <v>FFDFD3C0</v>
      </c>
      <c r="D3012" t="s">
        <v>151</v>
      </c>
      <c r="E3012">
        <v>9</v>
      </c>
      <c r="H3012">
        <v>226</v>
      </c>
      <c r="I3012" t="s">
        <v>152</v>
      </c>
      <c r="J3012" t="s">
        <v>150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670"/>
        <v>14:56:26.047</v>
      </c>
      <c r="T3012" t="str">
        <f t="shared" si="1671"/>
        <v>14:56:25.747</v>
      </c>
      <c r="U3012" t="str">
        <f t="shared" si="1668"/>
        <v>ACC530</v>
      </c>
      <c r="V3012">
        <v>0</v>
      </c>
      <c r="W3012">
        <v>0</v>
      </c>
      <c r="X3012">
        <v>1</v>
      </c>
      <c r="Z3012">
        <v>0</v>
      </c>
      <c r="AA3012">
        <v>9</v>
      </c>
      <c r="AB3012">
        <v>3</v>
      </c>
      <c r="AC3012">
        <v>0</v>
      </c>
      <c r="AD3012">
        <v>9</v>
      </c>
      <c r="AE3012">
        <v>0</v>
      </c>
      <c r="AF3012">
        <v>3</v>
      </c>
      <c r="AG3012">
        <v>1</v>
      </c>
      <c r="AH3012">
        <v>0</v>
      </c>
      <c r="AI3012" t="s">
        <v>1018</v>
      </c>
      <c r="AJ3012">
        <v>34.109523000000003</v>
      </c>
      <c r="AK3012" t="s">
        <v>1019</v>
      </c>
      <c r="AL3012">
        <v>-117.05254600000001</v>
      </c>
      <c r="AM3012">
        <v>100</v>
      </c>
      <c r="AN3012">
        <v>6000</v>
      </c>
      <c r="AO3012" t="s">
        <v>118</v>
      </c>
      <c r="AP3012">
        <v>43</v>
      </c>
      <c r="AQ3012">
        <v>-100</v>
      </c>
      <c r="AR3012">
        <v>-512</v>
      </c>
      <c r="AZ3012">
        <v>1200</v>
      </c>
      <c r="BA3012">
        <v>1</v>
      </c>
      <c r="BB3012" t="str">
        <f t="shared" si="1636"/>
        <v xml:space="preserve">N9217B  </v>
      </c>
      <c r="BC3012">
        <v>1</v>
      </c>
      <c r="BE3012">
        <v>0</v>
      </c>
      <c r="BF3012">
        <v>0</v>
      </c>
      <c r="BG3012">
        <v>0</v>
      </c>
      <c r="BH3012">
        <v>5875</v>
      </c>
      <c r="BI3012">
        <v>1</v>
      </c>
      <c r="BJ3012">
        <v>0</v>
      </c>
      <c r="BK3012">
        <v>0</v>
      </c>
      <c r="BL3012">
        <v>0</v>
      </c>
      <c r="BO3012">
        <v>0</v>
      </c>
      <c r="BP3012">
        <v>0</v>
      </c>
      <c r="BW3012" t="str">
        <f t="shared" si="1672"/>
        <v>14:56:26.049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7</v>
      </c>
      <c r="CP3012" t="s">
        <v>119</v>
      </c>
      <c r="CQ3012">
        <v>285</v>
      </c>
      <c r="CR3012">
        <v>0</v>
      </c>
      <c r="CW3012">
        <v>8873649</v>
      </c>
      <c r="CY3012">
        <v>0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25">
      <c r="A3013" t="str">
        <f t="shared" si="1669"/>
        <v>06/05/2020 14:56:20.385</v>
      </c>
      <c r="C3013" t="str">
        <f t="shared" si="1652"/>
        <v>FFDFD3C0</v>
      </c>
      <c r="D3013" t="s">
        <v>141</v>
      </c>
      <c r="E3013">
        <v>20</v>
      </c>
      <c r="F3013">
        <v>1020</v>
      </c>
      <c r="G3013" t="s">
        <v>114</v>
      </c>
      <c r="J3013" t="s">
        <v>142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670"/>
        <v>14:56:26.047</v>
      </c>
      <c r="T3013" t="str">
        <f t="shared" si="1671"/>
        <v>14:56:25.747</v>
      </c>
      <c r="U3013" t="str">
        <f t="shared" si="1668"/>
        <v>ACC530</v>
      </c>
      <c r="V3013">
        <v>0</v>
      </c>
      <c r="W3013">
        <v>0</v>
      </c>
      <c r="X3013">
        <v>1</v>
      </c>
      <c r="Z3013">
        <v>0</v>
      </c>
      <c r="AA3013">
        <v>9</v>
      </c>
      <c r="AB3013">
        <v>3</v>
      </c>
      <c r="AC3013">
        <v>0</v>
      </c>
      <c r="AD3013">
        <v>9</v>
      </c>
      <c r="AE3013">
        <v>0</v>
      </c>
      <c r="AF3013">
        <v>3</v>
      </c>
      <c r="AG3013">
        <v>1</v>
      </c>
      <c r="AH3013">
        <v>0</v>
      </c>
      <c r="AI3013" t="s">
        <v>1018</v>
      </c>
      <c r="AJ3013">
        <v>34.109523000000003</v>
      </c>
      <c r="AK3013" t="s">
        <v>1019</v>
      </c>
      <c r="AL3013">
        <v>-117.05254600000001</v>
      </c>
      <c r="AM3013">
        <v>100</v>
      </c>
      <c r="AN3013">
        <v>6000</v>
      </c>
      <c r="AO3013" t="s">
        <v>118</v>
      </c>
      <c r="AP3013">
        <v>43</v>
      </c>
      <c r="AQ3013">
        <v>-100</v>
      </c>
      <c r="AR3013">
        <v>-512</v>
      </c>
      <c r="AZ3013">
        <v>1200</v>
      </c>
      <c r="BA3013">
        <v>1</v>
      </c>
      <c r="BB3013" t="str">
        <f t="shared" ref="BB3013:BB3076" si="1673">"N9217B  "</f>
        <v xml:space="preserve">N9217B  </v>
      </c>
      <c r="BC3013">
        <v>1</v>
      </c>
      <c r="BE3013">
        <v>0</v>
      </c>
      <c r="BF3013">
        <v>0</v>
      </c>
      <c r="BG3013">
        <v>0</v>
      </c>
      <c r="BH3013">
        <v>5875</v>
      </c>
      <c r="BI3013">
        <v>1</v>
      </c>
      <c r="BJ3013">
        <v>0</v>
      </c>
      <c r="BK3013">
        <v>0</v>
      </c>
      <c r="BL3013">
        <v>0</v>
      </c>
      <c r="BO3013">
        <v>0</v>
      </c>
      <c r="BP3013">
        <v>0</v>
      </c>
      <c r="BW3013" t="str">
        <f t="shared" si="1672"/>
        <v>14:56:26.049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119</v>
      </c>
      <c r="CQ3013">
        <v>285</v>
      </c>
      <c r="CR3013">
        <v>0</v>
      </c>
      <c r="CW3013">
        <v>8873649</v>
      </c>
      <c r="CY3013">
        <v>0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25">
      <c r="A3014" t="str">
        <f t="shared" si="1669"/>
        <v>06/05/2020 14:56:20.385</v>
      </c>
      <c r="C3014" t="str">
        <f t="shared" si="1652"/>
        <v>FFDFD3C0</v>
      </c>
      <c r="D3014" t="s">
        <v>148</v>
      </c>
      <c r="E3014">
        <v>11</v>
      </c>
      <c r="H3014">
        <v>53</v>
      </c>
      <c r="I3014" t="s">
        <v>364</v>
      </c>
      <c r="J3014" t="s">
        <v>150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si="1670"/>
        <v>14:56:26.047</v>
      </c>
      <c r="T3014" t="str">
        <f t="shared" si="1671"/>
        <v>14:56:25.747</v>
      </c>
      <c r="U3014" t="str">
        <f t="shared" si="1668"/>
        <v>ACC530</v>
      </c>
      <c r="V3014">
        <v>0</v>
      </c>
      <c r="W3014">
        <v>0</v>
      </c>
      <c r="X3014">
        <v>1</v>
      </c>
      <c r="Z3014">
        <v>0</v>
      </c>
      <c r="AA3014">
        <v>9</v>
      </c>
      <c r="AB3014">
        <v>3</v>
      </c>
      <c r="AC3014">
        <v>0</v>
      </c>
      <c r="AD3014">
        <v>9</v>
      </c>
      <c r="AE3014">
        <v>0</v>
      </c>
      <c r="AF3014">
        <v>3</v>
      </c>
      <c r="AG3014">
        <v>1</v>
      </c>
      <c r="AH3014">
        <v>0</v>
      </c>
      <c r="AI3014" t="s">
        <v>1018</v>
      </c>
      <c r="AJ3014">
        <v>34.109523000000003</v>
      </c>
      <c r="AK3014" t="s">
        <v>1019</v>
      </c>
      <c r="AL3014">
        <v>-117.05254600000001</v>
      </c>
      <c r="AM3014">
        <v>100</v>
      </c>
      <c r="AN3014">
        <v>6000</v>
      </c>
      <c r="AO3014" t="s">
        <v>118</v>
      </c>
      <c r="AP3014">
        <v>43</v>
      </c>
      <c r="AQ3014">
        <v>-100</v>
      </c>
      <c r="AR3014">
        <v>-512</v>
      </c>
      <c r="AZ3014">
        <v>1200</v>
      </c>
      <c r="BA3014">
        <v>1</v>
      </c>
      <c r="BB3014" t="str">
        <f t="shared" si="1673"/>
        <v xml:space="preserve">N9217B  </v>
      </c>
      <c r="BC3014">
        <v>1</v>
      </c>
      <c r="BE3014">
        <v>0</v>
      </c>
      <c r="BF3014">
        <v>0</v>
      </c>
      <c r="BG3014">
        <v>0</v>
      </c>
      <c r="BH3014">
        <v>5875</v>
      </c>
      <c r="BI3014">
        <v>1</v>
      </c>
      <c r="BJ3014">
        <v>0</v>
      </c>
      <c r="BK3014">
        <v>0</v>
      </c>
      <c r="BL3014">
        <v>0</v>
      </c>
      <c r="BO3014">
        <v>0</v>
      </c>
      <c r="BP3014">
        <v>0</v>
      </c>
      <c r="BW3014" t="str">
        <f t="shared" si="1672"/>
        <v>14:56:26.049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285</v>
      </c>
      <c r="CR3014">
        <v>0</v>
      </c>
      <c r="CW3014">
        <v>8873649</v>
      </c>
      <c r="CY3014">
        <v>0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25">
      <c r="A3015" t="str">
        <f t="shared" si="1669"/>
        <v>06/05/2020 14:56:20.385</v>
      </c>
      <c r="C3015" t="str">
        <f t="shared" si="1652"/>
        <v>FFDFD3C0</v>
      </c>
      <c r="D3015" t="s">
        <v>148</v>
      </c>
      <c r="E3015">
        <v>8</v>
      </c>
      <c r="H3015">
        <v>50</v>
      </c>
      <c r="I3015" t="s">
        <v>149</v>
      </c>
      <c r="J3015" t="s">
        <v>150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670"/>
        <v>14:56:26.047</v>
      </c>
      <c r="T3015" t="str">
        <f t="shared" si="1671"/>
        <v>14:56:25.747</v>
      </c>
      <c r="U3015" t="str">
        <f t="shared" si="1668"/>
        <v>ACC530</v>
      </c>
      <c r="V3015">
        <v>0</v>
      </c>
      <c r="W3015">
        <v>0</v>
      </c>
      <c r="X3015">
        <v>1</v>
      </c>
      <c r="Z3015">
        <v>0</v>
      </c>
      <c r="AA3015">
        <v>9</v>
      </c>
      <c r="AB3015">
        <v>3</v>
      </c>
      <c r="AC3015">
        <v>0</v>
      </c>
      <c r="AD3015">
        <v>9</v>
      </c>
      <c r="AE3015">
        <v>0</v>
      </c>
      <c r="AF3015">
        <v>3</v>
      </c>
      <c r="AG3015">
        <v>1</v>
      </c>
      <c r="AH3015">
        <v>0</v>
      </c>
      <c r="AI3015" t="s">
        <v>1018</v>
      </c>
      <c r="AJ3015">
        <v>34.109523000000003</v>
      </c>
      <c r="AK3015" t="s">
        <v>1019</v>
      </c>
      <c r="AL3015">
        <v>-117.05254600000001</v>
      </c>
      <c r="AM3015">
        <v>100</v>
      </c>
      <c r="AN3015">
        <v>6000</v>
      </c>
      <c r="AO3015" t="s">
        <v>118</v>
      </c>
      <c r="AP3015">
        <v>43</v>
      </c>
      <c r="AQ3015">
        <v>-100</v>
      </c>
      <c r="AR3015">
        <v>-512</v>
      </c>
      <c r="AZ3015">
        <v>1200</v>
      </c>
      <c r="BA3015">
        <v>1</v>
      </c>
      <c r="BB3015" t="str">
        <f t="shared" si="1673"/>
        <v xml:space="preserve">N9217B  </v>
      </c>
      <c r="BC3015">
        <v>1</v>
      </c>
      <c r="BE3015">
        <v>0</v>
      </c>
      <c r="BF3015">
        <v>0</v>
      </c>
      <c r="BG3015">
        <v>0</v>
      </c>
      <c r="BH3015">
        <v>5875</v>
      </c>
      <c r="BI3015">
        <v>1</v>
      </c>
      <c r="BJ3015">
        <v>0</v>
      </c>
      <c r="BK3015">
        <v>0</v>
      </c>
      <c r="BL3015">
        <v>0</v>
      </c>
      <c r="BO3015">
        <v>0</v>
      </c>
      <c r="BP3015">
        <v>0</v>
      </c>
      <c r="BW3015" t="str">
        <f t="shared" si="1672"/>
        <v>14:56:26.049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285</v>
      </c>
      <c r="CR3015">
        <v>0</v>
      </c>
      <c r="CW3015">
        <v>8873649</v>
      </c>
      <c r="CY3015">
        <v>0</v>
      </c>
      <c r="CZ3015">
        <v>0</v>
      </c>
      <c r="DA3015">
        <v>1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25">
      <c r="A3016" t="str">
        <f t="shared" si="1669"/>
        <v>06/05/2020 14:56:20.385</v>
      </c>
      <c r="C3016" t="str">
        <f t="shared" si="1652"/>
        <v>FFDFD3C0</v>
      </c>
      <c r="D3016" t="s">
        <v>151</v>
      </c>
      <c r="E3016">
        <v>8</v>
      </c>
      <c r="H3016">
        <v>225</v>
      </c>
      <c r="I3016" t="s">
        <v>353</v>
      </c>
      <c r="J3016" t="s">
        <v>150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670"/>
        <v>14:56:26.047</v>
      </c>
      <c r="T3016" t="str">
        <f t="shared" si="1671"/>
        <v>14:56:25.747</v>
      </c>
      <c r="U3016" t="str">
        <f t="shared" si="1668"/>
        <v>ACC530</v>
      </c>
      <c r="V3016">
        <v>0</v>
      </c>
      <c r="W3016">
        <v>0</v>
      </c>
      <c r="X3016">
        <v>1</v>
      </c>
      <c r="Z3016">
        <v>0</v>
      </c>
      <c r="AA3016">
        <v>9</v>
      </c>
      <c r="AB3016">
        <v>3</v>
      </c>
      <c r="AC3016">
        <v>0</v>
      </c>
      <c r="AD3016">
        <v>9</v>
      </c>
      <c r="AE3016">
        <v>0</v>
      </c>
      <c r="AF3016">
        <v>3</v>
      </c>
      <c r="AG3016">
        <v>1</v>
      </c>
      <c r="AH3016">
        <v>0</v>
      </c>
      <c r="AI3016" t="s">
        <v>1018</v>
      </c>
      <c r="AJ3016">
        <v>34.109523000000003</v>
      </c>
      <c r="AK3016" t="s">
        <v>1019</v>
      </c>
      <c r="AL3016">
        <v>-117.05254600000001</v>
      </c>
      <c r="AM3016">
        <v>100</v>
      </c>
      <c r="AN3016">
        <v>6000</v>
      </c>
      <c r="AO3016" t="s">
        <v>118</v>
      </c>
      <c r="AP3016">
        <v>43</v>
      </c>
      <c r="AQ3016">
        <v>-100</v>
      </c>
      <c r="AR3016">
        <v>-512</v>
      </c>
      <c r="AZ3016">
        <v>1200</v>
      </c>
      <c r="BA3016">
        <v>1</v>
      </c>
      <c r="BB3016" t="str">
        <f t="shared" si="1673"/>
        <v xml:space="preserve">N9217B  </v>
      </c>
      <c r="BC3016">
        <v>1</v>
      </c>
      <c r="BE3016">
        <v>0</v>
      </c>
      <c r="BF3016">
        <v>0</v>
      </c>
      <c r="BG3016">
        <v>0</v>
      </c>
      <c r="BH3016">
        <v>5875</v>
      </c>
      <c r="BI3016">
        <v>1</v>
      </c>
      <c r="BJ3016">
        <v>0</v>
      </c>
      <c r="BK3016">
        <v>0</v>
      </c>
      <c r="BL3016">
        <v>0</v>
      </c>
      <c r="BO3016">
        <v>0</v>
      </c>
      <c r="BP3016">
        <v>0</v>
      </c>
      <c r="BW3016" t="str">
        <f t="shared" si="1672"/>
        <v>14:56:26.049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119</v>
      </c>
      <c r="CQ3016">
        <v>285</v>
      </c>
      <c r="CR3016">
        <v>0</v>
      </c>
      <c r="CW3016">
        <v>8873649</v>
      </c>
      <c r="CY3016">
        <v>0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25">
      <c r="A3017" t="str">
        <f t="shared" si="1669"/>
        <v>06/05/2020 14:56:20.385</v>
      </c>
      <c r="C3017" t="str">
        <f t="shared" si="1652"/>
        <v>FFDFD3C0</v>
      </c>
      <c r="D3017" t="s">
        <v>113</v>
      </c>
      <c r="E3017">
        <v>3</v>
      </c>
      <c r="H3017">
        <v>166</v>
      </c>
      <c r="I3017" t="s">
        <v>114</v>
      </c>
      <c r="J3017" t="s">
        <v>115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670"/>
        <v>14:56:26.047</v>
      </c>
      <c r="T3017" t="str">
        <f t="shared" si="1671"/>
        <v>14:56:25.747</v>
      </c>
      <c r="U3017" t="str">
        <f t="shared" si="1668"/>
        <v>ACC530</v>
      </c>
      <c r="V3017">
        <v>0</v>
      </c>
      <c r="W3017">
        <v>0</v>
      </c>
      <c r="X3017">
        <v>1</v>
      </c>
      <c r="Z3017">
        <v>0</v>
      </c>
      <c r="AA3017">
        <v>9</v>
      </c>
      <c r="AB3017">
        <v>3</v>
      </c>
      <c r="AC3017">
        <v>0</v>
      </c>
      <c r="AD3017">
        <v>9</v>
      </c>
      <c r="AE3017">
        <v>0</v>
      </c>
      <c r="AF3017">
        <v>3</v>
      </c>
      <c r="AG3017">
        <v>1</v>
      </c>
      <c r="AH3017">
        <v>0</v>
      </c>
      <c r="AI3017" t="s">
        <v>1018</v>
      </c>
      <c r="AJ3017">
        <v>34.109523000000003</v>
      </c>
      <c r="AK3017" t="s">
        <v>1019</v>
      </c>
      <c r="AL3017">
        <v>-117.05254600000001</v>
      </c>
      <c r="AM3017">
        <v>100</v>
      </c>
      <c r="AN3017">
        <v>6000</v>
      </c>
      <c r="AO3017" t="s">
        <v>118</v>
      </c>
      <c r="AP3017">
        <v>43</v>
      </c>
      <c r="AQ3017">
        <v>-100</v>
      </c>
      <c r="AR3017">
        <v>-512</v>
      </c>
      <c r="AZ3017">
        <v>1200</v>
      </c>
      <c r="BA3017">
        <v>1</v>
      </c>
      <c r="BB3017" t="str">
        <f t="shared" si="1673"/>
        <v xml:space="preserve">N9217B  </v>
      </c>
      <c r="BC3017">
        <v>1</v>
      </c>
      <c r="BE3017">
        <v>0</v>
      </c>
      <c r="BF3017">
        <v>0</v>
      </c>
      <c r="BG3017">
        <v>0</v>
      </c>
      <c r="BH3017">
        <v>5875</v>
      </c>
      <c r="BI3017">
        <v>1</v>
      </c>
      <c r="BJ3017">
        <v>0</v>
      </c>
      <c r="BK3017">
        <v>0</v>
      </c>
      <c r="BL3017">
        <v>0</v>
      </c>
      <c r="BO3017">
        <v>0</v>
      </c>
      <c r="BP3017">
        <v>0</v>
      </c>
      <c r="BW3017" t="str">
        <f t="shared" si="1672"/>
        <v>14:56:26.049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285</v>
      </c>
      <c r="CR3017">
        <v>0</v>
      </c>
      <c r="CW3017">
        <v>8873649</v>
      </c>
      <c r="CY3017">
        <v>0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25">
      <c r="A3018" t="str">
        <f t="shared" ref="A3018:A3024" si="1674">"06/05/2020 14:56:21.584"</f>
        <v>06/05/2020 14:56:21.584</v>
      </c>
      <c r="C3018" t="str">
        <f t="shared" si="1652"/>
        <v>FFDFD3C0</v>
      </c>
      <c r="D3018" t="s">
        <v>148</v>
      </c>
      <c r="E3018">
        <v>11</v>
      </c>
      <c r="H3018">
        <v>53</v>
      </c>
      <c r="I3018" t="s">
        <v>364</v>
      </c>
      <c r="J3018" t="s">
        <v>150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ref="S3018:S3024" si="1675">"14:56:27.203"</f>
        <v>14:56:27.203</v>
      </c>
      <c r="T3018" t="str">
        <f t="shared" ref="T3018:T3024" si="1676">"14:56:27.103"</f>
        <v>14:56:27.103</v>
      </c>
      <c r="U3018" t="str">
        <f t="shared" si="1668"/>
        <v>ACC530</v>
      </c>
      <c r="V3018">
        <v>0</v>
      </c>
      <c r="W3018">
        <v>0</v>
      </c>
      <c r="X3018">
        <v>1</v>
      </c>
      <c r="Z3018">
        <v>0</v>
      </c>
      <c r="AA3018">
        <v>9</v>
      </c>
      <c r="AB3018">
        <v>3</v>
      </c>
      <c r="AC3018">
        <v>0</v>
      </c>
      <c r="AD3018">
        <v>9</v>
      </c>
      <c r="AE3018">
        <v>0</v>
      </c>
      <c r="AF3018">
        <v>3</v>
      </c>
      <c r="AG3018">
        <v>1</v>
      </c>
      <c r="AH3018">
        <v>0</v>
      </c>
      <c r="AI3018" t="s">
        <v>1020</v>
      </c>
      <c r="AJ3018">
        <v>34.108986999999999</v>
      </c>
      <c r="AK3018" t="s">
        <v>883</v>
      </c>
      <c r="AL3018">
        <v>-117.052267</v>
      </c>
      <c r="AM3018">
        <v>100</v>
      </c>
      <c r="AN3018">
        <v>6000</v>
      </c>
      <c r="AO3018" t="s">
        <v>118</v>
      </c>
      <c r="AP3018">
        <v>42</v>
      </c>
      <c r="AQ3018">
        <v>-100</v>
      </c>
      <c r="AR3018">
        <v>-448</v>
      </c>
      <c r="AZ3018">
        <v>1200</v>
      </c>
      <c r="BA3018">
        <v>1</v>
      </c>
      <c r="BB3018" t="str">
        <f t="shared" si="1673"/>
        <v xml:space="preserve">N9217B  </v>
      </c>
      <c r="BC3018">
        <v>1</v>
      </c>
      <c r="BE3018">
        <v>0</v>
      </c>
      <c r="BF3018">
        <v>0</v>
      </c>
      <c r="BG3018">
        <v>0</v>
      </c>
      <c r="BH3018">
        <v>5875</v>
      </c>
      <c r="BI3018">
        <v>1</v>
      </c>
      <c r="BJ3018">
        <v>0</v>
      </c>
      <c r="BK3018">
        <v>0</v>
      </c>
      <c r="BL3018">
        <v>0</v>
      </c>
      <c r="BO3018">
        <v>0</v>
      </c>
      <c r="BP3018">
        <v>0</v>
      </c>
      <c r="BW3018" t="str">
        <f t="shared" ref="BW3018:BW3024" si="1677">"14:56:27.204"</f>
        <v>14:56:27.204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285</v>
      </c>
      <c r="CR3018">
        <v>0</v>
      </c>
      <c r="CW3018">
        <v>8873764</v>
      </c>
      <c r="CY3018">
        <v>0</v>
      </c>
      <c r="CZ3018">
        <v>0</v>
      </c>
      <c r="DA3018">
        <v>0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25">
      <c r="A3019" t="str">
        <f t="shared" si="1674"/>
        <v>06/05/2020 14:56:21.584</v>
      </c>
      <c r="C3019" t="str">
        <f t="shared" si="1652"/>
        <v>FFDFD3C0</v>
      </c>
      <c r="D3019" t="s">
        <v>148</v>
      </c>
      <c r="E3019">
        <v>8</v>
      </c>
      <c r="H3019">
        <v>50</v>
      </c>
      <c r="I3019" t="s">
        <v>149</v>
      </c>
      <c r="J3019" t="s">
        <v>150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675"/>
        <v>14:56:27.203</v>
      </c>
      <c r="T3019" t="str">
        <f t="shared" si="1676"/>
        <v>14:56:27.103</v>
      </c>
      <c r="U3019" t="str">
        <f t="shared" si="1668"/>
        <v>ACC530</v>
      </c>
      <c r="V3019">
        <v>0</v>
      </c>
      <c r="W3019">
        <v>0</v>
      </c>
      <c r="X3019">
        <v>1</v>
      </c>
      <c r="Z3019">
        <v>0</v>
      </c>
      <c r="AA3019">
        <v>9</v>
      </c>
      <c r="AB3019">
        <v>3</v>
      </c>
      <c r="AC3019">
        <v>0</v>
      </c>
      <c r="AD3019">
        <v>9</v>
      </c>
      <c r="AE3019">
        <v>0</v>
      </c>
      <c r="AF3019">
        <v>3</v>
      </c>
      <c r="AG3019">
        <v>1</v>
      </c>
      <c r="AH3019">
        <v>0</v>
      </c>
      <c r="AI3019" t="s">
        <v>1020</v>
      </c>
      <c r="AJ3019">
        <v>34.108986999999999</v>
      </c>
      <c r="AK3019" t="s">
        <v>883</v>
      </c>
      <c r="AL3019">
        <v>-117.052267</v>
      </c>
      <c r="AM3019">
        <v>100</v>
      </c>
      <c r="AN3019">
        <v>6000</v>
      </c>
      <c r="AO3019" t="s">
        <v>118</v>
      </c>
      <c r="AP3019">
        <v>42</v>
      </c>
      <c r="AQ3019">
        <v>-100</v>
      </c>
      <c r="AR3019">
        <v>-448</v>
      </c>
      <c r="AZ3019">
        <v>1200</v>
      </c>
      <c r="BA3019">
        <v>1</v>
      </c>
      <c r="BB3019" t="str">
        <f t="shared" si="1673"/>
        <v xml:space="preserve">N9217B  </v>
      </c>
      <c r="BC3019">
        <v>1</v>
      </c>
      <c r="BE3019">
        <v>0</v>
      </c>
      <c r="BF3019">
        <v>0</v>
      </c>
      <c r="BG3019">
        <v>0</v>
      </c>
      <c r="BH3019">
        <v>5875</v>
      </c>
      <c r="BI3019">
        <v>1</v>
      </c>
      <c r="BJ3019">
        <v>0</v>
      </c>
      <c r="BK3019">
        <v>0</v>
      </c>
      <c r="BL3019">
        <v>0</v>
      </c>
      <c r="BO3019">
        <v>0</v>
      </c>
      <c r="BP3019">
        <v>0</v>
      </c>
      <c r="BW3019" t="str">
        <f t="shared" si="1677"/>
        <v>14:56:27.204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119</v>
      </c>
      <c r="CQ3019">
        <v>285</v>
      </c>
      <c r="CR3019">
        <v>0</v>
      </c>
      <c r="CW3019">
        <v>8873764</v>
      </c>
      <c r="CY3019">
        <v>0</v>
      </c>
      <c r="CZ3019">
        <v>0</v>
      </c>
      <c r="DA3019">
        <v>1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25">
      <c r="A3020" t="str">
        <f t="shared" si="1674"/>
        <v>06/05/2020 14:56:21.584</v>
      </c>
      <c r="C3020" t="str">
        <f t="shared" si="1652"/>
        <v>FFDFD3C0</v>
      </c>
      <c r="D3020" t="s">
        <v>151</v>
      </c>
      <c r="E3020">
        <v>8</v>
      </c>
      <c r="H3020">
        <v>225</v>
      </c>
      <c r="I3020" t="s">
        <v>353</v>
      </c>
      <c r="J3020" t="s">
        <v>150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675"/>
        <v>14:56:27.203</v>
      </c>
      <c r="T3020" t="str">
        <f t="shared" si="1676"/>
        <v>14:56:27.103</v>
      </c>
      <c r="U3020" t="str">
        <f t="shared" si="1668"/>
        <v>ACC530</v>
      </c>
      <c r="V3020">
        <v>0</v>
      </c>
      <c r="W3020">
        <v>0</v>
      </c>
      <c r="X3020">
        <v>1</v>
      </c>
      <c r="Z3020">
        <v>0</v>
      </c>
      <c r="AA3020">
        <v>9</v>
      </c>
      <c r="AB3020">
        <v>3</v>
      </c>
      <c r="AC3020">
        <v>0</v>
      </c>
      <c r="AD3020">
        <v>9</v>
      </c>
      <c r="AE3020">
        <v>0</v>
      </c>
      <c r="AF3020">
        <v>3</v>
      </c>
      <c r="AG3020">
        <v>1</v>
      </c>
      <c r="AH3020">
        <v>0</v>
      </c>
      <c r="AI3020" t="s">
        <v>1020</v>
      </c>
      <c r="AJ3020">
        <v>34.108986999999999</v>
      </c>
      <c r="AK3020" t="s">
        <v>883</v>
      </c>
      <c r="AL3020">
        <v>-117.052267</v>
      </c>
      <c r="AM3020">
        <v>100</v>
      </c>
      <c r="AN3020">
        <v>6000</v>
      </c>
      <c r="AO3020" t="s">
        <v>118</v>
      </c>
      <c r="AP3020">
        <v>42</v>
      </c>
      <c r="AQ3020">
        <v>-100</v>
      </c>
      <c r="AR3020">
        <v>-448</v>
      </c>
      <c r="AZ3020">
        <v>1200</v>
      </c>
      <c r="BA3020">
        <v>1</v>
      </c>
      <c r="BB3020" t="str">
        <f t="shared" si="1673"/>
        <v xml:space="preserve">N9217B  </v>
      </c>
      <c r="BC3020">
        <v>1</v>
      </c>
      <c r="BE3020">
        <v>0</v>
      </c>
      <c r="BF3020">
        <v>0</v>
      </c>
      <c r="BG3020">
        <v>0</v>
      </c>
      <c r="BH3020">
        <v>5875</v>
      </c>
      <c r="BI3020">
        <v>1</v>
      </c>
      <c r="BJ3020">
        <v>0</v>
      </c>
      <c r="BK3020">
        <v>0</v>
      </c>
      <c r="BL3020">
        <v>0</v>
      </c>
      <c r="BO3020">
        <v>0</v>
      </c>
      <c r="BP3020">
        <v>0</v>
      </c>
      <c r="BW3020" t="str">
        <f t="shared" si="1677"/>
        <v>14:56:27.204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285</v>
      </c>
      <c r="CR3020">
        <v>0</v>
      </c>
      <c r="CW3020">
        <v>8873764</v>
      </c>
      <c r="CY3020">
        <v>0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25">
      <c r="A3021" t="str">
        <f t="shared" si="1674"/>
        <v>06/05/2020 14:56:21.584</v>
      </c>
      <c r="C3021" t="str">
        <f t="shared" si="1652"/>
        <v>FFDFD3C0</v>
      </c>
      <c r="D3021" t="s">
        <v>134</v>
      </c>
      <c r="E3021">
        <v>7</v>
      </c>
      <c r="F3021">
        <v>2007</v>
      </c>
      <c r="G3021" t="s">
        <v>135</v>
      </c>
      <c r="J3021" t="s">
        <v>136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675"/>
        <v>14:56:27.203</v>
      </c>
      <c r="T3021" t="str">
        <f t="shared" si="1676"/>
        <v>14:56:27.103</v>
      </c>
      <c r="U3021" t="str">
        <f t="shared" si="1668"/>
        <v>ACC530</v>
      </c>
      <c r="V3021">
        <v>0</v>
      </c>
      <c r="W3021">
        <v>0</v>
      </c>
      <c r="X3021">
        <v>1</v>
      </c>
      <c r="Z3021">
        <v>0</v>
      </c>
      <c r="AA3021">
        <v>9</v>
      </c>
      <c r="AB3021">
        <v>3</v>
      </c>
      <c r="AC3021">
        <v>0</v>
      </c>
      <c r="AD3021">
        <v>9</v>
      </c>
      <c r="AE3021">
        <v>0</v>
      </c>
      <c r="AF3021">
        <v>3</v>
      </c>
      <c r="AG3021">
        <v>1</v>
      </c>
      <c r="AH3021">
        <v>0</v>
      </c>
      <c r="AI3021" t="s">
        <v>1020</v>
      </c>
      <c r="AJ3021">
        <v>34.108986999999999</v>
      </c>
      <c r="AK3021" t="s">
        <v>883</v>
      </c>
      <c r="AL3021">
        <v>-117.052267</v>
      </c>
      <c r="AM3021">
        <v>100</v>
      </c>
      <c r="AN3021">
        <v>6000</v>
      </c>
      <c r="AO3021" t="s">
        <v>118</v>
      </c>
      <c r="AP3021">
        <v>42</v>
      </c>
      <c r="AQ3021">
        <v>-100</v>
      </c>
      <c r="AR3021">
        <v>-448</v>
      </c>
      <c r="AZ3021">
        <v>1200</v>
      </c>
      <c r="BA3021">
        <v>1</v>
      </c>
      <c r="BB3021" t="str">
        <f t="shared" si="1673"/>
        <v xml:space="preserve">N9217B  </v>
      </c>
      <c r="BC3021">
        <v>1</v>
      </c>
      <c r="BE3021">
        <v>0</v>
      </c>
      <c r="BF3021">
        <v>0</v>
      </c>
      <c r="BG3021">
        <v>0</v>
      </c>
      <c r="BH3021">
        <v>5875</v>
      </c>
      <c r="BI3021">
        <v>1</v>
      </c>
      <c r="BJ3021">
        <v>0</v>
      </c>
      <c r="BK3021">
        <v>0</v>
      </c>
      <c r="BL3021">
        <v>0</v>
      </c>
      <c r="BO3021">
        <v>0</v>
      </c>
      <c r="BP3021">
        <v>0</v>
      </c>
      <c r="BW3021" t="str">
        <f t="shared" si="1677"/>
        <v>14:56:27.204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285</v>
      </c>
      <c r="CR3021">
        <v>0</v>
      </c>
      <c r="CW3021">
        <v>8873764</v>
      </c>
      <c r="CY3021">
        <v>0</v>
      </c>
      <c r="CZ3021">
        <v>0</v>
      </c>
      <c r="DA3021">
        <v>1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25">
      <c r="A3022" t="str">
        <f t="shared" si="1674"/>
        <v>06/05/2020 14:56:21.584</v>
      </c>
      <c r="C3022" t="str">
        <f t="shared" si="1652"/>
        <v>FFDFD3C0</v>
      </c>
      <c r="D3022" t="s">
        <v>113</v>
      </c>
      <c r="E3022">
        <v>3</v>
      </c>
      <c r="H3022">
        <v>166</v>
      </c>
      <c r="I3022" t="s">
        <v>114</v>
      </c>
      <c r="J3022" t="s">
        <v>115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675"/>
        <v>14:56:27.203</v>
      </c>
      <c r="T3022" t="str">
        <f t="shared" si="1676"/>
        <v>14:56:27.103</v>
      </c>
      <c r="U3022" t="str">
        <f t="shared" si="1668"/>
        <v>ACC530</v>
      </c>
      <c r="V3022">
        <v>0</v>
      </c>
      <c r="W3022">
        <v>0</v>
      </c>
      <c r="X3022">
        <v>1</v>
      </c>
      <c r="Z3022">
        <v>0</v>
      </c>
      <c r="AA3022">
        <v>9</v>
      </c>
      <c r="AB3022">
        <v>3</v>
      </c>
      <c r="AC3022">
        <v>0</v>
      </c>
      <c r="AD3022">
        <v>9</v>
      </c>
      <c r="AE3022">
        <v>0</v>
      </c>
      <c r="AF3022">
        <v>3</v>
      </c>
      <c r="AG3022">
        <v>1</v>
      </c>
      <c r="AH3022">
        <v>0</v>
      </c>
      <c r="AI3022" t="s">
        <v>1020</v>
      </c>
      <c r="AJ3022">
        <v>34.108986999999999</v>
      </c>
      <c r="AK3022" t="s">
        <v>883</v>
      </c>
      <c r="AL3022">
        <v>-117.052267</v>
      </c>
      <c r="AM3022">
        <v>100</v>
      </c>
      <c r="AN3022">
        <v>6000</v>
      </c>
      <c r="AO3022" t="s">
        <v>118</v>
      </c>
      <c r="AP3022">
        <v>42</v>
      </c>
      <c r="AQ3022">
        <v>-100</v>
      </c>
      <c r="AR3022">
        <v>-448</v>
      </c>
      <c r="AZ3022">
        <v>1200</v>
      </c>
      <c r="BA3022">
        <v>1</v>
      </c>
      <c r="BB3022" t="str">
        <f t="shared" si="1673"/>
        <v xml:space="preserve">N9217B  </v>
      </c>
      <c r="BC3022">
        <v>1</v>
      </c>
      <c r="BE3022">
        <v>0</v>
      </c>
      <c r="BF3022">
        <v>0</v>
      </c>
      <c r="BG3022">
        <v>0</v>
      </c>
      <c r="BH3022">
        <v>5875</v>
      </c>
      <c r="BI3022">
        <v>1</v>
      </c>
      <c r="BJ3022">
        <v>0</v>
      </c>
      <c r="BK3022">
        <v>0</v>
      </c>
      <c r="BL3022">
        <v>0</v>
      </c>
      <c r="BO3022">
        <v>0</v>
      </c>
      <c r="BP3022">
        <v>0</v>
      </c>
      <c r="BW3022" t="str">
        <f t="shared" si="1677"/>
        <v>14:56:27.204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285</v>
      </c>
      <c r="CR3022">
        <v>0</v>
      </c>
      <c r="CW3022">
        <v>8873764</v>
      </c>
      <c r="CY3022">
        <v>0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25">
      <c r="A3023" t="str">
        <f t="shared" si="1674"/>
        <v>06/05/2020 14:56:21.584</v>
      </c>
      <c r="C3023" t="str">
        <f t="shared" si="1652"/>
        <v>FFDFD3C0</v>
      </c>
      <c r="D3023" t="s">
        <v>151</v>
      </c>
      <c r="E3023">
        <v>9</v>
      </c>
      <c r="H3023">
        <v>226</v>
      </c>
      <c r="I3023" t="s">
        <v>152</v>
      </c>
      <c r="J3023" t="s">
        <v>150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675"/>
        <v>14:56:27.203</v>
      </c>
      <c r="T3023" t="str">
        <f t="shared" si="1676"/>
        <v>14:56:27.103</v>
      </c>
      <c r="U3023" t="str">
        <f t="shared" si="1668"/>
        <v>ACC530</v>
      </c>
      <c r="V3023">
        <v>0</v>
      </c>
      <c r="W3023">
        <v>0</v>
      </c>
      <c r="X3023">
        <v>1</v>
      </c>
      <c r="Z3023">
        <v>0</v>
      </c>
      <c r="AA3023">
        <v>9</v>
      </c>
      <c r="AB3023">
        <v>3</v>
      </c>
      <c r="AC3023">
        <v>0</v>
      </c>
      <c r="AD3023">
        <v>9</v>
      </c>
      <c r="AE3023">
        <v>0</v>
      </c>
      <c r="AF3023">
        <v>3</v>
      </c>
      <c r="AG3023">
        <v>1</v>
      </c>
      <c r="AH3023">
        <v>0</v>
      </c>
      <c r="AI3023" t="s">
        <v>1020</v>
      </c>
      <c r="AJ3023">
        <v>34.108986999999999</v>
      </c>
      <c r="AK3023" t="s">
        <v>883</v>
      </c>
      <c r="AL3023">
        <v>-117.052267</v>
      </c>
      <c r="AM3023">
        <v>100</v>
      </c>
      <c r="AN3023">
        <v>6000</v>
      </c>
      <c r="AO3023" t="s">
        <v>118</v>
      </c>
      <c r="AP3023">
        <v>42</v>
      </c>
      <c r="AQ3023">
        <v>-100</v>
      </c>
      <c r="AR3023">
        <v>-448</v>
      </c>
      <c r="AZ3023">
        <v>1200</v>
      </c>
      <c r="BA3023">
        <v>1</v>
      </c>
      <c r="BB3023" t="str">
        <f t="shared" si="1673"/>
        <v xml:space="preserve">N9217B  </v>
      </c>
      <c r="BC3023">
        <v>1</v>
      </c>
      <c r="BE3023">
        <v>0</v>
      </c>
      <c r="BF3023">
        <v>0</v>
      </c>
      <c r="BG3023">
        <v>0</v>
      </c>
      <c r="BH3023">
        <v>5875</v>
      </c>
      <c r="BI3023">
        <v>1</v>
      </c>
      <c r="BJ3023">
        <v>0</v>
      </c>
      <c r="BK3023">
        <v>0</v>
      </c>
      <c r="BL3023">
        <v>0</v>
      </c>
      <c r="BO3023">
        <v>0</v>
      </c>
      <c r="BP3023">
        <v>0</v>
      </c>
      <c r="BW3023" t="str">
        <f t="shared" si="1677"/>
        <v>14:56:27.204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285</v>
      </c>
      <c r="CR3023">
        <v>0</v>
      </c>
      <c r="CW3023">
        <v>8873764</v>
      </c>
      <c r="CY3023">
        <v>0</v>
      </c>
      <c r="CZ3023">
        <v>0</v>
      </c>
      <c r="DA3023">
        <v>1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25">
      <c r="A3024" t="str">
        <f t="shared" si="1674"/>
        <v>06/05/2020 14:56:21.584</v>
      </c>
      <c r="C3024" t="str">
        <f t="shared" si="1652"/>
        <v>FFDFD3C0</v>
      </c>
      <c r="D3024" t="s">
        <v>141</v>
      </c>
      <c r="E3024">
        <v>20</v>
      </c>
      <c r="F3024">
        <v>1020</v>
      </c>
      <c r="G3024" t="s">
        <v>114</v>
      </c>
      <c r="J3024" t="s">
        <v>142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675"/>
        <v>14:56:27.203</v>
      </c>
      <c r="T3024" t="str">
        <f t="shared" si="1676"/>
        <v>14:56:27.103</v>
      </c>
      <c r="U3024" t="str">
        <f t="shared" si="1668"/>
        <v>ACC530</v>
      </c>
      <c r="V3024">
        <v>0</v>
      </c>
      <c r="W3024">
        <v>0</v>
      </c>
      <c r="X3024">
        <v>1</v>
      </c>
      <c r="Z3024">
        <v>0</v>
      </c>
      <c r="AA3024">
        <v>9</v>
      </c>
      <c r="AB3024">
        <v>3</v>
      </c>
      <c r="AC3024">
        <v>0</v>
      </c>
      <c r="AD3024">
        <v>9</v>
      </c>
      <c r="AE3024">
        <v>0</v>
      </c>
      <c r="AF3024">
        <v>3</v>
      </c>
      <c r="AG3024">
        <v>1</v>
      </c>
      <c r="AH3024">
        <v>0</v>
      </c>
      <c r="AI3024" t="s">
        <v>1020</v>
      </c>
      <c r="AJ3024">
        <v>34.108986999999999</v>
      </c>
      <c r="AK3024" t="s">
        <v>883</v>
      </c>
      <c r="AL3024">
        <v>-117.052267</v>
      </c>
      <c r="AM3024">
        <v>100</v>
      </c>
      <c r="AN3024">
        <v>6000</v>
      </c>
      <c r="AO3024" t="s">
        <v>118</v>
      </c>
      <c r="AP3024">
        <v>42</v>
      </c>
      <c r="AQ3024">
        <v>-100</v>
      </c>
      <c r="AR3024">
        <v>-448</v>
      </c>
      <c r="AZ3024">
        <v>1200</v>
      </c>
      <c r="BA3024">
        <v>1</v>
      </c>
      <c r="BB3024" t="str">
        <f t="shared" si="1673"/>
        <v xml:space="preserve">N9217B  </v>
      </c>
      <c r="BC3024">
        <v>1</v>
      </c>
      <c r="BE3024">
        <v>0</v>
      </c>
      <c r="BF3024">
        <v>0</v>
      </c>
      <c r="BG3024">
        <v>0</v>
      </c>
      <c r="BH3024">
        <v>5875</v>
      </c>
      <c r="BI3024">
        <v>1</v>
      </c>
      <c r="BJ3024">
        <v>0</v>
      </c>
      <c r="BK3024">
        <v>0</v>
      </c>
      <c r="BL3024">
        <v>0</v>
      </c>
      <c r="BO3024">
        <v>0</v>
      </c>
      <c r="BP3024">
        <v>0</v>
      </c>
      <c r="BW3024" t="str">
        <f t="shared" si="1677"/>
        <v>14:56:27.204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285</v>
      </c>
      <c r="CR3024">
        <v>0</v>
      </c>
      <c r="CW3024">
        <v>8873764</v>
      </c>
      <c r="CY3024">
        <v>0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25">
      <c r="A3025" t="str">
        <f t="shared" ref="A3025:A3031" si="1678">"06/05/2020 14:56:22.496"</f>
        <v>06/05/2020 14:56:22.496</v>
      </c>
      <c r="C3025" t="str">
        <f t="shared" si="1652"/>
        <v>FFDFD3C0</v>
      </c>
      <c r="D3025" t="s">
        <v>148</v>
      </c>
      <c r="E3025">
        <v>11</v>
      </c>
      <c r="H3025">
        <v>53</v>
      </c>
      <c r="I3025" t="s">
        <v>364</v>
      </c>
      <c r="J3025" t="s">
        <v>150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ref="S3025:T3031" si="1679">"14:56:28.148"</f>
        <v>14:56:28.148</v>
      </c>
      <c r="T3025" t="str">
        <f t="shared" si="1679"/>
        <v>14:56:28.148</v>
      </c>
      <c r="U3025" t="str">
        <f t="shared" si="1668"/>
        <v>ACC530</v>
      </c>
      <c r="V3025">
        <v>0</v>
      </c>
      <c r="W3025">
        <v>0</v>
      </c>
      <c r="X3025">
        <v>1</v>
      </c>
      <c r="Z3025">
        <v>0</v>
      </c>
      <c r="AA3025">
        <v>9</v>
      </c>
      <c r="AB3025">
        <v>3</v>
      </c>
      <c r="AC3025">
        <v>0</v>
      </c>
      <c r="AD3025">
        <v>9</v>
      </c>
      <c r="AE3025">
        <v>0</v>
      </c>
      <c r="AF3025">
        <v>3</v>
      </c>
      <c r="AG3025">
        <v>1</v>
      </c>
      <c r="AH3025">
        <v>0</v>
      </c>
      <c r="AI3025" t="s">
        <v>1021</v>
      </c>
      <c r="AJ3025">
        <v>34.108558000000002</v>
      </c>
      <c r="AK3025" t="s">
        <v>1022</v>
      </c>
      <c r="AL3025">
        <v>-117.052031</v>
      </c>
      <c r="AM3025">
        <v>100</v>
      </c>
      <c r="AN3025">
        <v>6000</v>
      </c>
      <c r="AO3025" t="s">
        <v>118</v>
      </c>
      <c r="AP3025">
        <v>42</v>
      </c>
      <c r="AQ3025">
        <v>-99</v>
      </c>
      <c r="AR3025">
        <v>-512</v>
      </c>
      <c r="AZ3025">
        <v>1200</v>
      </c>
      <c r="BA3025">
        <v>1</v>
      </c>
      <c r="BB3025" t="str">
        <f t="shared" si="1673"/>
        <v xml:space="preserve">N9217B  </v>
      </c>
      <c r="BC3025">
        <v>1</v>
      </c>
      <c r="BE3025">
        <v>0</v>
      </c>
      <c r="BF3025">
        <v>0</v>
      </c>
      <c r="BG3025">
        <v>0</v>
      </c>
      <c r="BH3025">
        <v>5875</v>
      </c>
      <c r="BI3025">
        <v>1</v>
      </c>
      <c r="BJ3025">
        <v>0</v>
      </c>
      <c r="BK3025">
        <v>0</v>
      </c>
      <c r="BL3025">
        <v>0</v>
      </c>
      <c r="BO3025">
        <v>0</v>
      </c>
      <c r="BP3025">
        <v>0</v>
      </c>
      <c r="BW3025" t="str">
        <f t="shared" ref="BW3025:BW3031" si="1680">"14:56:28.149"</f>
        <v>14:56:28.149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119</v>
      </c>
      <c r="CQ3025">
        <v>285</v>
      </c>
      <c r="CR3025">
        <v>0</v>
      </c>
      <c r="CW3025">
        <v>8873842</v>
      </c>
      <c r="CY3025">
        <v>0</v>
      </c>
      <c r="CZ3025">
        <v>0</v>
      </c>
      <c r="DA3025">
        <v>0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25">
      <c r="A3026" t="str">
        <f t="shared" si="1678"/>
        <v>06/05/2020 14:56:22.496</v>
      </c>
      <c r="C3026" t="str">
        <f t="shared" si="1652"/>
        <v>FFDFD3C0</v>
      </c>
      <c r="D3026" t="s">
        <v>148</v>
      </c>
      <c r="E3026">
        <v>8</v>
      </c>
      <c r="H3026">
        <v>50</v>
      </c>
      <c r="I3026" t="s">
        <v>149</v>
      </c>
      <c r="J3026" t="s">
        <v>150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679"/>
        <v>14:56:28.148</v>
      </c>
      <c r="T3026" t="str">
        <f t="shared" si="1679"/>
        <v>14:56:28.148</v>
      </c>
      <c r="U3026" t="str">
        <f t="shared" si="1668"/>
        <v>ACC530</v>
      </c>
      <c r="V3026">
        <v>0</v>
      </c>
      <c r="W3026">
        <v>0</v>
      </c>
      <c r="X3026">
        <v>1</v>
      </c>
      <c r="Z3026">
        <v>0</v>
      </c>
      <c r="AA3026">
        <v>9</v>
      </c>
      <c r="AB3026">
        <v>3</v>
      </c>
      <c r="AC3026">
        <v>0</v>
      </c>
      <c r="AD3026">
        <v>9</v>
      </c>
      <c r="AE3026">
        <v>0</v>
      </c>
      <c r="AF3026">
        <v>3</v>
      </c>
      <c r="AG3026">
        <v>1</v>
      </c>
      <c r="AH3026">
        <v>0</v>
      </c>
      <c r="AI3026" t="s">
        <v>1021</v>
      </c>
      <c r="AJ3026">
        <v>34.108558000000002</v>
      </c>
      <c r="AK3026" t="s">
        <v>1022</v>
      </c>
      <c r="AL3026">
        <v>-117.052031</v>
      </c>
      <c r="AM3026">
        <v>100</v>
      </c>
      <c r="AN3026">
        <v>6000</v>
      </c>
      <c r="AO3026" t="s">
        <v>118</v>
      </c>
      <c r="AP3026">
        <v>42</v>
      </c>
      <c r="AQ3026">
        <v>-99</v>
      </c>
      <c r="AR3026">
        <v>-512</v>
      </c>
      <c r="AZ3026">
        <v>1200</v>
      </c>
      <c r="BA3026">
        <v>1</v>
      </c>
      <c r="BB3026" t="str">
        <f t="shared" si="1673"/>
        <v xml:space="preserve">N9217B  </v>
      </c>
      <c r="BC3026">
        <v>1</v>
      </c>
      <c r="BE3026">
        <v>0</v>
      </c>
      <c r="BF3026">
        <v>0</v>
      </c>
      <c r="BG3026">
        <v>0</v>
      </c>
      <c r="BH3026">
        <v>5875</v>
      </c>
      <c r="BI3026">
        <v>1</v>
      </c>
      <c r="BJ3026">
        <v>0</v>
      </c>
      <c r="BK3026">
        <v>0</v>
      </c>
      <c r="BL3026">
        <v>0</v>
      </c>
      <c r="BO3026">
        <v>0</v>
      </c>
      <c r="BP3026">
        <v>0</v>
      </c>
      <c r="BW3026" t="str">
        <f t="shared" si="1680"/>
        <v>14:56:28.149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285</v>
      </c>
      <c r="CR3026">
        <v>0</v>
      </c>
      <c r="CW3026">
        <v>8873842</v>
      </c>
      <c r="CY3026">
        <v>0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25">
      <c r="A3027" t="str">
        <f t="shared" si="1678"/>
        <v>06/05/2020 14:56:22.496</v>
      </c>
      <c r="C3027" t="str">
        <f t="shared" si="1652"/>
        <v>FFDFD3C0</v>
      </c>
      <c r="D3027" t="s">
        <v>134</v>
      </c>
      <c r="E3027">
        <v>7</v>
      </c>
      <c r="F3027">
        <v>2007</v>
      </c>
      <c r="G3027" t="s">
        <v>135</v>
      </c>
      <c r="J3027" t="s">
        <v>136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679"/>
        <v>14:56:28.148</v>
      </c>
      <c r="T3027" t="str">
        <f t="shared" si="1679"/>
        <v>14:56:28.148</v>
      </c>
      <c r="U3027" t="str">
        <f t="shared" si="1668"/>
        <v>ACC530</v>
      </c>
      <c r="V3027">
        <v>0</v>
      </c>
      <c r="W3027">
        <v>0</v>
      </c>
      <c r="X3027">
        <v>1</v>
      </c>
      <c r="Z3027">
        <v>0</v>
      </c>
      <c r="AA3027">
        <v>9</v>
      </c>
      <c r="AB3027">
        <v>3</v>
      </c>
      <c r="AC3027">
        <v>0</v>
      </c>
      <c r="AD3027">
        <v>9</v>
      </c>
      <c r="AE3027">
        <v>0</v>
      </c>
      <c r="AF3027">
        <v>3</v>
      </c>
      <c r="AG3027">
        <v>1</v>
      </c>
      <c r="AH3027">
        <v>0</v>
      </c>
      <c r="AI3027" t="s">
        <v>1021</v>
      </c>
      <c r="AJ3027">
        <v>34.108558000000002</v>
      </c>
      <c r="AK3027" t="s">
        <v>1022</v>
      </c>
      <c r="AL3027">
        <v>-117.052031</v>
      </c>
      <c r="AM3027">
        <v>100</v>
      </c>
      <c r="AN3027">
        <v>6000</v>
      </c>
      <c r="AO3027" t="s">
        <v>118</v>
      </c>
      <c r="AP3027">
        <v>42</v>
      </c>
      <c r="AQ3027">
        <v>-99</v>
      </c>
      <c r="AR3027">
        <v>-512</v>
      </c>
      <c r="AZ3027">
        <v>1200</v>
      </c>
      <c r="BA3027">
        <v>1</v>
      </c>
      <c r="BB3027" t="str">
        <f t="shared" si="1673"/>
        <v xml:space="preserve">N9217B  </v>
      </c>
      <c r="BC3027">
        <v>1</v>
      </c>
      <c r="BE3027">
        <v>0</v>
      </c>
      <c r="BF3027">
        <v>0</v>
      </c>
      <c r="BG3027">
        <v>0</v>
      </c>
      <c r="BH3027">
        <v>5875</v>
      </c>
      <c r="BI3027">
        <v>1</v>
      </c>
      <c r="BJ3027">
        <v>0</v>
      </c>
      <c r="BK3027">
        <v>0</v>
      </c>
      <c r="BL3027">
        <v>0</v>
      </c>
      <c r="BO3027">
        <v>0</v>
      </c>
      <c r="BP3027">
        <v>0</v>
      </c>
      <c r="BW3027" t="str">
        <f t="shared" si="1680"/>
        <v>14:56:28.149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285</v>
      </c>
      <c r="CR3027">
        <v>0</v>
      </c>
      <c r="CW3027">
        <v>8873842</v>
      </c>
      <c r="CY3027">
        <v>0</v>
      </c>
      <c r="CZ3027">
        <v>0</v>
      </c>
      <c r="DA3027">
        <v>1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25">
      <c r="A3028" t="str">
        <f t="shared" si="1678"/>
        <v>06/05/2020 14:56:22.496</v>
      </c>
      <c r="C3028" t="str">
        <f t="shared" si="1652"/>
        <v>FFDFD3C0</v>
      </c>
      <c r="D3028" t="s">
        <v>113</v>
      </c>
      <c r="E3028">
        <v>3</v>
      </c>
      <c r="H3028">
        <v>166</v>
      </c>
      <c r="I3028" t="s">
        <v>114</v>
      </c>
      <c r="J3028" t="s">
        <v>115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679"/>
        <v>14:56:28.148</v>
      </c>
      <c r="T3028" t="str">
        <f t="shared" si="1679"/>
        <v>14:56:28.148</v>
      </c>
      <c r="U3028" t="str">
        <f t="shared" si="1668"/>
        <v>ACC530</v>
      </c>
      <c r="V3028">
        <v>0</v>
      </c>
      <c r="W3028">
        <v>0</v>
      </c>
      <c r="X3028">
        <v>1</v>
      </c>
      <c r="Z3028">
        <v>0</v>
      </c>
      <c r="AA3028">
        <v>9</v>
      </c>
      <c r="AB3028">
        <v>3</v>
      </c>
      <c r="AC3028">
        <v>0</v>
      </c>
      <c r="AD3028">
        <v>9</v>
      </c>
      <c r="AE3028">
        <v>0</v>
      </c>
      <c r="AF3028">
        <v>3</v>
      </c>
      <c r="AG3028">
        <v>1</v>
      </c>
      <c r="AH3028">
        <v>0</v>
      </c>
      <c r="AI3028" t="s">
        <v>1021</v>
      </c>
      <c r="AJ3028">
        <v>34.108558000000002</v>
      </c>
      <c r="AK3028" t="s">
        <v>1022</v>
      </c>
      <c r="AL3028">
        <v>-117.052031</v>
      </c>
      <c r="AM3028">
        <v>100</v>
      </c>
      <c r="AN3028">
        <v>6000</v>
      </c>
      <c r="AO3028" t="s">
        <v>118</v>
      </c>
      <c r="AP3028">
        <v>42</v>
      </c>
      <c r="AQ3028">
        <v>-99</v>
      </c>
      <c r="AR3028">
        <v>-512</v>
      </c>
      <c r="AZ3028">
        <v>1200</v>
      </c>
      <c r="BA3028">
        <v>1</v>
      </c>
      <c r="BB3028" t="str">
        <f t="shared" si="1673"/>
        <v xml:space="preserve">N9217B  </v>
      </c>
      <c r="BC3028">
        <v>1</v>
      </c>
      <c r="BE3028">
        <v>0</v>
      </c>
      <c r="BF3028">
        <v>0</v>
      </c>
      <c r="BG3028">
        <v>0</v>
      </c>
      <c r="BH3028">
        <v>5875</v>
      </c>
      <c r="BI3028">
        <v>1</v>
      </c>
      <c r="BJ3028">
        <v>0</v>
      </c>
      <c r="BK3028">
        <v>0</v>
      </c>
      <c r="BL3028">
        <v>0</v>
      </c>
      <c r="BO3028">
        <v>0</v>
      </c>
      <c r="BP3028">
        <v>0</v>
      </c>
      <c r="BW3028" t="str">
        <f t="shared" si="1680"/>
        <v>14:56:28.149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285</v>
      </c>
      <c r="CR3028">
        <v>0</v>
      </c>
      <c r="CW3028">
        <v>8873842</v>
      </c>
      <c r="CY3028">
        <v>0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25">
      <c r="A3029" t="str">
        <f t="shared" si="1678"/>
        <v>06/05/2020 14:56:22.496</v>
      </c>
      <c r="C3029" t="str">
        <f t="shared" si="1652"/>
        <v>FFDFD3C0</v>
      </c>
      <c r="D3029" t="s">
        <v>151</v>
      </c>
      <c r="E3029">
        <v>8</v>
      </c>
      <c r="H3029">
        <v>225</v>
      </c>
      <c r="I3029" t="s">
        <v>353</v>
      </c>
      <c r="J3029" t="s">
        <v>150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679"/>
        <v>14:56:28.148</v>
      </c>
      <c r="T3029" t="str">
        <f t="shared" si="1679"/>
        <v>14:56:28.148</v>
      </c>
      <c r="U3029" t="str">
        <f t="shared" si="1668"/>
        <v>ACC530</v>
      </c>
      <c r="V3029">
        <v>0</v>
      </c>
      <c r="W3029">
        <v>0</v>
      </c>
      <c r="X3029">
        <v>1</v>
      </c>
      <c r="Z3029">
        <v>0</v>
      </c>
      <c r="AA3029">
        <v>9</v>
      </c>
      <c r="AB3029">
        <v>3</v>
      </c>
      <c r="AC3029">
        <v>0</v>
      </c>
      <c r="AD3029">
        <v>9</v>
      </c>
      <c r="AE3029">
        <v>0</v>
      </c>
      <c r="AF3029">
        <v>3</v>
      </c>
      <c r="AG3029">
        <v>1</v>
      </c>
      <c r="AH3029">
        <v>0</v>
      </c>
      <c r="AI3029" t="s">
        <v>1021</v>
      </c>
      <c r="AJ3029">
        <v>34.108558000000002</v>
      </c>
      <c r="AK3029" t="s">
        <v>1022</v>
      </c>
      <c r="AL3029">
        <v>-117.052031</v>
      </c>
      <c r="AM3029">
        <v>100</v>
      </c>
      <c r="AN3029">
        <v>6000</v>
      </c>
      <c r="AO3029" t="s">
        <v>118</v>
      </c>
      <c r="AP3029">
        <v>42</v>
      </c>
      <c r="AQ3029">
        <v>-99</v>
      </c>
      <c r="AR3029">
        <v>-512</v>
      </c>
      <c r="AZ3029">
        <v>1200</v>
      </c>
      <c r="BA3029">
        <v>1</v>
      </c>
      <c r="BB3029" t="str">
        <f t="shared" si="1673"/>
        <v xml:space="preserve">N9217B  </v>
      </c>
      <c r="BC3029">
        <v>1</v>
      </c>
      <c r="BE3029">
        <v>0</v>
      </c>
      <c r="BF3029">
        <v>0</v>
      </c>
      <c r="BG3029">
        <v>0</v>
      </c>
      <c r="BH3029">
        <v>5875</v>
      </c>
      <c r="BI3029">
        <v>1</v>
      </c>
      <c r="BJ3029">
        <v>0</v>
      </c>
      <c r="BK3029">
        <v>0</v>
      </c>
      <c r="BL3029">
        <v>0</v>
      </c>
      <c r="BO3029">
        <v>0</v>
      </c>
      <c r="BP3029">
        <v>0</v>
      </c>
      <c r="BW3029" t="str">
        <f t="shared" si="1680"/>
        <v>14:56:28.149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285</v>
      </c>
      <c r="CR3029">
        <v>0</v>
      </c>
      <c r="CW3029">
        <v>8873842</v>
      </c>
      <c r="CY3029">
        <v>0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25">
      <c r="A3030" t="str">
        <f t="shared" si="1678"/>
        <v>06/05/2020 14:56:22.496</v>
      </c>
      <c r="C3030" t="str">
        <f t="shared" si="1652"/>
        <v>FFDFD3C0</v>
      </c>
      <c r="D3030" t="s">
        <v>141</v>
      </c>
      <c r="E3030">
        <v>20</v>
      </c>
      <c r="F3030">
        <v>1020</v>
      </c>
      <c r="G3030" t="s">
        <v>114</v>
      </c>
      <c r="J3030" t="s">
        <v>142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679"/>
        <v>14:56:28.148</v>
      </c>
      <c r="T3030" t="str">
        <f t="shared" si="1679"/>
        <v>14:56:28.148</v>
      </c>
      <c r="U3030" t="str">
        <f t="shared" si="1668"/>
        <v>ACC530</v>
      </c>
      <c r="V3030">
        <v>0</v>
      </c>
      <c r="W3030">
        <v>0</v>
      </c>
      <c r="X3030">
        <v>1</v>
      </c>
      <c r="Z3030">
        <v>0</v>
      </c>
      <c r="AA3030">
        <v>9</v>
      </c>
      <c r="AB3030">
        <v>3</v>
      </c>
      <c r="AC3030">
        <v>0</v>
      </c>
      <c r="AD3030">
        <v>9</v>
      </c>
      <c r="AE3030">
        <v>0</v>
      </c>
      <c r="AF3030">
        <v>3</v>
      </c>
      <c r="AG3030">
        <v>1</v>
      </c>
      <c r="AH3030">
        <v>0</v>
      </c>
      <c r="AI3030" t="s">
        <v>1021</v>
      </c>
      <c r="AJ3030">
        <v>34.108558000000002</v>
      </c>
      <c r="AK3030" t="s">
        <v>1022</v>
      </c>
      <c r="AL3030">
        <v>-117.052031</v>
      </c>
      <c r="AM3030">
        <v>100</v>
      </c>
      <c r="AN3030">
        <v>6000</v>
      </c>
      <c r="AO3030" t="s">
        <v>118</v>
      </c>
      <c r="AP3030">
        <v>42</v>
      </c>
      <c r="AQ3030">
        <v>-99</v>
      </c>
      <c r="AR3030">
        <v>-512</v>
      </c>
      <c r="AZ3030">
        <v>1200</v>
      </c>
      <c r="BA3030">
        <v>1</v>
      </c>
      <c r="BB3030" t="str">
        <f t="shared" si="1673"/>
        <v xml:space="preserve">N9217B  </v>
      </c>
      <c r="BC3030">
        <v>1</v>
      </c>
      <c r="BE3030">
        <v>0</v>
      </c>
      <c r="BF3030">
        <v>0</v>
      </c>
      <c r="BG3030">
        <v>0</v>
      </c>
      <c r="BH3030">
        <v>5875</v>
      </c>
      <c r="BI3030">
        <v>1</v>
      </c>
      <c r="BJ3030">
        <v>0</v>
      </c>
      <c r="BK3030">
        <v>0</v>
      </c>
      <c r="BL3030">
        <v>0</v>
      </c>
      <c r="BO3030">
        <v>0</v>
      </c>
      <c r="BP3030">
        <v>0</v>
      </c>
      <c r="BW3030" t="str">
        <f t="shared" si="1680"/>
        <v>14:56:28.149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285</v>
      </c>
      <c r="CR3030">
        <v>0</v>
      </c>
      <c r="CW3030">
        <v>8873842</v>
      </c>
      <c r="CY3030">
        <v>0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25">
      <c r="A3031" t="str">
        <f t="shared" si="1678"/>
        <v>06/05/2020 14:56:22.496</v>
      </c>
      <c r="C3031" t="str">
        <f t="shared" si="1652"/>
        <v>FFDFD3C0</v>
      </c>
      <c r="D3031" t="s">
        <v>151</v>
      </c>
      <c r="E3031">
        <v>9</v>
      </c>
      <c r="H3031">
        <v>226</v>
      </c>
      <c r="I3031" t="s">
        <v>152</v>
      </c>
      <c r="J3031" t="s">
        <v>150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679"/>
        <v>14:56:28.148</v>
      </c>
      <c r="T3031" t="str">
        <f t="shared" si="1679"/>
        <v>14:56:28.148</v>
      </c>
      <c r="U3031" t="str">
        <f t="shared" si="1668"/>
        <v>ACC530</v>
      </c>
      <c r="V3031">
        <v>0</v>
      </c>
      <c r="W3031">
        <v>0</v>
      </c>
      <c r="X3031">
        <v>1</v>
      </c>
      <c r="Z3031">
        <v>0</v>
      </c>
      <c r="AA3031">
        <v>9</v>
      </c>
      <c r="AB3031">
        <v>3</v>
      </c>
      <c r="AC3031">
        <v>0</v>
      </c>
      <c r="AD3031">
        <v>9</v>
      </c>
      <c r="AE3031">
        <v>0</v>
      </c>
      <c r="AF3031">
        <v>3</v>
      </c>
      <c r="AG3031">
        <v>1</v>
      </c>
      <c r="AH3031">
        <v>0</v>
      </c>
      <c r="AI3031" t="s">
        <v>1021</v>
      </c>
      <c r="AJ3031">
        <v>34.108558000000002</v>
      </c>
      <c r="AK3031" t="s">
        <v>1022</v>
      </c>
      <c r="AL3031">
        <v>-117.052031</v>
      </c>
      <c r="AM3031">
        <v>100</v>
      </c>
      <c r="AN3031">
        <v>6000</v>
      </c>
      <c r="AO3031" t="s">
        <v>118</v>
      </c>
      <c r="AP3031">
        <v>42</v>
      </c>
      <c r="AQ3031">
        <v>-99</v>
      </c>
      <c r="AR3031">
        <v>-512</v>
      </c>
      <c r="AZ3031">
        <v>1200</v>
      </c>
      <c r="BA3031">
        <v>1</v>
      </c>
      <c r="BB3031" t="str">
        <f t="shared" si="1673"/>
        <v xml:space="preserve">N9217B  </v>
      </c>
      <c r="BC3031">
        <v>1</v>
      </c>
      <c r="BE3031">
        <v>0</v>
      </c>
      <c r="BF3031">
        <v>0</v>
      </c>
      <c r="BG3031">
        <v>0</v>
      </c>
      <c r="BH3031">
        <v>5875</v>
      </c>
      <c r="BI3031">
        <v>1</v>
      </c>
      <c r="BJ3031">
        <v>0</v>
      </c>
      <c r="BK3031">
        <v>0</v>
      </c>
      <c r="BL3031">
        <v>0</v>
      </c>
      <c r="BO3031">
        <v>0</v>
      </c>
      <c r="BP3031">
        <v>0</v>
      </c>
      <c r="BW3031" t="str">
        <f t="shared" si="1680"/>
        <v>14:56:28.149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285</v>
      </c>
      <c r="CR3031">
        <v>0</v>
      </c>
      <c r="CW3031">
        <v>8873842</v>
      </c>
      <c r="CY3031">
        <v>0</v>
      </c>
      <c r="CZ3031">
        <v>0</v>
      </c>
      <c r="DA3031">
        <v>1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25">
      <c r="A3032" t="str">
        <f t="shared" ref="A3032:A3038" si="1681">"06/05/2020 14:56:23.424"</f>
        <v>06/05/2020 14:56:23.424</v>
      </c>
      <c r="C3032" t="str">
        <f t="shared" si="1652"/>
        <v>FFDFD3C0</v>
      </c>
      <c r="D3032" t="s">
        <v>141</v>
      </c>
      <c r="E3032">
        <v>20</v>
      </c>
      <c r="F3032">
        <v>1020</v>
      </c>
      <c r="G3032" t="s">
        <v>114</v>
      </c>
      <c r="J3032" t="s">
        <v>142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ref="S3032:T3038" si="1682">"14:56:29.078"</f>
        <v>14:56:29.078</v>
      </c>
      <c r="T3032" t="str">
        <f t="shared" si="1682"/>
        <v>14:56:29.078</v>
      </c>
      <c r="U3032" t="str">
        <f t="shared" si="1668"/>
        <v>ACC530</v>
      </c>
      <c r="V3032">
        <v>0</v>
      </c>
      <c r="W3032">
        <v>0</v>
      </c>
      <c r="X3032">
        <v>1</v>
      </c>
      <c r="Z3032">
        <v>0</v>
      </c>
      <c r="AA3032">
        <v>9</v>
      </c>
      <c r="AB3032">
        <v>3</v>
      </c>
      <c r="AC3032">
        <v>0</v>
      </c>
      <c r="AD3032">
        <v>9</v>
      </c>
      <c r="AE3032">
        <v>0</v>
      </c>
      <c r="AF3032">
        <v>3</v>
      </c>
      <c r="AG3032">
        <v>1</v>
      </c>
      <c r="AH3032">
        <v>0</v>
      </c>
      <c r="AI3032" t="s">
        <v>1023</v>
      </c>
      <c r="AJ3032">
        <v>34.108128999999998</v>
      </c>
      <c r="AK3032" t="s">
        <v>1024</v>
      </c>
      <c r="AL3032">
        <v>-117.05183700000001</v>
      </c>
      <c r="AM3032">
        <v>100</v>
      </c>
      <c r="AN3032">
        <v>6000</v>
      </c>
      <c r="AO3032" t="s">
        <v>118</v>
      </c>
      <c r="AP3032">
        <v>43</v>
      </c>
      <c r="AQ3032">
        <v>-98</v>
      </c>
      <c r="AR3032">
        <v>-448</v>
      </c>
      <c r="AZ3032">
        <v>1200</v>
      </c>
      <c r="BA3032">
        <v>1</v>
      </c>
      <c r="BB3032" t="str">
        <f t="shared" si="1673"/>
        <v xml:space="preserve">N9217B  </v>
      </c>
      <c r="BC3032">
        <v>1</v>
      </c>
      <c r="BE3032">
        <v>0</v>
      </c>
      <c r="BF3032">
        <v>0</v>
      </c>
      <c r="BG3032">
        <v>0</v>
      </c>
      <c r="BH3032">
        <v>5850</v>
      </c>
      <c r="BI3032">
        <v>1</v>
      </c>
      <c r="BJ3032">
        <v>0</v>
      </c>
      <c r="BK3032">
        <v>0</v>
      </c>
      <c r="BL3032">
        <v>0</v>
      </c>
      <c r="BO3032">
        <v>0</v>
      </c>
      <c r="BP3032">
        <v>0</v>
      </c>
      <c r="BW3032" t="str">
        <f t="shared" ref="BW3032:BW3038" si="1683">"14:56:29.079"</f>
        <v>14:56:29.079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285</v>
      </c>
      <c r="CR3032">
        <v>0</v>
      </c>
      <c r="CW3032">
        <v>8873920</v>
      </c>
      <c r="CY3032">
        <v>0</v>
      </c>
      <c r="CZ3032">
        <v>0</v>
      </c>
      <c r="DA3032">
        <v>0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25">
      <c r="A3033" t="str">
        <f t="shared" si="1681"/>
        <v>06/05/2020 14:56:23.424</v>
      </c>
      <c r="C3033" t="str">
        <f t="shared" si="1652"/>
        <v>FFDFD3C0</v>
      </c>
      <c r="D3033" t="s">
        <v>151</v>
      </c>
      <c r="E3033">
        <v>9</v>
      </c>
      <c r="H3033">
        <v>226</v>
      </c>
      <c r="I3033" t="s">
        <v>152</v>
      </c>
      <c r="J3033" t="s">
        <v>150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682"/>
        <v>14:56:29.078</v>
      </c>
      <c r="T3033" t="str">
        <f t="shared" si="1682"/>
        <v>14:56:29.078</v>
      </c>
      <c r="U3033" t="str">
        <f t="shared" si="1668"/>
        <v>ACC530</v>
      </c>
      <c r="V3033">
        <v>0</v>
      </c>
      <c r="W3033">
        <v>0</v>
      </c>
      <c r="X3033">
        <v>1</v>
      </c>
      <c r="Z3033">
        <v>0</v>
      </c>
      <c r="AA3033">
        <v>9</v>
      </c>
      <c r="AB3033">
        <v>3</v>
      </c>
      <c r="AC3033">
        <v>0</v>
      </c>
      <c r="AD3033">
        <v>9</v>
      </c>
      <c r="AE3033">
        <v>0</v>
      </c>
      <c r="AF3033">
        <v>3</v>
      </c>
      <c r="AG3033">
        <v>1</v>
      </c>
      <c r="AH3033">
        <v>0</v>
      </c>
      <c r="AI3033" t="s">
        <v>1023</v>
      </c>
      <c r="AJ3033">
        <v>34.108128999999998</v>
      </c>
      <c r="AK3033" t="s">
        <v>1024</v>
      </c>
      <c r="AL3033">
        <v>-117.05183700000001</v>
      </c>
      <c r="AM3033">
        <v>100</v>
      </c>
      <c r="AN3033">
        <v>6000</v>
      </c>
      <c r="AO3033" t="s">
        <v>118</v>
      </c>
      <c r="AP3033">
        <v>43</v>
      </c>
      <c r="AQ3033">
        <v>-98</v>
      </c>
      <c r="AR3033">
        <v>-448</v>
      </c>
      <c r="AZ3033">
        <v>1200</v>
      </c>
      <c r="BA3033">
        <v>1</v>
      </c>
      <c r="BB3033" t="str">
        <f t="shared" si="1673"/>
        <v xml:space="preserve">N9217B  </v>
      </c>
      <c r="BC3033">
        <v>1</v>
      </c>
      <c r="BE3033">
        <v>0</v>
      </c>
      <c r="BF3033">
        <v>0</v>
      </c>
      <c r="BG3033">
        <v>0</v>
      </c>
      <c r="BH3033">
        <v>5850</v>
      </c>
      <c r="BI3033">
        <v>1</v>
      </c>
      <c r="BJ3033">
        <v>0</v>
      </c>
      <c r="BK3033">
        <v>0</v>
      </c>
      <c r="BL3033">
        <v>0</v>
      </c>
      <c r="BO3033">
        <v>0</v>
      </c>
      <c r="BP3033">
        <v>0</v>
      </c>
      <c r="BW3033" t="str">
        <f t="shared" si="1683"/>
        <v>14:56:29.079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285</v>
      </c>
      <c r="CR3033">
        <v>0</v>
      </c>
      <c r="CW3033">
        <v>8873920</v>
      </c>
      <c r="CY3033">
        <v>0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25">
      <c r="A3034" t="str">
        <f t="shared" si="1681"/>
        <v>06/05/2020 14:56:23.424</v>
      </c>
      <c r="C3034" t="str">
        <f t="shared" si="1652"/>
        <v>FFDFD3C0</v>
      </c>
      <c r="D3034" t="s">
        <v>134</v>
      </c>
      <c r="E3034">
        <v>7</v>
      </c>
      <c r="F3034">
        <v>2007</v>
      </c>
      <c r="G3034" t="s">
        <v>135</v>
      </c>
      <c r="J3034" t="s">
        <v>136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682"/>
        <v>14:56:29.078</v>
      </c>
      <c r="T3034" t="str">
        <f t="shared" si="1682"/>
        <v>14:56:29.078</v>
      </c>
      <c r="U3034" t="str">
        <f t="shared" si="1668"/>
        <v>ACC530</v>
      </c>
      <c r="V3034">
        <v>0</v>
      </c>
      <c r="W3034">
        <v>0</v>
      </c>
      <c r="X3034">
        <v>1</v>
      </c>
      <c r="Z3034">
        <v>0</v>
      </c>
      <c r="AA3034">
        <v>9</v>
      </c>
      <c r="AB3034">
        <v>3</v>
      </c>
      <c r="AC3034">
        <v>0</v>
      </c>
      <c r="AD3034">
        <v>9</v>
      </c>
      <c r="AE3034">
        <v>0</v>
      </c>
      <c r="AF3034">
        <v>3</v>
      </c>
      <c r="AG3034">
        <v>1</v>
      </c>
      <c r="AH3034">
        <v>0</v>
      </c>
      <c r="AI3034" t="s">
        <v>1023</v>
      </c>
      <c r="AJ3034">
        <v>34.108128999999998</v>
      </c>
      <c r="AK3034" t="s">
        <v>1024</v>
      </c>
      <c r="AL3034">
        <v>-117.05183700000001</v>
      </c>
      <c r="AM3034">
        <v>100</v>
      </c>
      <c r="AN3034">
        <v>6000</v>
      </c>
      <c r="AO3034" t="s">
        <v>118</v>
      </c>
      <c r="AP3034">
        <v>43</v>
      </c>
      <c r="AQ3034">
        <v>-98</v>
      </c>
      <c r="AR3034">
        <v>-448</v>
      </c>
      <c r="AZ3034">
        <v>1200</v>
      </c>
      <c r="BA3034">
        <v>1</v>
      </c>
      <c r="BB3034" t="str">
        <f t="shared" si="1673"/>
        <v xml:space="preserve">N9217B  </v>
      </c>
      <c r="BC3034">
        <v>1</v>
      </c>
      <c r="BE3034">
        <v>0</v>
      </c>
      <c r="BF3034">
        <v>0</v>
      </c>
      <c r="BG3034">
        <v>0</v>
      </c>
      <c r="BH3034">
        <v>5850</v>
      </c>
      <c r="BI3034">
        <v>1</v>
      </c>
      <c r="BJ3034">
        <v>0</v>
      </c>
      <c r="BK3034">
        <v>0</v>
      </c>
      <c r="BL3034">
        <v>0</v>
      </c>
      <c r="BO3034">
        <v>0</v>
      </c>
      <c r="BP3034">
        <v>0</v>
      </c>
      <c r="BW3034" t="str">
        <f t="shared" si="1683"/>
        <v>14:56:29.079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285</v>
      </c>
      <c r="CR3034">
        <v>0</v>
      </c>
      <c r="CW3034">
        <v>8873920</v>
      </c>
      <c r="CY3034">
        <v>0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25">
      <c r="A3035" t="str">
        <f t="shared" si="1681"/>
        <v>06/05/2020 14:56:23.424</v>
      </c>
      <c r="C3035" t="str">
        <f t="shared" si="1652"/>
        <v>FFDFD3C0</v>
      </c>
      <c r="D3035" t="s">
        <v>148</v>
      </c>
      <c r="E3035">
        <v>11</v>
      </c>
      <c r="H3035">
        <v>53</v>
      </c>
      <c r="I3035" t="s">
        <v>364</v>
      </c>
      <c r="J3035" t="s">
        <v>150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682"/>
        <v>14:56:29.078</v>
      </c>
      <c r="T3035" t="str">
        <f t="shared" si="1682"/>
        <v>14:56:29.078</v>
      </c>
      <c r="U3035" t="str">
        <f t="shared" si="1668"/>
        <v>ACC530</v>
      </c>
      <c r="V3035">
        <v>0</v>
      </c>
      <c r="W3035">
        <v>0</v>
      </c>
      <c r="X3035">
        <v>1</v>
      </c>
      <c r="Z3035">
        <v>0</v>
      </c>
      <c r="AA3035">
        <v>9</v>
      </c>
      <c r="AB3035">
        <v>3</v>
      </c>
      <c r="AC3035">
        <v>0</v>
      </c>
      <c r="AD3035">
        <v>9</v>
      </c>
      <c r="AE3035">
        <v>0</v>
      </c>
      <c r="AF3035">
        <v>3</v>
      </c>
      <c r="AG3035">
        <v>1</v>
      </c>
      <c r="AH3035">
        <v>0</v>
      </c>
      <c r="AI3035" t="s">
        <v>1023</v>
      </c>
      <c r="AJ3035">
        <v>34.108128999999998</v>
      </c>
      <c r="AK3035" t="s">
        <v>1024</v>
      </c>
      <c r="AL3035">
        <v>-117.05183700000001</v>
      </c>
      <c r="AM3035">
        <v>100</v>
      </c>
      <c r="AN3035">
        <v>6000</v>
      </c>
      <c r="AO3035" t="s">
        <v>118</v>
      </c>
      <c r="AP3035">
        <v>43</v>
      </c>
      <c r="AQ3035">
        <v>-98</v>
      </c>
      <c r="AR3035">
        <v>-448</v>
      </c>
      <c r="AZ3035">
        <v>1200</v>
      </c>
      <c r="BA3035">
        <v>1</v>
      </c>
      <c r="BB3035" t="str">
        <f t="shared" si="1673"/>
        <v xml:space="preserve">N9217B  </v>
      </c>
      <c r="BC3035">
        <v>1</v>
      </c>
      <c r="BE3035">
        <v>0</v>
      </c>
      <c r="BF3035">
        <v>0</v>
      </c>
      <c r="BG3035">
        <v>0</v>
      </c>
      <c r="BH3035">
        <v>5850</v>
      </c>
      <c r="BI3035">
        <v>1</v>
      </c>
      <c r="BJ3035">
        <v>0</v>
      </c>
      <c r="BK3035">
        <v>0</v>
      </c>
      <c r="BL3035">
        <v>0</v>
      </c>
      <c r="BO3035">
        <v>0</v>
      </c>
      <c r="BP3035">
        <v>0</v>
      </c>
      <c r="BW3035" t="str">
        <f t="shared" si="1683"/>
        <v>14:56:29.079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285</v>
      </c>
      <c r="CR3035">
        <v>0</v>
      </c>
      <c r="CW3035">
        <v>8873920</v>
      </c>
      <c r="CY3035">
        <v>0</v>
      </c>
      <c r="CZ3035">
        <v>0</v>
      </c>
      <c r="DA3035">
        <v>1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25">
      <c r="A3036" t="str">
        <f t="shared" si="1681"/>
        <v>06/05/2020 14:56:23.424</v>
      </c>
      <c r="C3036" t="str">
        <f t="shared" si="1652"/>
        <v>FFDFD3C0</v>
      </c>
      <c r="D3036" t="s">
        <v>148</v>
      </c>
      <c r="E3036">
        <v>8</v>
      </c>
      <c r="H3036">
        <v>50</v>
      </c>
      <c r="I3036" t="s">
        <v>149</v>
      </c>
      <c r="J3036" t="s">
        <v>150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682"/>
        <v>14:56:29.078</v>
      </c>
      <c r="T3036" t="str">
        <f t="shared" si="1682"/>
        <v>14:56:29.078</v>
      </c>
      <c r="U3036" t="str">
        <f t="shared" si="1668"/>
        <v>ACC530</v>
      </c>
      <c r="V3036">
        <v>0</v>
      </c>
      <c r="W3036">
        <v>0</v>
      </c>
      <c r="X3036">
        <v>1</v>
      </c>
      <c r="Z3036">
        <v>0</v>
      </c>
      <c r="AA3036">
        <v>9</v>
      </c>
      <c r="AB3036">
        <v>3</v>
      </c>
      <c r="AC3036">
        <v>0</v>
      </c>
      <c r="AD3036">
        <v>9</v>
      </c>
      <c r="AE3036">
        <v>0</v>
      </c>
      <c r="AF3036">
        <v>3</v>
      </c>
      <c r="AG3036">
        <v>1</v>
      </c>
      <c r="AH3036">
        <v>0</v>
      </c>
      <c r="AI3036" t="s">
        <v>1023</v>
      </c>
      <c r="AJ3036">
        <v>34.108128999999998</v>
      </c>
      <c r="AK3036" t="s">
        <v>1024</v>
      </c>
      <c r="AL3036">
        <v>-117.05183700000001</v>
      </c>
      <c r="AM3036">
        <v>100</v>
      </c>
      <c r="AN3036">
        <v>6000</v>
      </c>
      <c r="AO3036" t="s">
        <v>118</v>
      </c>
      <c r="AP3036">
        <v>43</v>
      </c>
      <c r="AQ3036">
        <v>-98</v>
      </c>
      <c r="AR3036">
        <v>-448</v>
      </c>
      <c r="AZ3036">
        <v>1200</v>
      </c>
      <c r="BA3036">
        <v>1</v>
      </c>
      <c r="BB3036" t="str">
        <f t="shared" si="1673"/>
        <v xml:space="preserve">N9217B  </v>
      </c>
      <c r="BC3036">
        <v>1</v>
      </c>
      <c r="BE3036">
        <v>0</v>
      </c>
      <c r="BF3036">
        <v>0</v>
      </c>
      <c r="BG3036">
        <v>0</v>
      </c>
      <c r="BH3036">
        <v>5850</v>
      </c>
      <c r="BI3036">
        <v>1</v>
      </c>
      <c r="BJ3036">
        <v>0</v>
      </c>
      <c r="BK3036">
        <v>0</v>
      </c>
      <c r="BL3036">
        <v>0</v>
      </c>
      <c r="BO3036">
        <v>0</v>
      </c>
      <c r="BP3036">
        <v>0</v>
      </c>
      <c r="BW3036" t="str">
        <f t="shared" si="1683"/>
        <v>14:56:29.079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285</v>
      </c>
      <c r="CR3036">
        <v>0</v>
      </c>
      <c r="CW3036">
        <v>8873920</v>
      </c>
      <c r="CY3036">
        <v>0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25">
      <c r="A3037" t="str">
        <f t="shared" si="1681"/>
        <v>06/05/2020 14:56:23.424</v>
      </c>
      <c r="C3037" t="str">
        <f t="shared" si="1652"/>
        <v>FFDFD3C0</v>
      </c>
      <c r="D3037" t="s">
        <v>113</v>
      </c>
      <c r="E3037">
        <v>3</v>
      </c>
      <c r="H3037">
        <v>166</v>
      </c>
      <c r="I3037" t="s">
        <v>114</v>
      </c>
      <c r="J3037" t="s">
        <v>115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682"/>
        <v>14:56:29.078</v>
      </c>
      <c r="T3037" t="str">
        <f t="shared" si="1682"/>
        <v>14:56:29.078</v>
      </c>
      <c r="U3037" t="str">
        <f t="shared" si="1668"/>
        <v>ACC530</v>
      </c>
      <c r="V3037">
        <v>0</v>
      </c>
      <c r="W3037">
        <v>0</v>
      </c>
      <c r="X3037">
        <v>1</v>
      </c>
      <c r="Z3037">
        <v>0</v>
      </c>
      <c r="AA3037">
        <v>9</v>
      </c>
      <c r="AB3037">
        <v>3</v>
      </c>
      <c r="AC3037">
        <v>0</v>
      </c>
      <c r="AD3037">
        <v>9</v>
      </c>
      <c r="AE3037">
        <v>0</v>
      </c>
      <c r="AF3037">
        <v>3</v>
      </c>
      <c r="AG3037">
        <v>1</v>
      </c>
      <c r="AH3037">
        <v>0</v>
      </c>
      <c r="AI3037" t="s">
        <v>1023</v>
      </c>
      <c r="AJ3037">
        <v>34.108128999999998</v>
      </c>
      <c r="AK3037" t="s">
        <v>1024</v>
      </c>
      <c r="AL3037">
        <v>-117.05183700000001</v>
      </c>
      <c r="AM3037">
        <v>100</v>
      </c>
      <c r="AN3037">
        <v>6000</v>
      </c>
      <c r="AO3037" t="s">
        <v>118</v>
      </c>
      <c r="AP3037">
        <v>43</v>
      </c>
      <c r="AQ3037">
        <v>-98</v>
      </c>
      <c r="AR3037">
        <v>-448</v>
      </c>
      <c r="AZ3037">
        <v>1200</v>
      </c>
      <c r="BA3037">
        <v>1</v>
      </c>
      <c r="BB3037" t="str">
        <f t="shared" si="1673"/>
        <v xml:space="preserve">N9217B  </v>
      </c>
      <c r="BC3037">
        <v>1</v>
      </c>
      <c r="BE3037">
        <v>0</v>
      </c>
      <c r="BF3037">
        <v>0</v>
      </c>
      <c r="BG3037">
        <v>0</v>
      </c>
      <c r="BH3037">
        <v>5850</v>
      </c>
      <c r="BI3037">
        <v>1</v>
      </c>
      <c r="BJ3037">
        <v>0</v>
      </c>
      <c r="BK3037">
        <v>0</v>
      </c>
      <c r="BL3037">
        <v>0</v>
      </c>
      <c r="BO3037">
        <v>0</v>
      </c>
      <c r="BP3037">
        <v>0</v>
      </c>
      <c r="BW3037" t="str">
        <f t="shared" si="1683"/>
        <v>14:56:29.079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285</v>
      </c>
      <c r="CR3037">
        <v>0</v>
      </c>
      <c r="CW3037">
        <v>8873920</v>
      </c>
      <c r="CY3037">
        <v>0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25">
      <c r="A3038" t="str">
        <f t="shared" si="1681"/>
        <v>06/05/2020 14:56:23.424</v>
      </c>
      <c r="C3038" t="str">
        <f t="shared" si="1652"/>
        <v>FFDFD3C0</v>
      </c>
      <c r="D3038" t="s">
        <v>151</v>
      </c>
      <c r="E3038">
        <v>8</v>
      </c>
      <c r="H3038">
        <v>225</v>
      </c>
      <c r="I3038" t="s">
        <v>353</v>
      </c>
      <c r="J3038" t="s">
        <v>150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682"/>
        <v>14:56:29.078</v>
      </c>
      <c r="T3038" t="str">
        <f t="shared" si="1682"/>
        <v>14:56:29.078</v>
      </c>
      <c r="U3038" t="str">
        <f t="shared" si="1668"/>
        <v>ACC530</v>
      </c>
      <c r="V3038">
        <v>0</v>
      </c>
      <c r="W3038">
        <v>0</v>
      </c>
      <c r="X3038">
        <v>1</v>
      </c>
      <c r="Z3038">
        <v>0</v>
      </c>
      <c r="AA3038">
        <v>9</v>
      </c>
      <c r="AB3038">
        <v>3</v>
      </c>
      <c r="AC3038">
        <v>0</v>
      </c>
      <c r="AD3038">
        <v>9</v>
      </c>
      <c r="AE3038">
        <v>0</v>
      </c>
      <c r="AF3038">
        <v>3</v>
      </c>
      <c r="AG3038">
        <v>1</v>
      </c>
      <c r="AH3038">
        <v>0</v>
      </c>
      <c r="AI3038" t="s">
        <v>1023</v>
      </c>
      <c r="AJ3038">
        <v>34.108128999999998</v>
      </c>
      <c r="AK3038" t="s">
        <v>1024</v>
      </c>
      <c r="AL3038">
        <v>-117.05183700000001</v>
      </c>
      <c r="AM3038">
        <v>100</v>
      </c>
      <c r="AN3038">
        <v>6000</v>
      </c>
      <c r="AO3038" t="s">
        <v>118</v>
      </c>
      <c r="AP3038">
        <v>43</v>
      </c>
      <c r="AQ3038">
        <v>-98</v>
      </c>
      <c r="AR3038">
        <v>-448</v>
      </c>
      <c r="AZ3038">
        <v>1200</v>
      </c>
      <c r="BA3038">
        <v>1</v>
      </c>
      <c r="BB3038" t="str">
        <f t="shared" si="1673"/>
        <v xml:space="preserve">N9217B  </v>
      </c>
      <c r="BC3038">
        <v>1</v>
      </c>
      <c r="BE3038">
        <v>0</v>
      </c>
      <c r="BF3038">
        <v>0</v>
      </c>
      <c r="BG3038">
        <v>0</v>
      </c>
      <c r="BH3038">
        <v>5850</v>
      </c>
      <c r="BI3038">
        <v>1</v>
      </c>
      <c r="BJ3038">
        <v>0</v>
      </c>
      <c r="BK3038">
        <v>0</v>
      </c>
      <c r="BL3038">
        <v>0</v>
      </c>
      <c r="BO3038">
        <v>0</v>
      </c>
      <c r="BP3038">
        <v>0</v>
      </c>
      <c r="BW3038" t="str">
        <f t="shared" si="1683"/>
        <v>14:56:29.079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285</v>
      </c>
      <c r="CR3038">
        <v>0</v>
      </c>
      <c r="CW3038">
        <v>8873920</v>
      </c>
      <c r="CY3038">
        <v>0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25">
      <c r="A3039" t="str">
        <f t="shared" ref="A3039:A3045" si="1684">"06/05/2020 14:56:24.295"</f>
        <v>06/05/2020 14:56:24.295</v>
      </c>
      <c r="C3039" t="str">
        <f t="shared" si="1652"/>
        <v>FFDFD3C0</v>
      </c>
      <c r="D3039" t="s">
        <v>151</v>
      </c>
      <c r="E3039">
        <v>9</v>
      </c>
      <c r="H3039">
        <v>226</v>
      </c>
      <c r="I3039" t="s">
        <v>152</v>
      </c>
      <c r="J3039" t="s">
        <v>150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ref="S3039:S3045" si="1685">"14:56:29.945"</f>
        <v>14:56:29.945</v>
      </c>
      <c r="T3039" t="str">
        <f t="shared" ref="T3039:T3045" si="1686">"14:56:29.645"</f>
        <v>14:56:29.645</v>
      </c>
      <c r="U3039" t="str">
        <f t="shared" si="1668"/>
        <v>ACC530</v>
      </c>
      <c r="V3039">
        <v>0</v>
      </c>
      <c r="W3039">
        <v>0</v>
      </c>
      <c r="X3039">
        <v>1</v>
      </c>
      <c r="Z3039">
        <v>0</v>
      </c>
      <c r="AA3039">
        <v>9</v>
      </c>
      <c r="AB3039">
        <v>3</v>
      </c>
      <c r="AC3039">
        <v>0</v>
      </c>
      <c r="AD3039">
        <v>9</v>
      </c>
      <c r="AE3039">
        <v>0</v>
      </c>
      <c r="AF3039">
        <v>3</v>
      </c>
      <c r="AG3039">
        <v>1</v>
      </c>
      <c r="AH3039">
        <v>0</v>
      </c>
      <c r="AI3039" t="s">
        <v>1025</v>
      </c>
      <c r="AJ3039">
        <v>34.107742000000002</v>
      </c>
      <c r="AK3039" t="s">
        <v>879</v>
      </c>
      <c r="AL3039">
        <v>-117.05160100000001</v>
      </c>
      <c r="AM3039">
        <v>100</v>
      </c>
      <c r="AN3039">
        <v>6000</v>
      </c>
      <c r="AO3039" t="s">
        <v>118</v>
      </c>
      <c r="AP3039">
        <v>44</v>
      </c>
      <c r="AQ3039">
        <v>-98</v>
      </c>
      <c r="AR3039">
        <v>-448</v>
      </c>
      <c r="AZ3039">
        <v>1200</v>
      </c>
      <c r="BA3039">
        <v>1</v>
      </c>
      <c r="BB3039" t="str">
        <f t="shared" si="1673"/>
        <v xml:space="preserve">N9217B  </v>
      </c>
      <c r="BC3039">
        <v>1</v>
      </c>
      <c r="BE3039">
        <v>0</v>
      </c>
      <c r="BF3039">
        <v>0</v>
      </c>
      <c r="BG3039">
        <v>0</v>
      </c>
      <c r="BH3039">
        <v>5850</v>
      </c>
      <c r="BI3039">
        <v>1</v>
      </c>
      <c r="BJ3039">
        <v>0</v>
      </c>
      <c r="BK3039">
        <v>0</v>
      </c>
      <c r="BL3039">
        <v>0</v>
      </c>
      <c r="BO3039">
        <v>0</v>
      </c>
      <c r="BP3039">
        <v>0</v>
      </c>
      <c r="BW3039" t="str">
        <f t="shared" ref="BW3039:BW3045" si="1687">"14:56:29.949"</f>
        <v>14:56:29.949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285</v>
      </c>
      <c r="CR3039">
        <v>0</v>
      </c>
      <c r="CW3039">
        <v>8874005</v>
      </c>
      <c r="CY3039">
        <v>0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25">
      <c r="A3040" t="str">
        <f t="shared" si="1684"/>
        <v>06/05/2020 14:56:24.295</v>
      </c>
      <c r="C3040" t="str">
        <f t="shared" si="1652"/>
        <v>FFDFD3C0</v>
      </c>
      <c r="D3040" t="s">
        <v>134</v>
      </c>
      <c r="E3040">
        <v>7</v>
      </c>
      <c r="F3040">
        <v>2007</v>
      </c>
      <c r="G3040" t="s">
        <v>135</v>
      </c>
      <c r="J3040" t="s">
        <v>136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685"/>
        <v>14:56:29.945</v>
      </c>
      <c r="T3040" t="str">
        <f t="shared" si="1686"/>
        <v>14:56:29.645</v>
      </c>
      <c r="U3040" t="str">
        <f t="shared" si="1668"/>
        <v>ACC530</v>
      </c>
      <c r="V3040">
        <v>0</v>
      </c>
      <c r="W3040">
        <v>0</v>
      </c>
      <c r="X3040">
        <v>1</v>
      </c>
      <c r="Z3040">
        <v>0</v>
      </c>
      <c r="AA3040">
        <v>9</v>
      </c>
      <c r="AB3040">
        <v>3</v>
      </c>
      <c r="AC3040">
        <v>0</v>
      </c>
      <c r="AD3040">
        <v>9</v>
      </c>
      <c r="AE3040">
        <v>0</v>
      </c>
      <c r="AF3040">
        <v>3</v>
      </c>
      <c r="AG3040">
        <v>1</v>
      </c>
      <c r="AH3040">
        <v>0</v>
      </c>
      <c r="AI3040" t="s">
        <v>1025</v>
      </c>
      <c r="AJ3040">
        <v>34.107742000000002</v>
      </c>
      <c r="AK3040" t="s">
        <v>879</v>
      </c>
      <c r="AL3040">
        <v>-117.05160100000001</v>
      </c>
      <c r="AM3040">
        <v>100</v>
      </c>
      <c r="AN3040">
        <v>6000</v>
      </c>
      <c r="AO3040" t="s">
        <v>118</v>
      </c>
      <c r="AP3040">
        <v>44</v>
      </c>
      <c r="AQ3040">
        <v>-98</v>
      </c>
      <c r="AR3040">
        <v>-448</v>
      </c>
      <c r="AZ3040">
        <v>1200</v>
      </c>
      <c r="BA3040">
        <v>1</v>
      </c>
      <c r="BB3040" t="str">
        <f t="shared" si="1673"/>
        <v xml:space="preserve">N9217B  </v>
      </c>
      <c r="BC3040">
        <v>1</v>
      </c>
      <c r="BE3040">
        <v>0</v>
      </c>
      <c r="BF3040">
        <v>0</v>
      </c>
      <c r="BG3040">
        <v>0</v>
      </c>
      <c r="BH3040">
        <v>5850</v>
      </c>
      <c r="BI3040">
        <v>1</v>
      </c>
      <c r="BJ3040">
        <v>0</v>
      </c>
      <c r="BK3040">
        <v>0</v>
      </c>
      <c r="BL3040">
        <v>0</v>
      </c>
      <c r="BO3040">
        <v>0</v>
      </c>
      <c r="BP3040">
        <v>0</v>
      </c>
      <c r="BW3040" t="str">
        <f t="shared" si="1687"/>
        <v>14:56:29.949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285</v>
      </c>
      <c r="CR3040">
        <v>0</v>
      </c>
      <c r="CW3040">
        <v>8874005</v>
      </c>
      <c r="CY3040">
        <v>0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25">
      <c r="A3041" t="str">
        <f t="shared" si="1684"/>
        <v>06/05/2020 14:56:24.295</v>
      </c>
      <c r="C3041" t="str">
        <f t="shared" si="1652"/>
        <v>FFDFD3C0</v>
      </c>
      <c r="D3041" t="s">
        <v>148</v>
      </c>
      <c r="E3041">
        <v>8</v>
      </c>
      <c r="H3041">
        <v>50</v>
      </c>
      <c r="I3041" t="s">
        <v>149</v>
      </c>
      <c r="J3041" t="s">
        <v>150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685"/>
        <v>14:56:29.945</v>
      </c>
      <c r="T3041" t="str">
        <f t="shared" si="1686"/>
        <v>14:56:29.645</v>
      </c>
      <c r="U3041" t="str">
        <f t="shared" si="1668"/>
        <v>ACC530</v>
      </c>
      <c r="V3041">
        <v>0</v>
      </c>
      <c r="W3041">
        <v>0</v>
      </c>
      <c r="X3041">
        <v>1</v>
      </c>
      <c r="Z3041">
        <v>0</v>
      </c>
      <c r="AA3041">
        <v>9</v>
      </c>
      <c r="AB3041">
        <v>3</v>
      </c>
      <c r="AC3041">
        <v>0</v>
      </c>
      <c r="AD3041">
        <v>9</v>
      </c>
      <c r="AE3041">
        <v>0</v>
      </c>
      <c r="AF3041">
        <v>3</v>
      </c>
      <c r="AG3041">
        <v>1</v>
      </c>
      <c r="AH3041">
        <v>0</v>
      </c>
      <c r="AI3041" t="s">
        <v>1025</v>
      </c>
      <c r="AJ3041">
        <v>34.107742000000002</v>
      </c>
      <c r="AK3041" t="s">
        <v>879</v>
      </c>
      <c r="AL3041">
        <v>-117.05160100000001</v>
      </c>
      <c r="AM3041">
        <v>100</v>
      </c>
      <c r="AN3041">
        <v>6000</v>
      </c>
      <c r="AO3041" t="s">
        <v>118</v>
      </c>
      <c r="AP3041">
        <v>44</v>
      </c>
      <c r="AQ3041">
        <v>-98</v>
      </c>
      <c r="AR3041">
        <v>-448</v>
      </c>
      <c r="AZ3041">
        <v>1200</v>
      </c>
      <c r="BA3041">
        <v>1</v>
      </c>
      <c r="BB3041" t="str">
        <f t="shared" si="1673"/>
        <v xml:space="preserve">N9217B  </v>
      </c>
      <c r="BC3041">
        <v>1</v>
      </c>
      <c r="BE3041">
        <v>0</v>
      </c>
      <c r="BF3041">
        <v>0</v>
      </c>
      <c r="BG3041">
        <v>0</v>
      </c>
      <c r="BH3041">
        <v>5850</v>
      </c>
      <c r="BI3041">
        <v>1</v>
      </c>
      <c r="BJ3041">
        <v>0</v>
      </c>
      <c r="BK3041">
        <v>0</v>
      </c>
      <c r="BL3041">
        <v>0</v>
      </c>
      <c r="BO3041">
        <v>0</v>
      </c>
      <c r="BP3041">
        <v>0</v>
      </c>
      <c r="BW3041" t="str">
        <f t="shared" si="1687"/>
        <v>14:56:29.949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285</v>
      </c>
      <c r="CR3041">
        <v>0</v>
      </c>
      <c r="CW3041">
        <v>8874005</v>
      </c>
      <c r="CY3041">
        <v>0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25">
      <c r="A3042" t="str">
        <f t="shared" si="1684"/>
        <v>06/05/2020 14:56:24.295</v>
      </c>
      <c r="C3042" t="str">
        <f t="shared" si="1652"/>
        <v>FFDFD3C0</v>
      </c>
      <c r="D3042" t="s">
        <v>148</v>
      </c>
      <c r="E3042">
        <v>11</v>
      </c>
      <c r="H3042">
        <v>53</v>
      </c>
      <c r="I3042" t="s">
        <v>364</v>
      </c>
      <c r="J3042" t="s">
        <v>150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685"/>
        <v>14:56:29.945</v>
      </c>
      <c r="T3042" t="str">
        <f t="shared" si="1686"/>
        <v>14:56:29.645</v>
      </c>
      <c r="U3042" t="str">
        <f t="shared" si="1668"/>
        <v>ACC530</v>
      </c>
      <c r="V3042">
        <v>0</v>
      </c>
      <c r="W3042">
        <v>0</v>
      </c>
      <c r="X3042">
        <v>1</v>
      </c>
      <c r="Z3042">
        <v>0</v>
      </c>
      <c r="AA3042">
        <v>9</v>
      </c>
      <c r="AB3042">
        <v>3</v>
      </c>
      <c r="AC3042">
        <v>0</v>
      </c>
      <c r="AD3042">
        <v>9</v>
      </c>
      <c r="AE3042">
        <v>0</v>
      </c>
      <c r="AF3042">
        <v>3</v>
      </c>
      <c r="AG3042">
        <v>1</v>
      </c>
      <c r="AH3042">
        <v>0</v>
      </c>
      <c r="AI3042" t="s">
        <v>1025</v>
      </c>
      <c r="AJ3042">
        <v>34.107742000000002</v>
      </c>
      <c r="AK3042" t="s">
        <v>879</v>
      </c>
      <c r="AL3042">
        <v>-117.05160100000001</v>
      </c>
      <c r="AM3042">
        <v>100</v>
      </c>
      <c r="AN3042">
        <v>6000</v>
      </c>
      <c r="AO3042" t="s">
        <v>118</v>
      </c>
      <c r="AP3042">
        <v>44</v>
      </c>
      <c r="AQ3042">
        <v>-98</v>
      </c>
      <c r="AR3042">
        <v>-448</v>
      </c>
      <c r="AZ3042">
        <v>1200</v>
      </c>
      <c r="BA3042">
        <v>1</v>
      </c>
      <c r="BB3042" t="str">
        <f t="shared" si="1673"/>
        <v xml:space="preserve">N9217B  </v>
      </c>
      <c r="BC3042">
        <v>1</v>
      </c>
      <c r="BE3042">
        <v>0</v>
      </c>
      <c r="BF3042">
        <v>0</v>
      </c>
      <c r="BG3042">
        <v>0</v>
      </c>
      <c r="BH3042">
        <v>5850</v>
      </c>
      <c r="BI3042">
        <v>1</v>
      </c>
      <c r="BJ3042">
        <v>0</v>
      </c>
      <c r="BK3042">
        <v>0</v>
      </c>
      <c r="BL3042">
        <v>0</v>
      </c>
      <c r="BO3042">
        <v>0</v>
      </c>
      <c r="BP3042">
        <v>0</v>
      </c>
      <c r="BW3042" t="str">
        <f t="shared" si="1687"/>
        <v>14:56:29.949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285</v>
      </c>
      <c r="CR3042">
        <v>0</v>
      </c>
      <c r="CW3042">
        <v>8874005</v>
      </c>
      <c r="CY3042">
        <v>0</v>
      </c>
      <c r="CZ3042">
        <v>0</v>
      </c>
      <c r="DA3042">
        <v>1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25">
      <c r="A3043" t="str">
        <f t="shared" si="1684"/>
        <v>06/05/2020 14:56:24.295</v>
      </c>
      <c r="C3043" t="str">
        <f t="shared" ref="C3043:C3106" si="1688">"FFDFD3C0"</f>
        <v>FFDFD3C0</v>
      </c>
      <c r="D3043" t="s">
        <v>113</v>
      </c>
      <c r="E3043">
        <v>3</v>
      </c>
      <c r="H3043">
        <v>166</v>
      </c>
      <c r="I3043" t="s">
        <v>114</v>
      </c>
      <c r="J3043" t="s">
        <v>115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685"/>
        <v>14:56:29.945</v>
      </c>
      <c r="T3043" t="str">
        <f t="shared" si="1686"/>
        <v>14:56:29.645</v>
      </c>
      <c r="U3043" t="str">
        <f t="shared" si="1668"/>
        <v>ACC530</v>
      </c>
      <c r="V3043">
        <v>0</v>
      </c>
      <c r="W3043">
        <v>0</v>
      </c>
      <c r="X3043">
        <v>1</v>
      </c>
      <c r="Z3043">
        <v>0</v>
      </c>
      <c r="AA3043">
        <v>9</v>
      </c>
      <c r="AB3043">
        <v>3</v>
      </c>
      <c r="AC3043">
        <v>0</v>
      </c>
      <c r="AD3043">
        <v>9</v>
      </c>
      <c r="AE3043">
        <v>0</v>
      </c>
      <c r="AF3043">
        <v>3</v>
      </c>
      <c r="AG3043">
        <v>1</v>
      </c>
      <c r="AH3043">
        <v>0</v>
      </c>
      <c r="AI3043" t="s">
        <v>1025</v>
      </c>
      <c r="AJ3043">
        <v>34.107742000000002</v>
      </c>
      <c r="AK3043" t="s">
        <v>879</v>
      </c>
      <c r="AL3043">
        <v>-117.05160100000001</v>
      </c>
      <c r="AM3043">
        <v>100</v>
      </c>
      <c r="AN3043">
        <v>6000</v>
      </c>
      <c r="AO3043" t="s">
        <v>118</v>
      </c>
      <c r="AP3043">
        <v>44</v>
      </c>
      <c r="AQ3043">
        <v>-98</v>
      </c>
      <c r="AR3043">
        <v>-448</v>
      </c>
      <c r="AZ3043">
        <v>1200</v>
      </c>
      <c r="BA3043">
        <v>1</v>
      </c>
      <c r="BB3043" t="str">
        <f t="shared" si="1673"/>
        <v xml:space="preserve">N9217B  </v>
      </c>
      <c r="BC3043">
        <v>1</v>
      </c>
      <c r="BE3043">
        <v>0</v>
      </c>
      <c r="BF3043">
        <v>0</v>
      </c>
      <c r="BG3043">
        <v>0</v>
      </c>
      <c r="BH3043">
        <v>5850</v>
      </c>
      <c r="BI3043">
        <v>1</v>
      </c>
      <c r="BJ3043">
        <v>0</v>
      </c>
      <c r="BK3043">
        <v>0</v>
      </c>
      <c r="BL3043">
        <v>0</v>
      </c>
      <c r="BO3043">
        <v>0</v>
      </c>
      <c r="BP3043">
        <v>0</v>
      </c>
      <c r="BW3043" t="str">
        <f t="shared" si="1687"/>
        <v>14:56:29.949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285</v>
      </c>
      <c r="CR3043">
        <v>0</v>
      </c>
      <c r="CW3043">
        <v>8874005</v>
      </c>
      <c r="CY3043">
        <v>0</v>
      </c>
      <c r="CZ3043">
        <v>0</v>
      </c>
      <c r="DA3043">
        <v>1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25">
      <c r="A3044" t="str">
        <f t="shared" si="1684"/>
        <v>06/05/2020 14:56:24.295</v>
      </c>
      <c r="C3044" t="str">
        <f t="shared" si="1688"/>
        <v>FFDFD3C0</v>
      </c>
      <c r="D3044" t="s">
        <v>151</v>
      </c>
      <c r="E3044">
        <v>8</v>
      </c>
      <c r="H3044">
        <v>225</v>
      </c>
      <c r="I3044" t="s">
        <v>353</v>
      </c>
      <c r="J3044" t="s">
        <v>150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685"/>
        <v>14:56:29.945</v>
      </c>
      <c r="T3044" t="str">
        <f t="shared" si="1686"/>
        <v>14:56:29.645</v>
      </c>
      <c r="U3044" t="str">
        <f t="shared" si="1668"/>
        <v>ACC530</v>
      </c>
      <c r="V3044">
        <v>0</v>
      </c>
      <c r="W3044">
        <v>0</v>
      </c>
      <c r="X3044">
        <v>1</v>
      </c>
      <c r="Z3044">
        <v>0</v>
      </c>
      <c r="AA3044">
        <v>9</v>
      </c>
      <c r="AB3044">
        <v>3</v>
      </c>
      <c r="AC3044">
        <v>0</v>
      </c>
      <c r="AD3044">
        <v>9</v>
      </c>
      <c r="AE3044">
        <v>0</v>
      </c>
      <c r="AF3044">
        <v>3</v>
      </c>
      <c r="AG3044">
        <v>1</v>
      </c>
      <c r="AH3044">
        <v>0</v>
      </c>
      <c r="AI3044" t="s">
        <v>1025</v>
      </c>
      <c r="AJ3044">
        <v>34.107742000000002</v>
      </c>
      <c r="AK3044" t="s">
        <v>879</v>
      </c>
      <c r="AL3044">
        <v>-117.05160100000001</v>
      </c>
      <c r="AM3044">
        <v>100</v>
      </c>
      <c r="AN3044">
        <v>6000</v>
      </c>
      <c r="AO3044" t="s">
        <v>118</v>
      </c>
      <c r="AP3044">
        <v>44</v>
      </c>
      <c r="AQ3044">
        <v>-98</v>
      </c>
      <c r="AR3044">
        <v>-448</v>
      </c>
      <c r="AZ3044">
        <v>1200</v>
      </c>
      <c r="BA3044">
        <v>1</v>
      </c>
      <c r="BB3044" t="str">
        <f t="shared" si="1673"/>
        <v xml:space="preserve">N9217B  </v>
      </c>
      <c r="BC3044">
        <v>1</v>
      </c>
      <c r="BE3044">
        <v>0</v>
      </c>
      <c r="BF3044">
        <v>0</v>
      </c>
      <c r="BG3044">
        <v>0</v>
      </c>
      <c r="BH3044">
        <v>5850</v>
      </c>
      <c r="BI3044">
        <v>1</v>
      </c>
      <c r="BJ3044">
        <v>0</v>
      </c>
      <c r="BK3044">
        <v>0</v>
      </c>
      <c r="BL3044">
        <v>0</v>
      </c>
      <c r="BO3044">
        <v>0</v>
      </c>
      <c r="BP3044">
        <v>0</v>
      </c>
      <c r="BW3044" t="str">
        <f t="shared" si="1687"/>
        <v>14:56:29.949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285</v>
      </c>
      <c r="CR3044">
        <v>0</v>
      </c>
      <c r="CW3044">
        <v>8874005</v>
      </c>
      <c r="CY3044">
        <v>0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25">
      <c r="A3045" t="str">
        <f t="shared" si="1684"/>
        <v>06/05/2020 14:56:24.295</v>
      </c>
      <c r="C3045" t="str">
        <f t="shared" si="1688"/>
        <v>FFDFD3C0</v>
      </c>
      <c r="D3045" t="s">
        <v>141</v>
      </c>
      <c r="E3045">
        <v>20</v>
      </c>
      <c r="F3045">
        <v>1020</v>
      </c>
      <c r="G3045" t="s">
        <v>114</v>
      </c>
      <c r="J3045" t="s">
        <v>142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685"/>
        <v>14:56:29.945</v>
      </c>
      <c r="T3045" t="str">
        <f t="shared" si="1686"/>
        <v>14:56:29.645</v>
      </c>
      <c r="U3045" t="str">
        <f t="shared" si="1668"/>
        <v>ACC530</v>
      </c>
      <c r="V3045">
        <v>0</v>
      </c>
      <c r="W3045">
        <v>0</v>
      </c>
      <c r="X3045">
        <v>1</v>
      </c>
      <c r="Z3045">
        <v>0</v>
      </c>
      <c r="AA3045">
        <v>9</v>
      </c>
      <c r="AB3045">
        <v>3</v>
      </c>
      <c r="AC3045">
        <v>0</v>
      </c>
      <c r="AD3045">
        <v>9</v>
      </c>
      <c r="AE3045">
        <v>0</v>
      </c>
      <c r="AF3045">
        <v>3</v>
      </c>
      <c r="AG3045">
        <v>1</v>
      </c>
      <c r="AH3045">
        <v>0</v>
      </c>
      <c r="AI3045" t="s">
        <v>1025</v>
      </c>
      <c r="AJ3045">
        <v>34.107742000000002</v>
      </c>
      <c r="AK3045" t="s">
        <v>879</v>
      </c>
      <c r="AL3045">
        <v>-117.05160100000001</v>
      </c>
      <c r="AM3045">
        <v>100</v>
      </c>
      <c r="AN3045">
        <v>6000</v>
      </c>
      <c r="AO3045" t="s">
        <v>118</v>
      </c>
      <c r="AP3045">
        <v>44</v>
      </c>
      <c r="AQ3045">
        <v>-98</v>
      </c>
      <c r="AR3045">
        <v>-448</v>
      </c>
      <c r="AZ3045">
        <v>1200</v>
      </c>
      <c r="BA3045">
        <v>1</v>
      </c>
      <c r="BB3045" t="str">
        <f t="shared" si="1673"/>
        <v xml:space="preserve">N9217B  </v>
      </c>
      <c r="BC3045">
        <v>1</v>
      </c>
      <c r="BE3045">
        <v>0</v>
      </c>
      <c r="BF3045">
        <v>0</v>
      </c>
      <c r="BG3045">
        <v>0</v>
      </c>
      <c r="BH3045">
        <v>5850</v>
      </c>
      <c r="BI3045">
        <v>1</v>
      </c>
      <c r="BJ3045">
        <v>0</v>
      </c>
      <c r="BK3045">
        <v>0</v>
      </c>
      <c r="BL3045">
        <v>0</v>
      </c>
      <c r="BO3045">
        <v>0</v>
      </c>
      <c r="BP3045">
        <v>0</v>
      </c>
      <c r="BW3045" t="str">
        <f t="shared" si="1687"/>
        <v>14:56:29.949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285</v>
      </c>
      <c r="CR3045">
        <v>0</v>
      </c>
      <c r="CW3045">
        <v>8874005</v>
      </c>
      <c r="CY3045">
        <v>0</v>
      </c>
      <c r="CZ3045">
        <v>0</v>
      </c>
      <c r="DA3045">
        <v>1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25">
      <c r="A3046" t="str">
        <f t="shared" ref="A3046:A3052" si="1689">"06/05/2020 14:56:25.235"</f>
        <v>06/05/2020 14:56:25.235</v>
      </c>
      <c r="C3046" t="str">
        <f t="shared" si="1688"/>
        <v>FFDFD3C0</v>
      </c>
      <c r="D3046" t="s">
        <v>151</v>
      </c>
      <c r="E3046">
        <v>8</v>
      </c>
      <c r="H3046">
        <v>225</v>
      </c>
      <c r="I3046" t="s">
        <v>353</v>
      </c>
      <c r="J3046" t="s">
        <v>150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ref="S3046:S3052" si="1690">"14:56:30.891"</f>
        <v>14:56:30.891</v>
      </c>
      <c r="T3046" t="str">
        <f t="shared" ref="T3046:T3052" si="1691">"14:56:30.691"</f>
        <v>14:56:30.691</v>
      </c>
      <c r="U3046" t="str">
        <f t="shared" si="1668"/>
        <v>ACC530</v>
      </c>
      <c r="V3046">
        <v>0</v>
      </c>
      <c r="W3046">
        <v>0</v>
      </c>
      <c r="X3046">
        <v>1</v>
      </c>
      <c r="Z3046">
        <v>0</v>
      </c>
      <c r="AA3046">
        <v>9</v>
      </c>
      <c r="AB3046">
        <v>3</v>
      </c>
      <c r="AC3046">
        <v>0</v>
      </c>
      <c r="AD3046">
        <v>9</v>
      </c>
      <c r="AE3046">
        <v>0</v>
      </c>
      <c r="AF3046">
        <v>3</v>
      </c>
      <c r="AG3046">
        <v>1</v>
      </c>
      <c r="AH3046">
        <v>0</v>
      </c>
      <c r="AI3046" t="s">
        <v>1026</v>
      </c>
      <c r="AJ3046">
        <v>34.107334999999999</v>
      </c>
      <c r="AK3046" t="s">
        <v>877</v>
      </c>
      <c r="AL3046">
        <v>-117.051365</v>
      </c>
      <c r="AM3046">
        <v>100</v>
      </c>
      <c r="AN3046">
        <v>6000</v>
      </c>
      <c r="AO3046" t="s">
        <v>118</v>
      </c>
      <c r="AP3046">
        <v>45</v>
      </c>
      <c r="AQ3046">
        <v>-97</v>
      </c>
      <c r="AR3046">
        <v>-448</v>
      </c>
      <c r="AZ3046">
        <v>1200</v>
      </c>
      <c r="BA3046">
        <v>1</v>
      </c>
      <c r="BB3046" t="str">
        <f t="shared" si="1673"/>
        <v xml:space="preserve">N9217B  </v>
      </c>
      <c r="BC3046">
        <v>1</v>
      </c>
      <c r="BE3046">
        <v>0</v>
      </c>
      <c r="BF3046">
        <v>0</v>
      </c>
      <c r="BG3046">
        <v>0</v>
      </c>
      <c r="BH3046">
        <v>5850</v>
      </c>
      <c r="BI3046">
        <v>1</v>
      </c>
      <c r="BJ3046">
        <v>0</v>
      </c>
      <c r="BK3046">
        <v>0</v>
      </c>
      <c r="BL3046">
        <v>0</v>
      </c>
      <c r="BO3046">
        <v>0</v>
      </c>
      <c r="BP3046">
        <v>0</v>
      </c>
      <c r="BW3046" t="str">
        <f t="shared" ref="BW3046:BW3052" si="1692">"14:56:30.894"</f>
        <v>14:56:30.894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119</v>
      </c>
      <c r="CQ3046">
        <v>285</v>
      </c>
      <c r="CR3046">
        <v>0</v>
      </c>
      <c r="CW3046">
        <v>8874091</v>
      </c>
      <c r="CY3046">
        <v>0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25">
      <c r="A3047" t="str">
        <f t="shared" si="1689"/>
        <v>06/05/2020 14:56:25.235</v>
      </c>
      <c r="C3047" t="str">
        <f t="shared" si="1688"/>
        <v>FFDFD3C0</v>
      </c>
      <c r="D3047" t="s">
        <v>141</v>
      </c>
      <c r="E3047">
        <v>20</v>
      </c>
      <c r="F3047">
        <v>1020</v>
      </c>
      <c r="G3047" t="s">
        <v>114</v>
      </c>
      <c r="J3047" t="s">
        <v>142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1690"/>
        <v>14:56:30.891</v>
      </c>
      <c r="T3047" t="str">
        <f t="shared" si="1691"/>
        <v>14:56:30.691</v>
      </c>
      <c r="U3047" t="str">
        <f t="shared" si="1668"/>
        <v>ACC530</v>
      </c>
      <c r="V3047">
        <v>0</v>
      </c>
      <c r="W3047">
        <v>0</v>
      </c>
      <c r="X3047">
        <v>1</v>
      </c>
      <c r="Z3047">
        <v>0</v>
      </c>
      <c r="AA3047">
        <v>9</v>
      </c>
      <c r="AB3047">
        <v>3</v>
      </c>
      <c r="AC3047">
        <v>0</v>
      </c>
      <c r="AD3047">
        <v>9</v>
      </c>
      <c r="AE3047">
        <v>0</v>
      </c>
      <c r="AF3047">
        <v>3</v>
      </c>
      <c r="AG3047">
        <v>1</v>
      </c>
      <c r="AH3047">
        <v>0</v>
      </c>
      <c r="AI3047" t="s">
        <v>1026</v>
      </c>
      <c r="AJ3047">
        <v>34.107334999999999</v>
      </c>
      <c r="AK3047" t="s">
        <v>877</v>
      </c>
      <c r="AL3047">
        <v>-117.051365</v>
      </c>
      <c r="AM3047">
        <v>100</v>
      </c>
      <c r="AN3047">
        <v>6000</v>
      </c>
      <c r="AO3047" t="s">
        <v>118</v>
      </c>
      <c r="AP3047">
        <v>45</v>
      </c>
      <c r="AQ3047">
        <v>-97</v>
      </c>
      <c r="AR3047">
        <v>-448</v>
      </c>
      <c r="AZ3047">
        <v>1200</v>
      </c>
      <c r="BA3047">
        <v>1</v>
      </c>
      <c r="BB3047" t="str">
        <f t="shared" si="1673"/>
        <v xml:space="preserve">N9217B  </v>
      </c>
      <c r="BC3047">
        <v>1</v>
      </c>
      <c r="BE3047">
        <v>0</v>
      </c>
      <c r="BF3047">
        <v>0</v>
      </c>
      <c r="BG3047">
        <v>0</v>
      </c>
      <c r="BH3047">
        <v>5850</v>
      </c>
      <c r="BI3047">
        <v>1</v>
      </c>
      <c r="BJ3047">
        <v>0</v>
      </c>
      <c r="BK3047">
        <v>0</v>
      </c>
      <c r="BL3047">
        <v>0</v>
      </c>
      <c r="BO3047">
        <v>0</v>
      </c>
      <c r="BP3047">
        <v>0</v>
      </c>
      <c r="BW3047" t="str">
        <f t="shared" si="1692"/>
        <v>14:56:30.894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285</v>
      </c>
      <c r="CR3047">
        <v>0</v>
      </c>
      <c r="CW3047">
        <v>8874091</v>
      </c>
      <c r="CY3047">
        <v>0</v>
      </c>
      <c r="CZ3047">
        <v>0</v>
      </c>
      <c r="DA3047">
        <v>1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25">
      <c r="A3048" t="str">
        <f t="shared" si="1689"/>
        <v>06/05/2020 14:56:25.235</v>
      </c>
      <c r="C3048" t="str">
        <f t="shared" si="1688"/>
        <v>FFDFD3C0</v>
      </c>
      <c r="D3048" t="s">
        <v>151</v>
      </c>
      <c r="E3048">
        <v>9</v>
      </c>
      <c r="H3048">
        <v>226</v>
      </c>
      <c r="I3048" t="s">
        <v>152</v>
      </c>
      <c r="J3048" t="s">
        <v>150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690"/>
        <v>14:56:30.891</v>
      </c>
      <c r="T3048" t="str">
        <f t="shared" si="1691"/>
        <v>14:56:30.691</v>
      </c>
      <c r="U3048" t="str">
        <f t="shared" si="1668"/>
        <v>ACC530</v>
      </c>
      <c r="V3048">
        <v>0</v>
      </c>
      <c r="W3048">
        <v>0</v>
      </c>
      <c r="X3048">
        <v>1</v>
      </c>
      <c r="Z3048">
        <v>0</v>
      </c>
      <c r="AA3048">
        <v>9</v>
      </c>
      <c r="AB3048">
        <v>3</v>
      </c>
      <c r="AC3048">
        <v>0</v>
      </c>
      <c r="AD3048">
        <v>9</v>
      </c>
      <c r="AE3048">
        <v>0</v>
      </c>
      <c r="AF3048">
        <v>3</v>
      </c>
      <c r="AG3048">
        <v>1</v>
      </c>
      <c r="AH3048">
        <v>0</v>
      </c>
      <c r="AI3048" t="s">
        <v>1026</v>
      </c>
      <c r="AJ3048">
        <v>34.107334999999999</v>
      </c>
      <c r="AK3048" t="s">
        <v>877</v>
      </c>
      <c r="AL3048">
        <v>-117.051365</v>
      </c>
      <c r="AM3048">
        <v>100</v>
      </c>
      <c r="AN3048">
        <v>6000</v>
      </c>
      <c r="AO3048" t="s">
        <v>118</v>
      </c>
      <c r="AP3048">
        <v>45</v>
      </c>
      <c r="AQ3048">
        <v>-97</v>
      </c>
      <c r="AR3048">
        <v>-448</v>
      </c>
      <c r="AZ3048">
        <v>1200</v>
      </c>
      <c r="BA3048">
        <v>1</v>
      </c>
      <c r="BB3048" t="str">
        <f t="shared" si="1673"/>
        <v xml:space="preserve">N9217B  </v>
      </c>
      <c r="BC3048">
        <v>1</v>
      </c>
      <c r="BE3048">
        <v>0</v>
      </c>
      <c r="BF3048">
        <v>0</v>
      </c>
      <c r="BG3048">
        <v>0</v>
      </c>
      <c r="BH3048">
        <v>5850</v>
      </c>
      <c r="BI3048">
        <v>1</v>
      </c>
      <c r="BJ3048">
        <v>0</v>
      </c>
      <c r="BK3048">
        <v>0</v>
      </c>
      <c r="BL3048">
        <v>0</v>
      </c>
      <c r="BO3048">
        <v>0</v>
      </c>
      <c r="BP3048">
        <v>0</v>
      </c>
      <c r="BW3048" t="str">
        <f t="shared" si="1692"/>
        <v>14:56:30.894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119</v>
      </c>
      <c r="CQ3048">
        <v>285</v>
      </c>
      <c r="CR3048">
        <v>0</v>
      </c>
      <c r="CW3048">
        <v>8874091</v>
      </c>
      <c r="CY3048">
        <v>0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25">
      <c r="A3049" t="str">
        <f t="shared" si="1689"/>
        <v>06/05/2020 14:56:25.235</v>
      </c>
      <c r="C3049" t="str">
        <f t="shared" si="1688"/>
        <v>FFDFD3C0</v>
      </c>
      <c r="D3049" t="s">
        <v>134</v>
      </c>
      <c r="E3049">
        <v>7</v>
      </c>
      <c r="F3049">
        <v>2007</v>
      </c>
      <c r="G3049" t="s">
        <v>135</v>
      </c>
      <c r="J3049" t="s">
        <v>136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690"/>
        <v>14:56:30.891</v>
      </c>
      <c r="T3049" t="str">
        <f t="shared" si="1691"/>
        <v>14:56:30.691</v>
      </c>
      <c r="U3049" t="str">
        <f t="shared" si="1668"/>
        <v>ACC530</v>
      </c>
      <c r="V3049">
        <v>0</v>
      </c>
      <c r="W3049">
        <v>0</v>
      </c>
      <c r="X3049">
        <v>1</v>
      </c>
      <c r="Z3049">
        <v>0</v>
      </c>
      <c r="AA3049">
        <v>9</v>
      </c>
      <c r="AB3049">
        <v>3</v>
      </c>
      <c r="AC3049">
        <v>0</v>
      </c>
      <c r="AD3049">
        <v>9</v>
      </c>
      <c r="AE3049">
        <v>0</v>
      </c>
      <c r="AF3049">
        <v>3</v>
      </c>
      <c r="AG3049">
        <v>1</v>
      </c>
      <c r="AH3049">
        <v>0</v>
      </c>
      <c r="AI3049" t="s">
        <v>1026</v>
      </c>
      <c r="AJ3049">
        <v>34.107334999999999</v>
      </c>
      <c r="AK3049" t="s">
        <v>877</v>
      </c>
      <c r="AL3049">
        <v>-117.051365</v>
      </c>
      <c r="AM3049">
        <v>100</v>
      </c>
      <c r="AN3049">
        <v>6000</v>
      </c>
      <c r="AO3049" t="s">
        <v>118</v>
      </c>
      <c r="AP3049">
        <v>45</v>
      </c>
      <c r="AQ3049">
        <v>-97</v>
      </c>
      <c r="AR3049">
        <v>-448</v>
      </c>
      <c r="AZ3049">
        <v>1200</v>
      </c>
      <c r="BA3049">
        <v>1</v>
      </c>
      <c r="BB3049" t="str">
        <f t="shared" si="1673"/>
        <v xml:space="preserve">N9217B  </v>
      </c>
      <c r="BC3049">
        <v>1</v>
      </c>
      <c r="BE3049">
        <v>0</v>
      </c>
      <c r="BF3049">
        <v>0</v>
      </c>
      <c r="BG3049">
        <v>0</v>
      </c>
      <c r="BH3049">
        <v>5850</v>
      </c>
      <c r="BI3049">
        <v>1</v>
      </c>
      <c r="BJ3049">
        <v>0</v>
      </c>
      <c r="BK3049">
        <v>0</v>
      </c>
      <c r="BL3049">
        <v>0</v>
      </c>
      <c r="BO3049">
        <v>0</v>
      </c>
      <c r="BP3049">
        <v>0</v>
      </c>
      <c r="BW3049" t="str">
        <f t="shared" si="1692"/>
        <v>14:56:30.894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119</v>
      </c>
      <c r="CQ3049">
        <v>285</v>
      </c>
      <c r="CR3049">
        <v>0</v>
      </c>
      <c r="CW3049">
        <v>8874091</v>
      </c>
      <c r="CY3049">
        <v>0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25">
      <c r="A3050" t="str">
        <f t="shared" si="1689"/>
        <v>06/05/2020 14:56:25.235</v>
      </c>
      <c r="C3050" t="str">
        <f t="shared" si="1688"/>
        <v>FFDFD3C0</v>
      </c>
      <c r="D3050" t="s">
        <v>148</v>
      </c>
      <c r="E3050">
        <v>11</v>
      </c>
      <c r="H3050">
        <v>53</v>
      </c>
      <c r="I3050" t="s">
        <v>364</v>
      </c>
      <c r="J3050" t="s">
        <v>150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690"/>
        <v>14:56:30.891</v>
      </c>
      <c r="T3050" t="str">
        <f t="shared" si="1691"/>
        <v>14:56:30.691</v>
      </c>
      <c r="U3050" t="str">
        <f t="shared" si="1668"/>
        <v>ACC530</v>
      </c>
      <c r="V3050">
        <v>0</v>
      </c>
      <c r="W3050">
        <v>0</v>
      </c>
      <c r="X3050">
        <v>1</v>
      </c>
      <c r="Z3050">
        <v>0</v>
      </c>
      <c r="AA3050">
        <v>9</v>
      </c>
      <c r="AB3050">
        <v>3</v>
      </c>
      <c r="AC3050">
        <v>0</v>
      </c>
      <c r="AD3050">
        <v>9</v>
      </c>
      <c r="AE3050">
        <v>0</v>
      </c>
      <c r="AF3050">
        <v>3</v>
      </c>
      <c r="AG3050">
        <v>1</v>
      </c>
      <c r="AH3050">
        <v>0</v>
      </c>
      <c r="AI3050" t="s">
        <v>1026</v>
      </c>
      <c r="AJ3050">
        <v>34.107334999999999</v>
      </c>
      <c r="AK3050" t="s">
        <v>877</v>
      </c>
      <c r="AL3050">
        <v>-117.051365</v>
      </c>
      <c r="AM3050">
        <v>100</v>
      </c>
      <c r="AN3050">
        <v>6000</v>
      </c>
      <c r="AO3050" t="s">
        <v>118</v>
      </c>
      <c r="AP3050">
        <v>45</v>
      </c>
      <c r="AQ3050">
        <v>-97</v>
      </c>
      <c r="AR3050">
        <v>-448</v>
      </c>
      <c r="AZ3050">
        <v>1200</v>
      </c>
      <c r="BA3050">
        <v>1</v>
      </c>
      <c r="BB3050" t="str">
        <f t="shared" si="1673"/>
        <v xml:space="preserve">N9217B  </v>
      </c>
      <c r="BC3050">
        <v>1</v>
      </c>
      <c r="BE3050">
        <v>0</v>
      </c>
      <c r="BF3050">
        <v>0</v>
      </c>
      <c r="BG3050">
        <v>0</v>
      </c>
      <c r="BH3050">
        <v>5850</v>
      </c>
      <c r="BI3050">
        <v>1</v>
      </c>
      <c r="BJ3050">
        <v>0</v>
      </c>
      <c r="BK3050">
        <v>0</v>
      </c>
      <c r="BL3050">
        <v>0</v>
      </c>
      <c r="BO3050">
        <v>0</v>
      </c>
      <c r="BP3050">
        <v>0</v>
      </c>
      <c r="BW3050" t="str">
        <f t="shared" si="1692"/>
        <v>14:56:30.894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7</v>
      </c>
      <c r="CP3050" t="s">
        <v>119</v>
      </c>
      <c r="CQ3050">
        <v>285</v>
      </c>
      <c r="CR3050">
        <v>0</v>
      </c>
      <c r="CW3050">
        <v>8874091</v>
      </c>
      <c r="CY3050">
        <v>0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25">
      <c r="A3051" t="str">
        <f t="shared" si="1689"/>
        <v>06/05/2020 14:56:25.235</v>
      </c>
      <c r="C3051" t="str">
        <f t="shared" si="1688"/>
        <v>FFDFD3C0</v>
      </c>
      <c r="D3051" t="s">
        <v>148</v>
      </c>
      <c r="E3051">
        <v>8</v>
      </c>
      <c r="H3051">
        <v>50</v>
      </c>
      <c r="I3051" t="s">
        <v>149</v>
      </c>
      <c r="J3051" t="s">
        <v>150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690"/>
        <v>14:56:30.891</v>
      </c>
      <c r="T3051" t="str">
        <f t="shared" si="1691"/>
        <v>14:56:30.691</v>
      </c>
      <c r="U3051" t="str">
        <f t="shared" si="1668"/>
        <v>ACC530</v>
      </c>
      <c r="V3051">
        <v>0</v>
      </c>
      <c r="W3051">
        <v>0</v>
      </c>
      <c r="X3051">
        <v>1</v>
      </c>
      <c r="Z3051">
        <v>0</v>
      </c>
      <c r="AA3051">
        <v>9</v>
      </c>
      <c r="AB3051">
        <v>3</v>
      </c>
      <c r="AC3051">
        <v>0</v>
      </c>
      <c r="AD3051">
        <v>9</v>
      </c>
      <c r="AE3051">
        <v>0</v>
      </c>
      <c r="AF3051">
        <v>3</v>
      </c>
      <c r="AG3051">
        <v>1</v>
      </c>
      <c r="AH3051">
        <v>0</v>
      </c>
      <c r="AI3051" t="s">
        <v>1026</v>
      </c>
      <c r="AJ3051">
        <v>34.107334999999999</v>
      </c>
      <c r="AK3051" t="s">
        <v>877</v>
      </c>
      <c r="AL3051">
        <v>-117.051365</v>
      </c>
      <c r="AM3051">
        <v>100</v>
      </c>
      <c r="AN3051">
        <v>6000</v>
      </c>
      <c r="AO3051" t="s">
        <v>118</v>
      </c>
      <c r="AP3051">
        <v>45</v>
      </c>
      <c r="AQ3051">
        <v>-97</v>
      </c>
      <c r="AR3051">
        <v>-448</v>
      </c>
      <c r="AZ3051">
        <v>1200</v>
      </c>
      <c r="BA3051">
        <v>1</v>
      </c>
      <c r="BB3051" t="str">
        <f t="shared" si="1673"/>
        <v xml:space="preserve">N9217B  </v>
      </c>
      <c r="BC3051">
        <v>1</v>
      </c>
      <c r="BE3051">
        <v>0</v>
      </c>
      <c r="BF3051">
        <v>0</v>
      </c>
      <c r="BG3051">
        <v>0</v>
      </c>
      <c r="BH3051">
        <v>5850</v>
      </c>
      <c r="BI3051">
        <v>1</v>
      </c>
      <c r="BJ3051">
        <v>0</v>
      </c>
      <c r="BK3051">
        <v>0</v>
      </c>
      <c r="BL3051">
        <v>0</v>
      </c>
      <c r="BO3051">
        <v>0</v>
      </c>
      <c r="BP3051">
        <v>0</v>
      </c>
      <c r="BW3051" t="str">
        <f t="shared" si="1692"/>
        <v>14:56:30.894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119</v>
      </c>
      <c r="CQ3051">
        <v>285</v>
      </c>
      <c r="CR3051">
        <v>0</v>
      </c>
      <c r="CW3051">
        <v>8874091</v>
      </c>
      <c r="CY3051">
        <v>0</v>
      </c>
      <c r="CZ3051">
        <v>0</v>
      </c>
      <c r="DA3051">
        <v>1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25">
      <c r="A3052" t="str">
        <f t="shared" si="1689"/>
        <v>06/05/2020 14:56:25.235</v>
      </c>
      <c r="C3052" t="str">
        <f t="shared" si="1688"/>
        <v>FFDFD3C0</v>
      </c>
      <c r="D3052" t="s">
        <v>113</v>
      </c>
      <c r="E3052">
        <v>3</v>
      </c>
      <c r="H3052">
        <v>166</v>
      </c>
      <c r="I3052" t="s">
        <v>114</v>
      </c>
      <c r="J3052" t="s">
        <v>115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690"/>
        <v>14:56:30.891</v>
      </c>
      <c r="T3052" t="str">
        <f t="shared" si="1691"/>
        <v>14:56:30.691</v>
      </c>
      <c r="U3052" t="str">
        <f t="shared" si="1668"/>
        <v>ACC530</v>
      </c>
      <c r="V3052">
        <v>0</v>
      </c>
      <c r="W3052">
        <v>0</v>
      </c>
      <c r="X3052">
        <v>1</v>
      </c>
      <c r="Z3052">
        <v>0</v>
      </c>
      <c r="AA3052">
        <v>9</v>
      </c>
      <c r="AB3052">
        <v>3</v>
      </c>
      <c r="AC3052">
        <v>0</v>
      </c>
      <c r="AD3052">
        <v>9</v>
      </c>
      <c r="AE3052">
        <v>0</v>
      </c>
      <c r="AF3052">
        <v>3</v>
      </c>
      <c r="AG3052">
        <v>1</v>
      </c>
      <c r="AH3052">
        <v>0</v>
      </c>
      <c r="AI3052" t="s">
        <v>1026</v>
      </c>
      <c r="AJ3052">
        <v>34.107334999999999</v>
      </c>
      <c r="AK3052" t="s">
        <v>877</v>
      </c>
      <c r="AL3052">
        <v>-117.051365</v>
      </c>
      <c r="AM3052">
        <v>100</v>
      </c>
      <c r="AN3052">
        <v>6000</v>
      </c>
      <c r="AO3052" t="s">
        <v>118</v>
      </c>
      <c r="AP3052">
        <v>45</v>
      </c>
      <c r="AQ3052">
        <v>-97</v>
      </c>
      <c r="AR3052">
        <v>-448</v>
      </c>
      <c r="AZ3052">
        <v>1200</v>
      </c>
      <c r="BA3052">
        <v>1</v>
      </c>
      <c r="BB3052" t="str">
        <f t="shared" si="1673"/>
        <v xml:space="preserve">N9217B  </v>
      </c>
      <c r="BC3052">
        <v>1</v>
      </c>
      <c r="BE3052">
        <v>0</v>
      </c>
      <c r="BF3052">
        <v>0</v>
      </c>
      <c r="BG3052">
        <v>0</v>
      </c>
      <c r="BH3052">
        <v>5850</v>
      </c>
      <c r="BI3052">
        <v>1</v>
      </c>
      <c r="BJ3052">
        <v>0</v>
      </c>
      <c r="BK3052">
        <v>0</v>
      </c>
      <c r="BL3052">
        <v>0</v>
      </c>
      <c r="BO3052">
        <v>0</v>
      </c>
      <c r="BP3052">
        <v>0</v>
      </c>
      <c r="BW3052" t="str">
        <f t="shared" si="1692"/>
        <v>14:56:30.894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7</v>
      </c>
      <c r="CP3052" t="s">
        <v>119</v>
      </c>
      <c r="CQ3052">
        <v>285</v>
      </c>
      <c r="CR3052">
        <v>0</v>
      </c>
      <c r="CW3052">
        <v>8874091</v>
      </c>
      <c r="CY3052">
        <v>0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25">
      <c r="A3053" t="str">
        <f t="shared" ref="A3053:A3059" si="1693">"06/05/2020 14:56:26.390"</f>
        <v>06/05/2020 14:56:26.390</v>
      </c>
      <c r="C3053" t="str">
        <f t="shared" si="1688"/>
        <v>FFDFD3C0</v>
      </c>
      <c r="D3053" t="s">
        <v>148</v>
      </c>
      <c r="E3053">
        <v>8</v>
      </c>
      <c r="H3053">
        <v>50</v>
      </c>
      <c r="I3053" t="s">
        <v>149</v>
      </c>
      <c r="J3053" t="s">
        <v>150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ref="S3053:S3059" si="1694">"14:56:32.047"</f>
        <v>14:56:32.047</v>
      </c>
      <c r="T3053" t="str">
        <f t="shared" ref="T3053:T3059" si="1695">"14:56:31.647"</f>
        <v>14:56:31.647</v>
      </c>
      <c r="U3053" t="str">
        <f t="shared" si="1668"/>
        <v>ACC530</v>
      </c>
      <c r="V3053">
        <v>0</v>
      </c>
      <c r="W3053">
        <v>0</v>
      </c>
      <c r="X3053">
        <v>1</v>
      </c>
      <c r="Z3053">
        <v>0</v>
      </c>
      <c r="AA3053">
        <v>9</v>
      </c>
      <c r="AB3053">
        <v>3</v>
      </c>
      <c r="AC3053">
        <v>0</v>
      </c>
      <c r="AD3053">
        <v>9</v>
      </c>
      <c r="AE3053">
        <v>0</v>
      </c>
      <c r="AF3053">
        <v>3</v>
      </c>
      <c r="AG3053">
        <v>1</v>
      </c>
      <c r="AH3053">
        <v>0</v>
      </c>
      <c r="AI3053" t="s">
        <v>1027</v>
      </c>
      <c r="AJ3053">
        <v>34.106777000000001</v>
      </c>
      <c r="AK3053" t="s">
        <v>1028</v>
      </c>
      <c r="AL3053">
        <v>-117.051086</v>
      </c>
      <c r="AM3053">
        <v>100</v>
      </c>
      <c r="AN3053">
        <v>6000</v>
      </c>
      <c r="AO3053" t="s">
        <v>118</v>
      </c>
      <c r="AP3053">
        <v>46</v>
      </c>
      <c r="AQ3053">
        <v>-96</v>
      </c>
      <c r="AR3053">
        <v>-384</v>
      </c>
      <c r="AZ3053">
        <v>1200</v>
      </c>
      <c r="BA3053">
        <v>1</v>
      </c>
      <c r="BB3053" t="str">
        <f t="shared" si="1673"/>
        <v xml:space="preserve">N9217B  </v>
      </c>
      <c r="BC3053">
        <v>1</v>
      </c>
      <c r="BE3053">
        <v>0</v>
      </c>
      <c r="BF3053">
        <v>0</v>
      </c>
      <c r="BG3053">
        <v>0</v>
      </c>
      <c r="BH3053">
        <v>5850</v>
      </c>
      <c r="BI3053">
        <v>1</v>
      </c>
      <c r="BJ3053">
        <v>0</v>
      </c>
      <c r="BK3053">
        <v>0</v>
      </c>
      <c r="BL3053">
        <v>0</v>
      </c>
      <c r="BO3053">
        <v>0</v>
      </c>
      <c r="BP3053">
        <v>0</v>
      </c>
      <c r="BW3053" t="str">
        <f t="shared" ref="BW3053:BW3059" si="1696">"14:56:32.049"</f>
        <v>14:56:32.049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7</v>
      </c>
      <c r="CP3053" t="s">
        <v>119</v>
      </c>
      <c r="CQ3053">
        <v>285</v>
      </c>
      <c r="CR3053">
        <v>0</v>
      </c>
      <c r="CW3053">
        <v>8874194</v>
      </c>
      <c r="CY3053">
        <v>0</v>
      </c>
      <c r="CZ3053">
        <v>0</v>
      </c>
      <c r="DA3053">
        <v>0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25">
      <c r="A3054" t="str">
        <f t="shared" si="1693"/>
        <v>06/05/2020 14:56:26.390</v>
      </c>
      <c r="C3054" t="str">
        <f t="shared" si="1688"/>
        <v>FFDFD3C0</v>
      </c>
      <c r="D3054" t="s">
        <v>148</v>
      </c>
      <c r="E3054">
        <v>11</v>
      </c>
      <c r="H3054">
        <v>53</v>
      </c>
      <c r="I3054" t="s">
        <v>364</v>
      </c>
      <c r="J3054" t="s">
        <v>150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694"/>
        <v>14:56:32.047</v>
      </c>
      <c r="T3054" t="str">
        <f t="shared" si="1695"/>
        <v>14:56:31.647</v>
      </c>
      <c r="U3054" t="str">
        <f t="shared" si="1668"/>
        <v>ACC530</v>
      </c>
      <c r="V3054">
        <v>0</v>
      </c>
      <c r="W3054">
        <v>0</v>
      </c>
      <c r="X3054">
        <v>1</v>
      </c>
      <c r="Z3054">
        <v>0</v>
      </c>
      <c r="AA3054">
        <v>9</v>
      </c>
      <c r="AB3054">
        <v>3</v>
      </c>
      <c r="AC3054">
        <v>0</v>
      </c>
      <c r="AD3054">
        <v>9</v>
      </c>
      <c r="AE3054">
        <v>0</v>
      </c>
      <c r="AF3054">
        <v>3</v>
      </c>
      <c r="AG3054">
        <v>1</v>
      </c>
      <c r="AH3054">
        <v>0</v>
      </c>
      <c r="AI3054" t="s">
        <v>1027</v>
      </c>
      <c r="AJ3054">
        <v>34.106777000000001</v>
      </c>
      <c r="AK3054" t="s">
        <v>1028</v>
      </c>
      <c r="AL3054">
        <v>-117.051086</v>
      </c>
      <c r="AM3054">
        <v>100</v>
      </c>
      <c r="AN3054">
        <v>6000</v>
      </c>
      <c r="AO3054" t="s">
        <v>118</v>
      </c>
      <c r="AP3054">
        <v>46</v>
      </c>
      <c r="AQ3054">
        <v>-96</v>
      </c>
      <c r="AR3054">
        <v>-384</v>
      </c>
      <c r="AZ3054">
        <v>1200</v>
      </c>
      <c r="BA3054">
        <v>1</v>
      </c>
      <c r="BB3054" t="str">
        <f t="shared" si="1673"/>
        <v xml:space="preserve">N9217B  </v>
      </c>
      <c r="BC3054">
        <v>1</v>
      </c>
      <c r="BE3054">
        <v>0</v>
      </c>
      <c r="BF3054">
        <v>0</v>
      </c>
      <c r="BG3054">
        <v>0</v>
      </c>
      <c r="BH3054">
        <v>5850</v>
      </c>
      <c r="BI3054">
        <v>1</v>
      </c>
      <c r="BJ3054">
        <v>0</v>
      </c>
      <c r="BK3054">
        <v>0</v>
      </c>
      <c r="BL3054">
        <v>0</v>
      </c>
      <c r="BO3054">
        <v>0</v>
      </c>
      <c r="BP3054">
        <v>0</v>
      </c>
      <c r="BW3054" t="str">
        <f t="shared" si="1696"/>
        <v>14:56:32.049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119</v>
      </c>
      <c r="CQ3054">
        <v>285</v>
      </c>
      <c r="CR3054">
        <v>0</v>
      </c>
      <c r="CW3054">
        <v>8874194</v>
      </c>
      <c r="CY3054">
        <v>0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25">
      <c r="A3055" t="str">
        <f t="shared" si="1693"/>
        <v>06/05/2020 14:56:26.390</v>
      </c>
      <c r="C3055" t="str">
        <f t="shared" si="1688"/>
        <v>FFDFD3C0</v>
      </c>
      <c r="D3055" t="s">
        <v>113</v>
      </c>
      <c r="E3055">
        <v>3</v>
      </c>
      <c r="H3055">
        <v>166</v>
      </c>
      <c r="I3055" t="s">
        <v>114</v>
      </c>
      <c r="J3055" t="s">
        <v>115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si="1694"/>
        <v>14:56:32.047</v>
      </c>
      <c r="T3055" t="str">
        <f t="shared" si="1695"/>
        <v>14:56:31.647</v>
      </c>
      <c r="U3055" t="str">
        <f t="shared" si="1668"/>
        <v>ACC530</v>
      </c>
      <c r="V3055">
        <v>0</v>
      </c>
      <c r="W3055">
        <v>0</v>
      </c>
      <c r="X3055">
        <v>1</v>
      </c>
      <c r="Z3055">
        <v>0</v>
      </c>
      <c r="AA3055">
        <v>9</v>
      </c>
      <c r="AB3055">
        <v>3</v>
      </c>
      <c r="AC3055">
        <v>0</v>
      </c>
      <c r="AD3055">
        <v>9</v>
      </c>
      <c r="AE3055">
        <v>0</v>
      </c>
      <c r="AF3055">
        <v>3</v>
      </c>
      <c r="AG3055">
        <v>1</v>
      </c>
      <c r="AH3055">
        <v>0</v>
      </c>
      <c r="AI3055" t="s">
        <v>1027</v>
      </c>
      <c r="AJ3055">
        <v>34.106777000000001</v>
      </c>
      <c r="AK3055" t="s">
        <v>1028</v>
      </c>
      <c r="AL3055">
        <v>-117.051086</v>
      </c>
      <c r="AM3055">
        <v>100</v>
      </c>
      <c r="AN3055">
        <v>6000</v>
      </c>
      <c r="AO3055" t="s">
        <v>118</v>
      </c>
      <c r="AP3055">
        <v>46</v>
      </c>
      <c r="AQ3055">
        <v>-96</v>
      </c>
      <c r="AR3055">
        <v>-384</v>
      </c>
      <c r="AZ3055">
        <v>1200</v>
      </c>
      <c r="BA3055">
        <v>1</v>
      </c>
      <c r="BB3055" t="str">
        <f t="shared" si="1673"/>
        <v xml:space="preserve">N9217B  </v>
      </c>
      <c r="BC3055">
        <v>1</v>
      </c>
      <c r="BE3055">
        <v>0</v>
      </c>
      <c r="BF3055">
        <v>0</v>
      </c>
      <c r="BG3055">
        <v>0</v>
      </c>
      <c r="BH3055">
        <v>5850</v>
      </c>
      <c r="BI3055">
        <v>1</v>
      </c>
      <c r="BJ3055">
        <v>0</v>
      </c>
      <c r="BK3055">
        <v>0</v>
      </c>
      <c r="BL3055">
        <v>0</v>
      </c>
      <c r="BO3055">
        <v>0</v>
      </c>
      <c r="BP3055">
        <v>0</v>
      </c>
      <c r="BW3055" t="str">
        <f t="shared" si="1696"/>
        <v>14:56:32.049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285</v>
      </c>
      <c r="CR3055">
        <v>0</v>
      </c>
      <c r="CW3055">
        <v>8874194</v>
      </c>
      <c r="CY3055">
        <v>0</v>
      </c>
      <c r="CZ3055">
        <v>0</v>
      </c>
      <c r="DA3055">
        <v>1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25">
      <c r="A3056" t="str">
        <f t="shared" si="1693"/>
        <v>06/05/2020 14:56:26.390</v>
      </c>
      <c r="C3056" t="str">
        <f t="shared" si="1688"/>
        <v>FFDFD3C0</v>
      </c>
      <c r="D3056" t="s">
        <v>141</v>
      </c>
      <c r="E3056">
        <v>20</v>
      </c>
      <c r="F3056">
        <v>1020</v>
      </c>
      <c r="G3056" t="s">
        <v>114</v>
      </c>
      <c r="J3056" t="s">
        <v>142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694"/>
        <v>14:56:32.047</v>
      </c>
      <c r="T3056" t="str">
        <f t="shared" si="1695"/>
        <v>14:56:31.647</v>
      </c>
      <c r="U3056" t="str">
        <f t="shared" si="1668"/>
        <v>ACC530</v>
      </c>
      <c r="V3056">
        <v>0</v>
      </c>
      <c r="W3056">
        <v>0</v>
      </c>
      <c r="X3056">
        <v>1</v>
      </c>
      <c r="Z3056">
        <v>0</v>
      </c>
      <c r="AA3056">
        <v>9</v>
      </c>
      <c r="AB3056">
        <v>3</v>
      </c>
      <c r="AC3056">
        <v>0</v>
      </c>
      <c r="AD3056">
        <v>9</v>
      </c>
      <c r="AE3056">
        <v>0</v>
      </c>
      <c r="AF3056">
        <v>3</v>
      </c>
      <c r="AG3056">
        <v>1</v>
      </c>
      <c r="AH3056">
        <v>0</v>
      </c>
      <c r="AI3056" t="s">
        <v>1027</v>
      </c>
      <c r="AJ3056">
        <v>34.106777000000001</v>
      </c>
      <c r="AK3056" t="s">
        <v>1028</v>
      </c>
      <c r="AL3056">
        <v>-117.051086</v>
      </c>
      <c r="AM3056">
        <v>100</v>
      </c>
      <c r="AN3056">
        <v>6000</v>
      </c>
      <c r="AO3056" t="s">
        <v>118</v>
      </c>
      <c r="AP3056">
        <v>46</v>
      </c>
      <c r="AQ3056">
        <v>-96</v>
      </c>
      <c r="AR3056">
        <v>-384</v>
      </c>
      <c r="AZ3056">
        <v>1200</v>
      </c>
      <c r="BA3056">
        <v>1</v>
      </c>
      <c r="BB3056" t="str">
        <f t="shared" si="1673"/>
        <v xml:space="preserve">N9217B  </v>
      </c>
      <c r="BC3056">
        <v>1</v>
      </c>
      <c r="BE3056">
        <v>0</v>
      </c>
      <c r="BF3056">
        <v>0</v>
      </c>
      <c r="BG3056">
        <v>0</v>
      </c>
      <c r="BH3056">
        <v>5850</v>
      </c>
      <c r="BI3056">
        <v>1</v>
      </c>
      <c r="BJ3056">
        <v>0</v>
      </c>
      <c r="BK3056">
        <v>0</v>
      </c>
      <c r="BL3056">
        <v>0</v>
      </c>
      <c r="BO3056">
        <v>0</v>
      </c>
      <c r="BP3056">
        <v>0</v>
      </c>
      <c r="BW3056" t="str">
        <f t="shared" si="1696"/>
        <v>14:56:32.049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119</v>
      </c>
      <c r="CQ3056">
        <v>285</v>
      </c>
      <c r="CR3056">
        <v>0</v>
      </c>
      <c r="CW3056">
        <v>8874194</v>
      </c>
      <c r="CY3056">
        <v>0</v>
      </c>
      <c r="CZ3056">
        <v>0</v>
      </c>
      <c r="DA3056">
        <v>1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25">
      <c r="A3057" t="str">
        <f t="shared" si="1693"/>
        <v>06/05/2020 14:56:26.390</v>
      </c>
      <c r="C3057" t="str">
        <f t="shared" si="1688"/>
        <v>FFDFD3C0</v>
      </c>
      <c r="D3057" t="s">
        <v>151</v>
      </c>
      <c r="E3057">
        <v>8</v>
      </c>
      <c r="H3057">
        <v>225</v>
      </c>
      <c r="I3057" t="s">
        <v>353</v>
      </c>
      <c r="J3057" t="s">
        <v>150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694"/>
        <v>14:56:32.047</v>
      </c>
      <c r="T3057" t="str">
        <f t="shared" si="1695"/>
        <v>14:56:31.647</v>
      </c>
      <c r="U3057" t="str">
        <f t="shared" si="1668"/>
        <v>ACC530</v>
      </c>
      <c r="V3057">
        <v>0</v>
      </c>
      <c r="W3057">
        <v>0</v>
      </c>
      <c r="X3057">
        <v>1</v>
      </c>
      <c r="Z3057">
        <v>0</v>
      </c>
      <c r="AA3057">
        <v>9</v>
      </c>
      <c r="AB3057">
        <v>3</v>
      </c>
      <c r="AC3057">
        <v>0</v>
      </c>
      <c r="AD3057">
        <v>9</v>
      </c>
      <c r="AE3057">
        <v>0</v>
      </c>
      <c r="AF3057">
        <v>3</v>
      </c>
      <c r="AG3057">
        <v>1</v>
      </c>
      <c r="AH3057">
        <v>0</v>
      </c>
      <c r="AI3057" t="s">
        <v>1027</v>
      </c>
      <c r="AJ3057">
        <v>34.106777000000001</v>
      </c>
      <c r="AK3057" t="s">
        <v>1028</v>
      </c>
      <c r="AL3057">
        <v>-117.051086</v>
      </c>
      <c r="AM3057">
        <v>100</v>
      </c>
      <c r="AN3057">
        <v>6000</v>
      </c>
      <c r="AO3057" t="s">
        <v>118</v>
      </c>
      <c r="AP3057">
        <v>46</v>
      </c>
      <c r="AQ3057">
        <v>-96</v>
      </c>
      <c r="AR3057">
        <v>-384</v>
      </c>
      <c r="AZ3057">
        <v>1200</v>
      </c>
      <c r="BA3057">
        <v>1</v>
      </c>
      <c r="BB3057" t="str">
        <f t="shared" si="1673"/>
        <v xml:space="preserve">N9217B  </v>
      </c>
      <c r="BC3057">
        <v>1</v>
      </c>
      <c r="BE3057">
        <v>0</v>
      </c>
      <c r="BF3057">
        <v>0</v>
      </c>
      <c r="BG3057">
        <v>0</v>
      </c>
      <c r="BH3057">
        <v>5850</v>
      </c>
      <c r="BI3057">
        <v>1</v>
      </c>
      <c r="BJ3057">
        <v>0</v>
      </c>
      <c r="BK3057">
        <v>0</v>
      </c>
      <c r="BL3057">
        <v>0</v>
      </c>
      <c r="BO3057">
        <v>0</v>
      </c>
      <c r="BP3057">
        <v>0</v>
      </c>
      <c r="BW3057" t="str">
        <f t="shared" si="1696"/>
        <v>14:56:32.049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119</v>
      </c>
      <c r="CQ3057">
        <v>285</v>
      </c>
      <c r="CR3057">
        <v>0</v>
      </c>
      <c r="CW3057">
        <v>8874194</v>
      </c>
      <c r="CY3057">
        <v>0</v>
      </c>
      <c r="CZ3057">
        <v>0</v>
      </c>
      <c r="DA3057">
        <v>1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25">
      <c r="A3058" t="str">
        <f t="shared" si="1693"/>
        <v>06/05/2020 14:56:26.390</v>
      </c>
      <c r="C3058" t="str">
        <f t="shared" si="1688"/>
        <v>FFDFD3C0</v>
      </c>
      <c r="D3058" t="s">
        <v>151</v>
      </c>
      <c r="E3058">
        <v>9</v>
      </c>
      <c r="H3058">
        <v>226</v>
      </c>
      <c r="I3058" t="s">
        <v>152</v>
      </c>
      <c r="J3058" t="s">
        <v>150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694"/>
        <v>14:56:32.047</v>
      </c>
      <c r="T3058" t="str">
        <f t="shared" si="1695"/>
        <v>14:56:31.647</v>
      </c>
      <c r="U3058" t="str">
        <f t="shared" si="1668"/>
        <v>ACC530</v>
      </c>
      <c r="V3058">
        <v>0</v>
      </c>
      <c r="W3058">
        <v>0</v>
      </c>
      <c r="X3058">
        <v>1</v>
      </c>
      <c r="Z3058">
        <v>0</v>
      </c>
      <c r="AA3058">
        <v>9</v>
      </c>
      <c r="AB3058">
        <v>3</v>
      </c>
      <c r="AC3058">
        <v>0</v>
      </c>
      <c r="AD3058">
        <v>9</v>
      </c>
      <c r="AE3058">
        <v>0</v>
      </c>
      <c r="AF3058">
        <v>3</v>
      </c>
      <c r="AG3058">
        <v>1</v>
      </c>
      <c r="AH3058">
        <v>0</v>
      </c>
      <c r="AI3058" t="s">
        <v>1027</v>
      </c>
      <c r="AJ3058">
        <v>34.106777000000001</v>
      </c>
      <c r="AK3058" t="s">
        <v>1028</v>
      </c>
      <c r="AL3058">
        <v>-117.051086</v>
      </c>
      <c r="AM3058">
        <v>100</v>
      </c>
      <c r="AN3058">
        <v>6000</v>
      </c>
      <c r="AO3058" t="s">
        <v>118</v>
      </c>
      <c r="AP3058">
        <v>46</v>
      </c>
      <c r="AQ3058">
        <v>-96</v>
      </c>
      <c r="AR3058">
        <v>-384</v>
      </c>
      <c r="AZ3058">
        <v>1200</v>
      </c>
      <c r="BA3058">
        <v>1</v>
      </c>
      <c r="BB3058" t="str">
        <f t="shared" si="1673"/>
        <v xml:space="preserve">N9217B  </v>
      </c>
      <c r="BC3058">
        <v>1</v>
      </c>
      <c r="BE3058">
        <v>0</v>
      </c>
      <c r="BF3058">
        <v>0</v>
      </c>
      <c r="BG3058">
        <v>0</v>
      </c>
      <c r="BH3058">
        <v>5850</v>
      </c>
      <c r="BI3058">
        <v>1</v>
      </c>
      <c r="BJ3058">
        <v>0</v>
      </c>
      <c r="BK3058">
        <v>0</v>
      </c>
      <c r="BL3058">
        <v>0</v>
      </c>
      <c r="BO3058">
        <v>0</v>
      </c>
      <c r="BP3058">
        <v>0</v>
      </c>
      <c r="BW3058" t="str">
        <f t="shared" si="1696"/>
        <v>14:56:32.049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119</v>
      </c>
      <c r="CQ3058">
        <v>285</v>
      </c>
      <c r="CR3058">
        <v>0</v>
      </c>
      <c r="CW3058">
        <v>8874194</v>
      </c>
      <c r="CY3058">
        <v>0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25">
      <c r="A3059" t="str">
        <f t="shared" si="1693"/>
        <v>06/05/2020 14:56:26.390</v>
      </c>
      <c r="C3059" t="str">
        <f t="shared" si="1688"/>
        <v>FFDFD3C0</v>
      </c>
      <c r="D3059" t="s">
        <v>134</v>
      </c>
      <c r="E3059">
        <v>7</v>
      </c>
      <c r="F3059">
        <v>2007</v>
      </c>
      <c r="G3059" t="s">
        <v>135</v>
      </c>
      <c r="J3059" t="s">
        <v>136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694"/>
        <v>14:56:32.047</v>
      </c>
      <c r="T3059" t="str">
        <f t="shared" si="1695"/>
        <v>14:56:31.647</v>
      </c>
      <c r="U3059" t="str">
        <f t="shared" si="1668"/>
        <v>ACC530</v>
      </c>
      <c r="V3059">
        <v>0</v>
      </c>
      <c r="W3059">
        <v>0</v>
      </c>
      <c r="X3059">
        <v>1</v>
      </c>
      <c r="Z3059">
        <v>0</v>
      </c>
      <c r="AA3059">
        <v>9</v>
      </c>
      <c r="AB3059">
        <v>3</v>
      </c>
      <c r="AC3059">
        <v>0</v>
      </c>
      <c r="AD3059">
        <v>9</v>
      </c>
      <c r="AE3059">
        <v>0</v>
      </c>
      <c r="AF3059">
        <v>3</v>
      </c>
      <c r="AG3059">
        <v>1</v>
      </c>
      <c r="AH3059">
        <v>0</v>
      </c>
      <c r="AI3059" t="s">
        <v>1027</v>
      </c>
      <c r="AJ3059">
        <v>34.106777000000001</v>
      </c>
      <c r="AK3059" t="s">
        <v>1028</v>
      </c>
      <c r="AL3059">
        <v>-117.051086</v>
      </c>
      <c r="AM3059">
        <v>100</v>
      </c>
      <c r="AN3059">
        <v>6000</v>
      </c>
      <c r="AO3059" t="s">
        <v>118</v>
      </c>
      <c r="AP3059">
        <v>46</v>
      </c>
      <c r="AQ3059">
        <v>-96</v>
      </c>
      <c r="AR3059">
        <v>-384</v>
      </c>
      <c r="AZ3059">
        <v>1200</v>
      </c>
      <c r="BA3059">
        <v>1</v>
      </c>
      <c r="BB3059" t="str">
        <f t="shared" si="1673"/>
        <v xml:space="preserve">N9217B  </v>
      </c>
      <c r="BC3059">
        <v>1</v>
      </c>
      <c r="BE3059">
        <v>0</v>
      </c>
      <c r="BF3059">
        <v>0</v>
      </c>
      <c r="BG3059">
        <v>0</v>
      </c>
      <c r="BH3059">
        <v>5850</v>
      </c>
      <c r="BI3059">
        <v>1</v>
      </c>
      <c r="BJ3059">
        <v>0</v>
      </c>
      <c r="BK3059">
        <v>0</v>
      </c>
      <c r="BL3059">
        <v>0</v>
      </c>
      <c r="BO3059">
        <v>0</v>
      </c>
      <c r="BP3059">
        <v>0</v>
      </c>
      <c r="BW3059" t="str">
        <f t="shared" si="1696"/>
        <v>14:56:32.049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119</v>
      </c>
      <c r="CQ3059">
        <v>285</v>
      </c>
      <c r="CR3059">
        <v>0</v>
      </c>
      <c r="CW3059">
        <v>8874194</v>
      </c>
      <c r="CY3059">
        <v>0</v>
      </c>
      <c r="CZ3059">
        <v>0</v>
      </c>
      <c r="DA3059">
        <v>1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25">
      <c r="A3060" t="str">
        <f t="shared" ref="A3060:A3066" si="1697">"06/05/2020 14:56:27.381"</f>
        <v>06/05/2020 14:56:27.381</v>
      </c>
      <c r="C3060" t="str">
        <f t="shared" si="1688"/>
        <v>FFDFD3C0</v>
      </c>
      <c r="D3060" t="s">
        <v>151</v>
      </c>
      <c r="E3060">
        <v>9</v>
      </c>
      <c r="H3060">
        <v>226</v>
      </c>
      <c r="I3060" t="s">
        <v>152</v>
      </c>
      <c r="J3060" t="s">
        <v>150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ref="S3060:S3066" si="1698">"14:56:33.023"</f>
        <v>14:56:33.023</v>
      </c>
      <c r="T3060" t="str">
        <f t="shared" ref="T3060:T3066" si="1699">"14:56:32.623"</f>
        <v>14:56:32.623</v>
      </c>
      <c r="U3060" t="str">
        <f t="shared" si="1668"/>
        <v>ACC530</v>
      </c>
      <c r="V3060">
        <v>0</v>
      </c>
      <c r="W3060">
        <v>0</v>
      </c>
      <c r="X3060">
        <v>1</v>
      </c>
      <c r="Z3060">
        <v>0</v>
      </c>
      <c r="AA3060">
        <v>9</v>
      </c>
      <c r="AB3060">
        <v>3</v>
      </c>
      <c r="AC3060">
        <v>0</v>
      </c>
      <c r="AD3060">
        <v>9</v>
      </c>
      <c r="AE3060">
        <v>0</v>
      </c>
      <c r="AF3060">
        <v>3</v>
      </c>
      <c r="AG3060">
        <v>1</v>
      </c>
      <c r="AH3060">
        <v>0</v>
      </c>
      <c r="AI3060" t="s">
        <v>1029</v>
      </c>
      <c r="AJ3060">
        <v>34.106347999999997</v>
      </c>
      <c r="AK3060" t="s">
        <v>1030</v>
      </c>
      <c r="AL3060">
        <v>-117.05085</v>
      </c>
      <c r="AM3060">
        <v>100</v>
      </c>
      <c r="AN3060">
        <v>6000</v>
      </c>
      <c r="AO3060" t="s">
        <v>118</v>
      </c>
      <c r="AP3060">
        <v>47</v>
      </c>
      <c r="AQ3060">
        <v>-95</v>
      </c>
      <c r="AR3060">
        <v>-448</v>
      </c>
      <c r="AZ3060">
        <v>1200</v>
      </c>
      <c r="BA3060">
        <v>1</v>
      </c>
      <c r="BB3060" t="str">
        <f t="shared" si="1673"/>
        <v xml:space="preserve">N9217B  </v>
      </c>
      <c r="BC3060">
        <v>1</v>
      </c>
      <c r="BE3060">
        <v>0</v>
      </c>
      <c r="BF3060">
        <v>0</v>
      </c>
      <c r="BG3060">
        <v>0</v>
      </c>
      <c r="BH3060">
        <v>5825</v>
      </c>
      <c r="BI3060">
        <v>1</v>
      </c>
      <c r="BJ3060">
        <v>0</v>
      </c>
      <c r="BK3060">
        <v>0</v>
      </c>
      <c r="BL3060">
        <v>0</v>
      </c>
      <c r="BO3060">
        <v>0</v>
      </c>
      <c r="BP3060">
        <v>0</v>
      </c>
      <c r="BW3060" t="str">
        <f t="shared" ref="BW3060:BW3066" si="1700">"14:56:33.024"</f>
        <v>14:56:33.024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119</v>
      </c>
      <c r="CQ3060">
        <v>285</v>
      </c>
      <c r="CR3060">
        <v>0</v>
      </c>
      <c r="CW3060">
        <v>8874283</v>
      </c>
      <c r="CY3060">
        <v>0</v>
      </c>
      <c r="CZ3060">
        <v>0</v>
      </c>
      <c r="DA3060">
        <v>0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25">
      <c r="A3061" t="str">
        <f t="shared" si="1697"/>
        <v>06/05/2020 14:56:27.381</v>
      </c>
      <c r="C3061" t="str">
        <f t="shared" si="1688"/>
        <v>FFDFD3C0</v>
      </c>
      <c r="D3061" t="s">
        <v>134</v>
      </c>
      <c r="E3061">
        <v>7</v>
      </c>
      <c r="F3061">
        <v>2007</v>
      </c>
      <c r="G3061" t="s">
        <v>135</v>
      </c>
      <c r="J3061" t="s">
        <v>136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698"/>
        <v>14:56:33.023</v>
      </c>
      <c r="T3061" t="str">
        <f t="shared" si="1699"/>
        <v>14:56:32.623</v>
      </c>
      <c r="U3061" t="str">
        <f t="shared" si="1668"/>
        <v>ACC530</v>
      </c>
      <c r="V3061">
        <v>0</v>
      </c>
      <c r="W3061">
        <v>0</v>
      </c>
      <c r="X3061">
        <v>1</v>
      </c>
      <c r="Z3061">
        <v>0</v>
      </c>
      <c r="AA3061">
        <v>9</v>
      </c>
      <c r="AB3061">
        <v>3</v>
      </c>
      <c r="AC3061">
        <v>0</v>
      </c>
      <c r="AD3061">
        <v>9</v>
      </c>
      <c r="AE3061">
        <v>0</v>
      </c>
      <c r="AF3061">
        <v>3</v>
      </c>
      <c r="AG3061">
        <v>1</v>
      </c>
      <c r="AH3061">
        <v>0</v>
      </c>
      <c r="AI3061" t="s">
        <v>1029</v>
      </c>
      <c r="AJ3061">
        <v>34.106347999999997</v>
      </c>
      <c r="AK3061" t="s">
        <v>1030</v>
      </c>
      <c r="AL3061">
        <v>-117.05085</v>
      </c>
      <c r="AM3061">
        <v>100</v>
      </c>
      <c r="AN3061">
        <v>6000</v>
      </c>
      <c r="AO3061" t="s">
        <v>118</v>
      </c>
      <c r="AP3061">
        <v>47</v>
      </c>
      <c r="AQ3061">
        <v>-95</v>
      </c>
      <c r="AR3061">
        <v>-448</v>
      </c>
      <c r="AZ3061">
        <v>1200</v>
      </c>
      <c r="BA3061">
        <v>1</v>
      </c>
      <c r="BB3061" t="str">
        <f t="shared" si="1673"/>
        <v xml:space="preserve">N9217B  </v>
      </c>
      <c r="BC3061">
        <v>1</v>
      </c>
      <c r="BE3061">
        <v>0</v>
      </c>
      <c r="BF3061">
        <v>0</v>
      </c>
      <c r="BG3061">
        <v>0</v>
      </c>
      <c r="BH3061">
        <v>5825</v>
      </c>
      <c r="BI3061">
        <v>1</v>
      </c>
      <c r="BJ3061">
        <v>0</v>
      </c>
      <c r="BK3061">
        <v>0</v>
      </c>
      <c r="BL3061">
        <v>0</v>
      </c>
      <c r="BO3061">
        <v>0</v>
      </c>
      <c r="BP3061">
        <v>0</v>
      </c>
      <c r="BW3061" t="str">
        <f t="shared" si="1700"/>
        <v>14:56:33.024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119</v>
      </c>
      <c r="CQ3061">
        <v>285</v>
      </c>
      <c r="CR3061">
        <v>0</v>
      </c>
      <c r="CW3061">
        <v>8874283</v>
      </c>
      <c r="CY3061">
        <v>0</v>
      </c>
      <c r="CZ3061">
        <v>0</v>
      </c>
      <c r="DA3061">
        <v>1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25">
      <c r="A3062" t="str">
        <f t="shared" si="1697"/>
        <v>06/05/2020 14:56:27.381</v>
      </c>
      <c r="C3062" t="str">
        <f t="shared" si="1688"/>
        <v>FFDFD3C0</v>
      </c>
      <c r="D3062" t="s">
        <v>148</v>
      </c>
      <c r="E3062">
        <v>11</v>
      </c>
      <c r="H3062">
        <v>53</v>
      </c>
      <c r="I3062" t="s">
        <v>364</v>
      </c>
      <c r="J3062" t="s">
        <v>150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698"/>
        <v>14:56:33.023</v>
      </c>
      <c r="T3062" t="str">
        <f t="shared" si="1699"/>
        <v>14:56:32.623</v>
      </c>
      <c r="U3062" t="str">
        <f t="shared" si="1668"/>
        <v>ACC530</v>
      </c>
      <c r="V3062">
        <v>0</v>
      </c>
      <c r="W3062">
        <v>0</v>
      </c>
      <c r="X3062">
        <v>1</v>
      </c>
      <c r="Z3062">
        <v>0</v>
      </c>
      <c r="AA3062">
        <v>9</v>
      </c>
      <c r="AB3062">
        <v>3</v>
      </c>
      <c r="AC3062">
        <v>0</v>
      </c>
      <c r="AD3062">
        <v>9</v>
      </c>
      <c r="AE3062">
        <v>0</v>
      </c>
      <c r="AF3062">
        <v>3</v>
      </c>
      <c r="AG3062">
        <v>1</v>
      </c>
      <c r="AH3062">
        <v>0</v>
      </c>
      <c r="AI3062" t="s">
        <v>1029</v>
      </c>
      <c r="AJ3062">
        <v>34.106347999999997</v>
      </c>
      <c r="AK3062" t="s">
        <v>1030</v>
      </c>
      <c r="AL3062">
        <v>-117.05085</v>
      </c>
      <c r="AM3062">
        <v>100</v>
      </c>
      <c r="AN3062">
        <v>6000</v>
      </c>
      <c r="AO3062" t="s">
        <v>118</v>
      </c>
      <c r="AP3062">
        <v>47</v>
      </c>
      <c r="AQ3062">
        <v>-95</v>
      </c>
      <c r="AR3062">
        <v>-448</v>
      </c>
      <c r="AZ3062">
        <v>1200</v>
      </c>
      <c r="BA3062">
        <v>1</v>
      </c>
      <c r="BB3062" t="str">
        <f t="shared" si="1673"/>
        <v xml:space="preserve">N9217B  </v>
      </c>
      <c r="BC3062">
        <v>1</v>
      </c>
      <c r="BE3062">
        <v>0</v>
      </c>
      <c r="BF3062">
        <v>0</v>
      </c>
      <c r="BG3062">
        <v>0</v>
      </c>
      <c r="BH3062">
        <v>5825</v>
      </c>
      <c r="BI3062">
        <v>1</v>
      </c>
      <c r="BJ3062">
        <v>0</v>
      </c>
      <c r="BK3062">
        <v>0</v>
      </c>
      <c r="BL3062">
        <v>0</v>
      </c>
      <c r="BO3062">
        <v>0</v>
      </c>
      <c r="BP3062">
        <v>0</v>
      </c>
      <c r="BW3062" t="str">
        <f t="shared" si="1700"/>
        <v>14:56:33.024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7</v>
      </c>
      <c r="CP3062" t="s">
        <v>119</v>
      </c>
      <c r="CQ3062">
        <v>285</v>
      </c>
      <c r="CR3062">
        <v>0</v>
      </c>
      <c r="CW3062">
        <v>8874283</v>
      </c>
      <c r="CY3062">
        <v>0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25">
      <c r="A3063" t="str">
        <f t="shared" si="1697"/>
        <v>06/05/2020 14:56:27.381</v>
      </c>
      <c r="C3063" t="str">
        <f t="shared" si="1688"/>
        <v>FFDFD3C0</v>
      </c>
      <c r="D3063" t="s">
        <v>113</v>
      </c>
      <c r="E3063">
        <v>3</v>
      </c>
      <c r="H3063">
        <v>166</v>
      </c>
      <c r="I3063" t="s">
        <v>114</v>
      </c>
      <c r="J3063" t="s">
        <v>115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si="1698"/>
        <v>14:56:33.023</v>
      </c>
      <c r="T3063" t="str">
        <f t="shared" si="1699"/>
        <v>14:56:32.623</v>
      </c>
      <c r="U3063" t="str">
        <f t="shared" si="1668"/>
        <v>ACC530</v>
      </c>
      <c r="V3063">
        <v>0</v>
      </c>
      <c r="W3063">
        <v>0</v>
      </c>
      <c r="X3063">
        <v>1</v>
      </c>
      <c r="Z3063">
        <v>0</v>
      </c>
      <c r="AA3063">
        <v>9</v>
      </c>
      <c r="AB3063">
        <v>3</v>
      </c>
      <c r="AC3063">
        <v>0</v>
      </c>
      <c r="AD3063">
        <v>9</v>
      </c>
      <c r="AE3063">
        <v>0</v>
      </c>
      <c r="AF3063">
        <v>3</v>
      </c>
      <c r="AG3063">
        <v>1</v>
      </c>
      <c r="AH3063">
        <v>0</v>
      </c>
      <c r="AI3063" t="s">
        <v>1029</v>
      </c>
      <c r="AJ3063">
        <v>34.106347999999997</v>
      </c>
      <c r="AK3063" t="s">
        <v>1030</v>
      </c>
      <c r="AL3063">
        <v>-117.05085</v>
      </c>
      <c r="AM3063">
        <v>100</v>
      </c>
      <c r="AN3063">
        <v>6000</v>
      </c>
      <c r="AO3063" t="s">
        <v>118</v>
      </c>
      <c r="AP3063">
        <v>47</v>
      </c>
      <c r="AQ3063">
        <v>-95</v>
      </c>
      <c r="AR3063">
        <v>-448</v>
      </c>
      <c r="AZ3063">
        <v>1200</v>
      </c>
      <c r="BA3063">
        <v>1</v>
      </c>
      <c r="BB3063" t="str">
        <f t="shared" si="1673"/>
        <v xml:space="preserve">N9217B  </v>
      </c>
      <c r="BC3063">
        <v>1</v>
      </c>
      <c r="BE3063">
        <v>0</v>
      </c>
      <c r="BF3063">
        <v>0</v>
      </c>
      <c r="BG3063">
        <v>0</v>
      </c>
      <c r="BH3063">
        <v>5825</v>
      </c>
      <c r="BI3063">
        <v>1</v>
      </c>
      <c r="BJ3063">
        <v>0</v>
      </c>
      <c r="BK3063">
        <v>0</v>
      </c>
      <c r="BL3063">
        <v>0</v>
      </c>
      <c r="BO3063">
        <v>0</v>
      </c>
      <c r="BP3063">
        <v>0</v>
      </c>
      <c r="BW3063" t="str">
        <f t="shared" si="1700"/>
        <v>14:56:33.024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119</v>
      </c>
      <c r="CQ3063">
        <v>285</v>
      </c>
      <c r="CR3063">
        <v>0</v>
      </c>
      <c r="CW3063">
        <v>8874283</v>
      </c>
      <c r="CY3063">
        <v>0</v>
      </c>
      <c r="CZ3063">
        <v>0</v>
      </c>
      <c r="DA3063">
        <v>1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25">
      <c r="A3064" t="str">
        <f t="shared" si="1697"/>
        <v>06/05/2020 14:56:27.381</v>
      </c>
      <c r="C3064" t="str">
        <f t="shared" si="1688"/>
        <v>FFDFD3C0</v>
      </c>
      <c r="D3064" t="s">
        <v>148</v>
      </c>
      <c r="E3064">
        <v>8</v>
      </c>
      <c r="H3064">
        <v>50</v>
      </c>
      <c r="I3064" t="s">
        <v>149</v>
      </c>
      <c r="J3064" t="s">
        <v>150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698"/>
        <v>14:56:33.023</v>
      </c>
      <c r="T3064" t="str">
        <f t="shared" si="1699"/>
        <v>14:56:32.623</v>
      </c>
      <c r="U3064" t="str">
        <f t="shared" si="1668"/>
        <v>ACC530</v>
      </c>
      <c r="V3064">
        <v>0</v>
      </c>
      <c r="W3064">
        <v>0</v>
      </c>
      <c r="X3064">
        <v>1</v>
      </c>
      <c r="Z3064">
        <v>0</v>
      </c>
      <c r="AA3064">
        <v>9</v>
      </c>
      <c r="AB3064">
        <v>3</v>
      </c>
      <c r="AC3064">
        <v>0</v>
      </c>
      <c r="AD3064">
        <v>9</v>
      </c>
      <c r="AE3064">
        <v>0</v>
      </c>
      <c r="AF3064">
        <v>3</v>
      </c>
      <c r="AG3064">
        <v>1</v>
      </c>
      <c r="AH3064">
        <v>0</v>
      </c>
      <c r="AI3064" t="s">
        <v>1029</v>
      </c>
      <c r="AJ3064">
        <v>34.106347999999997</v>
      </c>
      <c r="AK3064" t="s">
        <v>1030</v>
      </c>
      <c r="AL3064">
        <v>-117.05085</v>
      </c>
      <c r="AM3064">
        <v>100</v>
      </c>
      <c r="AN3064">
        <v>6000</v>
      </c>
      <c r="AO3064" t="s">
        <v>118</v>
      </c>
      <c r="AP3064">
        <v>47</v>
      </c>
      <c r="AQ3064">
        <v>-95</v>
      </c>
      <c r="AR3064">
        <v>-448</v>
      </c>
      <c r="AZ3064">
        <v>1200</v>
      </c>
      <c r="BA3064">
        <v>1</v>
      </c>
      <c r="BB3064" t="str">
        <f t="shared" si="1673"/>
        <v xml:space="preserve">N9217B  </v>
      </c>
      <c r="BC3064">
        <v>1</v>
      </c>
      <c r="BE3064">
        <v>0</v>
      </c>
      <c r="BF3064">
        <v>0</v>
      </c>
      <c r="BG3064">
        <v>0</v>
      </c>
      <c r="BH3064">
        <v>5825</v>
      </c>
      <c r="BI3064">
        <v>1</v>
      </c>
      <c r="BJ3064">
        <v>0</v>
      </c>
      <c r="BK3064">
        <v>0</v>
      </c>
      <c r="BL3064">
        <v>0</v>
      </c>
      <c r="BO3064">
        <v>0</v>
      </c>
      <c r="BP3064">
        <v>0</v>
      </c>
      <c r="BW3064" t="str">
        <f t="shared" si="1700"/>
        <v>14:56:33.024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119</v>
      </c>
      <c r="CQ3064">
        <v>285</v>
      </c>
      <c r="CR3064">
        <v>0</v>
      </c>
      <c r="CW3064">
        <v>8874283</v>
      </c>
      <c r="CY3064">
        <v>0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25">
      <c r="A3065" t="str">
        <f t="shared" si="1697"/>
        <v>06/05/2020 14:56:27.381</v>
      </c>
      <c r="C3065" t="str">
        <f t="shared" si="1688"/>
        <v>FFDFD3C0</v>
      </c>
      <c r="D3065" t="s">
        <v>141</v>
      </c>
      <c r="E3065">
        <v>20</v>
      </c>
      <c r="F3065">
        <v>1020</v>
      </c>
      <c r="G3065" t="s">
        <v>114</v>
      </c>
      <c r="J3065" t="s">
        <v>142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698"/>
        <v>14:56:33.023</v>
      </c>
      <c r="T3065" t="str">
        <f t="shared" si="1699"/>
        <v>14:56:32.623</v>
      </c>
      <c r="U3065" t="str">
        <f t="shared" si="1668"/>
        <v>ACC530</v>
      </c>
      <c r="V3065">
        <v>0</v>
      </c>
      <c r="W3065">
        <v>0</v>
      </c>
      <c r="X3065">
        <v>1</v>
      </c>
      <c r="Z3065">
        <v>0</v>
      </c>
      <c r="AA3065">
        <v>9</v>
      </c>
      <c r="AB3065">
        <v>3</v>
      </c>
      <c r="AC3065">
        <v>0</v>
      </c>
      <c r="AD3065">
        <v>9</v>
      </c>
      <c r="AE3065">
        <v>0</v>
      </c>
      <c r="AF3065">
        <v>3</v>
      </c>
      <c r="AG3065">
        <v>1</v>
      </c>
      <c r="AH3065">
        <v>0</v>
      </c>
      <c r="AI3065" t="s">
        <v>1029</v>
      </c>
      <c r="AJ3065">
        <v>34.106347999999997</v>
      </c>
      <c r="AK3065" t="s">
        <v>1030</v>
      </c>
      <c r="AL3065">
        <v>-117.05085</v>
      </c>
      <c r="AM3065">
        <v>100</v>
      </c>
      <c r="AN3065">
        <v>6000</v>
      </c>
      <c r="AO3065" t="s">
        <v>118</v>
      </c>
      <c r="AP3065">
        <v>47</v>
      </c>
      <c r="AQ3065">
        <v>-95</v>
      </c>
      <c r="AR3065">
        <v>-448</v>
      </c>
      <c r="AZ3065">
        <v>1200</v>
      </c>
      <c r="BA3065">
        <v>1</v>
      </c>
      <c r="BB3065" t="str">
        <f t="shared" si="1673"/>
        <v xml:space="preserve">N9217B  </v>
      </c>
      <c r="BC3065">
        <v>1</v>
      </c>
      <c r="BE3065">
        <v>0</v>
      </c>
      <c r="BF3065">
        <v>0</v>
      </c>
      <c r="BG3065">
        <v>0</v>
      </c>
      <c r="BH3065">
        <v>5825</v>
      </c>
      <c r="BI3065">
        <v>1</v>
      </c>
      <c r="BJ3065">
        <v>0</v>
      </c>
      <c r="BK3065">
        <v>0</v>
      </c>
      <c r="BL3065">
        <v>0</v>
      </c>
      <c r="BO3065">
        <v>0</v>
      </c>
      <c r="BP3065">
        <v>0</v>
      </c>
      <c r="BW3065" t="str">
        <f t="shared" si="1700"/>
        <v>14:56:33.024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119</v>
      </c>
      <c r="CQ3065">
        <v>285</v>
      </c>
      <c r="CR3065">
        <v>0</v>
      </c>
      <c r="CW3065">
        <v>8874283</v>
      </c>
      <c r="CY3065">
        <v>0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25">
      <c r="A3066" t="str">
        <f t="shared" si="1697"/>
        <v>06/05/2020 14:56:27.381</v>
      </c>
      <c r="C3066" t="str">
        <f t="shared" si="1688"/>
        <v>FFDFD3C0</v>
      </c>
      <c r="D3066" t="s">
        <v>151</v>
      </c>
      <c r="E3066">
        <v>8</v>
      </c>
      <c r="H3066">
        <v>225</v>
      </c>
      <c r="I3066" t="s">
        <v>353</v>
      </c>
      <c r="J3066" t="s">
        <v>150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698"/>
        <v>14:56:33.023</v>
      </c>
      <c r="T3066" t="str">
        <f t="shared" si="1699"/>
        <v>14:56:32.623</v>
      </c>
      <c r="U3066" t="str">
        <f t="shared" si="1668"/>
        <v>ACC530</v>
      </c>
      <c r="V3066">
        <v>0</v>
      </c>
      <c r="W3066">
        <v>0</v>
      </c>
      <c r="X3066">
        <v>1</v>
      </c>
      <c r="Z3066">
        <v>0</v>
      </c>
      <c r="AA3066">
        <v>9</v>
      </c>
      <c r="AB3066">
        <v>3</v>
      </c>
      <c r="AC3066">
        <v>0</v>
      </c>
      <c r="AD3066">
        <v>9</v>
      </c>
      <c r="AE3066">
        <v>0</v>
      </c>
      <c r="AF3066">
        <v>3</v>
      </c>
      <c r="AG3066">
        <v>1</v>
      </c>
      <c r="AH3066">
        <v>0</v>
      </c>
      <c r="AI3066" t="s">
        <v>1029</v>
      </c>
      <c r="AJ3066">
        <v>34.106347999999997</v>
      </c>
      <c r="AK3066" t="s">
        <v>1030</v>
      </c>
      <c r="AL3066">
        <v>-117.05085</v>
      </c>
      <c r="AM3066">
        <v>100</v>
      </c>
      <c r="AN3066">
        <v>6000</v>
      </c>
      <c r="AO3066" t="s">
        <v>118</v>
      </c>
      <c r="AP3066">
        <v>47</v>
      </c>
      <c r="AQ3066">
        <v>-95</v>
      </c>
      <c r="AR3066">
        <v>-448</v>
      </c>
      <c r="AZ3066">
        <v>1200</v>
      </c>
      <c r="BA3066">
        <v>1</v>
      </c>
      <c r="BB3066" t="str">
        <f t="shared" si="1673"/>
        <v xml:space="preserve">N9217B  </v>
      </c>
      <c r="BC3066">
        <v>1</v>
      </c>
      <c r="BE3066">
        <v>0</v>
      </c>
      <c r="BF3066">
        <v>0</v>
      </c>
      <c r="BG3066">
        <v>0</v>
      </c>
      <c r="BH3066">
        <v>5825</v>
      </c>
      <c r="BI3066">
        <v>1</v>
      </c>
      <c r="BJ3066">
        <v>0</v>
      </c>
      <c r="BK3066">
        <v>0</v>
      </c>
      <c r="BL3066">
        <v>0</v>
      </c>
      <c r="BO3066">
        <v>0</v>
      </c>
      <c r="BP3066">
        <v>0</v>
      </c>
      <c r="BW3066" t="str">
        <f t="shared" si="1700"/>
        <v>14:56:33.024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119</v>
      </c>
      <c r="CQ3066">
        <v>285</v>
      </c>
      <c r="CR3066">
        <v>0</v>
      </c>
      <c r="CW3066">
        <v>8874283</v>
      </c>
      <c r="CY3066">
        <v>0</v>
      </c>
      <c r="CZ3066">
        <v>0</v>
      </c>
      <c r="DA3066">
        <v>1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25">
      <c r="A3067" t="str">
        <f t="shared" ref="A3067:A3073" si="1701">"06/05/2020 14:56:28.548"</f>
        <v>06/05/2020 14:56:28.548</v>
      </c>
      <c r="C3067" t="str">
        <f t="shared" si="1688"/>
        <v>FFDFD3C0</v>
      </c>
      <c r="D3067" t="s">
        <v>134</v>
      </c>
      <c r="E3067">
        <v>7</v>
      </c>
      <c r="F3067">
        <v>2007</v>
      </c>
      <c r="G3067" t="s">
        <v>135</v>
      </c>
      <c r="J3067" t="s">
        <v>136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ref="S3067:T3073" si="1702">"14:56:34.172"</f>
        <v>14:56:34.172</v>
      </c>
      <c r="T3067" t="str">
        <f t="shared" si="1702"/>
        <v>14:56:34.172</v>
      </c>
      <c r="U3067" t="str">
        <f t="shared" si="1668"/>
        <v>ACC530</v>
      </c>
      <c r="V3067">
        <v>0</v>
      </c>
      <c r="W3067">
        <v>0</v>
      </c>
      <c r="X3067">
        <v>1</v>
      </c>
      <c r="Z3067">
        <v>0</v>
      </c>
      <c r="AA3067">
        <v>9</v>
      </c>
      <c r="AB3067">
        <v>3</v>
      </c>
      <c r="AC3067">
        <v>0</v>
      </c>
      <c r="AD3067">
        <v>9</v>
      </c>
      <c r="AE3067">
        <v>0</v>
      </c>
      <c r="AF3067">
        <v>3</v>
      </c>
      <c r="AG3067">
        <v>1</v>
      </c>
      <c r="AH3067">
        <v>0</v>
      </c>
      <c r="AI3067" t="s">
        <v>1031</v>
      </c>
      <c r="AJ3067">
        <v>34.105896999999999</v>
      </c>
      <c r="AK3067" t="s">
        <v>1032</v>
      </c>
      <c r="AL3067">
        <v>-117.050507</v>
      </c>
      <c r="AM3067">
        <v>100</v>
      </c>
      <c r="AN3067">
        <v>5900</v>
      </c>
      <c r="AO3067" t="s">
        <v>118</v>
      </c>
      <c r="AP3067">
        <v>49</v>
      </c>
      <c r="AQ3067">
        <v>-94</v>
      </c>
      <c r="AR3067">
        <v>-512</v>
      </c>
      <c r="AZ3067">
        <v>1200</v>
      </c>
      <c r="BA3067">
        <v>1</v>
      </c>
      <c r="BB3067" t="str">
        <f t="shared" si="1673"/>
        <v xml:space="preserve">N9217B  </v>
      </c>
      <c r="BC3067">
        <v>1</v>
      </c>
      <c r="BE3067">
        <v>0</v>
      </c>
      <c r="BF3067">
        <v>0</v>
      </c>
      <c r="BG3067">
        <v>0</v>
      </c>
      <c r="BH3067">
        <v>5725</v>
      </c>
      <c r="BI3067">
        <v>1</v>
      </c>
      <c r="BJ3067">
        <v>0</v>
      </c>
      <c r="BK3067">
        <v>0</v>
      </c>
      <c r="BL3067">
        <v>0</v>
      </c>
      <c r="BO3067">
        <v>0</v>
      </c>
      <c r="BP3067">
        <v>0</v>
      </c>
      <c r="BW3067" t="str">
        <f t="shared" ref="BW3067:BW3072" si="1703">"14:56:34.179"</f>
        <v>14:56:34.179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5</v>
      </c>
      <c r="CP3067" t="s">
        <v>119</v>
      </c>
      <c r="CQ3067">
        <v>298</v>
      </c>
      <c r="CR3067">
        <v>0</v>
      </c>
      <c r="CW3067">
        <v>10451916</v>
      </c>
      <c r="CY3067">
        <v>0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25">
      <c r="A3068" t="str">
        <f t="shared" si="1701"/>
        <v>06/05/2020 14:56:28.548</v>
      </c>
      <c r="C3068" t="str">
        <f t="shared" si="1688"/>
        <v>FFDFD3C0</v>
      </c>
      <c r="D3068" t="s">
        <v>148</v>
      </c>
      <c r="E3068">
        <v>11</v>
      </c>
      <c r="H3068">
        <v>53</v>
      </c>
      <c r="I3068" t="s">
        <v>364</v>
      </c>
      <c r="J3068" t="s">
        <v>150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702"/>
        <v>14:56:34.172</v>
      </c>
      <c r="T3068" t="str">
        <f t="shared" si="1702"/>
        <v>14:56:34.172</v>
      </c>
      <c r="U3068" t="str">
        <f t="shared" si="1668"/>
        <v>ACC530</v>
      </c>
      <c r="V3068">
        <v>0</v>
      </c>
      <c r="W3068">
        <v>0</v>
      </c>
      <c r="X3068">
        <v>1</v>
      </c>
      <c r="Z3068">
        <v>0</v>
      </c>
      <c r="AA3068">
        <v>9</v>
      </c>
      <c r="AB3068">
        <v>3</v>
      </c>
      <c r="AC3068">
        <v>0</v>
      </c>
      <c r="AD3068">
        <v>9</v>
      </c>
      <c r="AE3068">
        <v>0</v>
      </c>
      <c r="AF3068">
        <v>3</v>
      </c>
      <c r="AG3068">
        <v>1</v>
      </c>
      <c r="AH3068">
        <v>0</v>
      </c>
      <c r="AI3068" t="s">
        <v>1031</v>
      </c>
      <c r="AJ3068">
        <v>34.105896999999999</v>
      </c>
      <c r="AK3068" t="s">
        <v>1032</v>
      </c>
      <c r="AL3068">
        <v>-117.050507</v>
      </c>
      <c r="AM3068">
        <v>100</v>
      </c>
      <c r="AN3068">
        <v>5900</v>
      </c>
      <c r="AO3068" t="s">
        <v>118</v>
      </c>
      <c r="AP3068">
        <v>49</v>
      </c>
      <c r="AQ3068">
        <v>-94</v>
      </c>
      <c r="AR3068">
        <v>-512</v>
      </c>
      <c r="AZ3068">
        <v>1200</v>
      </c>
      <c r="BA3068">
        <v>1</v>
      </c>
      <c r="BB3068" t="str">
        <f t="shared" si="1673"/>
        <v xml:space="preserve">N9217B  </v>
      </c>
      <c r="BC3068">
        <v>1</v>
      </c>
      <c r="BE3068">
        <v>0</v>
      </c>
      <c r="BF3068">
        <v>0</v>
      </c>
      <c r="BG3068">
        <v>0</v>
      </c>
      <c r="BH3068">
        <v>5725</v>
      </c>
      <c r="BI3068">
        <v>1</v>
      </c>
      <c r="BJ3068">
        <v>0</v>
      </c>
      <c r="BK3068">
        <v>0</v>
      </c>
      <c r="BL3068">
        <v>0</v>
      </c>
      <c r="BO3068">
        <v>0</v>
      </c>
      <c r="BP3068">
        <v>0</v>
      </c>
      <c r="BW3068" t="str">
        <f t="shared" si="1703"/>
        <v>14:56:34.179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5</v>
      </c>
      <c r="CP3068" t="s">
        <v>119</v>
      </c>
      <c r="CQ3068">
        <v>298</v>
      </c>
      <c r="CR3068">
        <v>0</v>
      </c>
      <c r="CW3068">
        <v>10451916</v>
      </c>
      <c r="CY3068">
        <v>0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25">
      <c r="A3069" t="str">
        <f t="shared" si="1701"/>
        <v>06/05/2020 14:56:28.548</v>
      </c>
      <c r="C3069" t="str">
        <f t="shared" si="1688"/>
        <v>FFDFD3C0</v>
      </c>
      <c r="D3069" t="s">
        <v>141</v>
      </c>
      <c r="E3069">
        <v>20</v>
      </c>
      <c r="F3069">
        <v>1020</v>
      </c>
      <c r="G3069" t="s">
        <v>114</v>
      </c>
      <c r="J3069" t="s">
        <v>142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702"/>
        <v>14:56:34.172</v>
      </c>
      <c r="T3069" t="str">
        <f t="shared" si="1702"/>
        <v>14:56:34.172</v>
      </c>
      <c r="U3069" t="str">
        <f t="shared" si="1668"/>
        <v>ACC530</v>
      </c>
      <c r="V3069">
        <v>0</v>
      </c>
      <c r="W3069">
        <v>0</v>
      </c>
      <c r="X3069">
        <v>1</v>
      </c>
      <c r="Z3069">
        <v>0</v>
      </c>
      <c r="AA3069">
        <v>9</v>
      </c>
      <c r="AB3069">
        <v>3</v>
      </c>
      <c r="AC3069">
        <v>0</v>
      </c>
      <c r="AD3069">
        <v>9</v>
      </c>
      <c r="AE3069">
        <v>0</v>
      </c>
      <c r="AF3069">
        <v>3</v>
      </c>
      <c r="AG3069">
        <v>1</v>
      </c>
      <c r="AH3069">
        <v>0</v>
      </c>
      <c r="AI3069" t="s">
        <v>1031</v>
      </c>
      <c r="AJ3069">
        <v>34.105896999999999</v>
      </c>
      <c r="AK3069" t="s">
        <v>1032</v>
      </c>
      <c r="AL3069">
        <v>-117.050507</v>
      </c>
      <c r="AM3069">
        <v>100</v>
      </c>
      <c r="AN3069">
        <v>5900</v>
      </c>
      <c r="AO3069" t="s">
        <v>118</v>
      </c>
      <c r="AP3069">
        <v>49</v>
      </c>
      <c r="AQ3069">
        <v>-94</v>
      </c>
      <c r="AR3069">
        <v>-512</v>
      </c>
      <c r="AZ3069">
        <v>1200</v>
      </c>
      <c r="BA3069">
        <v>1</v>
      </c>
      <c r="BB3069" t="str">
        <f t="shared" si="1673"/>
        <v xml:space="preserve">N9217B  </v>
      </c>
      <c r="BC3069">
        <v>1</v>
      </c>
      <c r="BE3069">
        <v>0</v>
      </c>
      <c r="BF3069">
        <v>0</v>
      </c>
      <c r="BG3069">
        <v>0</v>
      </c>
      <c r="BH3069">
        <v>5725</v>
      </c>
      <c r="BI3069">
        <v>1</v>
      </c>
      <c r="BJ3069">
        <v>0</v>
      </c>
      <c r="BK3069">
        <v>0</v>
      </c>
      <c r="BL3069">
        <v>0</v>
      </c>
      <c r="BO3069">
        <v>0</v>
      </c>
      <c r="BP3069">
        <v>0</v>
      </c>
      <c r="BW3069" t="str">
        <f t="shared" si="1703"/>
        <v>14:56:34.179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5</v>
      </c>
      <c r="CP3069" t="s">
        <v>119</v>
      </c>
      <c r="CQ3069">
        <v>298</v>
      </c>
      <c r="CR3069">
        <v>0</v>
      </c>
      <c r="CW3069">
        <v>10451916</v>
      </c>
      <c r="CY3069">
        <v>0</v>
      </c>
      <c r="CZ3069">
        <v>0</v>
      </c>
      <c r="DA3069">
        <v>1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25">
      <c r="A3070" t="str">
        <f t="shared" si="1701"/>
        <v>06/05/2020 14:56:28.548</v>
      </c>
      <c r="C3070" t="str">
        <f t="shared" si="1688"/>
        <v>FFDFD3C0</v>
      </c>
      <c r="D3070" t="s">
        <v>113</v>
      </c>
      <c r="E3070">
        <v>3</v>
      </c>
      <c r="H3070">
        <v>166</v>
      </c>
      <c r="I3070" t="s">
        <v>114</v>
      </c>
      <c r="J3070" t="s">
        <v>115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702"/>
        <v>14:56:34.172</v>
      </c>
      <c r="T3070" t="str">
        <f t="shared" si="1702"/>
        <v>14:56:34.172</v>
      </c>
      <c r="U3070" t="str">
        <f t="shared" si="1668"/>
        <v>ACC530</v>
      </c>
      <c r="V3070">
        <v>0</v>
      </c>
      <c r="W3070">
        <v>0</v>
      </c>
      <c r="X3070">
        <v>1</v>
      </c>
      <c r="Z3070">
        <v>0</v>
      </c>
      <c r="AA3070">
        <v>9</v>
      </c>
      <c r="AB3070">
        <v>3</v>
      </c>
      <c r="AC3070">
        <v>0</v>
      </c>
      <c r="AD3070">
        <v>9</v>
      </c>
      <c r="AE3070">
        <v>0</v>
      </c>
      <c r="AF3070">
        <v>3</v>
      </c>
      <c r="AG3070">
        <v>1</v>
      </c>
      <c r="AH3070">
        <v>0</v>
      </c>
      <c r="AI3070" t="s">
        <v>1031</v>
      </c>
      <c r="AJ3070">
        <v>34.105896999999999</v>
      </c>
      <c r="AK3070" t="s">
        <v>1032</v>
      </c>
      <c r="AL3070">
        <v>-117.050507</v>
      </c>
      <c r="AM3070">
        <v>100</v>
      </c>
      <c r="AN3070">
        <v>5900</v>
      </c>
      <c r="AO3070" t="s">
        <v>118</v>
      </c>
      <c r="AP3070">
        <v>49</v>
      </c>
      <c r="AQ3070">
        <v>-94</v>
      </c>
      <c r="AR3070">
        <v>-512</v>
      </c>
      <c r="AZ3070">
        <v>1200</v>
      </c>
      <c r="BA3070">
        <v>1</v>
      </c>
      <c r="BB3070" t="str">
        <f t="shared" si="1673"/>
        <v xml:space="preserve">N9217B  </v>
      </c>
      <c r="BC3070">
        <v>1</v>
      </c>
      <c r="BE3070">
        <v>0</v>
      </c>
      <c r="BF3070">
        <v>0</v>
      </c>
      <c r="BG3070">
        <v>0</v>
      </c>
      <c r="BH3070">
        <v>5725</v>
      </c>
      <c r="BI3070">
        <v>1</v>
      </c>
      <c r="BJ3070">
        <v>0</v>
      </c>
      <c r="BK3070">
        <v>0</v>
      </c>
      <c r="BL3070">
        <v>0</v>
      </c>
      <c r="BO3070">
        <v>0</v>
      </c>
      <c r="BP3070">
        <v>0</v>
      </c>
      <c r="BW3070" t="str">
        <f t="shared" si="1703"/>
        <v>14:56:34.179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5</v>
      </c>
      <c r="CP3070" t="s">
        <v>119</v>
      </c>
      <c r="CQ3070">
        <v>298</v>
      </c>
      <c r="CR3070">
        <v>0</v>
      </c>
      <c r="CW3070">
        <v>10451916</v>
      </c>
      <c r="CY3070">
        <v>0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25">
      <c r="A3071" t="str">
        <f t="shared" si="1701"/>
        <v>06/05/2020 14:56:28.548</v>
      </c>
      <c r="C3071" t="str">
        <f t="shared" si="1688"/>
        <v>FFDFD3C0</v>
      </c>
      <c r="D3071" t="s">
        <v>148</v>
      </c>
      <c r="E3071">
        <v>8</v>
      </c>
      <c r="H3071">
        <v>50</v>
      </c>
      <c r="I3071" t="s">
        <v>149</v>
      </c>
      <c r="J3071" t="s">
        <v>150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702"/>
        <v>14:56:34.172</v>
      </c>
      <c r="T3071" t="str">
        <f t="shared" si="1702"/>
        <v>14:56:34.172</v>
      </c>
      <c r="U3071" t="str">
        <f t="shared" si="1668"/>
        <v>ACC530</v>
      </c>
      <c r="V3071">
        <v>0</v>
      </c>
      <c r="W3071">
        <v>0</v>
      </c>
      <c r="X3071">
        <v>1</v>
      </c>
      <c r="Z3071">
        <v>0</v>
      </c>
      <c r="AA3071">
        <v>9</v>
      </c>
      <c r="AB3071">
        <v>3</v>
      </c>
      <c r="AC3071">
        <v>0</v>
      </c>
      <c r="AD3071">
        <v>9</v>
      </c>
      <c r="AE3071">
        <v>0</v>
      </c>
      <c r="AF3071">
        <v>3</v>
      </c>
      <c r="AG3071">
        <v>1</v>
      </c>
      <c r="AH3071">
        <v>0</v>
      </c>
      <c r="AI3071" t="s">
        <v>1031</v>
      </c>
      <c r="AJ3071">
        <v>34.105896999999999</v>
      </c>
      <c r="AK3071" t="s">
        <v>1032</v>
      </c>
      <c r="AL3071">
        <v>-117.050507</v>
      </c>
      <c r="AM3071">
        <v>100</v>
      </c>
      <c r="AN3071">
        <v>5900</v>
      </c>
      <c r="AO3071" t="s">
        <v>118</v>
      </c>
      <c r="AP3071">
        <v>49</v>
      </c>
      <c r="AQ3071">
        <v>-94</v>
      </c>
      <c r="AR3071">
        <v>-512</v>
      </c>
      <c r="AZ3071">
        <v>1200</v>
      </c>
      <c r="BA3071">
        <v>1</v>
      </c>
      <c r="BB3071" t="str">
        <f t="shared" si="1673"/>
        <v xml:space="preserve">N9217B  </v>
      </c>
      <c r="BC3071">
        <v>1</v>
      </c>
      <c r="BE3071">
        <v>0</v>
      </c>
      <c r="BF3071">
        <v>0</v>
      </c>
      <c r="BG3071">
        <v>0</v>
      </c>
      <c r="BH3071">
        <v>5725</v>
      </c>
      <c r="BI3071">
        <v>1</v>
      </c>
      <c r="BJ3071">
        <v>0</v>
      </c>
      <c r="BK3071">
        <v>0</v>
      </c>
      <c r="BL3071">
        <v>0</v>
      </c>
      <c r="BO3071">
        <v>0</v>
      </c>
      <c r="BP3071">
        <v>0</v>
      </c>
      <c r="BW3071" t="str">
        <f t="shared" si="1703"/>
        <v>14:56:34.179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5</v>
      </c>
      <c r="CP3071" t="s">
        <v>119</v>
      </c>
      <c r="CQ3071">
        <v>298</v>
      </c>
      <c r="CR3071">
        <v>0</v>
      </c>
      <c r="CW3071">
        <v>10451916</v>
      </c>
      <c r="CY3071">
        <v>0</v>
      </c>
      <c r="CZ3071">
        <v>0</v>
      </c>
      <c r="DA3071">
        <v>1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25">
      <c r="A3072" t="str">
        <f t="shared" si="1701"/>
        <v>06/05/2020 14:56:28.548</v>
      </c>
      <c r="C3072" t="str">
        <f t="shared" si="1688"/>
        <v>FFDFD3C0</v>
      </c>
      <c r="D3072" t="s">
        <v>151</v>
      </c>
      <c r="E3072">
        <v>8</v>
      </c>
      <c r="H3072">
        <v>225</v>
      </c>
      <c r="I3072" t="s">
        <v>353</v>
      </c>
      <c r="J3072" t="s">
        <v>150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702"/>
        <v>14:56:34.172</v>
      </c>
      <c r="T3072" t="str">
        <f t="shared" si="1702"/>
        <v>14:56:34.172</v>
      </c>
      <c r="U3072" t="str">
        <f t="shared" si="1668"/>
        <v>ACC530</v>
      </c>
      <c r="V3072">
        <v>0</v>
      </c>
      <c r="W3072">
        <v>0</v>
      </c>
      <c r="X3072">
        <v>1</v>
      </c>
      <c r="Z3072">
        <v>0</v>
      </c>
      <c r="AA3072">
        <v>9</v>
      </c>
      <c r="AB3072">
        <v>3</v>
      </c>
      <c r="AC3072">
        <v>0</v>
      </c>
      <c r="AD3072">
        <v>9</v>
      </c>
      <c r="AE3072">
        <v>0</v>
      </c>
      <c r="AF3072">
        <v>3</v>
      </c>
      <c r="AG3072">
        <v>1</v>
      </c>
      <c r="AH3072">
        <v>0</v>
      </c>
      <c r="AI3072" t="s">
        <v>1031</v>
      </c>
      <c r="AJ3072">
        <v>34.105896999999999</v>
      </c>
      <c r="AK3072" t="s">
        <v>1032</v>
      </c>
      <c r="AL3072">
        <v>-117.050507</v>
      </c>
      <c r="AM3072">
        <v>100</v>
      </c>
      <c r="AN3072">
        <v>5900</v>
      </c>
      <c r="AO3072" t="s">
        <v>118</v>
      </c>
      <c r="AP3072">
        <v>49</v>
      </c>
      <c r="AQ3072">
        <v>-94</v>
      </c>
      <c r="AR3072">
        <v>-512</v>
      </c>
      <c r="AZ3072">
        <v>1200</v>
      </c>
      <c r="BA3072">
        <v>1</v>
      </c>
      <c r="BB3072" t="str">
        <f t="shared" si="1673"/>
        <v xml:space="preserve">N9217B  </v>
      </c>
      <c r="BC3072">
        <v>1</v>
      </c>
      <c r="BE3072">
        <v>0</v>
      </c>
      <c r="BF3072">
        <v>0</v>
      </c>
      <c r="BG3072">
        <v>0</v>
      </c>
      <c r="BH3072">
        <v>5725</v>
      </c>
      <c r="BI3072">
        <v>1</v>
      </c>
      <c r="BJ3072">
        <v>0</v>
      </c>
      <c r="BK3072">
        <v>0</v>
      </c>
      <c r="BL3072">
        <v>0</v>
      </c>
      <c r="BO3072">
        <v>0</v>
      </c>
      <c r="BP3072">
        <v>0</v>
      </c>
      <c r="BW3072" t="str">
        <f t="shared" si="1703"/>
        <v>14:56:34.179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5</v>
      </c>
      <c r="CP3072" t="s">
        <v>119</v>
      </c>
      <c r="CQ3072">
        <v>298</v>
      </c>
      <c r="CR3072">
        <v>0</v>
      </c>
      <c r="CW3072">
        <v>10451916</v>
      </c>
      <c r="CY3072">
        <v>0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25">
      <c r="A3073" t="str">
        <f t="shared" si="1701"/>
        <v>06/05/2020 14:56:28.548</v>
      </c>
      <c r="C3073" t="str">
        <f t="shared" si="1688"/>
        <v>FFDFD3C0</v>
      </c>
      <c r="D3073" t="s">
        <v>151</v>
      </c>
      <c r="E3073">
        <v>9</v>
      </c>
      <c r="H3073">
        <v>226</v>
      </c>
      <c r="I3073" t="s">
        <v>152</v>
      </c>
      <c r="J3073" t="s">
        <v>150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702"/>
        <v>14:56:34.172</v>
      </c>
      <c r="T3073" t="str">
        <f t="shared" si="1702"/>
        <v>14:56:34.172</v>
      </c>
      <c r="U3073" t="str">
        <f t="shared" si="1668"/>
        <v>ACC530</v>
      </c>
      <c r="V3073">
        <v>0</v>
      </c>
      <c r="W3073">
        <v>0</v>
      </c>
      <c r="X3073">
        <v>1</v>
      </c>
      <c r="Z3073">
        <v>0</v>
      </c>
      <c r="AA3073">
        <v>9</v>
      </c>
      <c r="AB3073">
        <v>3</v>
      </c>
      <c r="AC3073">
        <v>0</v>
      </c>
      <c r="AD3073">
        <v>9</v>
      </c>
      <c r="AE3073">
        <v>0</v>
      </c>
      <c r="AF3073">
        <v>3</v>
      </c>
      <c r="AG3073">
        <v>1</v>
      </c>
      <c r="AH3073">
        <v>0</v>
      </c>
      <c r="AI3073" t="s">
        <v>1031</v>
      </c>
      <c r="AJ3073">
        <v>34.105896999999999</v>
      </c>
      <c r="AK3073" t="s">
        <v>1032</v>
      </c>
      <c r="AL3073">
        <v>-117.050507</v>
      </c>
      <c r="AM3073">
        <v>100</v>
      </c>
      <c r="AN3073">
        <v>5900</v>
      </c>
      <c r="AO3073" t="s">
        <v>118</v>
      </c>
      <c r="AP3073">
        <v>49</v>
      </c>
      <c r="AQ3073">
        <v>-94</v>
      </c>
      <c r="AR3073">
        <v>-512</v>
      </c>
      <c r="AZ3073">
        <v>1200</v>
      </c>
      <c r="BA3073">
        <v>1</v>
      </c>
      <c r="BB3073" t="str">
        <f t="shared" si="1673"/>
        <v xml:space="preserve">N9217B  </v>
      </c>
      <c r="BC3073">
        <v>1</v>
      </c>
      <c r="BE3073">
        <v>0</v>
      </c>
      <c r="BF3073">
        <v>0</v>
      </c>
      <c r="BG3073">
        <v>0</v>
      </c>
      <c r="BH3073">
        <v>5725</v>
      </c>
      <c r="BI3073">
        <v>1</v>
      </c>
      <c r="BJ3073">
        <v>0</v>
      </c>
      <c r="BK3073">
        <v>0</v>
      </c>
      <c r="BL3073">
        <v>0</v>
      </c>
      <c r="BO3073">
        <v>0</v>
      </c>
      <c r="BP3073">
        <v>0</v>
      </c>
      <c r="BW3073" t="str">
        <f>"14:56:34.178"</f>
        <v>14:56:34.178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5</v>
      </c>
      <c r="CP3073" t="s">
        <v>119</v>
      </c>
      <c r="CQ3073">
        <v>285</v>
      </c>
      <c r="CR3073">
        <v>1</v>
      </c>
      <c r="CW3073">
        <v>8874381</v>
      </c>
      <c r="CY3073">
        <v>0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25">
      <c r="A3074" t="str">
        <f t="shared" ref="A3074:A3080" si="1704">"06/05/2020 14:56:29.521"</f>
        <v>06/05/2020 14:56:29.521</v>
      </c>
      <c r="C3074" t="str">
        <f t="shared" si="1688"/>
        <v>FFDFD3C0</v>
      </c>
      <c r="D3074" t="s">
        <v>141</v>
      </c>
      <c r="E3074">
        <v>20</v>
      </c>
      <c r="F3074">
        <v>1020</v>
      </c>
      <c r="G3074" t="s">
        <v>114</v>
      </c>
      <c r="J3074" t="s">
        <v>142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ref="S3074:T3080" si="1705">"14:56:35.180"</f>
        <v>14:56:35.180</v>
      </c>
      <c r="T3074" t="str">
        <f t="shared" si="1705"/>
        <v>14:56:35.180</v>
      </c>
      <c r="U3074" t="str">
        <f t="shared" ref="U3074:U3137" si="1706">"ACC530"</f>
        <v>ACC530</v>
      </c>
      <c r="V3074">
        <v>0</v>
      </c>
      <c r="W3074">
        <v>0</v>
      </c>
      <c r="X3074">
        <v>1</v>
      </c>
      <c r="Z3074">
        <v>0</v>
      </c>
      <c r="AA3074">
        <v>9</v>
      </c>
      <c r="AB3074">
        <v>3</v>
      </c>
      <c r="AC3074">
        <v>0</v>
      </c>
      <c r="AD3074">
        <v>9</v>
      </c>
      <c r="AE3074">
        <v>0</v>
      </c>
      <c r="AF3074">
        <v>3</v>
      </c>
      <c r="AG3074">
        <v>1</v>
      </c>
      <c r="AH3074">
        <v>0</v>
      </c>
      <c r="AI3074" t="s">
        <v>1033</v>
      </c>
      <c r="AJ3074">
        <v>34.105446000000001</v>
      </c>
      <c r="AK3074" t="s">
        <v>1034</v>
      </c>
      <c r="AL3074">
        <v>-117.05025000000001</v>
      </c>
      <c r="AM3074">
        <v>100</v>
      </c>
      <c r="AN3074">
        <v>5900</v>
      </c>
      <c r="AO3074" t="s">
        <v>118</v>
      </c>
      <c r="AP3074">
        <v>51</v>
      </c>
      <c r="AQ3074">
        <v>-93</v>
      </c>
      <c r="AR3074">
        <v>-576</v>
      </c>
      <c r="AZ3074">
        <v>1200</v>
      </c>
      <c r="BA3074">
        <v>1</v>
      </c>
      <c r="BB3074" t="str">
        <f t="shared" si="1673"/>
        <v xml:space="preserve">N9217B  </v>
      </c>
      <c r="BC3074">
        <v>1</v>
      </c>
      <c r="BE3074">
        <v>0</v>
      </c>
      <c r="BF3074">
        <v>0</v>
      </c>
      <c r="BG3074">
        <v>0</v>
      </c>
      <c r="BH3074">
        <v>5800</v>
      </c>
      <c r="BI3074">
        <v>1</v>
      </c>
      <c r="BJ3074">
        <v>0</v>
      </c>
      <c r="BK3074">
        <v>0</v>
      </c>
      <c r="BL3074">
        <v>0</v>
      </c>
      <c r="BO3074">
        <v>0</v>
      </c>
      <c r="BP3074">
        <v>0</v>
      </c>
      <c r="BW3074" t="str">
        <f t="shared" ref="BW3074:BW3080" si="1707">"14:56:35.183"</f>
        <v>14:56:35.183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119</v>
      </c>
      <c r="CQ3074">
        <v>285</v>
      </c>
      <c r="CR3074">
        <v>0</v>
      </c>
      <c r="CW3074">
        <v>8874473</v>
      </c>
      <c r="CY3074">
        <v>0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25">
      <c r="A3075" t="str">
        <f t="shared" si="1704"/>
        <v>06/05/2020 14:56:29.521</v>
      </c>
      <c r="C3075" t="str">
        <f t="shared" si="1688"/>
        <v>FFDFD3C0</v>
      </c>
      <c r="D3075" t="s">
        <v>148</v>
      </c>
      <c r="E3075">
        <v>11</v>
      </c>
      <c r="H3075">
        <v>53</v>
      </c>
      <c r="I3075" t="s">
        <v>364</v>
      </c>
      <c r="J3075" t="s">
        <v>150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705"/>
        <v>14:56:35.180</v>
      </c>
      <c r="T3075" t="str">
        <f t="shared" si="1705"/>
        <v>14:56:35.180</v>
      </c>
      <c r="U3075" t="str">
        <f t="shared" si="1706"/>
        <v>ACC530</v>
      </c>
      <c r="V3075">
        <v>0</v>
      </c>
      <c r="W3075">
        <v>0</v>
      </c>
      <c r="X3075">
        <v>1</v>
      </c>
      <c r="Z3075">
        <v>0</v>
      </c>
      <c r="AA3075">
        <v>9</v>
      </c>
      <c r="AB3075">
        <v>3</v>
      </c>
      <c r="AC3075">
        <v>0</v>
      </c>
      <c r="AD3075">
        <v>9</v>
      </c>
      <c r="AE3075">
        <v>0</v>
      </c>
      <c r="AF3075">
        <v>3</v>
      </c>
      <c r="AG3075">
        <v>1</v>
      </c>
      <c r="AH3075">
        <v>0</v>
      </c>
      <c r="AI3075" t="s">
        <v>1033</v>
      </c>
      <c r="AJ3075">
        <v>34.105446000000001</v>
      </c>
      <c r="AK3075" t="s">
        <v>1034</v>
      </c>
      <c r="AL3075">
        <v>-117.05025000000001</v>
      </c>
      <c r="AM3075">
        <v>100</v>
      </c>
      <c r="AN3075">
        <v>5900</v>
      </c>
      <c r="AO3075" t="s">
        <v>118</v>
      </c>
      <c r="AP3075">
        <v>51</v>
      </c>
      <c r="AQ3075">
        <v>-93</v>
      </c>
      <c r="AR3075">
        <v>-576</v>
      </c>
      <c r="AZ3075">
        <v>1200</v>
      </c>
      <c r="BA3075">
        <v>1</v>
      </c>
      <c r="BB3075" t="str">
        <f t="shared" si="1673"/>
        <v xml:space="preserve">N9217B  </v>
      </c>
      <c r="BC3075">
        <v>1</v>
      </c>
      <c r="BE3075">
        <v>0</v>
      </c>
      <c r="BF3075">
        <v>0</v>
      </c>
      <c r="BG3075">
        <v>0</v>
      </c>
      <c r="BH3075">
        <v>5800</v>
      </c>
      <c r="BI3075">
        <v>1</v>
      </c>
      <c r="BJ3075">
        <v>0</v>
      </c>
      <c r="BK3075">
        <v>0</v>
      </c>
      <c r="BL3075">
        <v>0</v>
      </c>
      <c r="BO3075">
        <v>0</v>
      </c>
      <c r="BP3075">
        <v>0</v>
      </c>
      <c r="BW3075" t="str">
        <f t="shared" si="1707"/>
        <v>14:56:35.183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285</v>
      </c>
      <c r="CR3075">
        <v>0</v>
      </c>
      <c r="CW3075">
        <v>8874473</v>
      </c>
      <c r="CY3075">
        <v>0</v>
      </c>
      <c r="CZ3075">
        <v>0</v>
      </c>
      <c r="DA3075">
        <v>1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25">
      <c r="A3076" t="str">
        <f t="shared" si="1704"/>
        <v>06/05/2020 14:56:29.521</v>
      </c>
      <c r="C3076" t="str">
        <f t="shared" si="1688"/>
        <v>FFDFD3C0</v>
      </c>
      <c r="D3076" t="s">
        <v>113</v>
      </c>
      <c r="E3076">
        <v>3</v>
      </c>
      <c r="H3076">
        <v>166</v>
      </c>
      <c r="I3076" t="s">
        <v>114</v>
      </c>
      <c r="J3076" t="s">
        <v>115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705"/>
        <v>14:56:35.180</v>
      </c>
      <c r="T3076" t="str">
        <f t="shared" si="1705"/>
        <v>14:56:35.180</v>
      </c>
      <c r="U3076" t="str">
        <f t="shared" si="1706"/>
        <v>ACC530</v>
      </c>
      <c r="V3076">
        <v>0</v>
      </c>
      <c r="W3076">
        <v>0</v>
      </c>
      <c r="X3076">
        <v>1</v>
      </c>
      <c r="Z3076">
        <v>0</v>
      </c>
      <c r="AA3076">
        <v>9</v>
      </c>
      <c r="AB3076">
        <v>3</v>
      </c>
      <c r="AC3076">
        <v>0</v>
      </c>
      <c r="AD3076">
        <v>9</v>
      </c>
      <c r="AE3076">
        <v>0</v>
      </c>
      <c r="AF3076">
        <v>3</v>
      </c>
      <c r="AG3076">
        <v>1</v>
      </c>
      <c r="AH3076">
        <v>0</v>
      </c>
      <c r="AI3076" t="s">
        <v>1033</v>
      </c>
      <c r="AJ3076">
        <v>34.105446000000001</v>
      </c>
      <c r="AK3076" t="s">
        <v>1034</v>
      </c>
      <c r="AL3076">
        <v>-117.05025000000001</v>
      </c>
      <c r="AM3076">
        <v>100</v>
      </c>
      <c r="AN3076">
        <v>5900</v>
      </c>
      <c r="AO3076" t="s">
        <v>118</v>
      </c>
      <c r="AP3076">
        <v>51</v>
      </c>
      <c r="AQ3076">
        <v>-93</v>
      </c>
      <c r="AR3076">
        <v>-576</v>
      </c>
      <c r="AZ3076">
        <v>1200</v>
      </c>
      <c r="BA3076">
        <v>1</v>
      </c>
      <c r="BB3076" t="str">
        <f t="shared" si="1673"/>
        <v xml:space="preserve">N9217B  </v>
      </c>
      <c r="BC3076">
        <v>1</v>
      </c>
      <c r="BE3076">
        <v>0</v>
      </c>
      <c r="BF3076">
        <v>0</v>
      </c>
      <c r="BG3076">
        <v>0</v>
      </c>
      <c r="BH3076">
        <v>5800</v>
      </c>
      <c r="BI3076">
        <v>1</v>
      </c>
      <c r="BJ3076">
        <v>0</v>
      </c>
      <c r="BK3076">
        <v>0</v>
      </c>
      <c r="BL3076">
        <v>0</v>
      </c>
      <c r="BO3076">
        <v>0</v>
      </c>
      <c r="BP3076">
        <v>0</v>
      </c>
      <c r="BW3076" t="str">
        <f t="shared" si="1707"/>
        <v>14:56:35.183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119</v>
      </c>
      <c r="CQ3076">
        <v>285</v>
      </c>
      <c r="CR3076">
        <v>0</v>
      </c>
      <c r="CW3076">
        <v>8874473</v>
      </c>
      <c r="CY3076">
        <v>0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25">
      <c r="A3077" t="str">
        <f t="shared" si="1704"/>
        <v>06/05/2020 14:56:29.521</v>
      </c>
      <c r="C3077" t="str">
        <f t="shared" si="1688"/>
        <v>FFDFD3C0</v>
      </c>
      <c r="D3077" t="s">
        <v>148</v>
      </c>
      <c r="E3077">
        <v>8</v>
      </c>
      <c r="H3077">
        <v>50</v>
      </c>
      <c r="I3077" t="s">
        <v>149</v>
      </c>
      <c r="J3077" t="s">
        <v>150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705"/>
        <v>14:56:35.180</v>
      </c>
      <c r="T3077" t="str">
        <f t="shared" si="1705"/>
        <v>14:56:35.180</v>
      </c>
      <c r="U3077" t="str">
        <f t="shared" si="1706"/>
        <v>ACC530</v>
      </c>
      <c r="V3077">
        <v>0</v>
      </c>
      <c r="W3077">
        <v>0</v>
      </c>
      <c r="X3077">
        <v>1</v>
      </c>
      <c r="Z3077">
        <v>0</v>
      </c>
      <c r="AA3077">
        <v>9</v>
      </c>
      <c r="AB3077">
        <v>3</v>
      </c>
      <c r="AC3077">
        <v>0</v>
      </c>
      <c r="AD3077">
        <v>9</v>
      </c>
      <c r="AE3077">
        <v>0</v>
      </c>
      <c r="AF3077">
        <v>3</v>
      </c>
      <c r="AG3077">
        <v>1</v>
      </c>
      <c r="AH3077">
        <v>0</v>
      </c>
      <c r="AI3077" t="s">
        <v>1033</v>
      </c>
      <c r="AJ3077">
        <v>34.105446000000001</v>
      </c>
      <c r="AK3077" t="s">
        <v>1034</v>
      </c>
      <c r="AL3077">
        <v>-117.05025000000001</v>
      </c>
      <c r="AM3077">
        <v>100</v>
      </c>
      <c r="AN3077">
        <v>5900</v>
      </c>
      <c r="AO3077" t="s">
        <v>118</v>
      </c>
      <c r="AP3077">
        <v>51</v>
      </c>
      <c r="AQ3077">
        <v>-93</v>
      </c>
      <c r="AR3077">
        <v>-576</v>
      </c>
      <c r="AZ3077">
        <v>1200</v>
      </c>
      <c r="BA3077">
        <v>1</v>
      </c>
      <c r="BB3077" t="str">
        <f t="shared" ref="BB3077:BB3140" si="1708">"N9217B  "</f>
        <v xml:space="preserve">N9217B  </v>
      </c>
      <c r="BC3077">
        <v>1</v>
      </c>
      <c r="BE3077">
        <v>0</v>
      </c>
      <c r="BF3077">
        <v>0</v>
      </c>
      <c r="BG3077">
        <v>0</v>
      </c>
      <c r="BH3077">
        <v>5800</v>
      </c>
      <c r="BI3077">
        <v>1</v>
      </c>
      <c r="BJ3077">
        <v>0</v>
      </c>
      <c r="BK3077">
        <v>0</v>
      </c>
      <c r="BL3077">
        <v>0</v>
      </c>
      <c r="BO3077">
        <v>0</v>
      </c>
      <c r="BP3077">
        <v>0</v>
      </c>
      <c r="BW3077" t="str">
        <f t="shared" si="1707"/>
        <v>14:56:35.183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285</v>
      </c>
      <c r="CR3077">
        <v>0</v>
      </c>
      <c r="CW3077">
        <v>8874473</v>
      </c>
      <c r="CY3077">
        <v>0</v>
      </c>
      <c r="CZ3077">
        <v>0</v>
      </c>
      <c r="DA3077">
        <v>1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25">
      <c r="A3078" t="str">
        <f t="shared" si="1704"/>
        <v>06/05/2020 14:56:29.521</v>
      </c>
      <c r="C3078" t="str">
        <f t="shared" si="1688"/>
        <v>FFDFD3C0</v>
      </c>
      <c r="D3078" t="s">
        <v>151</v>
      </c>
      <c r="E3078">
        <v>8</v>
      </c>
      <c r="H3078">
        <v>225</v>
      </c>
      <c r="I3078" t="s">
        <v>353</v>
      </c>
      <c r="J3078" t="s">
        <v>150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705"/>
        <v>14:56:35.180</v>
      </c>
      <c r="T3078" t="str">
        <f t="shared" si="1705"/>
        <v>14:56:35.180</v>
      </c>
      <c r="U3078" t="str">
        <f t="shared" si="1706"/>
        <v>ACC530</v>
      </c>
      <c r="V3078">
        <v>0</v>
      </c>
      <c r="W3078">
        <v>0</v>
      </c>
      <c r="X3078">
        <v>1</v>
      </c>
      <c r="Z3078">
        <v>0</v>
      </c>
      <c r="AA3078">
        <v>9</v>
      </c>
      <c r="AB3078">
        <v>3</v>
      </c>
      <c r="AC3078">
        <v>0</v>
      </c>
      <c r="AD3078">
        <v>9</v>
      </c>
      <c r="AE3078">
        <v>0</v>
      </c>
      <c r="AF3078">
        <v>3</v>
      </c>
      <c r="AG3078">
        <v>1</v>
      </c>
      <c r="AH3078">
        <v>0</v>
      </c>
      <c r="AI3078" t="s">
        <v>1033</v>
      </c>
      <c r="AJ3078">
        <v>34.105446000000001</v>
      </c>
      <c r="AK3078" t="s">
        <v>1034</v>
      </c>
      <c r="AL3078">
        <v>-117.05025000000001</v>
      </c>
      <c r="AM3078">
        <v>100</v>
      </c>
      <c r="AN3078">
        <v>5900</v>
      </c>
      <c r="AO3078" t="s">
        <v>118</v>
      </c>
      <c r="AP3078">
        <v>51</v>
      </c>
      <c r="AQ3078">
        <v>-93</v>
      </c>
      <c r="AR3078">
        <v>-576</v>
      </c>
      <c r="AZ3078">
        <v>1200</v>
      </c>
      <c r="BA3078">
        <v>1</v>
      </c>
      <c r="BB3078" t="str">
        <f t="shared" si="1708"/>
        <v xml:space="preserve">N9217B  </v>
      </c>
      <c r="BC3078">
        <v>1</v>
      </c>
      <c r="BE3078">
        <v>0</v>
      </c>
      <c r="BF3078">
        <v>0</v>
      </c>
      <c r="BG3078">
        <v>0</v>
      </c>
      <c r="BH3078">
        <v>5800</v>
      </c>
      <c r="BI3078">
        <v>1</v>
      </c>
      <c r="BJ3078">
        <v>0</v>
      </c>
      <c r="BK3078">
        <v>0</v>
      </c>
      <c r="BL3078">
        <v>0</v>
      </c>
      <c r="BO3078">
        <v>0</v>
      </c>
      <c r="BP3078">
        <v>0</v>
      </c>
      <c r="BW3078" t="str">
        <f t="shared" si="1707"/>
        <v>14:56:35.183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285</v>
      </c>
      <c r="CR3078">
        <v>0</v>
      </c>
      <c r="CW3078">
        <v>8874473</v>
      </c>
      <c r="CY3078">
        <v>0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25">
      <c r="A3079" t="str">
        <f t="shared" si="1704"/>
        <v>06/05/2020 14:56:29.521</v>
      </c>
      <c r="C3079" t="str">
        <f t="shared" si="1688"/>
        <v>FFDFD3C0</v>
      </c>
      <c r="D3079" t="s">
        <v>134</v>
      </c>
      <c r="E3079">
        <v>7</v>
      </c>
      <c r="F3079">
        <v>2007</v>
      </c>
      <c r="G3079" t="s">
        <v>135</v>
      </c>
      <c r="J3079" t="s">
        <v>136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705"/>
        <v>14:56:35.180</v>
      </c>
      <c r="T3079" t="str">
        <f t="shared" si="1705"/>
        <v>14:56:35.180</v>
      </c>
      <c r="U3079" t="str">
        <f t="shared" si="1706"/>
        <v>ACC530</v>
      </c>
      <c r="V3079">
        <v>0</v>
      </c>
      <c r="W3079">
        <v>0</v>
      </c>
      <c r="X3079">
        <v>1</v>
      </c>
      <c r="Z3079">
        <v>0</v>
      </c>
      <c r="AA3079">
        <v>9</v>
      </c>
      <c r="AB3079">
        <v>3</v>
      </c>
      <c r="AC3079">
        <v>0</v>
      </c>
      <c r="AD3079">
        <v>9</v>
      </c>
      <c r="AE3079">
        <v>0</v>
      </c>
      <c r="AF3079">
        <v>3</v>
      </c>
      <c r="AG3079">
        <v>1</v>
      </c>
      <c r="AH3079">
        <v>0</v>
      </c>
      <c r="AI3079" t="s">
        <v>1033</v>
      </c>
      <c r="AJ3079">
        <v>34.105446000000001</v>
      </c>
      <c r="AK3079" t="s">
        <v>1034</v>
      </c>
      <c r="AL3079">
        <v>-117.05025000000001</v>
      </c>
      <c r="AM3079">
        <v>100</v>
      </c>
      <c r="AN3079">
        <v>5900</v>
      </c>
      <c r="AO3079" t="s">
        <v>118</v>
      </c>
      <c r="AP3079">
        <v>51</v>
      </c>
      <c r="AQ3079">
        <v>-93</v>
      </c>
      <c r="AR3079">
        <v>-576</v>
      </c>
      <c r="AZ3079">
        <v>1200</v>
      </c>
      <c r="BA3079">
        <v>1</v>
      </c>
      <c r="BB3079" t="str">
        <f t="shared" si="1708"/>
        <v xml:space="preserve">N9217B  </v>
      </c>
      <c r="BC3079">
        <v>1</v>
      </c>
      <c r="BE3079">
        <v>0</v>
      </c>
      <c r="BF3079">
        <v>0</v>
      </c>
      <c r="BG3079">
        <v>0</v>
      </c>
      <c r="BH3079">
        <v>5800</v>
      </c>
      <c r="BI3079">
        <v>1</v>
      </c>
      <c r="BJ3079">
        <v>0</v>
      </c>
      <c r="BK3079">
        <v>0</v>
      </c>
      <c r="BL3079">
        <v>0</v>
      </c>
      <c r="BO3079">
        <v>0</v>
      </c>
      <c r="BP3079">
        <v>0</v>
      </c>
      <c r="BW3079" t="str">
        <f t="shared" si="1707"/>
        <v>14:56:35.183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285</v>
      </c>
      <c r="CR3079">
        <v>0</v>
      </c>
      <c r="CW3079">
        <v>8874473</v>
      </c>
      <c r="CY3079">
        <v>0</v>
      </c>
      <c r="CZ3079">
        <v>0</v>
      </c>
      <c r="DA3079">
        <v>1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25">
      <c r="A3080" t="str">
        <f t="shared" si="1704"/>
        <v>06/05/2020 14:56:29.521</v>
      </c>
      <c r="C3080" t="str">
        <f t="shared" si="1688"/>
        <v>FFDFD3C0</v>
      </c>
      <c r="D3080" t="s">
        <v>151</v>
      </c>
      <c r="E3080">
        <v>9</v>
      </c>
      <c r="H3080">
        <v>226</v>
      </c>
      <c r="I3080" t="s">
        <v>152</v>
      </c>
      <c r="J3080" t="s">
        <v>150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705"/>
        <v>14:56:35.180</v>
      </c>
      <c r="T3080" t="str">
        <f t="shared" si="1705"/>
        <v>14:56:35.180</v>
      </c>
      <c r="U3080" t="str">
        <f t="shared" si="1706"/>
        <v>ACC530</v>
      </c>
      <c r="V3080">
        <v>0</v>
      </c>
      <c r="W3080">
        <v>0</v>
      </c>
      <c r="X3080">
        <v>1</v>
      </c>
      <c r="Z3080">
        <v>0</v>
      </c>
      <c r="AA3080">
        <v>9</v>
      </c>
      <c r="AB3080">
        <v>3</v>
      </c>
      <c r="AC3080">
        <v>0</v>
      </c>
      <c r="AD3080">
        <v>9</v>
      </c>
      <c r="AE3080">
        <v>0</v>
      </c>
      <c r="AF3080">
        <v>3</v>
      </c>
      <c r="AG3080">
        <v>1</v>
      </c>
      <c r="AH3080">
        <v>0</v>
      </c>
      <c r="AI3080" t="s">
        <v>1033</v>
      </c>
      <c r="AJ3080">
        <v>34.105446000000001</v>
      </c>
      <c r="AK3080" t="s">
        <v>1034</v>
      </c>
      <c r="AL3080">
        <v>-117.05025000000001</v>
      </c>
      <c r="AM3080">
        <v>100</v>
      </c>
      <c r="AN3080">
        <v>5900</v>
      </c>
      <c r="AO3080" t="s">
        <v>118</v>
      </c>
      <c r="AP3080">
        <v>51</v>
      </c>
      <c r="AQ3080">
        <v>-93</v>
      </c>
      <c r="AR3080">
        <v>-576</v>
      </c>
      <c r="AZ3080">
        <v>1200</v>
      </c>
      <c r="BA3080">
        <v>1</v>
      </c>
      <c r="BB3080" t="str">
        <f t="shared" si="1708"/>
        <v xml:space="preserve">N9217B  </v>
      </c>
      <c r="BC3080">
        <v>1</v>
      </c>
      <c r="BE3080">
        <v>0</v>
      </c>
      <c r="BF3080">
        <v>0</v>
      </c>
      <c r="BG3080">
        <v>0</v>
      </c>
      <c r="BH3080">
        <v>5800</v>
      </c>
      <c r="BI3080">
        <v>1</v>
      </c>
      <c r="BJ3080">
        <v>0</v>
      </c>
      <c r="BK3080">
        <v>0</v>
      </c>
      <c r="BL3080">
        <v>0</v>
      </c>
      <c r="BO3080">
        <v>0</v>
      </c>
      <c r="BP3080">
        <v>0</v>
      </c>
      <c r="BW3080" t="str">
        <f t="shared" si="1707"/>
        <v>14:56:35.183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285</v>
      </c>
      <c r="CR3080">
        <v>0</v>
      </c>
      <c r="CW3080">
        <v>8874473</v>
      </c>
      <c r="CY3080">
        <v>0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25">
      <c r="A3081" t="str">
        <f t="shared" ref="A3081:A3087" si="1709">"06/05/2020 14:56:30.491"</f>
        <v>06/05/2020 14:56:30.491</v>
      </c>
      <c r="C3081" t="str">
        <f t="shared" si="1688"/>
        <v>FFDFD3C0</v>
      </c>
      <c r="D3081" t="s">
        <v>148</v>
      </c>
      <c r="E3081">
        <v>8</v>
      </c>
      <c r="H3081">
        <v>50</v>
      </c>
      <c r="I3081" t="s">
        <v>149</v>
      </c>
      <c r="J3081" t="s">
        <v>150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ref="S3081:S3087" si="1710">"14:56:36.109"</f>
        <v>14:56:36.109</v>
      </c>
      <c r="T3081" t="str">
        <f t="shared" ref="T3081:T3087" si="1711">"14:56:35.809"</f>
        <v>14:56:35.809</v>
      </c>
      <c r="U3081" t="str">
        <f t="shared" si="1706"/>
        <v>ACC530</v>
      </c>
      <c r="V3081">
        <v>0</v>
      </c>
      <c r="W3081">
        <v>0</v>
      </c>
      <c r="X3081">
        <v>1</v>
      </c>
      <c r="Z3081">
        <v>0</v>
      </c>
      <c r="AA3081">
        <v>9</v>
      </c>
      <c r="AB3081">
        <v>3</v>
      </c>
      <c r="AC3081">
        <v>0</v>
      </c>
      <c r="AD3081">
        <v>9</v>
      </c>
      <c r="AE3081">
        <v>0</v>
      </c>
      <c r="AF3081">
        <v>3</v>
      </c>
      <c r="AG3081">
        <v>1</v>
      </c>
      <c r="AH3081">
        <v>0</v>
      </c>
      <c r="AI3081" t="s">
        <v>1035</v>
      </c>
      <c r="AJ3081">
        <v>34.105038999999998</v>
      </c>
      <c r="AK3081" t="s">
        <v>1036</v>
      </c>
      <c r="AL3081">
        <v>-117.049971</v>
      </c>
      <c r="AM3081">
        <v>100</v>
      </c>
      <c r="AN3081">
        <v>5900</v>
      </c>
      <c r="AO3081" t="s">
        <v>118</v>
      </c>
      <c r="AP3081">
        <v>52</v>
      </c>
      <c r="AQ3081">
        <v>-93</v>
      </c>
      <c r="AR3081">
        <v>-576</v>
      </c>
      <c r="AZ3081">
        <v>1200</v>
      </c>
      <c r="BA3081">
        <v>1</v>
      </c>
      <c r="BB3081" t="str">
        <f t="shared" si="1708"/>
        <v xml:space="preserve">N9217B  </v>
      </c>
      <c r="BC3081">
        <v>1</v>
      </c>
      <c r="BE3081">
        <v>0</v>
      </c>
      <c r="BF3081">
        <v>0</v>
      </c>
      <c r="BG3081">
        <v>0</v>
      </c>
      <c r="BH3081">
        <v>5800</v>
      </c>
      <c r="BI3081">
        <v>1</v>
      </c>
      <c r="BJ3081">
        <v>0</v>
      </c>
      <c r="BK3081">
        <v>0</v>
      </c>
      <c r="BL3081">
        <v>0</v>
      </c>
      <c r="BO3081">
        <v>0</v>
      </c>
      <c r="BP3081">
        <v>0</v>
      </c>
      <c r="BW3081" t="str">
        <f t="shared" ref="BW3081:BW3087" si="1712">"14:56:36.113"</f>
        <v>14:56:36.113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285</v>
      </c>
      <c r="CR3081">
        <v>0</v>
      </c>
      <c r="CW3081">
        <v>8874554</v>
      </c>
      <c r="CY3081">
        <v>0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25">
      <c r="A3082" t="str">
        <f t="shared" si="1709"/>
        <v>06/05/2020 14:56:30.491</v>
      </c>
      <c r="C3082" t="str">
        <f t="shared" si="1688"/>
        <v>FFDFD3C0</v>
      </c>
      <c r="D3082" t="s">
        <v>151</v>
      </c>
      <c r="E3082">
        <v>8</v>
      </c>
      <c r="H3082">
        <v>225</v>
      </c>
      <c r="I3082" t="s">
        <v>353</v>
      </c>
      <c r="J3082" t="s">
        <v>150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710"/>
        <v>14:56:36.109</v>
      </c>
      <c r="T3082" t="str">
        <f t="shared" si="1711"/>
        <v>14:56:35.809</v>
      </c>
      <c r="U3082" t="str">
        <f t="shared" si="1706"/>
        <v>ACC530</v>
      </c>
      <c r="V3082">
        <v>0</v>
      </c>
      <c r="W3082">
        <v>0</v>
      </c>
      <c r="X3082">
        <v>1</v>
      </c>
      <c r="Z3082">
        <v>0</v>
      </c>
      <c r="AA3082">
        <v>9</v>
      </c>
      <c r="AB3082">
        <v>3</v>
      </c>
      <c r="AC3082">
        <v>0</v>
      </c>
      <c r="AD3082">
        <v>9</v>
      </c>
      <c r="AE3082">
        <v>0</v>
      </c>
      <c r="AF3082">
        <v>3</v>
      </c>
      <c r="AG3082">
        <v>1</v>
      </c>
      <c r="AH3082">
        <v>0</v>
      </c>
      <c r="AI3082" t="s">
        <v>1035</v>
      </c>
      <c r="AJ3082">
        <v>34.105038999999998</v>
      </c>
      <c r="AK3082" t="s">
        <v>1036</v>
      </c>
      <c r="AL3082">
        <v>-117.049971</v>
      </c>
      <c r="AM3082">
        <v>100</v>
      </c>
      <c r="AN3082">
        <v>5900</v>
      </c>
      <c r="AO3082" t="s">
        <v>118</v>
      </c>
      <c r="AP3082">
        <v>52</v>
      </c>
      <c r="AQ3082">
        <v>-93</v>
      </c>
      <c r="AR3082">
        <v>-576</v>
      </c>
      <c r="AZ3082">
        <v>1200</v>
      </c>
      <c r="BA3082">
        <v>1</v>
      </c>
      <c r="BB3082" t="str">
        <f t="shared" si="1708"/>
        <v xml:space="preserve">N9217B  </v>
      </c>
      <c r="BC3082">
        <v>1</v>
      </c>
      <c r="BE3082">
        <v>0</v>
      </c>
      <c r="BF3082">
        <v>0</v>
      </c>
      <c r="BG3082">
        <v>0</v>
      </c>
      <c r="BH3082">
        <v>5800</v>
      </c>
      <c r="BI3082">
        <v>1</v>
      </c>
      <c r="BJ3082">
        <v>0</v>
      </c>
      <c r="BK3082">
        <v>0</v>
      </c>
      <c r="BL3082">
        <v>0</v>
      </c>
      <c r="BO3082">
        <v>0</v>
      </c>
      <c r="BP3082">
        <v>0</v>
      </c>
      <c r="BW3082" t="str">
        <f t="shared" si="1712"/>
        <v>14:56:36.113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285</v>
      </c>
      <c r="CR3082">
        <v>0</v>
      </c>
      <c r="CW3082">
        <v>8874554</v>
      </c>
      <c r="CY3082">
        <v>0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25">
      <c r="A3083" t="str">
        <f t="shared" si="1709"/>
        <v>06/05/2020 14:56:30.491</v>
      </c>
      <c r="C3083" t="str">
        <f t="shared" si="1688"/>
        <v>FFDFD3C0</v>
      </c>
      <c r="D3083" t="s">
        <v>134</v>
      </c>
      <c r="E3083">
        <v>7</v>
      </c>
      <c r="F3083">
        <v>2007</v>
      </c>
      <c r="G3083" t="s">
        <v>135</v>
      </c>
      <c r="J3083" t="s">
        <v>136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710"/>
        <v>14:56:36.109</v>
      </c>
      <c r="T3083" t="str">
        <f t="shared" si="1711"/>
        <v>14:56:35.809</v>
      </c>
      <c r="U3083" t="str">
        <f t="shared" si="1706"/>
        <v>ACC530</v>
      </c>
      <c r="V3083">
        <v>0</v>
      </c>
      <c r="W3083">
        <v>0</v>
      </c>
      <c r="X3083">
        <v>1</v>
      </c>
      <c r="Z3083">
        <v>0</v>
      </c>
      <c r="AA3083">
        <v>9</v>
      </c>
      <c r="AB3083">
        <v>3</v>
      </c>
      <c r="AC3083">
        <v>0</v>
      </c>
      <c r="AD3083">
        <v>9</v>
      </c>
      <c r="AE3083">
        <v>0</v>
      </c>
      <c r="AF3083">
        <v>3</v>
      </c>
      <c r="AG3083">
        <v>1</v>
      </c>
      <c r="AH3083">
        <v>0</v>
      </c>
      <c r="AI3083" t="s">
        <v>1035</v>
      </c>
      <c r="AJ3083">
        <v>34.105038999999998</v>
      </c>
      <c r="AK3083" t="s">
        <v>1036</v>
      </c>
      <c r="AL3083">
        <v>-117.049971</v>
      </c>
      <c r="AM3083">
        <v>100</v>
      </c>
      <c r="AN3083">
        <v>5900</v>
      </c>
      <c r="AO3083" t="s">
        <v>118</v>
      </c>
      <c r="AP3083">
        <v>52</v>
      </c>
      <c r="AQ3083">
        <v>-93</v>
      </c>
      <c r="AR3083">
        <v>-576</v>
      </c>
      <c r="AZ3083">
        <v>1200</v>
      </c>
      <c r="BA3083">
        <v>1</v>
      </c>
      <c r="BB3083" t="str">
        <f t="shared" si="1708"/>
        <v xml:space="preserve">N9217B  </v>
      </c>
      <c r="BC3083">
        <v>1</v>
      </c>
      <c r="BE3083">
        <v>0</v>
      </c>
      <c r="BF3083">
        <v>0</v>
      </c>
      <c r="BG3083">
        <v>0</v>
      </c>
      <c r="BH3083">
        <v>5800</v>
      </c>
      <c r="BI3083">
        <v>1</v>
      </c>
      <c r="BJ3083">
        <v>0</v>
      </c>
      <c r="BK3083">
        <v>0</v>
      </c>
      <c r="BL3083">
        <v>0</v>
      </c>
      <c r="BO3083">
        <v>0</v>
      </c>
      <c r="BP3083">
        <v>0</v>
      </c>
      <c r="BW3083" t="str">
        <f t="shared" si="1712"/>
        <v>14:56:36.113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285</v>
      </c>
      <c r="CR3083">
        <v>0</v>
      </c>
      <c r="CW3083">
        <v>8874554</v>
      </c>
      <c r="CY3083">
        <v>0</v>
      </c>
      <c r="CZ3083">
        <v>0</v>
      </c>
      <c r="DA3083">
        <v>1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25">
      <c r="A3084" t="str">
        <f t="shared" si="1709"/>
        <v>06/05/2020 14:56:30.491</v>
      </c>
      <c r="C3084" t="str">
        <f t="shared" si="1688"/>
        <v>FFDFD3C0</v>
      </c>
      <c r="D3084" t="s">
        <v>151</v>
      </c>
      <c r="E3084">
        <v>9</v>
      </c>
      <c r="H3084">
        <v>226</v>
      </c>
      <c r="I3084" t="s">
        <v>152</v>
      </c>
      <c r="J3084" t="s">
        <v>150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710"/>
        <v>14:56:36.109</v>
      </c>
      <c r="T3084" t="str">
        <f t="shared" si="1711"/>
        <v>14:56:35.809</v>
      </c>
      <c r="U3084" t="str">
        <f t="shared" si="1706"/>
        <v>ACC530</v>
      </c>
      <c r="V3084">
        <v>0</v>
      </c>
      <c r="W3084">
        <v>0</v>
      </c>
      <c r="X3084">
        <v>1</v>
      </c>
      <c r="Z3084">
        <v>0</v>
      </c>
      <c r="AA3084">
        <v>9</v>
      </c>
      <c r="AB3084">
        <v>3</v>
      </c>
      <c r="AC3084">
        <v>0</v>
      </c>
      <c r="AD3084">
        <v>9</v>
      </c>
      <c r="AE3084">
        <v>0</v>
      </c>
      <c r="AF3084">
        <v>3</v>
      </c>
      <c r="AG3084">
        <v>1</v>
      </c>
      <c r="AH3084">
        <v>0</v>
      </c>
      <c r="AI3084" t="s">
        <v>1035</v>
      </c>
      <c r="AJ3084">
        <v>34.105038999999998</v>
      </c>
      <c r="AK3084" t="s">
        <v>1036</v>
      </c>
      <c r="AL3084">
        <v>-117.049971</v>
      </c>
      <c r="AM3084">
        <v>100</v>
      </c>
      <c r="AN3084">
        <v>5900</v>
      </c>
      <c r="AO3084" t="s">
        <v>118</v>
      </c>
      <c r="AP3084">
        <v>52</v>
      </c>
      <c r="AQ3084">
        <v>-93</v>
      </c>
      <c r="AR3084">
        <v>-576</v>
      </c>
      <c r="AZ3084">
        <v>1200</v>
      </c>
      <c r="BA3084">
        <v>1</v>
      </c>
      <c r="BB3084" t="str">
        <f t="shared" si="1708"/>
        <v xml:space="preserve">N9217B  </v>
      </c>
      <c r="BC3084">
        <v>1</v>
      </c>
      <c r="BE3084">
        <v>0</v>
      </c>
      <c r="BF3084">
        <v>0</v>
      </c>
      <c r="BG3084">
        <v>0</v>
      </c>
      <c r="BH3084">
        <v>5800</v>
      </c>
      <c r="BI3084">
        <v>1</v>
      </c>
      <c r="BJ3084">
        <v>0</v>
      </c>
      <c r="BK3084">
        <v>0</v>
      </c>
      <c r="BL3084">
        <v>0</v>
      </c>
      <c r="BO3084">
        <v>0</v>
      </c>
      <c r="BP3084">
        <v>0</v>
      </c>
      <c r="BW3084" t="str">
        <f t="shared" si="1712"/>
        <v>14:56:36.113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285</v>
      </c>
      <c r="CR3084">
        <v>0</v>
      </c>
      <c r="CW3084">
        <v>8874554</v>
      </c>
      <c r="CY3084">
        <v>0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25">
      <c r="A3085" t="str">
        <f t="shared" si="1709"/>
        <v>06/05/2020 14:56:30.491</v>
      </c>
      <c r="C3085" t="str">
        <f t="shared" si="1688"/>
        <v>FFDFD3C0</v>
      </c>
      <c r="D3085" t="s">
        <v>141</v>
      </c>
      <c r="E3085">
        <v>20</v>
      </c>
      <c r="F3085">
        <v>1020</v>
      </c>
      <c r="G3085" t="s">
        <v>114</v>
      </c>
      <c r="J3085" t="s">
        <v>142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710"/>
        <v>14:56:36.109</v>
      </c>
      <c r="T3085" t="str">
        <f t="shared" si="1711"/>
        <v>14:56:35.809</v>
      </c>
      <c r="U3085" t="str">
        <f t="shared" si="1706"/>
        <v>ACC530</v>
      </c>
      <c r="V3085">
        <v>0</v>
      </c>
      <c r="W3085">
        <v>0</v>
      </c>
      <c r="X3085">
        <v>1</v>
      </c>
      <c r="Z3085">
        <v>0</v>
      </c>
      <c r="AA3085">
        <v>9</v>
      </c>
      <c r="AB3085">
        <v>3</v>
      </c>
      <c r="AC3085">
        <v>0</v>
      </c>
      <c r="AD3085">
        <v>9</v>
      </c>
      <c r="AE3085">
        <v>0</v>
      </c>
      <c r="AF3085">
        <v>3</v>
      </c>
      <c r="AG3085">
        <v>1</v>
      </c>
      <c r="AH3085">
        <v>0</v>
      </c>
      <c r="AI3085" t="s">
        <v>1035</v>
      </c>
      <c r="AJ3085">
        <v>34.105038999999998</v>
      </c>
      <c r="AK3085" t="s">
        <v>1036</v>
      </c>
      <c r="AL3085">
        <v>-117.049971</v>
      </c>
      <c r="AM3085">
        <v>100</v>
      </c>
      <c r="AN3085">
        <v>5900</v>
      </c>
      <c r="AO3085" t="s">
        <v>118</v>
      </c>
      <c r="AP3085">
        <v>52</v>
      </c>
      <c r="AQ3085">
        <v>-93</v>
      </c>
      <c r="AR3085">
        <v>-576</v>
      </c>
      <c r="AZ3085">
        <v>1200</v>
      </c>
      <c r="BA3085">
        <v>1</v>
      </c>
      <c r="BB3085" t="str">
        <f t="shared" si="1708"/>
        <v xml:space="preserve">N9217B  </v>
      </c>
      <c r="BC3085">
        <v>1</v>
      </c>
      <c r="BE3085">
        <v>0</v>
      </c>
      <c r="BF3085">
        <v>0</v>
      </c>
      <c r="BG3085">
        <v>0</v>
      </c>
      <c r="BH3085">
        <v>5800</v>
      </c>
      <c r="BI3085">
        <v>1</v>
      </c>
      <c r="BJ3085">
        <v>0</v>
      </c>
      <c r="BK3085">
        <v>0</v>
      </c>
      <c r="BL3085">
        <v>0</v>
      </c>
      <c r="BO3085">
        <v>0</v>
      </c>
      <c r="BP3085">
        <v>0</v>
      </c>
      <c r="BW3085" t="str">
        <f t="shared" si="1712"/>
        <v>14:56:36.113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7</v>
      </c>
      <c r="CP3085" t="s">
        <v>119</v>
      </c>
      <c r="CQ3085">
        <v>285</v>
      </c>
      <c r="CR3085">
        <v>0</v>
      </c>
      <c r="CW3085">
        <v>8874554</v>
      </c>
      <c r="CY3085">
        <v>0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25">
      <c r="A3086" t="str">
        <f t="shared" si="1709"/>
        <v>06/05/2020 14:56:30.491</v>
      </c>
      <c r="C3086" t="str">
        <f t="shared" si="1688"/>
        <v>FFDFD3C0</v>
      </c>
      <c r="D3086" t="s">
        <v>113</v>
      </c>
      <c r="E3086">
        <v>3</v>
      </c>
      <c r="H3086">
        <v>166</v>
      </c>
      <c r="I3086" t="s">
        <v>114</v>
      </c>
      <c r="J3086" t="s">
        <v>115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710"/>
        <v>14:56:36.109</v>
      </c>
      <c r="T3086" t="str">
        <f t="shared" si="1711"/>
        <v>14:56:35.809</v>
      </c>
      <c r="U3086" t="str">
        <f t="shared" si="1706"/>
        <v>ACC530</v>
      </c>
      <c r="V3086">
        <v>0</v>
      </c>
      <c r="W3086">
        <v>0</v>
      </c>
      <c r="X3086">
        <v>1</v>
      </c>
      <c r="Z3086">
        <v>0</v>
      </c>
      <c r="AA3086">
        <v>9</v>
      </c>
      <c r="AB3086">
        <v>3</v>
      </c>
      <c r="AC3086">
        <v>0</v>
      </c>
      <c r="AD3086">
        <v>9</v>
      </c>
      <c r="AE3086">
        <v>0</v>
      </c>
      <c r="AF3086">
        <v>3</v>
      </c>
      <c r="AG3086">
        <v>1</v>
      </c>
      <c r="AH3086">
        <v>0</v>
      </c>
      <c r="AI3086" t="s">
        <v>1035</v>
      </c>
      <c r="AJ3086">
        <v>34.105038999999998</v>
      </c>
      <c r="AK3086" t="s">
        <v>1036</v>
      </c>
      <c r="AL3086">
        <v>-117.049971</v>
      </c>
      <c r="AM3086">
        <v>100</v>
      </c>
      <c r="AN3086">
        <v>5900</v>
      </c>
      <c r="AO3086" t="s">
        <v>118</v>
      </c>
      <c r="AP3086">
        <v>52</v>
      </c>
      <c r="AQ3086">
        <v>-93</v>
      </c>
      <c r="AR3086">
        <v>-576</v>
      </c>
      <c r="AZ3086">
        <v>1200</v>
      </c>
      <c r="BA3086">
        <v>1</v>
      </c>
      <c r="BB3086" t="str">
        <f t="shared" si="1708"/>
        <v xml:space="preserve">N9217B  </v>
      </c>
      <c r="BC3086">
        <v>1</v>
      </c>
      <c r="BE3086">
        <v>0</v>
      </c>
      <c r="BF3086">
        <v>0</v>
      </c>
      <c r="BG3086">
        <v>0</v>
      </c>
      <c r="BH3086">
        <v>5800</v>
      </c>
      <c r="BI3086">
        <v>1</v>
      </c>
      <c r="BJ3086">
        <v>0</v>
      </c>
      <c r="BK3086">
        <v>0</v>
      </c>
      <c r="BL3086">
        <v>0</v>
      </c>
      <c r="BO3086">
        <v>0</v>
      </c>
      <c r="BP3086">
        <v>0</v>
      </c>
      <c r="BW3086" t="str">
        <f t="shared" si="1712"/>
        <v>14:56:36.113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285</v>
      </c>
      <c r="CR3086">
        <v>0</v>
      </c>
      <c r="CW3086">
        <v>8874554</v>
      </c>
      <c r="CY3086">
        <v>0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25">
      <c r="A3087" t="str">
        <f t="shared" si="1709"/>
        <v>06/05/2020 14:56:30.491</v>
      </c>
      <c r="C3087" t="str">
        <f t="shared" si="1688"/>
        <v>FFDFD3C0</v>
      </c>
      <c r="D3087" t="s">
        <v>148</v>
      </c>
      <c r="E3087">
        <v>11</v>
      </c>
      <c r="H3087">
        <v>53</v>
      </c>
      <c r="I3087" t="s">
        <v>364</v>
      </c>
      <c r="J3087" t="s">
        <v>150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710"/>
        <v>14:56:36.109</v>
      </c>
      <c r="T3087" t="str">
        <f t="shared" si="1711"/>
        <v>14:56:35.809</v>
      </c>
      <c r="U3087" t="str">
        <f t="shared" si="1706"/>
        <v>ACC530</v>
      </c>
      <c r="V3087">
        <v>0</v>
      </c>
      <c r="W3087">
        <v>0</v>
      </c>
      <c r="X3087">
        <v>1</v>
      </c>
      <c r="Z3087">
        <v>0</v>
      </c>
      <c r="AA3087">
        <v>9</v>
      </c>
      <c r="AB3087">
        <v>3</v>
      </c>
      <c r="AC3087">
        <v>0</v>
      </c>
      <c r="AD3087">
        <v>9</v>
      </c>
      <c r="AE3087">
        <v>0</v>
      </c>
      <c r="AF3087">
        <v>3</v>
      </c>
      <c r="AG3087">
        <v>1</v>
      </c>
      <c r="AH3087">
        <v>0</v>
      </c>
      <c r="AI3087" t="s">
        <v>1035</v>
      </c>
      <c r="AJ3087">
        <v>34.105038999999998</v>
      </c>
      <c r="AK3087" t="s">
        <v>1036</v>
      </c>
      <c r="AL3087">
        <v>-117.049971</v>
      </c>
      <c r="AM3087">
        <v>100</v>
      </c>
      <c r="AN3087">
        <v>5900</v>
      </c>
      <c r="AO3087" t="s">
        <v>118</v>
      </c>
      <c r="AP3087">
        <v>52</v>
      </c>
      <c r="AQ3087">
        <v>-93</v>
      </c>
      <c r="AR3087">
        <v>-576</v>
      </c>
      <c r="AZ3087">
        <v>1200</v>
      </c>
      <c r="BA3087">
        <v>1</v>
      </c>
      <c r="BB3087" t="str">
        <f t="shared" si="1708"/>
        <v xml:space="preserve">N9217B  </v>
      </c>
      <c r="BC3087">
        <v>1</v>
      </c>
      <c r="BE3087">
        <v>0</v>
      </c>
      <c r="BF3087">
        <v>0</v>
      </c>
      <c r="BG3087">
        <v>0</v>
      </c>
      <c r="BH3087">
        <v>5800</v>
      </c>
      <c r="BI3087">
        <v>1</v>
      </c>
      <c r="BJ3087">
        <v>0</v>
      </c>
      <c r="BK3087">
        <v>0</v>
      </c>
      <c r="BL3087">
        <v>0</v>
      </c>
      <c r="BO3087">
        <v>0</v>
      </c>
      <c r="BP3087">
        <v>0</v>
      </c>
      <c r="BW3087" t="str">
        <f t="shared" si="1712"/>
        <v>14:56:36.113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285</v>
      </c>
      <c r="CR3087">
        <v>0</v>
      </c>
      <c r="CW3087">
        <v>8874554</v>
      </c>
      <c r="CY3087">
        <v>0</v>
      </c>
      <c r="CZ3087">
        <v>0</v>
      </c>
      <c r="DA3087">
        <v>1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25">
      <c r="A3088" t="str">
        <f t="shared" ref="A3088:A3094" si="1713">"06/05/2020 14:56:31.317"</f>
        <v>06/05/2020 14:56:31.317</v>
      </c>
      <c r="C3088" t="str">
        <f t="shared" si="1688"/>
        <v>FFDFD3C0</v>
      </c>
      <c r="D3088" t="s">
        <v>134</v>
      </c>
      <c r="E3088">
        <v>7</v>
      </c>
      <c r="F3088">
        <v>2007</v>
      </c>
      <c r="G3088" t="s">
        <v>135</v>
      </c>
      <c r="J3088" t="s">
        <v>136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ref="S3088:S3094" si="1714">"14:56:36.977"</f>
        <v>14:56:36.977</v>
      </c>
      <c r="T3088" t="str">
        <f t="shared" ref="T3088:T3094" si="1715">"14:56:36.677"</f>
        <v>14:56:36.677</v>
      </c>
      <c r="U3088" t="str">
        <f t="shared" si="1706"/>
        <v>ACC530</v>
      </c>
      <c r="V3088">
        <v>0</v>
      </c>
      <c r="W3088">
        <v>0</v>
      </c>
      <c r="X3088">
        <v>1</v>
      </c>
      <c r="Z3088">
        <v>0</v>
      </c>
      <c r="AA3088">
        <v>9</v>
      </c>
      <c r="AB3088">
        <v>3</v>
      </c>
      <c r="AC3088">
        <v>0</v>
      </c>
      <c r="AD3088">
        <v>9</v>
      </c>
      <c r="AE3088">
        <v>0</v>
      </c>
      <c r="AF3088">
        <v>3</v>
      </c>
      <c r="AG3088">
        <v>1</v>
      </c>
      <c r="AH3088">
        <v>0</v>
      </c>
      <c r="AI3088" t="s">
        <v>1037</v>
      </c>
      <c r="AJ3088">
        <v>34.104674000000003</v>
      </c>
      <c r="AK3088" t="s">
        <v>1038</v>
      </c>
      <c r="AL3088">
        <v>-117.049713</v>
      </c>
      <c r="AM3088">
        <v>100</v>
      </c>
      <c r="AN3088">
        <v>5900</v>
      </c>
      <c r="AO3088" t="s">
        <v>118</v>
      </c>
      <c r="AP3088">
        <v>53</v>
      </c>
      <c r="AQ3088">
        <v>-92</v>
      </c>
      <c r="AR3088">
        <v>-640</v>
      </c>
      <c r="AZ3088">
        <v>1200</v>
      </c>
      <c r="BA3088">
        <v>1</v>
      </c>
      <c r="BB3088" t="str">
        <f t="shared" si="1708"/>
        <v xml:space="preserve">N9217B  </v>
      </c>
      <c r="BC3088">
        <v>1</v>
      </c>
      <c r="BE3088">
        <v>0</v>
      </c>
      <c r="BF3088">
        <v>0</v>
      </c>
      <c r="BG3088">
        <v>0</v>
      </c>
      <c r="BH3088">
        <v>5800</v>
      </c>
      <c r="BI3088">
        <v>1</v>
      </c>
      <c r="BJ3088">
        <v>0</v>
      </c>
      <c r="BK3088">
        <v>0</v>
      </c>
      <c r="BL3088">
        <v>0</v>
      </c>
      <c r="BO3088">
        <v>0</v>
      </c>
      <c r="BP3088">
        <v>0</v>
      </c>
      <c r="BW3088" t="str">
        <f t="shared" ref="BW3088:BW3094" si="1716">"14:56:36.983"</f>
        <v>14:56:36.983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285</v>
      </c>
      <c r="CR3088">
        <v>0</v>
      </c>
      <c r="CW3088">
        <v>8874632</v>
      </c>
      <c r="CY3088">
        <v>0</v>
      </c>
      <c r="CZ3088">
        <v>0</v>
      </c>
      <c r="DA3088">
        <v>0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25">
      <c r="A3089" t="str">
        <f t="shared" si="1713"/>
        <v>06/05/2020 14:56:31.317</v>
      </c>
      <c r="C3089" t="str">
        <f t="shared" si="1688"/>
        <v>FFDFD3C0</v>
      </c>
      <c r="D3089" t="s">
        <v>151</v>
      </c>
      <c r="E3089">
        <v>9</v>
      </c>
      <c r="H3089">
        <v>226</v>
      </c>
      <c r="I3089" t="s">
        <v>152</v>
      </c>
      <c r="J3089" t="s">
        <v>150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714"/>
        <v>14:56:36.977</v>
      </c>
      <c r="T3089" t="str">
        <f t="shared" si="1715"/>
        <v>14:56:36.677</v>
      </c>
      <c r="U3089" t="str">
        <f t="shared" si="1706"/>
        <v>ACC530</v>
      </c>
      <c r="V3089">
        <v>0</v>
      </c>
      <c r="W3089">
        <v>0</v>
      </c>
      <c r="X3089">
        <v>1</v>
      </c>
      <c r="Z3089">
        <v>0</v>
      </c>
      <c r="AA3089">
        <v>9</v>
      </c>
      <c r="AB3089">
        <v>3</v>
      </c>
      <c r="AC3089">
        <v>0</v>
      </c>
      <c r="AD3089">
        <v>9</v>
      </c>
      <c r="AE3089">
        <v>0</v>
      </c>
      <c r="AF3089">
        <v>3</v>
      </c>
      <c r="AG3089">
        <v>1</v>
      </c>
      <c r="AH3089">
        <v>0</v>
      </c>
      <c r="AI3089" t="s">
        <v>1037</v>
      </c>
      <c r="AJ3089">
        <v>34.104674000000003</v>
      </c>
      <c r="AK3089" t="s">
        <v>1038</v>
      </c>
      <c r="AL3089">
        <v>-117.049713</v>
      </c>
      <c r="AM3089">
        <v>100</v>
      </c>
      <c r="AN3089">
        <v>5900</v>
      </c>
      <c r="AO3089" t="s">
        <v>118</v>
      </c>
      <c r="AP3089">
        <v>53</v>
      </c>
      <c r="AQ3089">
        <v>-92</v>
      </c>
      <c r="AR3089">
        <v>-640</v>
      </c>
      <c r="AZ3089">
        <v>1200</v>
      </c>
      <c r="BA3089">
        <v>1</v>
      </c>
      <c r="BB3089" t="str">
        <f t="shared" si="1708"/>
        <v xml:space="preserve">N9217B  </v>
      </c>
      <c r="BC3089">
        <v>1</v>
      </c>
      <c r="BE3089">
        <v>0</v>
      </c>
      <c r="BF3089">
        <v>0</v>
      </c>
      <c r="BG3089">
        <v>0</v>
      </c>
      <c r="BH3089">
        <v>5800</v>
      </c>
      <c r="BI3089">
        <v>1</v>
      </c>
      <c r="BJ3089">
        <v>0</v>
      </c>
      <c r="BK3089">
        <v>0</v>
      </c>
      <c r="BL3089">
        <v>0</v>
      </c>
      <c r="BO3089">
        <v>0</v>
      </c>
      <c r="BP3089">
        <v>0</v>
      </c>
      <c r="BW3089" t="str">
        <f t="shared" si="1716"/>
        <v>14:56:36.983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285</v>
      </c>
      <c r="CR3089">
        <v>0</v>
      </c>
      <c r="CW3089">
        <v>8874632</v>
      </c>
      <c r="CY3089">
        <v>0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25">
      <c r="A3090" t="str">
        <f t="shared" si="1713"/>
        <v>06/05/2020 14:56:31.317</v>
      </c>
      <c r="C3090" t="str">
        <f t="shared" si="1688"/>
        <v>FFDFD3C0</v>
      </c>
      <c r="D3090" t="s">
        <v>141</v>
      </c>
      <c r="E3090">
        <v>20</v>
      </c>
      <c r="F3090">
        <v>1020</v>
      </c>
      <c r="G3090" t="s">
        <v>114</v>
      </c>
      <c r="J3090" t="s">
        <v>142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714"/>
        <v>14:56:36.977</v>
      </c>
      <c r="T3090" t="str">
        <f t="shared" si="1715"/>
        <v>14:56:36.677</v>
      </c>
      <c r="U3090" t="str">
        <f t="shared" si="1706"/>
        <v>ACC530</v>
      </c>
      <c r="V3090">
        <v>0</v>
      </c>
      <c r="W3090">
        <v>0</v>
      </c>
      <c r="X3090">
        <v>1</v>
      </c>
      <c r="Z3090">
        <v>0</v>
      </c>
      <c r="AA3090">
        <v>9</v>
      </c>
      <c r="AB3090">
        <v>3</v>
      </c>
      <c r="AC3090">
        <v>0</v>
      </c>
      <c r="AD3090">
        <v>9</v>
      </c>
      <c r="AE3090">
        <v>0</v>
      </c>
      <c r="AF3090">
        <v>3</v>
      </c>
      <c r="AG3090">
        <v>1</v>
      </c>
      <c r="AH3090">
        <v>0</v>
      </c>
      <c r="AI3090" t="s">
        <v>1037</v>
      </c>
      <c r="AJ3090">
        <v>34.104674000000003</v>
      </c>
      <c r="AK3090" t="s">
        <v>1038</v>
      </c>
      <c r="AL3090">
        <v>-117.049713</v>
      </c>
      <c r="AM3090">
        <v>100</v>
      </c>
      <c r="AN3090">
        <v>5900</v>
      </c>
      <c r="AO3090" t="s">
        <v>118</v>
      </c>
      <c r="AP3090">
        <v>53</v>
      </c>
      <c r="AQ3090">
        <v>-92</v>
      </c>
      <c r="AR3090">
        <v>-640</v>
      </c>
      <c r="AZ3090">
        <v>1200</v>
      </c>
      <c r="BA3090">
        <v>1</v>
      </c>
      <c r="BB3090" t="str">
        <f t="shared" si="1708"/>
        <v xml:space="preserve">N9217B  </v>
      </c>
      <c r="BC3090">
        <v>1</v>
      </c>
      <c r="BE3090">
        <v>0</v>
      </c>
      <c r="BF3090">
        <v>0</v>
      </c>
      <c r="BG3090">
        <v>0</v>
      </c>
      <c r="BH3090">
        <v>5800</v>
      </c>
      <c r="BI3090">
        <v>1</v>
      </c>
      <c r="BJ3090">
        <v>0</v>
      </c>
      <c r="BK3090">
        <v>0</v>
      </c>
      <c r="BL3090">
        <v>0</v>
      </c>
      <c r="BO3090">
        <v>0</v>
      </c>
      <c r="BP3090">
        <v>0</v>
      </c>
      <c r="BW3090" t="str">
        <f t="shared" si="1716"/>
        <v>14:56:36.983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119</v>
      </c>
      <c r="CQ3090">
        <v>285</v>
      </c>
      <c r="CR3090">
        <v>0</v>
      </c>
      <c r="CW3090">
        <v>8874632</v>
      </c>
      <c r="CY3090">
        <v>0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25">
      <c r="A3091" t="str">
        <f t="shared" si="1713"/>
        <v>06/05/2020 14:56:31.317</v>
      </c>
      <c r="C3091" t="str">
        <f t="shared" si="1688"/>
        <v>FFDFD3C0</v>
      </c>
      <c r="D3091" t="s">
        <v>113</v>
      </c>
      <c r="E3091">
        <v>3</v>
      </c>
      <c r="H3091">
        <v>166</v>
      </c>
      <c r="I3091" t="s">
        <v>114</v>
      </c>
      <c r="J3091" t="s">
        <v>115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714"/>
        <v>14:56:36.977</v>
      </c>
      <c r="T3091" t="str">
        <f t="shared" si="1715"/>
        <v>14:56:36.677</v>
      </c>
      <c r="U3091" t="str">
        <f t="shared" si="1706"/>
        <v>ACC530</v>
      </c>
      <c r="V3091">
        <v>0</v>
      </c>
      <c r="W3091">
        <v>0</v>
      </c>
      <c r="X3091">
        <v>1</v>
      </c>
      <c r="Z3091">
        <v>0</v>
      </c>
      <c r="AA3091">
        <v>9</v>
      </c>
      <c r="AB3091">
        <v>3</v>
      </c>
      <c r="AC3091">
        <v>0</v>
      </c>
      <c r="AD3091">
        <v>9</v>
      </c>
      <c r="AE3091">
        <v>0</v>
      </c>
      <c r="AF3091">
        <v>3</v>
      </c>
      <c r="AG3091">
        <v>1</v>
      </c>
      <c r="AH3091">
        <v>0</v>
      </c>
      <c r="AI3091" t="s">
        <v>1037</v>
      </c>
      <c r="AJ3091">
        <v>34.104674000000003</v>
      </c>
      <c r="AK3091" t="s">
        <v>1038</v>
      </c>
      <c r="AL3091">
        <v>-117.049713</v>
      </c>
      <c r="AM3091">
        <v>100</v>
      </c>
      <c r="AN3091">
        <v>5900</v>
      </c>
      <c r="AO3091" t="s">
        <v>118</v>
      </c>
      <c r="AP3091">
        <v>53</v>
      </c>
      <c r="AQ3091">
        <v>-92</v>
      </c>
      <c r="AR3091">
        <v>-640</v>
      </c>
      <c r="AZ3091">
        <v>1200</v>
      </c>
      <c r="BA3091">
        <v>1</v>
      </c>
      <c r="BB3091" t="str">
        <f t="shared" si="1708"/>
        <v xml:space="preserve">N9217B  </v>
      </c>
      <c r="BC3091">
        <v>1</v>
      </c>
      <c r="BE3091">
        <v>0</v>
      </c>
      <c r="BF3091">
        <v>0</v>
      </c>
      <c r="BG3091">
        <v>0</v>
      </c>
      <c r="BH3091">
        <v>5800</v>
      </c>
      <c r="BI3091">
        <v>1</v>
      </c>
      <c r="BJ3091">
        <v>0</v>
      </c>
      <c r="BK3091">
        <v>0</v>
      </c>
      <c r="BL3091">
        <v>0</v>
      </c>
      <c r="BO3091">
        <v>0</v>
      </c>
      <c r="BP3091">
        <v>0</v>
      </c>
      <c r="BW3091" t="str">
        <f t="shared" si="1716"/>
        <v>14:56:36.983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285</v>
      </c>
      <c r="CR3091">
        <v>0</v>
      </c>
      <c r="CW3091">
        <v>8874632</v>
      </c>
      <c r="CY3091">
        <v>0</v>
      </c>
      <c r="CZ3091">
        <v>0</v>
      </c>
      <c r="DA3091">
        <v>1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25">
      <c r="A3092" t="str">
        <f t="shared" si="1713"/>
        <v>06/05/2020 14:56:31.317</v>
      </c>
      <c r="C3092" t="str">
        <f t="shared" si="1688"/>
        <v>FFDFD3C0</v>
      </c>
      <c r="D3092" t="s">
        <v>148</v>
      </c>
      <c r="E3092">
        <v>11</v>
      </c>
      <c r="H3092">
        <v>53</v>
      </c>
      <c r="I3092" t="s">
        <v>364</v>
      </c>
      <c r="J3092" t="s">
        <v>150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714"/>
        <v>14:56:36.977</v>
      </c>
      <c r="T3092" t="str">
        <f t="shared" si="1715"/>
        <v>14:56:36.677</v>
      </c>
      <c r="U3092" t="str">
        <f t="shared" si="1706"/>
        <v>ACC530</v>
      </c>
      <c r="V3092">
        <v>0</v>
      </c>
      <c r="W3092">
        <v>0</v>
      </c>
      <c r="X3092">
        <v>1</v>
      </c>
      <c r="Z3092">
        <v>0</v>
      </c>
      <c r="AA3092">
        <v>9</v>
      </c>
      <c r="AB3092">
        <v>3</v>
      </c>
      <c r="AC3092">
        <v>0</v>
      </c>
      <c r="AD3092">
        <v>9</v>
      </c>
      <c r="AE3092">
        <v>0</v>
      </c>
      <c r="AF3092">
        <v>3</v>
      </c>
      <c r="AG3092">
        <v>1</v>
      </c>
      <c r="AH3092">
        <v>0</v>
      </c>
      <c r="AI3092" t="s">
        <v>1037</v>
      </c>
      <c r="AJ3092">
        <v>34.104674000000003</v>
      </c>
      <c r="AK3092" t="s">
        <v>1038</v>
      </c>
      <c r="AL3092">
        <v>-117.049713</v>
      </c>
      <c r="AM3092">
        <v>100</v>
      </c>
      <c r="AN3092">
        <v>5900</v>
      </c>
      <c r="AO3092" t="s">
        <v>118</v>
      </c>
      <c r="AP3092">
        <v>53</v>
      </c>
      <c r="AQ3092">
        <v>-92</v>
      </c>
      <c r="AR3092">
        <v>-640</v>
      </c>
      <c r="AZ3092">
        <v>1200</v>
      </c>
      <c r="BA3092">
        <v>1</v>
      </c>
      <c r="BB3092" t="str">
        <f t="shared" si="1708"/>
        <v xml:space="preserve">N9217B  </v>
      </c>
      <c r="BC3092">
        <v>1</v>
      </c>
      <c r="BE3092">
        <v>0</v>
      </c>
      <c r="BF3092">
        <v>0</v>
      </c>
      <c r="BG3092">
        <v>0</v>
      </c>
      <c r="BH3092">
        <v>5800</v>
      </c>
      <c r="BI3092">
        <v>1</v>
      </c>
      <c r="BJ3092">
        <v>0</v>
      </c>
      <c r="BK3092">
        <v>0</v>
      </c>
      <c r="BL3092">
        <v>0</v>
      </c>
      <c r="BO3092">
        <v>0</v>
      </c>
      <c r="BP3092">
        <v>0</v>
      </c>
      <c r="BW3092" t="str">
        <f t="shared" si="1716"/>
        <v>14:56:36.983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285</v>
      </c>
      <c r="CR3092">
        <v>0</v>
      </c>
      <c r="CW3092">
        <v>8874632</v>
      </c>
      <c r="CY3092">
        <v>0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25">
      <c r="A3093" t="str">
        <f t="shared" si="1713"/>
        <v>06/05/2020 14:56:31.317</v>
      </c>
      <c r="C3093" t="str">
        <f t="shared" si="1688"/>
        <v>FFDFD3C0</v>
      </c>
      <c r="D3093" t="s">
        <v>148</v>
      </c>
      <c r="E3093">
        <v>8</v>
      </c>
      <c r="H3093">
        <v>50</v>
      </c>
      <c r="I3093" t="s">
        <v>149</v>
      </c>
      <c r="J3093" t="s">
        <v>150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714"/>
        <v>14:56:36.977</v>
      </c>
      <c r="T3093" t="str">
        <f t="shared" si="1715"/>
        <v>14:56:36.677</v>
      </c>
      <c r="U3093" t="str">
        <f t="shared" si="1706"/>
        <v>ACC530</v>
      </c>
      <c r="V3093">
        <v>0</v>
      </c>
      <c r="W3093">
        <v>0</v>
      </c>
      <c r="X3093">
        <v>1</v>
      </c>
      <c r="Z3093">
        <v>0</v>
      </c>
      <c r="AA3093">
        <v>9</v>
      </c>
      <c r="AB3093">
        <v>3</v>
      </c>
      <c r="AC3093">
        <v>0</v>
      </c>
      <c r="AD3093">
        <v>9</v>
      </c>
      <c r="AE3093">
        <v>0</v>
      </c>
      <c r="AF3093">
        <v>3</v>
      </c>
      <c r="AG3093">
        <v>1</v>
      </c>
      <c r="AH3093">
        <v>0</v>
      </c>
      <c r="AI3093" t="s">
        <v>1037</v>
      </c>
      <c r="AJ3093">
        <v>34.104674000000003</v>
      </c>
      <c r="AK3093" t="s">
        <v>1038</v>
      </c>
      <c r="AL3093">
        <v>-117.049713</v>
      </c>
      <c r="AM3093">
        <v>100</v>
      </c>
      <c r="AN3093">
        <v>5900</v>
      </c>
      <c r="AO3093" t="s">
        <v>118</v>
      </c>
      <c r="AP3093">
        <v>53</v>
      </c>
      <c r="AQ3093">
        <v>-92</v>
      </c>
      <c r="AR3093">
        <v>-640</v>
      </c>
      <c r="AZ3093">
        <v>1200</v>
      </c>
      <c r="BA3093">
        <v>1</v>
      </c>
      <c r="BB3093" t="str">
        <f t="shared" si="1708"/>
        <v xml:space="preserve">N9217B  </v>
      </c>
      <c r="BC3093">
        <v>1</v>
      </c>
      <c r="BE3093">
        <v>0</v>
      </c>
      <c r="BF3093">
        <v>0</v>
      </c>
      <c r="BG3093">
        <v>0</v>
      </c>
      <c r="BH3093">
        <v>5800</v>
      </c>
      <c r="BI3093">
        <v>1</v>
      </c>
      <c r="BJ3093">
        <v>0</v>
      </c>
      <c r="BK3093">
        <v>0</v>
      </c>
      <c r="BL3093">
        <v>0</v>
      </c>
      <c r="BO3093">
        <v>0</v>
      </c>
      <c r="BP3093">
        <v>0</v>
      </c>
      <c r="BW3093" t="str">
        <f t="shared" si="1716"/>
        <v>14:56:36.983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285</v>
      </c>
      <c r="CR3093">
        <v>0</v>
      </c>
      <c r="CW3093">
        <v>8874632</v>
      </c>
      <c r="CY3093">
        <v>0</v>
      </c>
      <c r="CZ3093">
        <v>0</v>
      </c>
      <c r="DA3093">
        <v>1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25">
      <c r="A3094" t="str">
        <f t="shared" si="1713"/>
        <v>06/05/2020 14:56:31.317</v>
      </c>
      <c r="C3094" t="str">
        <f t="shared" si="1688"/>
        <v>FFDFD3C0</v>
      </c>
      <c r="D3094" t="s">
        <v>151</v>
      </c>
      <c r="E3094">
        <v>8</v>
      </c>
      <c r="H3094">
        <v>225</v>
      </c>
      <c r="I3094" t="s">
        <v>353</v>
      </c>
      <c r="J3094" t="s">
        <v>150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si="1714"/>
        <v>14:56:36.977</v>
      </c>
      <c r="T3094" t="str">
        <f t="shared" si="1715"/>
        <v>14:56:36.677</v>
      </c>
      <c r="U3094" t="str">
        <f t="shared" si="1706"/>
        <v>ACC530</v>
      </c>
      <c r="V3094">
        <v>0</v>
      </c>
      <c r="W3094">
        <v>0</v>
      </c>
      <c r="X3094">
        <v>1</v>
      </c>
      <c r="Z3094">
        <v>0</v>
      </c>
      <c r="AA3094">
        <v>9</v>
      </c>
      <c r="AB3094">
        <v>3</v>
      </c>
      <c r="AC3094">
        <v>0</v>
      </c>
      <c r="AD3094">
        <v>9</v>
      </c>
      <c r="AE3094">
        <v>0</v>
      </c>
      <c r="AF3094">
        <v>3</v>
      </c>
      <c r="AG3094">
        <v>1</v>
      </c>
      <c r="AH3094">
        <v>0</v>
      </c>
      <c r="AI3094" t="s">
        <v>1037</v>
      </c>
      <c r="AJ3094">
        <v>34.104674000000003</v>
      </c>
      <c r="AK3094" t="s">
        <v>1038</v>
      </c>
      <c r="AL3094">
        <v>-117.049713</v>
      </c>
      <c r="AM3094">
        <v>100</v>
      </c>
      <c r="AN3094">
        <v>5900</v>
      </c>
      <c r="AO3094" t="s">
        <v>118</v>
      </c>
      <c r="AP3094">
        <v>53</v>
      </c>
      <c r="AQ3094">
        <v>-92</v>
      </c>
      <c r="AR3094">
        <v>-640</v>
      </c>
      <c r="AZ3094">
        <v>1200</v>
      </c>
      <c r="BA3094">
        <v>1</v>
      </c>
      <c r="BB3094" t="str">
        <f t="shared" si="1708"/>
        <v xml:space="preserve">N9217B  </v>
      </c>
      <c r="BC3094">
        <v>1</v>
      </c>
      <c r="BE3094">
        <v>0</v>
      </c>
      <c r="BF3094">
        <v>0</v>
      </c>
      <c r="BG3094">
        <v>0</v>
      </c>
      <c r="BH3094">
        <v>5800</v>
      </c>
      <c r="BI3094">
        <v>1</v>
      </c>
      <c r="BJ3094">
        <v>0</v>
      </c>
      <c r="BK3094">
        <v>0</v>
      </c>
      <c r="BL3094">
        <v>0</v>
      </c>
      <c r="BO3094">
        <v>0</v>
      </c>
      <c r="BP3094">
        <v>0</v>
      </c>
      <c r="BW3094" t="str">
        <f t="shared" si="1716"/>
        <v>14:56:36.983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285</v>
      </c>
      <c r="CR3094">
        <v>0</v>
      </c>
      <c r="CW3094">
        <v>8874632</v>
      </c>
      <c r="CY3094">
        <v>0</v>
      </c>
      <c r="CZ3094">
        <v>0</v>
      </c>
      <c r="DA3094">
        <v>1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25">
      <c r="A3095" t="str">
        <f t="shared" ref="A3095:A3101" si="1717">"06/05/2020 14:56:32.353"</f>
        <v>06/05/2020 14:56:32.353</v>
      </c>
      <c r="C3095" t="str">
        <f t="shared" si="1688"/>
        <v>FFDFD3C0</v>
      </c>
      <c r="D3095" t="s">
        <v>113</v>
      </c>
      <c r="E3095">
        <v>3</v>
      </c>
      <c r="H3095">
        <v>166</v>
      </c>
      <c r="I3095" t="s">
        <v>114</v>
      </c>
      <c r="J3095" t="s">
        <v>115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ref="S3095:S3101" si="1718">"14:56:38.016"</f>
        <v>14:56:38.016</v>
      </c>
      <c r="T3095" t="str">
        <f t="shared" ref="T3095:T3101" si="1719">"14:56:37.716"</f>
        <v>14:56:37.716</v>
      </c>
      <c r="U3095" t="str">
        <f t="shared" si="1706"/>
        <v>ACC530</v>
      </c>
      <c r="V3095">
        <v>0</v>
      </c>
      <c r="W3095">
        <v>0</v>
      </c>
      <c r="X3095">
        <v>1</v>
      </c>
      <c r="Z3095">
        <v>0</v>
      </c>
      <c r="AA3095">
        <v>9</v>
      </c>
      <c r="AB3095">
        <v>3</v>
      </c>
      <c r="AC3095">
        <v>0</v>
      </c>
      <c r="AD3095">
        <v>9</v>
      </c>
      <c r="AE3095">
        <v>0</v>
      </c>
      <c r="AF3095">
        <v>3</v>
      </c>
      <c r="AG3095">
        <v>1</v>
      </c>
      <c r="AH3095">
        <v>0</v>
      </c>
      <c r="AI3095" t="s">
        <v>1039</v>
      </c>
      <c r="AJ3095">
        <v>34.104222999999998</v>
      </c>
      <c r="AK3095" t="s">
        <v>865</v>
      </c>
      <c r="AL3095">
        <v>-117.04934799999999</v>
      </c>
      <c r="AM3095">
        <v>100</v>
      </c>
      <c r="AN3095">
        <v>5900</v>
      </c>
      <c r="AO3095" t="s">
        <v>118</v>
      </c>
      <c r="AP3095">
        <v>54</v>
      </c>
      <c r="AQ3095">
        <v>-91</v>
      </c>
      <c r="AR3095">
        <v>-704</v>
      </c>
      <c r="AZ3095">
        <v>1200</v>
      </c>
      <c r="BA3095">
        <v>1</v>
      </c>
      <c r="BB3095" t="str">
        <f t="shared" si="1708"/>
        <v xml:space="preserve">N9217B  </v>
      </c>
      <c r="BC3095">
        <v>1</v>
      </c>
      <c r="BE3095">
        <v>0</v>
      </c>
      <c r="BF3095">
        <v>0</v>
      </c>
      <c r="BG3095">
        <v>0</v>
      </c>
      <c r="BH3095">
        <v>5775</v>
      </c>
      <c r="BI3095">
        <v>1</v>
      </c>
      <c r="BJ3095">
        <v>0</v>
      </c>
      <c r="BK3095">
        <v>0</v>
      </c>
      <c r="BL3095">
        <v>0</v>
      </c>
      <c r="BO3095">
        <v>0</v>
      </c>
      <c r="BP3095">
        <v>0</v>
      </c>
      <c r="BW3095" t="str">
        <f t="shared" ref="BW3095:BW3101" si="1720">"14:56:38.018"</f>
        <v>14:56:38.018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285</v>
      </c>
      <c r="CR3095">
        <v>0</v>
      </c>
      <c r="CW3095">
        <v>8874719</v>
      </c>
      <c r="CY3095">
        <v>0</v>
      </c>
      <c r="CZ3095">
        <v>0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25">
      <c r="A3096" t="str">
        <f t="shared" si="1717"/>
        <v>06/05/2020 14:56:32.353</v>
      </c>
      <c r="C3096" t="str">
        <f t="shared" si="1688"/>
        <v>FFDFD3C0</v>
      </c>
      <c r="D3096" t="s">
        <v>148</v>
      </c>
      <c r="E3096">
        <v>11</v>
      </c>
      <c r="H3096">
        <v>53</v>
      </c>
      <c r="I3096" t="s">
        <v>364</v>
      </c>
      <c r="J3096" t="s">
        <v>150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718"/>
        <v>14:56:38.016</v>
      </c>
      <c r="T3096" t="str">
        <f t="shared" si="1719"/>
        <v>14:56:37.716</v>
      </c>
      <c r="U3096" t="str">
        <f t="shared" si="1706"/>
        <v>ACC530</v>
      </c>
      <c r="V3096">
        <v>0</v>
      </c>
      <c r="W3096">
        <v>0</v>
      </c>
      <c r="X3096">
        <v>1</v>
      </c>
      <c r="Z3096">
        <v>0</v>
      </c>
      <c r="AA3096">
        <v>9</v>
      </c>
      <c r="AB3096">
        <v>3</v>
      </c>
      <c r="AC3096">
        <v>0</v>
      </c>
      <c r="AD3096">
        <v>9</v>
      </c>
      <c r="AE3096">
        <v>0</v>
      </c>
      <c r="AF3096">
        <v>3</v>
      </c>
      <c r="AG3096">
        <v>1</v>
      </c>
      <c r="AH3096">
        <v>0</v>
      </c>
      <c r="AI3096" t="s">
        <v>1039</v>
      </c>
      <c r="AJ3096">
        <v>34.104222999999998</v>
      </c>
      <c r="AK3096" t="s">
        <v>865</v>
      </c>
      <c r="AL3096">
        <v>-117.04934799999999</v>
      </c>
      <c r="AM3096">
        <v>100</v>
      </c>
      <c r="AN3096">
        <v>5900</v>
      </c>
      <c r="AO3096" t="s">
        <v>118</v>
      </c>
      <c r="AP3096">
        <v>54</v>
      </c>
      <c r="AQ3096">
        <v>-91</v>
      </c>
      <c r="AR3096">
        <v>-704</v>
      </c>
      <c r="AZ3096">
        <v>1200</v>
      </c>
      <c r="BA3096">
        <v>1</v>
      </c>
      <c r="BB3096" t="str">
        <f t="shared" si="1708"/>
        <v xml:space="preserve">N9217B  </v>
      </c>
      <c r="BC3096">
        <v>1</v>
      </c>
      <c r="BE3096">
        <v>0</v>
      </c>
      <c r="BF3096">
        <v>0</v>
      </c>
      <c r="BG3096">
        <v>0</v>
      </c>
      <c r="BH3096">
        <v>5775</v>
      </c>
      <c r="BI3096">
        <v>1</v>
      </c>
      <c r="BJ3096">
        <v>0</v>
      </c>
      <c r="BK3096">
        <v>0</v>
      </c>
      <c r="BL3096">
        <v>0</v>
      </c>
      <c r="BO3096">
        <v>0</v>
      </c>
      <c r="BP3096">
        <v>0</v>
      </c>
      <c r="BW3096" t="str">
        <f t="shared" si="1720"/>
        <v>14:56:38.018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285</v>
      </c>
      <c r="CR3096">
        <v>0</v>
      </c>
      <c r="CW3096">
        <v>8874719</v>
      </c>
      <c r="CY3096">
        <v>0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25">
      <c r="A3097" t="str">
        <f t="shared" si="1717"/>
        <v>06/05/2020 14:56:32.353</v>
      </c>
      <c r="C3097" t="str">
        <f t="shared" si="1688"/>
        <v>FFDFD3C0</v>
      </c>
      <c r="D3097" t="s">
        <v>148</v>
      </c>
      <c r="E3097">
        <v>8</v>
      </c>
      <c r="H3097">
        <v>50</v>
      </c>
      <c r="I3097" t="s">
        <v>149</v>
      </c>
      <c r="J3097" t="s">
        <v>150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718"/>
        <v>14:56:38.016</v>
      </c>
      <c r="T3097" t="str">
        <f t="shared" si="1719"/>
        <v>14:56:37.716</v>
      </c>
      <c r="U3097" t="str">
        <f t="shared" si="1706"/>
        <v>ACC530</v>
      </c>
      <c r="V3097">
        <v>0</v>
      </c>
      <c r="W3097">
        <v>0</v>
      </c>
      <c r="X3097">
        <v>1</v>
      </c>
      <c r="Z3097">
        <v>0</v>
      </c>
      <c r="AA3097">
        <v>9</v>
      </c>
      <c r="AB3097">
        <v>3</v>
      </c>
      <c r="AC3097">
        <v>0</v>
      </c>
      <c r="AD3097">
        <v>9</v>
      </c>
      <c r="AE3097">
        <v>0</v>
      </c>
      <c r="AF3097">
        <v>3</v>
      </c>
      <c r="AG3097">
        <v>1</v>
      </c>
      <c r="AH3097">
        <v>0</v>
      </c>
      <c r="AI3097" t="s">
        <v>1039</v>
      </c>
      <c r="AJ3097">
        <v>34.104222999999998</v>
      </c>
      <c r="AK3097" t="s">
        <v>865</v>
      </c>
      <c r="AL3097">
        <v>-117.04934799999999</v>
      </c>
      <c r="AM3097">
        <v>100</v>
      </c>
      <c r="AN3097">
        <v>5900</v>
      </c>
      <c r="AO3097" t="s">
        <v>118</v>
      </c>
      <c r="AP3097">
        <v>54</v>
      </c>
      <c r="AQ3097">
        <v>-91</v>
      </c>
      <c r="AR3097">
        <v>-704</v>
      </c>
      <c r="AZ3097">
        <v>1200</v>
      </c>
      <c r="BA3097">
        <v>1</v>
      </c>
      <c r="BB3097" t="str">
        <f t="shared" si="1708"/>
        <v xml:space="preserve">N9217B  </v>
      </c>
      <c r="BC3097">
        <v>1</v>
      </c>
      <c r="BE3097">
        <v>0</v>
      </c>
      <c r="BF3097">
        <v>0</v>
      </c>
      <c r="BG3097">
        <v>0</v>
      </c>
      <c r="BH3097">
        <v>5775</v>
      </c>
      <c r="BI3097">
        <v>1</v>
      </c>
      <c r="BJ3097">
        <v>0</v>
      </c>
      <c r="BK3097">
        <v>0</v>
      </c>
      <c r="BL3097">
        <v>0</v>
      </c>
      <c r="BO3097">
        <v>0</v>
      </c>
      <c r="BP3097">
        <v>0</v>
      </c>
      <c r="BW3097" t="str">
        <f t="shared" si="1720"/>
        <v>14:56:38.018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285</v>
      </c>
      <c r="CR3097">
        <v>0</v>
      </c>
      <c r="CW3097">
        <v>8874719</v>
      </c>
      <c r="CY3097">
        <v>0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25">
      <c r="A3098" t="str">
        <f t="shared" si="1717"/>
        <v>06/05/2020 14:56:32.353</v>
      </c>
      <c r="C3098" t="str">
        <f t="shared" si="1688"/>
        <v>FFDFD3C0</v>
      </c>
      <c r="D3098" t="s">
        <v>151</v>
      </c>
      <c r="E3098">
        <v>8</v>
      </c>
      <c r="H3098">
        <v>225</v>
      </c>
      <c r="I3098" t="s">
        <v>353</v>
      </c>
      <c r="J3098" t="s">
        <v>150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718"/>
        <v>14:56:38.016</v>
      </c>
      <c r="T3098" t="str">
        <f t="shared" si="1719"/>
        <v>14:56:37.716</v>
      </c>
      <c r="U3098" t="str">
        <f t="shared" si="1706"/>
        <v>ACC530</v>
      </c>
      <c r="V3098">
        <v>0</v>
      </c>
      <c r="W3098">
        <v>0</v>
      </c>
      <c r="X3098">
        <v>1</v>
      </c>
      <c r="Z3098">
        <v>0</v>
      </c>
      <c r="AA3098">
        <v>9</v>
      </c>
      <c r="AB3098">
        <v>3</v>
      </c>
      <c r="AC3098">
        <v>0</v>
      </c>
      <c r="AD3098">
        <v>9</v>
      </c>
      <c r="AE3098">
        <v>0</v>
      </c>
      <c r="AF3098">
        <v>3</v>
      </c>
      <c r="AG3098">
        <v>1</v>
      </c>
      <c r="AH3098">
        <v>0</v>
      </c>
      <c r="AI3098" t="s">
        <v>1039</v>
      </c>
      <c r="AJ3098">
        <v>34.104222999999998</v>
      </c>
      <c r="AK3098" t="s">
        <v>865</v>
      </c>
      <c r="AL3098">
        <v>-117.04934799999999</v>
      </c>
      <c r="AM3098">
        <v>100</v>
      </c>
      <c r="AN3098">
        <v>5900</v>
      </c>
      <c r="AO3098" t="s">
        <v>118</v>
      </c>
      <c r="AP3098">
        <v>54</v>
      </c>
      <c r="AQ3098">
        <v>-91</v>
      </c>
      <c r="AR3098">
        <v>-704</v>
      </c>
      <c r="AZ3098">
        <v>1200</v>
      </c>
      <c r="BA3098">
        <v>1</v>
      </c>
      <c r="BB3098" t="str">
        <f t="shared" si="1708"/>
        <v xml:space="preserve">N9217B  </v>
      </c>
      <c r="BC3098">
        <v>1</v>
      </c>
      <c r="BE3098">
        <v>0</v>
      </c>
      <c r="BF3098">
        <v>0</v>
      </c>
      <c r="BG3098">
        <v>0</v>
      </c>
      <c r="BH3098">
        <v>5775</v>
      </c>
      <c r="BI3098">
        <v>1</v>
      </c>
      <c r="BJ3098">
        <v>0</v>
      </c>
      <c r="BK3098">
        <v>0</v>
      </c>
      <c r="BL3098">
        <v>0</v>
      </c>
      <c r="BO3098">
        <v>0</v>
      </c>
      <c r="BP3098">
        <v>0</v>
      </c>
      <c r="BW3098" t="str">
        <f t="shared" si="1720"/>
        <v>14:56:38.018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285</v>
      </c>
      <c r="CR3098">
        <v>0</v>
      </c>
      <c r="CW3098">
        <v>8874719</v>
      </c>
      <c r="CY3098">
        <v>0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25">
      <c r="A3099" t="str">
        <f t="shared" si="1717"/>
        <v>06/05/2020 14:56:32.353</v>
      </c>
      <c r="C3099" t="str">
        <f t="shared" si="1688"/>
        <v>FFDFD3C0</v>
      </c>
      <c r="D3099" t="s">
        <v>134</v>
      </c>
      <c r="E3099">
        <v>7</v>
      </c>
      <c r="F3099">
        <v>2007</v>
      </c>
      <c r="G3099" t="s">
        <v>135</v>
      </c>
      <c r="J3099" t="s">
        <v>136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718"/>
        <v>14:56:38.016</v>
      </c>
      <c r="T3099" t="str">
        <f t="shared" si="1719"/>
        <v>14:56:37.716</v>
      </c>
      <c r="U3099" t="str">
        <f t="shared" si="1706"/>
        <v>ACC530</v>
      </c>
      <c r="V3099">
        <v>0</v>
      </c>
      <c r="W3099">
        <v>0</v>
      </c>
      <c r="X3099">
        <v>1</v>
      </c>
      <c r="Z3099">
        <v>0</v>
      </c>
      <c r="AA3099">
        <v>9</v>
      </c>
      <c r="AB3099">
        <v>3</v>
      </c>
      <c r="AC3099">
        <v>0</v>
      </c>
      <c r="AD3099">
        <v>9</v>
      </c>
      <c r="AE3099">
        <v>0</v>
      </c>
      <c r="AF3099">
        <v>3</v>
      </c>
      <c r="AG3099">
        <v>1</v>
      </c>
      <c r="AH3099">
        <v>0</v>
      </c>
      <c r="AI3099" t="s">
        <v>1039</v>
      </c>
      <c r="AJ3099">
        <v>34.104222999999998</v>
      </c>
      <c r="AK3099" t="s">
        <v>865</v>
      </c>
      <c r="AL3099">
        <v>-117.04934799999999</v>
      </c>
      <c r="AM3099">
        <v>100</v>
      </c>
      <c r="AN3099">
        <v>5900</v>
      </c>
      <c r="AO3099" t="s">
        <v>118</v>
      </c>
      <c r="AP3099">
        <v>54</v>
      </c>
      <c r="AQ3099">
        <v>-91</v>
      </c>
      <c r="AR3099">
        <v>-704</v>
      </c>
      <c r="AZ3099">
        <v>1200</v>
      </c>
      <c r="BA3099">
        <v>1</v>
      </c>
      <c r="BB3099" t="str">
        <f t="shared" si="1708"/>
        <v xml:space="preserve">N9217B  </v>
      </c>
      <c r="BC3099">
        <v>1</v>
      </c>
      <c r="BE3099">
        <v>0</v>
      </c>
      <c r="BF3099">
        <v>0</v>
      </c>
      <c r="BG3099">
        <v>0</v>
      </c>
      <c r="BH3099">
        <v>5775</v>
      </c>
      <c r="BI3099">
        <v>1</v>
      </c>
      <c r="BJ3099">
        <v>0</v>
      </c>
      <c r="BK3099">
        <v>0</v>
      </c>
      <c r="BL3099">
        <v>0</v>
      </c>
      <c r="BO3099">
        <v>0</v>
      </c>
      <c r="BP3099">
        <v>0</v>
      </c>
      <c r="BW3099" t="str">
        <f t="shared" si="1720"/>
        <v>14:56:38.018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285</v>
      </c>
      <c r="CR3099">
        <v>0</v>
      </c>
      <c r="CW3099">
        <v>8874719</v>
      </c>
      <c r="CY3099">
        <v>0</v>
      </c>
      <c r="CZ3099">
        <v>0</v>
      </c>
      <c r="DA3099">
        <v>1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25">
      <c r="A3100" t="str">
        <f t="shared" si="1717"/>
        <v>06/05/2020 14:56:32.353</v>
      </c>
      <c r="C3100" t="str">
        <f t="shared" si="1688"/>
        <v>FFDFD3C0</v>
      </c>
      <c r="D3100" t="s">
        <v>141</v>
      </c>
      <c r="E3100">
        <v>20</v>
      </c>
      <c r="F3100">
        <v>1020</v>
      </c>
      <c r="G3100" t="s">
        <v>114</v>
      </c>
      <c r="J3100" t="s">
        <v>142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718"/>
        <v>14:56:38.016</v>
      </c>
      <c r="T3100" t="str">
        <f t="shared" si="1719"/>
        <v>14:56:37.716</v>
      </c>
      <c r="U3100" t="str">
        <f t="shared" si="1706"/>
        <v>ACC530</v>
      </c>
      <c r="V3100">
        <v>0</v>
      </c>
      <c r="W3100">
        <v>0</v>
      </c>
      <c r="X3100">
        <v>1</v>
      </c>
      <c r="Z3100">
        <v>0</v>
      </c>
      <c r="AA3100">
        <v>9</v>
      </c>
      <c r="AB3100">
        <v>3</v>
      </c>
      <c r="AC3100">
        <v>0</v>
      </c>
      <c r="AD3100">
        <v>9</v>
      </c>
      <c r="AE3100">
        <v>0</v>
      </c>
      <c r="AF3100">
        <v>3</v>
      </c>
      <c r="AG3100">
        <v>1</v>
      </c>
      <c r="AH3100">
        <v>0</v>
      </c>
      <c r="AI3100" t="s">
        <v>1039</v>
      </c>
      <c r="AJ3100">
        <v>34.104222999999998</v>
      </c>
      <c r="AK3100" t="s">
        <v>865</v>
      </c>
      <c r="AL3100">
        <v>-117.04934799999999</v>
      </c>
      <c r="AM3100">
        <v>100</v>
      </c>
      <c r="AN3100">
        <v>5900</v>
      </c>
      <c r="AO3100" t="s">
        <v>118</v>
      </c>
      <c r="AP3100">
        <v>54</v>
      </c>
      <c r="AQ3100">
        <v>-91</v>
      </c>
      <c r="AR3100">
        <v>-704</v>
      </c>
      <c r="AZ3100">
        <v>1200</v>
      </c>
      <c r="BA3100">
        <v>1</v>
      </c>
      <c r="BB3100" t="str">
        <f t="shared" si="1708"/>
        <v xml:space="preserve">N9217B  </v>
      </c>
      <c r="BC3100">
        <v>1</v>
      </c>
      <c r="BE3100">
        <v>0</v>
      </c>
      <c r="BF3100">
        <v>0</v>
      </c>
      <c r="BG3100">
        <v>0</v>
      </c>
      <c r="BH3100">
        <v>5775</v>
      </c>
      <c r="BI3100">
        <v>1</v>
      </c>
      <c r="BJ3100">
        <v>0</v>
      </c>
      <c r="BK3100">
        <v>0</v>
      </c>
      <c r="BL3100">
        <v>0</v>
      </c>
      <c r="BO3100">
        <v>0</v>
      </c>
      <c r="BP3100">
        <v>0</v>
      </c>
      <c r="BW3100" t="str">
        <f t="shared" si="1720"/>
        <v>14:56:38.018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285</v>
      </c>
      <c r="CR3100">
        <v>0</v>
      </c>
      <c r="CW3100">
        <v>8874719</v>
      </c>
      <c r="CY3100">
        <v>0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25">
      <c r="A3101" t="str">
        <f t="shared" si="1717"/>
        <v>06/05/2020 14:56:32.353</v>
      </c>
      <c r="C3101" t="str">
        <f t="shared" si="1688"/>
        <v>FFDFD3C0</v>
      </c>
      <c r="D3101" t="s">
        <v>151</v>
      </c>
      <c r="E3101">
        <v>9</v>
      </c>
      <c r="H3101">
        <v>226</v>
      </c>
      <c r="I3101" t="s">
        <v>152</v>
      </c>
      <c r="J3101" t="s">
        <v>150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718"/>
        <v>14:56:38.016</v>
      </c>
      <c r="T3101" t="str">
        <f t="shared" si="1719"/>
        <v>14:56:37.716</v>
      </c>
      <c r="U3101" t="str">
        <f t="shared" si="1706"/>
        <v>ACC530</v>
      </c>
      <c r="V3101">
        <v>0</v>
      </c>
      <c r="W3101">
        <v>0</v>
      </c>
      <c r="X3101">
        <v>1</v>
      </c>
      <c r="Z3101">
        <v>0</v>
      </c>
      <c r="AA3101">
        <v>9</v>
      </c>
      <c r="AB3101">
        <v>3</v>
      </c>
      <c r="AC3101">
        <v>0</v>
      </c>
      <c r="AD3101">
        <v>9</v>
      </c>
      <c r="AE3101">
        <v>0</v>
      </c>
      <c r="AF3101">
        <v>3</v>
      </c>
      <c r="AG3101">
        <v>1</v>
      </c>
      <c r="AH3101">
        <v>0</v>
      </c>
      <c r="AI3101" t="s">
        <v>1039</v>
      </c>
      <c r="AJ3101">
        <v>34.104222999999998</v>
      </c>
      <c r="AK3101" t="s">
        <v>865</v>
      </c>
      <c r="AL3101">
        <v>-117.04934799999999</v>
      </c>
      <c r="AM3101">
        <v>100</v>
      </c>
      <c r="AN3101">
        <v>5900</v>
      </c>
      <c r="AO3101" t="s">
        <v>118</v>
      </c>
      <c r="AP3101">
        <v>54</v>
      </c>
      <c r="AQ3101">
        <v>-91</v>
      </c>
      <c r="AR3101">
        <v>-704</v>
      </c>
      <c r="AZ3101">
        <v>1200</v>
      </c>
      <c r="BA3101">
        <v>1</v>
      </c>
      <c r="BB3101" t="str">
        <f t="shared" si="1708"/>
        <v xml:space="preserve">N9217B  </v>
      </c>
      <c r="BC3101">
        <v>1</v>
      </c>
      <c r="BE3101">
        <v>0</v>
      </c>
      <c r="BF3101">
        <v>0</v>
      </c>
      <c r="BG3101">
        <v>0</v>
      </c>
      <c r="BH3101">
        <v>5775</v>
      </c>
      <c r="BI3101">
        <v>1</v>
      </c>
      <c r="BJ3101">
        <v>0</v>
      </c>
      <c r="BK3101">
        <v>0</v>
      </c>
      <c r="BL3101">
        <v>0</v>
      </c>
      <c r="BO3101">
        <v>0</v>
      </c>
      <c r="BP3101">
        <v>0</v>
      </c>
      <c r="BW3101" t="str">
        <f t="shared" si="1720"/>
        <v>14:56:38.018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285</v>
      </c>
      <c r="CR3101">
        <v>0</v>
      </c>
      <c r="CW3101">
        <v>8874719</v>
      </c>
      <c r="CY3101">
        <v>0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25">
      <c r="A3102" t="str">
        <f t="shared" ref="A3102:A3108" si="1721">"06/05/2020 14:56:33.565"</f>
        <v>06/05/2020 14:56:33.565</v>
      </c>
      <c r="C3102" t="str">
        <f t="shared" si="1688"/>
        <v>FFDFD3C0</v>
      </c>
      <c r="D3102" t="s">
        <v>113</v>
      </c>
      <c r="E3102">
        <v>3</v>
      </c>
      <c r="H3102">
        <v>166</v>
      </c>
      <c r="I3102" t="s">
        <v>114</v>
      </c>
      <c r="J3102" t="s">
        <v>115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ref="S3102:T3108" si="1722">"14:56:39.195"</f>
        <v>14:56:39.195</v>
      </c>
      <c r="T3102" t="str">
        <f t="shared" si="1722"/>
        <v>14:56:39.195</v>
      </c>
      <c r="U3102" t="str">
        <f t="shared" si="1706"/>
        <v>ACC530</v>
      </c>
      <c r="V3102">
        <v>0</v>
      </c>
      <c r="W3102">
        <v>0</v>
      </c>
      <c r="X3102">
        <v>1</v>
      </c>
      <c r="Z3102">
        <v>0</v>
      </c>
      <c r="AA3102">
        <v>9</v>
      </c>
      <c r="AB3102">
        <v>3</v>
      </c>
      <c r="AC3102">
        <v>0</v>
      </c>
      <c r="AD3102">
        <v>9</v>
      </c>
      <c r="AE3102">
        <v>0</v>
      </c>
      <c r="AF3102">
        <v>3</v>
      </c>
      <c r="AG3102">
        <v>1</v>
      </c>
      <c r="AH3102">
        <v>0</v>
      </c>
      <c r="AI3102" t="s">
        <v>1040</v>
      </c>
      <c r="AJ3102">
        <v>34.103707999999997</v>
      </c>
      <c r="AK3102" t="s">
        <v>1041</v>
      </c>
      <c r="AL3102">
        <v>-117.04900499999999</v>
      </c>
      <c r="AM3102">
        <v>100</v>
      </c>
      <c r="AN3102">
        <v>5900</v>
      </c>
      <c r="AO3102" t="s">
        <v>118</v>
      </c>
      <c r="AP3102">
        <v>56</v>
      </c>
      <c r="AQ3102">
        <v>-91</v>
      </c>
      <c r="AR3102">
        <v>-768</v>
      </c>
      <c r="AZ3102">
        <v>1200</v>
      </c>
      <c r="BA3102">
        <v>1</v>
      </c>
      <c r="BB3102" t="str">
        <f t="shared" si="1708"/>
        <v xml:space="preserve">N9217B  </v>
      </c>
      <c r="BC3102">
        <v>1</v>
      </c>
      <c r="BE3102">
        <v>0</v>
      </c>
      <c r="BF3102">
        <v>0</v>
      </c>
      <c r="BG3102">
        <v>0</v>
      </c>
      <c r="BH3102">
        <v>5775</v>
      </c>
      <c r="BI3102">
        <v>1</v>
      </c>
      <c r="BJ3102">
        <v>0</v>
      </c>
      <c r="BK3102">
        <v>0</v>
      </c>
      <c r="BL3102">
        <v>0</v>
      </c>
      <c r="BO3102">
        <v>0</v>
      </c>
      <c r="BP3102">
        <v>0</v>
      </c>
      <c r="BW3102" t="str">
        <f t="shared" ref="BW3102:BW3108" si="1723">"14:56:39.203"</f>
        <v>14:56:39.203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285</v>
      </c>
      <c r="CR3102">
        <v>0</v>
      </c>
      <c r="CW3102">
        <v>8874821</v>
      </c>
      <c r="CY3102">
        <v>0</v>
      </c>
      <c r="CZ3102">
        <v>0</v>
      </c>
      <c r="DA3102">
        <v>0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25">
      <c r="A3103" t="str">
        <f t="shared" si="1721"/>
        <v>06/05/2020 14:56:33.565</v>
      </c>
      <c r="C3103" t="str">
        <f t="shared" si="1688"/>
        <v>FFDFD3C0</v>
      </c>
      <c r="D3103" t="s">
        <v>148</v>
      </c>
      <c r="E3103">
        <v>11</v>
      </c>
      <c r="H3103">
        <v>53</v>
      </c>
      <c r="I3103" t="s">
        <v>364</v>
      </c>
      <c r="J3103" t="s">
        <v>150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si="1722"/>
        <v>14:56:39.195</v>
      </c>
      <c r="T3103" t="str">
        <f t="shared" si="1722"/>
        <v>14:56:39.195</v>
      </c>
      <c r="U3103" t="str">
        <f t="shared" si="1706"/>
        <v>ACC530</v>
      </c>
      <c r="V3103">
        <v>0</v>
      </c>
      <c r="W3103">
        <v>0</v>
      </c>
      <c r="X3103">
        <v>1</v>
      </c>
      <c r="Z3103">
        <v>0</v>
      </c>
      <c r="AA3103">
        <v>9</v>
      </c>
      <c r="AB3103">
        <v>3</v>
      </c>
      <c r="AC3103">
        <v>0</v>
      </c>
      <c r="AD3103">
        <v>9</v>
      </c>
      <c r="AE3103">
        <v>0</v>
      </c>
      <c r="AF3103">
        <v>3</v>
      </c>
      <c r="AG3103">
        <v>1</v>
      </c>
      <c r="AH3103">
        <v>0</v>
      </c>
      <c r="AI3103" t="s">
        <v>1040</v>
      </c>
      <c r="AJ3103">
        <v>34.103707999999997</v>
      </c>
      <c r="AK3103" t="s">
        <v>1041</v>
      </c>
      <c r="AL3103">
        <v>-117.04900499999999</v>
      </c>
      <c r="AM3103">
        <v>100</v>
      </c>
      <c r="AN3103">
        <v>5900</v>
      </c>
      <c r="AO3103" t="s">
        <v>118</v>
      </c>
      <c r="AP3103">
        <v>56</v>
      </c>
      <c r="AQ3103">
        <v>-91</v>
      </c>
      <c r="AR3103">
        <v>-768</v>
      </c>
      <c r="AZ3103">
        <v>1200</v>
      </c>
      <c r="BA3103">
        <v>1</v>
      </c>
      <c r="BB3103" t="str">
        <f t="shared" si="1708"/>
        <v xml:space="preserve">N9217B  </v>
      </c>
      <c r="BC3103">
        <v>1</v>
      </c>
      <c r="BE3103">
        <v>0</v>
      </c>
      <c r="BF3103">
        <v>0</v>
      </c>
      <c r="BG3103">
        <v>0</v>
      </c>
      <c r="BH3103">
        <v>5775</v>
      </c>
      <c r="BI3103">
        <v>1</v>
      </c>
      <c r="BJ3103">
        <v>0</v>
      </c>
      <c r="BK3103">
        <v>0</v>
      </c>
      <c r="BL3103">
        <v>0</v>
      </c>
      <c r="BO3103">
        <v>0</v>
      </c>
      <c r="BP3103">
        <v>0</v>
      </c>
      <c r="BW3103" t="str">
        <f t="shared" si="1723"/>
        <v>14:56:39.203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285</v>
      </c>
      <c r="CR3103">
        <v>0</v>
      </c>
      <c r="CW3103">
        <v>8874821</v>
      </c>
      <c r="CY3103">
        <v>0</v>
      </c>
      <c r="CZ3103">
        <v>0</v>
      </c>
      <c r="DA3103">
        <v>1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25">
      <c r="A3104" t="str">
        <f t="shared" si="1721"/>
        <v>06/05/2020 14:56:33.565</v>
      </c>
      <c r="C3104" t="str">
        <f t="shared" si="1688"/>
        <v>FFDFD3C0</v>
      </c>
      <c r="D3104" t="s">
        <v>148</v>
      </c>
      <c r="E3104">
        <v>8</v>
      </c>
      <c r="H3104">
        <v>50</v>
      </c>
      <c r="I3104" t="s">
        <v>149</v>
      </c>
      <c r="J3104" t="s">
        <v>150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si="1722"/>
        <v>14:56:39.195</v>
      </c>
      <c r="T3104" t="str">
        <f t="shared" si="1722"/>
        <v>14:56:39.195</v>
      </c>
      <c r="U3104" t="str">
        <f t="shared" si="1706"/>
        <v>ACC530</v>
      </c>
      <c r="V3104">
        <v>0</v>
      </c>
      <c r="W3104">
        <v>0</v>
      </c>
      <c r="X3104">
        <v>1</v>
      </c>
      <c r="Z3104">
        <v>0</v>
      </c>
      <c r="AA3104">
        <v>9</v>
      </c>
      <c r="AB3104">
        <v>3</v>
      </c>
      <c r="AC3104">
        <v>0</v>
      </c>
      <c r="AD3104">
        <v>9</v>
      </c>
      <c r="AE3104">
        <v>0</v>
      </c>
      <c r="AF3104">
        <v>3</v>
      </c>
      <c r="AG3104">
        <v>1</v>
      </c>
      <c r="AH3104">
        <v>0</v>
      </c>
      <c r="AI3104" t="s">
        <v>1040</v>
      </c>
      <c r="AJ3104">
        <v>34.103707999999997</v>
      </c>
      <c r="AK3104" t="s">
        <v>1041</v>
      </c>
      <c r="AL3104">
        <v>-117.04900499999999</v>
      </c>
      <c r="AM3104">
        <v>100</v>
      </c>
      <c r="AN3104">
        <v>5900</v>
      </c>
      <c r="AO3104" t="s">
        <v>118</v>
      </c>
      <c r="AP3104">
        <v>56</v>
      </c>
      <c r="AQ3104">
        <v>-91</v>
      </c>
      <c r="AR3104">
        <v>-768</v>
      </c>
      <c r="AZ3104">
        <v>1200</v>
      </c>
      <c r="BA3104">
        <v>1</v>
      </c>
      <c r="BB3104" t="str">
        <f t="shared" si="1708"/>
        <v xml:space="preserve">N9217B  </v>
      </c>
      <c r="BC3104">
        <v>1</v>
      </c>
      <c r="BE3104">
        <v>0</v>
      </c>
      <c r="BF3104">
        <v>0</v>
      </c>
      <c r="BG3104">
        <v>0</v>
      </c>
      <c r="BH3104">
        <v>5775</v>
      </c>
      <c r="BI3104">
        <v>1</v>
      </c>
      <c r="BJ3104">
        <v>0</v>
      </c>
      <c r="BK3104">
        <v>0</v>
      </c>
      <c r="BL3104">
        <v>0</v>
      </c>
      <c r="BO3104">
        <v>0</v>
      </c>
      <c r="BP3104">
        <v>0</v>
      </c>
      <c r="BW3104" t="str">
        <f t="shared" si="1723"/>
        <v>14:56:39.203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285</v>
      </c>
      <c r="CR3104">
        <v>0</v>
      </c>
      <c r="CW3104">
        <v>8874821</v>
      </c>
      <c r="CY3104">
        <v>0</v>
      </c>
      <c r="CZ3104">
        <v>0</v>
      </c>
      <c r="DA3104">
        <v>1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25">
      <c r="A3105" t="str">
        <f t="shared" si="1721"/>
        <v>06/05/2020 14:56:33.565</v>
      </c>
      <c r="C3105" t="str">
        <f t="shared" si="1688"/>
        <v>FFDFD3C0</v>
      </c>
      <c r="D3105" t="s">
        <v>151</v>
      </c>
      <c r="E3105">
        <v>8</v>
      </c>
      <c r="H3105">
        <v>225</v>
      </c>
      <c r="I3105" t="s">
        <v>353</v>
      </c>
      <c r="J3105" t="s">
        <v>150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722"/>
        <v>14:56:39.195</v>
      </c>
      <c r="T3105" t="str">
        <f t="shared" si="1722"/>
        <v>14:56:39.195</v>
      </c>
      <c r="U3105" t="str">
        <f t="shared" si="1706"/>
        <v>ACC530</v>
      </c>
      <c r="V3105">
        <v>0</v>
      </c>
      <c r="W3105">
        <v>0</v>
      </c>
      <c r="X3105">
        <v>1</v>
      </c>
      <c r="Z3105">
        <v>0</v>
      </c>
      <c r="AA3105">
        <v>9</v>
      </c>
      <c r="AB3105">
        <v>3</v>
      </c>
      <c r="AC3105">
        <v>0</v>
      </c>
      <c r="AD3105">
        <v>9</v>
      </c>
      <c r="AE3105">
        <v>0</v>
      </c>
      <c r="AF3105">
        <v>3</v>
      </c>
      <c r="AG3105">
        <v>1</v>
      </c>
      <c r="AH3105">
        <v>0</v>
      </c>
      <c r="AI3105" t="s">
        <v>1040</v>
      </c>
      <c r="AJ3105">
        <v>34.103707999999997</v>
      </c>
      <c r="AK3105" t="s">
        <v>1041</v>
      </c>
      <c r="AL3105">
        <v>-117.04900499999999</v>
      </c>
      <c r="AM3105">
        <v>100</v>
      </c>
      <c r="AN3105">
        <v>5900</v>
      </c>
      <c r="AO3105" t="s">
        <v>118</v>
      </c>
      <c r="AP3105">
        <v>56</v>
      </c>
      <c r="AQ3105">
        <v>-91</v>
      </c>
      <c r="AR3105">
        <v>-768</v>
      </c>
      <c r="AZ3105">
        <v>1200</v>
      </c>
      <c r="BA3105">
        <v>1</v>
      </c>
      <c r="BB3105" t="str">
        <f t="shared" si="1708"/>
        <v xml:space="preserve">N9217B  </v>
      </c>
      <c r="BC3105">
        <v>1</v>
      </c>
      <c r="BE3105">
        <v>0</v>
      </c>
      <c r="BF3105">
        <v>0</v>
      </c>
      <c r="BG3105">
        <v>0</v>
      </c>
      <c r="BH3105">
        <v>5775</v>
      </c>
      <c r="BI3105">
        <v>1</v>
      </c>
      <c r="BJ3105">
        <v>0</v>
      </c>
      <c r="BK3105">
        <v>0</v>
      </c>
      <c r="BL3105">
        <v>0</v>
      </c>
      <c r="BO3105">
        <v>0</v>
      </c>
      <c r="BP3105">
        <v>0</v>
      </c>
      <c r="BW3105" t="str">
        <f t="shared" si="1723"/>
        <v>14:56:39.203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285</v>
      </c>
      <c r="CR3105">
        <v>0</v>
      </c>
      <c r="CW3105">
        <v>8874821</v>
      </c>
      <c r="CY3105">
        <v>0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25">
      <c r="A3106" t="str">
        <f t="shared" si="1721"/>
        <v>06/05/2020 14:56:33.565</v>
      </c>
      <c r="C3106" t="str">
        <f t="shared" si="1688"/>
        <v>FFDFD3C0</v>
      </c>
      <c r="D3106" t="s">
        <v>134</v>
      </c>
      <c r="E3106">
        <v>7</v>
      </c>
      <c r="F3106">
        <v>2007</v>
      </c>
      <c r="G3106" t="s">
        <v>135</v>
      </c>
      <c r="J3106" t="s">
        <v>136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722"/>
        <v>14:56:39.195</v>
      </c>
      <c r="T3106" t="str">
        <f t="shared" si="1722"/>
        <v>14:56:39.195</v>
      </c>
      <c r="U3106" t="str">
        <f t="shared" si="1706"/>
        <v>ACC530</v>
      </c>
      <c r="V3106">
        <v>0</v>
      </c>
      <c r="W3106">
        <v>0</v>
      </c>
      <c r="X3106">
        <v>1</v>
      </c>
      <c r="Z3106">
        <v>0</v>
      </c>
      <c r="AA3106">
        <v>9</v>
      </c>
      <c r="AB3106">
        <v>3</v>
      </c>
      <c r="AC3106">
        <v>0</v>
      </c>
      <c r="AD3106">
        <v>9</v>
      </c>
      <c r="AE3106">
        <v>0</v>
      </c>
      <c r="AF3106">
        <v>3</v>
      </c>
      <c r="AG3106">
        <v>1</v>
      </c>
      <c r="AH3106">
        <v>0</v>
      </c>
      <c r="AI3106" t="s">
        <v>1040</v>
      </c>
      <c r="AJ3106">
        <v>34.103707999999997</v>
      </c>
      <c r="AK3106" t="s">
        <v>1041</v>
      </c>
      <c r="AL3106">
        <v>-117.04900499999999</v>
      </c>
      <c r="AM3106">
        <v>100</v>
      </c>
      <c r="AN3106">
        <v>5900</v>
      </c>
      <c r="AO3106" t="s">
        <v>118</v>
      </c>
      <c r="AP3106">
        <v>56</v>
      </c>
      <c r="AQ3106">
        <v>-91</v>
      </c>
      <c r="AR3106">
        <v>-768</v>
      </c>
      <c r="AZ3106">
        <v>1200</v>
      </c>
      <c r="BA3106">
        <v>1</v>
      </c>
      <c r="BB3106" t="str">
        <f t="shared" si="1708"/>
        <v xml:space="preserve">N9217B  </v>
      </c>
      <c r="BC3106">
        <v>1</v>
      </c>
      <c r="BE3106">
        <v>0</v>
      </c>
      <c r="BF3106">
        <v>0</v>
      </c>
      <c r="BG3106">
        <v>0</v>
      </c>
      <c r="BH3106">
        <v>5775</v>
      </c>
      <c r="BI3106">
        <v>1</v>
      </c>
      <c r="BJ3106">
        <v>0</v>
      </c>
      <c r="BK3106">
        <v>0</v>
      </c>
      <c r="BL3106">
        <v>0</v>
      </c>
      <c r="BO3106">
        <v>0</v>
      </c>
      <c r="BP3106">
        <v>0</v>
      </c>
      <c r="BW3106" t="str">
        <f t="shared" si="1723"/>
        <v>14:56:39.203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7</v>
      </c>
      <c r="CP3106" t="s">
        <v>119</v>
      </c>
      <c r="CQ3106">
        <v>285</v>
      </c>
      <c r="CR3106">
        <v>0</v>
      </c>
      <c r="CW3106">
        <v>8874821</v>
      </c>
      <c r="CY3106">
        <v>0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25">
      <c r="A3107" t="str">
        <f t="shared" si="1721"/>
        <v>06/05/2020 14:56:33.565</v>
      </c>
      <c r="C3107" t="str">
        <f t="shared" ref="C3107:C3170" si="1724">"FFDFD3C0"</f>
        <v>FFDFD3C0</v>
      </c>
      <c r="D3107" t="s">
        <v>141</v>
      </c>
      <c r="E3107">
        <v>20</v>
      </c>
      <c r="F3107">
        <v>1020</v>
      </c>
      <c r="G3107" t="s">
        <v>114</v>
      </c>
      <c r="J3107" t="s">
        <v>142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722"/>
        <v>14:56:39.195</v>
      </c>
      <c r="T3107" t="str">
        <f t="shared" si="1722"/>
        <v>14:56:39.195</v>
      </c>
      <c r="U3107" t="str">
        <f t="shared" si="1706"/>
        <v>ACC530</v>
      </c>
      <c r="V3107">
        <v>0</v>
      </c>
      <c r="W3107">
        <v>0</v>
      </c>
      <c r="X3107">
        <v>1</v>
      </c>
      <c r="Z3107">
        <v>0</v>
      </c>
      <c r="AA3107">
        <v>9</v>
      </c>
      <c r="AB3107">
        <v>3</v>
      </c>
      <c r="AC3107">
        <v>0</v>
      </c>
      <c r="AD3107">
        <v>9</v>
      </c>
      <c r="AE3107">
        <v>0</v>
      </c>
      <c r="AF3107">
        <v>3</v>
      </c>
      <c r="AG3107">
        <v>1</v>
      </c>
      <c r="AH3107">
        <v>0</v>
      </c>
      <c r="AI3107" t="s">
        <v>1040</v>
      </c>
      <c r="AJ3107">
        <v>34.103707999999997</v>
      </c>
      <c r="AK3107" t="s">
        <v>1041</v>
      </c>
      <c r="AL3107">
        <v>-117.04900499999999</v>
      </c>
      <c r="AM3107">
        <v>100</v>
      </c>
      <c r="AN3107">
        <v>5900</v>
      </c>
      <c r="AO3107" t="s">
        <v>118</v>
      </c>
      <c r="AP3107">
        <v>56</v>
      </c>
      <c r="AQ3107">
        <v>-91</v>
      </c>
      <c r="AR3107">
        <v>-768</v>
      </c>
      <c r="AZ3107">
        <v>1200</v>
      </c>
      <c r="BA3107">
        <v>1</v>
      </c>
      <c r="BB3107" t="str">
        <f t="shared" si="1708"/>
        <v xml:space="preserve">N9217B  </v>
      </c>
      <c r="BC3107">
        <v>1</v>
      </c>
      <c r="BE3107">
        <v>0</v>
      </c>
      <c r="BF3107">
        <v>0</v>
      </c>
      <c r="BG3107">
        <v>0</v>
      </c>
      <c r="BH3107">
        <v>5775</v>
      </c>
      <c r="BI3107">
        <v>1</v>
      </c>
      <c r="BJ3107">
        <v>0</v>
      </c>
      <c r="BK3107">
        <v>0</v>
      </c>
      <c r="BL3107">
        <v>0</v>
      </c>
      <c r="BO3107">
        <v>0</v>
      </c>
      <c r="BP3107">
        <v>0</v>
      </c>
      <c r="BW3107" t="str">
        <f t="shared" si="1723"/>
        <v>14:56:39.203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7</v>
      </c>
      <c r="CP3107" t="s">
        <v>119</v>
      </c>
      <c r="CQ3107">
        <v>285</v>
      </c>
      <c r="CR3107">
        <v>0</v>
      </c>
      <c r="CW3107">
        <v>8874821</v>
      </c>
      <c r="CY3107">
        <v>0</v>
      </c>
      <c r="CZ3107">
        <v>0</v>
      </c>
      <c r="DA3107">
        <v>1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25">
      <c r="A3108" t="str">
        <f t="shared" si="1721"/>
        <v>06/05/2020 14:56:33.565</v>
      </c>
      <c r="C3108" t="str">
        <f t="shared" si="1724"/>
        <v>FFDFD3C0</v>
      </c>
      <c r="D3108" t="s">
        <v>151</v>
      </c>
      <c r="E3108">
        <v>9</v>
      </c>
      <c r="H3108">
        <v>226</v>
      </c>
      <c r="I3108" t="s">
        <v>152</v>
      </c>
      <c r="J3108" t="s">
        <v>150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722"/>
        <v>14:56:39.195</v>
      </c>
      <c r="T3108" t="str">
        <f t="shared" si="1722"/>
        <v>14:56:39.195</v>
      </c>
      <c r="U3108" t="str">
        <f t="shared" si="1706"/>
        <v>ACC530</v>
      </c>
      <c r="V3108">
        <v>0</v>
      </c>
      <c r="W3108">
        <v>0</v>
      </c>
      <c r="X3108">
        <v>1</v>
      </c>
      <c r="Z3108">
        <v>0</v>
      </c>
      <c r="AA3108">
        <v>9</v>
      </c>
      <c r="AB3108">
        <v>3</v>
      </c>
      <c r="AC3108">
        <v>0</v>
      </c>
      <c r="AD3108">
        <v>9</v>
      </c>
      <c r="AE3108">
        <v>0</v>
      </c>
      <c r="AF3108">
        <v>3</v>
      </c>
      <c r="AG3108">
        <v>1</v>
      </c>
      <c r="AH3108">
        <v>0</v>
      </c>
      <c r="AI3108" t="s">
        <v>1040</v>
      </c>
      <c r="AJ3108">
        <v>34.103707999999997</v>
      </c>
      <c r="AK3108" t="s">
        <v>1041</v>
      </c>
      <c r="AL3108">
        <v>-117.04900499999999</v>
      </c>
      <c r="AM3108">
        <v>100</v>
      </c>
      <c r="AN3108">
        <v>5900</v>
      </c>
      <c r="AO3108" t="s">
        <v>118</v>
      </c>
      <c r="AP3108">
        <v>56</v>
      </c>
      <c r="AQ3108">
        <v>-91</v>
      </c>
      <c r="AR3108">
        <v>-768</v>
      </c>
      <c r="AZ3108">
        <v>1200</v>
      </c>
      <c r="BA3108">
        <v>1</v>
      </c>
      <c r="BB3108" t="str">
        <f t="shared" si="1708"/>
        <v xml:space="preserve">N9217B  </v>
      </c>
      <c r="BC3108">
        <v>1</v>
      </c>
      <c r="BE3108">
        <v>0</v>
      </c>
      <c r="BF3108">
        <v>0</v>
      </c>
      <c r="BG3108">
        <v>0</v>
      </c>
      <c r="BH3108">
        <v>5775</v>
      </c>
      <c r="BI3108">
        <v>1</v>
      </c>
      <c r="BJ3108">
        <v>0</v>
      </c>
      <c r="BK3108">
        <v>0</v>
      </c>
      <c r="BL3108">
        <v>0</v>
      </c>
      <c r="BO3108">
        <v>0</v>
      </c>
      <c r="BP3108">
        <v>0</v>
      </c>
      <c r="BW3108" t="str">
        <f t="shared" si="1723"/>
        <v>14:56:39.203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7</v>
      </c>
      <c r="CP3108" t="s">
        <v>119</v>
      </c>
      <c r="CQ3108">
        <v>285</v>
      </c>
      <c r="CR3108">
        <v>0</v>
      </c>
      <c r="CW3108">
        <v>8874821</v>
      </c>
      <c r="CY3108">
        <v>0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25">
      <c r="A3109" t="str">
        <f t="shared" ref="A3109:A3115" si="1725">"06/05/2020 14:56:34.614"</f>
        <v>06/05/2020 14:56:34.614</v>
      </c>
      <c r="C3109" t="str">
        <f t="shared" si="1724"/>
        <v>FFDFD3C0</v>
      </c>
      <c r="D3109" t="s">
        <v>151</v>
      </c>
      <c r="E3109">
        <v>9</v>
      </c>
      <c r="H3109">
        <v>226</v>
      </c>
      <c r="I3109" t="s">
        <v>152</v>
      </c>
      <c r="J3109" t="s">
        <v>150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ref="S3109:S3115" si="1726">"14:56:40.234"</f>
        <v>14:56:40.234</v>
      </c>
      <c r="T3109" t="str">
        <f t="shared" ref="T3109:T3115" si="1727">"14:56:39.734"</f>
        <v>14:56:39.734</v>
      </c>
      <c r="U3109" t="str">
        <f t="shared" si="1706"/>
        <v>ACC530</v>
      </c>
      <c r="V3109">
        <v>0</v>
      </c>
      <c r="W3109">
        <v>0</v>
      </c>
      <c r="X3109">
        <v>1</v>
      </c>
      <c r="Z3109">
        <v>0</v>
      </c>
      <c r="AA3109">
        <v>9</v>
      </c>
      <c r="AB3109">
        <v>3</v>
      </c>
      <c r="AC3109">
        <v>0</v>
      </c>
      <c r="AD3109">
        <v>9</v>
      </c>
      <c r="AE3109">
        <v>0</v>
      </c>
      <c r="AF3109">
        <v>3</v>
      </c>
      <c r="AG3109">
        <v>1</v>
      </c>
      <c r="AH3109">
        <v>0</v>
      </c>
      <c r="AI3109" t="s">
        <v>1042</v>
      </c>
      <c r="AJ3109">
        <v>34.103279000000001</v>
      </c>
      <c r="AK3109" t="s">
        <v>1043</v>
      </c>
      <c r="AL3109">
        <v>-117.048683</v>
      </c>
      <c r="AM3109">
        <v>100</v>
      </c>
      <c r="AN3109">
        <v>5900</v>
      </c>
      <c r="AO3109" t="s">
        <v>118</v>
      </c>
      <c r="AP3109">
        <v>57</v>
      </c>
      <c r="AQ3109">
        <v>-90</v>
      </c>
      <c r="AR3109">
        <v>-768</v>
      </c>
      <c r="AZ3109">
        <v>1200</v>
      </c>
      <c r="BA3109">
        <v>1</v>
      </c>
      <c r="BB3109" t="str">
        <f t="shared" si="1708"/>
        <v xml:space="preserve">N9217B  </v>
      </c>
      <c r="BC3109">
        <v>1</v>
      </c>
      <c r="BE3109">
        <v>0</v>
      </c>
      <c r="BF3109">
        <v>0</v>
      </c>
      <c r="BG3109">
        <v>0</v>
      </c>
      <c r="BH3109">
        <v>5750</v>
      </c>
      <c r="BI3109">
        <v>1</v>
      </c>
      <c r="BJ3109">
        <v>0</v>
      </c>
      <c r="BK3109">
        <v>0</v>
      </c>
      <c r="BL3109">
        <v>0</v>
      </c>
      <c r="BO3109">
        <v>0</v>
      </c>
      <c r="BP3109">
        <v>0</v>
      </c>
      <c r="BW3109" t="str">
        <f t="shared" ref="BW3109:BW3115" si="1728">"14:56:40.238"</f>
        <v>14:56:40.238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7</v>
      </c>
      <c r="CP3109" t="s">
        <v>119</v>
      </c>
      <c r="CQ3109">
        <v>285</v>
      </c>
      <c r="CR3109">
        <v>0</v>
      </c>
      <c r="CW3109">
        <v>8874911</v>
      </c>
      <c r="CY3109">
        <v>0</v>
      </c>
      <c r="CZ3109">
        <v>0</v>
      </c>
      <c r="DA3109">
        <v>0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25">
      <c r="A3110" t="str">
        <f t="shared" si="1725"/>
        <v>06/05/2020 14:56:34.614</v>
      </c>
      <c r="C3110" t="str">
        <f t="shared" si="1724"/>
        <v>FFDFD3C0</v>
      </c>
      <c r="D3110" t="s">
        <v>113</v>
      </c>
      <c r="E3110">
        <v>3</v>
      </c>
      <c r="H3110">
        <v>166</v>
      </c>
      <c r="I3110" t="s">
        <v>114</v>
      </c>
      <c r="J3110" t="s">
        <v>115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si="1726"/>
        <v>14:56:40.234</v>
      </c>
      <c r="T3110" t="str">
        <f t="shared" si="1727"/>
        <v>14:56:39.734</v>
      </c>
      <c r="U3110" t="str">
        <f t="shared" si="1706"/>
        <v>ACC530</v>
      </c>
      <c r="V3110">
        <v>0</v>
      </c>
      <c r="W3110">
        <v>0</v>
      </c>
      <c r="X3110">
        <v>1</v>
      </c>
      <c r="Z3110">
        <v>0</v>
      </c>
      <c r="AA3110">
        <v>9</v>
      </c>
      <c r="AB3110">
        <v>3</v>
      </c>
      <c r="AC3110">
        <v>0</v>
      </c>
      <c r="AD3110">
        <v>9</v>
      </c>
      <c r="AE3110">
        <v>0</v>
      </c>
      <c r="AF3110">
        <v>3</v>
      </c>
      <c r="AG3110">
        <v>1</v>
      </c>
      <c r="AH3110">
        <v>0</v>
      </c>
      <c r="AI3110" t="s">
        <v>1042</v>
      </c>
      <c r="AJ3110">
        <v>34.103279000000001</v>
      </c>
      <c r="AK3110" t="s">
        <v>1043</v>
      </c>
      <c r="AL3110">
        <v>-117.048683</v>
      </c>
      <c r="AM3110">
        <v>100</v>
      </c>
      <c r="AN3110">
        <v>5900</v>
      </c>
      <c r="AO3110" t="s">
        <v>118</v>
      </c>
      <c r="AP3110">
        <v>57</v>
      </c>
      <c r="AQ3110">
        <v>-90</v>
      </c>
      <c r="AR3110">
        <v>-768</v>
      </c>
      <c r="AZ3110">
        <v>1200</v>
      </c>
      <c r="BA3110">
        <v>1</v>
      </c>
      <c r="BB3110" t="str">
        <f t="shared" si="1708"/>
        <v xml:space="preserve">N9217B  </v>
      </c>
      <c r="BC3110">
        <v>1</v>
      </c>
      <c r="BE3110">
        <v>0</v>
      </c>
      <c r="BF3110">
        <v>0</v>
      </c>
      <c r="BG3110">
        <v>0</v>
      </c>
      <c r="BH3110">
        <v>5750</v>
      </c>
      <c r="BI3110">
        <v>1</v>
      </c>
      <c r="BJ3110">
        <v>0</v>
      </c>
      <c r="BK3110">
        <v>0</v>
      </c>
      <c r="BL3110">
        <v>0</v>
      </c>
      <c r="BO3110">
        <v>0</v>
      </c>
      <c r="BP3110">
        <v>0</v>
      </c>
      <c r="BW3110" t="str">
        <f t="shared" si="1728"/>
        <v>14:56:40.238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285</v>
      </c>
      <c r="CR3110">
        <v>0</v>
      </c>
      <c r="CW3110">
        <v>8874911</v>
      </c>
      <c r="CY3110">
        <v>0</v>
      </c>
      <c r="CZ3110">
        <v>0</v>
      </c>
      <c r="DA3110">
        <v>1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25">
      <c r="A3111" t="str">
        <f t="shared" si="1725"/>
        <v>06/05/2020 14:56:34.614</v>
      </c>
      <c r="C3111" t="str">
        <f t="shared" si="1724"/>
        <v>FFDFD3C0</v>
      </c>
      <c r="D3111" t="s">
        <v>148</v>
      </c>
      <c r="E3111">
        <v>11</v>
      </c>
      <c r="H3111">
        <v>53</v>
      </c>
      <c r="I3111" t="s">
        <v>364</v>
      </c>
      <c r="J3111" t="s">
        <v>150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726"/>
        <v>14:56:40.234</v>
      </c>
      <c r="T3111" t="str">
        <f t="shared" si="1727"/>
        <v>14:56:39.734</v>
      </c>
      <c r="U3111" t="str">
        <f t="shared" si="1706"/>
        <v>ACC530</v>
      </c>
      <c r="V3111">
        <v>0</v>
      </c>
      <c r="W3111">
        <v>0</v>
      </c>
      <c r="X3111">
        <v>1</v>
      </c>
      <c r="Z3111">
        <v>0</v>
      </c>
      <c r="AA3111">
        <v>9</v>
      </c>
      <c r="AB3111">
        <v>3</v>
      </c>
      <c r="AC3111">
        <v>0</v>
      </c>
      <c r="AD3111">
        <v>9</v>
      </c>
      <c r="AE3111">
        <v>0</v>
      </c>
      <c r="AF3111">
        <v>3</v>
      </c>
      <c r="AG3111">
        <v>1</v>
      </c>
      <c r="AH3111">
        <v>0</v>
      </c>
      <c r="AI3111" t="s">
        <v>1042</v>
      </c>
      <c r="AJ3111">
        <v>34.103279000000001</v>
      </c>
      <c r="AK3111" t="s">
        <v>1043</v>
      </c>
      <c r="AL3111">
        <v>-117.048683</v>
      </c>
      <c r="AM3111">
        <v>100</v>
      </c>
      <c r="AN3111">
        <v>5900</v>
      </c>
      <c r="AO3111" t="s">
        <v>118</v>
      </c>
      <c r="AP3111">
        <v>57</v>
      </c>
      <c r="AQ3111">
        <v>-90</v>
      </c>
      <c r="AR3111">
        <v>-768</v>
      </c>
      <c r="AZ3111">
        <v>1200</v>
      </c>
      <c r="BA3111">
        <v>1</v>
      </c>
      <c r="BB3111" t="str">
        <f t="shared" si="1708"/>
        <v xml:space="preserve">N9217B  </v>
      </c>
      <c r="BC3111">
        <v>1</v>
      </c>
      <c r="BE3111">
        <v>0</v>
      </c>
      <c r="BF3111">
        <v>0</v>
      </c>
      <c r="BG3111">
        <v>0</v>
      </c>
      <c r="BH3111">
        <v>5750</v>
      </c>
      <c r="BI3111">
        <v>1</v>
      </c>
      <c r="BJ3111">
        <v>0</v>
      </c>
      <c r="BK3111">
        <v>0</v>
      </c>
      <c r="BL3111">
        <v>0</v>
      </c>
      <c r="BO3111">
        <v>0</v>
      </c>
      <c r="BP3111">
        <v>0</v>
      </c>
      <c r="BW3111" t="str">
        <f t="shared" si="1728"/>
        <v>14:56:40.238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285</v>
      </c>
      <c r="CR3111">
        <v>0</v>
      </c>
      <c r="CW3111">
        <v>8874911</v>
      </c>
      <c r="CY3111">
        <v>0</v>
      </c>
      <c r="CZ3111">
        <v>0</v>
      </c>
      <c r="DA3111">
        <v>1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25">
      <c r="A3112" t="str">
        <f t="shared" si="1725"/>
        <v>06/05/2020 14:56:34.614</v>
      </c>
      <c r="C3112" t="str">
        <f t="shared" si="1724"/>
        <v>FFDFD3C0</v>
      </c>
      <c r="D3112" t="s">
        <v>151</v>
      </c>
      <c r="E3112">
        <v>8</v>
      </c>
      <c r="H3112">
        <v>225</v>
      </c>
      <c r="I3112" t="s">
        <v>353</v>
      </c>
      <c r="J3112" t="s">
        <v>150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726"/>
        <v>14:56:40.234</v>
      </c>
      <c r="T3112" t="str">
        <f t="shared" si="1727"/>
        <v>14:56:39.734</v>
      </c>
      <c r="U3112" t="str">
        <f t="shared" si="1706"/>
        <v>ACC530</v>
      </c>
      <c r="V3112">
        <v>0</v>
      </c>
      <c r="W3112">
        <v>0</v>
      </c>
      <c r="X3112">
        <v>1</v>
      </c>
      <c r="Z3112">
        <v>0</v>
      </c>
      <c r="AA3112">
        <v>9</v>
      </c>
      <c r="AB3112">
        <v>3</v>
      </c>
      <c r="AC3112">
        <v>0</v>
      </c>
      <c r="AD3112">
        <v>9</v>
      </c>
      <c r="AE3112">
        <v>0</v>
      </c>
      <c r="AF3112">
        <v>3</v>
      </c>
      <c r="AG3112">
        <v>1</v>
      </c>
      <c r="AH3112">
        <v>0</v>
      </c>
      <c r="AI3112" t="s">
        <v>1042</v>
      </c>
      <c r="AJ3112">
        <v>34.103279000000001</v>
      </c>
      <c r="AK3112" t="s">
        <v>1043</v>
      </c>
      <c r="AL3112">
        <v>-117.048683</v>
      </c>
      <c r="AM3112">
        <v>100</v>
      </c>
      <c r="AN3112">
        <v>5900</v>
      </c>
      <c r="AO3112" t="s">
        <v>118</v>
      </c>
      <c r="AP3112">
        <v>57</v>
      </c>
      <c r="AQ3112">
        <v>-90</v>
      </c>
      <c r="AR3112">
        <v>-768</v>
      </c>
      <c r="AZ3112">
        <v>1200</v>
      </c>
      <c r="BA3112">
        <v>1</v>
      </c>
      <c r="BB3112" t="str">
        <f t="shared" si="1708"/>
        <v xml:space="preserve">N9217B  </v>
      </c>
      <c r="BC3112">
        <v>1</v>
      </c>
      <c r="BE3112">
        <v>0</v>
      </c>
      <c r="BF3112">
        <v>0</v>
      </c>
      <c r="BG3112">
        <v>0</v>
      </c>
      <c r="BH3112">
        <v>5750</v>
      </c>
      <c r="BI3112">
        <v>1</v>
      </c>
      <c r="BJ3112">
        <v>0</v>
      </c>
      <c r="BK3112">
        <v>0</v>
      </c>
      <c r="BL3112">
        <v>0</v>
      </c>
      <c r="BO3112">
        <v>0</v>
      </c>
      <c r="BP3112">
        <v>0</v>
      </c>
      <c r="BW3112" t="str">
        <f t="shared" si="1728"/>
        <v>14:56:40.238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285</v>
      </c>
      <c r="CR3112">
        <v>0</v>
      </c>
      <c r="CW3112">
        <v>8874911</v>
      </c>
      <c r="CY3112">
        <v>0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25">
      <c r="A3113" t="str">
        <f t="shared" si="1725"/>
        <v>06/05/2020 14:56:34.614</v>
      </c>
      <c r="C3113" t="str">
        <f t="shared" si="1724"/>
        <v>FFDFD3C0</v>
      </c>
      <c r="D3113" t="s">
        <v>134</v>
      </c>
      <c r="E3113">
        <v>7</v>
      </c>
      <c r="F3113">
        <v>2007</v>
      </c>
      <c r="G3113" t="s">
        <v>135</v>
      </c>
      <c r="J3113" t="s">
        <v>136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si="1726"/>
        <v>14:56:40.234</v>
      </c>
      <c r="T3113" t="str">
        <f t="shared" si="1727"/>
        <v>14:56:39.734</v>
      </c>
      <c r="U3113" t="str">
        <f t="shared" si="1706"/>
        <v>ACC530</v>
      </c>
      <c r="V3113">
        <v>0</v>
      </c>
      <c r="W3113">
        <v>0</v>
      </c>
      <c r="X3113">
        <v>1</v>
      </c>
      <c r="Z3113">
        <v>0</v>
      </c>
      <c r="AA3113">
        <v>9</v>
      </c>
      <c r="AB3113">
        <v>3</v>
      </c>
      <c r="AC3113">
        <v>0</v>
      </c>
      <c r="AD3113">
        <v>9</v>
      </c>
      <c r="AE3113">
        <v>0</v>
      </c>
      <c r="AF3113">
        <v>3</v>
      </c>
      <c r="AG3113">
        <v>1</v>
      </c>
      <c r="AH3113">
        <v>0</v>
      </c>
      <c r="AI3113" t="s">
        <v>1042</v>
      </c>
      <c r="AJ3113">
        <v>34.103279000000001</v>
      </c>
      <c r="AK3113" t="s">
        <v>1043</v>
      </c>
      <c r="AL3113">
        <v>-117.048683</v>
      </c>
      <c r="AM3113">
        <v>100</v>
      </c>
      <c r="AN3113">
        <v>5900</v>
      </c>
      <c r="AO3113" t="s">
        <v>118</v>
      </c>
      <c r="AP3113">
        <v>57</v>
      </c>
      <c r="AQ3113">
        <v>-90</v>
      </c>
      <c r="AR3113">
        <v>-768</v>
      </c>
      <c r="AZ3113">
        <v>1200</v>
      </c>
      <c r="BA3113">
        <v>1</v>
      </c>
      <c r="BB3113" t="str">
        <f t="shared" si="1708"/>
        <v xml:space="preserve">N9217B  </v>
      </c>
      <c r="BC3113">
        <v>1</v>
      </c>
      <c r="BE3113">
        <v>0</v>
      </c>
      <c r="BF3113">
        <v>0</v>
      </c>
      <c r="BG3113">
        <v>0</v>
      </c>
      <c r="BH3113">
        <v>5750</v>
      </c>
      <c r="BI3113">
        <v>1</v>
      </c>
      <c r="BJ3113">
        <v>0</v>
      </c>
      <c r="BK3113">
        <v>0</v>
      </c>
      <c r="BL3113">
        <v>0</v>
      </c>
      <c r="BO3113">
        <v>0</v>
      </c>
      <c r="BP3113">
        <v>0</v>
      </c>
      <c r="BW3113" t="str">
        <f t="shared" si="1728"/>
        <v>14:56:40.238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285</v>
      </c>
      <c r="CR3113">
        <v>0</v>
      </c>
      <c r="CW3113">
        <v>8874911</v>
      </c>
      <c r="CY3113">
        <v>0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25">
      <c r="A3114" t="str">
        <f t="shared" si="1725"/>
        <v>06/05/2020 14:56:34.614</v>
      </c>
      <c r="C3114" t="str">
        <f t="shared" si="1724"/>
        <v>FFDFD3C0</v>
      </c>
      <c r="D3114" t="s">
        <v>148</v>
      </c>
      <c r="E3114">
        <v>8</v>
      </c>
      <c r="H3114">
        <v>50</v>
      </c>
      <c r="I3114" t="s">
        <v>149</v>
      </c>
      <c r="J3114" t="s">
        <v>150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726"/>
        <v>14:56:40.234</v>
      </c>
      <c r="T3114" t="str">
        <f t="shared" si="1727"/>
        <v>14:56:39.734</v>
      </c>
      <c r="U3114" t="str">
        <f t="shared" si="1706"/>
        <v>ACC530</v>
      </c>
      <c r="V3114">
        <v>0</v>
      </c>
      <c r="W3114">
        <v>0</v>
      </c>
      <c r="X3114">
        <v>1</v>
      </c>
      <c r="Z3114">
        <v>0</v>
      </c>
      <c r="AA3114">
        <v>9</v>
      </c>
      <c r="AB3114">
        <v>3</v>
      </c>
      <c r="AC3114">
        <v>0</v>
      </c>
      <c r="AD3114">
        <v>9</v>
      </c>
      <c r="AE3114">
        <v>0</v>
      </c>
      <c r="AF3114">
        <v>3</v>
      </c>
      <c r="AG3114">
        <v>1</v>
      </c>
      <c r="AH3114">
        <v>0</v>
      </c>
      <c r="AI3114" t="s">
        <v>1042</v>
      </c>
      <c r="AJ3114">
        <v>34.103279000000001</v>
      </c>
      <c r="AK3114" t="s">
        <v>1043</v>
      </c>
      <c r="AL3114">
        <v>-117.048683</v>
      </c>
      <c r="AM3114">
        <v>100</v>
      </c>
      <c r="AN3114">
        <v>5900</v>
      </c>
      <c r="AO3114" t="s">
        <v>118</v>
      </c>
      <c r="AP3114">
        <v>57</v>
      </c>
      <c r="AQ3114">
        <v>-90</v>
      </c>
      <c r="AR3114">
        <v>-768</v>
      </c>
      <c r="AZ3114">
        <v>1200</v>
      </c>
      <c r="BA3114">
        <v>1</v>
      </c>
      <c r="BB3114" t="str">
        <f t="shared" si="1708"/>
        <v xml:space="preserve">N9217B  </v>
      </c>
      <c r="BC3114">
        <v>1</v>
      </c>
      <c r="BE3114">
        <v>0</v>
      </c>
      <c r="BF3114">
        <v>0</v>
      </c>
      <c r="BG3114">
        <v>0</v>
      </c>
      <c r="BH3114">
        <v>5750</v>
      </c>
      <c r="BI3114">
        <v>1</v>
      </c>
      <c r="BJ3114">
        <v>0</v>
      </c>
      <c r="BK3114">
        <v>0</v>
      </c>
      <c r="BL3114">
        <v>0</v>
      </c>
      <c r="BO3114">
        <v>0</v>
      </c>
      <c r="BP3114">
        <v>0</v>
      </c>
      <c r="BW3114" t="str">
        <f t="shared" si="1728"/>
        <v>14:56:40.238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285</v>
      </c>
      <c r="CR3114">
        <v>0</v>
      </c>
      <c r="CW3114">
        <v>8874911</v>
      </c>
      <c r="CY3114">
        <v>0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25">
      <c r="A3115" t="str">
        <f t="shared" si="1725"/>
        <v>06/05/2020 14:56:34.614</v>
      </c>
      <c r="C3115" t="str">
        <f t="shared" si="1724"/>
        <v>FFDFD3C0</v>
      </c>
      <c r="D3115" t="s">
        <v>141</v>
      </c>
      <c r="E3115">
        <v>20</v>
      </c>
      <c r="F3115">
        <v>1020</v>
      </c>
      <c r="G3115" t="s">
        <v>114</v>
      </c>
      <c r="J3115" t="s">
        <v>142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726"/>
        <v>14:56:40.234</v>
      </c>
      <c r="T3115" t="str">
        <f t="shared" si="1727"/>
        <v>14:56:39.734</v>
      </c>
      <c r="U3115" t="str">
        <f t="shared" si="1706"/>
        <v>ACC530</v>
      </c>
      <c r="V3115">
        <v>0</v>
      </c>
      <c r="W3115">
        <v>0</v>
      </c>
      <c r="X3115">
        <v>1</v>
      </c>
      <c r="Z3115">
        <v>0</v>
      </c>
      <c r="AA3115">
        <v>9</v>
      </c>
      <c r="AB3115">
        <v>3</v>
      </c>
      <c r="AC3115">
        <v>0</v>
      </c>
      <c r="AD3115">
        <v>9</v>
      </c>
      <c r="AE3115">
        <v>0</v>
      </c>
      <c r="AF3115">
        <v>3</v>
      </c>
      <c r="AG3115">
        <v>1</v>
      </c>
      <c r="AH3115">
        <v>0</v>
      </c>
      <c r="AI3115" t="s">
        <v>1042</v>
      </c>
      <c r="AJ3115">
        <v>34.103279000000001</v>
      </c>
      <c r="AK3115" t="s">
        <v>1043</v>
      </c>
      <c r="AL3115">
        <v>-117.048683</v>
      </c>
      <c r="AM3115">
        <v>100</v>
      </c>
      <c r="AN3115">
        <v>5900</v>
      </c>
      <c r="AO3115" t="s">
        <v>118</v>
      </c>
      <c r="AP3115">
        <v>57</v>
      </c>
      <c r="AQ3115">
        <v>-90</v>
      </c>
      <c r="AR3115">
        <v>-768</v>
      </c>
      <c r="AZ3115">
        <v>1200</v>
      </c>
      <c r="BA3115">
        <v>1</v>
      </c>
      <c r="BB3115" t="str">
        <f t="shared" si="1708"/>
        <v xml:space="preserve">N9217B  </v>
      </c>
      <c r="BC3115">
        <v>1</v>
      </c>
      <c r="BE3115">
        <v>0</v>
      </c>
      <c r="BF3115">
        <v>0</v>
      </c>
      <c r="BG3115">
        <v>0</v>
      </c>
      <c r="BH3115">
        <v>5750</v>
      </c>
      <c r="BI3115">
        <v>1</v>
      </c>
      <c r="BJ3115">
        <v>0</v>
      </c>
      <c r="BK3115">
        <v>0</v>
      </c>
      <c r="BL3115">
        <v>0</v>
      </c>
      <c r="BO3115">
        <v>0</v>
      </c>
      <c r="BP3115">
        <v>0</v>
      </c>
      <c r="BW3115" t="str">
        <f t="shared" si="1728"/>
        <v>14:56:40.238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285</v>
      </c>
      <c r="CR3115">
        <v>0</v>
      </c>
      <c r="CW3115">
        <v>8874911</v>
      </c>
      <c r="CY3115">
        <v>0</v>
      </c>
      <c r="CZ3115">
        <v>0</v>
      </c>
      <c r="DA3115">
        <v>1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25">
      <c r="A3116" t="str">
        <f t="shared" ref="A3116:A3122" si="1729">"06/05/2020 14:56:35.600"</f>
        <v>06/05/2020 14:56:35.600</v>
      </c>
      <c r="C3116" t="str">
        <f t="shared" si="1724"/>
        <v>FFDFD3C0</v>
      </c>
      <c r="D3116" t="s">
        <v>151</v>
      </c>
      <c r="E3116">
        <v>8</v>
      </c>
      <c r="H3116">
        <v>225</v>
      </c>
      <c r="I3116" t="s">
        <v>353</v>
      </c>
      <c r="J3116" t="s">
        <v>150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ref="S3116:T3122" si="1730">"14:56:41.227"</f>
        <v>14:56:41.227</v>
      </c>
      <c r="T3116" t="str">
        <f t="shared" si="1730"/>
        <v>14:56:41.227</v>
      </c>
      <c r="U3116" t="str">
        <f t="shared" si="1706"/>
        <v>ACC530</v>
      </c>
      <c r="V3116">
        <v>0</v>
      </c>
      <c r="W3116">
        <v>0</v>
      </c>
      <c r="X3116">
        <v>1</v>
      </c>
      <c r="Z3116">
        <v>0</v>
      </c>
      <c r="AA3116">
        <v>9</v>
      </c>
      <c r="AB3116">
        <v>3</v>
      </c>
      <c r="AC3116">
        <v>0</v>
      </c>
      <c r="AD3116">
        <v>9</v>
      </c>
      <c r="AE3116">
        <v>0</v>
      </c>
      <c r="AF3116">
        <v>3</v>
      </c>
      <c r="AG3116">
        <v>1</v>
      </c>
      <c r="AH3116">
        <v>0</v>
      </c>
      <c r="AI3116" t="s">
        <v>1044</v>
      </c>
      <c r="AJ3116">
        <v>34.102893000000002</v>
      </c>
      <c r="AK3116" t="s">
        <v>1045</v>
      </c>
      <c r="AL3116">
        <v>-117.04834</v>
      </c>
      <c r="AM3116">
        <v>100</v>
      </c>
      <c r="AN3116">
        <v>5900</v>
      </c>
      <c r="AO3116" t="s">
        <v>118</v>
      </c>
      <c r="AP3116">
        <v>58</v>
      </c>
      <c r="AQ3116">
        <v>-90</v>
      </c>
      <c r="AR3116">
        <v>-704</v>
      </c>
      <c r="AZ3116">
        <v>1200</v>
      </c>
      <c r="BA3116">
        <v>1</v>
      </c>
      <c r="BB3116" t="str">
        <f t="shared" si="1708"/>
        <v xml:space="preserve">N9217B  </v>
      </c>
      <c r="BC3116">
        <v>1</v>
      </c>
      <c r="BE3116">
        <v>0</v>
      </c>
      <c r="BF3116">
        <v>0</v>
      </c>
      <c r="BG3116">
        <v>0</v>
      </c>
      <c r="BH3116">
        <v>5750</v>
      </c>
      <c r="BI3116">
        <v>1</v>
      </c>
      <c r="BJ3116">
        <v>0</v>
      </c>
      <c r="BK3116">
        <v>0</v>
      </c>
      <c r="BL3116">
        <v>0</v>
      </c>
      <c r="BO3116">
        <v>0</v>
      </c>
      <c r="BP3116">
        <v>0</v>
      </c>
      <c r="BW3116" t="str">
        <f t="shared" ref="BW3116:BW3122" si="1731">"14:56:41.228"</f>
        <v>14:56:41.228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285</v>
      </c>
      <c r="CR3116">
        <v>0</v>
      </c>
      <c r="CW3116">
        <v>8875007</v>
      </c>
      <c r="CY3116">
        <v>0</v>
      </c>
      <c r="CZ3116">
        <v>0</v>
      </c>
      <c r="DA3116">
        <v>0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25">
      <c r="A3117" t="str">
        <f t="shared" si="1729"/>
        <v>06/05/2020 14:56:35.600</v>
      </c>
      <c r="C3117" t="str">
        <f t="shared" si="1724"/>
        <v>FFDFD3C0</v>
      </c>
      <c r="D3117" t="s">
        <v>148</v>
      </c>
      <c r="E3117">
        <v>8</v>
      </c>
      <c r="H3117">
        <v>50</v>
      </c>
      <c r="I3117" t="s">
        <v>149</v>
      </c>
      <c r="J3117" t="s">
        <v>150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si="1730"/>
        <v>14:56:41.227</v>
      </c>
      <c r="T3117" t="str">
        <f t="shared" si="1730"/>
        <v>14:56:41.227</v>
      </c>
      <c r="U3117" t="str">
        <f t="shared" si="1706"/>
        <v>ACC530</v>
      </c>
      <c r="V3117">
        <v>0</v>
      </c>
      <c r="W3117">
        <v>0</v>
      </c>
      <c r="X3117">
        <v>1</v>
      </c>
      <c r="Z3117">
        <v>0</v>
      </c>
      <c r="AA3117">
        <v>9</v>
      </c>
      <c r="AB3117">
        <v>3</v>
      </c>
      <c r="AC3117">
        <v>0</v>
      </c>
      <c r="AD3117">
        <v>9</v>
      </c>
      <c r="AE3117">
        <v>0</v>
      </c>
      <c r="AF3117">
        <v>3</v>
      </c>
      <c r="AG3117">
        <v>1</v>
      </c>
      <c r="AH3117">
        <v>0</v>
      </c>
      <c r="AI3117" t="s">
        <v>1044</v>
      </c>
      <c r="AJ3117">
        <v>34.102893000000002</v>
      </c>
      <c r="AK3117" t="s">
        <v>1045</v>
      </c>
      <c r="AL3117">
        <v>-117.04834</v>
      </c>
      <c r="AM3117">
        <v>100</v>
      </c>
      <c r="AN3117">
        <v>5900</v>
      </c>
      <c r="AO3117" t="s">
        <v>118</v>
      </c>
      <c r="AP3117">
        <v>58</v>
      </c>
      <c r="AQ3117">
        <v>-90</v>
      </c>
      <c r="AR3117">
        <v>-704</v>
      </c>
      <c r="AZ3117">
        <v>1200</v>
      </c>
      <c r="BA3117">
        <v>1</v>
      </c>
      <c r="BB3117" t="str">
        <f t="shared" si="1708"/>
        <v xml:space="preserve">N9217B  </v>
      </c>
      <c r="BC3117">
        <v>1</v>
      </c>
      <c r="BE3117">
        <v>0</v>
      </c>
      <c r="BF3117">
        <v>0</v>
      </c>
      <c r="BG3117">
        <v>0</v>
      </c>
      <c r="BH3117">
        <v>5750</v>
      </c>
      <c r="BI3117">
        <v>1</v>
      </c>
      <c r="BJ3117">
        <v>0</v>
      </c>
      <c r="BK3117">
        <v>0</v>
      </c>
      <c r="BL3117">
        <v>0</v>
      </c>
      <c r="BO3117">
        <v>0</v>
      </c>
      <c r="BP3117">
        <v>0</v>
      </c>
      <c r="BW3117" t="str">
        <f t="shared" si="1731"/>
        <v>14:56:41.228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285</v>
      </c>
      <c r="CR3117">
        <v>0</v>
      </c>
      <c r="CW3117">
        <v>8875007</v>
      </c>
      <c r="CY3117">
        <v>0</v>
      </c>
      <c r="CZ3117">
        <v>0</v>
      </c>
      <c r="DA3117">
        <v>1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25">
      <c r="A3118" t="str">
        <f t="shared" si="1729"/>
        <v>06/05/2020 14:56:35.600</v>
      </c>
      <c r="C3118" t="str">
        <f t="shared" si="1724"/>
        <v>FFDFD3C0</v>
      </c>
      <c r="D3118" t="s">
        <v>141</v>
      </c>
      <c r="E3118">
        <v>20</v>
      </c>
      <c r="F3118">
        <v>1020</v>
      </c>
      <c r="G3118" t="s">
        <v>114</v>
      </c>
      <c r="J3118" t="s">
        <v>142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730"/>
        <v>14:56:41.227</v>
      </c>
      <c r="T3118" t="str">
        <f t="shared" si="1730"/>
        <v>14:56:41.227</v>
      </c>
      <c r="U3118" t="str">
        <f t="shared" si="1706"/>
        <v>ACC530</v>
      </c>
      <c r="V3118">
        <v>0</v>
      </c>
      <c r="W3118">
        <v>0</v>
      </c>
      <c r="X3118">
        <v>1</v>
      </c>
      <c r="Z3118">
        <v>0</v>
      </c>
      <c r="AA3118">
        <v>9</v>
      </c>
      <c r="AB3118">
        <v>3</v>
      </c>
      <c r="AC3118">
        <v>0</v>
      </c>
      <c r="AD3118">
        <v>9</v>
      </c>
      <c r="AE3118">
        <v>0</v>
      </c>
      <c r="AF3118">
        <v>3</v>
      </c>
      <c r="AG3118">
        <v>1</v>
      </c>
      <c r="AH3118">
        <v>0</v>
      </c>
      <c r="AI3118" t="s">
        <v>1044</v>
      </c>
      <c r="AJ3118">
        <v>34.102893000000002</v>
      </c>
      <c r="AK3118" t="s">
        <v>1045</v>
      </c>
      <c r="AL3118">
        <v>-117.04834</v>
      </c>
      <c r="AM3118">
        <v>100</v>
      </c>
      <c r="AN3118">
        <v>5900</v>
      </c>
      <c r="AO3118" t="s">
        <v>118</v>
      </c>
      <c r="AP3118">
        <v>58</v>
      </c>
      <c r="AQ3118">
        <v>-90</v>
      </c>
      <c r="AR3118">
        <v>-704</v>
      </c>
      <c r="AZ3118">
        <v>1200</v>
      </c>
      <c r="BA3118">
        <v>1</v>
      </c>
      <c r="BB3118" t="str">
        <f t="shared" si="1708"/>
        <v xml:space="preserve">N9217B  </v>
      </c>
      <c r="BC3118">
        <v>1</v>
      </c>
      <c r="BE3118">
        <v>0</v>
      </c>
      <c r="BF3118">
        <v>0</v>
      </c>
      <c r="BG3118">
        <v>0</v>
      </c>
      <c r="BH3118">
        <v>5750</v>
      </c>
      <c r="BI3118">
        <v>1</v>
      </c>
      <c r="BJ3118">
        <v>0</v>
      </c>
      <c r="BK3118">
        <v>0</v>
      </c>
      <c r="BL3118">
        <v>0</v>
      </c>
      <c r="BO3118">
        <v>0</v>
      </c>
      <c r="BP3118">
        <v>0</v>
      </c>
      <c r="BW3118" t="str">
        <f t="shared" si="1731"/>
        <v>14:56:41.228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285</v>
      </c>
      <c r="CR3118">
        <v>0</v>
      </c>
      <c r="CW3118">
        <v>8875007</v>
      </c>
      <c r="CY3118">
        <v>0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25">
      <c r="A3119" t="str">
        <f t="shared" si="1729"/>
        <v>06/05/2020 14:56:35.600</v>
      </c>
      <c r="C3119" t="str">
        <f t="shared" si="1724"/>
        <v>FFDFD3C0</v>
      </c>
      <c r="D3119" t="s">
        <v>151</v>
      </c>
      <c r="E3119">
        <v>9</v>
      </c>
      <c r="H3119">
        <v>226</v>
      </c>
      <c r="I3119" t="s">
        <v>152</v>
      </c>
      <c r="J3119" t="s">
        <v>150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730"/>
        <v>14:56:41.227</v>
      </c>
      <c r="T3119" t="str">
        <f t="shared" si="1730"/>
        <v>14:56:41.227</v>
      </c>
      <c r="U3119" t="str">
        <f t="shared" si="1706"/>
        <v>ACC530</v>
      </c>
      <c r="V3119">
        <v>0</v>
      </c>
      <c r="W3119">
        <v>0</v>
      </c>
      <c r="X3119">
        <v>1</v>
      </c>
      <c r="Z3119">
        <v>0</v>
      </c>
      <c r="AA3119">
        <v>9</v>
      </c>
      <c r="AB3119">
        <v>3</v>
      </c>
      <c r="AC3119">
        <v>0</v>
      </c>
      <c r="AD3119">
        <v>9</v>
      </c>
      <c r="AE3119">
        <v>0</v>
      </c>
      <c r="AF3119">
        <v>3</v>
      </c>
      <c r="AG3119">
        <v>1</v>
      </c>
      <c r="AH3119">
        <v>0</v>
      </c>
      <c r="AI3119" t="s">
        <v>1044</v>
      </c>
      <c r="AJ3119">
        <v>34.102893000000002</v>
      </c>
      <c r="AK3119" t="s">
        <v>1045</v>
      </c>
      <c r="AL3119">
        <v>-117.04834</v>
      </c>
      <c r="AM3119">
        <v>100</v>
      </c>
      <c r="AN3119">
        <v>5900</v>
      </c>
      <c r="AO3119" t="s">
        <v>118</v>
      </c>
      <c r="AP3119">
        <v>58</v>
      </c>
      <c r="AQ3119">
        <v>-90</v>
      </c>
      <c r="AR3119">
        <v>-704</v>
      </c>
      <c r="AZ3119">
        <v>1200</v>
      </c>
      <c r="BA3119">
        <v>1</v>
      </c>
      <c r="BB3119" t="str">
        <f t="shared" si="1708"/>
        <v xml:space="preserve">N9217B  </v>
      </c>
      <c r="BC3119">
        <v>1</v>
      </c>
      <c r="BE3119">
        <v>0</v>
      </c>
      <c r="BF3119">
        <v>0</v>
      </c>
      <c r="BG3119">
        <v>0</v>
      </c>
      <c r="BH3119">
        <v>5750</v>
      </c>
      <c r="BI3119">
        <v>1</v>
      </c>
      <c r="BJ3119">
        <v>0</v>
      </c>
      <c r="BK3119">
        <v>0</v>
      </c>
      <c r="BL3119">
        <v>0</v>
      </c>
      <c r="BO3119">
        <v>0</v>
      </c>
      <c r="BP3119">
        <v>0</v>
      </c>
      <c r="BW3119" t="str">
        <f t="shared" si="1731"/>
        <v>14:56:41.228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285</v>
      </c>
      <c r="CR3119">
        <v>0</v>
      </c>
      <c r="CW3119">
        <v>8875007</v>
      </c>
      <c r="CY3119">
        <v>0</v>
      </c>
      <c r="CZ3119">
        <v>0</v>
      </c>
      <c r="DA3119">
        <v>1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25">
      <c r="A3120" t="str">
        <f t="shared" si="1729"/>
        <v>06/05/2020 14:56:35.600</v>
      </c>
      <c r="C3120" t="str">
        <f t="shared" si="1724"/>
        <v>FFDFD3C0</v>
      </c>
      <c r="D3120" t="s">
        <v>113</v>
      </c>
      <c r="E3120">
        <v>3</v>
      </c>
      <c r="H3120">
        <v>166</v>
      </c>
      <c r="I3120" t="s">
        <v>114</v>
      </c>
      <c r="J3120" t="s">
        <v>115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730"/>
        <v>14:56:41.227</v>
      </c>
      <c r="T3120" t="str">
        <f t="shared" si="1730"/>
        <v>14:56:41.227</v>
      </c>
      <c r="U3120" t="str">
        <f t="shared" si="1706"/>
        <v>ACC530</v>
      </c>
      <c r="V3120">
        <v>0</v>
      </c>
      <c r="W3120">
        <v>0</v>
      </c>
      <c r="X3120">
        <v>1</v>
      </c>
      <c r="Z3120">
        <v>0</v>
      </c>
      <c r="AA3120">
        <v>9</v>
      </c>
      <c r="AB3120">
        <v>3</v>
      </c>
      <c r="AC3120">
        <v>0</v>
      </c>
      <c r="AD3120">
        <v>9</v>
      </c>
      <c r="AE3120">
        <v>0</v>
      </c>
      <c r="AF3120">
        <v>3</v>
      </c>
      <c r="AG3120">
        <v>1</v>
      </c>
      <c r="AH3120">
        <v>0</v>
      </c>
      <c r="AI3120" t="s">
        <v>1044</v>
      </c>
      <c r="AJ3120">
        <v>34.102893000000002</v>
      </c>
      <c r="AK3120" t="s">
        <v>1045</v>
      </c>
      <c r="AL3120">
        <v>-117.04834</v>
      </c>
      <c r="AM3120">
        <v>100</v>
      </c>
      <c r="AN3120">
        <v>5900</v>
      </c>
      <c r="AO3120" t="s">
        <v>118</v>
      </c>
      <c r="AP3120">
        <v>58</v>
      </c>
      <c r="AQ3120">
        <v>-90</v>
      </c>
      <c r="AR3120">
        <v>-704</v>
      </c>
      <c r="AZ3120">
        <v>1200</v>
      </c>
      <c r="BA3120">
        <v>1</v>
      </c>
      <c r="BB3120" t="str">
        <f t="shared" si="1708"/>
        <v xml:space="preserve">N9217B  </v>
      </c>
      <c r="BC3120">
        <v>1</v>
      </c>
      <c r="BE3120">
        <v>0</v>
      </c>
      <c r="BF3120">
        <v>0</v>
      </c>
      <c r="BG3120">
        <v>0</v>
      </c>
      <c r="BH3120">
        <v>5750</v>
      </c>
      <c r="BI3120">
        <v>1</v>
      </c>
      <c r="BJ3120">
        <v>0</v>
      </c>
      <c r="BK3120">
        <v>0</v>
      </c>
      <c r="BL3120">
        <v>0</v>
      </c>
      <c r="BO3120">
        <v>0</v>
      </c>
      <c r="BP3120">
        <v>0</v>
      </c>
      <c r="BW3120" t="str">
        <f t="shared" si="1731"/>
        <v>14:56:41.228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285</v>
      </c>
      <c r="CR3120">
        <v>0</v>
      </c>
      <c r="CW3120">
        <v>8875007</v>
      </c>
      <c r="CY3120">
        <v>0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25">
      <c r="A3121" t="str">
        <f t="shared" si="1729"/>
        <v>06/05/2020 14:56:35.600</v>
      </c>
      <c r="C3121" t="str">
        <f t="shared" si="1724"/>
        <v>FFDFD3C0</v>
      </c>
      <c r="D3121" t="s">
        <v>148</v>
      </c>
      <c r="E3121">
        <v>11</v>
      </c>
      <c r="H3121">
        <v>53</v>
      </c>
      <c r="I3121" t="s">
        <v>364</v>
      </c>
      <c r="J3121" t="s">
        <v>150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730"/>
        <v>14:56:41.227</v>
      </c>
      <c r="T3121" t="str">
        <f t="shared" si="1730"/>
        <v>14:56:41.227</v>
      </c>
      <c r="U3121" t="str">
        <f t="shared" si="1706"/>
        <v>ACC530</v>
      </c>
      <c r="V3121">
        <v>0</v>
      </c>
      <c r="W3121">
        <v>0</v>
      </c>
      <c r="X3121">
        <v>1</v>
      </c>
      <c r="Z3121">
        <v>0</v>
      </c>
      <c r="AA3121">
        <v>9</v>
      </c>
      <c r="AB3121">
        <v>3</v>
      </c>
      <c r="AC3121">
        <v>0</v>
      </c>
      <c r="AD3121">
        <v>9</v>
      </c>
      <c r="AE3121">
        <v>0</v>
      </c>
      <c r="AF3121">
        <v>3</v>
      </c>
      <c r="AG3121">
        <v>1</v>
      </c>
      <c r="AH3121">
        <v>0</v>
      </c>
      <c r="AI3121" t="s">
        <v>1044</v>
      </c>
      <c r="AJ3121">
        <v>34.102893000000002</v>
      </c>
      <c r="AK3121" t="s">
        <v>1045</v>
      </c>
      <c r="AL3121">
        <v>-117.04834</v>
      </c>
      <c r="AM3121">
        <v>100</v>
      </c>
      <c r="AN3121">
        <v>5900</v>
      </c>
      <c r="AO3121" t="s">
        <v>118</v>
      </c>
      <c r="AP3121">
        <v>58</v>
      </c>
      <c r="AQ3121">
        <v>-90</v>
      </c>
      <c r="AR3121">
        <v>-704</v>
      </c>
      <c r="AZ3121">
        <v>1200</v>
      </c>
      <c r="BA3121">
        <v>1</v>
      </c>
      <c r="BB3121" t="str">
        <f t="shared" si="1708"/>
        <v xml:space="preserve">N9217B  </v>
      </c>
      <c r="BC3121">
        <v>1</v>
      </c>
      <c r="BE3121">
        <v>0</v>
      </c>
      <c r="BF3121">
        <v>0</v>
      </c>
      <c r="BG3121">
        <v>0</v>
      </c>
      <c r="BH3121">
        <v>5750</v>
      </c>
      <c r="BI3121">
        <v>1</v>
      </c>
      <c r="BJ3121">
        <v>0</v>
      </c>
      <c r="BK3121">
        <v>0</v>
      </c>
      <c r="BL3121">
        <v>0</v>
      </c>
      <c r="BO3121">
        <v>0</v>
      </c>
      <c r="BP3121">
        <v>0</v>
      </c>
      <c r="BW3121" t="str">
        <f t="shared" si="1731"/>
        <v>14:56:41.228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285</v>
      </c>
      <c r="CR3121">
        <v>0</v>
      </c>
      <c r="CW3121">
        <v>8875007</v>
      </c>
      <c r="CY3121">
        <v>0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25">
      <c r="A3122" t="str">
        <f t="shared" si="1729"/>
        <v>06/05/2020 14:56:35.600</v>
      </c>
      <c r="C3122" t="str">
        <f t="shared" si="1724"/>
        <v>FFDFD3C0</v>
      </c>
      <c r="D3122" t="s">
        <v>134</v>
      </c>
      <c r="E3122">
        <v>7</v>
      </c>
      <c r="F3122">
        <v>2007</v>
      </c>
      <c r="G3122" t="s">
        <v>135</v>
      </c>
      <c r="J3122" t="s">
        <v>136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730"/>
        <v>14:56:41.227</v>
      </c>
      <c r="T3122" t="str">
        <f t="shared" si="1730"/>
        <v>14:56:41.227</v>
      </c>
      <c r="U3122" t="str">
        <f t="shared" si="1706"/>
        <v>ACC530</v>
      </c>
      <c r="V3122">
        <v>0</v>
      </c>
      <c r="W3122">
        <v>0</v>
      </c>
      <c r="X3122">
        <v>1</v>
      </c>
      <c r="Z3122">
        <v>0</v>
      </c>
      <c r="AA3122">
        <v>9</v>
      </c>
      <c r="AB3122">
        <v>3</v>
      </c>
      <c r="AC3122">
        <v>0</v>
      </c>
      <c r="AD3122">
        <v>9</v>
      </c>
      <c r="AE3122">
        <v>0</v>
      </c>
      <c r="AF3122">
        <v>3</v>
      </c>
      <c r="AG3122">
        <v>1</v>
      </c>
      <c r="AH3122">
        <v>0</v>
      </c>
      <c r="AI3122" t="s">
        <v>1044</v>
      </c>
      <c r="AJ3122">
        <v>34.102893000000002</v>
      </c>
      <c r="AK3122" t="s">
        <v>1045</v>
      </c>
      <c r="AL3122">
        <v>-117.04834</v>
      </c>
      <c r="AM3122">
        <v>100</v>
      </c>
      <c r="AN3122">
        <v>5900</v>
      </c>
      <c r="AO3122" t="s">
        <v>118</v>
      </c>
      <c r="AP3122">
        <v>58</v>
      </c>
      <c r="AQ3122">
        <v>-90</v>
      </c>
      <c r="AR3122">
        <v>-704</v>
      </c>
      <c r="AZ3122">
        <v>1200</v>
      </c>
      <c r="BA3122">
        <v>1</v>
      </c>
      <c r="BB3122" t="str">
        <f t="shared" si="1708"/>
        <v xml:space="preserve">N9217B  </v>
      </c>
      <c r="BC3122">
        <v>1</v>
      </c>
      <c r="BE3122">
        <v>0</v>
      </c>
      <c r="BF3122">
        <v>0</v>
      </c>
      <c r="BG3122">
        <v>0</v>
      </c>
      <c r="BH3122">
        <v>5750</v>
      </c>
      <c r="BI3122">
        <v>1</v>
      </c>
      <c r="BJ3122">
        <v>0</v>
      </c>
      <c r="BK3122">
        <v>0</v>
      </c>
      <c r="BL3122">
        <v>0</v>
      </c>
      <c r="BO3122">
        <v>0</v>
      </c>
      <c r="BP3122">
        <v>0</v>
      </c>
      <c r="BW3122" t="str">
        <f t="shared" si="1731"/>
        <v>14:56:41.228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285</v>
      </c>
      <c r="CR3122">
        <v>0</v>
      </c>
      <c r="CW3122">
        <v>8875007</v>
      </c>
      <c r="CY3122">
        <v>0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25">
      <c r="A3123" t="str">
        <f t="shared" ref="A3123:A3129" si="1732">"06/05/2020 14:56:36.586"</f>
        <v>06/05/2020 14:56:36.586</v>
      </c>
      <c r="C3123" t="str">
        <f t="shared" si="1724"/>
        <v>FFDFD3C0</v>
      </c>
      <c r="D3123" t="s">
        <v>151</v>
      </c>
      <c r="E3123">
        <v>9</v>
      </c>
      <c r="H3123">
        <v>226</v>
      </c>
      <c r="I3123" t="s">
        <v>152</v>
      </c>
      <c r="J3123" t="s">
        <v>150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ref="S3123:T3129" si="1733">"14:56:42.211"</f>
        <v>14:56:42.211</v>
      </c>
      <c r="T3123" t="str">
        <f t="shared" si="1733"/>
        <v>14:56:42.211</v>
      </c>
      <c r="U3123" t="str">
        <f t="shared" si="1706"/>
        <v>ACC530</v>
      </c>
      <c r="V3123">
        <v>0</v>
      </c>
      <c r="W3123">
        <v>0</v>
      </c>
      <c r="X3123">
        <v>1</v>
      </c>
      <c r="Z3123">
        <v>0</v>
      </c>
      <c r="AA3123">
        <v>9</v>
      </c>
      <c r="AB3123">
        <v>3</v>
      </c>
      <c r="AC3123">
        <v>0</v>
      </c>
      <c r="AD3123">
        <v>9</v>
      </c>
      <c r="AE3123">
        <v>0</v>
      </c>
      <c r="AF3123">
        <v>3</v>
      </c>
      <c r="AG3123">
        <v>1</v>
      </c>
      <c r="AH3123">
        <v>0</v>
      </c>
      <c r="AI3123" t="s">
        <v>1046</v>
      </c>
      <c r="AJ3123">
        <v>34.102485000000001</v>
      </c>
      <c r="AK3123" t="s">
        <v>1047</v>
      </c>
      <c r="AL3123">
        <v>-117.048061</v>
      </c>
      <c r="AM3123">
        <v>100</v>
      </c>
      <c r="AN3123">
        <v>5900</v>
      </c>
      <c r="AO3123" t="s">
        <v>118</v>
      </c>
      <c r="AP3123">
        <v>59</v>
      </c>
      <c r="AQ3123">
        <v>-90</v>
      </c>
      <c r="AR3123">
        <v>-640</v>
      </c>
      <c r="AZ3123">
        <v>1200</v>
      </c>
      <c r="BA3123">
        <v>1</v>
      </c>
      <c r="BB3123" t="str">
        <f t="shared" si="1708"/>
        <v xml:space="preserve">N9217B  </v>
      </c>
      <c r="BC3123">
        <v>1</v>
      </c>
      <c r="BE3123">
        <v>0</v>
      </c>
      <c r="BF3123">
        <v>0</v>
      </c>
      <c r="BG3123">
        <v>0</v>
      </c>
      <c r="BH3123">
        <v>5725</v>
      </c>
      <c r="BI3123">
        <v>1</v>
      </c>
      <c r="BJ3123">
        <v>0</v>
      </c>
      <c r="BK3123">
        <v>0</v>
      </c>
      <c r="BL3123">
        <v>0</v>
      </c>
      <c r="BO3123">
        <v>0</v>
      </c>
      <c r="BP3123">
        <v>0</v>
      </c>
      <c r="BW3123" t="str">
        <f t="shared" ref="BW3123:BW3129" si="1734">"14:56:42.218"</f>
        <v>14:56:42.218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119</v>
      </c>
      <c r="CQ3123">
        <v>285</v>
      </c>
      <c r="CR3123">
        <v>0</v>
      </c>
      <c r="CW3123">
        <v>8875102</v>
      </c>
      <c r="CY3123">
        <v>0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25">
      <c r="A3124" t="str">
        <f t="shared" si="1732"/>
        <v>06/05/2020 14:56:36.586</v>
      </c>
      <c r="C3124" t="str">
        <f t="shared" si="1724"/>
        <v>FFDFD3C0</v>
      </c>
      <c r="D3124" t="s">
        <v>113</v>
      </c>
      <c r="E3124">
        <v>3</v>
      </c>
      <c r="H3124">
        <v>166</v>
      </c>
      <c r="I3124" t="s">
        <v>114</v>
      </c>
      <c r="J3124" t="s">
        <v>115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si="1733"/>
        <v>14:56:42.211</v>
      </c>
      <c r="T3124" t="str">
        <f t="shared" si="1733"/>
        <v>14:56:42.211</v>
      </c>
      <c r="U3124" t="str">
        <f t="shared" si="1706"/>
        <v>ACC530</v>
      </c>
      <c r="V3124">
        <v>0</v>
      </c>
      <c r="W3124">
        <v>0</v>
      </c>
      <c r="X3124">
        <v>1</v>
      </c>
      <c r="Z3124">
        <v>0</v>
      </c>
      <c r="AA3124">
        <v>9</v>
      </c>
      <c r="AB3124">
        <v>3</v>
      </c>
      <c r="AC3124">
        <v>0</v>
      </c>
      <c r="AD3124">
        <v>9</v>
      </c>
      <c r="AE3124">
        <v>0</v>
      </c>
      <c r="AF3124">
        <v>3</v>
      </c>
      <c r="AG3124">
        <v>1</v>
      </c>
      <c r="AH3124">
        <v>0</v>
      </c>
      <c r="AI3124" t="s">
        <v>1046</v>
      </c>
      <c r="AJ3124">
        <v>34.102485000000001</v>
      </c>
      <c r="AK3124" t="s">
        <v>1047</v>
      </c>
      <c r="AL3124">
        <v>-117.048061</v>
      </c>
      <c r="AM3124">
        <v>100</v>
      </c>
      <c r="AN3124">
        <v>5900</v>
      </c>
      <c r="AO3124" t="s">
        <v>118</v>
      </c>
      <c r="AP3124">
        <v>59</v>
      </c>
      <c r="AQ3124">
        <v>-90</v>
      </c>
      <c r="AR3124">
        <v>-640</v>
      </c>
      <c r="AZ3124">
        <v>1200</v>
      </c>
      <c r="BA3124">
        <v>1</v>
      </c>
      <c r="BB3124" t="str">
        <f t="shared" si="1708"/>
        <v xml:space="preserve">N9217B  </v>
      </c>
      <c r="BC3124">
        <v>1</v>
      </c>
      <c r="BE3124">
        <v>0</v>
      </c>
      <c r="BF3124">
        <v>0</v>
      </c>
      <c r="BG3124">
        <v>0</v>
      </c>
      <c r="BH3124">
        <v>5725</v>
      </c>
      <c r="BI3124">
        <v>1</v>
      </c>
      <c r="BJ3124">
        <v>0</v>
      </c>
      <c r="BK3124">
        <v>0</v>
      </c>
      <c r="BL3124">
        <v>0</v>
      </c>
      <c r="BO3124">
        <v>0</v>
      </c>
      <c r="BP3124">
        <v>0</v>
      </c>
      <c r="BW3124" t="str">
        <f t="shared" si="1734"/>
        <v>14:56:42.218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7</v>
      </c>
      <c r="CP3124" t="s">
        <v>119</v>
      </c>
      <c r="CQ3124">
        <v>285</v>
      </c>
      <c r="CR3124">
        <v>0</v>
      </c>
      <c r="CW3124">
        <v>8875102</v>
      </c>
      <c r="CY3124">
        <v>0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25">
      <c r="A3125" t="str">
        <f t="shared" si="1732"/>
        <v>06/05/2020 14:56:36.586</v>
      </c>
      <c r="C3125" t="str">
        <f t="shared" si="1724"/>
        <v>FFDFD3C0</v>
      </c>
      <c r="D3125" t="s">
        <v>134</v>
      </c>
      <c r="E3125">
        <v>7</v>
      </c>
      <c r="F3125">
        <v>2007</v>
      </c>
      <c r="G3125" t="s">
        <v>135</v>
      </c>
      <c r="J3125" t="s">
        <v>136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733"/>
        <v>14:56:42.211</v>
      </c>
      <c r="T3125" t="str">
        <f t="shared" si="1733"/>
        <v>14:56:42.211</v>
      </c>
      <c r="U3125" t="str">
        <f t="shared" si="1706"/>
        <v>ACC530</v>
      </c>
      <c r="V3125">
        <v>0</v>
      </c>
      <c r="W3125">
        <v>0</v>
      </c>
      <c r="X3125">
        <v>1</v>
      </c>
      <c r="Z3125">
        <v>0</v>
      </c>
      <c r="AA3125">
        <v>9</v>
      </c>
      <c r="AB3125">
        <v>3</v>
      </c>
      <c r="AC3125">
        <v>0</v>
      </c>
      <c r="AD3125">
        <v>9</v>
      </c>
      <c r="AE3125">
        <v>0</v>
      </c>
      <c r="AF3125">
        <v>3</v>
      </c>
      <c r="AG3125">
        <v>1</v>
      </c>
      <c r="AH3125">
        <v>0</v>
      </c>
      <c r="AI3125" t="s">
        <v>1046</v>
      </c>
      <c r="AJ3125">
        <v>34.102485000000001</v>
      </c>
      <c r="AK3125" t="s">
        <v>1047</v>
      </c>
      <c r="AL3125">
        <v>-117.048061</v>
      </c>
      <c r="AM3125">
        <v>100</v>
      </c>
      <c r="AN3125">
        <v>5900</v>
      </c>
      <c r="AO3125" t="s">
        <v>118</v>
      </c>
      <c r="AP3125">
        <v>59</v>
      </c>
      <c r="AQ3125">
        <v>-90</v>
      </c>
      <c r="AR3125">
        <v>-640</v>
      </c>
      <c r="AZ3125">
        <v>1200</v>
      </c>
      <c r="BA3125">
        <v>1</v>
      </c>
      <c r="BB3125" t="str">
        <f t="shared" si="1708"/>
        <v xml:space="preserve">N9217B  </v>
      </c>
      <c r="BC3125">
        <v>1</v>
      </c>
      <c r="BE3125">
        <v>0</v>
      </c>
      <c r="BF3125">
        <v>0</v>
      </c>
      <c r="BG3125">
        <v>0</v>
      </c>
      <c r="BH3125">
        <v>5725</v>
      </c>
      <c r="BI3125">
        <v>1</v>
      </c>
      <c r="BJ3125">
        <v>0</v>
      </c>
      <c r="BK3125">
        <v>0</v>
      </c>
      <c r="BL3125">
        <v>0</v>
      </c>
      <c r="BO3125">
        <v>0</v>
      </c>
      <c r="BP3125">
        <v>0</v>
      </c>
      <c r="BW3125" t="str">
        <f t="shared" si="1734"/>
        <v>14:56:42.218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7</v>
      </c>
      <c r="CP3125" t="s">
        <v>119</v>
      </c>
      <c r="CQ3125">
        <v>285</v>
      </c>
      <c r="CR3125">
        <v>0</v>
      </c>
      <c r="CW3125">
        <v>8875102</v>
      </c>
      <c r="CY3125">
        <v>0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25">
      <c r="A3126" t="str">
        <f t="shared" si="1732"/>
        <v>06/05/2020 14:56:36.586</v>
      </c>
      <c r="C3126" t="str">
        <f t="shared" si="1724"/>
        <v>FFDFD3C0</v>
      </c>
      <c r="D3126" t="s">
        <v>148</v>
      </c>
      <c r="E3126">
        <v>11</v>
      </c>
      <c r="H3126">
        <v>53</v>
      </c>
      <c r="I3126" t="s">
        <v>364</v>
      </c>
      <c r="J3126" t="s">
        <v>150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733"/>
        <v>14:56:42.211</v>
      </c>
      <c r="T3126" t="str">
        <f t="shared" si="1733"/>
        <v>14:56:42.211</v>
      </c>
      <c r="U3126" t="str">
        <f t="shared" si="1706"/>
        <v>ACC530</v>
      </c>
      <c r="V3126">
        <v>0</v>
      </c>
      <c r="W3126">
        <v>0</v>
      </c>
      <c r="X3126">
        <v>1</v>
      </c>
      <c r="Z3126">
        <v>0</v>
      </c>
      <c r="AA3126">
        <v>9</v>
      </c>
      <c r="AB3126">
        <v>3</v>
      </c>
      <c r="AC3126">
        <v>0</v>
      </c>
      <c r="AD3126">
        <v>9</v>
      </c>
      <c r="AE3126">
        <v>0</v>
      </c>
      <c r="AF3126">
        <v>3</v>
      </c>
      <c r="AG3126">
        <v>1</v>
      </c>
      <c r="AH3126">
        <v>0</v>
      </c>
      <c r="AI3126" t="s">
        <v>1046</v>
      </c>
      <c r="AJ3126">
        <v>34.102485000000001</v>
      </c>
      <c r="AK3126" t="s">
        <v>1047</v>
      </c>
      <c r="AL3126">
        <v>-117.048061</v>
      </c>
      <c r="AM3126">
        <v>100</v>
      </c>
      <c r="AN3126">
        <v>5900</v>
      </c>
      <c r="AO3126" t="s">
        <v>118</v>
      </c>
      <c r="AP3126">
        <v>59</v>
      </c>
      <c r="AQ3126">
        <v>-90</v>
      </c>
      <c r="AR3126">
        <v>-640</v>
      </c>
      <c r="AZ3126">
        <v>1200</v>
      </c>
      <c r="BA3126">
        <v>1</v>
      </c>
      <c r="BB3126" t="str">
        <f t="shared" si="1708"/>
        <v xml:space="preserve">N9217B  </v>
      </c>
      <c r="BC3126">
        <v>1</v>
      </c>
      <c r="BE3126">
        <v>0</v>
      </c>
      <c r="BF3126">
        <v>0</v>
      </c>
      <c r="BG3126">
        <v>0</v>
      </c>
      <c r="BH3126">
        <v>5725</v>
      </c>
      <c r="BI3126">
        <v>1</v>
      </c>
      <c r="BJ3126">
        <v>0</v>
      </c>
      <c r="BK3126">
        <v>0</v>
      </c>
      <c r="BL3126">
        <v>0</v>
      </c>
      <c r="BO3126">
        <v>0</v>
      </c>
      <c r="BP3126">
        <v>0</v>
      </c>
      <c r="BW3126" t="str">
        <f t="shared" si="1734"/>
        <v>14:56:42.218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7</v>
      </c>
      <c r="CP3126" t="s">
        <v>119</v>
      </c>
      <c r="CQ3126">
        <v>285</v>
      </c>
      <c r="CR3126">
        <v>0</v>
      </c>
      <c r="CW3126">
        <v>8875102</v>
      </c>
      <c r="CY3126">
        <v>0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25">
      <c r="A3127" t="str">
        <f t="shared" si="1732"/>
        <v>06/05/2020 14:56:36.586</v>
      </c>
      <c r="C3127" t="str">
        <f t="shared" si="1724"/>
        <v>FFDFD3C0</v>
      </c>
      <c r="D3127" t="s">
        <v>151</v>
      </c>
      <c r="E3127">
        <v>8</v>
      </c>
      <c r="H3127">
        <v>225</v>
      </c>
      <c r="I3127" t="s">
        <v>353</v>
      </c>
      <c r="J3127" t="s">
        <v>150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733"/>
        <v>14:56:42.211</v>
      </c>
      <c r="T3127" t="str">
        <f t="shared" si="1733"/>
        <v>14:56:42.211</v>
      </c>
      <c r="U3127" t="str">
        <f t="shared" si="1706"/>
        <v>ACC530</v>
      </c>
      <c r="V3127">
        <v>0</v>
      </c>
      <c r="W3127">
        <v>0</v>
      </c>
      <c r="X3127">
        <v>1</v>
      </c>
      <c r="Z3127">
        <v>0</v>
      </c>
      <c r="AA3127">
        <v>9</v>
      </c>
      <c r="AB3127">
        <v>3</v>
      </c>
      <c r="AC3127">
        <v>0</v>
      </c>
      <c r="AD3127">
        <v>9</v>
      </c>
      <c r="AE3127">
        <v>0</v>
      </c>
      <c r="AF3127">
        <v>3</v>
      </c>
      <c r="AG3127">
        <v>1</v>
      </c>
      <c r="AH3127">
        <v>0</v>
      </c>
      <c r="AI3127" t="s">
        <v>1046</v>
      </c>
      <c r="AJ3127">
        <v>34.102485000000001</v>
      </c>
      <c r="AK3127" t="s">
        <v>1047</v>
      </c>
      <c r="AL3127">
        <v>-117.048061</v>
      </c>
      <c r="AM3127">
        <v>100</v>
      </c>
      <c r="AN3127">
        <v>5900</v>
      </c>
      <c r="AO3127" t="s">
        <v>118</v>
      </c>
      <c r="AP3127">
        <v>59</v>
      </c>
      <c r="AQ3127">
        <v>-90</v>
      </c>
      <c r="AR3127">
        <v>-640</v>
      </c>
      <c r="AZ3127">
        <v>1200</v>
      </c>
      <c r="BA3127">
        <v>1</v>
      </c>
      <c r="BB3127" t="str">
        <f t="shared" si="1708"/>
        <v xml:space="preserve">N9217B  </v>
      </c>
      <c r="BC3127">
        <v>1</v>
      </c>
      <c r="BE3127">
        <v>0</v>
      </c>
      <c r="BF3127">
        <v>0</v>
      </c>
      <c r="BG3127">
        <v>0</v>
      </c>
      <c r="BH3127">
        <v>5725</v>
      </c>
      <c r="BI3127">
        <v>1</v>
      </c>
      <c r="BJ3127">
        <v>0</v>
      </c>
      <c r="BK3127">
        <v>0</v>
      </c>
      <c r="BL3127">
        <v>0</v>
      </c>
      <c r="BO3127">
        <v>0</v>
      </c>
      <c r="BP3127">
        <v>0</v>
      </c>
      <c r="BW3127" t="str">
        <f t="shared" si="1734"/>
        <v>14:56:42.218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119</v>
      </c>
      <c r="CQ3127">
        <v>285</v>
      </c>
      <c r="CR3127">
        <v>0</v>
      </c>
      <c r="CW3127">
        <v>8875102</v>
      </c>
      <c r="CY3127">
        <v>0</v>
      </c>
      <c r="CZ3127">
        <v>0</v>
      </c>
      <c r="DA3127">
        <v>1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25">
      <c r="A3128" t="str">
        <f t="shared" si="1732"/>
        <v>06/05/2020 14:56:36.586</v>
      </c>
      <c r="C3128" t="str">
        <f t="shared" si="1724"/>
        <v>FFDFD3C0</v>
      </c>
      <c r="D3128" t="s">
        <v>148</v>
      </c>
      <c r="E3128">
        <v>8</v>
      </c>
      <c r="H3128">
        <v>50</v>
      </c>
      <c r="I3128" t="s">
        <v>149</v>
      </c>
      <c r="J3128" t="s">
        <v>150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733"/>
        <v>14:56:42.211</v>
      </c>
      <c r="T3128" t="str">
        <f t="shared" si="1733"/>
        <v>14:56:42.211</v>
      </c>
      <c r="U3128" t="str">
        <f t="shared" si="1706"/>
        <v>ACC530</v>
      </c>
      <c r="V3128">
        <v>0</v>
      </c>
      <c r="W3128">
        <v>0</v>
      </c>
      <c r="X3128">
        <v>1</v>
      </c>
      <c r="Z3128">
        <v>0</v>
      </c>
      <c r="AA3128">
        <v>9</v>
      </c>
      <c r="AB3128">
        <v>3</v>
      </c>
      <c r="AC3128">
        <v>0</v>
      </c>
      <c r="AD3128">
        <v>9</v>
      </c>
      <c r="AE3128">
        <v>0</v>
      </c>
      <c r="AF3128">
        <v>3</v>
      </c>
      <c r="AG3128">
        <v>1</v>
      </c>
      <c r="AH3128">
        <v>0</v>
      </c>
      <c r="AI3128" t="s">
        <v>1046</v>
      </c>
      <c r="AJ3128">
        <v>34.102485000000001</v>
      </c>
      <c r="AK3128" t="s">
        <v>1047</v>
      </c>
      <c r="AL3128">
        <v>-117.048061</v>
      </c>
      <c r="AM3128">
        <v>100</v>
      </c>
      <c r="AN3128">
        <v>5900</v>
      </c>
      <c r="AO3128" t="s">
        <v>118</v>
      </c>
      <c r="AP3128">
        <v>59</v>
      </c>
      <c r="AQ3128">
        <v>-90</v>
      </c>
      <c r="AR3128">
        <v>-640</v>
      </c>
      <c r="AZ3128">
        <v>1200</v>
      </c>
      <c r="BA3128">
        <v>1</v>
      </c>
      <c r="BB3128" t="str">
        <f t="shared" si="1708"/>
        <v xml:space="preserve">N9217B  </v>
      </c>
      <c r="BC3128">
        <v>1</v>
      </c>
      <c r="BE3128">
        <v>0</v>
      </c>
      <c r="BF3128">
        <v>0</v>
      </c>
      <c r="BG3128">
        <v>0</v>
      </c>
      <c r="BH3128">
        <v>5725</v>
      </c>
      <c r="BI3128">
        <v>1</v>
      </c>
      <c r="BJ3128">
        <v>0</v>
      </c>
      <c r="BK3128">
        <v>0</v>
      </c>
      <c r="BL3128">
        <v>0</v>
      </c>
      <c r="BO3128">
        <v>0</v>
      </c>
      <c r="BP3128">
        <v>0</v>
      </c>
      <c r="BW3128" t="str">
        <f t="shared" si="1734"/>
        <v>14:56:42.218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7</v>
      </c>
      <c r="CP3128" t="s">
        <v>119</v>
      </c>
      <c r="CQ3128">
        <v>285</v>
      </c>
      <c r="CR3128">
        <v>0</v>
      </c>
      <c r="CW3128">
        <v>8875102</v>
      </c>
      <c r="CY3128">
        <v>0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25">
      <c r="A3129" t="str">
        <f t="shared" si="1732"/>
        <v>06/05/2020 14:56:36.586</v>
      </c>
      <c r="C3129" t="str">
        <f t="shared" si="1724"/>
        <v>FFDFD3C0</v>
      </c>
      <c r="D3129" t="s">
        <v>141</v>
      </c>
      <c r="E3129">
        <v>20</v>
      </c>
      <c r="F3129">
        <v>1020</v>
      </c>
      <c r="G3129" t="s">
        <v>114</v>
      </c>
      <c r="J3129" t="s">
        <v>142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si="1733"/>
        <v>14:56:42.211</v>
      </c>
      <c r="T3129" t="str">
        <f t="shared" si="1733"/>
        <v>14:56:42.211</v>
      </c>
      <c r="U3129" t="str">
        <f t="shared" si="1706"/>
        <v>ACC530</v>
      </c>
      <c r="V3129">
        <v>0</v>
      </c>
      <c r="W3129">
        <v>0</v>
      </c>
      <c r="X3129">
        <v>1</v>
      </c>
      <c r="Z3129">
        <v>0</v>
      </c>
      <c r="AA3129">
        <v>9</v>
      </c>
      <c r="AB3129">
        <v>3</v>
      </c>
      <c r="AC3129">
        <v>0</v>
      </c>
      <c r="AD3129">
        <v>9</v>
      </c>
      <c r="AE3129">
        <v>0</v>
      </c>
      <c r="AF3129">
        <v>3</v>
      </c>
      <c r="AG3129">
        <v>1</v>
      </c>
      <c r="AH3129">
        <v>0</v>
      </c>
      <c r="AI3129" t="s">
        <v>1046</v>
      </c>
      <c r="AJ3129">
        <v>34.102485000000001</v>
      </c>
      <c r="AK3129" t="s">
        <v>1047</v>
      </c>
      <c r="AL3129">
        <v>-117.048061</v>
      </c>
      <c r="AM3129">
        <v>100</v>
      </c>
      <c r="AN3129">
        <v>5900</v>
      </c>
      <c r="AO3129" t="s">
        <v>118</v>
      </c>
      <c r="AP3129">
        <v>59</v>
      </c>
      <c r="AQ3129">
        <v>-90</v>
      </c>
      <c r="AR3129">
        <v>-640</v>
      </c>
      <c r="AZ3129">
        <v>1200</v>
      </c>
      <c r="BA3129">
        <v>1</v>
      </c>
      <c r="BB3129" t="str">
        <f t="shared" si="1708"/>
        <v xml:space="preserve">N9217B  </v>
      </c>
      <c r="BC3129">
        <v>1</v>
      </c>
      <c r="BE3129">
        <v>0</v>
      </c>
      <c r="BF3129">
        <v>0</v>
      </c>
      <c r="BG3129">
        <v>0</v>
      </c>
      <c r="BH3129">
        <v>5725</v>
      </c>
      <c r="BI3129">
        <v>1</v>
      </c>
      <c r="BJ3129">
        <v>0</v>
      </c>
      <c r="BK3129">
        <v>0</v>
      </c>
      <c r="BL3129">
        <v>0</v>
      </c>
      <c r="BO3129">
        <v>0</v>
      </c>
      <c r="BP3129">
        <v>0</v>
      </c>
      <c r="BW3129" t="str">
        <f t="shared" si="1734"/>
        <v>14:56:42.218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119</v>
      </c>
      <c r="CQ3129">
        <v>285</v>
      </c>
      <c r="CR3129">
        <v>0</v>
      </c>
      <c r="CW3129">
        <v>8875102</v>
      </c>
      <c r="CY3129">
        <v>0</v>
      </c>
      <c r="CZ3129">
        <v>0</v>
      </c>
      <c r="DA3129">
        <v>1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25">
      <c r="A3130" t="str">
        <f t="shared" ref="A3130:A3136" si="1735">"06/05/2020 14:56:37.554"</f>
        <v>06/05/2020 14:56:37.554</v>
      </c>
      <c r="C3130" t="str">
        <f t="shared" si="1724"/>
        <v>FFDFD3C0</v>
      </c>
      <c r="D3130" t="s">
        <v>113</v>
      </c>
      <c r="E3130">
        <v>3</v>
      </c>
      <c r="H3130">
        <v>166</v>
      </c>
      <c r="I3130" t="s">
        <v>114</v>
      </c>
      <c r="J3130" t="s">
        <v>115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ref="S3130:S3136" si="1736">"14:56:43.219"</f>
        <v>14:56:43.219</v>
      </c>
      <c r="T3130" t="str">
        <f t="shared" ref="T3130:T3136" si="1737">"14:56:42.819"</f>
        <v>14:56:42.819</v>
      </c>
      <c r="U3130" t="str">
        <f t="shared" si="1706"/>
        <v>ACC530</v>
      </c>
      <c r="V3130">
        <v>0</v>
      </c>
      <c r="W3130">
        <v>0</v>
      </c>
      <c r="X3130">
        <v>1</v>
      </c>
      <c r="Z3130">
        <v>0</v>
      </c>
      <c r="AA3130">
        <v>9</v>
      </c>
      <c r="AB3130">
        <v>3</v>
      </c>
      <c r="AC3130">
        <v>0</v>
      </c>
      <c r="AD3130">
        <v>9</v>
      </c>
      <c r="AE3130">
        <v>0</v>
      </c>
      <c r="AF3130">
        <v>3</v>
      </c>
      <c r="AG3130">
        <v>1</v>
      </c>
      <c r="AH3130">
        <v>0</v>
      </c>
      <c r="AI3130" t="s">
        <v>1048</v>
      </c>
      <c r="AJ3130">
        <v>34.102055999999997</v>
      </c>
      <c r="AK3130" t="s">
        <v>1049</v>
      </c>
      <c r="AL3130">
        <v>-117.047675</v>
      </c>
      <c r="AM3130">
        <v>100</v>
      </c>
      <c r="AN3130">
        <v>5800</v>
      </c>
      <c r="AO3130" t="s">
        <v>118</v>
      </c>
      <c r="AP3130">
        <v>60</v>
      </c>
      <c r="AQ3130">
        <v>-89</v>
      </c>
      <c r="AR3130">
        <v>-704</v>
      </c>
      <c r="AZ3130">
        <v>1200</v>
      </c>
      <c r="BA3130">
        <v>1</v>
      </c>
      <c r="BB3130" t="str">
        <f t="shared" si="1708"/>
        <v xml:space="preserve">N9217B  </v>
      </c>
      <c r="BC3130">
        <v>1</v>
      </c>
      <c r="BE3130">
        <v>0</v>
      </c>
      <c r="BF3130">
        <v>0</v>
      </c>
      <c r="BG3130">
        <v>0</v>
      </c>
      <c r="BH3130">
        <v>5625</v>
      </c>
      <c r="BI3130">
        <v>1</v>
      </c>
      <c r="BJ3130">
        <v>0</v>
      </c>
      <c r="BK3130">
        <v>0</v>
      </c>
      <c r="BL3130">
        <v>0</v>
      </c>
      <c r="BO3130">
        <v>0</v>
      </c>
      <c r="BP3130">
        <v>0</v>
      </c>
      <c r="BW3130" t="str">
        <f t="shared" ref="BW3130:BW3136" si="1738">"14:56:43.223"</f>
        <v>14:56:43.223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119</v>
      </c>
      <c r="CQ3130">
        <v>285</v>
      </c>
      <c r="CR3130">
        <v>0</v>
      </c>
      <c r="CW3130">
        <v>8875194</v>
      </c>
      <c r="CY3130">
        <v>0</v>
      </c>
      <c r="CZ3130">
        <v>0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25">
      <c r="A3131" t="str">
        <f t="shared" si="1735"/>
        <v>06/05/2020 14:56:37.554</v>
      </c>
      <c r="C3131" t="str">
        <f t="shared" si="1724"/>
        <v>FFDFD3C0</v>
      </c>
      <c r="D3131" t="s">
        <v>134</v>
      </c>
      <c r="E3131">
        <v>7</v>
      </c>
      <c r="F3131">
        <v>2007</v>
      </c>
      <c r="G3131" t="s">
        <v>135</v>
      </c>
      <c r="J3131" t="s">
        <v>136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si="1736"/>
        <v>14:56:43.219</v>
      </c>
      <c r="T3131" t="str">
        <f t="shared" si="1737"/>
        <v>14:56:42.819</v>
      </c>
      <c r="U3131" t="str">
        <f t="shared" si="1706"/>
        <v>ACC530</v>
      </c>
      <c r="V3131">
        <v>0</v>
      </c>
      <c r="W3131">
        <v>0</v>
      </c>
      <c r="X3131">
        <v>1</v>
      </c>
      <c r="Z3131">
        <v>0</v>
      </c>
      <c r="AA3131">
        <v>9</v>
      </c>
      <c r="AB3131">
        <v>3</v>
      </c>
      <c r="AC3131">
        <v>0</v>
      </c>
      <c r="AD3131">
        <v>9</v>
      </c>
      <c r="AE3131">
        <v>0</v>
      </c>
      <c r="AF3131">
        <v>3</v>
      </c>
      <c r="AG3131">
        <v>1</v>
      </c>
      <c r="AH3131">
        <v>0</v>
      </c>
      <c r="AI3131" t="s">
        <v>1048</v>
      </c>
      <c r="AJ3131">
        <v>34.102055999999997</v>
      </c>
      <c r="AK3131" t="s">
        <v>1049</v>
      </c>
      <c r="AL3131">
        <v>-117.047675</v>
      </c>
      <c r="AM3131">
        <v>100</v>
      </c>
      <c r="AN3131">
        <v>5800</v>
      </c>
      <c r="AO3131" t="s">
        <v>118</v>
      </c>
      <c r="AP3131">
        <v>60</v>
      </c>
      <c r="AQ3131">
        <v>-89</v>
      </c>
      <c r="AR3131">
        <v>-704</v>
      </c>
      <c r="AZ3131">
        <v>1200</v>
      </c>
      <c r="BA3131">
        <v>1</v>
      </c>
      <c r="BB3131" t="str">
        <f t="shared" si="1708"/>
        <v xml:space="preserve">N9217B  </v>
      </c>
      <c r="BC3131">
        <v>1</v>
      </c>
      <c r="BE3131">
        <v>0</v>
      </c>
      <c r="BF3131">
        <v>0</v>
      </c>
      <c r="BG3131">
        <v>0</v>
      </c>
      <c r="BH3131">
        <v>5625</v>
      </c>
      <c r="BI3131">
        <v>1</v>
      </c>
      <c r="BJ3131">
        <v>0</v>
      </c>
      <c r="BK3131">
        <v>0</v>
      </c>
      <c r="BL3131">
        <v>0</v>
      </c>
      <c r="BO3131">
        <v>0</v>
      </c>
      <c r="BP3131">
        <v>0</v>
      </c>
      <c r="BW3131" t="str">
        <f t="shared" si="1738"/>
        <v>14:56:43.223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119</v>
      </c>
      <c r="CQ3131">
        <v>285</v>
      </c>
      <c r="CR3131">
        <v>0</v>
      </c>
      <c r="CW3131">
        <v>8875194</v>
      </c>
      <c r="CY3131">
        <v>0</v>
      </c>
      <c r="CZ3131">
        <v>0</v>
      </c>
      <c r="DA3131">
        <v>1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25">
      <c r="A3132" t="str">
        <f t="shared" si="1735"/>
        <v>06/05/2020 14:56:37.554</v>
      </c>
      <c r="C3132" t="str">
        <f t="shared" si="1724"/>
        <v>FFDFD3C0</v>
      </c>
      <c r="D3132" t="s">
        <v>148</v>
      </c>
      <c r="E3132">
        <v>11</v>
      </c>
      <c r="H3132">
        <v>53</v>
      </c>
      <c r="I3132" t="s">
        <v>364</v>
      </c>
      <c r="J3132" t="s">
        <v>150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736"/>
        <v>14:56:43.219</v>
      </c>
      <c r="T3132" t="str">
        <f t="shared" si="1737"/>
        <v>14:56:42.819</v>
      </c>
      <c r="U3132" t="str">
        <f t="shared" si="1706"/>
        <v>ACC530</v>
      </c>
      <c r="V3132">
        <v>0</v>
      </c>
      <c r="W3132">
        <v>0</v>
      </c>
      <c r="X3132">
        <v>1</v>
      </c>
      <c r="Z3132">
        <v>0</v>
      </c>
      <c r="AA3132">
        <v>9</v>
      </c>
      <c r="AB3132">
        <v>3</v>
      </c>
      <c r="AC3132">
        <v>0</v>
      </c>
      <c r="AD3132">
        <v>9</v>
      </c>
      <c r="AE3132">
        <v>0</v>
      </c>
      <c r="AF3132">
        <v>3</v>
      </c>
      <c r="AG3132">
        <v>1</v>
      </c>
      <c r="AH3132">
        <v>0</v>
      </c>
      <c r="AI3132" t="s">
        <v>1048</v>
      </c>
      <c r="AJ3132">
        <v>34.102055999999997</v>
      </c>
      <c r="AK3132" t="s">
        <v>1049</v>
      </c>
      <c r="AL3132">
        <v>-117.047675</v>
      </c>
      <c r="AM3132">
        <v>100</v>
      </c>
      <c r="AN3132">
        <v>5800</v>
      </c>
      <c r="AO3132" t="s">
        <v>118</v>
      </c>
      <c r="AP3132">
        <v>60</v>
      </c>
      <c r="AQ3132">
        <v>-89</v>
      </c>
      <c r="AR3132">
        <v>-704</v>
      </c>
      <c r="AZ3132">
        <v>1200</v>
      </c>
      <c r="BA3132">
        <v>1</v>
      </c>
      <c r="BB3132" t="str">
        <f t="shared" si="1708"/>
        <v xml:space="preserve">N9217B  </v>
      </c>
      <c r="BC3132">
        <v>1</v>
      </c>
      <c r="BE3132">
        <v>0</v>
      </c>
      <c r="BF3132">
        <v>0</v>
      </c>
      <c r="BG3132">
        <v>0</v>
      </c>
      <c r="BH3132">
        <v>5625</v>
      </c>
      <c r="BI3132">
        <v>1</v>
      </c>
      <c r="BJ3132">
        <v>0</v>
      </c>
      <c r="BK3132">
        <v>0</v>
      </c>
      <c r="BL3132">
        <v>0</v>
      </c>
      <c r="BO3132">
        <v>0</v>
      </c>
      <c r="BP3132">
        <v>0</v>
      </c>
      <c r="BW3132" t="str">
        <f t="shared" si="1738"/>
        <v>14:56:43.223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285</v>
      </c>
      <c r="CR3132">
        <v>0</v>
      </c>
      <c r="CW3132">
        <v>8875194</v>
      </c>
      <c r="CY3132">
        <v>0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25">
      <c r="A3133" t="str">
        <f t="shared" si="1735"/>
        <v>06/05/2020 14:56:37.554</v>
      </c>
      <c r="C3133" t="str">
        <f t="shared" si="1724"/>
        <v>FFDFD3C0</v>
      </c>
      <c r="D3133" t="s">
        <v>148</v>
      </c>
      <c r="E3133">
        <v>8</v>
      </c>
      <c r="H3133">
        <v>50</v>
      </c>
      <c r="I3133" t="s">
        <v>149</v>
      </c>
      <c r="J3133" t="s">
        <v>150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736"/>
        <v>14:56:43.219</v>
      </c>
      <c r="T3133" t="str">
        <f t="shared" si="1737"/>
        <v>14:56:42.819</v>
      </c>
      <c r="U3133" t="str">
        <f t="shared" si="1706"/>
        <v>ACC530</v>
      </c>
      <c r="V3133">
        <v>0</v>
      </c>
      <c r="W3133">
        <v>0</v>
      </c>
      <c r="X3133">
        <v>1</v>
      </c>
      <c r="Z3133">
        <v>0</v>
      </c>
      <c r="AA3133">
        <v>9</v>
      </c>
      <c r="AB3133">
        <v>3</v>
      </c>
      <c r="AC3133">
        <v>0</v>
      </c>
      <c r="AD3133">
        <v>9</v>
      </c>
      <c r="AE3133">
        <v>0</v>
      </c>
      <c r="AF3133">
        <v>3</v>
      </c>
      <c r="AG3133">
        <v>1</v>
      </c>
      <c r="AH3133">
        <v>0</v>
      </c>
      <c r="AI3133" t="s">
        <v>1048</v>
      </c>
      <c r="AJ3133">
        <v>34.102055999999997</v>
      </c>
      <c r="AK3133" t="s">
        <v>1049</v>
      </c>
      <c r="AL3133">
        <v>-117.047675</v>
      </c>
      <c r="AM3133">
        <v>100</v>
      </c>
      <c r="AN3133">
        <v>5800</v>
      </c>
      <c r="AO3133" t="s">
        <v>118</v>
      </c>
      <c r="AP3133">
        <v>60</v>
      </c>
      <c r="AQ3133">
        <v>-89</v>
      </c>
      <c r="AR3133">
        <v>-704</v>
      </c>
      <c r="AZ3133">
        <v>1200</v>
      </c>
      <c r="BA3133">
        <v>1</v>
      </c>
      <c r="BB3133" t="str">
        <f t="shared" si="1708"/>
        <v xml:space="preserve">N9217B  </v>
      </c>
      <c r="BC3133">
        <v>1</v>
      </c>
      <c r="BE3133">
        <v>0</v>
      </c>
      <c r="BF3133">
        <v>0</v>
      </c>
      <c r="BG3133">
        <v>0</v>
      </c>
      <c r="BH3133">
        <v>5625</v>
      </c>
      <c r="BI3133">
        <v>1</v>
      </c>
      <c r="BJ3133">
        <v>0</v>
      </c>
      <c r="BK3133">
        <v>0</v>
      </c>
      <c r="BL3133">
        <v>0</v>
      </c>
      <c r="BO3133">
        <v>0</v>
      </c>
      <c r="BP3133">
        <v>0</v>
      </c>
      <c r="BW3133" t="str">
        <f t="shared" si="1738"/>
        <v>14:56:43.223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285</v>
      </c>
      <c r="CR3133">
        <v>0</v>
      </c>
      <c r="CW3133">
        <v>8875194</v>
      </c>
      <c r="CY3133">
        <v>0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25">
      <c r="A3134" t="str">
        <f t="shared" si="1735"/>
        <v>06/05/2020 14:56:37.554</v>
      </c>
      <c r="C3134" t="str">
        <f t="shared" si="1724"/>
        <v>FFDFD3C0</v>
      </c>
      <c r="D3134" t="s">
        <v>151</v>
      </c>
      <c r="E3134">
        <v>8</v>
      </c>
      <c r="H3134">
        <v>225</v>
      </c>
      <c r="I3134" t="s">
        <v>353</v>
      </c>
      <c r="J3134" t="s">
        <v>150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736"/>
        <v>14:56:43.219</v>
      </c>
      <c r="T3134" t="str">
        <f t="shared" si="1737"/>
        <v>14:56:42.819</v>
      </c>
      <c r="U3134" t="str">
        <f t="shared" si="1706"/>
        <v>ACC530</v>
      </c>
      <c r="V3134">
        <v>0</v>
      </c>
      <c r="W3134">
        <v>0</v>
      </c>
      <c r="X3134">
        <v>1</v>
      </c>
      <c r="Z3134">
        <v>0</v>
      </c>
      <c r="AA3134">
        <v>9</v>
      </c>
      <c r="AB3134">
        <v>3</v>
      </c>
      <c r="AC3134">
        <v>0</v>
      </c>
      <c r="AD3134">
        <v>9</v>
      </c>
      <c r="AE3134">
        <v>0</v>
      </c>
      <c r="AF3134">
        <v>3</v>
      </c>
      <c r="AG3134">
        <v>1</v>
      </c>
      <c r="AH3134">
        <v>0</v>
      </c>
      <c r="AI3134" t="s">
        <v>1048</v>
      </c>
      <c r="AJ3134">
        <v>34.102055999999997</v>
      </c>
      <c r="AK3134" t="s">
        <v>1049</v>
      </c>
      <c r="AL3134">
        <v>-117.047675</v>
      </c>
      <c r="AM3134">
        <v>100</v>
      </c>
      <c r="AN3134">
        <v>5800</v>
      </c>
      <c r="AO3134" t="s">
        <v>118</v>
      </c>
      <c r="AP3134">
        <v>60</v>
      </c>
      <c r="AQ3134">
        <v>-89</v>
      </c>
      <c r="AR3134">
        <v>-704</v>
      </c>
      <c r="AZ3134">
        <v>1200</v>
      </c>
      <c r="BA3134">
        <v>1</v>
      </c>
      <c r="BB3134" t="str">
        <f t="shared" si="1708"/>
        <v xml:space="preserve">N9217B  </v>
      </c>
      <c r="BC3134">
        <v>1</v>
      </c>
      <c r="BE3134">
        <v>0</v>
      </c>
      <c r="BF3134">
        <v>0</v>
      </c>
      <c r="BG3134">
        <v>0</v>
      </c>
      <c r="BH3134">
        <v>5625</v>
      </c>
      <c r="BI3134">
        <v>1</v>
      </c>
      <c r="BJ3134">
        <v>0</v>
      </c>
      <c r="BK3134">
        <v>0</v>
      </c>
      <c r="BL3134">
        <v>0</v>
      </c>
      <c r="BO3134">
        <v>0</v>
      </c>
      <c r="BP3134">
        <v>0</v>
      </c>
      <c r="BW3134" t="str">
        <f t="shared" si="1738"/>
        <v>14:56:43.223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285</v>
      </c>
      <c r="CR3134">
        <v>0</v>
      </c>
      <c r="CW3134">
        <v>8875194</v>
      </c>
      <c r="CY3134">
        <v>0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25">
      <c r="A3135" t="str">
        <f t="shared" si="1735"/>
        <v>06/05/2020 14:56:37.554</v>
      </c>
      <c r="C3135" t="str">
        <f t="shared" si="1724"/>
        <v>FFDFD3C0</v>
      </c>
      <c r="D3135" t="s">
        <v>141</v>
      </c>
      <c r="E3135">
        <v>20</v>
      </c>
      <c r="F3135">
        <v>1020</v>
      </c>
      <c r="G3135" t="s">
        <v>114</v>
      </c>
      <c r="J3135" t="s">
        <v>142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736"/>
        <v>14:56:43.219</v>
      </c>
      <c r="T3135" t="str">
        <f t="shared" si="1737"/>
        <v>14:56:42.819</v>
      </c>
      <c r="U3135" t="str">
        <f t="shared" si="1706"/>
        <v>ACC530</v>
      </c>
      <c r="V3135">
        <v>0</v>
      </c>
      <c r="W3135">
        <v>0</v>
      </c>
      <c r="X3135">
        <v>1</v>
      </c>
      <c r="Z3135">
        <v>0</v>
      </c>
      <c r="AA3135">
        <v>9</v>
      </c>
      <c r="AB3135">
        <v>3</v>
      </c>
      <c r="AC3135">
        <v>0</v>
      </c>
      <c r="AD3135">
        <v>9</v>
      </c>
      <c r="AE3135">
        <v>0</v>
      </c>
      <c r="AF3135">
        <v>3</v>
      </c>
      <c r="AG3135">
        <v>1</v>
      </c>
      <c r="AH3135">
        <v>0</v>
      </c>
      <c r="AI3135" t="s">
        <v>1048</v>
      </c>
      <c r="AJ3135">
        <v>34.102055999999997</v>
      </c>
      <c r="AK3135" t="s">
        <v>1049</v>
      </c>
      <c r="AL3135">
        <v>-117.047675</v>
      </c>
      <c r="AM3135">
        <v>100</v>
      </c>
      <c r="AN3135">
        <v>5800</v>
      </c>
      <c r="AO3135" t="s">
        <v>118</v>
      </c>
      <c r="AP3135">
        <v>60</v>
      </c>
      <c r="AQ3135">
        <v>-89</v>
      </c>
      <c r="AR3135">
        <v>-704</v>
      </c>
      <c r="AZ3135">
        <v>1200</v>
      </c>
      <c r="BA3135">
        <v>1</v>
      </c>
      <c r="BB3135" t="str">
        <f t="shared" si="1708"/>
        <v xml:space="preserve">N9217B  </v>
      </c>
      <c r="BC3135">
        <v>1</v>
      </c>
      <c r="BE3135">
        <v>0</v>
      </c>
      <c r="BF3135">
        <v>0</v>
      </c>
      <c r="BG3135">
        <v>0</v>
      </c>
      <c r="BH3135">
        <v>5625</v>
      </c>
      <c r="BI3135">
        <v>1</v>
      </c>
      <c r="BJ3135">
        <v>0</v>
      </c>
      <c r="BK3135">
        <v>0</v>
      </c>
      <c r="BL3135">
        <v>0</v>
      </c>
      <c r="BO3135">
        <v>0</v>
      </c>
      <c r="BP3135">
        <v>0</v>
      </c>
      <c r="BW3135" t="str">
        <f t="shared" si="1738"/>
        <v>14:56:43.223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7</v>
      </c>
      <c r="CP3135" t="s">
        <v>119</v>
      </c>
      <c r="CQ3135">
        <v>285</v>
      </c>
      <c r="CR3135">
        <v>0</v>
      </c>
      <c r="CW3135">
        <v>8875194</v>
      </c>
      <c r="CY3135">
        <v>0</v>
      </c>
      <c r="CZ3135">
        <v>0</v>
      </c>
      <c r="DA3135">
        <v>1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25">
      <c r="A3136" t="str">
        <f t="shared" si="1735"/>
        <v>06/05/2020 14:56:37.554</v>
      </c>
      <c r="C3136" t="str">
        <f t="shared" si="1724"/>
        <v>FFDFD3C0</v>
      </c>
      <c r="D3136" t="s">
        <v>151</v>
      </c>
      <c r="E3136">
        <v>9</v>
      </c>
      <c r="H3136">
        <v>226</v>
      </c>
      <c r="I3136" t="s">
        <v>152</v>
      </c>
      <c r="J3136" t="s">
        <v>150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736"/>
        <v>14:56:43.219</v>
      </c>
      <c r="T3136" t="str">
        <f t="shared" si="1737"/>
        <v>14:56:42.819</v>
      </c>
      <c r="U3136" t="str">
        <f t="shared" si="1706"/>
        <v>ACC530</v>
      </c>
      <c r="V3136">
        <v>0</v>
      </c>
      <c r="W3136">
        <v>0</v>
      </c>
      <c r="X3136">
        <v>1</v>
      </c>
      <c r="Z3136">
        <v>0</v>
      </c>
      <c r="AA3136">
        <v>9</v>
      </c>
      <c r="AB3136">
        <v>3</v>
      </c>
      <c r="AC3136">
        <v>0</v>
      </c>
      <c r="AD3136">
        <v>9</v>
      </c>
      <c r="AE3136">
        <v>0</v>
      </c>
      <c r="AF3136">
        <v>3</v>
      </c>
      <c r="AG3136">
        <v>1</v>
      </c>
      <c r="AH3136">
        <v>0</v>
      </c>
      <c r="AI3136" t="s">
        <v>1048</v>
      </c>
      <c r="AJ3136">
        <v>34.102055999999997</v>
      </c>
      <c r="AK3136" t="s">
        <v>1049</v>
      </c>
      <c r="AL3136">
        <v>-117.047675</v>
      </c>
      <c r="AM3136">
        <v>100</v>
      </c>
      <c r="AN3136">
        <v>5800</v>
      </c>
      <c r="AO3136" t="s">
        <v>118</v>
      </c>
      <c r="AP3136">
        <v>60</v>
      </c>
      <c r="AQ3136">
        <v>-89</v>
      </c>
      <c r="AR3136">
        <v>-704</v>
      </c>
      <c r="AZ3136">
        <v>1200</v>
      </c>
      <c r="BA3136">
        <v>1</v>
      </c>
      <c r="BB3136" t="str">
        <f t="shared" si="1708"/>
        <v xml:space="preserve">N9217B  </v>
      </c>
      <c r="BC3136">
        <v>1</v>
      </c>
      <c r="BE3136">
        <v>0</v>
      </c>
      <c r="BF3136">
        <v>0</v>
      </c>
      <c r="BG3136">
        <v>0</v>
      </c>
      <c r="BH3136">
        <v>5625</v>
      </c>
      <c r="BI3136">
        <v>1</v>
      </c>
      <c r="BJ3136">
        <v>0</v>
      </c>
      <c r="BK3136">
        <v>0</v>
      </c>
      <c r="BL3136">
        <v>0</v>
      </c>
      <c r="BO3136">
        <v>0</v>
      </c>
      <c r="BP3136">
        <v>0</v>
      </c>
      <c r="BW3136" t="str">
        <f t="shared" si="1738"/>
        <v>14:56:43.223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119</v>
      </c>
      <c r="CQ3136">
        <v>285</v>
      </c>
      <c r="CR3136">
        <v>0</v>
      </c>
      <c r="CW3136">
        <v>8875194</v>
      </c>
      <c r="CY3136">
        <v>0</v>
      </c>
      <c r="CZ3136">
        <v>0</v>
      </c>
      <c r="DA3136">
        <v>1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25">
      <c r="A3137" t="str">
        <f t="shared" ref="A3137:A3143" si="1739">"06/05/2020 14:56:38.458"</f>
        <v>06/05/2020 14:56:38.458</v>
      </c>
      <c r="C3137" t="str">
        <f t="shared" si="1724"/>
        <v>FFDFD3C0</v>
      </c>
      <c r="D3137" t="s">
        <v>151</v>
      </c>
      <c r="E3137">
        <v>9</v>
      </c>
      <c r="H3137">
        <v>226</v>
      </c>
      <c r="I3137" t="s">
        <v>152</v>
      </c>
      <c r="J3137" t="s">
        <v>150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ref="S3137:S3143" si="1740">"14:56:44.086"</f>
        <v>14:56:44.086</v>
      </c>
      <c r="T3137" t="str">
        <f t="shared" ref="T3137:T3143" si="1741">"14:56:43.886"</f>
        <v>14:56:43.886</v>
      </c>
      <c r="U3137" t="str">
        <f t="shared" si="1706"/>
        <v>ACC530</v>
      </c>
      <c r="V3137">
        <v>0</v>
      </c>
      <c r="W3137">
        <v>0</v>
      </c>
      <c r="X3137">
        <v>1</v>
      </c>
      <c r="Z3137">
        <v>0</v>
      </c>
      <c r="AA3137">
        <v>9</v>
      </c>
      <c r="AB3137">
        <v>3</v>
      </c>
      <c r="AC3137">
        <v>0</v>
      </c>
      <c r="AD3137">
        <v>9</v>
      </c>
      <c r="AE3137">
        <v>0</v>
      </c>
      <c r="AF3137">
        <v>3</v>
      </c>
      <c r="AG3137">
        <v>1</v>
      </c>
      <c r="AH3137">
        <v>0</v>
      </c>
      <c r="AI3137" t="s">
        <v>1050</v>
      </c>
      <c r="AJ3137">
        <v>34.101691000000002</v>
      </c>
      <c r="AK3137" t="s">
        <v>853</v>
      </c>
      <c r="AL3137">
        <v>-117.047439</v>
      </c>
      <c r="AM3137">
        <v>100</v>
      </c>
      <c r="AN3137">
        <v>5800</v>
      </c>
      <c r="AO3137" t="s">
        <v>118</v>
      </c>
      <c r="AP3137">
        <v>61</v>
      </c>
      <c r="AQ3137">
        <v>-89</v>
      </c>
      <c r="AR3137">
        <v>-704</v>
      </c>
      <c r="AZ3137">
        <v>1200</v>
      </c>
      <c r="BA3137">
        <v>1</v>
      </c>
      <c r="BB3137" t="str">
        <f t="shared" si="1708"/>
        <v xml:space="preserve">N9217B  </v>
      </c>
      <c r="BC3137">
        <v>1</v>
      </c>
      <c r="BE3137">
        <v>0</v>
      </c>
      <c r="BF3137">
        <v>0</v>
      </c>
      <c r="BG3137">
        <v>0</v>
      </c>
      <c r="BH3137">
        <v>5700</v>
      </c>
      <c r="BI3137">
        <v>1</v>
      </c>
      <c r="BJ3137">
        <v>0</v>
      </c>
      <c r="BK3137">
        <v>0</v>
      </c>
      <c r="BL3137">
        <v>0</v>
      </c>
      <c r="BO3137">
        <v>0</v>
      </c>
      <c r="BP3137">
        <v>0</v>
      </c>
      <c r="BW3137" t="str">
        <f t="shared" ref="BW3137:BW3143" si="1742">"14:56:44.092"</f>
        <v>14:56:44.092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119</v>
      </c>
      <c r="CQ3137">
        <v>285</v>
      </c>
      <c r="CR3137">
        <v>0</v>
      </c>
      <c r="CW3137">
        <v>8875267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25">
      <c r="A3138" t="str">
        <f t="shared" si="1739"/>
        <v>06/05/2020 14:56:38.458</v>
      </c>
      <c r="C3138" t="str">
        <f t="shared" si="1724"/>
        <v>FFDFD3C0</v>
      </c>
      <c r="D3138" t="s">
        <v>113</v>
      </c>
      <c r="E3138">
        <v>3</v>
      </c>
      <c r="H3138">
        <v>166</v>
      </c>
      <c r="I3138" t="s">
        <v>114</v>
      </c>
      <c r="J3138" t="s">
        <v>115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si="1740"/>
        <v>14:56:44.086</v>
      </c>
      <c r="T3138" t="str">
        <f t="shared" si="1741"/>
        <v>14:56:43.886</v>
      </c>
      <c r="U3138" t="str">
        <f t="shared" ref="U3138:U3201" si="1743">"ACC530"</f>
        <v>ACC530</v>
      </c>
      <c r="V3138">
        <v>0</v>
      </c>
      <c r="W3138">
        <v>0</v>
      </c>
      <c r="X3138">
        <v>1</v>
      </c>
      <c r="Z3138">
        <v>0</v>
      </c>
      <c r="AA3138">
        <v>9</v>
      </c>
      <c r="AB3138">
        <v>3</v>
      </c>
      <c r="AC3138">
        <v>0</v>
      </c>
      <c r="AD3138">
        <v>9</v>
      </c>
      <c r="AE3138">
        <v>0</v>
      </c>
      <c r="AF3138">
        <v>3</v>
      </c>
      <c r="AG3138">
        <v>1</v>
      </c>
      <c r="AH3138">
        <v>0</v>
      </c>
      <c r="AI3138" t="s">
        <v>1050</v>
      </c>
      <c r="AJ3138">
        <v>34.101691000000002</v>
      </c>
      <c r="AK3138" t="s">
        <v>853</v>
      </c>
      <c r="AL3138">
        <v>-117.047439</v>
      </c>
      <c r="AM3138">
        <v>100</v>
      </c>
      <c r="AN3138">
        <v>5800</v>
      </c>
      <c r="AO3138" t="s">
        <v>118</v>
      </c>
      <c r="AP3138">
        <v>61</v>
      </c>
      <c r="AQ3138">
        <v>-89</v>
      </c>
      <c r="AR3138">
        <v>-704</v>
      </c>
      <c r="AZ3138">
        <v>1200</v>
      </c>
      <c r="BA3138">
        <v>1</v>
      </c>
      <c r="BB3138" t="str">
        <f t="shared" si="1708"/>
        <v xml:space="preserve">N9217B  </v>
      </c>
      <c r="BC3138">
        <v>1</v>
      </c>
      <c r="BE3138">
        <v>0</v>
      </c>
      <c r="BF3138">
        <v>0</v>
      </c>
      <c r="BG3138">
        <v>0</v>
      </c>
      <c r="BH3138">
        <v>5700</v>
      </c>
      <c r="BI3138">
        <v>1</v>
      </c>
      <c r="BJ3138">
        <v>0</v>
      </c>
      <c r="BK3138">
        <v>0</v>
      </c>
      <c r="BL3138">
        <v>0</v>
      </c>
      <c r="BO3138">
        <v>0</v>
      </c>
      <c r="BP3138">
        <v>0</v>
      </c>
      <c r="BW3138" t="str">
        <f t="shared" si="1742"/>
        <v>14:56:44.092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119</v>
      </c>
      <c r="CQ3138">
        <v>285</v>
      </c>
      <c r="CR3138">
        <v>0</v>
      </c>
      <c r="CW3138">
        <v>8875267</v>
      </c>
      <c r="CY3138">
        <v>0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25">
      <c r="A3139" t="str">
        <f t="shared" si="1739"/>
        <v>06/05/2020 14:56:38.458</v>
      </c>
      <c r="C3139" t="str">
        <f t="shared" si="1724"/>
        <v>FFDFD3C0</v>
      </c>
      <c r="D3139" t="s">
        <v>134</v>
      </c>
      <c r="E3139">
        <v>7</v>
      </c>
      <c r="F3139">
        <v>2007</v>
      </c>
      <c r="G3139" t="s">
        <v>135</v>
      </c>
      <c r="J3139" t="s">
        <v>136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si="1740"/>
        <v>14:56:44.086</v>
      </c>
      <c r="T3139" t="str">
        <f t="shared" si="1741"/>
        <v>14:56:43.886</v>
      </c>
      <c r="U3139" t="str">
        <f t="shared" si="1743"/>
        <v>ACC530</v>
      </c>
      <c r="V3139">
        <v>0</v>
      </c>
      <c r="W3139">
        <v>0</v>
      </c>
      <c r="X3139">
        <v>1</v>
      </c>
      <c r="Z3139">
        <v>0</v>
      </c>
      <c r="AA3139">
        <v>9</v>
      </c>
      <c r="AB3139">
        <v>3</v>
      </c>
      <c r="AC3139">
        <v>0</v>
      </c>
      <c r="AD3139">
        <v>9</v>
      </c>
      <c r="AE3139">
        <v>0</v>
      </c>
      <c r="AF3139">
        <v>3</v>
      </c>
      <c r="AG3139">
        <v>1</v>
      </c>
      <c r="AH3139">
        <v>0</v>
      </c>
      <c r="AI3139" t="s">
        <v>1050</v>
      </c>
      <c r="AJ3139">
        <v>34.101691000000002</v>
      </c>
      <c r="AK3139" t="s">
        <v>853</v>
      </c>
      <c r="AL3139">
        <v>-117.047439</v>
      </c>
      <c r="AM3139">
        <v>100</v>
      </c>
      <c r="AN3139">
        <v>5800</v>
      </c>
      <c r="AO3139" t="s">
        <v>118</v>
      </c>
      <c r="AP3139">
        <v>61</v>
      </c>
      <c r="AQ3139">
        <v>-89</v>
      </c>
      <c r="AR3139">
        <v>-704</v>
      </c>
      <c r="AZ3139">
        <v>1200</v>
      </c>
      <c r="BA3139">
        <v>1</v>
      </c>
      <c r="BB3139" t="str">
        <f t="shared" si="1708"/>
        <v xml:space="preserve">N9217B  </v>
      </c>
      <c r="BC3139">
        <v>1</v>
      </c>
      <c r="BE3139">
        <v>0</v>
      </c>
      <c r="BF3139">
        <v>0</v>
      </c>
      <c r="BG3139">
        <v>0</v>
      </c>
      <c r="BH3139">
        <v>5700</v>
      </c>
      <c r="BI3139">
        <v>1</v>
      </c>
      <c r="BJ3139">
        <v>0</v>
      </c>
      <c r="BK3139">
        <v>0</v>
      </c>
      <c r="BL3139">
        <v>0</v>
      </c>
      <c r="BO3139">
        <v>0</v>
      </c>
      <c r="BP3139">
        <v>0</v>
      </c>
      <c r="BW3139" t="str">
        <f t="shared" si="1742"/>
        <v>14:56:44.092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119</v>
      </c>
      <c r="CQ3139">
        <v>285</v>
      </c>
      <c r="CR3139">
        <v>0</v>
      </c>
      <c r="CW3139">
        <v>8875267</v>
      </c>
      <c r="CY3139">
        <v>0</v>
      </c>
      <c r="CZ3139">
        <v>0</v>
      </c>
      <c r="DA3139">
        <v>1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25">
      <c r="A3140" t="str">
        <f t="shared" si="1739"/>
        <v>06/05/2020 14:56:38.458</v>
      </c>
      <c r="C3140" t="str">
        <f t="shared" si="1724"/>
        <v>FFDFD3C0</v>
      </c>
      <c r="D3140" t="s">
        <v>148</v>
      </c>
      <c r="E3140">
        <v>11</v>
      </c>
      <c r="H3140">
        <v>53</v>
      </c>
      <c r="I3140" t="s">
        <v>364</v>
      </c>
      <c r="J3140" t="s">
        <v>150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740"/>
        <v>14:56:44.086</v>
      </c>
      <c r="T3140" t="str">
        <f t="shared" si="1741"/>
        <v>14:56:43.886</v>
      </c>
      <c r="U3140" t="str">
        <f t="shared" si="1743"/>
        <v>ACC530</v>
      </c>
      <c r="V3140">
        <v>0</v>
      </c>
      <c r="W3140">
        <v>0</v>
      </c>
      <c r="X3140">
        <v>1</v>
      </c>
      <c r="Z3140">
        <v>0</v>
      </c>
      <c r="AA3140">
        <v>9</v>
      </c>
      <c r="AB3140">
        <v>3</v>
      </c>
      <c r="AC3140">
        <v>0</v>
      </c>
      <c r="AD3140">
        <v>9</v>
      </c>
      <c r="AE3140">
        <v>0</v>
      </c>
      <c r="AF3140">
        <v>3</v>
      </c>
      <c r="AG3140">
        <v>1</v>
      </c>
      <c r="AH3140">
        <v>0</v>
      </c>
      <c r="AI3140" t="s">
        <v>1050</v>
      </c>
      <c r="AJ3140">
        <v>34.101691000000002</v>
      </c>
      <c r="AK3140" t="s">
        <v>853</v>
      </c>
      <c r="AL3140">
        <v>-117.047439</v>
      </c>
      <c r="AM3140">
        <v>100</v>
      </c>
      <c r="AN3140">
        <v>5800</v>
      </c>
      <c r="AO3140" t="s">
        <v>118</v>
      </c>
      <c r="AP3140">
        <v>61</v>
      </c>
      <c r="AQ3140">
        <v>-89</v>
      </c>
      <c r="AR3140">
        <v>-704</v>
      </c>
      <c r="AZ3140">
        <v>1200</v>
      </c>
      <c r="BA3140">
        <v>1</v>
      </c>
      <c r="BB3140" t="str">
        <f t="shared" si="1708"/>
        <v xml:space="preserve">N9217B  </v>
      </c>
      <c r="BC3140">
        <v>1</v>
      </c>
      <c r="BE3140">
        <v>0</v>
      </c>
      <c r="BF3140">
        <v>0</v>
      </c>
      <c r="BG3140">
        <v>0</v>
      </c>
      <c r="BH3140">
        <v>5700</v>
      </c>
      <c r="BI3140">
        <v>1</v>
      </c>
      <c r="BJ3140">
        <v>0</v>
      </c>
      <c r="BK3140">
        <v>0</v>
      </c>
      <c r="BL3140">
        <v>0</v>
      </c>
      <c r="BO3140">
        <v>0</v>
      </c>
      <c r="BP3140">
        <v>0</v>
      </c>
      <c r="BW3140" t="str">
        <f t="shared" si="1742"/>
        <v>14:56:44.092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7</v>
      </c>
      <c r="CP3140" t="s">
        <v>119</v>
      </c>
      <c r="CQ3140">
        <v>285</v>
      </c>
      <c r="CR3140">
        <v>0</v>
      </c>
      <c r="CW3140">
        <v>8875267</v>
      </c>
      <c r="CY3140">
        <v>0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25">
      <c r="A3141" t="str">
        <f t="shared" si="1739"/>
        <v>06/05/2020 14:56:38.458</v>
      </c>
      <c r="C3141" t="str">
        <f t="shared" si="1724"/>
        <v>FFDFD3C0</v>
      </c>
      <c r="D3141" t="s">
        <v>141</v>
      </c>
      <c r="E3141">
        <v>20</v>
      </c>
      <c r="F3141">
        <v>1020</v>
      </c>
      <c r="G3141" t="s">
        <v>114</v>
      </c>
      <c r="J3141" t="s">
        <v>142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740"/>
        <v>14:56:44.086</v>
      </c>
      <c r="T3141" t="str">
        <f t="shared" si="1741"/>
        <v>14:56:43.886</v>
      </c>
      <c r="U3141" t="str">
        <f t="shared" si="1743"/>
        <v>ACC530</v>
      </c>
      <c r="V3141">
        <v>0</v>
      </c>
      <c r="W3141">
        <v>0</v>
      </c>
      <c r="X3141">
        <v>1</v>
      </c>
      <c r="Z3141">
        <v>0</v>
      </c>
      <c r="AA3141">
        <v>9</v>
      </c>
      <c r="AB3141">
        <v>3</v>
      </c>
      <c r="AC3141">
        <v>0</v>
      </c>
      <c r="AD3141">
        <v>9</v>
      </c>
      <c r="AE3141">
        <v>0</v>
      </c>
      <c r="AF3141">
        <v>3</v>
      </c>
      <c r="AG3141">
        <v>1</v>
      </c>
      <c r="AH3141">
        <v>0</v>
      </c>
      <c r="AI3141" t="s">
        <v>1050</v>
      </c>
      <c r="AJ3141">
        <v>34.101691000000002</v>
      </c>
      <c r="AK3141" t="s">
        <v>853</v>
      </c>
      <c r="AL3141">
        <v>-117.047439</v>
      </c>
      <c r="AM3141">
        <v>100</v>
      </c>
      <c r="AN3141">
        <v>5800</v>
      </c>
      <c r="AO3141" t="s">
        <v>118</v>
      </c>
      <c r="AP3141">
        <v>61</v>
      </c>
      <c r="AQ3141">
        <v>-89</v>
      </c>
      <c r="AR3141">
        <v>-704</v>
      </c>
      <c r="AZ3141">
        <v>1200</v>
      </c>
      <c r="BA3141">
        <v>1</v>
      </c>
      <c r="BB3141" t="str">
        <f t="shared" ref="BB3141:BB3204" si="1744">"N9217B  "</f>
        <v xml:space="preserve">N9217B  </v>
      </c>
      <c r="BC3141">
        <v>1</v>
      </c>
      <c r="BE3141">
        <v>0</v>
      </c>
      <c r="BF3141">
        <v>0</v>
      </c>
      <c r="BG3141">
        <v>0</v>
      </c>
      <c r="BH3141">
        <v>5700</v>
      </c>
      <c r="BI3141">
        <v>1</v>
      </c>
      <c r="BJ3141">
        <v>0</v>
      </c>
      <c r="BK3141">
        <v>0</v>
      </c>
      <c r="BL3141">
        <v>0</v>
      </c>
      <c r="BO3141">
        <v>0</v>
      </c>
      <c r="BP3141">
        <v>0</v>
      </c>
      <c r="BW3141" t="str">
        <f t="shared" si="1742"/>
        <v>14:56:44.092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7</v>
      </c>
      <c r="CP3141" t="s">
        <v>119</v>
      </c>
      <c r="CQ3141">
        <v>285</v>
      </c>
      <c r="CR3141">
        <v>0</v>
      </c>
      <c r="CW3141">
        <v>8875267</v>
      </c>
      <c r="CY3141">
        <v>0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25">
      <c r="A3142" t="str">
        <f t="shared" si="1739"/>
        <v>06/05/2020 14:56:38.458</v>
      </c>
      <c r="C3142" t="str">
        <f t="shared" si="1724"/>
        <v>FFDFD3C0</v>
      </c>
      <c r="D3142" t="s">
        <v>148</v>
      </c>
      <c r="E3142">
        <v>8</v>
      </c>
      <c r="H3142">
        <v>50</v>
      </c>
      <c r="I3142" t="s">
        <v>149</v>
      </c>
      <c r="J3142" t="s">
        <v>150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740"/>
        <v>14:56:44.086</v>
      </c>
      <c r="T3142" t="str">
        <f t="shared" si="1741"/>
        <v>14:56:43.886</v>
      </c>
      <c r="U3142" t="str">
        <f t="shared" si="1743"/>
        <v>ACC530</v>
      </c>
      <c r="V3142">
        <v>0</v>
      </c>
      <c r="W3142">
        <v>0</v>
      </c>
      <c r="X3142">
        <v>1</v>
      </c>
      <c r="Z3142">
        <v>0</v>
      </c>
      <c r="AA3142">
        <v>9</v>
      </c>
      <c r="AB3142">
        <v>3</v>
      </c>
      <c r="AC3142">
        <v>0</v>
      </c>
      <c r="AD3142">
        <v>9</v>
      </c>
      <c r="AE3142">
        <v>0</v>
      </c>
      <c r="AF3142">
        <v>3</v>
      </c>
      <c r="AG3142">
        <v>1</v>
      </c>
      <c r="AH3142">
        <v>0</v>
      </c>
      <c r="AI3142" t="s">
        <v>1050</v>
      </c>
      <c r="AJ3142">
        <v>34.101691000000002</v>
      </c>
      <c r="AK3142" t="s">
        <v>853</v>
      </c>
      <c r="AL3142">
        <v>-117.047439</v>
      </c>
      <c r="AM3142">
        <v>100</v>
      </c>
      <c r="AN3142">
        <v>5800</v>
      </c>
      <c r="AO3142" t="s">
        <v>118</v>
      </c>
      <c r="AP3142">
        <v>61</v>
      </c>
      <c r="AQ3142">
        <v>-89</v>
      </c>
      <c r="AR3142">
        <v>-704</v>
      </c>
      <c r="AZ3142">
        <v>1200</v>
      </c>
      <c r="BA3142">
        <v>1</v>
      </c>
      <c r="BB3142" t="str">
        <f t="shared" si="1744"/>
        <v xml:space="preserve">N9217B  </v>
      </c>
      <c r="BC3142">
        <v>1</v>
      </c>
      <c r="BE3142">
        <v>0</v>
      </c>
      <c r="BF3142">
        <v>0</v>
      </c>
      <c r="BG3142">
        <v>0</v>
      </c>
      <c r="BH3142">
        <v>5700</v>
      </c>
      <c r="BI3142">
        <v>1</v>
      </c>
      <c r="BJ3142">
        <v>0</v>
      </c>
      <c r="BK3142">
        <v>0</v>
      </c>
      <c r="BL3142">
        <v>0</v>
      </c>
      <c r="BO3142">
        <v>0</v>
      </c>
      <c r="BP3142">
        <v>0</v>
      </c>
      <c r="BW3142" t="str">
        <f t="shared" si="1742"/>
        <v>14:56:44.092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119</v>
      </c>
      <c r="CQ3142">
        <v>285</v>
      </c>
      <c r="CR3142">
        <v>0</v>
      </c>
      <c r="CW3142">
        <v>8875267</v>
      </c>
      <c r="CY3142">
        <v>0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25">
      <c r="A3143" t="str">
        <f t="shared" si="1739"/>
        <v>06/05/2020 14:56:38.458</v>
      </c>
      <c r="C3143" t="str">
        <f t="shared" si="1724"/>
        <v>FFDFD3C0</v>
      </c>
      <c r="D3143" t="s">
        <v>151</v>
      </c>
      <c r="E3143">
        <v>8</v>
      </c>
      <c r="H3143">
        <v>225</v>
      </c>
      <c r="I3143" t="s">
        <v>353</v>
      </c>
      <c r="J3143" t="s">
        <v>150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740"/>
        <v>14:56:44.086</v>
      </c>
      <c r="T3143" t="str">
        <f t="shared" si="1741"/>
        <v>14:56:43.886</v>
      </c>
      <c r="U3143" t="str">
        <f t="shared" si="1743"/>
        <v>ACC530</v>
      </c>
      <c r="V3143">
        <v>0</v>
      </c>
      <c r="W3143">
        <v>0</v>
      </c>
      <c r="X3143">
        <v>1</v>
      </c>
      <c r="Z3143">
        <v>0</v>
      </c>
      <c r="AA3143">
        <v>9</v>
      </c>
      <c r="AB3143">
        <v>3</v>
      </c>
      <c r="AC3143">
        <v>0</v>
      </c>
      <c r="AD3143">
        <v>9</v>
      </c>
      <c r="AE3143">
        <v>0</v>
      </c>
      <c r="AF3143">
        <v>3</v>
      </c>
      <c r="AG3143">
        <v>1</v>
      </c>
      <c r="AH3143">
        <v>0</v>
      </c>
      <c r="AI3143" t="s">
        <v>1050</v>
      </c>
      <c r="AJ3143">
        <v>34.101691000000002</v>
      </c>
      <c r="AK3143" t="s">
        <v>853</v>
      </c>
      <c r="AL3143">
        <v>-117.047439</v>
      </c>
      <c r="AM3143">
        <v>100</v>
      </c>
      <c r="AN3143">
        <v>5800</v>
      </c>
      <c r="AO3143" t="s">
        <v>118</v>
      </c>
      <c r="AP3143">
        <v>61</v>
      </c>
      <c r="AQ3143">
        <v>-89</v>
      </c>
      <c r="AR3143">
        <v>-704</v>
      </c>
      <c r="AZ3143">
        <v>1200</v>
      </c>
      <c r="BA3143">
        <v>1</v>
      </c>
      <c r="BB3143" t="str">
        <f t="shared" si="1744"/>
        <v xml:space="preserve">N9217B  </v>
      </c>
      <c r="BC3143">
        <v>1</v>
      </c>
      <c r="BE3143">
        <v>0</v>
      </c>
      <c r="BF3143">
        <v>0</v>
      </c>
      <c r="BG3143">
        <v>0</v>
      </c>
      <c r="BH3143">
        <v>5700</v>
      </c>
      <c r="BI3143">
        <v>1</v>
      </c>
      <c r="BJ3143">
        <v>0</v>
      </c>
      <c r="BK3143">
        <v>0</v>
      </c>
      <c r="BL3143">
        <v>0</v>
      </c>
      <c r="BO3143">
        <v>0</v>
      </c>
      <c r="BP3143">
        <v>0</v>
      </c>
      <c r="BW3143" t="str">
        <f t="shared" si="1742"/>
        <v>14:56:44.092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285</v>
      </c>
      <c r="CR3143">
        <v>0</v>
      </c>
      <c r="CW3143">
        <v>8875267</v>
      </c>
      <c r="CY3143">
        <v>0</v>
      </c>
      <c r="CZ3143">
        <v>0</v>
      </c>
      <c r="DA3143">
        <v>1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25">
      <c r="A3144" t="str">
        <f t="shared" ref="A3144:A3150" si="1745">"06/05/2020 14:56:39.471"</f>
        <v>06/05/2020 14:56:39.471</v>
      </c>
      <c r="C3144" t="str">
        <f t="shared" si="1724"/>
        <v>FFDFD3C0</v>
      </c>
      <c r="D3144" t="s">
        <v>134</v>
      </c>
      <c r="E3144">
        <v>7</v>
      </c>
      <c r="F3144">
        <v>2007</v>
      </c>
      <c r="G3144" t="s">
        <v>135</v>
      </c>
      <c r="J3144" t="s">
        <v>136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ref="S3144:S3150" si="1746">"14:56:45.109"</f>
        <v>14:56:45.109</v>
      </c>
      <c r="T3144" t="str">
        <f t="shared" ref="T3144:T3150" si="1747">"14:56:44.909"</f>
        <v>14:56:44.909</v>
      </c>
      <c r="U3144" t="str">
        <f t="shared" si="1743"/>
        <v>ACC530</v>
      </c>
      <c r="V3144">
        <v>0</v>
      </c>
      <c r="W3144">
        <v>0</v>
      </c>
      <c r="X3144">
        <v>1</v>
      </c>
      <c r="Z3144">
        <v>0</v>
      </c>
      <c r="AA3144">
        <v>9</v>
      </c>
      <c r="AB3144">
        <v>3</v>
      </c>
      <c r="AC3144">
        <v>0</v>
      </c>
      <c r="AD3144">
        <v>9</v>
      </c>
      <c r="AE3144">
        <v>0</v>
      </c>
      <c r="AF3144">
        <v>3</v>
      </c>
      <c r="AG3144">
        <v>1</v>
      </c>
      <c r="AH3144">
        <v>0</v>
      </c>
      <c r="AI3144" t="s">
        <v>1051</v>
      </c>
      <c r="AJ3144">
        <v>34.101284</v>
      </c>
      <c r="AK3144" t="s">
        <v>851</v>
      </c>
      <c r="AL3144">
        <v>-117.04707399999999</v>
      </c>
      <c r="AM3144">
        <v>100</v>
      </c>
      <c r="AN3144">
        <v>5800</v>
      </c>
      <c r="AO3144" t="s">
        <v>118</v>
      </c>
      <c r="AP3144">
        <v>62</v>
      </c>
      <c r="AQ3144">
        <v>-88</v>
      </c>
      <c r="AR3144">
        <v>-704</v>
      </c>
      <c r="AZ3144">
        <v>1200</v>
      </c>
      <c r="BA3144">
        <v>1</v>
      </c>
      <c r="BB3144" t="str">
        <f t="shared" si="1744"/>
        <v xml:space="preserve">N9217B  </v>
      </c>
      <c r="BC3144">
        <v>1</v>
      </c>
      <c r="BE3144">
        <v>0</v>
      </c>
      <c r="BF3144">
        <v>0</v>
      </c>
      <c r="BG3144">
        <v>0</v>
      </c>
      <c r="BH3144">
        <v>5700</v>
      </c>
      <c r="BI3144">
        <v>1</v>
      </c>
      <c r="BJ3144">
        <v>0</v>
      </c>
      <c r="BK3144">
        <v>0</v>
      </c>
      <c r="BL3144">
        <v>0</v>
      </c>
      <c r="BO3144">
        <v>0</v>
      </c>
      <c r="BP3144">
        <v>0</v>
      </c>
      <c r="BW3144" t="str">
        <f>"14:56:45.113"</f>
        <v>14:56:45.113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6</v>
      </c>
      <c r="CP3144" t="s">
        <v>119</v>
      </c>
      <c r="CQ3144">
        <v>298</v>
      </c>
      <c r="CR3144">
        <v>0</v>
      </c>
      <c r="CW3144">
        <v>10453312</v>
      </c>
      <c r="CY3144">
        <v>0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25">
      <c r="A3145" t="str">
        <f t="shared" si="1745"/>
        <v>06/05/2020 14:56:39.471</v>
      </c>
      <c r="C3145" t="str">
        <f t="shared" si="1724"/>
        <v>FFDFD3C0</v>
      </c>
      <c r="D3145" t="s">
        <v>151</v>
      </c>
      <c r="E3145">
        <v>9</v>
      </c>
      <c r="H3145">
        <v>226</v>
      </c>
      <c r="I3145" t="s">
        <v>152</v>
      </c>
      <c r="J3145" t="s">
        <v>150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si="1746"/>
        <v>14:56:45.109</v>
      </c>
      <c r="T3145" t="str">
        <f t="shared" si="1747"/>
        <v>14:56:44.909</v>
      </c>
      <c r="U3145" t="str">
        <f t="shared" si="1743"/>
        <v>ACC530</v>
      </c>
      <c r="V3145">
        <v>0</v>
      </c>
      <c r="W3145">
        <v>0</v>
      </c>
      <c r="X3145">
        <v>1</v>
      </c>
      <c r="Z3145">
        <v>0</v>
      </c>
      <c r="AA3145">
        <v>9</v>
      </c>
      <c r="AB3145">
        <v>3</v>
      </c>
      <c r="AC3145">
        <v>0</v>
      </c>
      <c r="AD3145">
        <v>9</v>
      </c>
      <c r="AE3145">
        <v>0</v>
      </c>
      <c r="AF3145">
        <v>3</v>
      </c>
      <c r="AG3145">
        <v>1</v>
      </c>
      <c r="AH3145">
        <v>0</v>
      </c>
      <c r="AI3145" t="s">
        <v>1051</v>
      </c>
      <c r="AJ3145">
        <v>34.101284</v>
      </c>
      <c r="AK3145" t="s">
        <v>851</v>
      </c>
      <c r="AL3145">
        <v>-117.04707399999999</v>
      </c>
      <c r="AM3145">
        <v>100</v>
      </c>
      <c r="AN3145">
        <v>5800</v>
      </c>
      <c r="AO3145" t="s">
        <v>118</v>
      </c>
      <c r="AP3145">
        <v>62</v>
      </c>
      <c r="AQ3145">
        <v>-88</v>
      </c>
      <c r="AR3145">
        <v>-704</v>
      </c>
      <c r="AZ3145">
        <v>1200</v>
      </c>
      <c r="BA3145">
        <v>1</v>
      </c>
      <c r="BB3145" t="str">
        <f t="shared" si="1744"/>
        <v xml:space="preserve">N9217B  </v>
      </c>
      <c r="BC3145">
        <v>1</v>
      </c>
      <c r="BE3145">
        <v>0</v>
      </c>
      <c r="BF3145">
        <v>0</v>
      </c>
      <c r="BG3145">
        <v>0</v>
      </c>
      <c r="BH3145">
        <v>5700</v>
      </c>
      <c r="BI3145">
        <v>1</v>
      </c>
      <c r="BJ3145">
        <v>0</v>
      </c>
      <c r="BK3145">
        <v>0</v>
      </c>
      <c r="BL3145">
        <v>0</v>
      </c>
      <c r="BO3145">
        <v>0</v>
      </c>
      <c r="BP3145">
        <v>0</v>
      </c>
      <c r="BW3145" t="str">
        <f>"14:56:45.112"</f>
        <v>14:56:45.112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5</v>
      </c>
      <c r="CP3145" t="s">
        <v>119</v>
      </c>
      <c r="CQ3145">
        <v>285</v>
      </c>
      <c r="CR3145">
        <v>1</v>
      </c>
      <c r="CW3145">
        <v>8875365</v>
      </c>
      <c r="CY3145">
        <v>0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25">
      <c r="A3146" t="str">
        <f t="shared" si="1745"/>
        <v>06/05/2020 14:56:39.471</v>
      </c>
      <c r="C3146" t="str">
        <f t="shared" si="1724"/>
        <v>FFDFD3C0</v>
      </c>
      <c r="D3146" t="s">
        <v>113</v>
      </c>
      <c r="E3146">
        <v>3</v>
      </c>
      <c r="H3146">
        <v>166</v>
      </c>
      <c r="I3146" t="s">
        <v>114</v>
      </c>
      <c r="J3146" t="s">
        <v>115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746"/>
        <v>14:56:45.109</v>
      </c>
      <c r="T3146" t="str">
        <f t="shared" si="1747"/>
        <v>14:56:44.909</v>
      </c>
      <c r="U3146" t="str">
        <f t="shared" si="1743"/>
        <v>ACC530</v>
      </c>
      <c r="V3146">
        <v>0</v>
      </c>
      <c r="W3146">
        <v>0</v>
      </c>
      <c r="X3146">
        <v>1</v>
      </c>
      <c r="Z3146">
        <v>0</v>
      </c>
      <c r="AA3146">
        <v>9</v>
      </c>
      <c r="AB3146">
        <v>3</v>
      </c>
      <c r="AC3146">
        <v>0</v>
      </c>
      <c r="AD3146">
        <v>9</v>
      </c>
      <c r="AE3146">
        <v>0</v>
      </c>
      <c r="AF3146">
        <v>3</v>
      </c>
      <c r="AG3146">
        <v>1</v>
      </c>
      <c r="AH3146">
        <v>0</v>
      </c>
      <c r="AI3146" t="s">
        <v>1051</v>
      </c>
      <c r="AJ3146">
        <v>34.101284</v>
      </c>
      <c r="AK3146" t="s">
        <v>851</v>
      </c>
      <c r="AL3146">
        <v>-117.04707399999999</v>
      </c>
      <c r="AM3146">
        <v>100</v>
      </c>
      <c r="AN3146">
        <v>5800</v>
      </c>
      <c r="AO3146" t="s">
        <v>118</v>
      </c>
      <c r="AP3146">
        <v>62</v>
      </c>
      <c r="AQ3146">
        <v>-88</v>
      </c>
      <c r="AR3146">
        <v>-704</v>
      </c>
      <c r="AZ3146">
        <v>1200</v>
      </c>
      <c r="BA3146">
        <v>1</v>
      </c>
      <c r="BB3146" t="str">
        <f t="shared" si="1744"/>
        <v xml:space="preserve">N9217B  </v>
      </c>
      <c r="BC3146">
        <v>1</v>
      </c>
      <c r="BE3146">
        <v>0</v>
      </c>
      <c r="BF3146">
        <v>0</v>
      </c>
      <c r="BG3146">
        <v>0</v>
      </c>
      <c r="BH3146">
        <v>5700</v>
      </c>
      <c r="BI3146">
        <v>1</v>
      </c>
      <c r="BJ3146">
        <v>0</v>
      </c>
      <c r="BK3146">
        <v>0</v>
      </c>
      <c r="BL3146">
        <v>0</v>
      </c>
      <c r="BO3146">
        <v>0</v>
      </c>
      <c r="BP3146">
        <v>0</v>
      </c>
      <c r="BW3146" t="str">
        <f>"14:56:45.113"</f>
        <v>14:56:45.113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6</v>
      </c>
      <c r="CP3146" t="s">
        <v>119</v>
      </c>
      <c r="CQ3146">
        <v>298</v>
      </c>
      <c r="CR3146">
        <v>0</v>
      </c>
      <c r="CW3146">
        <v>10453312</v>
      </c>
      <c r="CY3146">
        <v>0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25">
      <c r="A3147" t="str">
        <f t="shared" si="1745"/>
        <v>06/05/2020 14:56:39.471</v>
      </c>
      <c r="C3147" t="str">
        <f t="shared" si="1724"/>
        <v>FFDFD3C0</v>
      </c>
      <c r="D3147" t="s">
        <v>141</v>
      </c>
      <c r="E3147">
        <v>20</v>
      </c>
      <c r="F3147">
        <v>1020</v>
      </c>
      <c r="G3147" t="s">
        <v>114</v>
      </c>
      <c r="J3147" t="s">
        <v>142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746"/>
        <v>14:56:45.109</v>
      </c>
      <c r="T3147" t="str">
        <f t="shared" si="1747"/>
        <v>14:56:44.909</v>
      </c>
      <c r="U3147" t="str">
        <f t="shared" si="1743"/>
        <v>ACC530</v>
      </c>
      <c r="V3147">
        <v>0</v>
      </c>
      <c r="W3147">
        <v>0</v>
      </c>
      <c r="X3147">
        <v>1</v>
      </c>
      <c r="Z3147">
        <v>0</v>
      </c>
      <c r="AA3147">
        <v>9</v>
      </c>
      <c r="AB3147">
        <v>3</v>
      </c>
      <c r="AC3147">
        <v>0</v>
      </c>
      <c r="AD3147">
        <v>9</v>
      </c>
      <c r="AE3147">
        <v>0</v>
      </c>
      <c r="AF3147">
        <v>3</v>
      </c>
      <c r="AG3147">
        <v>1</v>
      </c>
      <c r="AH3147">
        <v>0</v>
      </c>
      <c r="AI3147" t="s">
        <v>1051</v>
      </c>
      <c r="AJ3147">
        <v>34.101284</v>
      </c>
      <c r="AK3147" t="s">
        <v>851</v>
      </c>
      <c r="AL3147">
        <v>-117.04707399999999</v>
      </c>
      <c r="AM3147">
        <v>100</v>
      </c>
      <c r="AN3147">
        <v>5800</v>
      </c>
      <c r="AO3147" t="s">
        <v>118</v>
      </c>
      <c r="AP3147">
        <v>62</v>
      </c>
      <c r="AQ3147">
        <v>-88</v>
      </c>
      <c r="AR3147">
        <v>-704</v>
      </c>
      <c r="AZ3147">
        <v>1200</v>
      </c>
      <c r="BA3147">
        <v>1</v>
      </c>
      <c r="BB3147" t="str">
        <f t="shared" si="1744"/>
        <v xml:space="preserve">N9217B  </v>
      </c>
      <c r="BC3147">
        <v>1</v>
      </c>
      <c r="BE3147">
        <v>0</v>
      </c>
      <c r="BF3147">
        <v>0</v>
      </c>
      <c r="BG3147">
        <v>0</v>
      </c>
      <c r="BH3147">
        <v>5700</v>
      </c>
      <c r="BI3147">
        <v>1</v>
      </c>
      <c r="BJ3147">
        <v>0</v>
      </c>
      <c r="BK3147">
        <v>0</v>
      </c>
      <c r="BL3147">
        <v>0</v>
      </c>
      <c r="BO3147">
        <v>0</v>
      </c>
      <c r="BP3147">
        <v>0</v>
      </c>
      <c r="BW3147" t="str">
        <f>"14:56:45.113"</f>
        <v>14:56:45.113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6</v>
      </c>
      <c r="CP3147" t="s">
        <v>119</v>
      </c>
      <c r="CQ3147">
        <v>298</v>
      </c>
      <c r="CR3147">
        <v>0</v>
      </c>
      <c r="CW3147">
        <v>10453312</v>
      </c>
      <c r="CY3147">
        <v>0</v>
      </c>
      <c r="CZ3147">
        <v>0</v>
      </c>
      <c r="DA3147">
        <v>1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25">
      <c r="A3148" t="str">
        <f t="shared" si="1745"/>
        <v>06/05/2020 14:56:39.471</v>
      </c>
      <c r="C3148" t="str">
        <f t="shared" si="1724"/>
        <v>FFDFD3C0</v>
      </c>
      <c r="D3148" t="s">
        <v>148</v>
      </c>
      <c r="E3148">
        <v>11</v>
      </c>
      <c r="H3148">
        <v>53</v>
      </c>
      <c r="I3148" t="s">
        <v>364</v>
      </c>
      <c r="J3148" t="s">
        <v>150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746"/>
        <v>14:56:45.109</v>
      </c>
      <c r="T3148" t="str">
        <f t="shared" si="1747"/>
        <v>14:56:44.909</v>
      </c>
      <c r="U3148" t="str">
        <f t="shared" si="1743"/>
        <v>ACC530</v>
      </c>
      <c r="V3148">
        <v>0</v>
      </c>
      <c r="W3148">
        <v>0</v>
      </c>
      <c r="X3148">
        <v>1</v>
      </c>
      <c r="Z3148">
        <v>0</v>
      </c>
      <c r="AA3148">
        <v>9</v>
      </c>
      <c r="AB3148">
        <v>3</v>
      </c>
      <c r="AC3148">
        <v>0</v>
      </c>
      <c r="AD3148">
        <v>9</v>
      </c>
      <c r="AE3148">
        <v>0</v>
      </c>
      <c r="AF3148">
        <v>3</v>
      </c>
      <c r="AG3148">
        <v>1</v>
      </c>
      <c r="AH3148">
        <v>0</v>
      </c>
      <c r="AI3148" t="s">
        <v>1051</v>
      </c>
      <c r="AJ3148">
        <v>34.101284</v>
      </c>
      <c r="AK3148" t="s">
        <v>851</v>
      </c>
      <c r="AL3148">
        <v>-117.04707399999999</v>
      </c>
      <c r="AM3148">
        <v>100</v>
      </c>
      <c r="AN3148">
        <v>5800</v>
      </c>
      <c r="AO3148" t="s">
        <v>118</v>
      </c>
      <c r="AP3148">
        <v>62</v>
      </c>
      <c r="AQ3148">
        <v>-88</v>
      </c>
      <c r="AR3148">
        <v>-704</v>
      </c>
      <c r="AZ3148">
        <v>1200</v>
      </c>
      <c r="BA3148">
        <v>1</v>
      </c>
      <c r="BB3148" t="str">
        <f t="shared" si="1744"/>
        <v xml:space="preserve">N9217B  </v>
      </c>
      <c r="BC3148">
        <v>1</v>
      </c>
      <c r="BE3148">
        <v>0</v>
      </c>
      <c r="BF3148">
        <v>0</v>
      </c>
      <c r="BG3148">
        <v>0</v>
      </c>
      <c r="BH3148">
        <v>5700</v>
      </c>
      <c r="BI3148">
        <v>1</v>
      </c>
      <c r="BJ3148">
        <v>0</v>
      </c>
      <c r="BK3148">
        <v>0</v>
      </c>
      <c r="BL3148">
        <v>0</v>
      </c>
      <c r="BO3148">
        <v>0</v>
      </c>
      <c r="BP3148">
        <v>0</v>
      </c>
      <c r="BW3148" t="str">
        <f>"14:56:45.113"</f>
        <v>14:56:45.113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6</v>
      </c>
      <c r="CP3148" t="s">
        <v>119</v>
      </c>
      <c r="CQ3148">
        <v>298</v>
      </c>
      <c r="CR3148">
        <v>0</v>
      </c>
      <c r="CW3148">
        <v>10453312</v>
      </c>
      <c r="CY3148">
        <v>0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25">
      <c r="A3149" t="str">
        <f t="shared" si="1745"/>
        <v>06/05/2020 14:56:39.471</v>
      </c>
      <c r="C3149" t="str">
        <f t="shared" si="1724"/>
        <v>FFDFD3C0</v>
      </c>
      <c r="D3149" t="s">
        <v>151</v>
      </c>
      <c r="E3149">
        <v>8</v>
      </c>
      <c r="H3149">
        <v>225</v>
      </c>
      <c r="I3149" t="s">
        <v>353</v>
      </c>
      <c r="J3149" t="s">
        <v>150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746"/>
        <v>14:56:45.109</v>
      </c>
      <c r="T3149" t="str">
        <f t="shared" si="1747"/>
        <v>14:56:44.909</v>
      </c>
      <c r="U3149" t="str">
        <f t="shared" si="1743"/>
        <v>ACC530</v>
      </c>
      <c r="V3149">
        <v>0</v>
      </c>
      <c r="W3149">
        <v>0</v>
      </c>
      <c r="X3149">
        <v>1</v>
      </c>
      <c r="Z3149">
        <v>0</v>
      </c>
      <c r="AA3149">
        <v>9</v>
      </c>
      <c r="AB3149">
        <v>3</v>
      </c>
      <c r="AC3149">
        <v>0</v>
      </c>
      <c r="AD3149">
        <v>9</v>
      </c>
      <c r="AE3149">
        <v>0</v>
      </c>
      <c r="AF3149">
        <v>3</v>
      </c>
      <c r="AG3149">
        <v>1</v>
      </c>
      <c r="AH3149">
        <v>0</v>
      </c>
      <c r="AI3149" t="s">
        <v>1051</v>
      </c>
      <c r="AJ3149">
        <v>34.101284</v>
      </c>
      <c r="AK3149" t="s">
        <v>851</v>
      </c>
      <c r="AL3149">
        <v>-117.04707399999999</v>
      </c>
      <c r="AM3149">
        <v>100</v>
      </c>
      <c r="AN3149">
        <v>5800</v>
      </c>
      <c r="AO3149" t="s">
        <v>118</v>
      </c>
      <c r="AP3149">
        <v>62</v>
      </c>
      <c r="AQ3149">
        <v>-88</v>
      </c>
      <c r="AR3149">
        <v>-704</v>
      </c>
      <c r="AZ3149">
        <v>1200</v>
      </c>
      <c r="BA3149">
        <v>1</v>
      </c>
      <c r="BB3149" t="str">
        <f t="shared" si="1744"/>
        <v xml:space="preserve">N9217B  </v>
      </c>
      <c r="BC3149">
        <v>1</v>
      </c>
      <c r="BE3149">
        <v>0</v>
      </c>
      <c r="BF3149">
        <v>0</v>
      </c>
      <c r="BG3149">
        <v>0</v>
      </c>
      <c r="BH3149">
        <v>5700</v>
      </c>
      <c r="BI3149">
        <v>1</v>
      </c>
      <c r="BJ3149">
        <v>0</v>
      </c>
      <c r="BK3149">
        <v>0</v>
      </c>
      <c r="BL3149">
        <v>0</v>
      </c>
      <c r="BO3149">
        <v>0</v>
      </c>
      <c r="BP3149">
        <v>0</v>
      </c>
      <c r="BW3149" t="str">
        <f>"14:56:45.113"</f>
        <v>14:56:45.113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6</v>
      </c>
      <c r="CP3149" t="s">
        <v>119</v>
      </c>
      <c r="CQ3149">
        <v>298</v>
      </c>
      <c r="CR3149">
        <v>0</v>
      </c>
      <c r="CW3149">
        <v>10453312</v>
      </c>
      <c r="CY3149">
        <v>0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25">
      <c r="A3150" t="str">
        <f t="shared" si="1745"/>
        <v>06/05/2020 14:56:39.471</v>
      </c>
      <c r="C3150" t="str">
        <f t="shared" si="1724"/>
        <v>FFDFD3C0</v>
      </c>
      <c r="D3150" t="s">
        <v>148</v>
      </c>
      <c r="E3150">
        <v>8</v>
      </c>
      <c r="H3150">
        <v>50</v>
      </c>
      <c r="I3150" t="s">
        <v>149</v>
      </c>
      <c r="J3150" t="s">
        <v>150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746"/>
        <v>14:56:45.109</v>
      </c>
      <c r="T3150" t="str">
        <f t="shared" si="1747"/>
        <v>14:56:44.909</v>
      </c>
      <c r="U3150" t="str">
        <f t="shared" si="1743"/>
        <v>ACC530</v>
      </c>
      <c r="V3150">
        <v>0</v>
      </c>
      <c r="W3150">
        <v>0</v>
      </c>
      <c r="X3150">
        <v>1</v>
      </c>
      <c r="Z3150">
        <v>0</v>
      </c>
      <c r="AA3150">
        <v>9</v>
      </c>
      <c r="AB3150">
        <v>3</v>
      </c>
      <c r="AC3150">
        <v>0</v>
      </c>
      <c r="AD3150">
        <v>9</v>
      </c>
      <c r="AE3150">
        <v>0</v>
      </c>
      <c r="AF3150">
        <v>3</v>
      </c>
      <c r="AG3150">
        <v>1</v>
      </c>
      <c r="AH3150">
        <v>0</v>
      </c>
      <c r="AI3150" t="s">
        <v>1051</v>
      </c>
      <c r="AJ3150">
        <v>34.101284</v>
      </c>
      <c r="AK3150" t="s">
        <v>851</v>
      </c>
      <c r="AL3150">
        <v>-117.04707399999999</v>
      </c>
      <c r="AM3150">
        <v>100</v>
      </c>
      <c r="AN3150">
        <v>5800</v>
      </c>
      <c r="AO3150" t="s">
        <v>118</v>
      </c>
      <c r="AP3150">
        <v>62</v>
      </c>
      <c r="AQ3150">
        <v>-88</v>
      </c>
      <c r="AR3150">
        <v>-704</v>
      </c>
      <c r="AZ3150">
        <v>1200</v>
      </c>
      <c r="BA3150">
        <v>1</v>
      </c>
      <c r="BB3150" t="str">
        <f t="shared" si="1744"/>
        <v xml:space="preserve">N9217B  </v>
      </c>
      <c r="BC3150">
        <v>1</v>
      </c>
      <c r="BE3150">
        <v>0</v>
      </c>
      <c r="BF3150">
        <v>0</v>
      </c>
      <c r="BG3150">
        <v>0</v>
      </c>
      <c r="BH3150">
        <v>5700</v>
      </c>
      <c r="BI3150">
        <v>1</v>
      </c>
      <c r="BJ3150">
        <v>0</v>
      </c>
      <c r="BK3150">
        <v>0</v>
      </c>
      <c r="BL3150">
        <v>0</v>
      </c>
      <c r="BO3150">
        <v>0</v>
      </c>
      <c r="BP3150">
        <v>0</v>
      </c>
      <c r="BW3150" t="str">
        <f>"14:56:45.113"</f>
        <v>14:56:45.113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6</v>
      </c>
      <c r="CP3150" t="s">
        <v>119</v>
      </c>
      <c r="CQ3150">
        <v>298</v>
      </c>
      <c r="CR3150">
        <v>0</v>
      </c>
      <c r="CW3150">
        <v>10453312</v>
      </c>
      <c r="CY3150">
        <v>0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25">
      <c r="A3151" t="str">
        <f t="shared" ref="A3151:A3157" si="1748">"06/05/2020 14:56:40.536"</f>
        <v>06/05/2020 14:56:40.536</v>
      </c>
      <c r="C3151" t="str">
        <f t="shared" si="1724"/>
        <v>FFDFD3C0</v>
      </c>
      <c r="D3151" t="s">
        <v>113</v>
      </c>
      <c r="E3151">
        <v>3</v>
      </c>
      <c r="H3151">
        <v>166</v>
      </c>
      <c r="I3151" t="s">
        <v>114</v>
      </c>
      <c r="J3151" t="s">
        <v>115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ref="S3151:S3157" si="1749">"14:56:46.172"</f>
        <v>14:56:46.172</v>
      </c>
      <c r="T3151" t="str">
        <f t="shared" ref="T3151:T3157" si="1750">"14:56:45.872"</f>
        <v>14:56:45.872</v>
      </c>
      <c r="U3151" t="str">
        <f t="shared" si="1743"/>
        <v>ACC530</v>
      </c>
      <c r="V3151">
        <v>0</v>
      </c>
      <c r="W3151">
        <v>0</v>
      </c>
      <c r="X3151">
        <v>1</v>
      </c>
      <c r="Z3151">
        <v>0</v>
      </c>
      <c r="AA3151">
        <v>9</v>
      </c>
      <c r="AB3151">
        <v>3</v>
      </c>
      <c r="AC3151">
        <v>0</v>
      </c>
      <c r="AD3151">
        <v>9</v>
      </c>
      <c r="AE3151">
        <v>0</v>
      </c>
      <c r="AF3151">
        <v>3</v>
      </c>
      <c r="AG3151">
        <v>1</v>
      </c>
      <c r="AH3151">
        <v>0</v>
      </c>
      <c r="AI3151" t="s">
        <v>1052</v>
      </c>
      <c r="AJ3151">
        <v>34.100811</v>
      </c>
      <c r="AK3151" t="s">
        <v>1053</v>
      </c>
      <c r="AL3151">
        <v>-117.046688</v>
      </c>
      <c r="AM3151">
        <v>100</v>
      </c>
      <c r="AN3151">
        <v>5800</v>
      </c>
      <c r="AO3151" t="s">
        <v>118</v>
      </c>
      <c r="AP3151">
        <v>63</v>
      </c>
      <c r="AQ3151">
        <v>-88</v>
      </c>
      <c r="AR3151">
        <v>-640</v>
      </c>
      <c r="AZ3151">
        <v>1200</v>
      </c>
      <c r="BA3151">
        <v>1</v>
      </c>
      <c r="BB3151" t="str">
        <f t="shared" si="1744"/>
        <v xml:space="preserve">N9217B  </v>
      </c>
      <c r="BC3151">
        <v>1</v>
      </c>
      <c r="BE3151">
        <v>0</v>
      </c>
      <c r="BF3151">
        <v>0</v>
      </c>
      <c r="BG3151">
        <v>0</v>
      </c>
      <c r="BH3151">
        <v>5700</v>
      </c>
      <c r="BI3151">
        <v>1</v>
      </c>
      <c r="BJ3151">
        <v>0</v>
      </c>
      <c r="BK3151">
        <v>0</v>
      </c>
      <c r="BL3151">
        <v>0</v>
      </c>
      <c r="BO3151">
        <v>0</v>
      </c>
      <c r="BP3151">
        <v>0</v>
      </c>
      <c r="BW3151" t="str">
        <f t="shared" ref="BW3151:BW3157" si="1751">"14:56:46.177"</f>
        <v>14:56:46.177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285</v>
      </c>
      <c r="CR3151">
        <v>0</v>
      </c>
      <c r="CW3151">
        <v>8875461</v>
      </c>
      <c r="CY3151">
        <v>0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25">
      <c r="A3152" t="str">
        <f t="shared" si="1748"/>
        <v>06/05/2020 14:56:40.536</v>
      </c>
      <c r="C3152" t="str">
        <f t="shared" si="1724"/>
        <v>FFDFD3C0</v>
      </c>
      <c r="D3152" t="s">
        <v>141</v>
      </c>
      <c r="E3152">
        <v>20</v>
      </c>
      <c r="F3152">
        <v>1020</v>
      </c>
      <c r="G3152" t="s">
        <v>114</v>
      </c>
      <c r="J3152" t="s">
        <v>142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 t="shared" si="1749"/>
        <v>14:56:46.172</v>
      </c>
      <c r="T3152" t="str">
        <f t="shared" si="1750"/>
        <v>14:56:45.872</v>
      </c>
      <c r="U3152" t="str">
        <f t="shared" si="1743"/>
        <v>ACC530</v>
      </c>
      <c r="V3152">
        <v>0</v>
      </c>
      <c r="W3152">
        <v>0</v>
      </c>
      <c r="X3152">
        <v>1</v>
      </c>
      <c r="Z3152">
        <v>0</v>
      </c>
      <c r="AA3152">
        <v>9</v>
      </c>
      <c r="AB3152">
        <v>3</v>
      </c>
      <c r="AC3152">
        <v>0</v>
      </c>
      <c r="AD3152">
        <v>9</v>
      </c>
      <c r="AE3152">
        <v>0</v>
      </c>
      <c r="AF3152">
        <v>3</v>
      </c>
      <c r="AG3152">
        <v>1</v>
      </c>
      <c r="AH3152">
        <v>0</v>
      </c>
      <c r="AI3152" t="s">
        <v>1052</v>
      </c>
      <c r="AJ3152">
        <v>34.100811</v>
      </c>
      <c r="AK3152" t="s">
        <v>1053</v>
      </c>
      <c r="AL3152">
        <v>-117.046688</v>
      </c>
      <c r="AM3152">
        <v>100</v>
      </c>
      <c r="AN3152">
        <v>5800</v>
      </c>
      <c r="AO3152" t="s">
        <v>118</v>
      </c>
      <c r="AP3152">
        <v>63</v>
      </c>
      <c r="AQ3152">
        <v>-88</v>
      </c>
      <c r="AR3152">
        <v>-640</v>
      </c>
      <c r="AZ3152">
        <v>1200</v>
      </c>
      <c r="BA3152">
        <v>1</v>
      </c>
      <c r="BB3152" t="str">
        <f t="shared" si="1744"/>
        <v xml:space="preserve">N9217B  </v>
      </c>
      <c r="BC3152">
        <v>1</v>
      </c>
      <c r="BE3152">
        <v>0</v>
      </c>
      <c r="BF3152">
        <v>0</v>
      </c>
      <c r="BG3152">
        <v>0</v>
      </c>
      <c r="BH3152">
        <v>5700</v>
      </c>
      <c r="BI3152">
        <v>1</v>
      </c>
      <c r="BJ3152">
        <v>0</v>
      </c>
      <c r="BK3152">
        <v>0</v>
      </c>
      <c r="BL3152">
        <v>0</v>
      </c>
      <c r="BO3152">
        <v>0</v>
      </c>
      <c r="BP3152">
        <v>0</v>
      </c>
      <c r="BW3152" t="str">
        <f t="shared" si="1751"/>
        <v>14:56:46.177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285</v>
      </c>
      <c r="CR3152">
        <v>0</v>
      </c>
      <c r="CW3152">
        <v>8875461</v>
      </c>
      <c r="CY3152">
        <v>0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25">
      <c r="A3153" t="str">
        <f t="shared" si="1748"/>
        <v>06/05/2020 14:56:40.536</v>
      </c>
      <c r="C3153" t="str">
        <f t="shared" si="1724"/>
        <v>FFDFD3C0</v>
      </c>
      <c r="D3153" t="s">
        <v>148</v>
      </c>
      <c r="E3153">
        <v>11</v>
      </c>
      <c r="H3153">
        <v>53</v>
      </c>
      <c r="I3153" t="s">
        <v>364</v>
      </c>
      <c r="J3153" t="s">
        <v>150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si="1749"/>
        <v>14:56:46.172</v>
      </c>
      <c r="T3153" t="str">
        <f t="shared" si="1750"/>
        <v>14:56:45.872</v>
      </c>
      <c r="U3153" t="str">
        <f t="shared" si="1743"/>
        <v>ACC530</v>
      </c>
      <c r="V3153">
        <v>0</v>
      </c>
      <c r="W3153">
        <v>0</v>
      </c>
      <c r="X3153">
        <v>1</v>
      </c>
      <c r="Z3153">
        <v>0</v>
      </c>
      <c r="AA3153">
        <v>9</v>
      </c>
      <c r="AB3153">
        <v>3</v>
      </c>
      <c r="AC3153">
        <v>0</v>
      </c>
      <c r="AD3153">
        <v>9</v>
      </c>
      <c r="AE3153">
        <v>0</v>
      </c>
      <c r="AF3153">
        <v>3</v>
      </c>
      <c r="AG3153">
        <v>1</v>
      </c>
      <c r="AH3153">
        <v>0</v>
      </c>
      <c r="AI3153" t="s">
        <v>1052</v>
      </c>
      <c r="AJ3153">
        <v>34.100811</v>
      </c>
      <c r="AK3153" t="s">
        <v>1053</v>
      </c>
      <c r="AL3153">
        <v>-117.046688</v>
      </c>
      <c r="AM3153">
        <v>100</v>
      </c>
      <c r="AN3153">
        <v>5800</v>
      </c>
      <c r="AO3153" t="s">
        <v>118</v>
      </c>
      <c r="AP3153">
        <v>63</v>
      </c>
      <c r="AQ3153">
        <v>-88</v>
      </c>
      <c r="AR3153">
        <v>-640</v>
      </c>
      <c r="AZ3153">
        <v>1200</v>
      </c>
      <c r="BA3153">
        <v>1</v>
      </c>
      <c r="BB3153" t="str">
        <f t="shared" si="1744"/>
        <v xml:space="preserve">N9217B  </v>
      </c>
      <c r="BC3153">
        <v>1</v>
      </c>
      <c r="BE3153">
        <v>0</v>
      </c>
      <c r="BF3153">
        <v>0</v>
      </c>
      <c r="BG3153">
        <v>0</v>
      </c>
      <c r="BH3153">
        <v>5700</v>
      </c>
      <c r="BI3153">
        <v>1</v>
      </c>
      <c r="BJ3153">
        <v>0</v>
      </c>
      <c r="BK3153">
        <v>0</v>
      </c>
      <c r="BL3153">
        <v>0</v>
      </c>
      <c r="BO3153">
        <v>0</v>
      </c>
      <c r="BP3153">
        <v>0</v>
      </c>
      <c r="BW3153" t="str">
        <f t="shared" si="1751"/>
        <v>14:56:46.177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285</v>
      </c>
      <c r="CR3153">
        <v>0</v>
      </c>
      <c r="CW3153">
        <v>8875461</v>
      </c>
      <c r="CY3153">
        <v>0</v>
      </c>
      <c r="CZ3153">
        <v>0</v>
      </c>
      <c r="DA3153">
        <v>1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25">
      <c r="A3154" t="str">
        <f t="shared" si="1748"/>
        <v>06/05/2020 14:56:40.536</v>
      </c>
      <c r="C3154" t="str">
        <f t="shared" si="1724"/>
        <v>FFDFD3C0</v>
      </c>
      <c r="D3154" t="s">
        <v>151</v>
      </c>
      <c r="E3154">
        <v>8</v>
      </c>
      <c r="H3154">
        <v>225</v>
      </c>
      <c r="I3154" t="s">
        <v>353</v>
      </c>
      <c r="J3154" t="s">
        <v>150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749"/>
        <v>14:56:46.172</v>
      </c>
      <c r="T3154" t="str">
        <f t="shared" si="1750"/>
        <v>14:56:45.872</v>
      </c>
      <c r="U3154" t="str">
        <f t="shared" si="1743"/>
        <v>ACC530</v>
      </c>
      <c r="V3154">
        <v>0</v>
      </c>
      <c r="W3154">
        <v>0</v>
      </c>
      <c r="X3154">
        <v>1</v>
      </c>
      <c r="Z3154">
        <v>0</v>
      </c>
      <c r="AA3154">
        <v>9</v>
      </c>
      <c r="AB3154">
        <v>3</v>
      </c>
      <c r="AC3154">
        <v>0</v>
      </c>
      <c r="AD3154">
        <v>9</v>
      </c>
      <c r="AE3154">
        <v>0</v>
      </c>
      <c r="AF3154">
        <v>3</v>
      </c>
      <c r="AG3154">
        <v>1</v>
      </c>
      <c r="AH3154">
        <v>0</v>
      </c>
      <c r="AI3154" t="s">
        <v>1052</v>
      </c>
      <c r="AJ3154">
        <v>34.100811</v>
      </c>
      <c r="AK3154" t="s">
        <v>1053</v>
      </c>
      <c r="AL3154">
        <v>-117.046688</v>
      </c>
      <c r="AM3154">
        <v>100</v>
      </c>
      <c r="AN3154">
        <v>5800</v>
      </c>
      <c r="AO3154" t="s">
        <v>118</v>
      </c>
      <c r="AP3154">
        <v>63</v>
      </c>
      <c r="AQ3154">
        <v>-88</v>
      </c>
      <c r="AR3154">
        <v>-640</v>
      </c>
      <c r="AZ3154">
        <v>1200</v>
      </c>
      <c r="BA3154">
        <v>1</v>
      </c>
      <c r="BB3154" t="str">
        <f t="shared" si="1744"/>
        <v xml:space="preserve">N9217B  </v>
      </c>
      <c r="BC3154">
        <v>1</v>
      </c>
      <c r="BE3154">
        <v>0</v>
      </c>
      <c r="BF3154">
        <v>0</v>
      </c>
      <c r="BG3154">
        <v>0</v>
      </c>
      <c r="BH3154">
        <v>5700</v>
      </c>
      <c r="BI3154">
        <v>1</v>
      </c>
      <c r="BJ3154">
        <v>0</v>
      </c>
      <c r="BK3154">
        <v>0</v>
      </c>
      <c r="BL3154">
        <v>0</v>
      </c>
      <c r="BO3154">
        <v>0</v>
      </c>
      <c r="BP3154">
        <v>0</v>
      </c>
      <c r="BW3154" t="str">
        <f t="shared" si="1751"/>
        <v>14:56:46.177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285</v>
      </c>
      <c r="CR3154">
        <v>0</v>
      </c>
      <c r="CW3154">
        <v>8875461</v>
      </c>
      <c r="CY3154">
        <v>0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25">
      <c r="A3155" t="str">
        <f t="shared" si="1748"/>
        <v>06/05/2020 14:56:40.536</v>
      </c>
      <c r="C3155" t="str">
        <f t="shared" si="1724"/>
        <v>FFDFD3C0</v>
      </c>
      <c r="D3155" t="s">
        <v>148</v>
      </c>
      <c r="E3155">
        <v>8</v>
      </c>
      <c r="H3155">
        <v>50</v>
      </c>
      <c r="I3155" t="s">
        <v>149</v>
      </c>
      <c r="J3155" t="s">
        <v>150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749"/>
        <v>14:56:46.172</v>
      </c>
      <c r="T3155" t="str">
        <f t="shared" si="1750"/>
        <v>14:56:45.872</v>
      </c>
      <c r="U3155" t="str">
        <f t="shared" si="1743"/>
        <v>ACC530</v>
      </c>
      <c r="V3155">
        <v>0</v>
      </c>
      <c r="W3155">
        <v>0</v>
      </c>
      <c r="X3155">
        <v>1</v>
      </c>
      <c r="Z3155">
        <v>0</v>
      </c>
      <c r="AA3155">
        <v>9</v>
      </c>
      <c r="AB3155">
        <v>3</v>
      </c>
      <c r="AC3155">
        <v>0</v>
      </c>
      <c r="AD3155">
        <v>9</v>
      </c>
      <c r="AE3155">
        <v>0</v>
      </c>
      <c r="AF3155">
        <v>3</v>
      </c>
      <c r="AG3155">
        <v>1</v>
      </c>
      <c r="AH3155">
        <v>0</v>
      </c>
      <c r="AI3155" t="s">
        <v>1052</v>
      </c>
      <c r="AJ3155">
        <v>34.100811</v>
      </c>
      <c r="AK3155" t="s">
        <v>1053</v>
      </c>
      <c r="AL3155">
        <v>-117.046688</v>
      </c>
      <c r="AM3155">
        <v>100</v>
      </c>
      <c r="AN3155">
        <v>5800</v>
      </c>
      <c r="AO3155" t="s">
        <v>118</v>
      </c>
      <c r="AP3155">
        <v>63</v>
      </c>
      <c r="AQ3155">
        <v>-88</v>
      </c>
      <c r="AR3155">
        <v>-640</v>
      </c>
      <c r="AZ3155">
        <v>1200</v>
      </c>
      <c r="BA3155">
        <v>1</v>
      </c>
      <c r="BB3155" t="str">
        <f t="shared" si="1744"/>
        <v xml:space="preserve">N9217B  </v>
      </c>
      <c r="BC3155">
        <v>1</v>
      </c>
      <c r="BE3155">
        <v>0</v>
      </c>
      <c r="BF3155">
        <v>0</v>
      </c>
      <c r="BG3155">
        <v>0</v>
      </c>
      <c r="BH3155">
        <v>5700</v>
      </c>
      <c r="BI3155">
        <v>1</v>
      </c>
      <c r="BJ3155">
        <v>0</v>
      </c>
      <c r="BK3155">
        <v>0</v>
      </c>
      <c r="BL3155">
        <v>0</v>
      </c>
      <c r="BO3155">
        <v>0</v>
      </c>
      <c r="BP3155">
        <v>0</v>
      </c>
      <c r="BW3155" t="str">
        <f t="shared" si="1751"/>
        <v>14:56:46.177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285</v>
      </c>
      <c r="CR3155">
        <v>0</v>
      </c>
      <c r="CW3155">
        <v>8875461</v>
      </c>
      <c r="CY3155">
        <v>0</v>
      </c>
      <c r="CZ3155">
        <v>0</v>
      </c>
      <c r="DA3155">
        <v>1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25">
      <c r="A3156" t="str">
        <f t="shared" si="1748"/>
        <v>06/05/2020 14:56:40.536</v>
      </c>
      <c r="C3156" t="str">
        <f t="shared" si="1724"/>
        <v>FFDFD3C0</v>
      </c>
      <c r="D3156" t="s">
        <v>134</v>
      </c>
      <c r="E3156">
        <v>7</v>
      </c>
      <c r="F3156">
        <v>2007</v>
      </c>
      <c r="G3156" t="s">
        <v>135</v>
      </c>
      <c r="J3156" t="s">
        <v>136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749"/>
        <v>14:56:46.172</v>
      </c>
      <c r="T3156" t="str">
        <f t="shared" si="1750"/>
        <v>14:56:45.872</v>
      </c>
      <c r="U3156" t="str">
        <f t="shared" si="1743"/>
        <v>ACC530</v>
      </c>
      <c r="V3156">
        <v>0</v>
      </c>
      <c r="W3156">
        <v>0</v>
      </c>
      <c r="X3156">
        <v>1</v>
      </c>
      <c r="Z3156">
        <v>0</v>
      </c>
      <c r="AA3156">
        <v>9</v>
      </c>
      <c r="AB3156">
        <v>3</v>
      </c>
      <c r="AC3156">
        <v>0</v>
      </c>
      <c r="AD3156">
        <v>9</v>
      </c>
      <c r="AE3156">
        <v>0</v>
      </c>
      <c r="AF3156">
        <v>3</v>
      </c>
      <c r="AG3156">
        <v>1</v>
      </c>
      <c r="AH3156">
        <v>0</v>
      </c>
      <c r="AI3156" t="s">
        <v>1052</v>
      </c>
      <c r="AJ3156">
        <v>34.100811</v>
      </c>
      <c r="AK3156" t="s">
        <v>1053</v>
      </c>
      <c r="AL3156">
        <v>-117.046688</v>
      </c>
      <c r="AM3156">
        <v>100</v>
      </c>
      <c r="AN3156">
        <v>5800</v>
      </c>
      <c r="AO3156" t="s">
        <v>118</v>
      </c>
      <c r="AP3156">
        <v>63</v>
      </c>
      <c r="AQ3156">
        <v>-88</v>
      </c>
      <c r="AR3156">
        <v>-640</v>
      </c>
      <c r="AZ3156">
        <v>1200</v>
      </c>
      <c r="BA3156">
        <v>1</v>
      </c>
      <c r="BB3156" t="str">
        <f t="shared" si="1744"/>
        <v xml:space="preserve">N9217B  </v>
      </c>
      <c r="BC3156">
        <v>1</v>
      </c>
      <c r="BE3156">
        <v>0</v>
      </c>
      <c r="BF3156">
        <v>0</v>
      </c>
      <c r="BG3156">
        <v>0</v>
      </c>
      <c r="BH3156">
        <v>5700</v>
      </c>
      <c r="BI3156">
        <v>1</v>
      </c>
      <c r="BJ3156">
        <v>0</v>
      </c>
      <c r="BK3156">
        <v>0</v>
      </c>
      <c r="BL3156">
        <v>0</v>
      </c>
      <c r="BO3156">
        <v>0</v>
      </c>
      <c r="BP3156">
        <v>0</v>
      </c>
      <c r="BW3156" t="str">
        <f t="shared" si="1751"/>
        <v>14:56:46.177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285</v>
      </c>
      <c r="CR3156">
        <v>0</v>
      </c>
      <c r="CW3156">
        <v>8875461</v>
      </c>
      <c r="CY3156">
        <v>0</v>
      </c>
      <c r="CZ3156">
        <v>0</v>
      </c>
      <c r="DA3156">
        <v>1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25">
      <c r="A3157" t="str">
        <f t="shared" si="1748"/>
        <v>06/05/2020 14:56:40.536</v>
      </c>
      <c r="C3157" t="str">
        <f t="shared" si="1724"/>
        <v>FFDFD3C0</v>
      </c>
      <c r="D3157" t="s">
        <v>151</v>
      </c>
      <c r="E3157">
        <v>9</v>
      </c>
      <c r="H3157">
        <v>226</v>
      </c>
      <c r="I3157" t="s">
        <v>152</v>
      </c>
      <c r="J3157" t="s">
        <v>150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749"/>
        <v>14:56:46.172</v>
      </c>
      <c r="T3157" t="str">
        <f t="shared" si="1750"/>
        <v>14:56:45.872</v>
      </c>
      <c r="U3157" t="str">
        <f t="shared" si="1743"/>
        <v>ACC530</v>
      </c>
      <c r="V3157">
        <v>0</v>
      </c>
      <c r="W3157">
        <v>0</v>
      </c>
      <c r="X3157">
        <v>1</v>
      </c>
      <c r="Z3157">
        <v>0</v>
      </c>
      <c r="AA3157">
        <v>9</v>
      </c>
      <c r="AB3157">
        <v>3</v>
      </c>
      <c r="AC3157">
        <v>0</v>
      </c>
      <c r="AD3157">
        <v>9</v>
      </c>
      <c r="AE3157">
        <v>0</v>
      </c>
      <c r="AF3157">
        <v>3</v>
      </c>
      <c r="AG3157">
        <v>1</v>
      </c>
      <c r="AH3157">
        <v>0</v>
      </c>
      <c r="AI3157" t="s">
        <v>1052</v>
      </c>
      <c r="AJ3157">
        <v>34.100811</v>
      </c>
      <c r="AK3157" t="s">
        <v>1053</v>
      </c>
      <c r="AL3157">
        <v>-117.046688</v>
      </c>
      <c r="AM3157">
        <v>100</v>
      </c>
      <c r="AN3157">
        <v>5800</v>
      </c>
      <c r="AO3157" t="s">
        <v>118</v>
      </c>
      <c r="AP3157">
        <v>63</v>
      </c>
      <c r="AQ3157">
        <v>-88</v>
      </c>
      <c r="AR3157">
        <v>-640</v>
      </c>
      <c r="AZ3157">
        <v>1200</v>
      </c>
      <c r="BA3157">
        <v>1</v>
      </c>
      <c r="BB3157" t="str">
        <f t="shared" si="1744"/>
        <v xml:space="preserve">N9217B  </v>
      </c>
      <c r="BC3157">
        <v>1</v>
      </c>
      <c r="BE3157">
        <v>0</v>
      </c>
      <c r="BF3157">
        <v>0</v>
      </c>
      <c r="BG3157">
        <v>0</v>
      </c>
      <c r="BH3157">
        <v>5700</v>
      </c>
      <c r="BI3157">
        <v>1</v>
      </c>
      <c r="BJ3157">
        <v>0</v>
      </c>
      <c r="BK3157">
        <v>0</v>
      </c>
      <c r="BL3157">
        <v>0</v>
      </c>
      <c r="BO3157">
        <v>0</v>
      </c>
      <c r="BP3157">
        <v>0</v>
      </c>
      <c r="BW3157" t="str">
        <f t="shared" si="1751"/>
        <v>14:56:46.177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7</v>
      </c>
      <c r="CP3157" t="s">
        <v>119</v>
      </c>
      <c r="CQ3157">
        <v>285</v>
      </c>
      <c r="CR3157">
        <v>0</v>
      </c>
      <c r="CW3157">
        <v>8875461</v>
      </c>
      <c r="CY3157">
        <v>0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25">
      <c r="A3158" t="str">
        <f t="shared" ref="A3158:A3164" si="1752">"06/05/2020 14:56:41.599"</f>
        <v>06/05/2020 14:56:41.599</v>
      </c>
      <c r="C3158" t="str">
        <f t="shared" si="1724"/>
        <v>FFDFD3C0</v>
      </c>
      <c r="D3158" t="s">
        <v>113</v>
      </c>
      <c r="E3158">
        <v>3</v>
      </c>
      <c r="H3158">
        <v>166</v>
      </c>
      <c r="I3158" t="s">
        <v>114</v>
      </c>
      <c r="J3158" t="s">
        <v>115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ref="S3158:S3164" si="1753">"14:56:47.227"</f>
        <v>14:56:47.227</v>
      </c>
      <c r="T3158" t="str">
        <f t="shared" ref="T3158:T3164" si="1754">"14:56:46.927"</f>
        <v>14:56:46.927</v>
      </c>
      <c r="U3158" t="str">
        <f t="shared" si="1743"/>
        <v>ACC530</v>
      </c>
      <c r="V3158">
        <v>0</v>
      </c>
      <c r="W3158">
        <v>0</v>
      </c>
      <c r="X3158">
        <v>1</v>
      </c>
      <c r="Z3158">
        <v>0</v>
      </c>
      <c r="AA3158">
        <v>9</v>
      </c>
      <c r="AB3158">
        <v>3</v>
      </c>
      <c r="AC3158">
        <v>0</v>
      </c>
      <c r="AD3158">
        <v>9</v>
      </c>
      <c r="AE3158">
        <v>0</v>
      </c>
      <c r="AF3158">
        <v>3</v>
      </c>
      <c r="AG3158">
        <v>1</v>
      </c>
      <c r="AH3158">
        <v>0</v>
      </c>
      <c r="AI3158" t="s">
        <v>1054</v>
      </c>
      <c r="AJ3158">
        <v>34.100425000000001</v>
      </c>
      <c r="AK3158" t="s">
        <v>1055</v>
      </c>
      <c r="AL3158">
        <v>-117.046323</v>
      </c>
      <c r="AM3158">
        <v>100</v>
      </c>
      <c r="AN3158">
        <v>5800</v>
      </c>
      <c r="AO3158" t="s">
        <v>118</v>
      </c>
      <c r="AP3158">
        <v>63</v>
      </c>
      <c r="AQ3158">
        <v>-88</v>
      </c>
      <c r="AR3158">
        <v>-640</v>
      </c>
      <c r="AZ3158">
        <v>1200</v>
      </c>
      <c r="BA3158">
        <v>1</v>
      </c>
      <c r="BB3158" t="str">
        <f t="shared" si="1744"/>
        <v xml:space="preserve">N9217B  </v>
      </c>
      <c r="BC3158">
        <v>1</v>
      </c>
      <c r="BE3158">
        <v>0</v>
      </c>
      <c r="BF3158">
        <v>0</v>
      </c>
      <c r="BG3158">
        <v>0</v>
      </c>
      <c r="BH3158">
        <v>5675</v>
      </c>
      <c r="BI3158">
        <v>1</v>
      </c>
      <c r="BJ3158">
        <v>0</v>
      </c>
      <c r="BK3158">
        <v>0</v>
      </c>
      <c r="BL3158">
        <v>0</v>
      </c>
      <c r="BO3158">
        <v>0</v>
      </c>
      <c r="BP3158">
        <v>0</v>
      </c>
      <c r="BW3158" t="str">
        <f t="shared" ref="BW3158:BW3164" si="1755">"14:56:47.227"</f>
        <v>14:56:47.227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298</v>
      </c>
      <c r="CR3158">
        <v>0</v>
      </c>
      <c r="CW3158">
        <v>10453597</v>
      </c>
      <c r="CY3158">
        <v>0</v>
      </c>
      <c r="CZ3158">
        <v>0</v>
      </c>
      <c r="DA3158">
        <v>0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25">
      <c r="A3159" t="str">
        <f t="shared" si="1752"/>
        <v>06/05/2020 14:56:41.599</v>
      </c>
      <c r="C3159" t="str">
        <f t="shared" si="1724"/>
        <v>FFDFD3C0</v>
      </c>
      <c r="D3159" t="s">
        <v>141</v>
      </c>
      <c r="E3159">
        <v>20</v>
      </c>
      <c r="F3159">
        <v>1020</v>
      </c>
      <c r="G3159" t="s">
        <v>114</v>
      </c>
      <c r="J3159" t="s">
        <v>142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si="1753"/>
        <v>14:56:47.227</v>
      </c>
      <c r="T3159" t="str">
        <f t="shared" si="1754"/>
        <v>14:56:46.927</v>
      </c>
      <c r="U3159" t="str">
        <f t="shared" si="1743"/>
        <v>ACC530</v>
      </c>
      <c r="V3159">
        <v>0</v>
      </c>
      <c r="W3159">
        <v>0</v>
      </c>
      <c r="X3159">
        <v>1</v>
      </c>
      <c r="Z3159">
        <v>0</v>
      </c>
      <c r="AA3159">
        <v>9</v>
      </c>
      <c r="AB3159">
        <v>3</v>
      </c>
      <c r="AC3159">
        <v>0</v>
      </c>
      <c r="AD3159">
        <v>9</v>
      </c>
      <c r="AE3159">
        <v>0</v>
      </c>
      <c r="AF3159">
        <v>3</v>
      </c>
      <c r="AG3159">
        <v>1</v>
      </c>
      <c r="AH3159">
        <v>0</v>
      </c>
      <c r="AI3159" t="s">
        <v>1054</v>
      </c>
      <c r="AJ3159">
        <v>34.100425000000001</v>
      </c>
      <c r="AK3159" t="s">
        <v>1055</v>
      </c>
      <c r="AL3159">
        <v>-117.046323</v>
      </c>
      <c r="AM3159">
        <v>100</v>
      </c>
      <c r="AN3159">
        <v>5800</v>
      </c>
      <c r="AO3159" t="s">
        <v>118</v>
      </c>
      <c r="AP3159">
        <v>63</v>
      </c>
      <c r="AQ3159">
        <v>-88</v>
      </c>
      <c r="AR3159">
        <v>-640</v>
      </c>
      <c r="AZ3159">
        <v>1200</v>
      </c>
      <c r="BA3159">
        <v>1</v>
      </c>
      <c r="BB3159" t="str">
        <f t="shared" si="1744"/>
        <v xml:space="preserve">N9217B  </v>
      </c>
      <c r="BC3159">
        <v>1</v>
      </c>
      <c r="BE3159">
        <v>0</v>
      </c>
      <c r="BF3159">
        <v>0</v>
      </c>
      <c r="BG3159">
        <v>0</v>
      </c>
      <c r="BH3159">
        <v>5675</v>
      </c>
      <c r="BI3159">
        <v>1</v>
      </c>
      <c r="BJ3159">
        <v>0</v>
      </c>
      <c r="BK3159">
        <v>0</v>
      </c>
      <c r="BL3159">
        <v>0</v>
      </c>
      <c r="BO3159">
        <v>0</v>
      </c>
      <c r="BP3159">
        <v>0</v>
      </c>
      <c r="BW3159" t="str">
        <f t="shared" si="1755"/>
        <v>14:56:47.227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298</v>
      </c>
      <c r="CR3159">
        <v>0</v>
      </c>
      <c r="CW3159">
        <v>10453597</v>
      </c>
      <c r="CY3159">
        <v>0</v>
      </c>
      <c r="CZ3159">
        <v>0</v>
      </c>
      <c r="DA3159">
        <v>1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25">
      <c r="A3160" t="str">
        <f t="shared" si="1752"/>
        <v>06/05/2020 14:56:41.599</v>
      </c>
      <c r="C3160" t="str">
        <f t="shared" si="1724"/>
        <v>FFDFD3C0</v>
      </c>
      <c r="D3160" t="s">
        <v>148</v>
      </c>
      <c r="E3160">
        <v>11</v>
      </c>
      <c r="H3160">
        <v>53</v>
      </c>
      <c r="I3160" t="s">
        <v>364</v>
      </c>
      <c r="J3160" t="s">
        <v>150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753"/>
        <v>14:56:47.227</v>
      </c>
      <c r="T3160" t="str">
        <f t="shared" si="1754"/>
        <v>14:56:46.927</v>
      </c>
      <c r="U3160" t="str">
        <f t="shared" si="1743"/>
        <v>ACC530</v>
      </c>
      <c r="V3160">
        <v>0</v>
      </c>
      <c r="W3160">
        <v>0</v>
      </c>
      <c r="X3160">
        <v>1</v>
      </c>
      <c r="Z3160">
        <v>0</v>
      </c>
      <c r="AA3160">
        <v>9</v>
      </c>
      <c r="AB3160">
        <v>3</v>
      </c>
      <c r="AC3160">
        <v>0</v>
      </c>
      <c r="AD3160">
        <v>9</v>
      </c>
      <c r="AE3160">
        <v>0</v>
      </c>
      <c r="AF3160">
        <v>3</v>
      </c>
      <c r="AG3160">
        <v>1</v>
      </c>
      <c r="AH3160">
        <v>0</v>
      </c>
      <c r="AI3160" t="s">
        <v>1054</v>
      </c>
      <c r="AJ3160">
        <v>34.100425000000001</v>
      </c>
      <c r="AK3160" t="s">
        <v>1055</v>
      </c>
      <c r="AL3160">
        <v>-117.046323</v>
      </c>
      <c r="AM3160">
        <v>100</v>
      </c>
      <c r="AN3160">
        <v>5800</v>
      </c>
      <c r="AO3160" t="s">
        <v>118</v>
      </c>
      <c r="AP3160">
        <v>63</v>
      </c>
      <c r="AQ3160">
        <v>-88</v>
      </c>
      <c r="AR3160">
        <v>-640</v>
      </c>
      <c r="AZ3160">
        <v>1200</v>
      </c>
      <c r="BA3160">
        <v>1</v>
      </c>
      <c r="BB3160" t="str">
        <f t="shared" si="1744"/>
        <v xml:space="preserve">N9217B  </v>
      </c>
      <c r="BC3160">
        <v>1</v>
      </c>
      <c r="BE3160">
        <v>0</v>
      </c>
      <c r="BF3160">
        <v>0</v>
      </c>
      <c r="BG3160">
        <v>0</v>
      </c>
      <c r="BH3160">
        <v>5675</v>
      </c>
      <c r="BI3160">
        <v>1</v>
      </c>
      <c r="BJ3160">
        <v>0</v>
      </c>
      <c r="BK3160">
        <v>0</v>
      </c>
      <c r="BL3160">
        <v>0</v>
      </c>
      <c r="BO3160">
        <v>0</v>
      </c>
      <c r="BP3160">
        <v>0</v>
      </c>
      <c r="BW3160" t="str">
        <f t="shared" si="1755"/>
        <v>14:56:47.227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298</v>
      </c>
      <c r="CR3160">
        <v>0</v>
      </c>
      <c r="CW3160">
        <v>10453597</v>
      </c>
      <c r="CY3160">
        <v>0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25">
      <c r="A3161" t="str">
        <f t="shared" si="1752"/>
        <v>06/05/2020 14:56:41.599</v>
      </c>
      <c r="C3161" t="str">
        <f t="shared" si="1724"/>
        <v>FFDFD3C0</v>
      </c>
      <c r="D3161" t="s">
        <v>151</v>
      </c>
      <c r="E3161">
        <v>8</v>
      </c>
      <c r="H3161">
        <v>225</v>
      </c>
      <c r="I3161" t="s">
        <v>353</v>
      </c>
      <c r="J3161" t="s">
        <v>150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753"/>
        <v>14:56:47.227</v>
      </c>
      <c r="T3161" t="str">
        <f t="shared" si="1754"/>
        <v>14:56:46.927</v>
      </c>
      <c r="U3161" t="str">
        <f t="shared" si="1743"/>
        <v>ACC530</v>
      </c>
      <c r="V3161">
        <v>0</v>
      </c>
      <c r="W3161">
        <v>0</v>
      </c>
      <c r="X3161">
        <v>1</v>
      </c>
      <c r="Z3161">
        <v>0</v>
      </c>
      <c r="AA3161">
        <v>9</v>
      </c>
      <c r="AB3161">
        <v>3</v>
      </c>
      <c r="AC3161">
        <v>0</v>
      </c>
      <c r="AD3161">
        <v>9</v>
      </c>
      <c r="AE3161">
        <v>0</v>
      </c>
      <c r="AF3161">
        <v>3</v>
      </c>
      <c r="AG3161">
        <v>1</v>
      </c>
      <c r="AH3161">
        <v>0</v>
      </c>
      <c r="AI3161" t="s">
        <v>1054</v>
      </c>
      <c r="AJ3161">
        <v>34.100425000000001</v>
      </c>
      <c r="AK3161" t="s">
        <v>1055</v>
      </c>
      <c r="AL3161">
        <v>-117.046323</v>
      </c>
      <c r="AM3161">
        <v>100</v>
      </c>
      <c r="AN3161">
        <v>5800</v>
      </c>
      <c r="AO3161" t="s">
        <v>118</v>
      </c>
      <c r="AP3161">
        <v>63</v>
      </c>
      <c r="AQ3161">
        <v>-88</v>
      </c>
      <c r="AR3161">
        <v>-640</v>
      </c>
      <c r="AZ3161">
        <v>1200</v>
      </c>
      <c r="BA3161">
        <v>1</v>
      </c>
      <c r="BB3161" t="str">
        <f t="shared" si="1744"/>
        <v xml:space="preserve">N9217B  </v>
      </c>
      <c r="BC3161">
        <v>1</v>
      </c>
      <c r="BE3161">
        <v>0</v>
      </c>
      <c r="BF3161">
        <v>0</v>
      </c>
      <c r="BG3161">
        <v>0</v>
      </c>
      <c r="BH3161">
        <v>5675</v>
      </c>
      <c r="BI3161">
        <v>1</v>
      </c>
      <c r="BJ3161">
        <v>0</v>
      </c>
      <c r="BK3161">
        <v>0</v>
      </c>
      <c r="BL3161">
        <v>0</v>
      </c>
      <c r="BO3161">
        <v>0</v>
      </c>
      <c r="BP3161">
        <v>0</v>
      </c>
      <c r="BW3161" t="str">
        <f t="shared" si="1755"/>
        <v>14:56:47.227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298</v>
      </c>
      <c r="CR3161">
        <v>0</v>
      </c>
      <c r="CW3161">
        <v>10453597</v>
      </c>
      <c r="CY3161">
        <v>0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25">
      <c r="A3162" t="str">
        <f t="shared" si="1752"/>
        <v>06/05/2020 14:56:41.599</v>
      </c>
      <c r="C3162" t="str">
        <f t="shared" si="1724"/>
        <v>FFDFD3C0</v>
      </c>
      <c r="D3162" t="s">
        <v>148</v>
      </c>
      <c r="E3162">
        <v>8</v>
      </c>
      <c r="H3162">
        <v>50</v>
      </c>
      <c r="I3162" t="s">
        <v>149</v>
      </c>
      <c r="J3162" t="s">
        <v>150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753"/>
        <v>14:56:47.227</v>
      </c>
      <c r="T3162" t="str">
        <f t="shared" si="1754"/>
        <v>14:56:46.927</v>
      </c>
      <c r="U3162" t="str">
        <f t="shared" si="1743"/>
        <v>ACC530</v>
      </c>
      <c r="V3162">
        <v>0</v>
      </c>
      <c r="W3162">
        <v>0</v>
      </c>
      <c r="X3162">
        <v>1</v>
      </c>
      <c r="Z3162">
        <v>0</v>
      </c>
      <c r="AA3162">
        <v>9</v>
      </c>
      <c r="AB3162">
        <v>3</v>
      </c>
      <c r="AC3162">
        <v>0</v>
      </c>
      <c r="AD3162">
        <v>9</v>
      </c>
      <c r="AE3162">
        <v>0</v>
      </c>
      <c r="AF3162">
        <v>3</v>
      </c>
      <c r="AG3162">
        <v>1</v>
      </c>
      <c r="AH3162">
        <v>0</v>
      </c>
      <c r="AI3162" t="s">
        <v>1054</v>
      </c>
      <c r="AJ3162">
        <v>34.100425000000001</v>
      </c>
      <c r="AK3162" t="s">
        <v>1055</v>
      </c>
      <c r="AL3162">
        <v>-117.046323</v>
      </c>
      <c r="AM3162">
        <v>100</v>
      </c>
      <c r="AN3162">
        <v>5800</v>
      </c>
      <c r="AO3162" t="s">
        <v>118</v>
      </c>
      <c r="AP3162">
        <v>63</v>
      </c>
      <c r="AQ3162">
        <v>-88</v>
      </c>
      <c r="AR3162">
        <v>-640</v>
      </c>
      <c r="AZ3162">
        <v>1200</v>
      </c>
      <c r="BA3162">
        <v>1</v>
      </c>
      <c r="BB3162" t="str">
        <f t="shared" si="1744"/>
        <v xml:space="preserve">N9217B  </v>
      </c>
      <c r="BC3162">
        <v>1</v>
      </c>
      <c r="BE3162">
        <v>0</v>
      </c>
      <c r="BF3162">
        <v>0</v>
      </c>
      <c r="BG3162">
        <v>0</v>
      </c>
      <c r="BH3162">
        <v>5675</v>
      </c>
      <c r="BI3162">
        <v>1</v>
      </c>
      <c r="BJ3162">
        <v>0</v>
      </c>
      <c r="BK3162">
        <v>0</v>
      </c>
      <c r="BL3162">
        <v>0</v>
      </c>
      <c r="BO3162">
        <v>0</v>
      </c>
      <c r="BP3162">
        <v>0</v>
      </c>
      <c r="BW3162" t="str">
        <f t="shared" si="1755"/>
        <v>14:56:47.227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7</v>
      </c>
      <c r="CP3162" t="s">
        <v>119</v>
      </c>
      <c r="CQ3162">
        <v>298</v>
      </c>
      <c r="CR3162">
        <v>0</v>
      </c>
      <c r="CW3162">
        <v>10453597</v>
      </c>
      <c r="CY3162">
        <v>0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25">
      <c r="A3163" t="str">
        <f t="shared" si="1752"/>
        <v>06/05/2020 14:56:41.599</v>
      </c>
      <c r="C3163" t="str">
        <f t="shared" si="1724"/>
        <v>FFDFD3C0</v>
      </c>
      <c r="D3163" t="s">
        <v>134</v>
      </c>
      <c r="E3163">
        <v>7</v>
      </c>
      <c r="F3163">
        <v>2007</v>
      </c>
      <c r="G3163" t="s">
        <v>135</v>
      </c>
      <c r="J3163" t="s">
        <v>136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si="1753"/>
        <v>14:56:47.227</v>
      </c>
      <c r="T3163" t="str">
        <f t="shared" si="1754"/>
        <v>14:56:46.927</v>
      </c>
      <c r="U3163" t="str">
        <f t="shared" si="1743"/>
        <v>ACC530</v>
      </c>
      <c r="V3163">
        <v>0</v>
      </c>
      <c r="W3163">
        <v>0</v>
      </c>
      <c r="X3163">
        <v>1</v>
      </c>
      <c r="Z3163">
        <v>0</v>
      </c>
      <c r="AA3163">
        <v>9</v>
      </c>
      <c r="AB3163">
        <v>3</v>
      </c>
      <c r="AC3163">
        <v>0</v>
      </c>
      <c r="AD3163">
        <v>9</v>
      </c>
      <c r="AE3163">
        <v>0</v>
      </c>
      <c r="AF3163">
        <v>3</v>
      </c>
      <c r="AG3163">
        <v>1</v>
      </c>
      <c r="AH3163">
        <v>0</v>
      </c>
      <c r="AI3163" t="s">
        <v>1054</v>
      </c>
      <c r="AJ3163">
        <v>34.100425000000001</v>
      </c>
      <c r="AK3163" t="s">
        <v>1055</v>
      </c>
      <c r="AL3163">
        <v>-117.046323</v>
      </c>
      <c r="AM3163">
        <v>100</v>
      </c>
      <c r="AN3163">
        <v>5800</v>
      </c>
      <c r="AO3163" t="s">
        <v>118</v>
      </c>
      <c r="AP3163">
        <v>63</v>
      </c>
      <c r="AQ3163">
        <v>-88</v>
      </c>
      <c r="AR3163">
        <v>-640</v>
      </c>
      <c r="AZ3163">
        <v>1200</v>
      </c>
      <c r="BA3163">
        <v>1</v>
      </c>
      <c r="BB3163" t="str">
        <f t="shared" si="1744"/>
        <v xml:space="preserve">N9217B  </v>
      </c>
      <c r="BC3163">
        <v>1</v>
      </c>
      <c r="BE3163">
        <v>0</v>
      </c>
      <c r="BF3163">
        <v>0</v>
      </c>
      <c r="BG3163">
        <v>0</v>
      </c>
      <c r="BH3163">
        <v>5675</v>
      </c>
      <c r="BI3163">
        <v>1</v>
      </c>
      <c r="BJ3163">
        <v>0</v>
      </c>
      <c r="BK3163">
        <v>0</v>
      </c>
      <c r="BL3163">
        <v>0</v>
      </c>
      <c r="BO3163">
        <v>0</v>
      </c>
      <c r="BP3163">
        <v>0</v>
      </c>
      <c r="BW3163" t="str">
        <f t="shared" si="1755"/>
        <v>14:56:47.227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119</v>
      </c>
      <c r="CQ3163">
        <v>298</v>
      </c>
      <c r="CR3163">
        <v>0</v>
      </c>
      <c r="CW3163">
        <v>10453597</v>
      </c>
      <c r="CY3163">
        <v>0</v>
      </c>
      <c r="CZ3163">
        <v>0</v>
      </c>
      <c r="DA3163">
        <v>1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25">
      <c r="A3164" t="str">
        <f t="shared" si="1752"/>
        <v>06/05/2020 14:56:41.599</v>
      </c>
      <c r="C3164" t="str">
        <f t="shared" si="1724"/>
        <v>FFDFD3C0</v>
      </c>
      <c r="D3164" t="s">
        <v>151</v>
      </c>
      <c r="E3164">
        <v>9</v>
      </c>
      <c r="H3164">
        <v>226</v>
      </c>
      <c r="I3164" t="s">
        <v>152</v>
      </c>
      <c r="J3164" t="s">
        <v>150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753"/>
        <v>14:56:47.227</v>
      </c>
      <c r="T3164" t="str">
        <f t="shared" si="1754"/>
        <v>14:56:46.927</v>
      </c>
      <c r="U3164" t="str">
        <f t="shared" si="1743"/>
        <v>ACC530</v>
      </c>
      <c r="V3164">
        <v>0</v>
      </c>
      <c r="W3164">
        <v>0</v>
      </c>
      <c r="X3164">
        <v>1</v>
      </c>
      <c r="Z3164">
        <v>0</v>
      </c>
      <c r="AA3164">
        <v>9</v>
      </c>
      <c r="AB3164">
        <v>3</v>
      </c>
      <c r="AC3164">
        <v>0</v>
      </c>
      <c r="AD3164">
        <v>9</v>
      </c>
      <c r="AE3164">
        <v>0</v>
      </c>
      <c r="AF3164">
        <v>3</v>
      </c>
      <c r="AG3164">
        <v>1</v>
      </c>
      <c r="AH3164">
        <v>0</v>
      </c>
      <c r="AI3164" t="s">
        <v>1054</v>
      </c>
      <c r="AJ3164">
        <v>34.100425000000001</v>
      </c>
      <c r="AK3164" t="s">
        <v>1055</v>
      </c>
      <c r="AL3164">
        <v>-117.046323</v>
      </c>
      <c r="AM3164">
        <v>100</v>
      </c>
      <c r="AN3164">
        <v>5800</v>
      </c>
      <c r="AO3164" t="s">
        <v>118</v>
      </c>
      <c r="AP3164">
        <v>63</v>
      </c>
      <c r="AQ3164">
        <v>-88</v>
      </c>
      <c r="AR3164">
        <v>-640</v>
      </c>
      <c r="AZ3164">
        <v>1200</v>
      </c>
      <c r="BA3164">
        <v>1</v>
      </c>
      <c r="BB3164" t="str">
        <f t="shared" si="1744"/>
        <v xml:space="preserve">N9217B  </v>
      </c>
      <c r="BC3164">
        <v>1</v>
      </c>
      <c r="BE3164">
        <v>0</v>
      </c>
      <c r="BF3164">
        <v>0</v>
      </c>
      <c r="BG3164">
        <v>0</v>
      </c>
      <c r="BH3164">
        <v>5675</v>
      </c>
      <c r="BI3164">
        <v>1</v>
      </c>
      <c r="BJ3164">
        <v>0</v>
      </c>
      <c r="BK3164">
        <v>0</v>
      </c>
      <c r="BL3164">
        <v>0</v>
      </c>
      <c r="BO3164">
        <v>0</v>
      </c>
      <c r="BP3164">
        <v>0</v>
      </c>
      <c r="BW3164" t="str">
        <f t="shared" si="1755"/>
        <v>14:56:47.227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7</v>
      </c>
      <c r="CP3164" t="s">
        <v>119</v>
      </c>
      <c r="CQ3164">
        <v>285</v>
      </c>
      <c r="CR3164">
        <v>0</v>
      </c>
      <c r="CW3164">
        <v>8875558</v>
      </c>
      <c r="CY3164">
        <v>0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25">
      <c r="A3165" t="str">
        <f t="shared" ref="A3165:A3171" si="1756">"06/05/2020 14:56:42.543"</f>
        <v>06/05/2020 14:56:42.543</v>
      </c>
      <c r="C3165" t="str">
        <f t="shared" si="1724"/>
        <v>FFDFD3C0</v>
      </c>
      <c r="D3165" t="s">
        <v>134</v>
      </c>
      <c r="E3165">
        <v>7</v>
      </c>
      <c r="F3165">
        <v>2007</v>
      </c>
      <c r="G3165" t="s">
        <v>135</v>
      </c>
      <c r="J3165" t="s">
        <v>136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ref="S3165:S3171" si="1757">"14:56:48.180"</f>
        <v>14:56:48.180</v>
      </c>
      <c r="T3165" t="str">
        <f t="shared" ref="T3165:T3171" si="1758">"14:56:47.880"</f>
        <v>14:56:47.880</v>
      </c>
      <c r="U3165" t="str">
        <f t="shared" si="1743"/>
        <v>ACC530</v>
      </c>
      <c r="V3165">
        <v>0</v>
      </c>
      <c r="W3165">
        <v>0</v>
      </c>
      <c r="X3165">
        <v>1</v>
      </c>
      <c r="Z3165">
        <v>0</v>
      </c>
      <c r="AA3165">
        <v>9</v>
      </c>
      <c r="AB3165">
        <v>3</v>
      </c>
      <c r="AC3165">
        <v>0</v>
      </c>
      <c r="AD3165">
        <v>9</v>
      </c>
      <c r="AE3165">
        <v>0</v>
      </c>
      <c r="AF3165">
        <v>3</v>
      </c>
      <c r="AG3165">
        <v>1</v>
      </c>
      <c r="AH3165">
        <v>0</v>
      </c>
      <c r="AI3165" t="s">
        <v>1056</v>
      </c>
      <c r="AJ3165">
        <v>34.100017999999999</v>
      </c>
      <c r="AK3165" t="s">
        <v>1057</v>
      </c>
      <c r="AL3165">
        <v>-117.046001</v>
      </c>
      <c r="AM3165">
        <v>100</v>
      </c>
      <c r="AN3165">
        <v>5800</v>
      </c>
      <c r="AO3165" t="s">
        <v>118</v>
      </c>
      <c r="AP3165">
        <v>64</v>
      </c>
      <c r="AQ3165">
        <v>-88</v>
      </c>
      <c r="AR3165">
        <v>-640</v>
      </c>
      <c r="AZ3165">
        <v>1200</v>
      </c>
      <c r="BA3165">
        <v>1</v>
      </c>
      <c r="BB3165" t="str">
        <f t="shared" si="1744"/>
        <v xml:space="preserve">N9217B  </v>
      </c>
      <c r="BC3165">
        <v>1</v>
      </c>
      <c r="BE3165">
        <v>0</v>
      </c>
      <c r="BF3165">
        <v>0</v>
      </c>
      <c r="BG3165">
        <v>0</v>
      </c>
      <c r="BH3165">
        <v>5675</v>
      </c>
      <c r="BI3165">
        <v>1</v>
      </c>
      <c r="BJ3165">
        <v>0</v>
      </c>
      <c r="BK3165">
        <v>0</v>
      </c>
      <c r="BL3165">
        <v>0</v>
      </c>
      <c r="BO3165">
        <v>0</v>
      </c>
      <c r="BP3165">
        <v>0</v>
      </c>
      <c r="BW3165" t="str">
        <f t="shared" ref="BW3165:BW3171" si="1759">"14:56:48.187"</f>
        <v>14:56:48.187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119</v>
      </c>
      <c r="CQ3165">
        <v>285</v>
      </c>
      <c r="CR3165">
        <v>0</v>
      </c>
      <c r="CW3165">
        <v>8875638</v>
      </c>
      <c r="CY3165">
        <v>0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25">
      <c r="A3166" t="str">
        <f t="shared" si="1756"/>
        <v>06/05/2020 14:56:42.543</v>
      </c>
      <c r="C3166" t="str">
        <f t="shared" si="1724"/>
        <v>FFDFD3C0</v>
      </c>
      <c r="D3166" t="s">
        <v>151</v>
      </c>
      <c r="E3166">
        <v>9</v>
      </c>
      <c r="H3166">
        <v>226</v>
      </c>
      <c r="I3166" t="s">
        <v>152</v>
      </c>
      <c r="J3166" t="s">
        <v>150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si="1757"/>
        <v>14:56:48.180</v>
      </c>
      <c r="T3166" t="str">
        <f t="shared" si="1758"/>
        <v>14:56:47.880</v>
      </c>
      <c r="U3166" t="str">
        <f t="shared" si="1743"/>
        <v>ACC530</v>
      </c>
      <c r="V3166">
        <v>0</v>
      </c>
      <c r="W3166">
        <v>0</v>
      </c>
      <c r="X3166">
        <v>1</v>
      </c>
      <c r="Z3166">
        <v>0</v>
      </c>
      <c r="AA3166">
        <v>9</v>
      </c>
      <c r="AB3166">
        <v>3</v>
      </c>
      <c r="AC3166">
        <v>0</v>
      </c>
      <c r="AD3166">
        <v>9</v>
      </c>
      <c r="AE3166">
        <v>0</v>
      </c>
      <c r="AF3166">
        <v>3</v>
      </c>
      <c r="AG3166">
        <v>1</v>
      </c>
      <c r="AH3166">
        <v>0</v>
      </c>
      <c r="AI3166" t="s">
        <v>1056</v>
      </c>
      <c r="AJ3166">
        <v>34.100017999999999</v>
      </c>
      <c r="AK3166" t="s">
        <v>1057</v>
      </c>
      <c r="AL3166">
        <v>-117.046001</v>
      </c>
      <c r="AM3166">
        <v>100</v>
      </c>
      <c r="AN3166">
        <v>5800</v>
      </c>
      <c r="AO3166" t="s">
        <v>118</v>
      </c>
      <c r="AP3166">
        <v>64</v>
      </c>
      <c r="AQ3166">
        <v>-88</v>
      </c>
      <c r="AR3166">
        <v>-640</v>
      </c>
      <c r="AZ3166">
        <v>1200</v>
      </c>
      <c r="BA3166">
        <v>1</v>
      </c>
      <c r="BB3166" t="str">
        <f t="shared" si="1744"/>
        <v xml:space="preserve">N9217B  </v>
      </c>
      <c r="BC3166">
        <v>1</v>
      </c>
      <c r="BE3166">
        <v>0</v>
      </c>
      <c r="BF3166">
        <v>0</v>
      </c>
      <c r="BG3166">
        <v>0</v>
      </c>
      <c r="BH3166">
        <v>5675</v>
      </c>
      <c r="BI3166">
        <v>1</v>
      </c>
      <c r="BJ3166">
        <v>0</v>
      </c>
      <c r="BK3166">
        <v>0</v>
      </c>
      <c r="BL3166">
        <v>0</v>
      </c>
      <c r="BO3166">
        <v>0</v>
      </c>
      <c r="BP3166">
        <v>0</v>
      </c>
      <c r="BW3166" t="str">
        <f t="shared" si="1759"/>
        <v>14:56:48.187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7</v>
      </c>
      <c r="CP3166" t="s">
        <v>119</v>
      </c>
      <c r="CQ3166">
        <v>285</v>
      </c>
      <c r="CR3166">
        <v>0</v>
      </c>
      <c r="CW3166">
        <v>8875638</v>
      </c>
      <c r="CY3166">
        <v>0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25">
      <c r="A3167" t="str">
        <f t="shared" si="1756"/>
        <v>06/05/2020 14:56:42.543</v>
      </c>
      <c r="C3167" t="str">
        <f t="shared" si="1724"/>
        <v>FFDFD3C0</v>
      </c>
      <c r="D3167" t="s">
        <v>141</v>
      </c>
      <c r="E3167">
        <v>20</v>
      </c>
      <c r="F3167">
        <v>1020</v>
      </c>
      <c r="G3167" t="s">
        <v>114</v>
      </c>
      <c r="J3167" t="s">
        <v>142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si="1757"/>
        <v>14:56:48.180</v>
      </c>
      <c r="T3167" t="str">
        <f t="shared" si="1758"/>
        <v>14:56:47.880</v>
      </c>
      <c r="U3167" t="str">
        <f t="shared" si="1743"/>
        <v>ACC530</v>
      </c>
      <c r="V3167">
        <v>0</v>
      </c>
      <c r="W3167">
        <v>0</v>
      </c>
      <c r="X3167">
        <v>1</v>
      </c>
      <c r="Z3167">
        <v>0</v>
      </c>
      <c r="AA3167">
        <v>9</v>
      </c>
      <c r="AB3167">
        <v>3</v>
      </c>
      <c r="AC3167">
        <v>0</v>
      </c>
      <c r="AD3167">
        <v>9</v>
      </c>
      <c r="AE3167">
        <v>0</v>
      </c>
      <c r="AF3167">
        <v>3</v>
      </c>
      <c r="AG3167">
        <v>1</v>
      </c>
      <c r="AH3167">
        <v>0</v>
      </c>
      <c r="AI3167" t="s">
        <v>1056</v>
      </c>
      <c r="AJ3167">
        <v>34.100017999999999</v>
      </c>
      <c r="AK3167" t="s">
        <v>1057</v>
      </c>
      <c r="AL3167">
        <v>-117.046001</v>
      </c>
      <c r="AM3167">
        <v>100</v>
      </c>
      <c r="AN3167">
        <v>5800</v>
      </c>
      <c r="AO3167" t="s">
        <v>118</v>
      </c>
      <c r="AP3167">
        <v>64</v>
      </c>
      <c r="AQ3167">
        <v>-88</v>
      </c>
      <c r="AR3167">
        <v>-640</v>
      </c>
      <c r="AZ3167">
        <v>1200</v>
      </c>
      <c r="BA3167">
        <v>1</v>
      </c>
      <c r="BB3167" t="str">
        <f t="shared" si="1744"/>
        <v xml:space="preserve">N9217B  </v>
      </c>
      <c r="BC3167">
        <v>1</v>
      </c>
      <c r="BE3167">
        <v>0</v>
      </c>
      <c r="BF3167">
        <v>0</v>
      </c>
      <c r="BG3167">
        <v>0</v>
      </c>
      <c r="BH3167">
        <v>5675</v>
      </c>
      <c r="BI3167">
        <v>1</v>
      </c>
      <c r="BJ3167">
        <v>0</v>
      </c>
      <c r="BK3167">
        <v>0</v>
      </c>
      <c r="BL3167">
        <v>0</v>
      </c>
      <c r="BO3167">
        <v>0</v>
      </c>
      <c r="BP3167">
        <v>0</v>
      </c>
      <c r="BW3167" t="str">
        <f t="shared" si="1759"/>
        <v>14:56:48.187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7</v>
      </c>
      <c r="CP3167" t="s">
        <v>119</v>
      </c>
      <c r="CQ3167">
        <v>285</v>
      </c>
      <c r="CR3167">
        <v>0</v>
      </c>
      <c r="CW3167">
        <v>8875638</v>
      </c>
      <c r="CY3167">
        <v>0</v>
      </c>
      <c r="CZ3167">
        <v>0</v>
      </c>
      <c r="DA3167">
        <v>1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25">
      <c r="A3168" t="str">
        <f t="shared" si="1756"/>
        <v>06/05/2020 14:56:42.543</v>
      </c>
      <c r="C3168" t="str">
        <f t="shared" si="1724"/>
        <v>FFDFD3C0</v>
      </c>
      <c r="D3168" t="s">
        <v>113</v>
      </c>
      <c r="E3168">
        <v>3</v>
      </c>
      <c r="H3168">
        <v>166</v>
      </c>
      <c r="I3168" t="s">
        <v>114</v>
      </c>
      <c r="J3168" t="s">
        <v>115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757"/>
        <v>14:56:48.180</v>
      </c>
      <c r="T3168" t="str">
        <f t="shared" si="1758"/>
        <v>14:56:47.880</v>
      </c>
      <c r="U3168" t="str">
        <f t="shared" si="1743"/>
        <v>ACC530</v>
      </c>
      <c r="V3168">
        <v>0</v>
      </c>
      <c r="W3168">
        <v>0</v>
      </c>
      <c r="X3168">
        <v>1</v>
      </c>
      <c r="Z3168">
        <v>0</v>
      </c>
      <c r="AA3168">
        <v>9</v>
      </c>
      <c r="AB3168">
        <v>3</v>
      </c>
      <c r="AC3168">
        <v>0</v>
      </c>
      <c r="AD3168">
        <v>9</v>
      </c>
      <c r="AE3168">
        <v>0</v>
      </c>
      <c r="AF3168">
        <v>3</v>
      </c>
      <c r="AG3168">
        <v>1</v>
      </c>
      <c r="AH3168">
        <v>0</v>
      </c>
      <c r="AI3168" t="s">
        <v>1056</v>
      </c>
      <c r="AJ3168">
        <v>34.100017999999999</v>
      </c>
      <c r="AK3168" t="s">
        <v>1057</v>
      </c>
      <c r="AL3168">
        <v>-117.046001</v>
      </c>
      <c r="AM3168">
        <v>100</v>
      </c>
      <c r="AN3168">
        <v>5800</v>
      </c>
      <c r="AO3168" t="s">
        <v>118</v>
      </c>
      <c r="AP3168">
        <v>64</v>
      </c>
      <c r="AQ3168">
        <v>-88</v>
      </c>
      <c r="AR3168">
        <v>-640</v>
      </c>
      <c r="AZ3168">
        <v>1200</v>
      </c>
      <c r="BA3168">
        <v>1</v>
      </c>
      <c r="BB3168" t="str">
        <f t="shared" si="1744"/>
        <v xml:space="preserve">N9217B  </v>
      </c>
      <c r="BC3168">
        <v>1</v>
      </c>
      <c r="BE3168">
        <v>0</v>
      </c>
      <c r="BF3168">
        <v>0</v>
      </c>
      <c r="BG3168">
        <v>0</v>
      </c>
      <c r="BH3168">
        <v>5675</v>
      </c>
      <c r="BI3168">
        <v>1</v>
      </c>
      <c r="BJ3168">
        <v>0</v>
      </c>
      <c r="BK3168">
        <v>0</v>
      </c>
      <c r="BL3168">
        <v>0</v>
      </c>
      <c r="BO3168">
        <v>0</v>
      </c>
      <c r="BP3168">
        <v>0</v>
      </c>
      <c r="BW3168" t="str">
        <f t="shared" si="1759"/>
        <v>14:56:48.187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7</v>
      </c>
      <c r="CP3168" t="s">
        <v>119</v>
      </c>
      <c r="CQ3168">
        <v>285</v>
      </c>
      <c r="CR3168">
        <v>0</v>
      </c>
      <c r="CW3168">
        <v>8875638</v>
      </c>
      <c r="CY3168">
        <v>0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25">
      <c r="A3169" t="str">
        <f t="shared" si="1756"/>
        <v>06/05/2020 14:56:42.543</v>
      </c>
      <c r="C3169" t="str">
        <f t="shared" si="1724"/>
        <v>FFDFD3C0</v>
      </c>
      <c r="D3169" t="s">
        <v>148</v>
      </c>
      <c r="E3169">
        <v>11</v>
      </c>
      <c r="H3169">
        <v>53</v>
      </c>
      <c r="I3169" t="s">
        <v>364</v>
      </c>
      <c r="J3169" t="s">
        <v>150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757"/>
        <v>14:56:48.180</v>
      </c>
      <c r="T3169" t="str">
        <f t="shared" si="1758"/>
        <v>14:56:47.880</v>
      </c>
      <c r="U3169" t="str">
        <f t="shared" si="1743"/>
        <v>ACC530</v>
      </c>
      <c r="V3169">
        <v>0</v>
      </c>
      <c r="W3169">
        <v>0</v>
      </c>
      <c r="X3169">
        <v>1</v>
      </c>
      <c r="Z3169">
        <v>0</v>
      </c>
      <c r="AA3169">
        <v>9</v>
      </c>
      <c r="AB3169">
        <v>3</v>
      </c>
      <c r="AC3169">
        <v>0</v>
      </c>
      <c r="AD3169">
        <v>9</v>
      </c>
      <c r="AE3169">
        <v>0</v>
      </c>
      <c r="AF3169">
        <v>3</v>
      </c>
      <c r="AG3169">
        <v>1</v>
      </c>
      <c r="AH3169">
        <v>0</v>
      </c>
      <c r="AI3169" t="s">
        <v>1056</v>
      </c>
      <c r="AJ3169">
        <v>34.100017999999999</v>
      </c>
      <c r="AK3169" t="s">
        <v>1057</v>
      </c>
      <c r="AL3169">
        <v>-117.046001</v>
      </c>
      <c r="AM3169">
        <v>100</v>
      </c>
      <c r="AN3169">
        <v>5800</v>
      </c>
      <c r="AO3169" t="s">
        <v>118</v>
      </c>
      <c r="AP3169">
        <v>64</v>
      </c>
      <c r="AQ3169">
        <v>-88</v>
      </c>
      <c r="AR3169">
        <v>-640</v>
      </c>
      <c r="AZ3169">
        <v>1200</v>
      </c>
      <c r="BA3169">
        <v>1</v>
      </c>
      <c r="BB3169" t="str">
        <f t="shared" si="1744"/>
        <v xml:space="preserve">N9217B  </v>
      </c>
      <c r="BC3169">
        <v>1</v>
      </c>
      <c r="BE3169">
        <v>0</v>
      </c>
      <c r="BF3169">
        <v>0</v>
      </c>
      <c r="BG3169">
        <v>0</v>
      </c>
      <c r="BH3169">
        <v>5675</v>
      </c>
      <c r="BI3169">
        <v>1</v>
      </c>
      <c r="BJ3169">
        <v>0</v>
      </c>
      <c r="BK3169">
        <v>0</v>
      </c>
      <c r="BL3169">
        <v>0</v>
      </c>
      <c r="BO3169">
        <v>0</v>
      </c>
      <c r="BP3169">
        <v>0</v>
      </c>
      <c r="BW3169" t="str">
        <f t="shared" si="1759"/>
        <v>14:56:48.187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7</v>
      </c>
      <c r="CP3169" t="s">
        <v>119</v>
      </c>
      <c r="CQ3169">
        <v>285</v>
      </c>
      <c r="CR3169">
        <v>0</v>
      </c>
      <c r="CW3169">
        <v>8875638</v>
      </c>
      <c r="CY3169">
        <v>0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25">
      <c r="A3170" t="str">
        <f t="shared" si="1756"/>
        <v>06/05/2020 14:56:42.543</v>
      </c>
      <c r="C3170" t="str">
        <f t="shared" si="1724"/>
        <v>FFDFD3C0</v>
      </c>
      <c r="D3170" t="s">
        <v>151</v>
      </c>
      <c r="E3170">
        <v>8</v>
      </c>
      <c r="H3170">
        <v>225</v>
      </c>
      <c r="I3170" t="s">
        <v>353</v>
      </c>
      <c r="J3170" t="s">
        <v>150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si="1757"/>
        <v>14:56:48.180</v>
      </c>
      <c r="T3170" t="str">
        <f t="shared" si="1758"/>
        <v>14:56:47.880</v>
      </c>
      <c r="U3170" t="str">
        <f t="shared" si="1743"/>
        <v>ACC530</v>
      </c>
      <c r="V3170">
        <v>0</v>
      </c>
      <c r="W3170">
        <v>0</v>
      </c>
      <c r="X3170">
        <v>1</v>
      </c>
      <c r="Z3170">
        <v>0</v>
      </c>
      <c r="AA3170">
        <v>9</v>
      </c>
      <c r="AB3170">
        <v>3</v>
      </c>
      <c r="AC3170">
        <v>0</v>
      </c>
      <c r="AD3170">
        <v>9</v>
      </c>
      <c r="AE3170">
        <v>0</v>
      </c>
      <c r="AF3170">
        <v>3</v>
      </c>
      <c r="AG3170">
        <v>1</v>
      </c>
      <c r="AH3170">
        <v>0</v>
      </c>
      <c r="AI3170" t="s">
        <v>1056</v>
      </c>
      <c r="AJ3170">
        <v>34.100017999999999</v>
      </c>
      <c r="AK3170" t="s">
        <v>1057</v>
      </c>
      <c r="AL3170">
        <v>-117.046001</v>
      </c>
      <c r="AM3170">
        <v>100</v>
      </c>
      <c r="AN3170">
        <v>5800</v>
      </c>
      <c r="AO3170" t="s">
        <v>118</v>
      </c>
      <c r="AP3170">
        <v>64</v>
      </c>
      <c r="AQ3170">
        <v>-88</v>
      </c>
      <c r="AR3170">
        <v>-640</v>
      </c>
      <c r="AZ3170">
        <v>1200</v>
      </c>
      <c r="BA3170">
        <v>1</v>
      </c>
      <c r="BB3170" t="str">
        <f t="shared" si="1744"/>
        <v xml:space="preserve">N9217B  </v>
      </c>
      <c r="BC3170">
        <v>1</v>
      </c>
      <c r="BE3170">
        <v>0</v>
      </c>
      <c r="BF3170">
        <v>0</v>
      </c>
      <c r="BG3170">
        <v>0</v>
      </c>
      <c r="BH3170">
        <v>5675</v>
      </c>
      <c r="BI3170">
        <v>1</v>
      </c>
      <c r="BJ3170">
        <v>0</v>
      </c>
      <c r="BK3170">
        <v>0</v>
      </c>
      <c r="BL3170">
        <v>0</v>
      </c>
      <c r="BO3170">
        <v>0</v>
      </c>
      <c r="BP3170">
        <v>0</v>
      </c>
      <c r="BW3170" t="str">
        <f t="shared" si="1759"/>
        <v>14:56:48.187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119</v>
      </c>
      <c r="CQ3170">
        <v>285</v>
      </c>
      <c r="CR3170">
        <v>0</v>
      </c>
      <c r="CW3170">
        <v>8875638</v>
      </c>
      <c r="CY3170">
        <v>0</v>
      </c>
      <c r="CZ3170">
        <v>0</v>
      </c>
      <c r="DA3170">
        <v>1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25">
      <c r="A3171" t="str">
        <f t="shared" si="1756"/>
        <v>06/05/2020 14:56:42.543</v>
      </c>
      <c r="C3171" t="str">
        <f t="shared" ref="C3171:C3234" si="1760">"FFDFD3C0"</f>
        <v>FFDFD3C0</v>
      </c>
      <c r="D3171" t="s">
        <v>148</v>
      </c>
      <c r="E3171">
        <v>8</v>
      </c>
      <c r="H3171">
        <v>50</v>
      </c>
      <c r="I3171" t="s">
        <v>149</v>
      </c>
      <c r="J3171" t="s">
        <v>150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si="1757"/>
        <v>14:56:48.180</v>
      </c>
      <c r="T3171" t="str">
        <f t="shared" si="1758"/>
        <v>14:56:47.880</v>
      </c>
      <c r="U3171" t="str">
        <f t="shared" si="1743"/>
        <v>ACC530</v>
      </c>
      <c r="V3171">
        <v>0</v>
      </c>
      <c r="W3171">
        <v>0</v>
      </c>
      <c r="X3171">
        <v>1</v>
      </c>
      <c r="Z3171">
        <v>0</v>
      </c>
      <c r="AA3171">
        <v>9</v>
      </c>
      <c r="AB3171">
        <v>3</v>
      </c>
      <c r="AC3171">
        <v>0</v>
      </c>
      <c r="AD3171">
        <v>9</v>
      </c>
      <c r="AE3171">
        <v>0</v>
      </c>
      <c r="AF3171">
        <v>3</v>
      </c>
      <c r="AG3171">
        <v>1</v>
      </c>
      <c r="AH3171">
        <v>0</v>
      </c>
      <c r="AI3171" t="s">
        <v>1056</v>
      </c>
      <c r="AJ3171">
        <v>34.100017999999999</v>
      </c>
      <c r="AK3171" t="s">
        <v>1057</v>
      </c>
      <c r="AL3171">
        <v>-117.046001</v>
      </c>
      <c r="AM3171">
        <v>100</v>
      </c>
      <c r="AN3171">
        <v>5800</v>
      </c>
      <c r="AO3171" t="s">
        <v>118</v>
      </c>
      <c r="AP3171">
        <v>64</v>
      </c>
      <c r="AQ3171">
        <v>-88</v>
      </c>
      <c r="AR3171">
        <v>-640</v>
      </c>
      <c r="AZ3171">
        <v>1200</v>
      </c>
      <c r="BA3171">
        <v>1</v>
      </c>
      <c r="BB3171" t="str">
        <f t="shared" si="1744"/>
        <v xml:space="preserve">N9217B  </v>
      </c>
      <c r="BC3171">
        <v>1</v>
      </c>
      <c r="BE3171">
        <v>0</v>
      </c>
      <c r="BF3171">
        <v>0</v>
      </c>
      <c r="BG3171">
        <v>0</v>
      </c>
      <c r="BH3171">
        <v>5675</v>
      </c>
      <c r="BI3171">
        <v>1</v>
      </c>
      <c r="BJ3171">
        <v>0</v>
      </c>
      <c r="BK3171">
        <v>0</v>
      </c>
      <c r="BL3171">
        <v>0</v>
      </c>
      <c r="BO3171">
        <v>0</v>
      </c>
      <c r="BP3171">
        <v>0</v>
      </c>
      <c r="BW3171" t="str">
        <f t="shared" si="1759"/>
        <v>14:56:48.187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285</v>
      </c>
      <c r="CR3171">
        <v>0</v>
      </c>
      <c r="CW3171">
        <v>8875638</v>
      </c>
      <c r="CY3171">
        <v>0</v>
      </c>
      <c r="CZ3171">
        <v>0</v>
      </c>
      <c r="DA3171">
        <v>1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25">
      <c r="A3172" t="str">
        <f t="shared" ref="A3172:A3178" si="1761">"06/05/2020 14:56:43.615"</f>
        <v>06/05/2020 14:56:43.615</v>
      </c>
      <c r="C3172" t="str">
        <f t="shared" si="1760"/>
        <v>FFDFD3C0</v>
      </c>
      <c r="D3172" t="s">
        <v>141</v>
      </c>
      <c r="E3172">
        <v>20</v>
      </c>
      <c r="F3172">
        <v>1020</v>
      </c>
      <c r="G3172" t="s">
        <v>114</v>
      </c>
      <c r="J3172" t="s">
        <v>142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ref="S3172:T3178" si="1762">"14:56:49.250"</f>
        <v>14:56:49.250</v>
      </c>
      <c r="T3172" t="str">
        <f t="shared" si="1762"/>
        <v>14:56:49.250</v>
      </c>
      <c r="U3172" t="str">
        <f t="shared" si="1743"/>
        <v>ACC530</v>
      </c>
      <c r="V3172">
        <v>0</v>
      </c>
      <c r="W3172">
        <v>0</v>
      </c>
      <c r="X3172">
        <v>1</v>
      </c>
      <c r="Z3172">
        <v>0</v>
      </c>
      <c r="AA3172">
        <v>9</v>
      </c>
      <c r="AB3172">
        <v>3</v>
      </c>
      <c r="AC3172">
        <v>0</v>
      </c>
      <c r="AD3172">
        <v>9</v>
      </c>
      <c r="AE3172">
        <v>0</v>
      </c>
      <c r="AF3172">
        <v>3</v>
      </c>
      <c r="AG3172">
        <v>1</v>
      </c>
      <c r="AH3172">
        <v>0</v>
      </c>
      <c r="AI3172" t="s">
        <v>1058</v>
      </c>
      <c r="AJ3172">
        <v>34.099587999999997</v>
      </c>
      <c r="AK3172" t="s">
        <v>1059</v>
      </c>
      <c r="AL3172">
        <v>-117.045593</v>
      </c>
      <c r="AM3172">
        <v>100</v>
      </c>
      <c r="AN3172">
        <v>5800</v>
      </c>
      <c r="AO3172" t="s">
        <v>118</v>
      </c>
      <c r="AP3172">
        <v>64</v>
      </c>
      <c r="AQ3172">
        <v>-87</v>
      </c>
      <c r="AR3172">
        <v>-640</v>
      </c>
      <c r="AZ3172">
        <v>1200</v>
      </c>
      <c r="BA3172">
        <v>1</v>
      </c>
      <c r="BB3172" t="str">
        <f t="shared" si="1744"/>
        <v xml:space="preserve">N9217B  </v>
      </c>
      <c r="BC3172">
        <v>1</v>
      </c>
      <c r="BE3172">
        <v>0</v>
      </c>
      <c r="BF3172">
        <v>0</v>
      </c>
      <c r="BG3172">
        <v>0</v>
      </c>
      <c r="BH3172">
        <v>5650</v>
      </c>
      <c r="BI3172">
        <v>1</v>
      </c>
      <c r="BJ3172">
        <v>0</v>
      </c>
      <c r="BK3172">
        <v>0</v>
      </c>
      <c r="BL3172">
        <v>0</v>
      </c>
      <c r="BO3172">
        <v>0</v>
      </c>
      <c r="BP3172">
        <v>0</v>
      </c>
      <c r="BW3172" t="str">
        <f t="shared" ref="BW3172:BW3178" si="1763">"14:56:49.252"</f>
        <v>14:56:49.252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7</v>
      </c>
      <c r="CP3172" t="s">
        <v>119</v>
      </c>
      <c r="CQ3172">
        <v>285</v>
      </c>
      <c r="CR3172">
        <v>0</v>
      </c>
      <c r="CW3172">
        <v>8875735</v>
      </c>
      <c r="CY3172">
        <v>0</v>
      </c>
      <c r="CZ3172">
        <v>0</v>
      </c>
      <c r="DA3172">
        <v>0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25">
      <c r="A3173" t="str">
        <f t="shared" si="1761"/>
        <v>06/05/2020 14:56:43.615</v>
      </c>
      <c r="C3173" t="str">
        <f t="shared" si="1760"/>
        <v>FFDFD3C0</v>
      </c>
      <c r="D3173" t="s">
        <v>151</v>
      </c>
      <c r="E3173">
        <v>9</v>
      </c>
      <c r="H3173">
        <v>226</v>
      </c>
      <c r="I3173" t="s">
        <v>152</v>
      </c>
      <c r="J3173" t="s">
        <v>150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si="1762"/>
        <v>14:56:49.250</v>
      </c>
      <c r="T3173" t="str">
        <f t="shared" si="1762"/>
        <v>14:56:49.250</v>
      </c>
      <c r="U3173" t="str">
        <f t="shared" si="1743"/>
        <v>ACC530</v>
      </c>
      <c r="V3173">
        <v>0</v>
      </c>
      <c r="W3173">
        <v>0</v>
      </c>
      <c r="X3173">
        <v>1</v>
      </c>
      <c r="Z3173">
        <v>0</v>
      </c>
      <c r="AA3173">
        <v>9</v>
      </c>
      <c r="AB3173">
        <v>3</v>
      </c>
      <c r="AC3173">
        <v>0</v>
      </c>
      <c r="AD3173">
        <v>9</v>
      </c>
      <c r="AE3173">
        <v>0</v>
      </c>
      <c r="AF3173">
        <v>3</v>
      </c>
      <c r="AG3173">
        <v>1</v>
      </c>
      <c r="AH3173">
        <v>0</v>
      </c>
      <c r="AI3173" t="s">
        <v>1058</v>
      </c>
      <c r="AJ3173">
        <v>34.099587999999997</v>
      </c>
      <c r="AK3173" t="s">
        <v>1059</v>
      </c>
      <c r="AL3173">
        <v>-117.045593</v>
      </c>
      <c r="AM3173">
        <v>100</v>
      </c>
      <c r="AN3173">
        <v>5800</v>
      </c>
      <c r="AO3173" t="s">
        <v>118</v>
      </c>
      <c r="AP3173">
        <v>64</v>
      </c>
      <c r="AQ3173">
        <v>-87</v>
      </c>
      <c r="AR3173">
        <v>-640</v>
      </c>
      <c r="AZ3173">
        <v>1200</v>
      </c>
      <c r="BA3173">
        <v>1</v>
      </c>
      <c r="BB3173" t="str">
        <f t="shared" si="1744"/>
        <v xml:space="preserve">N9217B  </v>
      </c>
      <c r="BC3173">
        <v>1</v>
      </c>
      <c r="BE3173">
        <v>0</v>
      </c>
      <c r="BF3173">
        <v>0</v>
      </c>
      <c r="BG3173">
        <v>0</v>
      </c>
      <c r="BH3173">
        <v>5650</v>
      </c>
      <c r="BI3173">
        <v>1</v>
      </c>
      <c r="BJ3173">
        <v>0</v>
      </c>
      <c r="BK3173">
        <v>0</v>
      </c>
      <c r="BL3173">
        <v>0</v>
      </c>
      <c r="BO3173">
        <v>0</v>
      </c>
      <c r="BP3173">
        <v>0</v>
      </c>
      <c r="BW3173" t="str">
        <f t="shared" si="1763"/>
        <v>14:56:49.252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285</v>
      </c>
      <c r="CR3173">
        <v>0</v>
      </c>
      <c r="CW3173">
        <v>8875735</v>
      </c>
      <c r="CY3173">
        <v>0</v>
      </c>
      <c r="CZ3173">
        <v>0</v>
      </c>
      <c r="DA3173">
        <v>1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25">
      <c r="A3174" t="str">
        <f t="shared" si="1761"/>
        <v>06/05/2020 14:56:43.615</v>
      </c>
      <c r="C3174" t="str">
        <f t="shared" si="1760"/>
        <v>FFDFD3C0</v>
      </c>
      <c r="D3174" t="s">
        <v>113</v>
      </c>
      <c r="E3174">
        <v>3</v>
      </c>
      <c r="H3174">
        <v>166</v>
      </c>
      <c r="I3174" t="s">
        <v>114</v>
      </c>
      <c r="J3174" t="s">
        <v>115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762"/>
        <v>14:56:49.250</v>
      </c>
      <c r="T3174" t="str">
        <f t="shared" si="1762"/>
        <v>14:56:49.250</v>
      </c>
      <c r="U3174" t="str">
        <f t="shared" si="1743"/>
        <v>ACC530</v>
      </c>
      <c r="V3174">
        <v>0</v>
      </c>
      <c r="W3174">
        <v>0</v>
      </c>
      <c r="X3174">
        <v>1</v>
      </c>
      <c r="Z3174">
        <v>0</v>
      </c>
      <c r="AA3174">
        <v>9</v>
      </c>
      <c r="AB3174">
        <v>3</v>
      </c>
      <c r="AC3174">
        <v>0</v>
      </c>
      <c r="AD3174">
        <v>9</v>
      </c>
      <c r="AE3174">
        <v>0</v>
      </c>
      <c r="AF3174">
        <v>3</v>
      </c>
      <c r="AG3174">
        <v>1</v>
      </c>
      <c r="AH3174">
        <v>0</v>
      </c>
      <c r="AI3174" t="s">
        <v>1058</v>
      </c>
      <c r="AJ3174">
        <v>34.099587999999997</v>
      </c>
      <c r="AK3174" t="s">
        <v>1059</v>
      </c>
      <c r="AL3174">
        <v>-117.045593</v>
      </c>
      <c r="AM3174">
        <v>100</v>
      </c>
      <c r="AN3174">
        <v>5800</v>
      </c>
      <c r="AO3174" t="s">
        <v>118</v>
      </c>
      <c r="AP3174">
        <v>64</v>
      </c>
      <c r="AQ3174">
        <v>-87</v>
      </c>
      <c r="AR3174">
        <v>-640</v>
      </c>
      <c r="AZ3174">
        <v>1200</v>
      </c>
      <c r="BA3174">
        <v>1</v>
      </c>
      <c r="BB3174" t="str">
        <f t="shared" si="1744"/>
        <v xml:space="preserve">N9217B  </v>
      </c>
      <c r="BC3174">
        <v>1</v>
      </c>
      <c r="BE3174">
        <v>0</v>
      </c>
      <c r="BF3174">
        <v>0</v>
      </c>
      <c r="BG3174">
        <v>0</v>
      </c>
      <c r="BH3174">
        <v>5650</v>
      </c>
      <c r="BI3174">
        <v>1</v>
      </c>
      <c r="BJ3174">
        <v>0</v>
      </c>
      <c r="BK3174">
        <v>0</v>
      </c>
      <c r="BL3174">
        <v>0</v>
      </c>
      <c r="BO3174">
        <v>0</v>
      </c>
      <c r="BP3174">
        <v>0</v>
      </c>
      <c r="BW3174" t="str">
        <f t="shared" si="1763"/>
        <v>14:56:49.252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7</v>
      </c>
      <c r="CP3174" t="s">
        <v>119</v>
      </c>
      <c r="CQ3174">
        <v>285</v>
      </c>
      <c r="CR3174">
        <v>0</v>
      </c>
      <c r="CW3174">
        <v>8875735</v>
      </c>
      <c r="CY3174">
        <v>0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25">
      <c r="A3175" t="str">
        <f t="shared" si="1761"/>
        <v>06/05/2020 14:56:43.615</v>
      </c>
      <c r="C3175" t="str">
        <f t="shared" si="1760"/>
        <v>FFDFD3C0</v>
      </c>
      <c r="D3175" t="s">
        <v>148</v>
      </c>
      <c r="E3175">
        <v>11</v>
      </c>
      <c r="H3175">
        <v>53</v>
      </c>
      <c r="I3175" t="s">
        <v>364</v>
      </c>
      <c r="J3175" t="s">
        <v>150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762"/>
        <v>14:56:49.250</v>
      </c>
      <c r="T3175" t="str">
        <f t="shared" si="1762"/>
        <v>14:56:49.250</v>
      </c>
      <c r="U3175" t="str">
        <f t="shared" si="1743"/>
        <v>ACC530</v>
      </c>
      <c r="V3175">
        <v>0</v>
      </c>
      <c r="W3175">
        <v>0</v>
      </c>
      <c r="X3175">
        <v>1</v>
      </c>
      <c r="Z3175">
        <v>0</v>
      </c>
      <c r="AA3175">
        <v>9</v>
      </c>
      <c r="AB3175">
        <v>3</v>
      </c>
      <c r="AC3175">
        <v>0</v>
      </c>
      <c r="AD3175">
        <v>9</v>
      </c>
      <c r="AE3175">
        <v>0</v>
      </c>
      <c r="AF3175">
        <v>3</v>
      </c>
      <c r="AG3175">
        <v>1</v>
      </c>
      <c r="AH3175">
        <v>0</v>
      </c>
      <c r="AI3175" t="s">
        <v>1058</v>
      </c>
      <c r="AJ3175">
        <v>34.099587999999997</v>
      </c>
      <c r="AK3175" t="s">
        <v>1059</v>
      </c>
      <c r="AL3175">
        <v>-117.045593</v>
      </c>
      <c r="AM3175">
        <v>100</v>
      </c>
      <c r="AN3175">
        <v>5800</v>
      </c>
      <c r="AO3175" t="s">
        <v>118</v>
      </c>
      <c r="AP3175">
        <v>64</v>
      </c>
      <c r="AQ3175">
        <v>-87</v>
      </c>
      <c r="AR3175">
        <v>-640</v>
      </c>
      <c r="AZ3175">
        <v>1200</v>
      </c>
      <c r="BA3175">
        <v>1</v>
      </c>
      <c r="BB3175" t="str">
        <f t="shared" si="1744"/>
        <v xml:space="preserve">N9217B  </v>
      </c>
      <c r="BC3175">
        <v>1</v>
      </c>
      <c r="BE3175">
        <v>0</v>
      </c>
      <c r="BF3175">
        <v>0</v>
      </c>
      <c r="BG3175">
        <v>0</v>
      </c>
      <c r="BH3175">
        <v>5650</v>
      </c>
      <c r="BI3175">
        <v>1</v>
      </c>
      <c r="BJ3175">
        <v>0</v>
      </c>
      <c r="BK3175">
        <v>0</v>
      </c>
      <c r="BL3175">
        <v>0</v>
      </c>
      <c r="BO3175">
        <v>0</v>
      </c>
      <c r="BP3175">
        <v>0</v>
      </c>
      <c r="BW3175" t="str">
        <f t="shared" si="1763"/>
        <v>14:56:49.252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7</v>
      </c>
      <c r="CP3175" t="s">
        <v>119</v>
      </c>
      <c r="CQ3175">
        <v>285</v>
      </c>
      <c r="CR3175">
        <v>0</v>
      </c>
      <c r="CW3175">
        <v>8875735</v>
      </c>
      <c r="CY3175">
        <v>0</v>
      </c>
      <c r="CZ3175">
        <v>0</v>
      </c>
      <c r="DA3175">
        <v>1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25">
      <c r="A3176" t="str">
        <f t="shared" si="1761"/>
        <v>06/05/2020 14:56:43.615</v>
      </c>
      <c r="C3176" t="str">
        <f t="shared" si="1760"/>
        <v>FFDFD3C0</v>
      </c>
      <c r="D3176" t="s">
        <v>151</v>
      </c>
      <c r="E3176">
        <v>8</v>
      </c>
      <c r="H3176">
        <v>225</v>
      </c>
      <c r="I3176" t="s">
        <v>353</v>
      </c>
      <c r="J3176" t="s">
        <v>150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762"/>
        <v>14:56:49.250</v>
      </c>
      <c r="T3176" t="str">
        <f t="shared" si="1762"/>
        <v>14:56:49.250</v>
      </c>
      <c r="U3176" t="str">
        <f t="shared" si="1743"/>
        <v>ACC530</v>
      </c>
      <c r="V3176">
        <v>0</v>
      </c>
      <c r="W3176">
        <v>0</v>
      </c>
      <c r="X3176">
        <v>1</v>
      </c>
      <c r="Z3176">
        <v>0</v>
      </c>
      <c r="AA3176">
        <v>9</v>
      </c>
      <c r="AB3176">
        <v>3</v>
      </c>
      <c r="AC3176">
        <v>0</v>
      </c>
      <c r="AD3176">
        <v>9</v>
      </c>
      <c r="AE3176">
        <v>0</v>
      </c>
      <c r="AF3176">
        <v>3</v>
      </c>
      <c r="AG3176">
        <v>1</v>
      </c>
      <c r="AH3176">
        <v>0</v>
      </c>
      <c r="AI3176" t="s">
        <v>1058</v>
      </c>
      <c r="AJ3176">
        <v>34.099587999999997</v>
      </c>
      <c r="AK3176" t="s">
        <v>1059</v>
      </c>
      <c r="AL3176">
        <v>-117.045593</v>
      </c>
      <c r="AM3176">
        <v>100</v>
      </c>
      <c r="AN3176">
        <v>5800</v>
      </c>
      <c r="AO3176" t="s">
        <v>118</v>
      </c>
      <c r="AP3176">
        <v>64</v>
      </c>
      <c r="AQ3176">
        <v>-87</v>
      </c>
      <c r="AR3176">
        <v>-640</v>
      </c>
      <c r="AZ3176">
        <v>1200</v>
      </c>
      <c r="BA3176">
        <v>1</v>
      </c>
      <c r="BB3176" t="str">
        <f t="shared" si="1744"/>
        <v xml:space="preserve">N9217B  </v>
      </c>
      <c r="BC3176">
        <v>1</v>
      </c>
      <c r="BE3176">
        <v>0</v>
      </c>
      <c r="BF3176">
        <v>0</v>
      </c>
      <c r="BG3176">
        <v>0</v>
      </c>
      <c r="BH3176">
        <v>5650</v>
      </c>
      <c r="BI3176">
        <v>1</v>
      </c>
      <c r="BJ3176">
        <v>0</v>
      </c>
      <c r="BK3176">
        <v>0</v>
      </c>
      <c r="BL3176">
        <v>0</v>
      </c>
      <c r="BO3176">
        <v>0</v>
      </c>
      <c r="BP3176">
        <v>0</v>
      </c>
      <c r="BW3176" t="str">
        <f t="shared" si="1763"/>
        <v>14:56:49.252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7</v>
      </c>
      <c r="CP3176" t="s">
        <v>119</v>
      </c>
      <c r="CQ3176">
        <v>285</v>
      </c>
      <c r="CR3176">
        <v>0</v>
      </c>
      <c r="CW3176">
        <v>8875735</v>
      </c>
      <c r="CY3176">
        <v>0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25">
      <c r="A3177" t="str">
        <f t="shared" si="1761"/>
        <v>06/05/2020 14:56:43.615</v>
      </c>
      <c r="C3177" t="str">
        <f t="shared" si="1760"/>
        <v>FFDFD3C0</v>
      </c>
      <c r="D3177" t="s">
        <v>148</v>
      </c>
      <c r="E3177">
        <v>8</v>
      </c>
      <c r="H3177">
        <v>50</v>
      </c>
      <c r="I3177" t="s">
        <v>149</v>
      </c>
      <c r="J3177" t="s">
        <v>150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si="1762"/>
        <v>14:56:49.250</v>
      </c>
      <c r="T3177" t="str">
        <f t="shared" si="1762"/>
        <v>14:56:49.250</v>
      </c>
      <c r="U3177" t="str">
        <f t="shared" si="1743"/>
        <v>ACC530</v>
      </c>
      <c r="V3177">
        <v>0</v>
      </c>
      <c r="W3177">
        <v>0</v>
      </c>
      <c r="X3177">
        <v>1</v>
      </c>
      <c r="Z3177">
        <v>0</v>
      </c>
      <c r="AA3177">
        <v>9</v>
      </c>
      <c r="AB3177">
        <v>3</v>
      </c>
      <c r="AC3177">
        <v>0</v>
      </c>
      <c r="AD3177">
        <v>9</v>
      </c>
      <c r="AE3177">
        <v>0</v>
      </c>
      <c r="AF3177">
        <v>3</v>
      </c>
      <c r="AG3177">
        <v>1</v>
      </c>
      <c r="AH3177">
        <v>0</v>
      </c>
      <c r="AI3177" t="s">
        <v>1058</v>
      </c>
      <c r="AJ3177">
        <v>34.099587999999997</v>
      </c>
      <c r="AK3177" t="s">
        <v>1059</v>
      </c>
      <c r="AL3177">
        <v>-117.045593</v>
      </c>
      <c r="AM3177">
        <v>100</v>
      </c>
      <c r="AN3177">
        <v>5800</v>
      </c>
      <c r="AO3177" t="s">
        <v>118</v>
      </c>
      <c r="AP3177">
        <v>64</v>
      </c>
      <c r="AQ3177">
        <v>-87</v>
      </c>
      <c r="AR3177">
        <v>-640</v>
      </c>
      <c r="AZ3177">
        <v>1200</v>
      </c>
      <c r="BA3177">
        <v>1</v>
      </c>
      <c r="BB3177" t="str">
        <f t="shared" si="1744"/>
        <v xml:space="preserve">N9217B  </v>
      </c>
      <c r="BC3177">
        <v>1</v>
      </c>
      <c r="BE3177">
        <v>0</v>
      </c>
      <c r="BF3177">
        <v>0</v>
      </c>
      <c r="BG3177">
        <v>0</v>
      </c>
      <c r="BH3177">
        <v>5650</v>
      </c>
      <c r="BI3177">
        <v>1</v>
      </c>
      <c r="BJ3177">
        <v>0</v>
      </c>
      <c r="BK3177">
        <v>0</v>
      </c>
      <c r="BL3177">
        <v>0</v>
      </c>
      <c r="BO3177">
        <v>0</v>
      </c>
      <c r="BP3177">
        <v>0</v>
      </c>
      <c r="BW3177" t="str">
        <f t="shared" si="1763"/>
        <v>14:56:49.252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7</v>
      </c>
      <c r="CP3177" t="s">
        <v>119</v>
      </c>
      <c r="CQ3177">
        <v>285</v>
      </c>
      <c r="CR3177">
        <v>0</v>
      </c>
      <c r="CW3177">
        <v>8875735</v>
      </c>
      <c r="CY3177">
        <v>0</v>
      </c>
      <c r="CZ3177">
        <v>0</v>
      </c>
      <c r="DA3177">
        <v>1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25">
      <c r="A3178" t="str">
        <f t="shared" si="1761"/>
        <v>06/05/2020 14:56:43.615</v>
      </c>
      <c r="C3178" t="str">
        <f t="shared" si="1760"/>
        <v>FFDFD3C0</v>
      </c>
      <c r="D3178" t="s">
        <v>134</v>
      </c>
      <c r="E3178">
        <v>7</v>
      </c>
      <c r="F3178">
        <v>2007</v>
      </c>
      <c r="G3178" t="s">
        <v>135</v>
      </c>
      <c r="J3178" t="s">
        <v>136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762"/>
        <v>14:56:49.250</v>
      </c>
      <c r="T3178" t="str">
        <f t="shared" si="1762"/>
        <v>14:56:49.250</v>
      </c>
      <c r="U3178" t="str">
        <f t="shared" si="1743"/>
        <v>ACC530</v>
      </c>
      <c r="V3178">
        <v>0</v>
      </c>
      <c r="W3178">
        <v>0</v>
      </c>
      <c r="X3178">
        <v>1</v>
      </c>
      <c r="Z3178">
        <v>0</v>
      </c>
      <c r="AA3178">
        <v>9</v>
      </c>
      <c r="AB3178">
        <v>3</v>
      </c>
      <c r="AC3178">
        <v>0</v>
      </c>
      <c r="AD3178">
        <v>9</v>
      </c>
      <c r="AE3178">
        <v>0</v>
      </c>
      <c r="AF3178">
        <v>3</v>
      </c>
      <c r="AG3178">
        <v>1</v>
      </c>
      <c r="AH3178">
        <v>0</v>
      </c>
      <c r="AI3178" t="s">
        <v>1058</v>
      </c>
      <c r="AJ3178">
        <v>34.099587999999997</v>
      </c>
      <c r="AK3178" t="s">
        <v>1059</v>
      </c>
      <c r="AL3178">
        <v>-117.045593</v>
      </c>
      <c r="AM3178">
        <v>100</v>
      </c>
      <c r="AN3178">
        <v>5800</v>
      </c>
      <c r="AO3178" t="s">
        <v>118</v>
      </c>
      <c r="AP3178">
        <v>64</v>
      </c>
      <c r="AQ3178">
        <v>-87</v>
      </c>
      <c r="AR3178">
        <v>-640</v>
      </c>
      <c r="AZ3178">
        <v>1200</v>
      </c>
      <c r="BA3178">
        <v>1</v>
      </c>
      <c r="BB3178" t="str">
        <f t="shared" si="1744"/>
        <v xml:space="preserve">N9217B  </v>
      </c>
      <c r="BC3178">
        <v>1</v>
      </c>
      <c r="BE3178">
        <v>0</v>
      </c>
      <c r="BF3178">
        <v>0</v>
      </c>
      <c r="BG3178">
        <v>0</v>
      </c>
      <c r="BH3178">
        <v>5650</v>
      </c>
      <c r="BI3178">
        <v>1</v>
      </c>
      <c r="BJ3178">
        <v>0</v>
      </c>
      <c r="BK3178">
        <v>0</v>
      </c>
      <c r="BL3178">
        <v>0</v>
      </c>
      <c r="BO3178">
        <v>0</v>
      </c>
      <c r="BP3178">
        <v>0</v>
      </c>
      <c r="BW3178" t="str">
        <f t="shared" si="1763"/>
        <v>14:56:49.252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7</v>
      </c>
      <c r="CP3178" t="s">
        <v>119</v>
      </c>
      <c r="CQ3178">
        <v>285</v>
      </c>
      <c r="CR3178">
        <v>0</v>
      </c>
      <c r="CW3178">
        <v>8875735</v>
      </c>
      <c r="CY3178">
        <v>0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25">
      <c r="A3179" t="str">
        <f t="shared" ref="A3179:A3185" si="1764">"06/05/2020 14:56:44.547"</f>
        <v>06/05/2020 14:56:44.547</v>
      </c>
      <c r="C3179" t="str">
        <f t="shared" si="1760"/>
        <v>FFDFD3C0</v>
      </c>
      <c r="D3179" t="s">
        <v>148</v>
      </c>
      <c r="E3179">
        <v>11</v>
      </c>
      <c r="H3179">
        <v>53</v>
      </c>
      <c r="I3179" t="s">
        <v>364</v>
      </c>
      <c r="J3179" t="s">
        <v>150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ref="S3179:S3185" si="1765">"14:56:50.180"</f>
        <v>14:56:50.180</v>
      </c>
      <c r="T3179" t="str">
        <f t="shared" ref="T3179:T3185" si="1766">"14:56:49.780"</f>
        <v>14:56:49.780</v>
      </c>
      <c r="U3179" t="str">
        <f t="shared" si="1743"/>
        <v>ACC530</v>
      </c>
      <c r="V3179">
        <v>0</v>
      </c>
      <c r="W3179">
        <v>0</v>
      </c>
      <c r="X3179">
        <v>1</v>
      </c>
      <c r="Z3179">
        <v>0</v>
      </c>
      <c r="AA3179">
        <v>9</v>
      </c>
      <c r="AB3179">
        <v>3</v>
      </c>
      <c r="AC3179">
        <v>0</v>
      </c>
      <c r="AD3179">
        <v>9</v>
      </c>
      <c r="AE3179">
        <v>0</v>
      </c>
      <c r="AF3179">
        <v>3</v>
      </c>
      <c r="AG3179">
        <v>1</v>
      </c>
      <c r="AH3179">
        <v>0</v>
      </c>
      <c r="AI3179" t="s">
        <v>1060</v>
      </c>
      <c r="AJ3179">
        <v>34.099245000000003</v>
      </c>
      <c r="AK3179" t="s">
        <v>1061</v>
      </c>
      <c r="AL3179">
        <v>-117.04525</v>
      </c>
      <c r="AM3179">
        <v>100</v>
      </c>
      <c r="AN3179">
        <v>5800</v>
      </c>
      <c r="AO3179" t="s">
        <v>118</v>
      </c>
      <c r="AP3179">
        <v>64</v>
      </c>
      <c r="AQ3179">
        <v>-87</v>
      </c>
      <c r="AR3179">
        <v>-640</v>
      </c>
      <c r="AZ3179">
        <v>1200</v>
      </c>
      <c r="BA3179">
        <v>1</v>
      </c>
      <c r="BB3179" t="str">
        <f t="shared" si="1744"/>
        <v xml:space="preserve">N9217B  </v>
      </c>
      <c r="BC3179">
        <v>1</v>
      </c>
      <c r="BE3179">
        <v>0</v>
      </c>
      <c r="BF3179">
        <v>0</v>
      </c>
      <c r="BG3179">
        <v>0</v>
      </c>
      <c r="BH3179">
        <v>5650</v>
      </c>
      <c r="BI3179">
        <v>1</v>
      </c>
      <c r="BJ3179">
        <v>0</v>
      </c>
      <c r="BK3179">
        <v>0</v>
      </c>
      <c r="BL3179">
        <v>0</v>
      </c>
      <c r="BO3179">
        <v>0</v>
      </c>
      <c r="BP3179">
        <v>0</v>
      </c>
      <c r="BW3179" t="str">
        <f t="shared" ref="BW3179:BW3185" si="1767">"14:56:50.182"</f>
        <v>14:56:50.182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285</v>
      </c>
      <c r="CR3179">
        <v>0</v>
      </c>
      <c r="CW3179">
        <v>8875818</v>
      </c>
      <c r="CY3179">
        <v>0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25">
      <c r="A3180" t="str">
        <f t="shared" si="1764"/>
        <v>06/05/2020 14:56:44.547</v>
      </c>
      <c r="C3180" t="str">
        <f t="shared" si="1760"/>
        <v>FFDFD3C0</v>
      </c>
      <c r="D3180" t="s">
        <v>151</v>
      </c>
      <c r="E3180">
        <v>8</v>
      </c>
      <c r="H3180">
        <v>225</v>
      </c>
      <c r="I3180" t="s">
        <v>353</v>
      </c>
      <c r="J3180" t="s">
        <v>150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si="1765"/>
        <v>14:56:50.180</v>
      </c>
      <c r="T3180" t="str">
        <f t="shared" si="1766"/>
        <v>14:56:49.780</v>
      </c>
      <c r="U3180" t="str">
        <f t="shared" si="1743"/>
        <v>ACC530</v>
      </c>
      <c r="V3180">
        <v>0</v>
      </c>
      <c r="W3180">
        <v>0</v>
      </c>
      <c r="X3180">
        <v>1</v>
      </c>
      <c r="Z3180">
        <v>0</v>
      </c>
      <c r="AA3180">
        <v>9</v>
      </c>
      <c r="AB3180">
        <v>3</v>
      </c>
      <c r="AC3180">
        <v>0</v>
      </c>
      <c r="AD3180">
        <v>9</v>
      </c>
      <c r="AE3180">
        <v>0</v>
      </c>
      <c r="AF3180">
        <v>3</v>
      </c>
      <c r="AG3180">
        <v>1</v>
      </c>
      <c r="AH3180">
        <v>0</v>
      </c>
      <c r="AI3180" t="s">
        <v>1060</v>
      </c>
      <c r="AJ3180">
        <v>34.099245000000003</v>
      </c>
      <c r="AK3180" t="s">
        <v>1061</v>
      </c>
      <c r="AL3180">
        <v>-117.04525</v>
      </c>
      <c r="AM3180">
        <v>100</v>
      </c>
      <c r="AN3180">
        <v>5800</v>
      </c>
      <c r="AO3180" t="s">
        <v>118</v>
      </c>
      <c r="AP3180">
        <v>64</v>
      </c>
      <c r="AQ3180">
        <v>-87</v>
      </c>
      <c r="AR3180">
        <v>-640</v>
      </c>
      <c r="AZ3180">
        <v>1200</v>
      </c>
      <c r="BA3180">
        <v>1</v>
      </c>
      <c r="BB3180" t="str">
        <f t="shared" si="1744"/>
        <v xml:space="preserve">N9217B  </v>
      </c>
      <c r="BC3180">
        <v>1</v>
      </c>
      <c r="BE3180">
        <v>0</v>
      </c>
      <c r="BF3180">
        <v>0</v>
      </c>
      <c r="BG3180">
        <v>0</v>
      </c>
      <c r="BH3180">
        <v>5650</v>
      </c>
      <c r="BI3180">
        <v>1</v>
      </c>
      <c r="BJ3180">
        <v>0</v>
      </c>
      <c r="BK3180">
        <v>0</v>
      </c>
      <c r="BL3180">
        <v>0</v>
      </c>
      <c r="BO3180">
        <v>0</v>
      </c>
      <c r="BP3180">
        <v>0</v>
      </c>
      <c r="BW3180" t="str">
        <f t="shared" si="1767"/>
        <v>14:56:50.182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285</v>
      </c>
      <c r="CR3180">
        <v>0</v>
      </c>
      <c r="CW3180">
        <v>8875818</v>
      </c>
      <c r="CY3180">
        <v>0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25">
      <c r="A3181" t="str">
        <f t="shared" si="1764"/>
        <v>06/05/2020 14:56:44.547</v>
      </c>
      <c r="C3181" t="str">
        <f t="shared" si="1760"/>
        <v>FFDFD3C0</v>
      </c>
      <c r="D3181" t="s">
        <v>148</v>
      </c>
      <c r="E3181">
        <v>8</v>
      </c>
      <c r="H3181">
        <v>50</v>
      </c>
      <c r="I3181" t="s">
        <v>149</v>
      </c>
      <c r="J3181" t="s">
        <v>150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765"/>
        <v>14:56:50.180</v>
      </c>
      <c r="T3181" t="str">
        <f t="shared" si="1766"/>
        <v>14:56:49.780</v>
      </c>
      <c r="U3181" t="str">
        <f t="shared" si="1743"/>
        <v>ACC530</v>
      </c>
      <c r="V3181">
        <v>0</v>
      </c>
      <c r="W3181">
        <v>0</v>
      </c>
      <c r="X3181">
        <v>1</v>
      </c>
      <c r="Z3181">
        <v>0</v>
      </c>
      <c r="AA3181">
        <v>9</v>
      </c>
      <c r="AB3181">
        <v>3</v>
      </c>
      <c r="AC3181">
        <v>0</v>
      </c>
      <c r="AD3181">
        <v>9</v>
      </c>
      <c r="AE3181">
        <v>0</v>
      </c>
      <c r="AF3181">
        <v>3</v>
      </c>
      <c r="AG3181">
        <v>1</v>
      </c>
      <c r="AH3181">
        <v>0</v>
      </c>
      <c r="AI3181" t="s">
        <v>1060</v>
      </c>
      <c r="AJ3181">
        <v>34.099245000000003</v>
      </c>
      <c r="AK3181" t="s">
        <v>1061</v>
      </c>
      <c r="AL3181">
        <v>-117.04525</v>
      </c>
      <c r="AM3181">
        <v>100</v>
      </c>
      <c r="AN3181">
        <v>5800</v>
      </c>
      <c r="AO3181" t="s">
        <v>118</v>
      </c>
      <c r="AP3181">
        <v>64</v>
      </c>
      <c r="AQ3181">
        <v>-87</v>
      </c>
      <c r="AR3181">
        <v>-640</v>
      </c>
      <c r="AZ3181">
        <v>1200</v>
      </c>
      <c r="BA3181">
        <v>1</v>
      </c>
      <c r="BB3181" t="str">
        <f t="shared" si="1744"/>
        <v xml:space="preserve">N9217B  </v>
      </c>
      <c r="BC3181">
        <v>1</v>
      </c>
      <c r="BE3181">
        <v>0</v>
      </c>
      <c r="BF3181">
        <v>0</v>
      </c>
      <c r="BG3181">
        <v>0</v>
      </c>
      <c r="BH3181">
        <v>5650</v>
      </c>
      <c r="BI3181">
        <v>1</v>
      </c>
      <c r="BJ3181">
        <v>0</v>
      </c>
      <c r="BK3181">
        <v>0</v>
      </c>
      <c r="BL3181">
        <v>0</v>
      </c>
      <c r="BO3181">
        <v>0</v>
      </c>
      <c r="BP3181">
        <v>0</v>
      </c>
      <c r="BW3181" t="str">
        <f t="shared" si="1767"/>
        <v>14:56:50.182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285</v>
      </c>
      <c r="CR3181">
        <v>0</v>
      </c>
      <c r="CW3181">
        <v>8875818</v>
      </c>
      <c r="CY3181">
        <v>0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25">
      <c r="A3182" t="str">
        <f t="shared" si="1764"/>
        <v>06/05/2020 14:56:44.547</v>
      </c>
      <c r="C3182" t="str">
        <f t="shared" si="1760"/>
        <v>FFDFD3C0</v>
      </c>
      <c r="D3182" t="s">
        <v>134</v>
      </c>
      <c r="E3182">
        <v>7</v>
      </c>
      <c r="F3182">
        <v>2007</v>
      </c>
      <c r="G3182" t="s">
        <v>135</v>
      </c>
      <c r="J3182" t="s">
        <v>136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765"/>
        <v>14:56:50.180</v>
      </c>
      <c r="T3182" t="str">
        <f t="shared" si="1766"/>
        <v>14:56:49.780</v>
      </c>
      <c r="U3182" t="str">
        <f t="shared" si="1743"/>
        <v>ACC530</v>
      </c>
      <c r="V3182">
        <v>0</v>
      </c>
      <c r="W3182">
        <v>0</v>
      </c>
      <c r="X3182">
        <v>1</v>
      </c>
      <c r="Z3182">
        <v>0</v>
      </c>
      <c r="AA3182">
        <v>9</v>
      </c>
      <c r="AB3182">
        <v>3</v>
      </c>
      <c r="AC3182">
        <v>0</v>
      </c>
      <c r="AD3182">
        <v>9</v>
      </c>
      <c r="AE3182">
        <v>0</v>
      </c>
      <c r="AF3182">
        <v>3</v>
      </c>
      <c r="AG3182">
        <v>1</v>
      </c>
      <c r="AH3182">
        <v>0</v>
      </c>
      <c r="AI3182" t="s">
        <v>1060</v>
      </c>
      <c r="AJ3182">
        <v>34.099245000000003</v>
      </c>
      <c r="AK3182" t="s">
        <v>1061</v>
      </c>
      <c r="AL3182">
        <v>-117.04525</v>
      </c>
      <c r="AM3182">
        <v>100</v>
      </c>
      <c r="AN3182">
        <v>5800</v>
      </c>
      <c r="AO3182" t="s">
        <v>118</v>
      </c>
      <c r="AP3182">
        <v>64</v>
      </c>
      <c r="AQ3182">
        <v>-87</v>
      </c>
      <c r="AR3182">
        <v>-640</v>
      </c>
      <c r="AZ3182">
        <v>1200</v>
      </c>
      <c r="BA3182">
        <v>1</v>
      </c>
      <c r="BB3182" t="str">
        <f t="shared" si="1744"/>
        <v xml:space="preserve">N9217B  </v>
      </c>
      <c r="BC3182">
        <v>1</v>
      </c>
      <c r="BE3182">
        <v>0</v>
      </c>
      <c r="BF3182">
        <v>0</v>
      </c>
      <c r="BG3182">
        <v>0</v>
      </c>
      <c r="BH3182">
        <v>5650</v>
      </c>
      <c r="BI3182">
        <v>1</v>
      </c>
      <c r="BJ3182">
        <v>0</v>
      </c>
      <c r="BK3182">
        <v>0</v>
      </c>
      <c r="BL3182">
        <v>0</v>
      </c>
      <c r="BO3182">
        <v>0</v>
      </c>
      <c r="BP3182">
        <v>0</v>
      </c>
      <c r="BW3182" t="str">
        <f t="shared" si="1767"/>
        <v>14:56:50.182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285</v>
      </c>
      <c r="CR3182">
        <v>0</v>
      </c>
      <c r="CW3182">
        <v>8875818</v>
      </c>
      <c r="CY3182">
        <v>0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25">
      <c r="A3183" t="str">
        <f t="shared" si="1764"/>
        <v>06/05/2020 14:56:44.547</v>
      </c>
      <c r="C3183" t="str">
        <f t="shared" si="1760"/>
        <v>FFDFD3C0</v>
      </c>
      <c r="D3183" t="s">
        <v>141</v>
      </c>
      <c r="E3183">
        <v>20</v>
      </c>
      <c r="F3183">
        <v>1020</v>
      </c>
      <c r="G3183" t="s">
        <v>114</v>
      </c>
      <c r="J3183" t="s">
        <v>142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765"/>
        <v>14:56:50.180</v>
      </c>
      <c r="T3183" t="str">
        <f t="shared" si="1766"/>
        <v>14:56:49.780</v>
      </c>
      <c r="U3183" t="str">
        <f t="shared" si="1743"/>
        <v>ACC530</v>
      </c>
      <c r="V3183">
        <v>0</v>
      </c>
      <c r="W3183">
        <v>0</v>
      </c>
      <c r="X3183">
        <v>1</v>
      </c>
      <c r="Z3183">
        <v>0</v>
      </c>
      <c r="AA3183">
        <v>9</v>
      </c>
      <c r="AB3183">
        <v>3</v>
      </c>
      <c r="AC3183">
        <v>0</v>
      </c>
      <c r="AD3183">
        <v>9</v>
      </c>
      <c r="AE3183">
        <v>0</v>
      </c>
      <c r="AF3183">
        <v>3</v>
      </c>
      <c r="AG3183">
        <v>1</v>
      </c>
      <c r="AH3183">
        <v>0</v>
      </c>
      <c r="AI3183" t="s">
        <v>1060</v>
      </c>
      <c r="AJ3183">
        <v>34.099245000000003</v>
      </c>
      <c r="AK3183" t="s">
        <v>1061</v>
      </c>
      <c r="AL3183">
        <v>-117.04525</v>
      </c>
      <c r="AM3183">
        <v>100</v>
      </c>
      <c r="AN3183">
        <v>5800</v>
      </c>
      <c r="AO3183" t="s">
        <v>118</v>
      </c>
      <c r="AP3183">
        <v>64</v>
      </c>
      <c r="AQ3183">
        <v>-87</v>
      </c>
      <c r="AR3183">
        <v>-640</v>
      </c>
      <c r="AZ3183">
        <v>1200</v>
      </c>
      <c r="BA3183">
        <v>1</v>
      </c>
      <c r="BB3183" t="str">
        <f t="shared" si="1744"/>
        <v xml:space="preserve">N9217B  </v>
      </c>
      <c r="BC3183">
        <v>1</v>
      </c>
      <c r="BE3183">
        <v>0</v>
      </c>
      <c r="BF3183">
        <v>0</v>
      </c>
      <c r="BG3183">
        <v>0</v>
      </c>
      <c r="BH3183">
        <v>5650</v>
      </c>
      <c r="BI3183">
        <v>1</v>
      </c>
      <c r="BJ3183">
        <v>0</v>
      </c>
      <c r="BK3183">
        <v>0</v>
      </c>
      <c r="BL3183">
        <v>0</v>
      </c>
      <c r="BO3183">
        <v>0</v>
      </c>
      <c r="BP3183">
        <v>0</v>
      </c>
      <c r="BW3183" t="str">
        <f t="shared" si="1767"/>
        <v>14:56:50.182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285</v>
      </c>
      <c r="CR3183">
        <v>0</v>
      </c>
      <c r="CW3183">
        <v>8875818</v>
      </c>
      <c r="CY3183">
        <v>0</v>
      </c>
      <c r="CZ3183">
        <v>0</v>
      </c>
      <c r="DA3183">
        <v>1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25">
      <c r="A3184" t="str">
        <f t="shared" si="1764"/>
        <v>06/05/2020 14:56:44.547</v>
      </c>
      <c r="C3184" t="str">
        <f t="shared" si="1760"/>
        <v>FFDFD3C0</v>
      </c>
      <c r="D3184" t="s">
        <v>113</v>
      </c>
      <c r="E3184">
        <v>3</v>
      </c>
      <c r="H3184">
        <v>166</v>
      </c>
      <c r="I3184" t="s">
        <v>114</v>
      </c>
      <c r="J3184" t="s">
        <v>115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765"/>
        <v>14:56:50.180</v>
      </c>
      <c r="T3184" t="str">
        <f t="shared" si="1766"/>
        <v>14:56:49.780</v>
      </c>
      <c r="U3184" t="str">
        <f t="shared" si="1743"/>
        <v>ACC530</v>
      </c>
      <c r="V3184">
        <v>0</v>
      </c>
      <c r="W3184">
        <v>0</v>
      </c>
      <c r="X3184">
        <v>1</v>
      </c>
      <c r="Z3184">
        <v>0</v>
      </c>
      <c r="AA3184">
        <v>9</v>
      </c>
      <c r="AB3184">
        <v>3</v>
      </c>
      <c r="AC3184">
        <v>0</v>
      </c>
      <c r="AD3184">
        <v>9</v>
      </c>
      <c r="AE3184">
        <v>0</v>
      </c>
      <c r="AF3184">
        <v>3</v>
      </c>
      <c r="AG3184">
        <v>1</v>
      </c>
      <c r="AH3184">
        <v>0</v>
      </c>
      <c r="AI3184" t="s">
        <v>1060</v>
      </c>
      <c r="AJ3184">
        <v>34.099245000000003</v>
      </c>
      <c r="AK3184" t="s">
        <v>1061</v>
      </c>
      <c r="AL3184">
        <v>-117.04525</v>
      </c>
      <c r="AM3184">
        <v>100</v>
      </c>
      <c r="AN3184">
        <v>5800</v>
      </c>
      <c r="AO3184" t="s">
        <v>118</v>
      </c>
      <c r="AP3184">
        <v>64</v>
      </c>
      <c r="AQ3184">
        <v>-87</v>
      </c>
      <c r="AR3184">
        <v>-640</v>
      </c>
      <c r="AZ3184">
        <v>1200</v>
      </c>
      <c r="BA3184">
        <v>1</v>
      </c>
      <c r="BB3184" t="str">
        <f t="shared" si="1744"/>
        <v xml:space="preserve">N9217B  </v>
      </c>
      <c r="BC3184">
        <v>1</v>
      </c>
      <c r="BE3184">
        <v>0</v>
      </c>
      <c r="BF3184">
        <v>0</v>
      </c>
      <c r="BG3184">
        <v>0</v>
      </c>
      <c r="BH3184">
        <v>5650</v>
      </c>
      <c r="BI3184">
        <v>1</v>
      </c>
      <c r="BJ3184">
        <v>0</v>
      </c>
      <c r="BK3184">
        <v>0</v>
      </c>
      <c r="BL3184">
        <v>0</v>
      </c>
      <c r="BO3184">
        <v>0</v>
      </c>
      <c r="BP3184">
        <v>0</v>
      </c>
      <c r="BW3184" t="str">
        <f t="shared" si="1767"/>
        <v>14:56:50.182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285</v>
      </c>
      <c r="CR3184">
        <v>0</v>
      </c>
      <c r="CW3184">
        <v>8875818</v>
      </c>
      <c r="CY3184">
        <v>0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25">
      <c r="A3185" t="str">
        <f t="shared" si="1764"/>
        <v>06/05/2020 14:56:44.547</v>
      </c>
      <c r="C3185" t="str">
        <f t="shared" si="1760"/>
        <v>FFDFD3C0</v>
      </c>
      <c r="D3185" t="s">
        <v>151</v>
      </c>
      <c r="E3185">
        <v>9</v>
      </c>
      <c r="H3185">
        <v>226</v>
      </c>
      <c r="I3185" t="s">
        <v>152</v>
      </c>
      <c r="J3185" t="s">
        <v>150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765"/>
        <v>14:56:50.180</v>
      </c>
      <c r="T3185" t="str">
        <f t="shared" si="1766"/>
        <v>14:56:49.780</v>
      </c>
      <c r="U3185" t="str">
        <f t="shared" si="1743"/>
        <v>ACC530</v>
      </c>
      <c r="V3185">
        <v>0</v>
      </c>
      <c r="W3185">
        <v>0</v>
      </c>
      <c r="X3185">
        <v>1</v>
      </c>
      <c r="Z3185">
        <v>0</v>
      </c>
      <c r="AA3185">
        <v>9</v>
      </c>
      <c r="AB3185">
        <v>3</v>
      </c>
      <c r="AC3185">
        <v>0</v>
      </c>
      <c r="AD3185">
        <v>9</v>
      </c>
      <c r="AE3185">
        <v>0</v>
      </c>
      <c r="AF3185">
        <v>3</v>
      </c>
      <c r="AG3185">
        <v>1</v>
      </c>
      <c r="AH3185">
        <v>0</v>
      </c>
      <c r="AI3185" t="s">
        <v>1060</v>
      </c>
      <c r="AJ3185">
        <v>34.099245000000003</v>
      </c>
      <c r="AK3185" t="s">
        <v>1061</v>
      </c>
      <c r="AL3185">
        <v>-117.04525</v>
      </c>
      <c r="AM3185">
        <v>100</v>
      </c>
      <c r="AN3185">
        <v>5800</v>
      </c>
      <c r="AO3185" t="s">
        <v>118</v>
      </c>
      <c r="AP3185">
        <v>64</v>
      </c>
      <c r="AQ3185">
        <v>-87</v>
      </c>
      <c r="AR3185">
        <v>-640</v>
      </c>
      <c r="AZ3185">
        <v>1200</v>
      </c>
      <c r="BA3185">
        <v>1</v>
      </c>
      <c r="BB3185" t="str">
        <f t="shared" si="1744"/>
        <v xml:space="preserve">N9217B  </v>
      </c>
      <c r="BC3185">
        <v>1</v>
      </c>
      <c r="BE3185">
        <v>0</v>
      </c>
      <c r="BF3185">
        <v>0</v>
      </c>
      <c r="BG3185">
        <v>0</v>
      </c>
      <c r="BH3185">
        <v>5650</v>
      </c>
      <c r="BI3185">
        <v>1</v>
      </c>
      <c r="BJ3185">
        <v>0</v>
      </c>
      <c r="BK3185">
        <v>0</v>
      </c>
      <c r="BL3185">
        <v>0</v>
      </c>
      <c r="BO3185">
        <v>0</v>
      </c>
      <c r="BP3185">
        <v>0</v>
      </c>
      <c r="BW3185" t="str">
        <f t="shared" si="1767"/>
        <v>14:56:50.182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285</v>
      </c>
      <c r="CR3185">
        <v>0</v>
      </c>
      <c r="CW3185">
        <v>8875818</v>
      </c>
      <c r="CY3185">
        <v>0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25">
      <c r="A3186" t="str">
        <f t="shared" ref="A3186:A3192" si="1768">"06/05/2020 14:56:45.606"</f>
        <v>06/05/2020 14:56:45.606</v>
      </c>
      <c r="C3186" t="str">
        <f t="shared" si="1760"/>
        <v>FFDFD3C0</v>
      </c>
      <c r="D3186" t="s">
        <v>148</v>
      </c>
      <c r="E3186">
        <v>11</v>
      </c>
      <c r="H3186">
        <v>53</v>
      </c>
      <c r="I3186" t="s">
        <v>364</v>
      </c>
      <c r="J3186" t="s">
        <v>150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ref="S3186:S3192" si="1769">"14:56:51.227"</f>
        <v>14:56:51.227</v>
      </c>
      <c r="T3186" t="str">
        <f t="shared" ref="T3186:T3192" si="1770">"14:56:50.827"</f>
        <v>14:56:50.827</v>
      </c>
      <c r="U3186" t="str">
        <f t="shared" si="1743"/>
        <v>ACC530</v>
      </c>
      <c r="V3186">
        <v>0</v>
      </c>
      <c r="W3186">
        <v>0</v>
      </c>
      <c r="X3186">
        <v>1</v>
      </c>
      <c r="Z3186">
        <v>0</v>
      </c>
      <c r="AA3186">
        <v>9</v>
      </c>
      <c r="AB3186">
        <v>3</v>
      </c>
      <c r="AC3186">
        <v>0</v>
      </c>
      <c r="AD3186">
        <v>9</v>
      </c>
      <c r="AE3186">
        <v>0</v>
      </c>
      <c r="AF3186">
        <v>3</v>
      </c>
      <c r="AG3186">
        <v>1</v>
      </c>
      <c r="AH3186">
        <v>0</v>
      </c>
      <c r="AI3186" t="s">
        <v>1062</v>
      </c>
      <c r="AJ3186">
        <v>34.098815999999999</v>
      </c>
      <c r="AK3186" t="s">
        <v>837</v>
      </c>
      <c r="AL3186">
        <v>-117.044864</v>
      </c>
      <c r="AM3186">
        <v>100</v>
      </c>
      <c r="AN3186">
        <v>5800</v>
      </c>
      <c r="AO3186" t="s">
        <v>118</v>
      </c>
      <c r="AP3186">
        <v>65</v>
      </c>
      <c r="AQ3186">
        <v>-87</v>
      </c>
      <c r="AR3186">
        <v>-640</v>
      </c>
      <c r="AZ3186">
        <v>1200</v>
      </c>
      <c r="BA3186">
        <v>1</v>
      </c>
      <c r="BB3186" t="str">
        <f t="shared" si="1744"/>
        <v xml:space="preserve">N9217B  </v>
      </c>
      <c r="BC3186">
        <v>1</v>
      </c>
      <c r="BE3186">
        <v>0</v>
      </c>
      <c r="BF3186">
        <v>0</v>
      </c>
      <c r="BG3186">
        <v>0</v>
      </c>
      <c r="BH3186">
        <v>5650</v>
      </c>
      <c r="BI3186">
        <v>1</v>
      </c>
      <c r="BJ3186">
        <v>0</v>
      </c>
      <c r="BK3186">
        <v>0</v>
      </c>
      <c r="BL3186">
        <v>0</v>
      </c>
      <c r="BO3186">
        <v>0</v>
      </c>
      <c r="BP3186">
        <v>0</v>
      </c>
      <c r="BW3186" t="str">
        <f t="shared" ref="BW3186:BW3192" si="1771">"14:56:51.232"</f>
        <v>14:56:51.232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285</v>
      </c>
      <c r="CR3186">
        <v>0</v>
      </c>
      <c r="CW3186">
        <v>8875920</v>
      </c>
      <c r="CY3186">
        <v>0</v>
      </c>
      <c r="CZ3186">
        <v>0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25">
      <c r="A3187" t="str">
        <f t="shared" si="1768"/>
        <v>06/05/2020 14:56:45.606</v>
      </c>
      <c r="C3187" t="str">
        <f t="shared" si="1760"/>
        <v>FFDFD3C0</v>
      </c>
      <c r="D3187" t="s">
        <v>134</v>
      </c>
      <c r="E3187">
        <v>7</v>
      </c>
      <c r="F3187">
        <v>2007</v>
      </c>
      <c r="G3187" t="s">
        <v>135</v>
      </c>
      <c r="J3187" t="s">
        <v>136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si="1769"/>
        <v>14:56:51.227</v>
      </c>
      <c r="T3187" t="str">
        <f t="shared" si="1770"/>
        <v>14:56:50.827</v>
      </c>
      <c r="U3187" t="str">
        <f t="shared" si="1743"/>
        <v>ACC530</v>
      </c>
      <c r="V3187">
        <v>0</v>
      </c>
      <c r="W3187">
        <v>0</v>
      </c>
      <c r="X3187">
        <v>1</v>
      </c>
      <c r="Z3187">
        <v>0</v>
      </c>
      <c r="AA3187">
        <v>9</v>
      </c>
      <c r="AB3187">
        <v>3</v>
      </c>
      <c r="AC3187">
        <v>0</v>
      </c>
      <c r="AD3187">
        <v>9</v>
      </c>
      <c r="AE3187">
        <v>0</v>
      </c>
      <c r="AF3187">
        <v>3</v>
      </c>
      <c r="AG3187">
        <v>1</v>
      </c>
      <c r="AH3187">
        <v>0</v>
      </c>
      <c r="AI3187" t="s">
        <v>1062</v>
      </c>
      <c r="AJ3187">
        <v>34.098815999999999</v>
      </c>
      <c r="AK3187" t="s">
        <v>837</v>
      </c>
      <c r="AL3187">
        <v>-117.044864</v>
      </c>
      <c r="AM3187">
        <v>100</v>
      </c>
      <c r="AN3187">
        <v>5800</v>
      </c>
      <c r="AO3187" t="s">
        <v>118</v>
      </c>
      <c r="AP3187">
        <v>65</v>
      </c>
      <c r="AQ3187">
        <v>-87</v>
      </c>
      <c r="AR3187">
        <v>-640</v>
      </c>
      <c r="AZ3187">
        <v>1200</v>
      </c>
      <c r="BA3187">
        <v>1</v>
      </c>
      <c r="BB3187" t="str">
        <f t="shared" si="1744"/>
        <v xml:space="preserve">N9217B  </v>
      </c>
      <c r="BC3187">
        <v>1</v>
      </c>
      <c r="BE3187">
        <v>0</v>
      </c>
      <c r="BF3187">
        <v>0</v>
      </c>
      <c r="BG3187">
        <v>0</v>
      </c>
      <c r="BH3187">
        <v>5650</v>
      </c>
      <c r="BI3187">
        <v>1</v>
      </c>
      <c r="BJ3187">
        <v>0</v>
      </c>
      <c r="BK3187">
        <v>0</v>
      </c>
      <c r="BL3187">
        <v>0</v>
      </c>
      <c r="BO3187">
        <v>0</v>
      </c>
      <c r="BP3187">
        <v>0</v>
      </c>
      <c r="BW3187" t="str">
        <f t="shared" si="1771"/>
        <v>14:56:51.232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285</v>
      </c>
      <c r="CR3187">
        <v>0</v>
      </c>
      <c r="CW3187">
        <v>8875920</v>
      </c>
      <c r="CY3187">
        <v>0</v>
      </c>
      <c r="CZ3187">
        <v>0</v>
      </c>
      <c r="DA3187">
        <v>1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25">
      <c r="A3188" t="str">
        <f t="shared" si="1768"/>
        <v>06/05/2020 14:56:45.606</v>
      </c>
      <c r="C3188" t="str">
        <f t="shared" si="1760"/>
        <v>FFDFD3C0</v>
      </c>
      <c r="D3188" t="s">
        <v>151</v>
      </c>
      <c r="E3188">
        <v>8</v>
      </c>
      <c r="H3188">
        <v>225</v>
      </c>
      <c r="I3188" t="s">
        <v>353</v>
      </c>
      <c r="J3188" t="s">
        <v>150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769"/>
        <v>14:56:51.227</v>
      </c>
      <c r="T3188" t="str">
        <f t="shared" si="1770"/>
        <v>14:56:50.827</v>
      </c>
      <c r="U3188" t="str">
        <f t="shared" si="1743"/>
        <v>ACC530</v>
      </c>
      <c r="V3188">
        <v>0</v>
      </c>
      <c r="W3188">
        <v>0</v>
      </c>
      <c r="X3188">
        <v>1</v>
      </c>
      <c r="Z3188">
        <v>0</v>
      </c>
      <c r="AA3188">
        <v>9</v>
      </c>
      <c r="AB3188">
        <v>3</v>
      </c>
      <c r="AC3188">
        <v>0</v>
      </c>
      <c r="AD3188">
        <v>9</v>
      </c>
      <c r="AE3188">
        <v>0</v>
      </c>
      <c r="AF3188">
        <v>3</v>
      </c>
      <c r="AG3188">
        <v>1</v>
      </c>
      <c r="AH3188">
        <v>0</v>
      </c>
      <c r="AI3188" t="s">
        <v>1062</v>
      </c>
      <c r="AJ3188">
        <v>34.098815999999999</v>
      </c>
      <c r="AK3188" t="s">
        <v>837</v>
      </c>
      <c r="AL3188">
        <v>-117.044864</v>
      </c>
      <c r="AM3188">
        <v>100</v>
      </c>
      <c r="AN3188">
        <v>5800</v>
      </c>
      <c r="AO3188" t="s">
        <v>118</v>
      </c>
      <c r="AP3188">
        <v>65</v>
      </c>
      <c r="AQ3188">
        <v>-87</v>
      </c>
      <c r="AR3188">
        <v>-640</v>
      </c>
      <c r="AZ3188">
        <v>1200</v>
      </c>
      <c r="BA3188">
        <v>1</v>
      </c>
      <c r="BB3188" t="str">
        <f t="shared" si="1744"/>
        <v xml:space="preserve">N9217B  </v>
      </c>
      <c r="BC3188">
        <v>1</v>
      </c>
      <c r="BE3188">
        <v>0</v>
      </c>
      <c r="BF3188">
        <v>0</v>
      </c>
      <c r="BG3188">
        <v>0</v>
      </c>
      <c r="BH3188">
        <v>5650</v>
      </c>
      <c r="BI3188">
        <v>1</v>
      </c>
      <c r="BJ3188">
        <v>0</v>
      </c>
      <c r="BK3188">
        <v>0</v>
      </c>
      <c r="BL3188">
        <v>0</v>
      </c>
      <c r="BO3188">
        <v>0</v>
      </c>
      <c r="BP3188">
        <v>0</v>
      </c>
      <c r="BW3188" t="str">
        <f t="shared" si="1771"/>
        <v>14:56:51.232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7</v>
      </c>
      <c r="CP3188" t="s">
        <v>119</v>
      </c>
      <c r="CQ3188">
        <v>285</v>
      </c>
      <c r="CR3188">
        <v>0</v>
      </c>
      <c r="CW3188">
        <v>8875920</v>
      </c>
      <c r="CY3188">
        <v>0</v>
      </c>
      <c r="CZ3188">
        <v>0</v>
      </c>
      <c r="DA3188">
        <v>1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25">
      <c r="A3189" t="str">
        <f t="shared" si="1768"/>
        <v>06/05/2020 14:56:45.606</v>
      </c>
      <c r="C3189" t="str">
        <f t="shared" si="1760"/>
        <v>FFDFD3C0</v>
      </c>
      <c r="D3189" t="s">
        <v>148</v>
      </c>
      <c r="E3189">
        <v>8</v>
      </c>
      <c r="H3189">
        <v>50</v>
      </c>
      <c r="I3189" t="s">
        <v>149</v>
      </c>
      <c r="J3189" t="s">
        <v>150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769"/>
        <v>14:56:51.227</v>
      </c>
      <c r="T3189" t="str">
        <f t="shared" si="1770"/>
        <v>14:56:50.827</v>
      </c>
      <c r="U3189" t="str">
        <f t="shared" si="1743"/>
        <v>ACC530</v>
      </c>
      <c r="V3189">
        <v>0</v>
      </c>
      <c r="W3189">
        <v>0</v>
      </c>
      <c r="X3189">
        <v>1</v>
      </c>
      <c r="Z3189">
        <v>0</v>
      </c>
      <c r="AA3189">
        <v>9</v>
      </c>
      <c r="AB3189">
        <v>3</v>
      </c>
      <c r="AC3189">
        <v>0</v>
      </c>
      <c r="AD3189">
        <v>9</v>
      </c>
      <c r="AE3189">
        <v>0</v>
      </c>
      <c r="AF3189">
        <v>3</v>
      </c>
      <c r="AG3189">
        <v>1</v>
      </c>
      <c r="AH3189">
        <v>0</v>
      </c>
      <c r="AI3189" t="s">
        <v>1062</v>
      </c>
      <c r="AJ3189">
        <v>34.098815999999999</v>
      </c>
      <c r="AK3189" t="s">
        <v>837</v>
      </c>
      <c r="AL3189">
        <v>-117.044864</v>
      </c>
      <c r="AM3189">
        <v>100</v>
      </c>
      <c r="AN3189">
        <v>5800</v>
      </c>
      <c r="AO3189" t="s">
        <v>118</v>
      </c>
      <c r="AP3189">
        <v>65</v>
      </c>
      <c r="AQ3189">
        <v>-87</v>
      </c>
      <c r="AR3189">
        <v>-640</v>
      </c>
      <c r="AZ3189">
        <v>1200</v>
      </c>
      <c r="BA3189">
        <v>1</v>
      </c>
      <c r="BB3189" t="str">
        <f t="shared" si="1744"/>
        <v xml:space="preserve">N9217B  </v>
      </c>
      <c r="BC3189">
        <v>1</v>
      </c>
      <c r="BE3189">
        <v>0</v>
      </c>
      <c r="BF3189">
        <v>0</v>
      </c>
      <c r="BG3189">
        <v>0</v>
      </c>
      <c r="BH3189">
        <v>5650</v>
      </c>
      <c r="BI3189">
        <v>1</v>
      </c>
      <c r="BJ3189">
        <v>0</v>
      </c>
      <c r="BK3189">
        <v>0</v>
      </c>
      <c r="BL3189">
        <v>0</v>
      </c>
      <c r="BO3189">
        <v>0</v>
      </c>
      <c r="BP3189">
        <v>0</v>
      </c>
      <c r="BW3189" t="str">
        <f t="shared" si="1771"/>
        <v>14:56:51.232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119</v>
      </c>
      <c r="CQ3189">
        <v>285</v>
      </c>
      <c r="CR3189">
        <v>0</v>
      </c>
      <c r="CW3189">
        <v>8875920</v>
      </c>
      <c r="CY3189">
        <v>0</v>
      </c>
      <c r="CZ3189">
        <v>0</v>
      </c>
      <c r="DA3189">
        <v>1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25">
      <c r="A3190" t="str">
        <f t="shared" si="1768"/>
        <v>06/05/2020 14:56:45.606</v>
      </c>
      <c r="C3190" t="str">
        <f t="shared" si="1760"/>
        <v>FFDFD3C0</v>
      </c>
      <c r="D3190" t="s">
        <v>141</v>
      </c>
      <c r="E3190">
        <v>20</v>
      </c>
      <c r="F3190">
        <v>1020</v>
      </c>
      <c r="G3190" t="s">
        <v>114</v>
      </c>
      <c r="J3190" t="s">
        <v>142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769"/>
        <v>14:56:51.227</v>
      </c>
      <c r="T3190" t="str">
        <f t="shared" si="1770"/>
        <v>14:56:50.827</v>
      </c>
      <c r="U3190" t="str">
        <f t="shared" si="1743"/>
        <v>ACC530</v>
      </c>
      <c r="V3190">
        <v>0</v>
      </c>
      <c r="W3190">
        <v>0</v>
      </c>
      <c r="X3190">
        <v>1</v>
      </c>
      <c r="Z3190">
        <v>0</v>
      </c>
      <c r="AA3190">
        <v>9</v>
      </c>
      <c r="AB3190">
        <v>3</v>
      </c>
      <c r="AC3190">
        <v>0</v>
      </c>
      <c r="AD3190">
        <v>9</v>
      </c>
      <c r="AE3190">
        <v>0</v>
      </c>
      <c r="AF3190">
        <v>3</v>
      </c>
      <c r="AG3190">
        <v>1</v>
      </c>
      <c r="AH3190">
        <v>0</v>
      </c>
      <c r="AI3190" t="s">
        <v>1062</v>
      </c>
      <c r="AJ3190">
        <v>34.098815999999999</v>
      </c>
      <c r="AK3190" t="s">
        <v>837</v>
      </c>
      <c r="AL3190">
        <v>-117.044864</v>
      </c>
      <c r="AM3190">
        <v>100</v>
      </c>
      <c r="AN3190">
        <v>5800</v>
      </c>
      <c r="AO3190" t="s">
        <v>118</v>
      </c>
      <c r="AP3190">
        <v>65</v>
      </c>
      <c r="AQ3190">
        <v>-87</v>
      </c>
      <c r="AR3190">
        <v>-640</v>
      </c>
      <c r="AZ3190">
        <v>1200</v>
      </c>
      <c r="BA3190">
        <v>1</v>
      </c>
      <c r="BB3190" t="str">
        <f t="shared" si="1744"/>
        <v xml:space="preserve">N9217B  </v>
      </c>
      <c r="BC3190">
        <v>1</v>
      </c>
      <c r="BE3190">
        <v>0</v>
      </c>
      <c r="BF3190">
        <v>0</v>
      </c>
      <c r="BG3190">
        <v>0</v>
      </c>
      <c r="BH3190">
        <v>5650</v>
      </c>
      <c r="BI3190">
        <v>1</v>
      </c>
      <c r="BJ3190">
        <v>0</v>
      </c>
      <c r="BK3190">
        <v>0</v>
      </c>
      <c r="BL3190">
        <v>0</v>
      </c>
      <c r="BO3190">
        <v>0</v>
      </c>
      <c r="BP3190">
        <v>0</v>
      </c>
      <c r="BW3190" t="str">
        <f t="shared" si="1771"/>
        <v>14:56:51.232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119</v>
      </c>
      <c r="CQ3190">
        <v>285</v>
      </c>
      <c r="CR3190">
        <v>0</v>
      </c>
      <c r="CW3190">
        <v>8875920</v>
      </c>
      <c r="CY3190">
        <v>0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25">
      <c r="A3191" t="str">
        <f t="shared" si="1768"/>
        <v>06/05/2020 14:56:45.606</v>
      </c>
      <c r="C3191" t="str">
        <f t="shared" si="1760"/>
        <v>FFDFD3C0</v>
      </c>
      <c r="D3191" t="s">
        <v>113</v>
      </c>
      <c r="E3191">
        <v>3</v>
      </c>
      <c r="H3191">
        <v>166</v>
      </c>
      <c r="I3191" t="s">
        <v>114</v>
      </c>
      <c r="J3191" t="s">
        <v>115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769"/>
        <v>14:56:51.227</v>
      </c>
      <c r="T3191" t="str">
        <f t="shared" si="1770"/>
        <v>14:56:50.827</v>
      </c>
      <c r="U3191" t="str">
        <f t="shared" si="1743"/>
        <v>ACC530</v>
      </c>
      <c r="V3191">
        <v>0</v>
      </c>
      <c r="W3191">
        <v>0</v>
      </c>
      <c r="X3191">
        <v>1</v>
      </c>
      <c r="Z3191">
        <v>0</v>
      </c>
      <c r="AA3191">
        <v>9</v>
      </c>
      <c r="AB3191">
        <v>3</v>
      </c>
      <c r="AC3191">
        <v>0</v>
      </c>
      <c r="AD3191">
        <v>9</v>
      </c>
      <c r="AE3191">
        <v>0</v>
      </c>
      <c r="AF3191">
        <v>3</v>
      </c>
      <c r="AG3191">
        <v>1</v>
      </c>
      <c r="AH3191">
        <v>0</v>
      </c>
      <c r="AI3191" t="s">
        <v>1062</v>
      </c>
      <c r="AJ3191">
        <v>34.098815999999999</v>
      </c>
      <c r="AK3191" t="s">
        <v>837</v>
      </c>
      <c r="AL3191">
        <v>-117.044864</v>
      </c>
      <c r="AM3191">
        <v>100</v>
      </c>
      <c r="AN3191">
        <v>5800</v>
      </c>
      <c r="AO3191" t="s">
        <v>118</v>
      </c>
      <c r="AP3191">
        <v>65</v>
      </c>
      <c r="AQ3191">
        <v>-87</v>
      </c>
      <c r="AR3191">
        <v>-640</v>
      </c>
      <c r="AZ3191">
        <v>1200</v>
      </c>
      <c r="BA3191">
        <v>1</v>
      </c>
      <c r="BB3191" t="str">
        <f t="shared" si="1744"/>
        <v xml:space="preserve">N9217B  </v>
      </c>
      <c r="BC3191">
        <v>1</v>
      </c>
      <c r="BE3191">
        <v>0</v>
      </c>
      <c r="BF3191">
        <v>0</v>
      </c>
      <c r="BG3191">
        <v>0</v>
      </c>
      <c r="BH3191">
        <v>5650</v>
      </c>
      <c r="BI3191">
        <v>1</v>
      </c>
      <c r="BJ3191">
        <v>0</v>
      </c>
      <c r="BK3191">
        <v>0</v>
      </c>
      <c r="BL3191">
        <v>0</v>
      </c>
      <c r="BO3191">
        <v>0</v>
      </c>
      <c r="BP3191">
        <v>0</v>
      </c>
      <c r="BW3191" t="str">
        <f t="shared" si="1771"/>
        <v>14:56:51.232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119</v>
      </c>
      <c r="CQ3191">
        <v>285</v>
      </c>
      <c r="CR3191">
        <v>0</v>
      </c>
      <c r="CW3191">
        <v>8875920</v>
      </c>
      <c r="CY3191">
        <v>0</v>
      </c>
      <c r="CZ3191">
        <v>0</v>
      </c>
      <c r="DA3191">
        <v>1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25">
      <c r="A3192" t="str">
        <f t="shared" si="1768"/>
        <v>06/05/2020 14:56:45.606</v>
      </c>
      <c r="C3192" t="str">
        <f t="shared" si="1760"/>
        <v>FFDFD3C0</v>
      </c>
      <c r="D3192" t="s">
        <v>151</v>
      </c>
      <c r="E3192">
        <v>9</v>
      </c>
      <c r="H3192">
        <v>226</v>
      </c>
      <c r="I3192" t="s">
        <v>152</v>
      </c>
      <c r="J3192" t="s">
        <v>150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769"/>
        <v>14:56:51.227</v>
      </c>
      <c r="T3192" t="str">
        <f t="shared" si="1770"/>
        <v>14:56:50.827</v>
      </c>
      <c r="U3192" t="str">
        <f t="shared" si="1743"/>
        <v>ACC530</v>
      </c>
      <c r="V3192">
        <v>0</v>
      </c>
      <c r="W3192">
        <v>0</v>
      </c>
      <c r="X3192">
        <v>1</v>
      </c>
      <c r="Z3192">
        <v>0</v>
      </c>
      <c r="AA3192">
        <v>9</v>
      </c>
      <c r="AB3192">
        <v>3</v>
      </c>
      <c r="AC3192">
        <v>0</v>
      </c>
      <c r="AD3192">
        <v>9</v>
      </c>
      <c r="AE3192">
        <v>0</v>
      </c>
      <c r="AF3192">
        <v>3</v>
      </c>
      <c r="AG3192">
        <v>1</v>
      </c>
      <c r="AH3192">
        <v>0</v>
      </c>
      <c r="AI3192" t="s">
        <v>1062</v>
      </c>
      <c r="AJ3192">
        <v>34.098815999999999</v>
      </c>
      <c r="AK3192" t="s">
        <v>837</v>
      </c>
      <c r="AL3192">
        <v>-117.044864</v>
      </c>
      <c r="AM3192">
        <v>100</v>
      </c>
      <c r="AN3192">
        <v>5800</v>
      </c>
      <c r="AO3192" t="s">
        <v>118</v>
      </c>
      <c r="AP3192">
        <v>65</v>
      </c>
      <c r="AQ3192">
        <v>-87</v>
      </c>
      <c r="AR3192">
        <v>-640</v>
      </c>
      <c r="AZ3192">
        <v>1200</v>
      </c>
      <c r="BA3192">
        <v>1</v>
      </c>
      <c r="BB3192" t="str">
        <f t="shared" si="1744"/>
        <v xml:space="preserve">N9217B  </v>
      </c>
      <c r="BC3192">
        <v>1</v>
      </c>
      <c r="BE3192">
        <v>0</v>
      </c>
      <c r="BF3192">
        <v>0</v>
      </c>
      <c r="BG3192">
        <v>0</v>
      </c>
      <c r="BH3192">
        <v>5650</v>
      </c>
      <c r="BI3192">
        <v>1</v>
      </c>
      <c r="BJ3192">
        <v>0</v>
      </c>
      <c r="BK3192">
        <v>0</v>
      </c>
      <c r="BL3192">
        <v>0</v>
      </c>
      <c r="BO3192">
        <v>0</v>
      </c>
      <c r="BP3192">
        <v>0</v>
      </c>
      <c r="BW3192" t="str">
        <f t="shared" si="1771"/>
        <v>14:56:51.232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285</v>
      </c>
      <c r="CR3192">
        <v>0</v>
      </c>
      <c r="CW3192">
        <v>8875920</v>
      </c>
      <c r="CY3192">
        <v>0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25">
      <c r="A3193" t="str">
        <f t="shared" ref="A3193:A3199" si="1772">"06/05/2020 14:56:46.603"</f>
        <v>06/05/2020 14:56:46.603</v>
      </c>
      <c r="C3193" t="str">
        <f t="shared" si="1760"/>
        <v>FFDFD3C0</v>
      </c>
      <c r="D3193" t="s">
        <v>151</v>
      </c>
      <c r="E3193">
        <v>9</v>
      </c>
      <c r="H3193">
        <v>226</v>
      </c>
      <c r="I3193" t="s">
        <v>152</v>
      </c>
      <c r="J3193" t="s">
        <v>150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ref="S3193:S3199" si="1773">"14:56:52.219"</f>
        <v>14:56:52.219</v>
      </c>
      <c r="T3193" t="str">
        <f>"14:56:51.819"</f>
        <v>14:56:51.819</v>
      </c>
      <c r="U3193" t="str">
        <f t="shared" si="1743"/>
        <v>ACC530</v>
      </c>
      <c r="V3193">
        <v>0</v>
      </c>
      <c r="W3193">
        <v>0</v>
      </c>
      <c r="X3193">
        <v>1</v>
      </c>
      <c r="Z3193">
        <v>0</v>
      </c>
      <c r="AA3193">
        <v>9</v>
      </c>
      <c r="AB3193">
        <v>3</v>
      </c>
      <c r="AC3193">
        <v>0</v>
      </c>
      <c r="AD3193">
        <v>9</v>
      </c>
      <c r="AE3193">
        <v>0</v>
      </c>
      <c r="AF3193">
        <v>3</v>
      </c>
      <c r="AG3193">
        <v>1</v>
      </c>
      <c r="AH3193">
        <v>0</v>
      </c>
      <c r="AI3193" t="s">
        <v>1063</v>
      </c>
      <c r="AJ3193">
        <v>34.098387000000002</v>
      </c>
      <c r="AK3193" t="s">
        <v>1064</v>
      </c>
      <c r="AL3193">
        <v>-117.044499</v>
      </c>
      <c r="AM3193">
        <v>100</v>
      </c>
      <c r="AN3193">
        <v>5800</v>
      </c>
      <c r="AO3193" t="s">
        <v>118</v>
      </c>
      <c r="AP3193">
        <v>65</v>
      </c>
      <c r="AQ3193">
        <v>-86</v>
      </c>
      <c r="AR3193">
        <v>-640</v>
      </c>
      <c r="AZ3193">
        <v>1200</v>
      </c>
      <c r="BA3193">
        <v>1</v>
      </c>
      <c r="BB3193" t="str">
        <f t="shared" si="1744"/>
        <v xml:space="preserve">N9217B  </v>
      </c>
      <c r="BC3193">
        <v>1</v>
      </c>
      <c r="BE3193">
        <v>0</v>
      </c>
      <c r="BF3193">
        <v>0</v>
      </c>
      <c r="BG3193">
        <v>0</v>
      </c>
      <c r="BH3193">
        <v>5625</v>
      </c>
      <c r="BI3193">
        <v>1</v>
      </c>
      <c r="BJ3193">
        <v>0</v>
      </c>
      <c r="BK3193">
        <v>0</v>
      </c>
      <c r="BL3193">
        <v>0</v>
      </c>
      <c r="BO3193">
        <v>0</v>
      </c>
      <c r="BP3193">
        <v>0</v>
      </c>
      <c r="BW3193" t="str">
        <f t="shared" ref="BW3193:BW3199" si="1774">"14:56:52.222"</f>
        <v>14:56:52.222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119</v>
      </c>
      <c r="CQ3193">
        <v>285</v>
      </c>
      <c r="CR3193">
        <v>0</v>
      </c>
      <c r="CW3193">
        <v>8876007</v>
      </c>
      <c r="CY3193">
        <v>0</v>
      </c>
      <c r="CZ3193">
        <v>0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25">
      <c r="A3194" t="str">
        <f t="shared" si="1772"/>
        <v>06/05/2020 14:56:46.603</v>
      </c>
      <c r="C3194" t="str">
        <f t="shared" si="1760"/>
        <v>FFDFD3C0</v>
      </c>
      <c r="D3194" t="s">
        <v>134</v>
      </c>
      <c r="E3194">
        <v>7</v>
      </c>
      <c r="F3194">
        <v>2007</v>
      </c>
      <c r="G3194" t="s">
        <v>135</v>
      </c>
      <c r="J3194" t="s">
        <v>136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1773"/>
        <v>14:56:52.219</v>
      </c>
      <c r="T3194" t="str">
        <f t="shared" ref="T3194:T3199" si="1775">"14:56:51.919"</f>
        <v>14:56:51.919</v>
      </c>
      <c r="U3194" t="str">
        <f t="shared" si="1743"/>
        <v>ACC530</v>
      </c>
      <c r="V3194">
        <v>0</v>
      </c>
      <c r="W3194">
        <v>0</v>
      </c>
      <c r="X3194">
        <v>1</v>
      </c>
      <c r="Z3194">
        <v>0</v>
      </c>
      <c r="AA3194">
        <v>9</v>
      </c>
      <c r="AB3194">
        <v>3</v>
      </c>
      <c r="AC3194">
        <v>0</v>
      </c>
      <c r="AD3194">
        <v>9</v>
      </c>
      <c r="AE3194">
        <v>0</v>
      </c>
      <c r="AF3194">
        <v>3</v>
      </c>
      <c r="AG3194">
        <v>1</v>
      </c>
      <c r="AH3194">
        <v>0</v>
      </c>
      <c r="AI3194" t="s">
        <v>1063</v>
      </c>
      <c r="AJ3194">
        <v>34.098387000000002</v>
      </c>
      <c r="AK3194" t="s">
        <v>1064</v>
      </c>
      <c r="AL3194">
        <v>-117.044499</v>
      </c>
      <c r="AM3194">
        <v>100</v>
      </c>
      <c r="AN3194">
        <v>5800</v>
      </c>
      <c r="AO3194" t="s">
        <v>118</v>
      </c>
      <c r="AP3194">
        <v>65</v>
      </c>
      <c r="AQ3194">
        <v>-86</v>
      </c>
      <c r="AR3194">
        <v>-640</v>
      </c>
      <c r="AZ3194">
        <v>1200</v>
      </c>
      <c r="BA3194">
        <v>1</v>
      </c>
      <c r="BB3194" t="str">
        <f t="shared" si="1744"/>
        <v xml:space="preserve">N9217B  </v>
      </c>
      <c r="BC3194">
        <v>1</v>
      </c>
      <c r="BE3194">
        <v>0</v>
      </c>
      <c r="BF3194">
        <v>0</v>
      </c>
      <c r="BG3194">
        <v>0</v>
      </c>
      <c r="BH3194">
        <v>5625</v>
      </c>
      <c r="BI3194">
        <v>1</v>
      </c>
      <c r="BJ3194">
        <v>0</v>
      </c>
      <c r="BK3194">
        <v>0</v>
      </c>
      <c r="BL3194">
        <v>0</v>
      </c>
      <c r="BO3194">
        <v>0</v>
      </c>
      <c r="BP3194">
        <v>0</v>
      </c>
      <c r="BW3194" t="str">
        <f t="shared" si="1774"/>
        <v>14:56:52.222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6</v>
      </c>
      <c r="CP3194" t="s">
        <v>119</v>
      </c>
      <c r="CQ3194">
        <v>298</v>
      </c>
      <c r="CR3194">
        <v>0</v>
      </c>
      <c r="CW3194">
        <v>10454273</v>
      </c>
      <c r="CY3194">
        <v>0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25">
      <c r="A3195" t="str">
        <f t="shared" si="1772"/>
        <v>06/05/2020 14:56:46.603</v>
      </c>
      <c r="C3195" t="str">
        <f t="shared" si="1760"/>
        <v>FFDFD3C0</v>
      </c>
      <c r="D3195" t="s">
        <v>151</v>
      </c>
      <c r="E3195">
        <v>8</v>
      </c>
      <c r="H3195">
        <v>225</v>
      </c>
      <c r="I3195" t="s">
        <v>353</v>
      </c>
      <c r="J3195" t="s">
        <v>150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773"/>
        <v>14:56:52.219</v>
      </c>
      <c r="T3195" t="str">
        <f t="shared" si="1775"/>
        <v>14:56:51.919</v>
      </c>
      <c r="U3195" t="str">
        <f t="shared" si="1743"/>
        <v>ACC530</v>
      </c>
      <c r="V3195">
        <v>0</v>
      </c>
      <c r="W3195">
        <v>0</v>
      </c>
      <c r="X3195">
        <v>1</v>
      </c>
      <c r="Z3195">
        <v>0</v>
      </c>
      <c r="AA3195">
        <v>9</v>
      </c>
      <c r="AB3195">
        <v>3</v>
      </c>
      <c r="AC3195">
        <v>0</v>
      </c>
      <c r="AD3195">
        <v>9</v>
      </c>
      <c r="AE3195">
        <v>0</v>
      </c>
      <c r="AF3195">
        <v>3</v>
      </c>
      <c r="AG3195">
        <v>1</v>
      </c>
      <c r="AH3195">
        <v>0</v>
      </c>
      <c r="AI3195" t="s">
        <v>1063</v>
      </c>
      <c r="AJ3195">
        <v>34.098387000000002</v>
      </c>
      <c r="AK3195" t="s">
        <v>1064</v>
      </c>
      <c r="AL3195">
        <v>-117.044499</v>
      </c>
      <c r="AM3195">
        <v>100</v>
      </c>
      <c r="AN3195">
        <v>5800</v>
      </c>
      <c r="AO3195" t="s">
        <v>118</v>
      </c>
      <c r="AP3195">
        <v>65</v>
      </c>
      <c r="AQ3195">
        <v>-86</v>
      </c>
      <c r="AR3195">
        <v>-640</v>
      </c>
      <c r="AZ3195">
        <v>1200</v>
      </c>
      <c r="BA3195">
        <v>1</v>
      </c>
      <c r="BB3195" t="str">
        <f t="shared" si="1744"/>
        <v xml:space="preserve">N9217B  </v>
      </c>
      <c r="BC3195">
        <v>1</v>
      </c>
      <c r="BE3195">
        <v>0</v>
      </c>
      <c r="BF3195">
        <v>0</v>
      </c>
      <c r="BG3195">
        <v>0</v>
      </c>
      <c r="BH3195">
        <v>5625</v>
      </c>
      <c r="BI3195">
        <v>1</v>
      </c>
      <c r="BJ3195">
        <v>0</v>
      </c>
      <c r="BK3195">
        <v>0</v>
      </c>
      <c r="BL3195">
        <v>0</v>
      </c>
      <c r="BO3195">
        <v>0</v>
      </c>
      <c r="BP3195">
        <v>0</v>
      </c>
      <c r="BW3195" t="str">
        <f t="shared" si="1774"/>
        <v>14:56:52.222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6</v>
      </c>
      <c r="CP3195" t="s">
        <v>119</v>
      </c>
      <c r="CQ3195">
        <v>298</v>
      </c>
      <c r="CR3195">
        <v>0</v>
      </c>
      <c r="CW3195">
        <v>10454273</v>
      </c>
      <c r="CY3195">
        <v>0</v>
      </c>
      <c r="CZ3195">
        <v>0</v>
      </c>
      <c r="DA3195">
        <v>1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25">
      <c r="A3196" t="str">
        <f t="shared" si="1772"/>
        <v>06/05/2020 14:56:46.603</v>
      </c>
      <c r="C3196" t="str">
        <f t="shared" si="1760"/>
        <v>FFDFD3C0</v>
      </c>
      <c r="D3196" t="s">
        <v>148</v>
      </c>
      <c r="E3196">
        <v>8</v>
      </c>
      <c r="H3196">
        <v>50</v>
      </c>
      <c r="I3196" t="s">
        <v>149</v>
      </c>
      <c r="J3196" t="s">
        <v>150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773"/>
        <v>14:56:52.219</v>
      </c>
      <c r="T3196" t="str">
        <f t="shared" si="1775"/>
        <v>14:56:51.919</v>
      </c>
      <c r="U3196" t="str">
        <f t="shared" si="1743"/>
        <v>ACC530</v>
      </c>
      <c r="V3196">
        <v>0</v>
      </c>
      <c r="W3196">
        <v>0</v>
      </c>
      <c r="X3196">
        <v>1</v>
      </c>
      <c r="Z3196">
        <v>0</v>
      </c>
      <c r="AA3196">
        <v>9</v>
      </c>
      <c r="AB3196">
        <v>3</v>
      </c>
      <c r="AC3196">
        <v>0</v>
      </c>
      <c r="AD3196">
        <v>9</v>
      </c>
      <c r="AE3196">
        <v>0</v>
      </c>
      <c r="AF3196">
        <v>3</v>
      </c>
      <c r="AG3196">
        <v>1</v>
      </c>
      <c r="AH3196">
        <v>0</v>
      </c>
      <c r="AI3196" t="s">
        <v>1063</v>
      </c>
      <c r="AJ3196">
        <v>34.098387000000002</v>
      </c>
      <c r="AK3196" t="s">
        <v>1064</v>
      </c>
      <c r="AL3196">
        <v>-117.044499</v>
      </c>
      <c r="AM3196">
        <v>100</v>
      </c>
      <c r="AN3196">
        <v>5800</v>
      </c>
      <c r="AO3196" t="s">
        <v>118</v>
      </c>
      <c r="AP3196">
        <v>65</v>
      </c>
      <c r="AQ3196">
        <v>-86</v>
      </c>
      <c r="AR3196">
        <v>-640</v>
      </c>
      <c r="AZ3196">
        <v>1200</v>
      </c>
      <c r="BA3196">
        <v>1</v>
      </c>
      <c r="BB3196" t="str">
        <f t="shared" si="1744"/>
        <v xml:space="preserve">N9217B  </v>
      </c>
      <c r="BC3196">
        <v>1</v>
      </c>
      <c r="BE3196">
        <v>0</v>
      </c>
      <c r="BF3196">
        <v>0</v>
      </c>
      <c r="BG3196">
        <v>0</v>
      </c>
      <c r="BH3196">
        <v>5625</v>
      </c>
      <c r="BI3196">
        <v>1</v>
      </c>
      <c r="BJ3196">
        <v>0</v>
      </c>
      <c r="BK3196">
        <v>0</v>
      </c>
      <c r="BL3196">
        <v>0</v>
      </c>
      <c r="BO3196">
        <v>0</v>
      </c>
      <c r="BP3196">
        <v>0</v>
      </c>
      <c r="BW3196" t="str">
        <f t="shared" si="1774"/>
        <v>14:56:52.222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6</v>
      </c>
      <c r="CP3196" t="s">
        <v>119</v>
      </c>
      <c r="CQ3196">
        <v>298</v>
      </c>
      <c r="CR3196">
        <v>0</v>
      </c>
      <c r="CW3196">
        <v>10454273</v>
      </c>
      <c r="CY3196">
        <v>0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25">
      <c r="A3197" t="str">
        <f t="shared" si="1772"/>
        <v>06/05/2020 14:56:46.603</v>
      </c>
      <c r="C3197" t="str">
        <f t="shared" si="1760"/>
        <v>FFDFD3C0</v>
      </c>
      <c r="D3197" t="s">
        <v>141</v>
      </c>
      <c r="E3197">
        <v>20</v>
      </c>
      <c r="F3197">
        <v>1020</v>
      </c>
      <c r="G3197" t="s">
        <v>114</v>
      </c>
      <c r="J3197" t="s">
        <v>142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773"/>
        <v>14:56:52.219</v>
      </c>
      <c r="T3197" t="str">
        <f t="shared" si="1775"/>
        <v>14:56:51.919</v>
      </c>
      <c r="U3197" t="str">
        <f t="shared" si="1743"/>
        <v>ACC530</v>
      </c>
      <c r="V3197">
        <v>0</v>
      </c>
      <c r="W3197">
        <v>0</v>
      </c>
      <c r="X3197">
        <v>1</v>
      </c>
      <c r="Z3197">
        <v>0</v>
      </c>
      <c r="AA3197">
        <v>9</v>
      </c>
      <c r="AB3197">
        <v>3</v>
      </c>
      <c r="AC3197">
        <v>0</v>
      </c>
      <c r="AD3197">
        <v>9</v>
      </c>
      <c r="AE3197">
        <v>0</v>
      </c>
      <c r="AF3197">
        <v>3</v>
      </c>
      <c r="AG3197">
        <v>1</v>
      </c>
      <c r="AH3197">
        <v>0</v>
      </c>
      <c r="AI3197" t="s">
        <v>1063</v>
      </c>
      <c r="AJ3197">
        <v>34.098387000000002</v>
      </c>
      <c r="AK3197" t="s">
        <v>1064</v>
      </c>
      <c r="AL3197">
        <v>-117.044499</v>
      </c>
      <c r="AM3197">
        <v>100</v>
      </c>
      <c r="AN3197">
        <v>5800</v>
      </c>
      <c r="AO3197" t="s">
        <v>118</v>
      </c>
      <c r="AP3197">
        <v>65</v>
      </c>
      <c r="AQ3197">
        <v>-86</v>
      </c>
      <c r="AR3197">
        <v>-640</v>
      </c>
      <c r="AZ3197">
        <v>1200</v>
      </c>
      <c r="BA3197">
        <v>1</v>
      </c>
      <c r="BB3197" t="str">
        <f t="shared" si="1744"/>
        <v xml:space="preserve">N9217B  </v>
      </c>
      <c r="BC3197">
        <v>1</v>
      </c>
      <c r="BE3197">
        <v>0</v>
      </c>
      <c r="BF3197">
        <v>0</v>
      </c>
      <c r="BG3197">
        <v>0</v>
      </c>
      <c r="BH3197">
        <v>5625</v>
      </c>
      <c r="BI3197">
        <v>1</v>
      </c>
      <c r="BJ3197">
        <v>0</v>
      </c>
      <c r="BK3197">
        <v>0</v>
      </c>
      <c r="BL3197">
        <v>0</v>
      </c>
      <c r="BO3197">
        <v>0</v>
      </c>
      <c r="BP3197">
        <v>0</v>
      </c>
      <c r="BW3197" t="str">
        <f t="shared" si="1774"/>
        <v>14:56:52.222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6</v>
      </c>
      <c r="CP3197" t="s">
        <v>119</v>
      </c>
      <c r="CQ3197">
        <v>298</v>
      </c>
      <c r="CR3197">
        <v>0</v>
      </c>
      <c r="CW3197">
        <v>10454273</v>
      </c>
      <c r="CY3197">
        <v>0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25">
      <c r="A3198" t="str">
        <f t="shared" si="1772"/>
        <v>06/05/2020 14:56:46.603</v>
      </c>
      <c r="C3198" t="str">
        <f t="shared" si="1760"/>
        <v>FFDFD3C0</v>
      </c>
      <c r="D3198" t="s">
        <v>113</v>
      </c>
      <c r="E3198">
        <v>3</v>
      </c>
      <c r="H3198">
        <v>166</v>
      </c>
      <c r="I3198" t="s">
        <v>114</v>
      </c>
      <c r="J3198" t="s">
        <v>115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773"/>
        <v>14:56:52.219</v>
      </c>
      <c r="T3198" t="str">
        <f t="shared" si="1775"/>
        <v>14:56:51.919</v>
      </c>
      <c r="U3198" t="str">
        <f t="shared" si="1743"/>
        <v>ACC530</v>
      </c>
      <c r="V3198">
        <v>0</v>
      </c>
      <c r="W3198">
        <v>0</v>
      </c>
      <c r="X3198">
        <v>1</v>
      </c>
      <c r="Z3198">
        <v>0</v>
      </c>
      <c r="AA3198">
        <v>9</v>
      </c>
      <c r="AB3198">
        <v>3</v>
      </c>
      <c r="AC3198">
        <v>0</v>
      </c>
      <c r="AD3198">
        <v>9</v>
      </c>
      <c r="AE3198">
        <v>0</v>
      </c>
      <c r="AF3198">
        <v>3</v>
      </c>
      <c r="AG3198">
        <v>1</v>
      </c>
      <c r="AH3198">
        <v>0</v>
      </c>
      <c r="AI3198" t="s">
        <v>1063</v>
      </c>
      <c r="AJ3198">
        <v>34.098387000000002</v>
      </c>
      <c r="AK3198" t="s">
        <v>1064</v>
      </c>
      <c r="AL3198">
        <v>-117.044499</v>
      </c>
      <c r="AM3198">
        <v>100</v>
      </c>
      <c r="AN3198">
        <v>5800</v>
      </c>
      <c r="AO3198" t="s">
        <v>118</v>
      </c>
      <c r="AP3198">
        <v>65</v>
      </c>
      <c r="AQ3198">
        <v>-86</v>
      </c>
      <c r="AR3198">
        <v>-640</v>
      </c>
      <c r="AZ3198">
        <v>1200</v>
      </c>
      <c r="BA3198">
        <v>1</v>
      </c>
      <c r="BB3198" t="str">
        <f t="shared" si="1744"/>
        <v xml:space="preserve">N9217B  </v>
      </c>
      <c r="BC3198">
        <v>1</v>
      </c>
      <c r="BE3198">
        <v>0</v>
      </c>
      <c r="BF3198">
        <v>0</v>
      </c>
      <c r="BG3198">
        <v>0</v>
      </c>
      <c r="BH3198">
        <v>5625</v>
      </c>
      <c r="BI3198">
        <v>1</v>
      </c>
      <c r="BJ3198">
        <v>0</v>
      </c>
      <c r="BK3198">
        <v>0</v>
      </c>
      <c r="BL3198">
        <v>0</v>
      </c>
      <c r="BO3198">
        <v>0</v>
      </c>
      <c r="BP3198">
        <v>0</v>
      </c>
      <c r="BW3198" t="str">
        <f t="shared" si="1774"/>
        <v>14:56:52.222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6</v>
      </c>
      <c r="CP3198" t="s">
        <v>119</v>
      </c>
      <c r="CQ3198">
        <v>298</v>
      </c>
      <c r="CR3198">
        <v>0</v>
      </c>
      <c r="CW3198">
        <v>10454273</v>
      </c>
      <c r="CY3198">
        <v>0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25">
      <c r="A3199" t="str">
        <f t="shared" si="1772"/>
        <v>06/05/2020 14:56:46.603</v>
      </c>
      <c r="C3199" t="str">
        <f t="shared" si="1760"/>
        <v>FFDFD3C0</v>
      </c>
      <c r="D3199" t="s">
        <v>148</v>
      </c>
      <c r="E3199">
        <v>11</v>
      </c>
      <c r="H3199">
        <v>53</v>
      </c>
      <c r="I3199" t="s">
        <v>364</v>
      </c>
      <c r="J3199" t="s">
        <v>150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si="1773"/>
        <v>14:56:52.219</v>
      </c>
      <c r="T3199" t="str">
        <f t="shared" si="1775"/>
        <v>14:56:51.919</v>
      </c>
      <c r="U3199" t="str">
        <f t="shared" si="1743"/>
        <v>ACC530</v>
      </c>
      <c r="V3199">
        <v>0</v>
      </c>
      <c r="W3199">
        <v>0</v>
      </c>
      <c r="X3199">
        <v>1</v>
      </c>
      <c r="Z3199">
        <v>0</v>
      </c>
      <c r="AA3199">
        <v>9</v>
      </c>
      <c r="AB3199">
        <v>3</v>
      </c>
      <c r="AC3199">
        <v>0</v>
      </c>
      <c r="AD3199">
        <v>9</v>
      </c>
      <c r="AE3199">
        <v>0</v>
      </c>
      <c r="AF3199">
        <v>3</v>
      </c>
      <c r="AG3199">
        <v>1</v>
      </c>
      <c r="AH3199">
        <v>0</v>
      </c>
      <c r="AI3199" t="s">
        <v>1063</v>
      </c>
      <c r="AJ3199">
        <v>34.098387000000002</v>
      </c>
      <c r="AK3199" t="s">
        <v>1064</v>
      </c>
      <c r="AL3199">
        <v>-117.044499</v>
      </c>
      <c r="AM3199">
        <v>100</v>
      </c>
      <c r="AN3199">
        <v>5800</v>
      </c>
      <c r="AO3199" t="s">
        <v>118</v>
      </c>
      <c r="AP3199">
        <v>65</v>
      </c>
      <c r="AQ3199">
        <v>-86</v>
      </c>
      <c r="AR3199">
        <v>-640</v>
      </c>
      <c r="AZ3199">
        <v>1200</v>
      </c>
      <c r="BA3199">
        <v>1</v>
      </c>
      <c r="BB3199" t="str">
        <f t="shared" si="1744"/>
        <v xml:space="preserve">N9217B  </v>
      </c>
      <c r="BC3199">
        <v>1</v>
      </c>
      <c r="BE3199">
        <v>0</v>
      </c>
      <c r="BF3199">
        <v>0</v>
      </c>
      <c r="BG3199">
        <v>0</v>
      </c>
      <c r="BH3199">
        <v>5625</v>
      </c>
      <c r="BI3199">
        <v>1</v>
      </c>
      <c r="BJ3199">
        <v>0</v>
      </c>
      <c r="BK3199">
        <v>0</v>
      </c>
      <c r="BL3199">
        <v>0</v>
      </c>
      <c r="BO3199">
        <v>0</v>
      </c>
      <c r="BP3199">
        <v>0</v>
      </c>
      <c r="BW3199" t="str">
        <f t="shared" si="1774"/>
        <v>14:56:52.222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6</v>
      </c>
      <c r="CP3199" t="s">
        <v>119</v>
      </c>
      <c r="CQ3199">
        <v>298</v>
      </c>
      <c r="CR3199">
        <v>0</v>
      </c>
      <c r="CW3199">
        <v>10454273</v>
      </c>
      <c r="CY3199">
        <v>0</v>
      </c>
      <c r="CZ3199">
        <v>0</v>
      </c>
      <c r="DA3199">
        <v>1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25">
      <c r="A3200" t="str">
        <f t="shared" ref="A3200:A3206" si="1776">"06/05/2020 14:56:47.608"</f>
        <v>06/05/2020 14:56:47.608</v>
      </c>
      <c r="C3200" t="str">
        <f t="shared" si="1760"/>
        <v>FFDFD3C0</v>
      </c>
      <c r="D3200" t="s">
        <v>113</v>
      </c>
      <c r="E3200">
        <v>3</v>
      </c>
      <c r="H3200">
        <v>166</v>
      </c>
      <c r="I3200" t="s">
        <v>114</v>
      </c>
      <c r="J3200" t="s">
        <v>115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ref="S3200:T3206" si="1777">"14:56:53.250"</f>
        <v>14:56:53.250</v>
      </c>
      <c r="T3200" t="str">
        <f t="shared" si="1777"/>
        <v>14:56:53.250</v>
      </c>
      <c r="U3200" t="str">
        <f t="shared" si="1743"/>
        <v>ACC530</v>
      </c>
      <c r="V3200">
        <v>0</v>
      </c>
      <c r="W3200">
        <v>0</v>
      </c>
      <c r="X3200">
        <v>1</v>
      </c>
      <c r="Z3200">
        <v>0</v>
      </c>
      <c r="AA3200">
        <v>9</v>
      </c>
      <c r="AB3200">
        <v>3</v>
      </c>
      <c r="AC3200">
        <v>0</v>
      </c>
      <c r="AD3200">
        <v>9</v>
      </c>
      <c r="AE3200">
        <v>0</v>
      </c>
      <c r="AF3200">
        <v>3</v>
      </c>
      <c r="AG3200">
        <v>1</v>
      </c>
      <c r="AH3200">
        <v>0</v>
      </c>
      <c r="AI3200" t="s">
        <v>1065</v>
      </c>
      <c r="AJ3200">
        <v>34.098000999999996</v>
      </c>
      <c r="AK3200" t="s">
        <v>1066</v>
      </c>
      <c r="AL3200">
        <v>-117.044134</v>
      </c>
      <c r="AM3200">
        <v>100</v>
      </c>
      <c r="AN3200">
        <v>5800</v>
      </c>
      <c r="AO3200" t="s">
        <v>118</v>
      </c>
      <c r="AP3200">
        <v>66</v>
      </c>
      <c r="AQ3200">
        <v>-86</v>
      </c>
      <c r="AR3200">
        <v>-640</v>
      </c>
      <c r="AZ3200">
        <v>1200</v>
      </c>
      <c r="BA3200">
        <v>1</v>
      </c>
      <c r="BB3200" t="str">
        <f t="shared" si="1744"/>
        <v xml:space="preserve">N9217B  </v>
      </c>
      <c r="BC3200">
        <v>1</v>
      </c>
      <c r="BE3200">
        <v>0</v>
      </c>
      <c r="BF3200">
        <v>0</v>
      </c>
      <c r="BG3200">
        <v>0</v>
      </c>
      <c r="BH3200">
        <v>5600</v>
      </c>
      <c r="BI3200">
        <v>1</v>
      </c>
      <c r="BJ3200">
        <v>0</v>
      </c>
      <c r="BK3200">
        <v>0</v>
      </c>
      <c r="BL3200">
        <v>0</v>
      </c>
      <c r="BO3200">
        <v>0</v>
      </c>
      <c r="BP3200">
        <v>0</v>
      </c>
      <c r="BW3200" t="str">
        <f t="shared" ref="BW3200:BW3206" si="1778">"14:56:53.257"</f>
        <v>14:56:53.257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285</v>
      </c>
      <c r="CR3200">
        <v>0</v>
      </c>
      <c r="CW3200">
        <v>8876107</v>
      </c>
      <c r="CY3200">
        <v>0</v>
      </c>
      <c r="CZ3200">
        <v>0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25">
      <c r="A3201" t="str">
        <f t="shared" si="1776"/>
        <v>06/05/2020 14:56:47.608</v>
      </c>
      <c r="C3201" t="str">
        <f t="shared" si="1760"/>
        <v>FFDFD3C0</v>
      </c>
      <c r="D3201" t="s">
        <v>151</v>
      </c>
      <c r="E3201">
        <v>9</v>
      </c>
      <c r="H3201">
        <v>226</v>
      </c>
      <c r="I3201" t="s">
        <v>152</v>
      </c>
      <c r="J3201" t="s">
        <v>150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si="1777"/>
        <v>14:56:53.250</v>
      </c>
      <c r="T3201" t="str">
        <f t="shared" si="1777"/>
        <v>14:56:53.250</v>
      </c>
      <c r="U3201" t="str">
        <f t="shared" si="1743"/>
        <v>ACC530</v>
      </c>
      <c r="V3201">
        <v>0</v>
      </c>
      <c r="W3201">
        <v>0</v>
      </c>
      <c r="X3201">
        <v>1</v>
      </c>
      <c r="Z3201">
        <v>0</v>
      </c>
      <c r="AA3201">
        <v>9</v>
      </c>
      <c r="AB3201">
        <v>3</v>
      </c>
      <c r="AC3201">
        <v>0</v>
      </c>
      <c r="AD3201">
        <v>9</v>
      </c>
      <c r="AE3201">
        <v>0</v>
      </c>
      <c r="AF3201">
        <v>3</v>
      </c>
      <c r="AG3201">
        <v>1</v>
      </c>
      <c r="AH3201">
        <v>0</v>
      </c>
      <c r="AI3201" t="s">
        <v>1065</v>
      </c>
      <c r="AJ3201">
        <v>34.098000999999996</v>
      </c>
      <c r="AK3201" t="s">
        <v>1066</v>
      </c>
      <c r="AL3201">
        <v>-117.044134</v>
      </c>
      <c r="AM3201">
        <v>100</v>
      </c>
      <c r="AN3201">
        <v>5800</v>
      </c>
      <c r="AO3201" t="s">
        <v>118</v>
      </c>
      <c r="AP3201">
        <v>66</v>
      </c>
      <c r="AQ3201">
        <v>-86</v>
      </c>
      <c r="AR3201">
        <v>-640</v>
      </c>
      <c r="AZ3201">
        <v>1200</v>
      </c>
      <c r="BA3201">
        <v>1</v>
      </c>
      <c r="BB3201" t="str">
        <f t="shared" si="1744"/>
        <v xml:space="preserve">N9217B  </v>
      </c>
      <c r="BC3201">
        <v>1</v>
      </c>
      <c r="BE3201">
        <v>0</v>
      </c>
      <c r="BF3201">
        <v>0</v>
      </c>
      <c r="BG3201">
        <v>0</v>
      </c>
      <c r="BH3201">
        <v>5600</v>
      </c>
      <c r="BI3201">
        <v>1</v>
      </c>
      <c r="BJ3201">
        <v>0</v>
      </c>
      <c r="BK3201">
        <v>0</v>
      </c>
      <c r="BL3201">
        <v>0</v>
      </c>
      <c r="BO3201">
        <v>0</v>
      </c>
      <c r="BP3201">
        <v>0</v>
      </c>
      <c r="BW3201" t="str">
        <f t="shared" si="1778"/>
        <v>14:56:53.257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119</v>
      </c>
      <c r="CQ3201">
        <v>285</v>
      </c>
      <c r="CR3201">
        <v>0</v>
      </c>
      <c r="CW3201">
        <v>8876107</v>
      </c>
      <c r="CY3201">
        <v>0</v>
      </c>
      <c r="CZ3201">
        <v>0</v>
      </c>
      <c r="DA3201">
        <v>1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25">
      <c r="A3202" t="str">
        <f t="shared" si="1776"/>
        <v>06/05/2020 14:56:47.608</v>
      </c>
      <c r="C3202" t="str">
        <f t="shared" si="1760"/>
        <v>FFDFD3C0</v>
      </c>
      <c r="D3202" t="s">
        <v>148</v>
      </c>
      <c r="E3202">
        <v>11</v>
      </c>
      <c r="H3202">
        <v>53</v>
      </c>
      <c r="I3202" t="s">
        <v>364</v>
      </c>
      <c r="J3202" t="s">
        <v>150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777"/>
        <v>14:56:53.250</v>
      </c>
      <c r="T3202" t="str">
        <f t="shared" si="1777"/>
        <v>14:56:53.250</v>
      </c>
      <c r="U3202" t="str">
        <f t="shared" ref="U3202:U3265" si="1779">"ACC530"</f>
        <v>ACC530</v>
      </c>
      <c r="V3202">
        <v>0</v>
      </c>
      <c r="W3202">
        <v>0</v>
      </c>
      <c r="X3202">
        <v>1</v>
      </c>
      <c r="Z3202">
        <v>0</v>
      </c>
      <c r="AA3202">
        <v>9</v>
      </c>
      <c r="AB3202">
        <v>3</v>
      </c>
      <c r="AC3202">
        <v>0</v>
      </c>
      <c r="AD3202">
        <v>9</v>
      </c>
      <c r="AE3202">
        <v>0</v>
      </c>
      <c r="AF3202">
        <v>3</v>
      </c>
      <c r="AG3202">
        <v>1</v>
      </c>
      <c r="AH3202">
        <v>0</v>
      </c>
      <c r="AI3202" t="s">
        <v>1065</v>
      </c>
      <c r="AJ3202">
        <v>34.098000999999996</v>
      </c>
      <c r="AK3202" t="s">
        <v>1066</v>
      </c>
      <c r="AL3202">
        <v>-117.044134</v>
      </c>
      <c r="AM3202">
        <v>100</v>
      </c>
      <c r="AN3202">
        <v>5800</v>
      </c>
      <c r="AO3202" t="s">
        <v>118</v>
      </c>
      <c r="AP3202">
        <v>66</v>
      </c>
      <c r="AQ3202">
        <v>-86</v>
      </c>
      <c r="AR3202">
        <v>-640</v>
      </c>
      <c r="AZ3202">
        <v>1200</v>
      </c>
      <c r="BA3202">
        <v>1</v>
      </c>
      <c r="BB3202" t="str">
        <f t="shared" si="1744"/>
        <v xml:space="preserve">N9217B  </v>
      </c>
      <c r="BC3202">
        <v>1</v>
      </c>
      <c r="BE3202">
        <v>0</v>
      </c>
      <c r="BF3202">
        <v>0</v>
      </c>
      <c r="BG3202">
        <v>0</v>
      </c>
      <c r="BH3202">
        <v>5600</v>
      </c>
      <c r="BI3202">
        <v>1</v>
      </c>
      <c r="BJ3202">
        <v>0</v>
      </c>
      <c r="BK3202">
        <v>0</v>
      </c>
      <c r="BL3202">
        <v>0</v>
      </c>
      <c r="BO3202">
        <v>0</v>
      </c>
      <c r="BP3202">
        <v>0</v>
      </c>
      <c r="BW3202" t="str">
        <f t="shared" si="1778"/>
        <v>14:56:53.257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119</v>
      </c>
      <c r="CQ3202">
        <v>285</v>
      </c>
      <c r="CR3202">
        <v>0</v>
      </c>
      <c r="CW3202">
        <v>8876107</v>
      </c>
      <c r="CY3202">
        <v>0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25">
      <c r="A3203" t="str">
        <f t="shared" si="1776"/>
        <v>06/05/2020 14:56:47.608</v>
      </c>
      <c r="C3203" t="str">
        <f t="shared" si="1760"/>
        <v>FFDFD3C0</v>
      </c>
      <c r="D3203" t="s">
        <v>134</v>
      </c>
      <c r="E3203">
        <v>7</v>
      </c>
      <c r="F3203">
        <v>2007</v>
      </c>
      <c r="G3203" t="s">
        <v>135</v>
      </c>
      <c r="J3203" t="s">
        <v>136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777"/>
        <v>14:56:53.250</v>
      </c>
      <c r="T3203" t="str">
        <f t="shared" si="1777"/>
        <v>14:56:53.250</v>
      </c>
      <c r="U3203" t="str">
        <f t="shared" si="1779"/>
        <v>ACC530</v>
      </c>
      <c r="V3203">
        <v>0</v>
      </c>
      <c r="W3203">
        <v>0</v>
      </c>
      <c r="X3203">
        <v>1</v>
      </c>
      <c r="Z3203">
        <v>0</v>
      </c>
      <c r="AA3203">
        <v>9</v>
      </c>
      <c r="AB3203">
        <v>3</v>
      </c>
      <c r="AC3203">
        <v>0</v>
      </c>
      <c r="AD3203">
        <v>9</v>
      </c>
      <c r="AE3203">
        <v>0</v>
      </c>
      <c r="AF3203">
        <v>3</v>
      </c>
      <c r="AG3203">
        <v>1</v>
      </c>
      <c r="AH3203">
        <v>0</v>
      </c>
      <c r="AI3203" t="s">
        <v>1065</v>
      </c>
      <c r="AJ3203">
        <v>34.098000999999996</v>
      </c>
      <c r="AK3203" t="s">
        <v>1066</v>
      </c>
      <c r="AL3203">
        <v>-117.044134</v>
      </c>
      <c r="AM3203">
        <v>100</v>
      </c>
      <c r="AN3203">
        <v>5800</v>
      </c>
      <c r="AO3203" t="s">
        <v>118</v>
      </c>
      <c r="AP3203">
        <v>66</v>
      </c>
      <c r="AQ3203">
        <v>-86</v>
      </c>
      <c r="AR3203">
        <v>-640</v>
      </c>
      <c r="AZ3203">
        <v>1200</v>
      </c>
      <c r="BA3203">
        <v>1</v>
      </c>
      <c r="BB3203" t="str">
        <f t="shared" si="1744"/>
        <v xml:space="preserve">N9217B  </v>
      </c>
      <c r="BC3203">
        <v>1</v>
      </c>
      <c r="BE3203">
        <v>0</v>
      </c>
      <c r="BF3203">
        <v>0</v>
      </c>
      <c r="BG3203">
        <v>0</v>
      </c>
      <c r="BH3203">
        <v>5600</v>
      </c>
      <c r="BI3203">
        <v>1</v>
      </c>
      <c r="BJ3203">
        <v>0</v>
      </c>
      <c r="BK3203">
        <v>0</v>
      </c>
      <c r="BL3203">
        <v>0</v>
      </c>
      <c r="BO3203">
        <v>0</v>
      </c>
      <c r="BP3203">
        <v>0</v>
      </c>
      <c r="BW3203" t="str">
        <f t="shared" si="1778"/>
        <v>14:56:53.257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119</v>
      </c>
      <c r="CQ3203">
        <v>285</v>
      </c>
      <c r="CR3203">
        <v>0</v>
      </c>
      <c r="CW3203">
        <v>8876107</v>
      </c>
      <c r="CY3203">
        <v>0</v>
      </c>
      <c r="CZ3203">
        <v>0</v>
      </c>
      <c r="DA3203">
        <v>1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25">
      <c r="A3204" t="str">
        <f t="shared" si="1776"/>
        <v>06/05/2020 14:56:47.608</v>
      </c>
      <c r="C3204" t="str">
        <f t="shared" si="1760"/>
        <v>FFDFD3C0</v>
      </c>
      <c r="D3204" t="s">
        <v>151</v>
      </c>
      <c r="E3204">
        <v>8</v>
      </c>
      <c r="H3204">
        <v>225</v>
      </c>
      <c r="I3204" t="s">
        <v>353</v>
      </c>
      <c r="J3204" t="s">
        <v>150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777"/>
        <v>14:56:53.250</v>
      </c>
      <c r="T3204" t="str">
        <f t="shared" si="1777"/>
        <v>14:56:53.250</v>
      </c>
      <c r="U3204" t="str">
        <f t="shared" si="1779"/>
        <v>ACC530</v>
      </c>
      <c r="V3204">
        <v>0</v>
      </c>
      <c r="W3204">
        <v>0</v>
      </c>
      <c r="X3204">
        <v>1</v>
      </c>
      <c r="Z3204">
        <v>0</v>
      </c>
      <c r="AA3204">
        <v>9</v>
      </c>
      <c r="AB3204">
        <v>3</v>
      </c>
      <c r="AC3204">
        <v>0</v>
      </c>
      <c r="AD3204">
        <v>9</v>
      </c>
      <c r="AE3204">
        <v>0</v>
      </c>
      <c r="AF3204">
        <v>3</v>
      </c>
      <c r="AG3204">
        <v>1</v>
      </c>
      <c r="AH3204">
        <v>0</v>
      </c>
      <c r="AI3204" t="s">
        <v>1065</v>
      </c>
      <c r="AJ3204">
        <v>34.098000999999996</v>
      </c>
      <c r="AK3204" t="s">
        <v>1066</v>
      </c>
      <c r="AL3204">
        <v>-117.044134</v>
      </c>
      <c r="AM3204">
        <v>100</v>
      </c>
      <c r="AN3204">
        <v>5800</v>
      </c>
      <c r="AO3204" t="s">
        <v>118</v>
      </c>
      <c r="AP3204">
        <v>66</v>
      </c>
      <c r="AQ3204">
        <v>-86</v>
      </c>
      <c r="AR3204">
        <v>-640</v>
      </c>
      <c r="AZ3204">
        <v>1200</v>
      </c>
      <c r="BA3204">
        <v>1</v>
      </c>
      <c r="BB3204" t="str">
        <f t="shared" si="1744"/>
        <v xml:space="preserve">N9217B  </v>
      </c>
      <c r="BC3204">
        <v>1</v>
      </c>
      <c r="BE3204">
        <v>0</v>
      </c>
      <c r="BF3204">
        <v>0</v>
      </c>
      <c r="BG3204">
        <v>0</v>
      </c>
      <c r="BH3204">
        <v>5600</v>
      </c>
      <c r="BI3204">
        <v>1</v>
      </c>
      <c r="BJ3204">
        <v>0</v>
      </c>
      <c r="BK3204">
        <v>0</v>
      </c>
      <c r="BL3204">
        <v>0</v>
      </c>
      <c r="BO3204">
        <v>0</v>
      </c>
      <c r="BP3204">
        <v>0</v>
      </c>
      <c r="BW3204" t="str">
        <f t="shared" si="1778"/>
        <v>14:56:53.257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119</v>
      </c>
      <c r="CQ3204">
        <v>285</v>
      </c>
      <c r="CR3204">
        <v>0</v>
      </c>
      <c r="CW3204">
        <v>8876107</v>
      </c>
      <c r="CY3204">
        <v>0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25">
      <c r="A3205" t="str">
        <f t="shared" si="1776"/>
        <v>06/05/2020 14:56:47.608</v>
      </c>
      <c r="C3205" t="str">
        <f t="shared" si="1760"/>
        <v>FFDFD3C0</v>
      </c>
      <c r="D3205" t="s">
        <v>141</v>
      </c>
      <c r="E3205">
        <v>20</v>
      </c>
      <c r="F3205">
        <v>1020</v>
      </c>
      <c r="G3205" t="s">
        <v>114</v>
      </c>
      <c r="J3205" t="s">
        <v>142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si="1777"/>
        <v>14:56:53.250</v>
      </c>
      <c r="T3205" t="str">
        <f t="shared" si="1777"/>
        <v>14:56:53.250</v>
      </c>
      <c r="U3205" t="str">
        <f t="shared" si="1779"/>
        <v>ACC530</v>
      </c>
      <c r="V3205">
        <v>0</v>
      </c>
      <c r="W3205">
        <v>0</v>
      </c>
      <c r="X3205">
        <v>1</v>
      </c>
      <c r="Z3205">
        <v>0</v>
      </c>
      <c r="AA3205">
        <v>9</v>
      </c>
      <c r="AB3205">
        <v>3</v>
      </c>
      <c r="AC3205">
        <v>0</v>
      </c>
      <c r="AD3205">
        <v>9</v>
      </c>
      <c r="AE3205">
        <v>0</v>
      </c>
      <c r="AF3205">
        <v>3</v>
      </c>
      <c r="AG3205">
        <v>1</v>
      </c>
      <c r="AH3205">
        <v>0</v>
      </c>
      <c r="AI3205" t="s">
        <v>1065</v>
      </c>
      <c r="AJ3205">
        <v>34.098000999999996</v>
      </c>
      <c r="AK3205" t="s">
        <v>1066</v>
      </c>
      <c r="AL3205">
        <v>-117.044134</v>
      </c>
      <c r="AM3205">
        <v>100</v>
      </c>
      <c r="AN3205">
        <v>5800</v>
      </c>
      <c r="AO3205" t="s">
        <v>118</v>
      </c>
      <c r="AP3205">
        <v>66</v>
      </c>
      <c r="AQ3205">
        <v>-86</v>
      </c>
      <c r="AR3205">
        <v>-640</v>
      </c>
      <c r="AZ3205">
        <v>1200</v>
      </c>
      <c r="BA3205">
        <v>1</v>
      </c>
      <c r="BB3205" t="str">
        <f t="shared" ref="BB3205:BB3268" si="1780">"N9217B  "</f>
        <v xml:space="preserve">N9217B  </v>
      </c>
      <c r="BC3205">
        <v>1</v>
      </c>
      <c r="BE3205">
        <v>0</v>
      </c>
      <c r="BF3205">
        <v>0</v>
      </c>
      <c r="BG3205">
        <v>0</v>
      </c>
      <c r="BH3205">
        <v>5600</v>
      </c>
      <c r="BI3205">
        <v>1</v>
      </c>
      <c r="BJ3205">
        <v>0</v>
      </c>
      <c r="BK3205">
        <v>0</v>
      </c>
      <c r="BL3205">
        <v>0</v>
      </c>
      <c r="BO3205">
        <v>0</v>
      </c>
      <c r="BP3205">
        <v>0</v>
      </c>
      <c r="BW3205" t="str">
        <f t="shared" si="1778"/>
        <v>14:56:53.257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285</v>
      </c>
      <c r="CR3205">
        <v>0</v>
      </c>
      <c r="CW3205">
        <v>8876107</v>
      </c>
      <c r="CY3205">
        <v>0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25">
      <c r="A3206" t="str">
        <f t="shared" si="1776"/>
        <v>06/05/2020 14:56:47.608</v>
      </c>
      <c r="C3206" t="str">
        <f t="shared" si="1760"/>
        <v>FFDFD3C0</v>
      </c>
      <c r="D3206" t="s">
        <v>148</v>
      </c>
      <c r="E3206">
        <v>8</v>
      </c>
      <c r="H3206">
        <v>50</v>
      </c>
      <c r="I3206" t="s">
        <v>149</v>
      </c>
      <c r="J3206" t="s">
        <v>150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777"/>
        <v>14:56:53.250</v>
      </c>
      <c r="T3206" t="str">
        <f t="shared" si="1777"/>
        <v>14:56:53.250</v>
      </c>
      <c r="U3206" t="str">
        <f t="shared" si="1779"/>
        <v>ACC530</v>
      </c>
      <c r="V3206">
        <v>0</v>
      </c>
      <c r="W3206">
        <v>0</v>
      </c>
      <c r="X3206">
        <v>1</v>
      </c>
      <c r="Z3206">
        <v>0</v>
      </c>
      <c r="AA3206">
        <v>9</v>
      </c>
      <c r="AB3206">
        <v>3</v>
      </c>
      <c r="AC3206">
        <v>0</v>
      </c>
      <c r="AD3206">
        <v>9</v>
      </c>
      <c r="AE3206">
        <v>0</v>
      </c>
      <c r="AF3206">
        <v>3</v>
      </c>
      <c r="AG3206">
        <v>1</v>
      </c>
      <c r="AH3206">
        <v>0</v>
      </c>
      <c r="AI3206" t="s">
        <v>1065</v>
      </c>
      <c r="AJ3206">
        <v>34.098000999999996</v>
      </c>
      <c r="AK3206" t="s">
        <v>1066</v>
      </c>
      <c r="AL3206">
        <v>-117.044134</v>
      </c>
      <c r="AM3206">
        <v>100</v>
      </c>
      <c r="AN3206">
        <v>5800</v>
      </c>
      <c r="AO3206" t="s">
        <v>118</v>
      </c>
      <c r="AP3206">
        <v>66</v>
      </c>
      <c r="AQ3206">
        <v>-86</v>
      </c>
      <c r="AR3206">
        <v>-640</v>
      </c>
      <c r="AZ3206">
        <v>1200</v>
      </c>
      <c r="BA3206">
        <v>1</v>
      </c>
      <c r="BB3206" t="str">
        <f t="shared" si="1780"/>
        <v xml:space="preserve">N9217B  </v>
      </c>
      <c r="BC3206">
        <v>1</v>
      </c>
      <c r="BE3206">
        <v>0</v>
      </c>
      <c r="BF3206">
        <v>0</v>
      </c>
      <c r="BG3206">
        <v>0</v>
      </c>
      <c r="BH3206">
        <v>5600</v>
      </c>
      <c r="BI3206">
        <v>1</v>
      </c>
      <c r="BJ3206">
        <v>0</v>
      </c>
      <c r="BK3206">
        <v>0</v>
      </c>
      <c r="BL3206">
        <v>0</v>
      </c>
      <c r="BO3206">
        <v>0</v>
      </c>
      <c r="BP3206">
        <v>0</v>
      </c>
      <c r="BW3206" t="str">
        <f t="shared" si="1778"/>
        <v>14:56:53.257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119</v>
      </c>
      <c r="CQ3206">
        <v>285</v>
      </c>
      <c r="CR3206">
        <v>0</v>
      </c>
      <c r="CW3206">
        <v>8876107</v>
      </c>
      <c r="CY3206">
        <v>0</v>
      </c>
      <c r="CZ3206">
        <v>0</v>
      </c>
      <c r="DA3206">
        <v>1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25">
      <c r="A3207" t="str">
        <f t="shared" ref="A3207:A3213" si="1781">"06/05/2020 14:56:48.648"</f>
        <v>06/05/2020 14:56:48.648</v>
      </c>
      <c r="C3207" t="str">
        <f t="shared" si="1760"/>
        <v>FFDFD3C0</v>
      </c>
      <c r="D3207" t="s">
        <v>141</v>
      </c>
      <c r="E3207">
        <v>20</v>
      </c>
      <c r="F3207">
        <v>1020</v>
      </c>
      <c r="G3207" t="s">
        <v>114</v>
      </c>
      <c r="J3207" t="s">
        <v>142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ref="S3207:S3213" si="1782">"14:56:54.289"</f>
        <v>14:56:54.289</v>
      </c>
      <c r="T3207" t="str">
        <f t="shared" ref="T3207:T3213" si="1783">"14:56:53.789"</f>
        <v>14:56:53.789</v>
      </c>
      <c r="U3207" t="str">
        <f t="shared" si="1779"/>
        <v>ACC530</v>
      </c>
      <c r="V3207">
        <v>0</v>
      </c>
      <c r="W3207">
        <v>0</v>
      </c>
      <c r="X3207">
        <v>1</v>
      </c>
      <c r="Z3207">
        <v>0</v>
      </c>
      <c r="AA3207">
        <v>9</v>
      </c>
      <c r="AB3207">
        <v>3</v>
      </c>
      <c r="AC3207">
        <v>0</v>
      </c>
      <c r="AD3207">
        <v>9</v>
      </c>
      <c r="AE3207">
        <v>0</v>
      </c>
      <c r="AF3207">
        <v>3</v>
      </c>
      <c r="AG3207">
        <v>1</v>
      </c>
      <c r="AH3207">
        <v>0</v>
      </c>
      <c r="AI3207" t="s">
        <v>1067</v>
      </c>
      <c r="AJ3207">
        <v>34.097549999999998</v>
      </c>
      <c r="AK3207" t="s">
        <v>1068</v>
      </c>
      <c r="AL3207">
        <v>-117.043769</v>
      </c>
      <c r="AM3207">
        <v>100</v>
      </c>
      <c r="AN3207">
        <v>5700</v>
      </c>
      <c r="AO3207" t="s">
        <v>118</v>
      </c>
      <c r="AP3207">
        <v>66</v>
      </c>
      <c r="AQ3207">
        <v>-86</v>
      </c>
      <c r="AR3207">
        <v>-640</v>
      </c>
      <c r="AZ3207">
        <v>1200</v>
      </c>
      <c r="BA3207">
        <v>1</v>
      </c>
      <c r="BB3207" t="str">
        <f t="shared" si="1780"/>
        <v xml:space="preserve">N9217B  </v>
      </c>
      <c r="BC3207">
        <v>1</v>
      </c>
      <c r="BE3207">
        <v>0</v>
      </c>
      <c r="BF3207">
        <v>0</v>
      </c>
      <c r="BG3207">
        <v>0</v>
      </c>
      <c r="BH3207">
        <v>5600</v>
      </c>
      <c r="BI3207">
        <v>1</v>
      </c>
      <c r="BJ3207">
        <v>0</v>
      </c>
      <c r="BK3207">
        <v>0</v>
      </c>
      <c r="BL3207">
        <v>0</v>
      </c>
      <c r="BO3207">
        <v>0</v>
      </c>
      <c r="BP3207">
        <v>0</v>
      </c>
      <c r="BW3207" t="str">
        <f t="shared" ref="BW3207:BW3213" si="1784">"14:56:54.291"</f>
        <v>14:56:54.291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285</v>
      </c>
      <c r="CR3207">
        <v>0</v>
      </c>
      <c r="CW3207">
        <v>8876207</v>
      </c>
      <c r="CY3207">
        <v>0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25">
      <c r="A3208" t="str">
        <f t="shared" si="1781"/>
        <v>06/05/2020 14:56:48.648</v>
      </c>
      <c r="C3208" t="str">
        <f t="shared" si="1760"/>
        <v>FFDFD3C0</v>
      </c>
      <c r="D3208" t="s">
        <v>148</v>
      </c>
      <c r="E3208">
        <v>8</v>
      </c>
      <c r="H3208">
        <v>50</v>
      </c>
      <c r="I3208" t="s">
        <v>149</v>
      </c>
      <c r="J3208" t="s">
        <v>150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si="1782"/>
        <v>14:56:54.289</v>
      </c>
      <c r="T3208" t="str">
        <f t="shared" si="1783"/>
        <v>14:56:53.789</v>
      </c>
      <c r="U3208" t="str">
        <f t="shared" si="1779"/>
        <v>ACC530</v>
      </c>
      <c r="V3208">
        <v>0</v>
      </c>
      <c r="W3208">
        <v>0</v>
      </c>
      <c r="X3208">
        <v>1</v>
      </c>
      <c r="Z3208">
        <v>0</v>
      </c>
      <c r="AA3208">
        <v>9</v>
      </c>
      <c r="AB3208">
        <v>3</v>
      </c>
      <c r="AC3208">
        <v>0</v>
      </c>
      <c r="AD3208">
        <v>9</v>
      </c>
      <c r="AE3208">
        <v>0</v>
      </c>
      <c r="AF3208">
        <v>3</v>
      </c>
      <c r="AG3208">
        <v>1</v>
      </c>
      <c r="AH3208">
        <v>0</v>
      </c>
      <c r="AI3208" t="s">
        <v>1067</v>
      </c>
      <c r="AJ3208">
        <v>34.097549999999998</v>
      </c>
      <c r="AK3208" t="s">
        <v>1068</v>
      </c>
      <c r="AL3208">
        <v>-117.043769</v>
      </c>
      <c r="AM3208">
        <v>100</v>
      </c>
      <c r="AN3208">
        <v>5700</v>
      </c>
      <c r="AO3208" t="s">
        <v>118</v>
      </c>
      <c r="AP3208">
        <v>66</v>
      </c>
      <c r="AQ3208">
        <v>-86</v>
      </c>
      <c r="AR3208">
        <v>-640</v>
      </c>
      <c r="AZ3208">
        <v>1200</v>
      </c>
      <c r="BA3208">
        <v>1</v>
      </c>
      <c r="BB3208" t="str">
        <f t="shared" si="1780"/>
        <v xml:space="preserve">N9217B  </v>
      </c>
      <c r="BC3208">
        <v>1</v>
      </c>
      <c r="BE3208">
        <v>0</v>
      </c>
      <c r="BF3208">
        <v>0</v>
      </c>
      <c r="BG3208">
        <v>0</v>
      </c>
      <c r="BH3208">
        <v>5600</v>
      </c>
      <c r="BI3208">
        <v>1</v>
      </c>
      <c r="BJ3208">
        <v>0</v>
      </c>
      <c r="BK3208">
        <v>0</v>
      </c>
      <c r="BL3208">
        <v>0</v>
      </c>
      <c r="BO3208">
        <v>0</v>
      </c>
      <c r="BP3208">
        <v>0</v>
      </c>
      <c r="BW3208" t="str">
        <f t="shared" si="1784"/>
        <v>14:56:54.291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285</v>
      </c>
      <c r="CR3208">
        <v>0</v>
      </c>
      <c r="CW3208">
        <v>8876207</v>
      </c>
      <c r="CY3208">
        <v>0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25">
      <c r="A3209" t="str">
        <f t="shared" si="1781"/>
        <v>06/05/2020 14:56:48.648</v>
      </c>
      <c r="C3209" t="str">
        <f t="shared" si="1760"/>
        <v>FFDFD3C0</v>
      </c>
      <c r="D3209" t="s">
        <v>151</v>
      </c>
      <c r="E3209">
        <v>8</v>
      </c>
      <c r="H3209">
        <v>225</v>
      </c>
      <c r="I3209" t="s">
        <v>353</v>
      </c>
      <c r="J3209" t="s">
        <v>150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782"/>
        <v>14:56:54.289</v>
      </c>
      <c r="T3209" t="str">
        <f t="shared" si="1783"/>
        <v>14:56:53.789</v>
      </c>
      <c r="U3209" t="str">
        <f t="shared" si="1779"/>
        <v>ACC530</v>
      </c>
      <c r="V3209">
        <v>0</v>
      </c>
      <c r="W3209">
        <v>0</v>
      </c>
      <c r="X3209">
        <v>1</v>
      </c>
      <c r="Z3209">
        <v>0</v>
      </c>
      <c r="AA3209">
        <v>9</v>
      </c>
      <c r="AB3209">
        <v>3</v>
      </c>
      <c r="AC3209">
        <v>0</v>
      </c>
      <c r="AD3209">
        <v>9</v>
      </c>
      <c r="AE3209">
        <v>0</v>
      </c>
      <c r="AF3209">
        <v>3</v>
      </c>
      <c r="AG3209">
        <v>1</v>
      </c>
      <c r="AH3209">
        <v>0</v>
      </c>
      <c r="AI3209" t="s">
        <v>1067</v>
      </c>
      <c r="AJ3209">
        <v>34.097549999999998</v>
      </c>
      <c r="AK3209" t="s">
        <v>1068</v>
      </c>
      <c r="AL3209">
        <v>-117.043769</v>
      </c>
      <c r="AM3209">
        <v>100</v>
      </c>
      <c r="AN3209">
        <v>5700</v>
      </c>
      <c r="AO3209" t="s">
        <v>118</v>
      </c>
      <c r="AP3209">
        <v>66</v>
      </c>
      <c r="AQ3209">
        <v>-86</v>
      </c>
      <c r="AR3209">
        <v>-640</v>
      </c>
      <c r="AZ3209">
        <v>1200</v>
      </c>
      <c r="BA3209">
        <v>1</v>
      </c>
      <c r="BB3209" t="str">
        <f t="shared" si="1780"/>
        <v xml:space="preserve">N9217B  </v>
      </c>
      <c r="BC3209">
        <v>1</v>
      </c>
      <c r="BE3209">
        <v>0</v>
      </c>
      <c r="BF3209">
        <v>0</v>
      </c>
      <c r="BG3209">
        <v>0</v>
      </c>
      <c r="BH3209">
        <v>5600</v>
      </c>
      <c r="BI3209">
        <v>1</v>
      </c>
      <c r="BJ3209">
        <v>0</v>
      </c>
      <c r="BK3209">
        <v>0</v>
      </c>
      <c r="BL3209">
        <v>0</v>
      </c>
      <c r="BO3209">
        <v>0</v>
      </c>
      <c r="BP3209">
        <v>0</v>
      </c>
      <c r="BW3209" t="str">
        <f t="shared" si="1784"/>
        <v>14:56:54.291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285</v>
      </c>
      <c r="CR3209">
        <v>0</v>
      </c>
      <c r="CW3209">
        <v>8876207</v>
      </c>
      <c r="CY3209">
        <v>0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25">
      <c r="A3210" t="str">
        <f t="shared" si="1781"/>
        <v>06/05/2020 14:56:48.648</v>
      </c>
      <c r="C3210" t="str">
        <f t="shared" si="1760"/>
        <v>FFDFD3C0</v>
      </c>
      <c r="D3210" t="s">
        <v>113</v>
      </c>
      <c r="E3210">
        <v>3</v>
      </c>
      <c r="H3210">
        <v>166</v>
      </c>
      <c r="I3210" t="s">
        <v>114</v>
      </c>
      <c r="J3210" t="s">
        <v>115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782"/>
        <v>14:56:54.289</v>
      </c>
      <c r="T3210" t="str">
        <f t="shared" si="1783"/>
        <v>14:56:53.789</v>
      </c>
      <c r="U3210" t="str">
        <f t="shared" si="1779"/>
        <v>ACC530</v>
      </c>
      <c r="V3210">
        <v>0</v>
      </c>
      <c r="W3210">
        <v>0</v>
      </c>
      <c r="X3210">
        <v>1</v>
      </c>
      <c r="Z3210">
        <v>0</v>
      </c>
      <c r="AA3210">
        <v>9</v>
      </c>
      <c r="AB3210">
        <v>3</v>
      </c>
      <c r="AC3210">
        <v>0</v>
      </c>
      <c r="AD3210">
        <v>9</v>
      </c>
      <c r="AE3210">
        <v>0</v>
      </c>
      <c r="AF3210">
        <v>3</v>
      </c>
      <c r="AG3210">
        <v>1</v>
      </c>
      <c r="AH3210">
        <v>0</v>
      </c>
      <c r="AI3210" t="s">
        <v>1067</v>
      </c>
      <c r="AJ3210">
        <v>34.097549999999998</v>
      </c>
      <c r="AK3210" t="s">
        <v>1068</v>
      </c>
      <c r="AL3210">
        <v>-117.043769</v>
      </c>
      <c r="AM3210">
        <v>100</v>
      </c>
      <c r="AN3210">
        <v>5700</v>
      </c>
      <c r="AO3210" t="s">
        <v>118</v>
      </c>
      <c r="AP3210">
        <v>66</v>
      </c>
      <c r="AQ3210">
        <v>-86</v>
      </c>
      <c r="AR3210">
        <v>-640</v>
      </c>
      <c r="AZ3210">
        <v>1200</v>
      </c>
      <c r="BA3210">
        <v>1</v>
      </c>
      <c r="BB3210" t="str">
        <f t="shared" si="1780"/>
        <v xml:space="preserve">N9217B  </v>
      </c>
      <c r="BC3210">
        <v>1</v>
      </c>
      <c r="BE3210">
        <v>0</v>
      </c>
      <c r="BF3210">
        <v>0</v>
      </c>
      <c r="BG3210">
        <v>0</v>
      </c>
      <c r="BH3210">
        <v>5600</v>
      </c>
      <c r="BI3210">
        <v>1</v>
      </c>
      <c r="BJ3210">
        <v>0</v>
      </c>
      <c r="BK3210">
        <v>0</v>
      </c>
      <c r="BL3210">
        <v>0</v>
      </c>
      <c r="BO3210">
        <v>0</v>
      </c>
      <c r="BP3210">
        <v>0</v>
      </c>
      <c r="BW3210" t="str">
        <f t="shared" si="1784"/>
        <v>14:56:54.291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285</v>
      </c>
      <c r="CR3210">
        <v>0</v>
      </c>
      <c r="CW3210">
        <v>8876207</v>
      </c>
      <c r="CY3210">
        <v>0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25">
      <c r="A3211" t="str">
        <f t="shared" si="1781"/>
        <v>06/05/2020 14:56:48.648</v>
      </c>
      <c r="C3211" t="str">
        <f t="shared" si="1760"/>
        <v>FFDFD3C0</v>
      </c>
      <c r="D3211" t="s">
        <v>151</v>
      </c>
      <c r="E3211">
        <v>9</v>
      </c>
      <c r="H3211">
        <v>226</v>
      </c>
      <c r="I3211" t="s">
        <v>152</v>
      </c>
      <c r="J3211" t="s">
        <v>150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si="1782"/>
        <v>14:56:54.289</v>
      </c>
      <c r="T3211" t="str">
        <f t="shared" si="1783"/>
        <v>14:56:53.789</v>
      </c>
      <c r="U3211" t="str">
        <f t="shared" si="1779"/>
        <v>ACC530</v>
      </c>
      <c r="V3211">
        <v>0</v>
      </c>
      <c r="W3211">
        <v>0</v>
      </c>
      <c r="X3211">
        <v>1</v>
      </c>
      <c r="Z3211">
        <v>0</v>
      </c>
      <c r="AA3211">
        <v>9</v>
      </c>
      <c r="AB3211">
        <v>3</v>
      </c>
      <c r="AC3211">
        <v>0</v>
      </c>
      <c r="AD3211">
        <v>9</v>
      </c>
      <c r="AE3211">
        <v>0</v>
      </c>
      <c r="AF3211">
        <v>3</v>
      </c>
      <c r="AG3211">
        <v>1</v>
      </c>
      <c r="AH3211">
        <v>0</v>
      </c>
      <c r="AI3211" t="s">
        <v>1067</v>
      </c>
      <c r="AJ3211">
        <v>34.097549999999998</v>
      </c>
      <c r="AK3211" t="s">
        <v>1068</v>
      </c>
      <c r="AL3211">
        <v>-117.043769</v>
      </c>
      <c r="AM3211">
        <v>100</v>
      </c>
      <c r="AN3211">
        <v>5700</v>
      </c>
      <c r="AO3211" t="s">
        <v>118</v>
      </c>
      <c r="AP3211">
        <v>66</v>
      </c>
      <c r="AQ3211">
        <v>-86</v>
      </c>
      <c r="AR3211">
        <v>-640</v>
      </c>
      <c r="AZ3211">
        <v>1200</v>
      </c>
      <c r="BA3211">
        <v>1</v>
      </c>
      <c r="BB3211" t="str">
        <f t="shared" si="1780"/>
        <v xml:space="preserve">N9217B  </v>
      </c>
      <c r="BC3211">
        <v>1</v>
      </c>
      <c r="BE3211">
        <v>0</v>
      </c>
      <c r="BF3211">
        <v>0</v>
      </c>
      <c r="BG3211">
        <v>0</v>
      </c>
      <c r="BH3211">
        <v>5600</v>
      </c>
      <c r="BI3211">
        <v>1</v>
      </c>
      <c r="BJ3211">
        <v>0</v>
      </c>
      <c r="BK3211">
        <v>0</v>
      </c>
      <c r="BL3211">
        <v>0</v>
      </c>
      <c r="BO3211">
        <v>0</v>
      </c>
      <c r="BP3211">
        <v>0</v>
      </c>
      <c r="BW3211" t="str">
        <f t="shared" si="1784"/>
        <v>14:56:54.291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285</v>
      </c>
      <c r="CR3211">
        <v>0</v>
      </c>
      <c r="CW3211">
        <v>8876207</v>
      </c>
      <c r="CY3211">
        <v>0</v>
      </c>
      <c r="CZ3211">
        <v>0</v>
      </c>
      <c r="DA3211">
        <v>1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25">
      <c r="A3212" t="str">
        <f t="shared" si="1781"/>
        <v>06/05/2020 14:56:48.648</v>
      </c>
      <c r="C3212" t="str">
        <f t="shared" si="1760"/>
        <v>FFDFD3C0</v>
      </c>
      <c r="D3212" t="s">
        <v>134</v>
      </c>
      <c r="E3212">
        <v>7</v>
      </c>
      <c r="F3212">
        <v>2007</v>
      </c>
      <c r="G3212" t="s">
        <v>135</v>
      </c>
      <c r="J3212" t="s">
        <v>136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782"/>
        <v>14:56:54.289</v>
      </c>
      <c r="T3212" t="str">
        <f t="shared" si="1783"/>
        <v>14:56:53.789</v>
      </c>
      <c r="U3212" t="str">
        <f t="shared" si="1779"/>
        <v>ACC530</v>
      </c>
      <c r="V3212">
        <v>0</v>
      </c>
      <c r="W3212">
        <v>0</v>
      </c>
      <c r="X3212">
        <v>1</v>
      </c>
      <c r="Z3212">
        <v>0</v>
      </c>
      <c r="AA3212">
        <v>9</v>
      </c>
      <c r="AB3212">
        <v>3</v>
      </c>
      <c r="AC3212">
        <v>0</v>
      </c>
      <c r="AD3212">
        <v>9</v>
      </c>
      <c r="AE3212">
        <v>0</v>
      </c>
      <c r="AF3212">
        <v>3</v>
      </c>
      <c r="AG3212">
        <v>1</v>
      </c>
      <c r="AH3212">
        <v>0</v>
      </c>
      <c r="AI3212" t="s">
        <v>1067</v>
      </c>
      <c r="AJ3212">
        <v>34.097549999999998</v>
      </c>
      <c r="AK3212" t="s">
        <v>1068</v>
      </c>
      <c r="AL3212">
        <v>-117.043769</v>
      </c>
      <c r="AM3212">
        <v>100</v>
      </c>
      <c r="AN3212">
        <v>5700</v>
      </c>
      <c r="AO3212" t="s">
        <v>118</v>
      </c>
      <c r="AP3212">
        <v>66</v>
      </c>
      <c r="AQ3212">
        <v>-86</v>
      </c>
      <c r="AR3212">
        <v>-640</v>
      </c>
      <c r="AZ3212">
        <v>1200</v>
      </c>
      <c r="BA3212">
        <v>1</v>
      </c>
      <c r="BB3212" t="str">
        <f t="shared" si="1780"/>
        <v xml:space="preserve">N9217B  </v>
      </c>
      <c r="BC3212">
        <v>1</v>
      </c>
      <c r="BE3212">
        <v>0</v>
      </c>
      <c r="BF3212">
        <v>0</v>
      </c>
      <c r="BG3212">
        <v>0</v>
      </c>
      <c r="BH3212">
        <v>5600</v>
      </c>
      <c r="BI3212">
        <v>1</v>
      </c>
      <c r="BJ3212">
        <v>0</v>
      </c>
      <c r="BK3212">
        <v>0</v>
      </c>
      <c r="BL3212">
        <v>0</v>
      </c>
      <c r="BO3212">
        <v>0</v>
      </c>
      <c r="BP3212">
        <v>0</v>
      </c>
      <c r="BW3212" t="str">
        <f t="shared" si="1784"/>
        <v>14:56:54.291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285</v>
      </c>
      <c r="CR3212">
        <v>0</v>
      </c>
      <c r="CW3212">
        <v>8876207</v>
      </c>
      <c r="CY3212">
        <v>0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25">
      <c r="A3213" t="str">
        <f t="shared" si="1781"/>
        <v>06/05/2020 14:56:48.648</v>
      </c>
      <c r="C3213" t="str">
        <f t="shared" si="1760"/>
        <v>FFDFD3C0</v>
      </c>
      <c r="D3213" t="s">
        <v>148</v>
      </c>
      <c r="E3213">
        <v>11</v>
      </c>
      <c r="H3213">
        <v>53</v>
      </c>
      <c r="I3213" t="s">
        <v>364</v>
      </c>
      <c r="J3213" t="s">
        <v>150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782"/>
        <v>14:56:54.289</v>
      </c>
      <c r="T3213" t="str">
        <f t="shared" si="1783"/>
        <v>14:56:53.789</v>
      </c>
      <c r="U3213" t="str">
        <f t="shared" si="1779"/>
        <v>ACC530</v>
      </c>
      <c r="V3213">
        <v>0</v>
      </c>
      <c r="W3213">
        <v>0</v>
      </c>
      <c r="X3213">
        <v>1</v>
      </c>
      <c r="Z3213">
        <v>0</v>
      </c>
      <c r="AA3213">
        <v>9</v>
      </c>
      <c r="AB3213">
        <v>3</v>
      </c>
      <c r="AC3213">
        <v>0</v>
      </c>
      <c r="AD3213">
        <v>9</v>
      </c>
      <c r="AE3213">
        <v>0</v>
      </c>
      <c r="AF3213">
        <v>3</v>
      </c>
      <c r="AG3213">
        <v>1</v>
      </c>
      <c r="AH3213">
        <v>0</v>
      </c>
      <c r="AI3213" t="s">
        <v>1067</v>
      </c>
      <c r="AJ3213">
        <v>34.097549999999998</v>
      </c>
      <c r="AK3213" t="s">
        <v>1068</v>
      </c>
      <c r="AL3213">
        <v>-117.043769</v>
      </c>
      <c r="AM3213">
        <v>100</v>
      </c>
      <c r="AN3213">
        <v>5700</v>
      </c>
      <c r="AO3213" t="s">
        <v>118</v>
      </c>
      <c r="AP3213">
        <v>66</v>
      </c>
      <c r="AQ3213">
        <v>-86</v>
      </c>
      <c r="AR3213">
        <v>-640</v>
      </c>
      <c r="AZ3213">
        <v>1200</v>
      </c>
      <c r="BA3213">
        <v>1</v>
      </c>
      <c r="BB3213" t="str">
        <f t="shared" si="1780"/>
        <v xml:space="preserve">N9217B  </v>
      </c>
      <c r="BC3213">
        <v>1</v>
      </c>
      <c r="BE3213">
        <v>0</v>
      </c>
      <c r="BF3213">
        <v>0</v>
      </c>
      <c r="BG3213">
        <v>0</v>
      </c>
      <c r="BH3213">
        <v>5600</v>
      </c>
      <c r="BI3213">
        <v>1</v>
      </c>
      <c r="BJ3213">
        <v>0</v>
      </c>
      <c r="BK3213">
        <v>0</v>
      </c>
      <c r="BL3213">
        <v>0</v>
      </c>
      <c r="BO3213">
        <v>0</v>
      </c>
      <c r="BP3213">
        <v>0</v>
      </c>
      <c r="BW3213" t="str">
        <f t="shared" si="1784"/>
        <v>14:56:54.291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285</v>
      </c>
      <c r="CR3213">
        <v>0</v>
      </c>
      <c r="CW3213">
        <v>8876207</v>
      </c>
      <c r="CY3213">
        <v>0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25">
      <c r="A3214" t="str">
        <f t="shared" ref="A3214:A3220" si="1785">"06/05/2020 14:56:49.628"</f>
        <v>06/05/2020 14:56:49.628</v>
      </c>
      <c r="C3214" t="str">
        <f t="shared" si="1760"/>
        <v>FFDFD3C0</v>
      </c>
      <c r="D3214" t="s">
        <v>113</v>
      </c>
      <c r="E3214">
        <v>3</v>
      </c>
      <c r="H3214">
        <v>166</v>
      </c>
      <c r="I3214" t="s">
        <v>114</v>
      </c>
      <c r="J3214" t="s">
        <v>115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ref="S3214:S3220" si="1786">"14:56:55.289"</f>
        <v>14:56:55.289</v>
      </c>
      <c r="T3214" t="str">
        <f t="shared" ref="T3214:T3220" si="1787">"14:56:55.189"</f>
        <v>14:56:55.189</v>
      </c>
      <c r="U3214" t="str">
        <f t="shared" si="1779"/>
        <v>ACC530</v>
      </c>
      <c r="V3214">
        <v>0</v>
      </c>
      <c r="W3214">
        <v>0</v>
      </c>
      <c r="X3214">
        <v>1</v>
      </c>
      <c r="Z3214">
        <v>0</v>
      </c>
      <c r="AA3214">
        <v>9</v>
      </c>
      <c r="AB3214">
        <v>3</v>
      </c>
      <c r="AC3214">
        <v>0</v>
      </c>
      <c r="AD3214">
        <v>9</v>
      </c>
      <c r="AE3214">
        <v>0</v>
      </c>
      <c r="AF3214">
        <v>3</v>
      </c>
      <c r="AG3214">
        <v>1</v>
      </c>
      <c r="AH3214">
        <v>0</v>
      </c>
      <c r="AI3214" t="s">
        <v>1069</v>
      </c>
      <c r="AJ3214">
        <v>34.097163999999999</v>
      </c>
      <c r="AK3214" t="s">
        <v>829</v>
      </c>
      <c r="AL3214">
        <v>-117.043362</v>
      </c>
      <c r="AM3214">
        <v>100</v>
      </c>
      <c r="AN3214">
        <v>5700</v>
      </c>
      <c r="AO3214" t="s">
        <v>118</v>
      </c>
      <c r="AP3214">
        <v>67</v>
      </c>
      <c r="AQ3214">
        <v>-86</v>
      </c>
      <c r="AR3214">
        <v>-704</v>
      </c>
      <c r="AZ3214">
        <v>1200</v>
      </c>
      <c r="BA3214">
        <v>1</v>
      </c>
      <c r="BB3214" t="str">
        <f t="shared" si="1780"/>
        <v xml:space="preserve">N9217B  </v>
      </c>
      <c r="BC3214">
        <v>1</v>
      </c>
      <c r="BE3214">
        <v>0</v>
      </c>
      <c r="BF3214">
        <v>0</v>
      </c>
      <c r="BG3214">
        <v>0</v>
      </c>
      <c r="BH3214">
        <v>5600</v>
      </c>
      <c r="BI3214">
        <v>1</v>
      </c>
      <c r="BJ3214">
        <v>0</v>
      </c>
      <c r="BK3214">
        <v>0</v>
      </c>
      <c r="BL3214">
        <v>0</v>
      </c>
      <c r="BO3214">
        <v>0</v>
      </c>
      <c r="BP3214">
        <v>0</v>
      </c>
      <c r="BW3214" t="str">
        <f t="shared" ref="BW3214:BW3220" si="1788">"14:56:55.296"</f>
        <v>14:56:55.296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285</v>
      </c>
      <c r="CR3214">
        <v>0</v>
      </c>
      <c r="CW3214">
        <v>8876305</v>
      </c>
      <c r="CY3214">
        <v>0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25">
      <c r="A3215" t="str">
        <f t="shared" si="1785"/>
        <v>06/05/2020 14:56:49.628</v>
      </c>
      <c r="C3215" t="str">
        <f t="shared" si="1760"/>
        <v>FFDFD3C0</v>
      </c>
      <c r="D3215" t="s">
        <v>151</v>
      </c>
      <c r="E3215">
        <v>9</v>
      </c>
      <c r="H3215">
        <v>226</v>
      </c>
      <c r="I3215" t="s">
        <v>152</v>
      </c>
      <c r="J3215" t="s">
        <v>150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si="1786"/>
        <v>14:56:55.289</v>
      </c>
      <c r="T3215" t="str">
        <f t="shared" si="1787"/>
        <v>14:56:55.189</v>
      </c>
      <c r="U3215" t="str">
        <f t="shared" si="1779"/>
        <v>ACC530</v>
      </c>
      <c r="V3215">
        <v>0</v>
      </c>
      <c r="W3215">
        <v>0</v>
      </c>
      <c r="X3215">
        <v>1</v>
      </c>
      <c r="Z3215">
        <v>0</v>
      </c>
      <c r="AA3215">
        <v>9</v>
      </c>
      <c r="AB3215">
        <v>3</v>
      </c>
      <c r="AC3215">
        <v>0</v>
      </c>
      <c r="AD3215">
        <v>9</v>
      </c>
      <c r="AE3215">
        <v>0</v>
      </c>
      <c r="AF3215">
        <v>3</v>
      </c>
      <c r="AG3215">
        <v>1</v>
      </c>
      <c r="AH3215">
        <v>0</v>
      </c>
      <c r="AI3215" t="s">
        <v>1069</v>
      </c>
      <c r="AJ3215">
        <v>34.097163999999999</v>
      </c>
      <c r="AK3215" t="s">
        <v>829</v>
      </c>
      <c r="AL3215">
        <v>-117.043362</v>
      </c>
      <c r="AM3215">
        <v>100</v>
      </c>
      <c r="AN3215">
        <v>5700</v>
      </c>
      <c r="AO3215" t="s">
        <v>118</v>
      </c>
      <c r="AP3215">
        <v>67</v>
      </c>
      <c r="AQ3215">
        <v>-86</v>
      </c>
      <c r="AR3215">
        <v>-704</v>
      </c>
      <c r="AZ3215">
        <v>1200</v>
      </c>
      <c r="BA3215">
        <v>1</v>
      </c>
      <c r="BB3215" t="str">
        <f t="shared" si="1780"/>
        <v xml:space="preserve">N9217B  </v>
      </c>
      <c r="BC3215">
        <v>1</v>
      </c>
      <c r="BE3215">
        <v>0</v>
      </c>
      <c r="BF3215">
        <v>0</v>
      </c>
      <c r="BG3215">
        <v>0</v>
      </c>
      <c r="BH3215">
        <v>5600</v>
      </c>
      <c r="BI3215">
        <v>1</v>
      </c>
      <c r="BJ3215">
        <v>0</v>
      </c>
      <c r="BK3215">
        <v>0</v>
      </c>
      <c r="BL3215">
        <v>0</v>
      </c>
      <c r="BO3215">
        <v>0</v>
      </c>
      <c r="BP3215">
        <v>0</v>
      </c>
      <c r="BW3215" t="str">
        <f t="shared" si="1788"/>
        <v>14:56:55.296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285</v>
      </c>
      <c r="CR3215">
        <v>0</v>
      </c>
      <c r="CW3215">
        <v>8876305</v>
      </c>
      <c r="CY3215">
        <v>0</v>
      </c>
      <c r="CZ3215">
        <v>0</v>
      </c>
      <c r="DA3215">
        <v>1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25">
      <c r="A3216" t="str">
        <f t="shared" si="1785"/>
        <v>06/05/2020 14:56:49.628</v>
      </c>
      <c r="C3216" t="str">
        <f t="shared" si="1760"/>
        <v>FFDFD3C0</v>
      </c>
      <c r="D3216" t="s">
        <v>134</v>
      </c>
      <c r="E3216">
        <v>7</v>
      </c>
      <c r="F3216">
        <v>2007</v>
      </c>
      <c r="G3216" t="s">
        <v>135</v>
      </c>
      <c r="J3216" t="s">
        <v>136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786"/>
        <v>14:56:55.289</v>
      </c>
      <c r="T3216" t="str">
        <f t="shared" si="1787"/>
        <v>14:56:55.189</v>
      </c>
      <c r="U3216" t="str">
        <f t="shared" si="1779"/>
        <v>ACC530</v>
      </c>
      <c r="V3216">
        <v>0</v>
      </c>
      <c r="W3216">
        <v>0</v>
      </c>
      <c r="X3216">
        <v>1</v>
      </c>
      <c r="Z3216">
        <v>0</v>
      </c>
      <c r="AA3216">
        <v>9</v>
      </c>
      <c r="AB3216">
        <v>3</v>
      </c>
      <c r="AC3216">
        <v>0</v>
      </c>
      <c r="AD3216">
        <v>9</v>
      </c>
      <c r="AE3216">
        <v>0</v>
      </c>
      <c r="AF3216">
        <v>3</v>
      </c>
      <c r="AG3216">
        <v>1</v>
      </c>
      <c r="AH3216">
        <v>0</v>
      </c>
      <c r="AI3216" t="s">
        <v>1069</v>
      </c>
      <c r="AJ3216">
        <v>34.097163999999999</v>
      </c>
      <c r="AK3216" t="s">
        <v>829</v>
      </c>
      <c r="AL3216">
        <v>-117.043362</v>
      </c>
      <c r="AM3216">
        <v>100</v>
      </c>
      <c r="AN3216">
        <v>5700</v>
      </c>
      <c r="AO3216" t="s">
        <v>118</v>
      </c>
      <c r="AP3216">
        <v>67</v>
      </c>
      <c r="AQ3216">
        <v>-86</v>
      </c>
      <c r="AR3216">
        <v>-704</v>
      </c>
      <c r="AZ3216">
        <v>1200</v>
      </c>
      <c r="BA3216">
        <v>1</v>
      </c>
      <c r="BB3216" t="str">
        <f t="shared" si="1780"/>
        <v xml:space="preserve">N9217B  </v>
      </c>
      <c r="BC3216">
        <v>1</v>
      </c>
      <c r="BE3216">
        <v>0</v>
      </c>
      <c r="BF3216">
        <v>0</v>
      </c>
      <c r="BG3216">
        <v>0</v>
      </c>
      <c r="BH3216">
        <v>5600</v>
      </c>
      <c r="BI3216">
        <v>1</v>
      </c>
      <c r="BJ3216">
        <v>0</v>
      </c>
      <c r="BK3216">
        <v>0</v>
      </c>
      <c r="BL3216">
        <v>0</v>
      </c>
      <c r="BO3216">
        <v>0</v>
      </c>
      <c r="BP3216">
        <v>0</v>
      </c>
      <c r="BW3216" t="str">
        <f t="shared" si="1788"/>
        <v>14:56:55.296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285</v>
      </c>
      <c r="CR3216">
        <v>0</v>
      </c>
      <c r="CW3216">
        <v>8876305</v>
      </c>
      <c r="CY3216">
        <v>0</v>
      </c>
      <c r="CZ3216">
        <v>0</v>
      </c>
      <c r="DA3216">
        <v>1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25">
      <c r="A3217" t="str">
        <f t="shared" si="1785"/>
        <v>06/05/2020 14:56:49.628</v>
      </c>
      <c r="C3217" t="str">
        <f t="shared" si="1760"/>
        <v>FFDFD3C0</v>
      </c>
      <c r="D3217" t="s">
        <v>148</v>
      </c>
      <c r="E3217">
        <v>11</v>
      </c>
      <c r="H3217">
        <v>53</v>
      </c>
      <c r="I3217" t="s">
        <v>364</v>
      </c>
      <c r="J3217" t="s">
        <v>150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si="1786"/>
        <v>14:56:55.289</v>
      </c>
      <c r="T3217" t="str">
        <f t="shared" si="1787"/>
        <v>14:56:55.189</v>
      </c>
      <c r="U3217" t="str">
        <f t="shared" si="1779"/>
        <v>ACC530</v>
      </c>
      <c r="V3217">
        <v>0</v>
      </c>
      <c r="W3217">
        <v>0</v>
      </c>
      <c r="X3217">
        <v>1</v>
      </c>
      <c r="Z3217">
        <v>0</v>
      </c>
      <c r="AA3217">
        <v>9</v>
      </c>
      <c r="AB3217">
        <v>3</v>
      </c>
      <c r="AC3217">
        <v>0</v>
      </c>
      <c r="AD3217">
        <v>9</v>
      </c>
      <c r="AE3217">
        <v>0</v>
      </c>
      <c r="AF3217">
        <v>3</v>
      </c>
      <c r="AG3217">
        <v>1</v>
      </c>
      <c r="AH3217">
        <v>0</v>
      </c>
      <c r="AI3217" t="s">
        <v>1069</v>
      </c>
      <c r="AJ3217">
        <v>34.097163999999999</v>
      </c>
      <c r="AK3217" t="s">
        <v>829</v>
      </c>
      <c r="AL3217">
        <v>-117.043362</v>
      </c>
      <c r="AM3217">
        <v>100</v>
      </c>
      <c r="AN3217">
        <v>5700</v>
      </c>
      <c r="AO3217" t="s">
        <v>118</v>
      </c>
      <c r="AP3217">
        <v>67</v>
      </c>
      <c r="AQ3217">
        <v>-86</v>
      </c>
      <c r="AR3217">
        <v>-704</v>
      </c>
      <c r="AZ3217">
        <v>1200</v>
      </c>
      <c r="BA3217">
        <v>1</v>
      </c>
      <c r="BB3217" t="str">
        <f t="shared" si="1780"/>
        <v xml:space="preserve">N9217B  </v>
      </c>
      <c r="BC3217">
        <v>1</v>
      </c>
      <c r="BE3217">
        <v>0</v>
      </c>
      <c r="BF3217">
        <v>0</v>
      </c>
      <c r="BG3217">
        <v>0</v>
      </c>
      <c r="BH3217">
        <v>5600</v>
      </c>
      <c r="BI3217">
        <v>1</v>
      </c>
      <c r="BJ3217">
        <v>0</v>
      </c>
      <c r="BK3217">
        <v>0</v>
      </c>
      <c r="BL3217">
        <v>0</v>
      </c>
      <c r="BO3217">
        <v>0</v>
      </c>
      <c r="BP3217">
        <v>0</v>
      </c>
      <c r="BW3217" t="str">
        <f t="shared" si="1788"/>
        <v>14:56:55.296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285</v>
      </c>
      <c r="CR3217">
        <v>0</v>
      </c>
      <c r="CW3217">
        <v>8876305</v>
      </c>
      <c r="CY3217">
        <v>0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25">
      <c r="A3218" t="str">
        <f t="shared" si="1785"/>
        <v>06/05/2020 14:56:49.628</v>
      </c>
      <c r="C3218" t="str">
        <f t="shared" si="1760"/>
        <v>FFDFD3C0</v>
      </c>
      <c r="D3218" t="s">
        <v>141</v>
      </c>
      <c r="E3218">
        <v>20</v>
      </c>
      <c r="F3218">
        <v>1020</v>
      </c>
      <c r="G3218" t="s">
        <v>114</v>
      </c>
      <c r="J3218" t="s">
        <v>142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786"/>
        <v>14:56:55.289</v>
      </c>
      <c r="T3218" t="str">
        <f t="shared" si="1787"/>
        <v>14:56:55.189</v>
      </c>
      <c r="U3218" t="str">
        <f t="shared" si="1779"/>
        <v>ACC530</v>
      </c>
      <c r="V3218">
        <v>0</v>
      </c>
      <c r="W3218">
        <v>0</v>
      </c>
      <c r="X3218">
        <v>1</v>
      </c>
      <c r="Z3218">
        <v>0</v>
      </c>
      <c r="AA3218">
        <v>9</v>
      </c>
      <c r="AB3218">
        <v>3</v>
      </c>
      <c r="AC3218">
        <v>0</v>
      </c>
      <c r="AD3218">
        <v>9</v>
      </c>
      <c r="AE3218">
        <v>0</v>
      </c>
      <c r="AF3218">
        <v>3</v>
      </c>
      <c r="AG3218">
        <v>1</v>
      </c>
      <c r="AH3218">
        <v>0</v>
      </c>
      <c r="AI3218" t="s">
        <v>1069</v>
      </c>
      <c r="AJ3218">
        <v>34.097163999999999</v>
      </c>
      <c r="AK3218" t="s">
        <v>829</v>
      </c>
      <c r="AL3218">
        <v>-117.043362</v>
      </c>
      <c r="AM3218">
        <v>100</v>
      </c>
      <c r="AN3218">
        <v>5700</v>
      </c>
      <c r="AO3218" t="s">
        <v>118</v>
      </c>
      <c r="AP3218">
        <v>67</v>
      </c>
      <c r="AQ3218">
        <v>-86</v>
      </c>
      <c r="AR3218">
        <v>-704</v>
      </c>
      <c r="AZ3218">
        <v>1200</v>
      </c>
      <c r="BA3218">
        <v>1</v>
      </c>
      <c r="BB3218" t="str">
        <f t="shared" si="1780"/>
        <v xml:space="preserve">N9217B  </v>
      </c>
      <c r="BC3218">
        <v>1</v>
      </c>
      <c r="BE3218">
        <v>0</v>
      </c>
      <c r="BF3218">
        <v>0</v>
      </c>
      <c r="BG3218">
        <v>0</v>
      </c>
      <c r="BH3218">
        <v>5600</v>
      </c>
      <c r="BI3218">
        <v>1</v>
      </c>
      <c r="BJ3218">
        <v>0</v>
      </c>
      <c r="BK3218">
        <v>0</v>
      </c>
      <c r="BL3218">
        <v>0</v>
      </c>
      <c r="BO3218">
        <v>0</v>
      </c>
      <c r="BP3218">
        <v>0</v>
      </c>
      <c r="BW3218" t="str">
        <f t="shared" si="1788"/>
        <v>14:56:55.296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285</v>
      </c>
      <c r="CR3218">
        <v>0</v>
      </c>
      <c r="CW3218">
        <v>8876305</v>
      </c>
      <c r="CY3218">
        <v>0</v>
      </c>
      <c r="CZ3218">
        <v>0</v>
      </c>
      <c r="DA3218">
        <v>1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25">
      <c r="A3219" t="str">
        <f t="shared" si="1785"/>
        <v>06/05/2020 14:56:49.628</v>
      </c>
      <c r="C3219" t="str">
        <f t="shared" si="1760"/>
        <v>FFDFD3C0</v>
      </c>
      <c r="D3219" t="s">
        <v>148</v>
      </c>
      <c r="E3219">
        <v>8</v>
      </c>
      <c r="H3219">
        <v>50</v>
      </c>
      <c r="I3219" t="s">
        <v>149</v>
      </c>
      <c r="J3219" t="s">
        <v>150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786"/>
        <v>14:56:55.289</v>
      </c>
      <c r="T3219" t="str">
        <f t="shared" si="1787"/>
        <v>14:56:55.189</v>
      </c>
      <c r="U3219" t="str">
        <f t="shared" si="1779"/>
        <v>ACC530</v>
      </c>
      <c r="V3219">
        <v>0</v>
      </c>
      <c r="W3219">
        <v>0</v>
      </c>
      <c r="X3219">
        <v>1</v>
      </c>
      <c r="Z3219">
        <v>0</v>
      </c>
      <c r="AA3219">
        <v>9</v>
      </c>
      <c r="AB3219">
        <v>3</v>
      </c>
      <c r="AC3219">
        <v>0</v>
      </c>
      <c r="AD3219">
        <v>9</v>
      </c>
      <c r="AE3219">
        <v>0</v>
      </c>
      <c r="AF3219">
        <v>3</v>
      </c>
      <c r="AG3219">
        <v>1</v>
      </c>
      <c r="AH3219">
        <v>0</v>
      </c>
      <c r="AI3219" t="s">
        <v>1069</v>
      </c>
      <c r="AJ3219">
        <v>34.097163999999999</v>
      </c>
      <c r="AK3219" t="s">
        <v>829</v>
      </c>
      <c r="AL3219">
        <v>-117.043362</v>
      </c>
      <c r="AM3219">
        <v>100</v>
      </c>
      <c r="AN3219">
        <v>5700</v>
      </c>
      <c r="AO3219" t="s">
        <v>118</v>
      </c>
      <c r="AP3219">
        <v>67</v>
      </c>
      <c r="AQ3219">
        <v>-86</v>
      </c>
      <c r="AR3219">
        <v>-704</v>
      </c>
      <c r="AZ3219">
        <v>1200</v>
      </c>
      <c r="BA3219">
        <v>1</v>
      </c>
      <c r="BB3219" t="str">
        <f t="shared" si="1780"/>
        <v xml:space="preserve">N9217B  </v>
      </c>
      <c r="BC3219">
        <v>1</v>
      </c>
      <c r="BE3219">
        <v>0</v>
      </c>
      <c r="BF3219">
        <v>0</v>
      </c>
      <c r="BG3219">
        <v>0</v>
      </c>
      <c r="BH3219">
        <v>5600</v>
      </c>
      <c r="BI3219">
        <v>1</v>
      </c>
      <c r="BJ3219">
        <v>0</v>
      </c>
      <c r="BK3219">
        <v>0</v>
      </c>
      <c r="BL3219">
        <v>0</v>
      </c>
      <c r="BO3219">
        <v>0</v>
      </c>
      <c r="BP3219">
        <v>0</v>
      </c>
      <c r="BW3219" t="str">
        <f t="shared" si="1788"/>
        <v>14:56:55.296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285</v>
      </c>
      <c r="CR3219">
        <v>0</v>
      </c>
      <c r="CW3219">
        <v>8876305</v>
      </c>
      <c r="CY3219">
        <v>0</v>
      </c>
      <c r="CZ3219">
        <v>0</v>
      </c>
      <c r="DA3219">
        <v>1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25">
      <c r="A3220" t="str">
        <f t="shared" si="1785"/>
        <v>06/05/2020 14:56:49.628</v>
      </c>
      <c r="C3220" t="str">
        <f t="shared" si="1760"/>
        <v>FFDFD3C0</v>
      </c>
      <c r="D3220" t="s">
        <v>151</v>
      </c>
      <c r="E3220">
        <v>8</v>
      </c>
      <c r="H3220">
        <v>225</v>
      </c>
      <c r="I3220" t="s">
        <v>353</v>
      </c>
      <c r="J3220" t="s">
        <v>150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786"/>
        <v>14:56:55.289</v>
      </c>
      <c r="T3220" t="str">
        <f t="shared" si="1787"/>
        <v>14:56:55.189</v>
      </c>
      <c r="U3220" t="str">
        <f t="shared" si="1779"/>
        <v>ACC530</v>
      </c>
      <c r="V3220">
        <v>0</v>
      </c>
      <c r="W3220">
        <v>0</v>
      </c>
      <c r="X3220">
        <v>1</v>
      </c>
      <c r="Z3220">
        <v>0</v>
      </c>
      <c r="AA3220">
        <v>9</v>
      </c>
      <c r="AB3220">
        <v>3</v>
      </c>
      <c r="AC3220">
        <v>0</v>
      </c>
      <c r="AD3220">
        <v>9</v>
      </c>
      <c r="AE3220">
        <v>0</v>
      </c>
      <c r="AF3220">
        <v>3</v>
      </c>
      <c r="AG3220">
        <v>1</v>
      </c>
      <c r="AH3220">
        <v>0</v>
      </c>
      <c r="AI3220" t="s">
        <v>1069</v>
      </c>
      <c r="AJ3220">
        <v>34.097163999999999</v>
      </c>
      <c r="AK3220" t="s">
        <v>829</v>
      </c>
      <c r="AL3220">
        <v>-117.043362</v>
      </c>
      <c r="AM3220">
        <v>100</v>
      </c>
      <c r="AN3220">
        <v>5700</v>
      </c>
      <c r="AO3220" t="s">
        <v>118</v>
      </c>
      <c r="AP3220">
        <v>67</v>
      </c>
      <c r="AQ3220">
        <v>-86</v>
      </c>
      <c r="AR3220">
        <v>-704</v>
      </c>
      <c r="AZ3220">
        <v>1200</v>
      </c>
      <c r="BA3220">
        <v>1</v>
      </c>
      <c r="BB3220" t="str">
        <f t="shared" si="1780"/>
        <v xml:space="preserve">N9217B  </v>
      </c>
      <c r="BC3220">
        <v>1</v>
      </c>
      <c r="BE3220">
        <v>0</v>
      </c>
      <c r="BF3220">
        <v>0</v>
      </c>
      <c r="BG3220">
        <v>0</v>
      </c>
      <c r="BH3220">
        <v>5600</v>
      </c>
      <c r="BI3220">
        <v>1</v>
      </c>
      <c r="BJ3220">
        <v>0</v>
      </c>
      <c r="BK3220">
        <v>0</v>
      </c>
      <c r="BL3220">
        <v>0</v>
      </c>
      <c r="BO3220">
        <v>0</v>
      </c>
      <c r="BP3220">
        <v>0</v>
      </c>
      <c r="BW3220" t="str">
        <f t="shared" si="1788"/>
        <v>14:56:55.296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285</v>
      </c>
      <c r="CR3220">
        <v>0</v>
      </c>
      <c r="CW3220">
        <v>8876305</v>
      </c>
      <c r="CY3220">
        <v>0</v>
      </c>
      <c r="CZ3220">
        <v>0</v>
      </c>
      <c r="DA3220">
        <v>1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25">
      <c r="A3221" t="str">
        <f t="shared" ref="A3221:A3227" si="1789">"06/05/2020 14:56:50.650"</f>
        <v>06/05/2020 14:56:50.650</v>
      </c>
      <c r="C3221" t="str">
        <f t="shared" si="1760"/>
        <v>FFDFD3C0</v>
      </c>
      <c r="D3221" t="s">
        <v>151</v>
      </c>
      <c r="E3221">
        <v>9</v>
      </c>
      <c r="H3221">
        <v>226</v>
      </c>
      <c r="I3221" t="s">
        <v>152</v>
      </c>
      <c r="J3221" t="s">
        <v>150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ref="S3221:T3227" si="1790">"14:56:56.281"</f>
        <v>14:56:56.281</v>
      </c>
      <c r="T3221" t="str">
        <f t="shared" si="1790"/>
        <v>14:56:56.281</v>
      </c>
      <c r="U3221" t="str">
        <f t="shared" si="1779"/>
        <v>ACC530</v>
      </c>
      <c r="V3221">
        <v>0</v>
      </c>
      <c r="W3221">
        <v>0</v>
      </c>
      <c r="X3221">
        <v>1</v>
      </c>
      <c r="Z3221">
        <v>0</v>
      </c>
      <c r="AA3221">
        <v>9</v>
      </c>
      <c r="AB3221">
        <v>3</v>
      </c>
      <c r="AC3221">
        <v>0</v>
      </c>
      <c r="AD3221">
        <v>9</v>
      </c>
      <c r="AE3221">
        <v>0</v>
      </c>
      <c r="AF3221">
        <v>3</v>
      </c>
      <c r="AG3221">
        <v>1</v>
      </c>
      <c r="AH3221">
        <v>0</v>
      </c>
      <c r="AI3221" t="s">
        <v>1070</v>
      </c>
      <c r="AJ3221">
        <v>34.096820000000001</v>
      </c>
      <c r="AK3221" t="s">
        <v>1071</v>
      </c>
      <c r="AL3221">
        <v>-117.043018</v>
      </c>
      <c r="AM3221">
        <v>100</v>
      </c>
      <c r="AN3221">
        <v>5700</v>
      </c>
      <c r="AO3221" t="s">
        <v>118</v>
      </c>
      <c r="AP3221">
        <v>67</v>
      </c>
      <c r="AQ3221">
        <v>-86</v>
      </c>
      <c r="AR3221">
        <v>-704</v>
      </c>
      <c r="AZ3221">
        <v>1200</v>
      </c>
      <c r="BA3221">
        <v>1</v>
      </c>
      <c r="BB3221" t="str">
        <f t="shared" si="1780"/>
        <v xml:space="preserve">N9217B  </v>
      </c>
      <c r="BC3221">
        <v>1</v>
      </c>
      <c r="BE3221">
        <v>0</v>
      </c>
      <c r="BF3221">
        <v>0</v>
      </c>
      <c r="BG3221">
        <v>0</v>
      </c>
      <c r="BH3221">
        <v>5575</v>
      </c>
      <c r="BI3221">
        <v>1</v>
      </c>
      <c r="BJ3221">
        <v>0</v>
      </c>
      <c r="BK3221">
        <v>0</v>
      </c>
      <c r="BL3221">
        <v>0</v>
      </c>
      <c r="BO3221">
        <v>0</v>
      </c>
      <c r="BP3221">
        <v>0</v>
      </c>
      <c r="BW3221" t="str">
        <f t="shared" ref="BW3221:BW3227" si="1791">"14:56:56.286"</f>
        <v>14:56:56.286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285</v>
      </c>
      <c r="CR3221">
        <v>0</v>
      </c>
      <c r="CW3221">
        <v>8876394</v>
      </c>
      <c r="CY3221">
        <v>0</v>
      </c>
      <c r="CZ3221">
        <v>0</v>
      </c>
      <c r="DA3221">
        <v>0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25">
      <c r="A3222" t="str">
        <f t="shared" si="1789"/>
        <v>06/05/2020 14:56:50.650</v>
      </c>
      <c r="C3222" t="str">
        <f t="shared" si="1760"/>
        <v>FFDFD3C0</v>
      </c>
      <c r="D3222" t="s">
        <v>134</v>
      </c>
      <c r="E3222">
        <v>7</v>
      </c>
      <c r="F3222">
        <v>2007</v>
      </c>
      <c r="G3222" t="s">
        <v>135</v>
      </c>
      <c r="J3222" t="s">
        <v>136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si="1790"/>
        <v>14:56:56.281</v>
      </c>
      <c r="T3222" t="str">
        <f t="shared" si="1790"/>
        <v>14:56:56.281</v>
      </c>
      <c r="U3222" t="str">
        <f t="shared" si="1779"/>
        <v>ACC530</v>
      </c>
      <c r="V3222">
        <v>0</v>
      </c>
      <c r="W3222">
        <v>0</v>
      </c>
      <c r="X3222">
        <v>1</v>
      </c>
      <c r="Z3222">
        <v>0</v>
      </c>
      <c r="AA3222">
        <v>9</v>
      </c>
      <c r="AB3222">
        <v>3</v>
      </c>
      <c r="AC3222">
        <v>0</v>
      </c>
      <c r="AD3222">
        <v>9</v>
      </c>
      <c r="AE3222">
        <v>0</v>
      </c>
      <c r="AF3222">
        <v>3</v>
      </c>
      <c r="AG3222">
        <v>1</v>
      </c>
      <c r="AH3222">
        <v>0</v>
      </c>
      <c r="AI3222" t="s">
        <v>1070</v>
      </c>
      <c r="AJ3222">
        <v>34.096820000000001</v>
      </c>
      <c r="AK3222" t="s">
        <v>1071</v>
      </c>
      <c r="AL3222">
        <v>-117.043018</v>
      </c>
      <c r="AM3222">
        <v>100</v>
      </c>
      <c r="AN3222">
        <v>5700</v>
      </c>
      <c r="AO3222" t="s">
        <v>118</v>
      </c>
      <c r="AP3222">
        <v>67</v>
      </c>
      <c r="AQ3222">
        <v>-86</v>
      </c>
      <c r="AR3222">
        <v>-704</v>
      </c>
      <c r="AZ3222">
        <v>1200</v>
      </c>
      <c r="BA3222">
        <v>1</v>
      </c>
      <c r="BB3222" t="str">
        <f t="shared" si="1780"/>
        <v xml:space="preserve">N9217B  </v>
      </c>
      <c r="BC3222">
        <v>1</v>
      </c>
      <c r="BE3222">
        <v>0</v>
      </c>
      <c r="BF3222">
        <v>0</v>
      </c>
      <c r="BG3222">
        <v>0</v>
      </c>
      <c r="BH3222">
        <v>5575</v>
      </c>
      <c r="BI3222">
        <v>1</v>
      </c>
      <c r="BJ3222">
        <v>0</v>
      </c>
      <c r="BK3222">
        <v>0</v>
      </c>
      <c r="BL3222">
        <v>0</v>
      </c>
      <c r="BO3222">
        <v>0</v>
      </c>
      <c r="BP3222">
        <v>0</v>
      </c>
      <c r="BW3222" t="str">
        <f t="shared" si="1791"/>
        <v>14:56:56.286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285</v>
      </c>
      <c r="CR3222">
        <v>0</v>
      </c>
      <c r="CW3222">
        <v>8876394</v>
      </c>
      <c r="CY3222">
        <v>0</v>
      </c>
      <c r="CZ3222">
        <v>0</v>
      </c>
      <c r="DA3222">
        <v>1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25">
      <c r="A3223" t="str">
        <f t="shared" si="1789"/>
        <v>06/05/2020 14:56:50.650</v>
      </c>
      <c r="C3223" t="str">
        <f t="shared" si="1760"/>
        <v>FFDFD3C0</v>
      </c>
      <c r="D3223" t="s">
        <v>141</v>
      </c>
      <c r="E3223">
        <v>20</v>
      </c>
      <c r="F3223">
        <v>1020</v>
      </c>
      <c r="G3223" t="s">
        <v>114</v>
      </c>
      <c r="J3223" t="s">
        <v>142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si="1790"/>
        <v>14:56:56.281</v>
      </c>
      <c r="T3223" t="str">
        <f t="shared" si="1790"/>
        <v>14:56:56.281</v>
      </c>
      <c r="U3223" t="str">
        <f t="shared" si="1779"/>
        <v>ACC530</v>
      </c>
      <c r="V3223">
        <v>0</v>
      </c>
      <c r="W3223">
        <v>0</v>
      </c>
      <c r="X3223">
        <v>1</v>
      </c>
      <c r="Z3223">
        <v>0</v>
      </c>
      <c r="AA3223">
        <v>9</v>
      </c>
      <c r="AB3223">
        <v>3</v>
      </c>
      <c r="AC3223">
        <v>0</v>
      </c>
      <c r="AD3223">
        <v>9</v>
      </c>
      <c r="AE3223">
        <v>0</v>
      </c>
      <c r="AF3223">
        <v>3</v>
      </c>
      <c r="AG3223">
        <v>1</v>
      </c>
      <c r="AH3223">
        <v>0</v>
      </c>
      <c r="AI3223" t="s">
        <v>1070</v>
      </c>
      <c r="AJ3223">
        <v>34.096820000000001</v>
      </c>
      <c r="AK3223" t="s">
        <v>1071</v>
      </c>
      <c r="AL3223">
        <v>-117.043018</v>
      </c>
      <c r="AM3223">
        <v>100</v>
      </c>
      <c r="AN3223">
        <v>5700</v>
      </c>
      <c r="AO3223" t="s">
        <v>118</v>
      </c>
      <c r="AP3223">
        <v>67</v>
      </c>
      <c r="AQ3223">
        <v>-86</v>
      </c>
      <c r="AR3223">
        <v>-704</v>
      </c>
      <c r="AZ3223">
        <v>1200</v>
      </c>
      <c r="BA3223">
        <v>1</v>
      </c>
      <c r="BB3223" t="str">
        <f t="shared" si="1780"/>
        <v xml:space="preserve">N9217B  </v>
      </c>
      <c r="BC3223">
        <v>1</v>
      </c>
      <c r="BE3223">
        <v>0</v>
      </c>
      <c r="BF3223">
        <v>0</v>
      </c>
      <c r="BG3223">
        <v>0</v>
      </c>
      <c r="BH3223">
        <v>5575</v>
      </c>
      <c r="BI3223">
        <v>1</v>
      </c>
      <c r="BJ3223">
        <v>0</v>
      </c>
      <c r="BK3223">
        <v>0</v>
      </c>
      <c r="BL3223">
        <v>0</v>
      </c>
      <c r="BO3223">
        <v>0</v>
      </c>
      <c r="BP3223">
        <v>0</v>
      </c>
      <c r="BW3223" t="str">
        <f t="shared" si="1791"/>
        <v>14:56:56.286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7</v>
      </c>
      <c r="CP3223" t="s">
        <v>119</v>
      </c>
      <c r="CQ3223">
        <v>285</v>
      </c>
      <c r="CR3223">
        <v>0</v>
      </c>
      <c r="CW3223">
        <v>8876394</v>
      </c>
      <c r="CY3223">
        <v>0</v>
      </c>
      <c r="CZ3223">
        <v>0</v>
      </c>
      <c r="DA3223">
        <v>1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25">
      <c r="A3224" t="str">
        <f t="shared" si="1789"/>
        <v>06/05/2020 14:56:50.650</v>
      </c>
      <c r="C3224" t="str">
        <f t="shared" si="1760"/>
        <v>FFDFD3C0</v>
      </c>
      <c r="D3224" t="s">
        <v>148</v>
      </c>
      <c r="E3224">
        <v>11</v>
      </c>
      <c r="H3224">
        <v>53</v>
      </c>
      <c r="I3224" t="s">
        <v>364</v>
      </c>
      <c r="J3224" t="s">
        <v>150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si="1790"/>
        <v>14:56:56.281</v>
      </c>
      <c r="T3224" t="str">
        <f t="shared" si="1790"/>
        <v>14:56:56.281</v>
      </c>
      <c r="U3224" t="str">
        <f t="shared" si="1779"/>
        <v>ACC530</v>
      </c>
      <c r="V3224">
        <v>0</v>
      </c>
      <c r="W3224">
        <v>0</v>
      </c>
      <c r="X3224">
        <v>1</v>
      </c>
      <c r="Z3224">
        <v>0</v>
      </c>
      <c r="AA3224">
        <v>9</v>
      </c>
      <c r="AB3224">
        <v>3</v>
      </c>
      <c r="AC3224">
        <v>0</v>
      </c>
      <c r="AD3224">
        <v>9</v>
      </c>
      <c r="AE3224">
        <v>0</v>
      </c>
      <c r="AF3224">
        <v>3</v>
      </c>
      <c r="AG3224">
        <v>1</v>
      </c>
      <c r="AH3224">
        <v>0</v>
      </c>
      <c r="AI3224" t="s">
        <v>1070</v>
      </c>
      <c r="AJ3224">
        <v>34.096820000000001</v>
      </c>
      <c r="AK3224" t="s">
        <v>1071</v>
      </c>
      <c r="AL3224">
        <v>-117.043018</v>
      </c>
      <c r="AM3224">
        <v>100</v>
      </c>
      <c r="AN3224">
        <v>5700</v>
      </c>
      <c r="AO3224" t="s">
        <v>118</v>
      </c>
      <c r="AP3224">
        <v>67</v>
      </c>
      <c r="AQ3224">
        <v>-86</v>
      </c>
      <c r="AR3224">
        <v>-704</v>
      </c>
      <c r="AZ3224">
        <v>1200</v>
      </c>
      <c r="BA3224">
        <v>1</v>
      </c>
      <c r="BB3224" t="str">
        <f t="shared" si="1780"/>
        <v xml:space="preserve">N9217B  </v>
      </c>
      <c r="BC3224">
        <v>1</v>
      </c>
      <c r="BE3224">
        <v>0</v>
      </c>
      <c r="BF3224">
        <v>0</v>
      </c>
      <c r="BG3224">
        <v>0</v>
      </c>
      <c r="BH3224">
        <v>5575</v>
      </c>
      <c r="BI3224">
        <v>1</v>
      </c>
      <c r="BJ3224">
        <v>0</v>
      </c>
      <c r="BK3224">
        <v>0</v>
      </c>
      <c r="BL3224">
        <v>0</v>
      </c>
      <c r="BO3224">
        <v>0</v>
      </c>
      <c r="BP3224">
        <v>0</v>
      </c>
      <c r="BW3224" t="str">
        <f t="shared" si="1791"/>
        <v>14:56:56.286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285</v>
      </c>
      <c r="CR3224">
        <v>0</v>
      </c>
      <c r="CW3224">
        <v>8876394</v>
      </c>
      <c r="CY3224">
        <v>0</v>
      </c>
      <c r="CZ3224">
        <v>0</v>
      </c>
      <c r="DA3224">
        <v>1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25">
      <c r="A3225" t="str">
        <f t="shared" si="1789"/>
        <v>06/05/2020 14:56:50.650</v>
      </c>
      <c r="C3225" t="str">
        <f t="shared" si="1760"/>
        <v>FFDFD3C0</v>
      </c>
      <c r="D3225" t="s">
        <v>148</v>
      </c>
      <c r="E3225">
        <v>8</v>
      </c>
      <c r="H3225">
        <v>50</v>
      </c>
      <c r="I3225" t="s">
        <v>149</v>
      </c>
      <c r="J3225" t="s">
        <v>150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790"/>
        <v>14:56:56.281</v>
      </c>
      <c r="T3225" t="str">
        <f t="shared" si="1790"/>
        <v>14:56:56.281</v>
      </c>
      <c r="U3225" t="str">
        <f t="shared" si="1779"/>
        <v>ACC530</v>
      </c>
      <c r="V3225">
        <v>0</v>
      </c>
      <c r="W3225">
        <v>0</v>
      </c>
      <c r="X3225">
        <v>1</v>
      </c>
      <c r="Z3225">
        <v>0</v>
      </c>
      <c r="AA3225">
        <v>9</v>
      </c>
      <c r="AB3225">
        <v>3</v>
      </c>
      <c r="AC3225">
        <v>0</v>
      </c>
      <c r="AD3225">
        <v>9</v>
      </c>
      <c r="AE3225">
        <v>0</v>
      </c>
      <c r="AF3225">
        <v>3</v>
      </c>
      <c r="AG3225">
        <v>1</v>
      </c>
      <c r="AH3225">
        <v>0</v>
      </c>
      <c r="AI3225" t="s">
        <v>1070</v>
      </c>
      <c r="AJ3225">
        <v>34.096820000000001</v>
      </c>
      <c r="AK3225" t="s">
        <v>1071</v>
      </c>
      <c r="AL3225">
        <v>-117.043018</v>
      </c>
      <c r="AM3225">
        <v>100</v>
      </c>
      <c r="AN3225">
        <v>5700</v>
      </c>
      <c r="AO3225" t="s">
        <v>118</v>
      </c>
      <c r="AP3225">
        <v>67</v>
      </c>
      <c r="AQ3225">
        <v>-86</v>
      </c>
      <c r="AR3225">
        <v>-704</v>
      </c>
      <c r="AZ3225">
        <v>1200</v>
      </c>
      <c r="BA3225">
        <v>1</v>
      </c>
      <c r="BB3225" t="str">
        <f t="shared" si="1780"/>
        <v xml:space="preserve">N9217B  </v>
      </c>
      <c r="BC3225">
        <v>1</v>
      </c>
      <c r="BE3225">
        <v>0</v>
      </c>
      <c r="BF3225">
        <v>0</v>
      </c>
      <c r="BG3225">
        <v>0</v>
      </c>
      <c r="BH3225">
        <v>5575</v>
      </c>
      <c r="BI3225">
        <v>1</v>
      </c>
      <c r="BJ3225">
        <v>0</v>
      </c>
      <c r="BK3225">
        <v>0</v>
      </c>
      <c r="BL3225">
        <v>0</v>
      </c>
      <c r="BO3225">
        <v>0</v>
      </c>
      <c r="BP3225">
        <v>0</v>
      </c>
      <c r="BW3225" t="str">
        <f t="shared" si="1791"/>
        <v>14:56:56.286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285</v>
      </c>
      <c r="CR3225">
        <v>0</v>
      </c>
      <c r="CW3225">
        <v>8876394</v>
      </c>
      <c r="CY3225">
        <v>0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25">
      <c r="A3226" t="str">
        <f t="shared" si="1789"/>
        <v>06/05/2020 14:56:50.650</v>
      </c>
      <c r="C3226" t="str">
        <f t="shared" si="1760"/>
        <v>FFDFD3C0</v>
      </c>
      <c r="D3226" t="s">
        <v>151</v>
      </c>
      <c r="E3226">
        <v>8</v>
      </c>
      <c r="H3226">
        <v>225</v>
      </c>
      <c r="I3226" t="s">
        <v>353</v>
      </c>
      <c r="J3226" t="s">
        <v>150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790"/>
        <v>14:56:56.281</v>
      </c>
      <c r="T3226" t="str">
        <f t="shared" si="1790"/>
        <v>14:56:56.281</v>
      </c>
      <c r="U3226" t="str">
        <f t="shared" si="1779"/>
        <v>ACC530</v>
      </c>
      <c r="V3226">
        <v>0</v>
      </c>
      <c r="W3226">
        <v>0</v>
      </c>
      <c r="X3226">
        <v>1</v>
      </c>
      <c r="Z3226">
        <v>0</v>
      </c>
      <c r="AA3226">
        <v>9</v>
      </c>
      <c r="AB3226">
        <v>3</v>
      </c>
      <c r="AC3226">
        <v>0</v>
      </c>
      <c r="AD3226">
        <v>9</v>
      </c>
      <c r="AE3226">
        <v>0</v>
      </c>
      <c r="AF3226">
        <v>3</v>
      </c>
      <c r="AG3226">
        <v>1</v>
      </c>
      <c r="AH3226">
        <v>0</v>
      </c>
      <c r="AI3226" t="s">
        <v>1070</v>
      </c>
      <c r="AJ3226">
        <v>34.096820000000001</v>
      </c>
      <c r="AK3226" t="s">
        <v>1071</v>
      </c>
      <c r="AL3226">
        <v>-117.043018</v>
      </c>
      <c r="AM3226">
        <v>100</v>
      </c>
      <c r="AN3226">
        <v>5700</v>
      </c>
      <c r="AO3226" t="s">
        <v>118</v>
      </c>
      <c r="AP3226">
        <v>67</v>
      </c>
      <c r="AQ3226">
        <v>-86</v>
      </c>
      <c r="AR3226">
        <v>-704</v>
      </c>
      <c r="AZ3226">
        <v>1200</v>
      </c>
      <c r="BA3226">
        <v>1</v>
      </c>
      <c r="BB3226" t="str">
        <f t="shared" si="1780"/>
        <v xml:space="preserve">N9217B  </v>
      </c>
      <c r="BC3226">
        <v>1</v>
      </c>
      <c r="BE3226">
        <v>0</v>
      </c>
      <c r="BF3226">
        <v>0</v>
      </c>
      <c r="BG3226">
        <v>0</v>
      </c>
      <c r="BH3226">
        <v>5575</v>
      </c>
      <c r="BI3226">
        <v>1</v>
      </c>
      <c r="BJ3226">
        <v>0</v>
      </c>
      <c r="BK3226">
        <v>0</v>
      </c>
      <c r="BL3226">
        <v>0</v>
      </c>
      <c r="BO3226">
        <v>0</v>
      </c>
      <c r="BP3226">
        <v>0</v>
      </c>
      <c r="BW3226" t="str">
        <f t="shared" si="1791"/>
        <v>14:56:56.286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285</v>
      </c>
      <c r="CR3226">
        <v>0</v>
      </c>
      <c r="CW3226">
        <v>8876394</v>
      </c>
      <c r="CY3226">
        <v>0</v>
      </c>
      <c r="CZ3226">
        <v>0</v>
      </c>
      <c r="DA3226">
        <v>1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25">
      <c r="A3227" t="str">
        <f t="shared" si="1789"/>
        <v>06/05/2020 14:56:50.650</v>
      </c>
      <c r="C3227" t="str">
        <f t="shared" si="1760"/>
        <v>FFDFD3C0</v>
      </c>
      <c r="D3227" t="s">
        <v>113</v>
      </c>
      <c r="E3227">
        <v>3</v>
      </c>
      <c r="H3227">
        <v>166</v>
      </c>
      <c r="I3227" t="s">
        <v>114</v>
      </c>
      <c r="J3227" t="s">
        <v>115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790"/>
        <v>14:56:56.281</v>
      </c>
      <c r="T3227" t="str">
        <f t="shared" si="1790"/>
        <v>14:56:56.281</v>
      </c>
      <c r="U3227" t="str">
        <f t="shared" si="1779"/>
        <v>ACC530</v>
      </c>
      <c r="V3227">
        <v>0</v>
      </c>
      <c r="W3227">
        <v>0</v>
      </c>
      <c r="X3227">
        <v>1</v>
      </c>
      <c r="Z3227">
        <v>0</v>
      </c>
      <c r="AA3227">
        <v>9</v>
      </c>
      <c r="AB3227">
        <v>3</v>
      </c>
      <c r="AC3227">
        <v>0</v>
      </c>
      <c r="AD3227">
        <v>9</v>
      </c>
      <c r="AE3227">
        <v>0</v>
      </c>
      <c r="AF3227">
        <v>3</v>
      </c>
      <c r="AG3227">
        <v>1</v>
      </c>
      <c r="AH3227">
        <v>0</v>
      </c>
      <c r="AI3227" t="s">
        <v>1070</v>
      </c>
      <c r="AJ3227">
        <v>34.096820000000001</v>
      </c>
      <c r="AK3227" t="s">
        <v>1071</v>
      </c>
      <c r="AL3227">
        <v>-117.043018</v>
      </c>
      <c r="AM3227">
        <v>100</v>
      </c>
      <c r="AN3227">
        <v>5700</v>
      </c>
      <c r="AO3227" t="s">
        <v>118</v>
      </c>
      <c r="AP3227">
        <v>67</v>
      </c>
      <c r="AQ3227">
        <v>-86</v>
      </c>
      <c r="AR3227">
        <v>-704</v>
      </c>
      <c r="AZ3227">
        <v>1200</v>
      </c>
      <c r="BA3227">
        <v>1</v>
      </c>
      <c r="BB3227" t="str">
        <f t="shared" si="1780"/>
        <v xml:space="preserve">N9217B  </v>
      </c>
      <c r="BC3227">
        <v>1</v>
      </c>
      <c r="BE3227">
        <v>0</v>
      </c>
      <c r="BF3227">
        <v>0</v>
      </c>
      <c r="BG3227">
        <v>0</v>
      </c>
      <c r="BH3227">
        <v>5575</v>
      </c>
      <c r="BI3227">
        <v>1</v>
      </c>
      <c r="BJ3227">
        <v>0</v>
      </c>
      <c r="BK3227">
        <v>0</v>
      </c>
      <c r="BL3227">
        <v>0</v>
      </c>
      <c r="BO3227">
        <v>0</v>
      </c>
      <c r="BP3227">
        <v>0</v>
      </c>
      <c r="BW3227" t="str">
        <f t="shared" si="1791"/>
        <v>14:56:56.286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285</v>
      </c>
      <c r="CR3227">
        <v>0</v>
      </c>
      <c r="CW3227">
        <v>8876394</v>
      </c>
      <c r="CY3227">
        <v>0</v>
      </c>
      <c r="CZ3227">
        <v>0</v>
      </c>
      <c r="DA3227">
        <v>1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25">
      <c r="A3228" t="str">
        <f t="shared" ref="A3228:A3234" si="1792">"06/05/2020 14:56:51.547"</f>
        <v>06/05/2020 14:56:51.547</v>
      </c>
      <c r="C3228" t="str">
        <f t="shared" si="1760"/>
        <v>FFDFD3C0</v>
      </c>
      <c r="D3228" t="s">
        <v>113</v>
      </c>
      <c r="E3228">
        <v>3</v>
      </c>
      <c r="H3228">
        <v>166</v>
      </c>
      <c r="I3228" t="s">
        <v>114</v>
      </c>
      <c r="J3228" t="s">
        <v>115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ref="S3228:S3234" si="1793">"14:56:57.164"</f>
        <v>14:56:57.164</v>
      </c>
      <c r="T3228" t="str">
        <f t="shared" ref="T3228:T3234" si="1794">"14:56:56.864"</f>
        <v>14:56:56.864</v>
      </c>
      <c r="U3228" t="str">
        <f t="shared" si="1779"/>
        <v>ACC530</v>
      </c>
      <c r="V3228">
        <v>0</v>
      </c>
      <c r="W3228">
        <v>0</v>
      </c>
      <c r="X3228">
        <v>1</v>
      </c>
      <c r="Z3228">
        <v>0</v>
      </c>
      <c r="AA3228">
        <v>9</v>
      </c>
      <c r="AB3228">
        <v>3</v>
      </c>
      <c r="AC3228">
        <v>0</v>
      </c>
      <c r="AD3228">
        <v>9</v>
      </c>
      <c r="AE3228">
        <v>0</v>
      </c>
      <c r="AF3228">
        <v>3</v>
      </c>
      <c r="AG3228">
        <v>1</v>
      </c>
      <c r="AH3228">
        <v>0</v>
      </c>
      <c r="AI3228" t="s">
        <v>1072</v>
      </c>
      <c r="AJ3228">
        <v>34.096434000000002</v>
      </c>
      <c r="AK3228" t="s">
        <v>1073</v>
      </c>
      <c r="AL3228">
        <v>-117.042675</v>
      </c>
      <c r="AM3228">
        <v>100</v>
      </c>
      <c r="AN3228">
        <v>5700</v>
      </c>
      <c r="AO3228" t="s">
        <v>118</v>
      </c>
      <c r="AP3228">
        <v>68</v>
      </c>
      <c r="AQ3228">
        <v>-85</v>
      </c>
      <c r="AR3228">
        <v>-704</v>
      </c>
      <c r="AZ3228">
        <v>1200</v>
      </c>
      <c r="BA3228">
        <v>1</v>
      </c>
      <c r="BB3228" t="str">
        <f t="shared" si="1780"/>
        <v xml:space="preserve">N9217B  </v>
      </c>
      <c r="BC3228">
        <v>1</v>
      </c>
      <c r="BE3228">
        <v>0</v>
      </c>
      <c r="BF3228">
        <v>0</v>
      </c>
      <c r="BG3228">
        <v>0</v>
      </c>
      <c r="BH3228">
        <v>5575</v>
      </c>
      <c r="BI3228">
        <v>1</v>
      </c>
      <c r="BJ3228">
        <v>0</v>
      </c>
      <c r="BK3228">
        <v>0</v>
      </c>
      <c r="BL3228">
        <v>0</v>
      </c>
      <c r="BO3228">
        <v>0</v>
      </c>
      <c r="BP3228">
        <v>0</v>
      </c>
      <c r="BW3228" t="str">
        <f t="shared" ref="BW3228:BW3234" si="1795">"14:56:57.171"</f>
        <v>14:56:57.171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285</v>
      </c>
      <c r="CR3228">
        <v>0</v>
      </c>
      <c r="CW3228">
        <v>8876473</v>
      </c>
      <c r="CY3228">
        <v>0</v>
      </c>
      <c r="CZ3228">
        <v>0</v>
      </c>
      <c r="DA3228">
        <v>0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25">
      <c r="A3229" t="str">
        <f t="shared" si="1792"/>
        <v>06/05/2020 14:56:51.547</v>
      </c>
      <c r="C3229" t="str">
        <f t="shared" si="1760"/>
        <v>FFDFD3C0</v>
      </c>
      <c r="D3229" t="s">
        <v>151</v>
      </c>
      <c r="E3229">
        <v>9</v>
      </c>
      <c r="H3229">
        <v>226</v>
      </c>
      <c r="I3229" t="s">
        <v>152</v>
      </c>
      <c r="J3229" t="s">
        <v>150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si="1793"/>
        <v>14:56:57.164</v>
      </c>
      <c r="T3229" t="str">
        <f t="shared" si="1794"/>
        <v>14:56:56.864</v>
      </c>
      <c r="U3229" t="str">
        <f t="shared" si="1779"/>
        <v>ACC530</v>
      </c>
      <c r="V3229">
        <v>0</v>
      </c>
      <c r="W3229">
        <v>0</v>
      </c>
      <c r="X3229">
        <v>1</v>
      </c>
      <c r="Z3229">
        <v>0</v>
      </c>
      <c r="AA3229">
        <v>9</v>
      </c>
      <c r="AB3229">
        <v>3</v>
      </c>
      <c r="AC3229">
        <v>0</v>
      </c>
      <c r="AD3229">
        <v>9</v>
      </c>
      <c r="AE3229">
        <v>0</v>
      </c>
      <c r="AF3229">
        <v>3</v>
      </c>
      <c r="AG3229">
        <v>1</v>
      </c>
      <c r="AH3229">
        <v>0</v>
      </c>
      <c r="AI3229" t="s">
        <v>1072</v>
      </c>
      <c r="AJ3229">
        <v>34.096434000000002</v>
      </c>
      <c r="AK3229" t="s">
        <v>1073</v>
      </c>
      <c r="AL3229">
        <v>-117.042675</v>
      </c>
      <c r="AM3229">
        <v>100</v>
      </c>
      <c r="AN3229">
        <v>5700</v>
      </c>
      <c r="AO3229" t="s">
        <v>118</v>
      </c>
      <c r="AP3229">
        <v>68</v>
      </c>
      <c r="AQ3229">
        <v>-85</v>
      </c>
      <c r="AR3229">
        <v>-704</v>
      </c>
      <c r="AZ3229">
        <v>1200</v>
      </c>
      <c r="BA3229">
        <v>1</v>
      </c>
      <c r="BB3229" t="str">
        <f t="shared" si="1780"/>
        <v xml:space="preserve">N9217B  </v>
      </c>
      <c r="BC3229">
        <v>1</v>
      </c>
      <c r="BE3229">
        <v>0</v>
      </c>
      <c r="BF3229">
        <v>0</v>
      </c>
      <c r="BG3229">
        <v>0</v>
      </c>
      <c r="BH3229">
        <v>5575</v>
      </c>
      <c r="BI3229">
        <v>1</v>
      </c>
      <c r="BJ3229">
        <v>0</v>
      </c>
      <c r="BK3229">
        <v>0</v>
      </c>
      <c r="BL3229">
        <v>0</v>
      </c>
      <c r="BO3229">
        <v>0</v>
      </c>
      <c r="BP3229">
        <v>0</v>
      </c>
      <c r="BW3229" t="str">
        <f t="shared" si="1795"/>
        <v>14:56:57.171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285</v>
      </c>
      <c r="CR3229">
        <v>0</v>
      </c>
      <c r="CW3229">
        <v>8876473</v>
      </c>
      <c r="CY3229">
        <v>0</v>
      </c>
      <c r="CZ3229">
        <v>0</v>
      </c>
      <c r="DA3229">
        <v>1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25">
      <c r="A3230" t="str">
        <f t="shared" si="1792"/>
        <v>06/05/2020 14:56:51.547</v>
      </c>
      <c r="C3230" t="str">
        <f t="shared" si="1760"/>
        <v>FFDFD3C0</v>
      </c>
      <c r="D3230" t="s">
        <v>134</v>
      </c>
      <c r="E3230">
        <v>7</v>
      </c>
      <c r="F3230">
        <v>2007</v>
      </c>
      <c r="G3230" t="s">
        <v>135</v>
      </c>
      <c r="J3230" t="s">
        <v>136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793"/>
        <v>14:56:57.164</v>
      </c>
      <c r="T3230" t="str">
        <f t="shared" si="1794"/>
        <v>14:56:56.864</v>
      </c>
      <c r="U3230" t="str">
        <f t="shared" si="1779"/>
        <v>ACC530</v>
      </c>
      <c r="V3230">
        <v>0</v>
      </c>
      <c r="W3230">
        <v>0</v>
      </c>
      <c r="X3230">
        <v>1</v>
      </c>
      <c r="Z3230">
        <v>0</v>
      </c>
      <c r="AA3230">
        <v>9</v>
      </c>
      <c r="AB3230">
        <v>3</v>
      </c>
      <c r="AC3230">
        <v>0</v>
      </c>
      <c r="AD3230">
        <v>9</v>
      </c>
      <c r="AE3230">
        <v>0</v>
      </c>
      <c r="AF3230">
        <v>3</v>
      </c>
      <c r="AG3230">
        <v>1</v>
      </c>
      <c r="AH3230">
        <v>0</v>
      </c>
      <c r="AI3230" t="s">
        <v>1072</v>
      </c>
      <c r="AJ3230">
        <v>34.096434000000002</v>
      </c>
      <c r="AK3230" t="s">
        <v>1073</v>
      </c>
      <c r="AL3230">
        <v>-117.042675</v>
      </c>
      <c r="AM3230">
        <v>100</v>
      </c>
      <c r="AN3230">
        <v>5700</v>
      </c>
      <c r="AO3230" t="s">
        <v>118</v>
      </c>
      <c r="AP3230">
        <v>68</v>
      </c>
      <c r="AQ3230">
        <v>-85</v>
      </c>
      <c r="AR3230">
        <v>-704</v>
      </c>
      <c r="AZ3230">
        <v>1200</v>
      </c>
      <c r="BA3230">
        <v>1</v>
      </c>
      <c r="BB3230" t="str">
        <f t="shared" si="1780"/>
        <v xml:space="preserve">N9217B  </v>
      </c>
      <c r="BC3230">
        <v>1</v>
      </c>
      <c r="BE3230">
        <v>0</v>
      </c>
      <c r="BF3230">
        <v>0</v>
      </c>
      <c r="BG3230">
        <v>0</v>
      </c>
      <c r="BH3230">
        <v>5575</v>
      </c>
      <c r="BI3230">
        <v>1</v>
      </c>
      <c r="BJ3230">
        <v>0</v>
      </c>
      <c r="BK3230">
        <v>0</v>
      </c>
      <c r="BL3230">
        <v>0</v>
      </c>
      <c r="BO3230">
        <v>0</v>
      </c>
      <c r="BP3230">
        <v>0</v>
      </c>
      <c r="BW3230" t="str">
        <f t="shared" si="1795"/>
        <v>14:56:57.171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285</v>
      </c>
      <c r="CR3230">
        <v>0</v>
      </c>
      <c r="CW3230">
        <v>8876473</v>
      </c>
      <c r="CY3230">
        <v>0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25">
      <c r="A3231" t="str">
        <f t="shared" si="1792"/>
        <v>06/05/2020 14:56:51.547</v>
      </c>
      <c r="C3231" t="str">
        <f t="shared" si="1760"/>
        <v>FFDFD3C0</v>
      </c>
      <c r="D3231" t="s">
        <v>141</v>
      </c>
      <c r="E3231">
        <v>20</v>
      </c>
      <c r="F3231">
        <v>1020</v>
      </c>
      <c r="G3231" t="s">
        <v>114</v>
      </c>
      <c r="J3231" t="s">
        <v>142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793"/>
        <v>14:56:57.164</v>
      </c>
      <c r="T3231" t="str">
        <f t="shared" si="1794"/>
        <v>14:56:56.864</v>
      </c>
      <c r="U3231" t="str">
        <f t="shared" si="1779"/>
        <v>ACC530</v>
      </c>
      <c r="V3231">
        <v>0</v>
      </c>
      <c r="W3231">
        <v>0</v>
      </c>
      <c r="X3231">
        <v>1</v>
      </c>
      <c r="Z3231">
        <v>0</v>
      </c>
      <c r="AA3231">
        <v>9</v>
      </c>
      <c r="AB3231">
        <v>3</v>
      </c>
      <c r="AC3231">
        <v>0</v>
      </c>
      <c r="AD3231">
        <v>9</v>
      </c>
      <c r="AE3231">
        <v>0</v>
      </c>
      <c r="AF3231">
        <v>3</v>
      </c>
      <c r="AG3231">
        <v>1</v>
      </c>
      <c r="AH3231">
        <v>0</v>
      </c>
      <c r="AI3231" t="s">
        <v>1072</v>
      </c>
      <c r="AJ3231">
        <v>34.096434000000002</v>
      </c>
      <c r="AK3231" t="s">
        <v>1073</v>
      </c>
      <c r="AL3231">
        <v>-117.042675</v>
      </c>
      <c r="AM3231">
        <v>100</v>
      </c>
      <c r="AN3231">
        <v>5700</v>
      </c>
      <c r="AO3231" t="s">
        <v>118</v>
      </c>
      <c r="AP3231">
        <v>68</v>
      </c>
      <c r="AQ3231">
        <v>-85</v>
      </c>
      <c r="AR3231">
        <v>-704</v>
      </c>
      <c r="AZ3231">
        <v>1200</v>
      </c>
      <c r="BA3231">
        <v>1</v>
      </c>
      <c r="BB3231" t="str">
        <f t="shared" si="1780"/>
        <v xml:space="preserve">N9217B  </v>
      </c>
      <c r="BC3231">
        <v>1</v>
      </c>
      <c r="BE3231">
        <v>0</v>
      </c>
      <c r="BF3231">
        <v>0</v>
      </c>
      <c r="BG3231">
        <v>0</v>
      </c>
      <c r="BH3231">
        <v>5575</v>
      </c>
      <c r="BI3231">
        <v>1</v>
      </c>
      <c r="BJ3231">
        <v>0</v>
      </c>
      <c r="BK3231">
        <v>0</v>
      </c>
      <c r="BL3231">
        <v>0</v>
      </c>
      <c r="BO3231">
        <v>0</v>
      </c>
      <c r="BP3231">
        <v>0</v>
      </c>
      <c r="BW3231" t="str">
        <f t="shared" si="1795"/>
        <v>14:56:57.171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285</v>
      </c>
      <c r="CR3231">
        <v>0</v>
      </c>
      <c r="CW3231">
        <v>8876473</v>
      </c>
      <c r="CY3231">
        <v>0</v>
      </c>
      <c r="CZ3231">
        <v>0</v>
      </c>
      <c r="DA3231">
        <v>1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25">
      <c r="A3232" t="str">
        <f t="shared" si="1792"/>
        <v>06/05/2020 14:56:51.547</v>
      </c>
      <c r="C3232" t="str">
        <f t="shared" si="1760"/>
        <v>FFDFD3C0</v>
      </c>
      <c r="D3232" t="s">
        <v>148</v>
      </c>
      <c r="E3232">
        <v>11</v>
      </c>
      <c r="H3232">
        <v>53</v>
      </c>
      <c r="I3232" t="s">
        <v>364</v>
      </c>
      <c r="J3232" t="s">
        <v>150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793"/>
        <v>14:56:57.164</v>
      </c>
      <c r="T3232" t="str">
        <f t="shared" si="1794"/>
        <v>14:56:56.864</v>
      </c>
      <c r="U3232" t="str">
        <f t="shared" si="1779"/>
        <v>ACC530</v>
      </c>
      <c r="V3232">
        <v>0</v>
      </c>
      <c r="W3232">
        <v>0</v>
      </c>
      <c r="X3232">
        <v>1</v>
      </c>
      <c r="Z3232">
        <v>0</v>
      </c>
      <c r="AA3232">
        <v>9</v>
      </c>
      <c r="AB3232">
        <v>3</v>
      </c>
      <c r="AC3232">
        <v>0</v>
      </c>
      <c r="AD3232">
        <v>9</v>
      </c>
      <c r="AE3232">
        <v>0</v>
      </c>
      <c r="AF3232">
        <v>3</v>
      </c>
      <c r="AG3232">
        <v>1</v>
      </c>
      <c r="AH3232">
        <v>0</v>
      </c>
      <c r="AI3232" t="s">
        <v>1072</v>
      </c>
      <c r="AJ3232">
        <v>34.096434000000002</v>
      </c>
      <c r="AK3232" t="s">
        <v>1073</v>
      </c>
      <c r="AL3232">
        <v>-117.042675</v>
      </c>
      <c r="AM3232">
        <v>100</v>
      </c>
      <c r="AN3232">
        <v>5700</v>
      </c>
      <c r="AO3232" t="s">
        <v>118</v>
      </c>
      <c r="AP3232">
        <v>68</v>
      </c>
      <c r="AQ3232">
        <v>-85</v>
      </c>
      <c r="AR3232">
        <v>-704</v>
      </c>
      <c r="AZ3232">
        <v>1200</v>
      </c>
      <c r="BA3232">
        <v>1</v>
      </c>
      <c r="BB3232" t="str">
        <f t="shared" si="1780"/>
        <v xml:space="preserve">N9217B  </v>
      </c>
      <c r="BC3232">
        <v>1</v>
      </c>
      <c r="BE3232">
        <v>0</v>
      </c>
      <c r="BF3232">
        <v>0</v>
      </c>
      <c r="BG3232">
        <v>0</v>
      </c>
      <c r="BH3232">
        <v>5575</v>
      </c>
      <c r="BI3232">
        <v>1</v>
      </c>
      <c r="BJ3232">
        <v>0</v>
      </c>
      <c r="BK3232">
        <v>0</v>
      </c>
      <c r="BL3232">
        <v>0</v>
      </c>
      <c r="BO3232">
        <v>0</v>
      </c>
      <c r="BP3232">
        <v>0</v>
      </c>
      <c r="BW3232" t="str">
        <f t="shared" si="1795"/>
        <v>14:56:57.171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7</v>
      </c>
      <c r="CP3232" t="s">
        <v>119</v>
      </c>
      <c r="CQ3232">
        <v>285</v>
      </c>
      <c r="CR3232">
        <v>0</v>
      </c>
      <c r="CW3232">
        <v>8876473</v>
      </c>
      <c r="CY3232">
        <v>0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25">
      <c r="A3233" t="str">
        <f t="shared" si="1792"/>
        <v>06/05/2020 14:56:51.547</v>
      </c>
      <c r="C3233" t="str">
        <f t="shared" si="1760"/>
        <v>FFDFD3C0</v>
      </c>
      <c r="D3233" t="s">
        <v>148</v>
      </c>
      <c r="E3233">
        <v>8</v>
      </c>
      <c r="H3233">
        <v>50</v>
      </c>
      <c r="I3233" t="s">
        <v>149</v>
      </c>
      <c r="J3233" t="s">
        <v>150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793"/>
        <v>14:56:57.164</v>
      </c>
      <c r="T3233" t="str">
        <f t="shared" si="1794"/>
        <v>14:56:56.864</v>
      </c>
      <c r="U3233" t="str">
        <f t="shared" si="1779"/>
        <v>ACC530</v>
      </c>
      <c r="V3233">
        <v>0</v>
      </c>
      <c r="W3233">
        <v>0</v>
      </c>
      <c r="X3233">
        <v>1</v>
      </c>
      <c r="Z3233">
        <v>0</v>
      </c>
      <c r="AA3233">
        <v>9</v>
      </c>
      <c r="AB3233">
        <v>3</v>
      </c>
      <c r="AC3233">
        <v>0</v>
      </c>
      <c r="AD3233">
        <v>9</v>
      </c>
      <c r="AE3233">
        <v>0</v>
      </c>
      <c r="AF3233">
        <v>3</v>
      </c>
      <c r="AG3233">
        <v>1</v>
      </c>
      <c r="AH3233">
        <v>0</v>
      </c>
      <c r="AI3233" t="s">
        <v>1072</v>
      </c>
      <c r="AJ3233">
        <v>34.096434000000002</v>
      </c>
      <c r="AK3233" t="s">
        <v>1073</v>
      </c>
      <c r="AL3233">
        <v>-117.042675</v>
      </c>
      <c r="AM3233">
        <v>100</v>
      </c>
      <c r="AN3233">
        <v>5700</v>
      </c>
      <c r="AO3233" t="s">
        <v>118</v>
      </c>
      <c r="AP3233">
        <v>68</v>
      </c>
      <c r="AQ3233">
        <v>-85</v>
      </c>
      <c r="AR3233">
        <v>-704</v>
      </c>
      <c r="AZ3233">
        <v>1200</v>
      </c>
      <c r="BA3233">
        <v>1</v>
      </c>
      <c r="BB3233" t="str">
        <f t="shared" si="1780"/>
        <v xml:space="preserve">N9217B  </v>
      </c>
      <c r="BC3233">
        <v>1</v>
      </c>
      <c r="BE3233">
        <v>0</v>
      </c>
      <c r="BF3233">
        <v>0</v>
      </c>
      <c r="BG3233">
        <v>0</v>
      </c>
      <c r="BH3233">
        <v>5575</v>
      </c>
      <c r="BI3233">
        <v>1</v>
      </c>
      <c r="BJ3233">
        <v>0</v>
      </c>
      <c r="BK3233">
        <v>0</v>
      </c>
      <c r="BL3233">
        <v>0</v>
      </c>
      <c r="BO3233">
        <v>0</v>
      </c>
      <c r="BP3233">
        <v>0</v>
      </c>
      <c r="BW3233" t="str">
        <f t="shared" si="1795"/>
        <v>14:56:57.171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285</v>
      </c>
      <c r="CR3233">
        <v>0</v>
      </c>
      <c r="CW3233">
        <v>8876473</v>
      </c>
      <c r="CY3233">
        <v>0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25">
      <c r="A3234" t="str">
        <f t="shared" si="1792"/>
        <v>06/05/2020 14:56:51.547</v>
      </c>
      <c r="C3234" t="str">
        <f t="shared" si="1760"/>
        <v>FFDFD3C0</v>
      </c>
      <c r="D3234" t="s">
        <v>151</v>
      </c>
      <c r="E3234">
        <v>8</v>
      </c>
      <c r="H3234">
        <v>225</v>
      </c>
      <c r="I3234" t="s">
        <v>353</v>
      </c>
      <c r="J3234" t="s">
        <v>150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793"/>
        <v>14:56:57.164</v>
      </c>
      <c r="T3234" t="str">
        <f t="shared" si="1794"/>
        <v>14:56:56.864</v>
      </c>
      <c r="U3234" t="str">
        <f t="shared" si="1779"/>
        <v>ACC530</v>
      </c>
      <c r="V3234">
        <v>0</v>
      </c>
      <c r="W3234">
        <v>0</v>
      </c>
      <c r="X3234">
        <v>1</v>
      </c>
      <c r="Z3234">
        <v>0</v>
      </c>
      <c r="AA3234">
        <v>9</v>
      </c>
      <c r="AB3234">
        <v>3</v>
      </c>
      <c r="AC3234">
        <v>0</v>
      </c>
      <c r="AD3234">
        <v>9</v>
      </c>
      <c r="AE3234">
        <v>0</v>
      </c>
      <c r="AF3234">
        <v>3</v>
      </c>
      <c r="AG3234">
        <v>1</v>
      </c>
      <c r="AH3234">
        <v>0</v>
      </c>
      <c r="AI3234" t="s">
        <v>1072</v>
      </c>
      <c r="AJ3234">
        <v>34.096434000000002</v>
      </c>
      <c r="AK3234" t="s">
        <v>1073</v>
      </c>
      <c r="AL3234">
        <v>-117.042675</v>
      </c>
      <c r="AM3234">
        <v>100</v>
      </c>
      <c r="AN3234">
        <v>5700</v>
      </c>
      <c r="AO3234" t="s">
        <v>118</v>
      </c>
      <c r="AP3234">
        <v>68</v>
      </c>
      <c r="AQ3234">
        <v>-85</v>
      </c>
      <c r="AR3234">
        <v>-704</v>
      </c>
      <c r="AZ3234">
        <v>1200</v>
      </c>
      <c r="BA3234">
        <v>1</v>
      </c>
      <c r="BB3234" t="str">
        <f t="shared" si="1780"/>
        <v xml:space="preserve">N9217B  </v>
      </c>
      <c r="BC3234">
        <v>1</v>
      </c>
      <c r="BE3234">
        <v>0</v>
      </c>
      <c r="BF3234">
        <v>0</v>
      </c>
      <c r="BG3234">
        <v>0</v>
      </c>
      <c r="BH3234">
        <v>5575</v>
      </c>
      <c r="BI3234">
        <v>1</v>
      </c>
      <c r="BJ3234">
        <v>0</v>
      </c>
      <c r="BK3234">
        <v>0</v>
      </c>
      <c r="BL3234">
        <v>0</v>
      </c>
      <c r="BO3234">
        <v>0</v>
      </c>
      <c r="BP3234">
        <v>0</v>
      </c>
      <c r="BW3234" t="str">
        <f t="shared" si="1795"/>
        <v>14:56:57.171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285</v>
      </c>
      <c r="CR3234">
        <v>0</v>
      </c>
      <c r="CW3234">
        <v>8876473</v>
      </c>
      <c r="CY3234">
        <v>0</v>
      </c>
      <c r="CZ3234">
        <v>0</v>
      </c>
      <c r="DA3234">
        <v>1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25">
      <c r="A3235" t="str">
        <f t="shared" ref="A3235:A3241" si="1796">"06/05/2020 14:56:52.607"</f>
        <v>06/05/2020 14:56:52.607</v>
      </c>
      <c r="C3235" t="str">
        <f t="shared" ref="C3235:C3298" si="1797">"FFDFD3C0"</f>
        <v>FFDFD3C0</v>
      </c>
      <c r="D3235" t="s">
        <v>113</v>
      </c>
      <c r="E3235">
        <v>3</v>
      </c>
      <c r="H3235">
        <v>166</v>
      </c>
      <c r="I3235" t="s">
        <v>114</v>
      </c>
      <c r="J3235" t="s">
        <v>115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ref="S3235:T3241" si="1798">"14:56:58.219"</f>
        <v>14:56:58.219</v>
      </c>
      <c r="T3235" t="str">
        <f t="shared" si="1798"/>
        <v>14:56:58.219</v>
      </c>
      <c r="U3235" t="str">
        <f t="shared" si="1779"/>
        <v>ACC530</v>
      </c>
      <c r="V3235">
        <v>0</v>
      </c>
      <c r="W3235">
        <v>0</v>
      </c>
      <c r="X3235">
        <v>1</v>
      </c>
      <c r="Z3235">
        <v>0</v>
      </c>
      <c r="AA3235">
        <v>9</v>
      </c>
      <c r="AB3235">
        <v>3</v>
      </c>
      <c r="AC3235">
        <v>0</v>
      </c>
      <c r="AD3235">
        <v>9</v>
      </c>
      <c r="AE3235">
        <v>0</v>
      </c>
      <c r="AF3235">
        <v>3</v>
      </c>
      <c r="AG3235">
        <v>1</v>
      </c>
      <c r="AH3235">
        <v>0</v>
      </c>
      <c r="AI3235" t="s">
        <v>1074</v>
      </c>
      <c r="AJ3235">
        <v>34.096026000000002</v>
      </c>
      <c r="AK3235" t="s">
        <v>1075</v>
      </c>
      <c r="AL3235">
        <v>-117.042267</v>
      </c>
      <c r="AM3235">
        <v>100</v>
      </c>
      <c r="AN3235">
        <v>5700</v>
      </c>
      <c r="AO3235" t="s">
        <v>118</v>
      </c>
      <c r="AP3235">
        <v>68</v>
      </c>
      <c r="AQ3235">
        <v>-85</v>
      </c>
      <c r="AR3235">
        <v>-704</v>
      </c>
      <c r="AZ3235">
        <v>1200</v>
      </c>
      <c r="BA3235">
        <v>1</v>
      </c>
      <c r="BB3235" t="str">
        <f t="shared" si="1780"/>
        <v xml:space="preserve">N9217B  </v>
      </c>
      <c r="BC3235">
        <v>1</v>
      </c>
      <c r="BE3235">
        <v>0</v>
      </c>
      <c r="BF3235">
        <v>0</v>
      </c>
      <c r="BG3235">
        <v>0</v>
      </c>
      <c r="BH3235">
        <v>5550</v>
      </c>
      <c r="BI3235">
        <v>1</v>
      </c>
      <c r="BJ3235">
        <v>0</v>
      </c>
      <c r="BK3235">
        <v>0</v>
      </c>
      <c r="BL3235">
        <v>0</v>
      </c>
      <c r="BO3235">
        <v>0</v>
      </c>
      <c r="BP3235">
        <v>0</v>
      </c>
      <c r="BW3235" t="str">
        <f t="shared" ref="BW3235:BW3241" si="1799">"14:56:58.221"</f>
        <v>14:56:58.221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285</v>
      </c>
      <c r="CR3235">
        <v>0</v>
      </c>
      <c r="CW3235">
        <v>8876570</v>
      </c>
      <c r="CY3235">
        <v>0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25">
      <c r="A3236" t="str">
        <f t="shared" si="1796"/>
        <v>06/05/2020 14:56:52.607</v>
      </c>
      <c r="C3236" t="str">
        <f t="shared" si="1797"/>
        <v>FFDFD3C0</v>
      </c>
      <c r="D3236" t="s">
        <v>134</v>
      </c>
      <c r="E3236">
        <v>7</v>
      </c>
      <c r="F3236">
        <v>2007</v>
      </c>
      <c r="G3236" t="s">
        <v>135</v>
      </c>
      <c r="J3236" t="s">
        <v>136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si="1798"/>
        <v>14:56:58.219</v>
      </c>
      <c r="T3236" t="str">
        <f t="shared" si="1798"/>
        <v>14:56:58.219</v>
      </c>
      <c r="U3236" t="str">
        <f t="shared" si="1779"/>
        <v>ACC530</v>
      </c>
      <c r="V3236">
        <v>0</v>
      </c>
      <c r="W3236">
        <v>0</v>
      </c>
      <c r="X3236">
        <v>1</v>
      </c>
      <c r="Z3236">
        <v>0</v>
      </c>
      <c r="AA3236">
        <v>9</v>
      </c>
      <c r="AB3236">
        <v>3</v>
      </c>
      <c r="AC3236">
        <v>0</v>
      </c>
      <c r="AD3236">
        <v>9</v>
      </c>
      <c r="AE3236">
        <v>0</v>
      </c>
      <c r="AF3236">
        <v>3</v>
      </c>
      <c r="AG3236">
        <v>1</v>
      </c>
      <c r="AH3236">
        <v>0</v>
      </c>
      <c r="AI3236" t="s">
        <v>1074</v>
      </c>
      <c r="AJ3236">
        <v>34.096026000000002</v>
      </c>
      <c r="AK3236" t="s">
        <v>1075</v>
      </c>
      <c r="AL3236">
        <v>-117.042267</v>
      </c>
      <c r="AM3236">
        <v>100</v>
      </c>
      <c r="AN3236">
        <v>5700</v>
      </c>
      <c r="AO3236" t="s">
        <v>118</v>
      </c>
      <c r="AP3236">
        <v>68</v>
      </c>
      <c r="AQ3236">
        <v>-85</v>
      </c>
      <c r="AR3236">
        <v>-704</v>
      </c>
      <c r="AZ3236">
        <v>1200</v>
      </c>
      <c r="BA3236">
        <v>1</v>
      </c>
      <c r="BB3236" t="str">
        <f t="shared" si="1780"/>
        <v xml:space="preserve">N9217B  </v>
      </c>
      <c r="BC3236">
        <v>1</v>
      </c>
      <c r="BE3236">
        <v>0</v>
      </c>
      <c r="BF3236">
        <v>0</v>
      </c>
      <c r="BG3236">
        <v>0</v>
      </c>
      <c r="BH3236">
        <v>5550</v>
      </c>
      <c r="BI3236">
        <v>1</v>
      </c>
      <c r="BJ3236">
        <v>0</v>
      </c>
      <c r="BK3236">
        <v>0</v>
      </c>
      <c r="BL3236">
        <v>0</v>
      </c>
      <c r="BO3236">
        <v>0</v>
      </c>
      <c r="BP3236">
        <v>0</v>
      </c>
      <c r="BW3236" t="str">
        <f t="shared" si="1799"/>
        <v>14:56:58.221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119</v>
      </c>
      <c r="CQ3236">
        <v>285</v>
      </c>
      <c r="CR3236">
        <v>0</v>
      </c>
      <c r="CW3236">
        <v>8876570</v>
      </c>
      <c r="CY3236">
        <v>0</v>
      </c>
      <c r="CZ3236">
        <v>0</v>
      </c>
      <c r="DA3236">
        <v>1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25">
      <c r="A3237" t="str">
        <f t="shared" si="1796"/>
        <v>06/05/2020 14:56:52.607</v>
      </c>
      <c r="C3237" t="str">
        <f t="shared" si="1797"/>
        <v>FFDFD3C0</v>
      </c>
      <c r="D3237" t="s">
        <v>151</v>
      </c>
      <c r="E3237">
        <v>9</v>
      </c>
      <c r="H3237">
        <v>226</v>
      </c>
      <c r="I3237" t="s">
        <v>152</v>
      </c>
      <c r="J3237" t="s">
        <v>150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si="1798"/>
        <v>14:56:58.219</v>
      </c>
      <c r="T3237" t="str">
        <f t="shared" si="1798"/>
        <v>14:56:58.219</v>
      </c>
      <c r="U3237" t="str">
        <f t="shared" si="1779"/>
        <v>ACC530</v>
      </c>
      <c r="V3237">
        <v>0</v>
      </c>
      <c r="W3237">
        <v>0</v>
      </c>
      <c r="X3237">
        <v>1</v>
      </c>
      <c r="Z3237">
        <v>0</v>
      </c>
      <c r="AA3237">
        <v>9</v>
      </c>
      <c r="AB3237">
        <v>3</v>
      </c>
      <c r="AC3237">
        <v>0</v>
      </c>
      <c r="AD3237">
        <v>9</v>
      </c>
      <c r="AE3237">
        <v>0</v>
      </c>
      <c r="AF3237">
        <v>3</v>
      </c>
      <c r="AG3237">
        <v>1</v>
      </c>
      <c r="AH3237">
        <v>0</v>
      </c>
      <c r="AI3237" t="s">
        <v>1074</v>
      </c>
      <c r="AJ3237">
        <v>34.096026000000002</v>
      </c>
      <c r="AK3237" t="s">
        <v>1075</v>
      </c>
      <c r="AL3237">
        <v>-117.042267</v>
      </c>
      <c r="AM3237">
        <v>100</v>
      </c>
      <c r="AN3237">
        <v>5700</v>
      </c>
      <c r="AO3237" t="s">
        <v>118</v>
      </c>
      <c r="AP3237">
        <v>68</v>
      </c>
      <c r="AQ3237">
        <v>-85</v>
      </c>
      <c r="AR3237">
        <v>-704</v>
      </c>
      <c r="AZ3237">
        <v>1200</v>
      </c>
      <c r="BA3237">
        <v>1</v>
      </c>
      <c r="BB3237" t="str">
        <f t="shared" si="1780"/>
        <v xml:space="preserve">N9217B  </v>
      </c>
      <c r="BC3237">
        <v>1</v>
      </c>
      <c r="BE3237">
        <v>0</v>
      </c>
      <c r="BF3237">
        <v>0</v>
      </c>
      <c r="BG3237">
        <v>0</v>
      </c>
      <c r="BH3237">
        <v>5550</v>
      </c>
      <c r="BI3237">
        <v>1</v>
      </c>
      <c r="BJ3237">
        <v>0</v>
      </c>
      <c r="BK3237">
        <v>0</v>
      </c>
      <c r="BL3237">
        <v>0</v>
      </c>
      <c r="BO3237">
        <v>0</v>
      </c>
      <c r="BP3237">
        <v>0</v>
      </c>
      <c r="BW3237" t="str">
        <f t="shared" si="1799"/>
        <v>14:56:58.221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119</v>
      </c>
      <c r="CQ3237">
        <v>285</v>
      </c>
      <c r="CR3237">
        <v>0</v>
      </c>
      <c r="CW3237">
        <v>8876570</v>
      </c>
      <c r="CY3237">
        <v>0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25">
      <c r="A3238" t="str">
        <f t="shared" si="1796"/>
        <v>06/05/2020 14:56:52.607</v>
      </c>
      <c r="C3238" t="str">
        <f t="shared" si="1797"/>
        <v>FFDFD3C0</v>
      </c>
      <c r="D3238" t="s">
        <v>141</v>
      </c>
      <c r="E3238">
        <v>20</v>
      </c>
      <c r="F3238">
        <v>1020</v>
      </c>
      <c r="G3238" t="s">
        <v>114</v>
      </c>
      <c r="J3238" t="s">
        <v>142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798"/>
        <v>14:56:58.219</v>
      </c>
      <c r="T3238" t="str">
        <f t="shared" si="1798"/>
        <v>14:56:58.219</v>
      </c>
      <c r="U3238" t="str">
        <f t="shared" si="1779"/>
        <v>ACC530</v>
      </c>
      <c r="V3238">
        <v>0</v>
      </c>
      <c r="W3238">
        <v>0</v>
      </c>
      <c r="X3238">
        <v>1</v>
      </c>
      <c r="Z3238">
        <v>0</v>
      </c>
      <c r="AA3238">
        <v>9</v>
      </c>
      <c r="AB3238">
        <v>3</v>
      </c>
      <c r="AC3238">
        <v>0</v>
      </c>
      <c r="AD3238">
        <v>9</v>
      </c>
      <c r="AE3238">
        <v>0</v>
      </c>
      <c r="AF3238">
        <v>3</v>
      </c>
      <c r="AG3238">
        <v>1</v>
      </c>
      <c r="AH3238">
        <v>0</v>
      </c>
      <c r="AI3238" t="s">
        <v>1074</v>
      </c>
      <c r="AJ3238">
        <v>34.096026000000002</v>
      </c>
      <c r="AK3238" t="s">
        <v>1075</v>
      </c>
      <c r="AL3238">
        <v>-117.042267</v>
      </c>
      <c r="AM3238">
        <v>100</v>
      </c>
      <c r="AN3238">
        <v>5700</v>
      </c>
      <c r="AO3238" t="s">
        <v>118</v>
      </c>
      <c r="AP3238">
        <v>68</v>
      </c>
      <c r="AQ3238">
        <v>-85</v>
      </c>
      <c r="AR3238">
        <v>-704</v>
      </c>
      <c r="AZ3238">
        <v>1200</v>
      </c>
      <c r="BA3238">
        <v>1</v>
      </c>
      <c r="BB3238" t="str">
        <f t="shared" si="1780"/>
        <v xml:space="preserve">N9217B  </v>
      </c>
      <c r="BC3238">
        <v>1</v>
      </c>
      <c r="BE3238">
        <v>0</v>
      </c>
      <c r="BF3238">
        <v>0</v>
      </c>
      <c r="BG3238">
        <v>0</v>
      </c>
      <c r="BH3238">
        <v>5550</v>
      </c>
      <c r="BI3238">
        <v>1</v>
      </c>
      <c r="BJ3238">
        <v>0</v>
      </c>
      <c r="BK3238">
        <v>0</v>
      </c>
      <c r="BL3238">
        <v>0</v>
      </c>
      <c r="BO3238">
        <v>0</v>
      </c>
      <c r="BP3238">
        <v>0</v>
      </c>
      <c r="BW3238" t="str">
        <f t="shared" si="1799"/>
        <v>14:56:58.221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119</v>
      </c>
      <c r="CQ3238">
        <v>285</v>
      </c>
      <c r="CR3238">
        <v>0</v>
      </c>
      <c r="CW3238">
        <v>8876570</v>
      </c>
      <c r="CY3238">
        <v>0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25">
      <c r="A3239" t="str">
        <f t="shared" si="1796"/>
        <v>06/05/2020 14:56:52.607</v>
      </c>
      <c r="C3239" t="str">
        <f t="shared" si="1797"/>
        <v>FFDFD3C0</v>
      </c>
      <c r="D3239" t="s">
        <v>148</v>
      </c>
      <c r="E3239">
        <v>11</v>
      </c>
      <c r="H3239">
        <v>53</v>
      </c>
      <c r="I3239" t="s">
        <v>364</v>
      </c>
      <c r="J3239" t="s">
        <v>150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798"/>
        <v>14:56:58.219</v>
      </c>
      <c r="T3239" t="str">
        <f t="shared" si="1798"/>
        <v>14:56:58.219</v>
      </c>
      <c r="U3239" t="str">
        <f t="shared" si="1779"/>
        <v>ACC530</v>
      </c>
      <c r="V3239">
        <v>0</v>
      </c>
      <c r="W3239">
        <v>0</v>
      </c>
      <c r="X3239">
        <v>1</v>
      </c>
      <c r="Z3239">
        <v>0</v>
      </c>
      <c r="AA3239">
        <v>9</v>
      </c>
      <c r="AB3239">
        <v>3</v>
      </c>
      <c r="AC3239">
        <v>0</v>
      </c>
      <c r="AD3239">
        <v>9</v>
      </c>
      <c r="AE3239">
        <v>0</v>
      </c>
      <c r="AF3239">
        <v>3</v>
      </c>
      <c r="AG3239">
        <v>1</v>
      </c>
      <c r="AH3239">
        <v>0</v>
      </c>
      <c r="AI3239" t="s">
        <v>1074</v>
      </c>
      <c r="AJ3239">
        <v>34.096026000000002</v>
      </c>
      <c r="AK3239" t="s">
        <v>1075</v>
      </c>
      <c r="AL3239">
        <v>-117.042267</v>
      </c>
      <c r="AM3239">
        <v>100</v>
      </c>
      <c r="AN3239">
        <v>5700</v>
      </c>
      <c r="AO3239" t="s">
        <v>118</v>
      </c>
      <c r="AP3239">
        <v>68</v>
      </c>
      <c r="AQ3239">
        <v>-85</v>
      </c>
      <c r="AR3239">
        <v>-704</v>
      </c>
      <c r="AZ3239">
        <v>1200</v>
      </c>
      <c r="BA3239">
        <v>1</v>
      </c>
      <c r="BB3239" t="str">
        <f t="shared" si="1780"/>
        <v xml:space="preserve">N9217B  </v>
      </c>
      <c r="BC3239">
        <v>1</v>
      </c>
      <c r="BE3239">
        <v>0</v>
      </c>
      <c r="BF3239">
        <v>0</v>
      </c>
      <c r="BG3239">
        <v>0</v>
      </c>
      <c r="BH3239">
        <v>5550</v>
      </c>
      <c r="BI3239">
        <v>1</v>
      </c>
      <c r="BJ3239">
        <v>0</v>
      </c>
      <c r="BK3239">
        <v>0</v>
      </c>
      <c r="BL3239">
        <v>0</v>
      </c>
      <c r="BO3239">
        <v>0</v>
      </c>
      <c r="BP3239">
        <v>0</v>
      </c>
      <c r="BW3239" t="str">
        <f t="shared" si="1799"/>
        <v>14:56:58.221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285</v>
      </c>
      <c r="CR3239">
        <v>0</v>
      </c>
      <c r="CW3239">
        <v>8876570</v>
      </c>
      <c r="CY3239">
        <v>0</v>
      </c>
      <c r="CZ3239">
        <v>0</v>
      </c>
      <c r="DA3239">
        <v>1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25">
      <c r="A3240" t="str">
        <f t="shared" si="1796"/>
        <v>06/05/2020 14:56:52.607</v>
      </c>
      <c r="C3240" t="str">
        <f t="shared" si="1797"/>
        <v>FFDFD3C0</v>
      </c>
      <c r="D3240" t="s">
        <v>148</v>
      </c>
      <c r="E3240">
        <v>8</v>
      </c>
      <c r="H3240">
        <v>50</v>
      </c>
      <c r="I3240" t="s">
        <v>149</v>
      </c>
      <c r="J3240" t="s">
        <v>150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798"/>
        <v>14:56:58.219</v>
      </c>
      <c r="T3240" t="str">
        <f t="shared" si="1798"/>
        <v>14:56:58.219</v>
      </c>
      <c r="U3240" t="str">
        <f t="shared" si="1779"/>
        <v>ACC530</v>
      </c>
      <c r="V3240">
        <v>0</v>
      </c>
      <c r="W3240">
        <v>0</v>
      </c>
      <c r="X3240">
        <v>1</v>
      </c>
      <c r="Z3240">
        <v>0</v>
      </c>
      <c r="AA3240">
        <v>9</v>
      </c>
      <c r="AB3240">
        <v>3</v>
      </c>
      <c r="AC3240">
        <v>0</v>
      </c>
      <c r="AD3240">
        <v>9</v>
      </c>
      <c r="AE3240">
        <v>0</v>
      </c>
      <c r="AF3240">
        <v>3</v>
      </c>
      <c r="AG3240">
        <v>1</v>
      </c>
      <c r="AH3240">
        <v>0</v>
      </c>
      <c r="AI3240" t="s">
        <v>1074</v>
      </c>
      <c r="AJ3240">
        <v>34.096026000000002</v>
      </c>
      <c r="AK3240" t="s">
        <v>1075</v>
      </c>
      <c r="AL3240">
        <v>-117.042267</v>
      </c>
      <c r="AM3240">
        <v>100</v>
      </c>
      <c r="AN3240">
        <v>5700</v>
      </c>
      <c r="AO3240" t="s">
        <v>118</v>
      </c>
      <c r="AP3240">
        <v>68</v>
      </c>
      <c r="AQ3240">
        <v>-85</v>
      </c>
      <c r="AR3240">
        <v>-704</v>
      </c>
      <c r="AZ3240">
        <v>1200</v>
      </c>
      <c r="BA3240">
        <v>1</v>
      </c>
      <c r="BB3240" t="str">
        <f t="shared" si="1780"/>
        <v xml:space="preserve">N9217B  </v>
      </c>
      <c r="BC3240">
        <v>1</v>
      </c>
      <c r="BE3240">
        <v>0</v>
      </c>
      <c r="BF3240">
        <v>0</v>
      </c>
      <c r="BG3240">
        <v>0</v>
      </c>
      <c r="BH3240">
        <v>5550</v>
      </c>
      <c r="BI3240">
        <v>1</v>
      </c>
      <c r="BJ3240">
        <v>0</v>
      </c>
      <c r="BK3240">
        <v>0</v>
      </c>
      <c r="BL3240">
        <v>0</v>
      </c>
      <c r="BO3240">
        <v>0</v>
      </c>
      <c r="BP3240">
        <v>0</v>
      </c>
      <c r="BW3240" t="str">
        <f t="shared" si="1799"/>
        <v>14:56:58.221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119</v>
      </c>
      <c r="CQ3240">
        <v>285</v>
      </c>
      <c r="CR3240">
        <v>0</v>
      </c>
      <c r="CW3240">
        <v>8876570</v>
      </c>
      <c r="CY3240">
        <v>0</v>
      </c>
      <c r="CZ3240">
        <v>0</v>
      </c>
      <c r="DA3240">
        <v>1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25">
      <c r="A3241" t="str">
        <f t="shared" si="1796"/>
        <v>06/05/2020 14:56:52.607</v>
      </c>
      <c r="C3241" t="str">
        <f t="shared" si="1797"/>
        <v>FFDFD3C0</v>
      </c>
      <c r="D3241" t="s">
        <v>151</v>
      </c>
      <c r="E3241">
        <v>8</v>
      </c>
      <c r="H3241">
        <v>225</v>
      </c>
      <c r="I3241" t="s">
        <v>353</v>
      </c>
      <c r="J3241" t="s">
        <v>150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798"/>
        <v>14:56:58.219</v>
      </c>
      <c r="T3241" t="str">
        <f t="shared" si="1798"/>
        <v>14:56:58.219</v>
      </c>
      <c r="U3241" t="str">
        <f t="shared" si="1779"/>
        <v>ACC530</v>
      </c>
      <c r="V3241">
        <v>0</v>
      </c>
      <c r="W3241">
        <v>0</v>
      </c>
      <c r="X3241">
        <v>1</v>
      </c>
      <c r="Z3241">
        <v>0</v>
      </c>
      <c r="AA3241">
        <v>9</v>
      </c>
      <c r="AB3241">
        <v>3</v>
      </c>
      <c r="AC3241">
        <v>0</v>
      </c>
      <c r="AD3241">
        <v>9</v>
      </c>
      <c r="AE3241">
        <v>0</v>
      </c>
      <c r="AF3241">
        <v>3</v>
      </c>
      <c r="AG3241">
        <v>1</v>
      </c>
      <c r="AH3241">
        <v>0</v>
      </c>
      <c r="AI3241" t="s">
        <v>1074</v>
      </c>
      <c r="AJ3241">
        <v>34.096026000000002</v>
      </c>
      <c r="AK3241" t="s">
        <v>1075</v>
      </c>
      <c r="AL3241">
        <v>-117.042267</v>
      </c>
      <c r="AM3241">
        <v>100</v>
      </c>
      <c r="AN3241">
        <v>5700</v>
      </c>
      <c r="AO3241" t="s">
        <v>118</v>
      </c>
      <c r="AP3241">
        <v>68</v>
      </c>
      <c r="AQ3241">
        <v>-85</v>
      </c>
      <c r="AR3241">
        <v>-704</v>
      </c>
      <c r="AZ3241">
        <v>1200</v>
      </c>
      <c r="BA3241">
        <v>1</v>
      </c>
      <c r="BB3241" t="str">
        <f t="shared" si="1780"/>
        <v xml:space="preserve">N9217B  </v>
      </c>
      <c r="BC3241">
        <v>1</v>
      </c>
      <c r="BE3241">
        <v>0</v>
      </c>
      <c r="BF3241">
        <v>0</v>
      </c>
      <c r="BG3241">
        <v>0</v>
      </c>
      <c r="BH3241">
        <v>5550</v>
      </c>
      <c r="BI3241">
        <v>1</v>
      </c>
      <c r="BJ3241">
        <v>0</v>
      </c>
      <c r="BK3241">
        <v>0</v>
      </c>
      <c r="BL3241">
        <v>0</v>
      </c>
      <c r="BO3241">
        <v>0</v>
      </c>
      <c r="BP3241">
        <v>0</v>
      </c>
      <c r="BW3241" t="str">
        <f t="shared" si="1799"/>
        <v>14:56:58.221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285</v>
      </c>
      <c r="CR3241">
        <v>0</v>
      </c>
      <c r="CW3241">
        <v>8876570</v>
      </c>
      <c r="CY3241">
        <v>0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25">
      <c r="A3242" t="str">
        <f t="shared" ref="A3242:A3248" si="1800">"06/05/2020 14:56:53.504"</f>
        <v>06/05/2020 14:56:53.504</v>
      </c>
      <c r="C3242" t="str">
        <f t="shared" si="1797"/>
        <v>FFDFD3C0</v>
      </c>
      <c r="D3242" t="s">
        <v>148</v>
      </c>
      <c r="E3242">
        <v>8</v>
      </c>
      <c r="H3242">
        <v>50</v>
      </c>
      <c r="I3242" t="s">
        <v>149</v>
      </c>
      <c r="J3242" t="s">
        <v>150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ref="S3242:S3248" si="1801">"14:56:59.133"</f>
        <v>14:56:59.133</v>
      </c>
      <c r="T3242" t="str">
        <f t="shared" ref="T3242:T3248" si="1802">"14:56:58.733"</f>
        <v>14:56:58.733</v>
      </c>
      <c r="U3242" t="str">
        <f t="shared" si="1779"/>
        <v>ACC530</v>
      </c>
      <c r="V3242">
        <v>0</v>
      </c>
      <c r="W3242">
        <v>0</v>
      </c>
      <c r="X3242">
        <v>1</v>
      </c>
      <c r="Z3242">
        <v>0</v>
      </c>
      <c r="AA3242">
        <v>9</v>
      </c>
      <c r="AB3242">
        <v>3</v>
      </c>
      <c r="AC3242">
        <v>0</v>
      </c>
      <c r="AD3242">
        <v>9</v>
      </c>
      <c r="AE3242">
        <v>0</v>
      </c>
      <c r="AF3242">
        <v>3</v>
      </c>
      <c r="AG3242">
        <v>1</v>
      </c>
      <c r="AH3242">
        <v>0</v>
      </c>
      <c r="AI3242" t="s">
        <v>1076</v>
      </c>
      <c r="AJ3242">
        <v>34.095640000000003</v>
      </c>
      <c r="AK3242" t="s">
        <v>1077</v>
      </c>
      <c r="AL3242">
        <v>-117.04192399999999</v>
      </c>
      <c r="AM3242">
        <v>100</v>
      </c>
      <c r="AN3242">
        <v>5700</v>
      </c>
      <c r="AO3242" t="s">
        <v>118</v>
      </c>
      <c r="AP3242">
        <v>69</v>
      </c>
      <c r="AQ3242">
        <v>-85</v>
      </c>
      <c r="AR3242">
        <v>-704</v>
      </c>
      <c r="AZ3242">
        <v>1200</v>
      </c>
      <c r="BA3242">
        <v>1</v>
      </c>
      <c r="BB3242" t="str">
        <f t="shared" si="1780"/>
        <v xml:space="preserve">N9217B  </v>
      </c>
      <c r="BC3242">
        <v>1</v>
      </c>
      <c r="BE3242">
        <v>0</v>
      </c>
      <c r="BF3242">
        <v>0</v>
      </c>
      <c r="BG3242">
        <v>0</v>
      </c>
      <c r="BH3242">
        <v>5550</v>
      </c>
      <c r="BI3242">
        <v>1</v>
      </c>
      <c r="BJ3242">
        <v>0</v>
      </c>
      <c r="BK3242">
        <v>0</v>
      </c>
      <c r="BL3242">
        <v>0</v>
      </c>
      <c r="BO3242">
        <v>0</v>
      </c>
      <c r="BP3242">
        <v>0</v>
      </c>
      <c r="BW3242" t="str">
        <f t="shared" ref="BW3242:BW3248" si="1803">"14:56:59.136"</f>
        <v>14:56:59.136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119</v>
      </c>
      <c r="CQ3242">
        <v>285</v>
      </c>
      <c r="CR3242">
        <v>0</v>
      </c>
      <c r="CW3242">
        <v>8876653</v>
      </c>
      <c r="CY3242">
        <v>0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25">
      <c r="A3243" t="str">
        <f t="shared" si="1800"/>
        <v>06/05/2020 14:56:53.504</v>
      </c>
      <c r="C3243" t="str">
        <f t="shared" si="1797"/>
        <v>FFDFD3C0</v>
      </c>
      <c r="D3243" t="s">
        <v>151</v>
      </c>
      <c r="E3243">
        <v>8</v>
      </c>
      <c r="H3243">
        <v>225</v>
      </c>
      <c r="I3243" t="s">
        <v>353</v>
      </c>
      <c r="J3243" t="s">
        <v>150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si="1801"/>
        <v>14:56:59.133</v>
      </c>
      <c r="T3243" t="str">
        <f t="shared" si="1802"/>
        <v>14:56:58.733</v>
      </c>
      <c r="U3243" t="str">
        <f t="shared" si="1779"/>
        <v>ACC530</v>
      </c>
      <c r="V3243">
        <v>0</v>
      </c>
      <c r="W3243">
        <v>0</v>
      </c>
      <c r="X3243">
        <v>1</v>
      </c>
      <c r="Z3243">
        <v>0</v>
      </c>
      <c r="AA3243">
        <v>9</v>
      </c>
      <c r="AB3243">
        <v>3</v>
      </c>
      <c r="AC3243">
        <v>0</v>
      </c>
      <c r="AD3243">
        <v>9</v>
      </c>
      <c r="AE3243">
        <v>0</v>
      </c>
      <c r="AF3243">
        <v>3</v>
      </c>
      <c r="AG3243">
        <v>1</v>
      </c>
      <c r="AH3243">
        <v>0</v>
      </c>
      <c r="AI3243" t="s">
        <v>1076</v>
      </c>
      <c r="AJ3243">
        <v>34.095640000000003</v>
      </c>
      <c r="AK3243" t="s">
        <v>1077</v>
      </c>
      <c r="AL3243">
        <v>-117.04192399999999</v>
      </c>
      <c r="AM3243">
        <v>100</v>
      </c>
      <c r="AN3243">
        <v>5700</v>
      </c>
      <c r="AO3243" t="s">
        <v>118</v>
      </c>
      <c r="AP3243">
        <v>69</v>
      </c>
      <c r="AQ3243">
        <v>-85</v>
      </c>
      <c r="AR3243">
        <v>-704</v>
      </c>
      <c r="AZ3243">
        <v>1200</v>
      </c>
      <c r="BA3243">
        <v>1</v>
      </c>
      <c r="BB3243" t="str">
        <f t="shared" si="1780"/>
        <v xml:space="preserve">N9217B  </v>
      </c>
      <c r="BC3243">
        <v>1</v>
      </c>
      <c r="BE3243">
        <v>0</v>
      </c>
      <c r="BF3243">
        <v>0</v>
      </c>
      <c r="BG3243">
        <v>0</v>
      </c>
      <c r="BH3243">
        <v>5550</v>
      </c>
      <c r="BI3243">
        <v>1</v>
      </c>
      <c r="BJ3243">
        <v>0</v>
      </c>
      <c r="BK3243">
        <v>0</v>
      </c>
      <c r="BL3243">
        <v>0</v>
      </c>
      <c r="BO3243">
        <v>0</v>
      </c>
      <c r="BP3243">
        <v>0</v>
      </c>
      <c r="BW3243" t="str">
        <f t="shared" si="1803"/>
        <v>14:56:59.136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7</v>
      </c>
      <c r="CP3243" t="s">
        <v>119</v>
      </c>
      <c r="CQ3243">
        <v>285</v>
      </c>
      <c r="CR3243">
        <v>0</v>
      </c>
      <c r="CW3243">
        <v>8876653</v>
      </c>
      <c r="CY3243">
        <v>0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25">
      <c r="A3244" t="str">
        <f t="shared" si="1800"/>
        <v>06/05/2020 14:56:53.504</v>
      </c>
      <c r="C3244" t="str">
        <f t="shared" si="1797"/>
        <v>FFDFD3C0</v>
      </c>
      <c r="D3244" t="s">
        <v>113</v>
      </c>
      <c r="E3244">
        <v>3</v>
      </c>
      <c r="H3244">
        <v>166</v>
      </c>
      <c r="I3244" t="s">
        <v>114</v>
      </c>
      <c r="J3244" t="s">
        <v>115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801"/>
        <v>14:56:59.133</v>
      </c>
      <c r="T3244" t="str">
        <f t="shared" si="1802"/>
        <v>14:56:58.733</v>
      </c>
      <c r="U3244" t="str">
        <f t="shared" si="1779"/>
        <v>ACC530</v>
      </c>
      <c r="V3244">
        <v>0</v>
      </c>
      <c r="W3244">
        <v>0</v>
      </c>
      <c r="X3244">
        <v>1</v>
      </c>
      <c r="Z3244">
        <v>0</v>
      </c>
      <c r="AA3244">
        <v>9</v>
      </c>
      <c r="AB3244">
        <v>3</v>
      </c>
      <c r="AC3244">
        <v>0</v>
      </c>
      <c r="AD3244">
        <v>9</v>
      </c>
      <c r="AE3244">
        <v>0</v>
      </c>
      <c r="AF3244">
        <v>3</v>
      </c>
      <c r="AG3244">
        <v>1</v>
      </c>
      <c r="AH3244">
        <v>0</v>
      </c>
      <c r="AI3244" t="s">
        <v>1076</v>
      </c>
      <c r="AJ3244">
        <v>34.095640000000003</v>
      </c>
      <c r="AK3244" t="s">
        <v>1077</v>
      </c>
      <c r="AL3244">
        <v>-117.04192399999999</v>
      </c>
      <c r="AM3244">
        <v>100</v>
      </c>
      <c r="AN3244">
        <v>5700</v>
      </c>
      <c r="AO3244" t="s">
        <v>118</v>
      </c>
      <c r="AP3244">
        <v>69</v>
      </c>
      <c r="AQ3244">
        <v>-85</v>
      </c>
      <c r="AR3244">
        <v>-704</v>
      </c>
      <c r="AZ3244">
        <v>1200</v>
      </c>
      <c r="BA3244">
        <v>1</v>
      </c>
      <c r="BB3244" t="str">
        <f t="shared" si="1780"/>
        <v xml:space="preserve">N9217B  </v>
      </c>
      <c r="BC3244">
        <v>1</v>
      </c>
      <c r="BE3244">
        <v>0</v>
      </c>
      <c r="BF3244">
        <v>0</v>
      </c>
      <c r="BG3244">
        <v>0</v>
      </c>
      <c r="BH3244">
        <v>5550</v>
      </c>
      <c r="BI3244">
        <v>1</v>
      </c>
      <c r="BJ3244">
        <v>0</v>
      </c>
      <c r="BK3244">
        <v>0</v>
      </c>
      <c r="BL3244">
        <v>0</v>
      </c>
      <c r="BO3244">
        <v>0</v>
      </c>
      <c r="BP3244">
        <v>0</v>
      </c>
      <c r="BW3244" t="str">
        <f t="shared" si="1803"/>
        <v>14:56:59.136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285</v>
      </c>
      <c r="CR3244">
        <v>0</v>
      </c>
      <c r="CW3244">
        <v>8876653</v>
      </c>
      <c r="CY3244">
        <v>0</v>
      </c>
      <c r="CZ3244">
        <v>0</v>
      </c>
      <c r="DA3244">
        <v>1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25">
      <c r="A3245" t="str">
        <f t="shared" si="1800"/>
        <v>06/05/2020 14:56:53.504</v>
      </c>
      <c r="C3245" t="str">
        <f t="shared" si="1797"/>
        <v>FFDFD3C0</v>
      </c>
      <c r="D3245" t="s">
        <v>134</v>
      </c>
      <c r="E3245">
        <v>7</v>
      </c>
      <c r="F3245">
        <v>2007</v>
      </c>
      <c r="G3245" t="s">
        <v>135</v>
      </c>
      <c r="J3245" t="s">
        <v>136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801"/>
        <v>14:56:59.133</v>
      </c>
      <c r="T3245" t="str">
        <f t="shared" si="1802"/>
        <v>14:56:58.733</v>
      </c>
      <c r="U3245" t="str">
        <f t="shared" si="1779"/>
        <v>ACC530</v>
      </c>
      <c r="V3245">
        <v>0</v>
      </c>
      <c r="W3245">
        <v>0</v>
      </c>
      <c r="X3245">
        <v>1</v>
      </c>
      <c r="Z3245">
        <v>0</v>
      </c>
      <c r="AA3245">
        <v>9</v>
      </c>
      <c r="AB3245">
        <v>3</v>
      </c>
      <c r="AC3245">
        <v>0</v>
      </c>
      <c r="AD3245">
        <v>9</v>
      </c>
      <c r="AE3245">
        <v>0</v>
      </c>
      <c r="AF3245">
        <v>3</v>
      </c>
      <c r="AG3245">
        <v>1</v>
      </c>
      <c r="AH3245">
        <v>0</v>
      </c>
      <c r="AI3245" t="s">
        <v>1076</v>
      </c>
      <c r="AJ3245">
        <v>34.095640000000003</v>
      </c>
      <c r="AK3245" t="s">
        <v>1077</v>
      </c>
      <c r="AL3245">
        <v>-117.04192399999999</v>
      </c>
      <c r="AM3245">
        <v>100</v>
      </c>
      <c r="AN3245">
        <v>5700</v>
      </c>
      <c r="AO3245" t="s">
        <v>118</v>
      </c>
      <c r="AP3245">
        <v>69</v>
      </c>
      <c r="AQ3245">
        <v>-85</v>
      </c>
      <c r="AR3245">
        <v>-704</v>
      </c>
      <c r="AZ3245">
        <v>1200</v>
      </c>
      <c r="BA3245">
        <v>1</v>
      </c>
      <c r="BB3245" t="str">
        <f t="shared" si="1780"/>
        <v xml:space="preserve">N9217B  </v>
      </c>
      <c r="BC3245">
        <v>1</v>
      </c>
      <c r="BE3245">
        <v>0</v>
      </c>
      <c r="BF3245">
        <v>0</v>
      </c>
      <c r="BG3245">
        <v>0</v>
      </c>
      <c r="BH3245">
        <v>5550</v>
      </c>
      <c r="BI3245">
        <v>1</v>
      </c>
      <c r="BJ3245">
        <v>0</v>
      </c>
      <c r="BK3245">
        <v>0</v>
      </c>
      <c r="BL3245">
        <v>0</v>
      </c>
      <c r="BO3245">
        <v>0</v>
      </c>
      <c r="BP3245">
        <v>0</v>
      </c>
      <c r="BW3245" t="str">
        <f t="shared" si="1803"/>
        <v>14:56:59.136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285</v>
      </c>
      <c r="CR3245">
        <v>0</v>
      </c>
      <c r="CW3245">
        <v>8876653</v>
      </c>
      <c r="CY3245">
        <v>0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25">
      <c r="A3246" t="str">
        <f t="shared" si="1800"/>
        <v>06/05/2020 14:56:53.504</v>
      </c>
      <c r="C3246" t="str">
        <f t="shared" si="1797"/>
        <v>FFDFD3C0</v>
      </c>
      <c r="D3246" t="s">
        <v>151</v>
      </c>
      <c r="E3246">
        <v>9</v>
      </c>
      <c r="H3246">
        <v>226</v>
      </c>
      <c r="I3246" t="s">
        <v>152</v>
      </c>
      <c r="J3246" t="s">
        <v>150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801"/>
        <v>14:56:59.133</v>
      </c>
      <c r="T3246" t="str">
        <f t="shared" si="1802"/>
        <v>14:56:58.733</v>
      </c>
      <c r="U3246" t="str">
        <f t="shared" si="1779"/>
        <v>ACC530</v>
      </c>
      <c r="V3246">
        <v>0</v>
      </c>
      <c r="W3246">
        <v>0</v>
      </c>
      <c r="X3246">
        <v>1</v>
      </c>
      <c r="Z3246">
        <v>0</v>
      </c>
      <c r="AA3246">
        <v>9</v>
      </c>
      <c r="AB3246">
        <v>3</v>
      </c>
      <c r="AC3246">
        <v>0</v>
      </c>
      <c r="AD3246">
        <v>9</v>
      </c>
      <c r="AE3246">
        <v>0</v>
      </c>
      <c r="AF3246">
        <v>3</v>
      </c>
      <c r="AG3246">
        <v>1</v>
      </c>
      <c r="AH3246">
        <v>0</v>
      </c>
      <c r="AI3246" t="s">
        <v>1076</v>
      </c>
      <c r="AJ3246">
        <v>34.095640000000003</v>
      </c>
      <c r="AK3246" t="s">
        <v>1077</v>
      </c>
      <c r="AL3246">
        <v>-117.04192399999999</v>
      </c>
      <c r="AM3246">
        <v>100</v>
      </c>
      <c r="AN3246">
        <v>5700</v>
      </c>
      <c r="AO3246" t="s">
        <v>118</v>
      </c>
      <c r="AP3246">
        <v>69</v>
      </c>
      <c r="AQ3246">
        <v>-85</v>
      </c>
      <c r="AR3246">
        <v>-704</v>
      </c>
      <c r="AZ3246">
        <v>1200</v>
      </c>
      <c r="BA3246">
        <v>1</v>
      </c>
      <c r="BB3246" t="str">
        <f t="shared" si="1780"/>
        <v xml:space="preserve">N9217B  </v>
      </c>
      <c r="BC3246">
        <v>1</v>
      </c>
      <c r="BE3246">
        <v>0</v>
      </c>
      <c r="BF3246">
        <v>0</v>
      </c>
      <c r="BG3246">
        <v>0</v>
      </c>
      <c r="BH3246">
        <v>5550</v>
      </c>
      <c r="BI3246">
        <v>1</v>
      </c>
      <c r="BJ3246">
        <v>0</v>
      </c>
      <c r="BK3246">
        <v>0</v>
      </c>
      <c r="BL3246">
        <v>0</v>
      </c>
      <c r="BO3246">
        <v>0</v>
      </c>
      <c r="BP3246">
        <v>0</v>
      </c>
      <c r="BW3246" t="str">
        <f t="shared" si="1803"/>
        <v>14:56:59.136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285</v>
      </c>
      <c r="CR3246">
        <v>0</v>
      </c>
      <c r="CW3246">
        <v>8876653</v>
      </c>
      <c r="CY3246">
        <v>0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25">
      <c r="A3247" t="str">
        <f t="shared" si="1800"/>
        <v>06/05/2020 14:56:53.504</v>
      </c>
      <c r="C3247" t="str">
        <f t="shared" si="1797"/>
        <v>FFDFD3C0</v>
      </c>
      <c r="D3247" t="s">
        <v>141</v>
      </c>
      <c r="E3247">
        <v>20</v>
      </c>
      <c r="F3247">
        <v>1020</v>
      </c>
      <c r="G3247" t="s">
        <v>114</v>
      </c>
      <c r="J3247" t="s">
        <v>142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801"/>
        <v>14:56:59.133</v>
      </c>
      <c r="T3247" t="str">
        <f t="shared" si="1802"/>
        <v>14:56:58.733</v>
      </c>
      <c r="U3247" t="str">
        <f t="shared" si="1779"/>
        <v>ACC530</v>
      </c>
      <c r="V3247">
        <v>0</v>
      </c>
      <c r="W3247">
        <v>0</v>
      </c>
      <c r="X3247">
        <v>1</v>
      </c>
      <c r="Z3247">
        <v>0</v>
      </c>
      <c r="AA3247">
        <v>9</v>
      </c>
      <c r="AB3247">
        <v>3</v>
      </c>
      <c r="AC3247">
        <v>0</v>
      </c>
      <c r="AD3247">
        <v>9</v>
      </c>
      <c r="AE3247">
        <v>0</v>
      </c>
      <c r="AF3247">
        <v>3</v>
      </c>
      <c r="AG3247">
        <v>1</v>
      </c>
      <c r="AH3247">
        <v>0</v>
      </c>
      <c r="AI3247" t="s">
        <v>1076</v>
      </c>
      <c r="AJ3247">
        <v>34.095640000000003</v>
      </c>
      <c r="AK3247" t="s">
        <v>1077</v>
      </c>
      <c r="AL3247">
        <v>-117.04192399999999</v>
      </c>
      <c r="AM3247">
        <v>100</v>
      </c>
      <c r="AN3247">
        <v>5700</v>
      </c>
      <c r="AO3247" t="s">
        <v>118</v>
      </c>
      <c r="AP3247">
        <v>69</v>
      </c>
      <c r="AQ3247">
        <v>-85</v>
      </c>
      <c r="AR3247">
        <v>-704</v>
      </c>
      <c r="AZ3247">
        <v>1200</v>
      </c>
      <c r="BA3247">
        <v>1</v>
      </c>
      <c r="BB3247" t="str">
        <f t="shared" si="1780"/>
        <v xml:space="preserve">N9217B  </v>
      </c>
      <c r="BC3247">
        <v>1</v>
      </c>
      <c r="BE3247">
        <v>0</v>
      </c>
      <c r="BF3247">
        <v>0</v>
      </c>
      <c r="BG3247">
        <v>0</v>
      </c>
      <c r="BH3247">
        <v>5550</v>
      </c>
      <c r="BI3247">
        <v>1</v>
      </c>
      <c r="BJ3247">
        <v>0</v>
      </c>
      <c r="BK3247">
        <v>0</v>
      </c>
      <c r="BL3247">
        <v>0</v>
      </c>
      <c r="BO3247">
        <v>0</v>
      </c>
      <c r="BP3247">
        <v>0</v>
      </c>
      <c r="BW3247" t="str">
        <f t="shared" si="1803"/>
        <v>14:56:59.136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285</v>
      </c>
      <c r="CR3247">
        <v>0</v>
      </c>
      <c r="CW3247">
        <v>8876653</v>
      </c>
      <c r="CY3247">
        <v>0</v>
      </c>
      <c r="CZ3247">
        <v>0</v>
      </c>
      <c r="DA3247">
        <v>1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25">
      <c r="A3248" t="str">
        <f t="shared" si="1800"/>
        <v>06/05/2020 14:56:53.504</v>
      </c>
      <c r="C3248" t="str">
        <f t="shared" si="1797"/>
        <v>FFDFD3C0</v>
      </c>
      <c r="D3248" t="s">
        <v>148</v>
      </c>
      <c r="E3248">
        <v>11</v>
      </c>
      <c r="H3248">
        <v>53</v>
      </c>
      <c r="I3248" t="s">
        <v>364</v>
      </c>
      <c r="J3248" t="s">
        <v>150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801"/>
        <v>14:56:59.133</v>
      </c>
      <c r="T3248" t="str">
        <f t="shared" si="1802"/>
        <v>14:56:58.733</v>
      </c>
      <c r="U3248" t="str">
        <f t="shared" si="1779"/>
        <v>ACC530</v>
      </c>
      <c r="V3248">
        <v>0</v>
      </c>
      <c r="W3248">
        <v>0</v>
      </c>
      <c r="X3248">
        <v>1</v>
      </c>
      <c r="Z3248">
        <v>0</v>
      </c>
      <c r="AA3248">
        <v>9</v>
      </c>
      <c r="AB3248">
        <v>3</v>
      </c>
      <c r="AC3248">
        <v>0</v>
      </c>
      <c r="AD3248">
        <v>9</v>
      </c>
      <c r="AE3248">
        <v>0</v>
      </c>
      <c r="AF3248">
        <v>3</v>
      </c>
      <c r="AG3248">
        <v>1</v>
      </c>
      <c r="AH3248">
        <v>0</v>
      </c>
      <c r="AI3248" t="s">
        <v>1076</v>
      </c>
      <c r="AJ3248">
        <v>34.095640000000003</v>
      </c>
      <c r="AK3248" t="s">
        <v>1077</v>
      </c>
      <c r="AL3248">
        <v>-117.04192399999999</v>
      </c>
      <c r="AM3248">
        <v>100</v>
      </c>
      <c r="AN3248">
        <v>5700</v>
      </c>
      <c r="AO3248" t="s">
        <v>118</v>
      </c>
      <c r="AP3248">
        <v>69</v>
      </c>
      <c r="AQ3248">
        <v>-85</v>
      </c>
      <c r="AR3248">
        <v>-704</v>
      </c>
      <c r="AZ3248">
        <v>1200</v>
      </c>
      <c r="BA3248">
        <v>1</v>
      </c>
      <c r="BB3248" t="str">
        <f t="shared" si="1780"/>
        <v xml:space="preserve">N9217B  </v>
      </c>
      <c r="BC3248">
        <v>1</v>
      </c>
      <c r="BE3248">
        <v>0</v>
      </c>
      <c r="BF3248">
        <v>0</v>
      </c>
      <c r="BG3248">
        <v>0</v>
      </c>
      <c r="BH3248">
        <v>5550</v>
      </c>
      <c r="BI3248">
        <v>1</v>
      </c>
      <c r="BJ3248">
        <v>0</v>
      </c>
      <c r="BK3248">
        <v>0</v>
      </c>
      <c r="BL3248">
        <v>0</v>
      </c>
      <c r="BO3248">
        <v>0</v>
      </c>
      <c r="BP3248">
        <v>0</v>
      </c>
      <c r="BW3248" t="str">
        <f t="shared" si="1803"/>
        <v>14:56:59.136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285</v>
      </c>
      <c r="CR3248">
        <v>0</v>
      </c>
      <c r="CW3248">
        <v>8876653</v>
      </c>
      <c r="CY3248">
        <v>0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25">
      <c r="A3249" t="str">
        <f t="shared" ref="A3249:A3255" si="1804">"06/05/2020 14:56:54.433"</f>
        <v>06/05/2020 14:56:54.433</v>
      </c>
      <c r="C3249" t="str">
        <f t="shared" si="1797"/>
        <v>FFDFD3C0</v>
      </c>
      <c r="D3249" t="s">
        <v>134</v>
      </c>
      <c r="E3249">
        <v>7</v>
      </c>
      <c r="F3249">
        <v>2007</v>
      </c>
      <c r="G3249" t="s">
        <v>135</v>
      </c>
      <c r="J3249" t="s">
        <v>136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ref="S3249:S3255" si="1805">"14:57:00.094"</f>
        <v>14:57:00.094</v>
      </c>
      <c r="T3249" t="str">
        <f t="shared" ref="T3249:T3255" si="1806">"14:56:59.794"</f>
        <v>14:56:59.794</v>
      </c>
      <c r="U3249" t="str">
        <f t="shared" si="1779"/>
        <v>ACC530</v>
      </c>
      <c r="V3249">
        <v>0</v>
      </c>
      <c r="W3249">
        <v>0</v>
      </c>
      <c r="X3249">
        <v>1</v>
      </c>
      <c r="Z3249">
        <v>0</v>
      </c>
      <c r="AA3249">
        <v>9</v>
      </c>
      <c r="AB3249">
        <v>3</v>
      </c>
      <c r="AC3249">
        <v>0</v>
      </c>
      <c r="AD3249">
        <v>9</v>
      </c>
      <c r="AE3249">
        <v>0</v>
      </c>
      <c r="AF3249">
        <v>3</v>
      </c>
      <c r="AG3249">
        <v>1</v>
      </c>
      <c r="AH3249">
        <v>0</v>
      </c>
      <c r="AI3249" t="s">
        <v>1078</v>
      </c>
      <c r="AJ3249">
        <v>34.095297000000002</v>
      </c>
      <c r="AK3249" t="s">
        <v>1079</v>
      </c>
      <c r="AL3249">
        <v>-117.04155900000001</v>
      </c>
      <c r="AM3249">
        <v>100</v>
      </c>
      <c r="AN3249">
        <v>5700</v>
      </c>
      <c r="AO3249" t="s">
        <v>118</v>
      </c>
      <c r="AP3249">
        <v>69</v>
      </c>
      <c r="AQ3249">
        <v>-84</v>
      </c>
      <c r="AR3249">
        <v>-640</v>
      </c>
      <c r="AZ3249">
        <v>1200</v>
      </c>
      <c r="BA3249">
        <v>1</v>
      </c>
      <c r="BB3249" t="str">
        <f t="shared" si="1780"/>
        <v xml:space="preserve">N9217B  </v>
      </c>
      <c r="BC3249">
        <v>1</v>
      </c>
      <c r="BE3249">
        <v>0</v>
      </c>
      <c r="BF3249">
        <v>0</v>
      </c>
      <c r="BG3249">
        <v>0</v>
      </c>
      <c r="BH3249">
        <v>5550</v>
      </c>
      <c r="BI3249">
        <v>1</v>
      </c>
      <c r="BJ3249">
        <v>0</v>
      </c>
      <c r="BK3249">
        <v>0</v>
      </c>
      <c r="BL3249">
        <v>0</v>
      </c>
      <c r="BO3249">
        <v>0</v>
      </c>
      <c r="BP3249">
        <v>0</v>
      </c>
      <c r="BW3249" t="str">
        <f t="shared" ref="BW3249:BW3255" si="1807">"14:57:00.096"</f>
        <v>14:57:00.096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119</v>
      </c>
      <c r="CQ3249">
        <v>285</v>
      </c>
      <c r="CR3249">
        <v>0</v>
      </c>
      <c r="CW3249">
        <v>8876746</v>
      </c>
      <c r="CY3249">
        <v>0</v>
      </c>
      <c r="CZ3249">
        <v>0</v>
      </c>
      <c r="DA3249">
        <v>0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25">
      <c r="A3250" t="str">
        <f t="shared" si="1804"/>
        <v>06/05/2020 14:56:54.433</v>
      </c>
      <c r="C3250" t="str">
        <f t="shared" si="1797"/>
        <v>FFDFD3C0</v>
      </c>
      <c r="D3250" t="s">
        <v>151</v>
      </c>
      <c r="E3250">
        <v>9</v>
      </c>
      <c r="H3250">
        <v>226</v>
      </c>
      <c r="I3250" t="s">
        <v>152</v>
      </c>
      <c r="J3250" t="s">
        <v>150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si="1805"/>
        <v>14:57:00.094</v>
      </c>
      <c r="T3250" t="str">
        <f t="shared" si="1806"/>
        <v>14:56:59.794</v>
      </c>
      <c r="U3250" t="str">
        <f t="shared" si="1779"/>
        <v>ACC530</v>
      </c>
      <c r="V3250">
        <v>0</v>
      </c>
      <c r="W3250">
        <v>0</v>
      </c>
      <c r="X3250">
        <v>1</v>
      </c>
      <c r="Z3250">
        <v>0</v>
      </c>
      <c r="AA3250">
        <v>9</v>
      </c>
      <c r="AB3250">
        <v>3</v>
      </c>
      <c r="AC3250">
        <v>0</v>
      </c>
      <c r="AD3250">
        <v>9</v>
      </c>
      <c r="AE3250">
        <v>0</v>
      </c>
      <c r="AF3250">
        <v>3</v>
      </c>
      <c r="AG3250">
        <v>1</v>
      </c>
      <c r="AH3250">
        <v>0</v>
      </c>
      <c r="AI3250" t="s">
        <v>1078</v>
      </c>
      <c r="AJ3250">
        <v>34.095297000000002</v>
      </c>
      <c r="AK3250" t="s">
        <v>1079</v>
      </c>
      <c r="AL3250">
        <v>-117.04155900000001</v>
      </c>
      <c r="AM3250">
        <v>100</v>
      </c>
      <c r="AN3250">
        <v>5700</v>
      </c>
      <c r="AO3250" t="s">
        <v>118</v>
      </c>
      <c r="AP3250">
        <v>69</v>
      </c>
      <c r="AQ3250">
        <v>-84</v>
      </c>
      <c r="AR3250">
        <v>-640</v>
      </c>
      <c r="AZ3250">
        <v>1200</v>
      </c>
      <c r="BA3250">
        <v>1</v>
      </c>
      <c r="BB3250" t="str">
        <f t="shared" si="1780"/>
        <v xml:space="preserve">N9217B  </v>
      </c>
      <c r="BC3250">
        <v>1</v>
      </c>
      <c r="BE3250">
        <v>0</v>
      </c>
      <c r="BF3250">
        <v>0</v>
      </c>
      <c r="BG3250">
        <v>0</v>
      </c>
      <c r="BH3250">
        <v>5550</v>
      </c>
      <c r="BI3250">
        <v>1</v>
      </c>
      <c r="BJ3250">
        <v>0</v>
      </c>
      <c r="BK3250">
        <v>0</v>
      </c>
      <c r="BL3250">
        <v>0</v>
      </c>
      <c r="BO3250">
        <v>0</v>
      </c>
      <c r="BP3250">
        <v>0</v>
      </c>
      <c r="BW3250" t="str">
        <f t="shared" si="1807"/>
        <v>14:57:00.096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119</v>
      </c>
      <c r="CQ3250">
        <v>285</v>
      </c>
      <c r="CR3250">
        <v>0</v>
      </c>
      <c r="CW3250">
        <v>8876746</v>
      </c>
      <c r="CY3250">
        <v>0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25">
      <c r="A3251" t="str">
        <f t="shared" si="1804"/>
        <v>06/05/2020 14:56:54.433</v>
      </c>
      <c r="C3251" t="str">
        <f t="shared" si="1797"/>
        <v>FFDFD3C0</v>
      </c>
      <c r="D3251" t="s">
        <v>141</v>
      </c>
      <c r="E3251">
        <v>20</v>
      </c>
      <c r="F3251">
        <v>1020</v>
      </c>
      <c r="G3251" t="s">
        <v>114</v>
      </c>
      <c r="J3251" t="s">
        <v>142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805"/>
        <v>14:57:00.094</v>
      </c>
      <c r="T3251" t="str">
        <f t="shared" si="1806"/>
        <v>14:56:59.794</v>
      </c>
      <c r="U3251" t="str">
        <f t="shared" si="1779"/>
        <v>ACC530</v>
      </c>
      <c r="V3251">
        <v>0</v>
      </c>
      <c r="W3251">
        <v>0</v>
      </c>
      <c r="X3251">
        <v>1</v>
      </c>
      <c r="Z3251">
        <v>0</v>
      </c>
      <c r="AA3251">
        <v>9</v>
      </c>
      <c r="AB3251">
        <v>3</v>
      </c>
      <c r="AC3251">
        <v>0</v>
      </c>
      <c r="AD3251">
        <v>9</v>
      </c>
      <c r="AE3251">
        <v>0</v>
      </c>
      <c r="AF3251">
        <v>3</v>
      </c>
      <c r="AG3251">
        <v>1</v>
      </c>
      <c r="AH3251">
        <v>0</v>
      </c>
      <c r="AI3251" t="s">
        <v>1078</v>
      </c>
      <c r="AJ3251">
        <v>34.095297000000002</v>
      </c>
      <c r="AK3251" t="s">
        <v>1079</v>
      </c>
      <c r="AL3251">
        <v>-117.04155900000001</v>
      </c>
      <c r="AM3251">
        <v>100</v>
      </c>
      <c r="AN3251">
        <v>5700</v>
      </c>
      <c r="AO3251" t="s">
        <v>118</v>
      </c>
      <c r="AP3251">
        <v>69</v>
      </c>
      <c r="AQ3251">
        <v>-84</v>
      </c>
      <c r="AR3251">
        <v>-640</v>
      </c>
      <c r="AZ3251">
        <v>1200</v>
      </c>
      <c r="BA3251">
        <v>1</v>
      </c>
      <c r="BB3251" t="str">
        <f t="shared" si="1780"/>
        <v xml:space="preserve">N9217B  </v>
      </c>
      <c r="BC3251">
        <v>1</v>
      </c>
      <c r="BE3251">
        <v>0</v>
      </c>
      <c r="BF3251">
        <v>0</v>
      </c>
      <c r="BG3251">
        <v>0</v>
      </c>
      <c r="BH3251">
        <v>5550</v>
      </c>
      <c r="BI3251">
        <v>1</v>
      </c>
      <c r="BJ3251">
        <v>0</v>
      </c>
      <c r="BK3251">
        <v>0</v>
      </c>
      <c r="BL3251">
        <v>0</v>
      </c>
      <c r="BO3251">
        <v>0</v>
      </c>
      <c r="BP3251">
        <v>0</v>
      </c>
      <c r="BW3251" t="str">
        <f t="shared" si="1807"/>
        <v>14:57:00.096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119</v>
      </c>
      <c r="CQ3251">
        <v>285</v>
      </c>
      <c r="CR3251">
        <v>0</v>
      </c>
      <c r="CW3251">
        <v>8876746</v>
      </c>
      <c r="CY3251">
        <v>0</v>
      </c>
      <c r="CZ3251">
        <v>0</v>
      </c>
      <c r="DA3251">
        <v>1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25">
      <c r="A3252" t="str">
        <f t="shared" si="1804"/>
        <v>06/05/2020 14:56:54.433</v>
      </c>
      <c r="C3252" t="str">
        <f t="shared" si="1797"/>
        <v>FFDFD3C0</v>
      </c>
      <c r="D3252" t="s">
        <v>148</v>
      </c>
      <c r="E3252">
        <v>11</v>
      </c>
      <c r="H3252">
        <v>53</v>
      </c>
      <c r="I3252" t="s">
        <v>364</v>
      </c>
      <c r="J3252" t="s">
        <v>150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805"/>
        <v>14:57:00.094</v>
      </c>
      <c r="T3252" t="str">
        <f t="shared" si="1806"/>
        <v>14:56:59.794</v>
      </c>
      <c r="U3252" t="str">
        <f t="shared" si="1779"/>
        <v>ACC530</v>
      </c>
      <c r="V3252">
        <v>0</v>
      </c>
      <c r="W3252">
        <v>0</v>
      </c>
      <c r="X3252">
        <v>1</v>
      </c>
      <c r="Z3252">
        <v>0</v>
      </c>
      <c r="AA3252">
        <v>9</v>
      </c>
      <c r="AB3252">
        <v>3</v>
      </c>
      <c r="AC3252">
        <v>0</v>
      </c>
      <c r="AD3252">
        <v>9</v>
      </c>
      <c r="AE3252">
        <v>0</v>
      </c>
      <c r="AF3252">
        <v>3</v>
      </c>
      <c r="AG3252">
        <v>1</v>
      </c>
      <c r="AH3252">
        <v>0</v>
      </c>
      <c r="AI3252" t="s">
        <v>1078</v>
      </c>
      <c r="AJ3252">
        <v>34.095297000000002</v>
      </c>
      <c r="AK3252" t="s">
        <v>1079</v>
      </c>
      <c r="AL3252">
        <v>-117.04155900000001</v>
      </c>
      <c r="AM3252">
        <v>100</v>
      </c>
      <c r="AN3252">
        <v>5700</v>
      </c>
      <c r="AO3252" t="s">
        <v>118</v>
      </c>
      <c r="AP3252">
        <v>69</v>
      </c>
      <c r="AQ3252">
        <v>-84</v>
      </c>
      <c r="AR3252">
        <v>-640</v>
      </c>
      <c r="AZ3252">
        <v>1200</v>
      </c>
      <c r="BA3252">
        <v>1</v>
      </c>
      <c r="BB3252" t="str">
        <f t="shared" si="1780"/>
        <v xml:space="preserve">N9217B  </v>
      </c>
      <c r="BC3252">
        <v>1</v>
      </c>
      <c r="BE3252">
        <v>0</v>
      </c>
      <c r="BF3252">
        <v>0</v>
      </c>
      <c r="BG3252">
        <v>0</v>
      </c>
      <c r="BH3252">
        <v>5550</v>
      </c>
      <c r="BI3252">
        <v>1</v>
      </c>
      <c r="BJ3252">
        <v>0</v>
      </c>
      <c r="BK3252">
        <v>0</v>
      </c>
      <c r="BL3252">
        <v>0</v>
      </c>
      <c r="BO3252">
        <v>0</v>
      </c>
      <c r="BP3252">
        <v>0</v>
      </c>
      <c r="BW3252" t="str">
        <f t="shared" si="1807"/>
        <v>14:57:00.096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119</v>
      </c>
      <c r="CQ3252">
        <v>285</v>
      </c>
      <c r="CR3252">
        <v>0</v>
      </c>
      <c r="CW3252">
        <v>8876746</v>
      </c>
      <c r="CY3252">
        <v>0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25">
      <c r="A3253" t="str">
        <f t="shared" si="1804"/>
        <v>06/05/2020 14:56:54.433</v>
      </c>
      <c r="C3253" t="str">
        <f t="shared" si="1797"/>
        <v>FFDFD3C0</v>
      </c>
      <c r="D3253" t="s">
        <v>148</v>
      </c>
      <c r="E3253">
        <v>8</v>
      </c>
      <c r="H3253">
        <v>50</v>
      </c>
      <c r="I3253" t="s">
        <v>149</v>
      </c>
      <c r="J3253" t="s">
        <v>150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si="1805"/>
        <v>14:57:00.094</v>
      </c>
      <c r="T3253" t="str">
        <f t="shared" si="1806"/>
        <v>14:56:59.794</v>
      </c>
      <c r="U3253" t="str">
        <f t="shared" si="1779"/>
        <v>ACC530</v>
      </c>
      <c r="V3253">
        <v>0</v>
      </c>
      <c r="W3253">
        <v>0</v>
      </c>
      <c r="X3253">
        <v>1</v>
      </c>
      <c r="Z3253">
        <v>0</v>
      </c>
      <c r="AA3253">
        <v>9</v>
      </c>
      <c r="AB3253">
        <v>3</v>
      </c>
      <c r="AC3253">
        <v>0</v>
      </c>
      <c r="AD3253">
        <v>9</v>
      </c>
      <c r="AE3253">
        <v>0</v>
      </c>
      <c r="AF3253">
        <v>3</v>
      </c>
      <c r="AG3253">
        <v>1</v>
      </c>
      <c r="AH3253">
        <v>0</v>
      </c>
      <c r="AI3253" t="s">
        <v>1078</v>
      </c>
      <c r="AJ3253">
        <v>34.095297000000002</v>
      </c>
      <c r="AK3253" t="s">
        <v>1079</v>
      </c>
      <c r="AL3253">
        <v>-117.04155900000001</v>
      </c>
      <c r="AM3253">
        <v>100</v>
      </c>
      <c r="AN3253">
        <v>5700</v>
      </c>
      <c r="AO3253" t="s">
        <v>118</v>
      </c>
      <c r="AP3253">
        <v>69</v>
      </c>
      <c r="AQ3253">
        <v>-84</v>
      </c>
      <c r="AR3253">
        <v>-640</v>
      </c>
      <c r="AZ3253">
        <v>1200</v>
      </c>
      <c r="BA3253">
        <v>1</v>
      </c>
      <c r="BB3253" t="str">
        <f t="shared" si="1780"/>
        <v xml:space="preserve">N9217B  </v>
      </c>
      <c r="BC3253">
        <v>1</v>
      </c>
      <c r="BE3253">
        <v>0</v>
      </c>
      <c r="BF3253">
        <v>0</v>
      </c>
      <c r="BG3253">
        <v>0</v>
      </c>
      <c r="BH3253">
        <v>5550</v>
      </c>
      <c r="BI3253">
        <v>1</v>
      </c>
      <c r="BJ3253">
        <v>0</v>
      </c>
      <c r="BK3253">
        <v>0</v>
      </c>
      <c r="BL3253">
        <v>0</v>
      </c>
      <c r="BO3253">
        <v>0</v>
      </c>
      <c r="BP3253">
        <v>0</v>
      </c>
      <c r="BW3253" t="str">
        <f t="shared" si="1807"/>
        <v>14:57:00.096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7</v>
      </c>
      <c r="CP3253" t="s">
        <v>119</v>
      </c>
      <c r="CQ3253">
        <v>285</v>
      </c>
      <c r="CR3253">
        <v>0</v>
      </c>
      <c r="CW3253">
        <v>8876746</v>
      </c>
      <c r="CY3253">
        <v>0</v>
      </c>
      <c r="CZ3253">
        <v>0</v>
      </c>
      <c r="DA3253">
        <v>1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25">
      <c r="A3254" t="str">
        <f t="shared" si="1804"/>
        <v>06/05/2020 14:56:54.433</v>
      </c>
      <c r="C3254" t="str">
        <f t="shared" si="1797"/>
        <v>FFDFD3C0</v>
      </c>
      <c r="D3254" t="s">
        <v>151</v>
      </c>
      <c r="E3254">
        <v>8</v>
      </c>
      <c r="H3254">
        <v>225</v>
      </c>
      <c r="I3254" t="s">
        <v>353</v>
      </c>
      <c r="J3254" t="s">
        <v>150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805"/>
        <v>14:57:00.094</v>
      </c>
      <c r="T3254" t="str">
        <f t="shared" si="1806"/>
        <v>14:56:59.794</v>
      </c>
      <c r="U3254" t="str">
        <f t="shared" si="1779"/>
        <v>ACC530</v>
      </c>
      <c r="V3254">
        <v>0</v>
      </c>
      <c r="W3254">
        <v>0</v>
      </c>
      <c r="X3254">
        <v>1</v>
      </c>
      <c r="Z3254">
        <v>0</v>
      </c>
      <c r="AA3254">
        <v>9</v>
      </c>
      <c r="AB3254">
        <v>3</v>
      </c>
      <c r="AC3254">
        <v>0</v>
      </c>
      <c r="AD3254">
        <v>9</v>
      </c>
      <c r="AE3254">
        <v>0</v>
      </c>
      <c r="AF3254">
        <v>3</v>
      </c>
      <c r="AG3254">
        <v>1</v>
      </c>
      <c r="AH3254">
        <v>0</v>
      </c>
      <c r="AI3254" t="s">
        <v>1078</v>
      </c>
      <c r="AJ3254">
        <v>34.095297000000002</v>
      </c>
      <c r="AK3254" t="s">
        <v>1079</v>
      </c>
      <c r="AL3254">
        <v>-117.04155900000001</v>
      </c>
      <c r="AM3254">
        <v>100</v>
      </c>
      <c r="AN3254">
        <v>5700</v>
      </c>
      <c r="AO3254" t="s">
        <v>118</v>
      </c>
      <c r="AP3254">
        <v>69</v>
      </c>
      <c r="AQ3254">
        <v>-84</v>
      </c>
      <c r="AR3254">
        <v>-640</v>
      </c>
      <c r="AZ3254">
        <v>1200</v>
      </c>
      <c r="BA3254">
        <v>1</v>
      </c>
      <c r="BB3254" t="str">
        <f t="shared" si="1780"/>
        <v xml:space="preserve">N9217B  </v>
      </c>
      <c r="BC3254">
        <v>1</v>
      </c>
      <c r="BE3254">
        <v>0</v>
      </c>
      <c r="BF3254">
        <v>0</v>
      </c>
      <c r="BG3254">
        <v>0</v>
      </c>
      <c r="BH3254">
        <v>5550</v>
      </c>
      <c r="BI3254">
        <v>1</v>
      </c>
      <c r="BJ3254">
        <v>0</v>
      </c>
      <c r="BK3254">
        <v>0</v>
      </c>
      <c r="BL3254">
        <v>0</v>
      </c>
      <c r="BO3254">
        <v>0</v>
      </c>
      <c r="BP3254">
        <v>0</v>
      </c>
      <c r="BW3254" t="str">
        <f t="shared" si="1807"/>
        <v>14:57:00.096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7</v>
      </c>
      <c r="CP3254" t="s">
        <v>119</v>
      </c>
      <c r="CQ3254">
        <v>285</v>
      </c>
      <c r="CR3254">
        <v>0</v>
      </c>
      <c r="CW3254">
        <v>8876746</v>
      </c>
      <c r="CY3254">
        <v>0</v>
      </c>
      <c r="CZ3254">
        <v>0</v>
      </c>
      <c r="DA3254">
        <v>1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25">
      <c r="A3255" t="str">
        <f t="shared" si="1804"/>
        <v>06/05/2020 14:56:54.433</v>
      </c>
      <c r="C3255" t="str">
        <f t="shared" si="1797"/>
        <v>FFDFD3C0</v>
      </c>
      <c r="D3255" t="s">
        <v>113</v>
      </c>
      <c r="E3255">
        <v>3</v>
      </c>
      <c r="H3255">
        <v>166</v>
      </c>
      <c r="I3255" t="s">
        <v>114</v>
      </c>
      <c r="J3255" t="s">
        <v>115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805"/>
        <v>14:57:00.094</v>
      </c>
      <c r="T3255" t="str">
        <f t="shared" si="1806"/>
        <v>14:56:59.794</v>
      </c>
      <c r="U3255" t="str">
        <f t="shared" si="1779"/>
        <v>ACC530</v>
      </c>
      <c r="V3255">
        <v>0</v>
      </c>
      <c r="W3255">
        <v>0</v>
      </c>
      <c r="X3255">
        <v>1</v>
      </c>
      <c r="Z3255">
        <v>0</v>
      </c>
      <c r="AA3255">
        <v>9</v>
      </c>
      <c r="AB3255">
        <v>3</v>
      </c>
      <c r="AC3255">
        <v>0</v>
      </c>
      <c r="AD3255">
        <v>9</v>
      </c>
      <c r="AE3255">
        <v>0</v>
      </c>
      <c r="AF3255">
        <v>3</v>
      </c>
      <c r="AG3255">
        <v>1</v>
      </c>
      <c r="AH3255">
        <v>0</v>
      </c>
      <c r="AI3255" t="s">
        <v>1078</v>
      </c>
      <c r="AJ3255">
        <v>34.095297000000002</v>
      </c>
      <c r="AK3255" t="s">
        <v>1079</v>
      </c>
      <c r="AL3255">
        <v>-117.04155900000001</v>
      </c>
      <c r="AM3255">
        <v>100</v>
      </c>
      <c r="AN3255">
        <v>5700</v>
      </c>
      <c r="AO3255" t="s">
        <v>118</v>
      </c>
      <c r="AP3255">
        <v>69</v>
      </c>
      <c r="AQ3255">
        <v>-84</v>
      </c>
      <c r="AR3255">
        <v>-640</v>
      </c>
      <c r="AZ3255">
        <v>1200</v>
      </c>
      <c r="BA3255">
        <v>1</v>
      </c>
      <c r="BB3255" t="str">
        <f t="shared" si="1780"/>
        <v xml:space="preserve">N9217B  </v>
      </c>
      <c r="BC3255">
        <v>1</v>
      </c>
      <c r="BE3255">
        <v>0</v>
      </c>
      <c r="BF3255">
        <v>0</v>
      </c>
      <c r="BG3255">
        <v>0</v>
      </c>
      <c r="BH3255">
        <v>5550</v>
      </c>
      <c r="BI3255">
        <v>1</v>
      </c>
      <c r="BJ3255">
        <v>0</v>
      </c>
      <c r="BK3255">
        <v>0</v>
      </c>
      <c r="BL3255">
        <v>0</v>
      </c>
      <c r="BO3255">
        <v>0</v>
      </c>
      <c r="BP3255">
        <v>0</v>
      </c>
      <c r="BW3255" t="str">
        <f t="shared" si="1807"/>
        <v>14:57:00.096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285</v>
      </c>
      <c r="CR3255">
        <v>0</v>
      </c>
      <c r="CW3255">
        <v>8876746</v>
      </c>
      <c r="CY3255">
        <v>0</v>
      </c>
      <c r="CZ3255">
        <v>0</v>
      </c>
      <c r="DA3255">
        <v>1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25">
      <c r="A3256" t="str">
        <f t="shared" ref="A3256:A3262" si="1808">"06/05/2020 14:56:55.491"</f>
        <v>06/05/2020 14:56:55.491</v>
      </c>
      <c r="C3256" t="str">
        <f t="shared" si="1797"/>
        <v>FFDFD3C0</v>
      </c>
      <c r="D3256" t="s">
        <v>134</v>
      </c>
      <c r="E3256">
        <v>7</v>
      </c>
      <c r="F3256">
        <v>2007</v>
      </c>
      <c r="G3256" t="s">
        <v>135</v>
      </c>
      <c r="J3256" t="s">
        <v>136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ref="S3256:S3262" si="1809">"14:57:01.156"</f>
        <v>14:57:01.156</v>
      </c>
      <c r="T3256" t="str">
        <f t="shared" ref="T3256:T3262" si="1810">"14:57:00.856"</f>
        <v>14:57:00.856</v>
      </c>
      <c r="U3256" t="str">
        <f t="shared" si="1779"/>
        <v>ACC530</v>
      </c>
      <c r="V3256">
        <v>0</v>
      </c>
      <c r="W3256">
        <v>0</v>
      </c>
      <c r="X3256">
        <v>1</v>
      </c>
      <c r="Z3256">
        <v>0</v>
      </c>
      <c r="AA3256">
        <v>9</v>
      </c>
      <c r="AB3256">
        <v>3</v>
      </c>
      <c r="AC3256">
        <v>0</v>
      </c>
      <c r="AD3256">
        <v>9</v>
      </c>
      <c r="AE3256">
        <v>0</v>
      </c>
      <c r="AF3256">
        <v>3</v>
      </c>
      <c r="AG3256">
        <v>1</v>
      </c>
      <c r="AH3256">
        <v>0</v>
      </c>
      <c r="AI3256" t="s">
        <v>1080</v>
      </c>
      <c r="AJ3256">
        <v>34.094889000000002</v>
      </c>
      <c r="AK3256" t="s">
        <v>1081</v>
      </c>
      <c r="AL3256">
        <v>-117.04110900000001</v>
      </c>
      <c r="AM3256">
        <v>100</v>
      </c>
      <c r="AN3256">
        <v>5700</v>
      </c>
      <c r="AO3256" t="s">
        <v>118</v>
      </c>
      <c r="AP3256">
        <v>70</v>
      </c>
      <c r="AQ3256">
        <v>-84</v>
      </c>
      <c r="AR3256">
        <v>-640</v>
      </c>
      <c r="AZ3256">
        <v>1200</v>
      </c>
      <c r="BA3256">
        <v>1</v>
      </c>
      <c r="BB3256" t="str">
        <f t="shared" si="1780"/>
        <v xml:space="preserve">N9217B  </v>
      </c>
      <c r="BC3256">
        <v>1</v>
      </c>
      <c r="BE3256">
        <v>0</v>
      </c>
      <c r="BF3256">
        <v>0</v>
      </c>
      <c r="BG3256">
        <v>0</v>
      </c>
      <c r="BH3256">
        <v>5525</v>
      </c>
      <c r="BI3256">
        <v>1</v>
      </c>
      <c r="BJ3256">
        <v>0</v>
      </c>
      <c r="BK3256">
        <v>0</v>
      </c>
      <c r="BL3256">
        <v>0</v>
      </c>
      <c r="BO3256">
        <v>0</v>
      </c>
      <c r="BP3256">
        <v>0</v>
      </c>
      <c r="BW3256" t="str">
        <f t="shared" ref="BW3256:BW3262" si="1811">"14:57:01.161"</f>
        <v>14:57:01.161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285</v>
      </c>
      <c r="CR3256">
        <v>0</v>
      </c>
      <c r="CW3256">
        <v>8876842</v>
      </c>
      <c r="CY3256">
        <v>0</v>
      </c>
      <c r="CZ3256">
        <v>0</v>
      </c>
      <c r="DA3256">
        <v>0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25">
      <c r="A3257" t="str">
        <f t="shared" si="1808"/>
        <v>06/05/2020 14:56:55.491</v>
      </c>
      <c r="C3257" t="str">
        <f t="shared" si="1797"/>
        <v>FFDFD3C0</v>
      </c>
      <c r="D3257" t="s">
        <v>141</v>
      </c>
      <c r="E3257">
        <v>20</v>
      </c>
      <c r="F3257">
        <v>1020</v>
      </c>
      <c r="G3257" t="s">
        <v>114</v>
      </c>
      <c r="J3257" t="s">
        <v>142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809"/>
        <v>14:57:01.156</v>
      </c>
      <c r="T3257" t="str">
        <f t="shared" si="1810"/>
        <v>14:57:00.856</v>
      </c>
      <c r="U3257" t="str">
        <f t="shared" si="1779"/>
        <v>ACC530</v>
      </c>
      <c r="V3257">
        <v>0</v>
      </c>
      <c r="W3257">
        <v>0</v>
      </c>
      <c r="X3257">
        <v>1</v>
      </c>
      <c r="Z3257">
        <v>0</v>
      </c>
      <c r="AA3257">
        <v>9</v>
      </c>
      <c r="AB3257">
        <v>3</v>
      </c>
      <c r="AC3257">
        <v>0</v>
      </c>
      <c r="AD3257">
        <v>9</v>
      </c>
      <c r="AE3257">
        <v>0</v>
      </c>
      <c r="AF3257">
        <v>3</v>
      </c>
      <c r="AG3257">
        <v>1</v>
      </c>
      <c r="AH3257">
        <v>0</v>
      </c>
      <c r="AI3257" t="s">
        <v>1080</v>
      </c>
      <c r="AJ3257">
        <v>34.094889000000002</v>
      </c>
      <c r="AK3257" t="s">
        <v>1081</v>
      </c>
      <c r="AL3257">
        <v>-117.04110900000001</v>
      </c>
      <c r="AM3257">
        <v>100</v>
      </c>
      <c r="AN3257">
        <v>5700</v>
      </c>
      <c r="AO3257" t="s">
        <v>118</v>
      </c>
      <c r="AP3257">
        <v>70</v>
      </c>
      <c r="AQ3257">
        <v>-84</v>
      </c>
      <c r="AR3257">
        <v>-640</v>
      </c>
      <c r="AZ3257">
        <v>1200</v>
      </c>
      <c r="BA3257">
        <v>1</v>
      </c>
      <c r="BB3257" t="str">
        <f t="shared" si="1780"/>
        <v xml:space="preserve">N9217B  </v>
      </c>
      <c r="BC3257">
        <v>1</v>
      </c>
      <c r="BE3257">
        <v>0</v>
      </c>
      <c r="BF3257">
        <v>0</v>
      </c>
      <c r="BG3257">
        <v>0</v>
      </c>
      <c r="BH3257">
        <v>5525</v>
      </c>
      <c r="BI3257">
        <v>1</v>
      </c>
      <c r="BJ3257">
        <v>0</v>
      </c>
      <c r="BK3257">
        <v>0</v>
      </c>
      <c r="BL3257">
        <v>0</v>
      </c>
      <c r="BO3257">
        <v>0</v>
      </c>
      <c r="BP3257">
        <v>0</v>
      </c>
      <c r="BW3257" t="str">
        <f t="shared" si="1811"/>
        <v>14:57:01.161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119</v>
      </c>
      <c r="CQ3257">
        <v>285</v>
      </c>
      <c r="CR3257">
        <v>0</v>
      </c>
      <c r="CW3257">
        <v>8876842</v>
      </c>
      <c r="CY3257">
        <v>0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25">
      <c r="A3258" t="str">
        <f t="shared" si="1808"/>
        <v>06/05/2020 14:56:55.491</v>
      </c>
      <c r="C3258" t="str">
        <f t="shared" si="1797"/>
        <v>FFDFD3C0</v>
      </c>
      <c r="D3258" t="s">
        <v>151</v>
      </c>
      <c r="E3258">
        <v>9</v>
      </c>
      <c r="H3258">
        <v>226</v>
      </c>
      <c r="I3258" t="s">
        <v>152</v>
      </c>
      <c r="J3258" t="s">
        <v>150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809"/>
        <v>14:57:01.156</v>
      </c>
      <c r="T3258" t="str">
        <f t="shared" si="1810"/>
        <v>14:57:00.856</v>
      </c>
      <c r="U3258" t="str">
        <f t="shared" si="1779"/>
        <v>ACC530</v>
      </c>
      <c r="V3258">
        <v>0</v>
      </c>
      <c r="W3258">
        <v>0</v>
      </c>
      <c r="X3258">
        <v>1</v>
      </c>
      <c r="Z3258">
        <v>0</v>
      </c>
      <c r="AA3258">
        <v>9</v>
      </c>
      <c r="AB3258">
        <v>3</v>
      </c>
      <c r="AC3258">
        <v>0</v>
      </c>
      <c r="AD3258">
        <v>9</v>
      </c>
      <c r="AE3258">
        <v>0</v>
      </c>
      <c r="AF3258">
        <v>3</v>
      </c>
      <c r="AG3258">
        <v>1</v>
      </c>
      <c r="AH3258">
        <v>0</v>
      </c>
      <c r="AI3258" t="s">
        <v>1080</v>
      </c>
      <c r="AJ3258">
        <v>34.094889000000002</v>
      </c>
      <c r="AK3258" t="s">
        <v>1081</v>
      </c>
      <c r="AL3258">
        <v>-117.04110900000001</v>
      </c>
      <c r="AM3258">
        <v>100</v>
      </c>
      <c r="AN3258">
        <v>5700</v>
      </c>
      <c r="AO3258" t="s">
        <v>118</v>
      </c>
      <c r="AP3258">
        <v>70</v>
      </c>
      <c r="AQ3258">
        <v>-84</v>
      </c>
      <c r="AR3258">
        <v>-640</v>
      </c>
      <c r="AZ3258">
        <v>1200</v>
      </c>
      <c r="BA3258">
        <v>1</v>
      </c>
      <c r="BB3258" t="str">
        <f t="shared" si="1780"/>
        <v xml:space="preserve">N9217B  </v>
      </c>
      <c r="BC3258">
        <v>1</v>
      </c>
      <c r="BE3258">
        <v>0</v>
      </c>
      <c r="BF3258">
        <v>0</v>
      </c>
      <c r="BG3258">
        <v>0</v>
      </c>
      <c r="BH3258">
        <v>5525</v>
      </c>
      <c r="BI3258">
        <v>1</v>
      </c>
      <c r="BJ3258">
        <v>0</v>
      </c>
      <c r="BK3258">
        <v>0</v>
      </c>
      <c r="BL3258">
        <v>0</v>
      </c>
      <c r="BO3258">
        <v>0</v>
      </c>
      <c r="BP3258">
        <v>0</v>
      </c>
      <c r="BW3258" t="str">
        <f t="shared" si="1811"/>
        <v>14:57:01.161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119</v>
      </c>
      <c r="CQ3258">
        <v>285</v>
      </c>
      <c r="CR3258">
        <v>0</v>
      </c>
      <c r="CW3258">
        <v>8876842</v>
      </c>
      <c r="CY3258">
        <v>0</v>
      </c>
      <c r="CZ3258">
        <v>0</v>
      </c>
      <c r="DA3258">
        <v>1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25">
      <c r="A3259" t="str">
        <f t="shared" si="1808"/>
        <v>06/05/2020 14:56:55.491</v>
      </c>
      <c r="C3259" t="str">
        <f t="shared" si="1797"/>
        <v>FFDFD3C0</v>
      </c>
      <c r="D3259" t="s">
        <v>148</v>
      </c>
      <c r="E3259">
        <v>11</v>
      </c>
      <c r="H3259">
        <v>53</v>
      </c>
      <c r="I3259" t="s">
        <v>364</v>
      </c>
      <c r="J3259" t="s">
        <v>150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809"/>
        <v>14:57:01.156</v>
      </c>
      <c r="T3259" t="str">
        <f t="shared" si="1810"/>
        <v>14:57:00.856</v>
      </c>
      <c r="U3259" t="str">
        <f t="shared" si="1779"/>
        <v>ACC530</v>
      </c>
      <c r="V3259">
        <v>0</v>
      </c>
      <c r="W3259">
        <v>0</v>
      </c>
      <c r="X3259">
        <v>1</v>
      </c>
      <c r="Z3259">
        <v>0</v>
      </c>
      <c r="AA3259">
        <v>9</v>
      </c>
      <c r="AB3259">
        <v>3</v>
      </c>
      <c r="AC3259">
        <v>0</v>
      </c>
      <c r="AD3259">
        <v>9</v>
      </c>
      <c r="AE3259">
        <v>0</v>
      </c>
      <c r="AF3259">
        <v>3</v>
      </c>
      <c r="AG3259">
        <v>1</v>
      </c>
      <c r="AH3259">
        <v>0</v>
      </c>
      <c r="AI3259" t="s">
        <v>1080</v>
      </c>
      <c r="AJ3259">
        <v>34.094889000000002</v>
      </c>
      <c r="AK3259" t="s">
        <v>1081</v>
      </c>
      <c r="AL3259">
        <v>-117.04110900000001</v>
      </c>
      <c r="AM3259">
        <v>100</v>
      </c>
      <c r="AN3259">
        <v>5700</v>
      </c>
      <c r="AO3259" t="s">
        <v>118</v>
      </c>
      <c r="AP3259">
        <v>70</v>
      </c>
      <c r="AQ3259">
        <v>-84</v>
      </c>
      <c r="AR3259">
        <v>-640</v>
      </c>
      <c r="AZ3259">
        <v>1200</v>
      </c>
      <c r="BA3259">
        <v>1</v>
      </c>
      <c r="BB3259" t="str">
        <f t="shared" si="1780"/>
        <v xml:space="preserve">N9217B  </v>
      </c>
      <c r="BC3259">
        <v>1</v>
      </c>
      <c r="BE3259">
        <v>0</v>
      </c>
      <c r="BF3259">
        <v>0</v>
      </c>
      <c r="BG3259">
        <v>0</v>
      </c>
      <c r="BH3259">
        <v>5525</v>
      </c>
      <c r="BI3259">
        <v>1</v>
      </c>
      <c r="BJ3259">
        <v>0</v>
      </c>
      <c r="BK3259">
        <v>0</v>
      </c>
      <c r="BL3259">
        <v>0</v>
      </c>
      <c r="BO3259">
        <v>0</v>
      </c>
      <c r="BP3259">
        <v>0</v>
      </c>
      <c r="BW3259" t="str">
        <f t="shared" si="1811"/>
        <v>14:57:01.161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119</v>
      </c>
      <c r="CQ3259">
        <v>285</v>
      </c>
      <c r="CR3259">
        <v>0</v>
      </c>
      <c r="CW3259">
        <v>8876842</v>
      </c>
      <c r="CY3259">
        <v>0</v>
      </c>
      <c r="CZ3259">
        <v>0</v>
      </c>
      <c r="DA3259">
        <v>1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25">
      <c r="A3260" t="str">
        <f t="shared" si="1808"/>
        <v>06/05/2020 14:56:55.491</v>
      </c>
      <c r="C3260" t="str">
        <f t="shared" si="1797"/>
        <v>FFDFD3C0</v>
      </c>
      <c r="D3260" t="s">
        <v>151</v>
      </c>
      <c r="E3260">
        <v>8</v>
      </c>
      <c r="H3260">
        <v>225</v>
      </c>
      <c r="I3260" t="s">
        <v>353</v>
      </c>
      <c r="J3260" t="s">
        <v>150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si="1809"/>
        <v>14:57:01.156</v>
      </c>
      <c r="T3260" t="str">
        <f t="shared" si="1810"/>
        <v>14:57:00.856</v>
      </c>
      <c r="U3260" t="str">
        <f t="shared" si="1779"/>
        <v>ACC530</v>
      </c>
      <c r="V3260">
        <v>0</v>
      </c>
      <c r="W3260">
        <v>0</v>
      </c>
      <c r="X3260">
        <v>1</v>
      </c>
      <c r="Z3260">
        <v>0</v>
      </c>
      <c r="AA3260">
        <v>9</v>
      </c>
      <c r="AB3260">
        <v>3</v>
      </c>
      <c r="AC3260">
        <v>0</v>
      </c>
      <c r="AD3260">
        <v>9</v>
      </c>
      <c r="AE3260">
        <v>0</v>
      </c>
      <c r="AF3260">
        <v>3</v>
      </c>
      <c r="AG3260">
        <v>1</v>
      </c>
      <c r="AH3260">
        <v>0</v>
      </c>
      <c r="AI3260" t="s">
        <v>1080</v>
      </c>
      <c r="AJ3260">
        <v>34.094889000000002</v>
      </c>
      <c r="AK3260" t="s">
        <v>1081</v>
      </c>
      <c r="AL3260">
        <v>-117.04110900000001</v>
      </c>
      <c r="AM3260">
        <v>100</v>
      </c>
      <c r="AN3260">
        <v>5700</v>
      </c>
      <c r="AO3260" t="s">
        <v>118</v>
      </c>
      <c r="AP3260">
        <v>70</v>
      </c>
      <c r="AQ3260">
        <v>-84</v>
      </c>
      <c r="AR3260">
        <v>-640</v>
      </c>
      <c r="AZ3260">
        <v>1200</v>
      </c>
      <c r="BA3260">
        <v>1</v>
      </c>
      <c r="BB3260" t="str">
        <f t="shared" si="1780"/>
        <v xml:space="preserve">N9217B  </v>
      </c>
      <c r="BC3260">
        <v>1</v>
      </c>
      <c r="BE3260">
        <v>0</v>
      </c>
      <c r="BF3260">
        <v>0</v>
      </c>
      <c r="BG3260">
        <v>0</v>
      </c>
      <c r="BH3260">
        <v>5525</v>
      </c>
      <c r="BI3260">
        <v>1</v>
      </c>
      <c r="BJ3260">
        <v>0</v>
      </c>
      <c r="BK3260">
        <v>0</v>
      </c>
      <c r="BL3260">
        <v>0</v>
      </c>
      <c r="BO3260">
        <v>0</v>
      </c>
      <c r="BP3260">
        <v>0</v>
      </c>
      <c r="BW3260" t="str">
        <f t="shared" si="1811"/>
        <v>14:57:01.161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285</v>
      </c>
      <c r="CR3260">
        <v>0</v>
      </c>
      <c r="CW3260">
        <v>8876842</v>
      </c>
      <c r="CY3260">
        <v>0</v>
      </c>
      <c r="CZ3260">
        <v>0</v>
      </c>
      <c r="DA3260">
        <v>1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25">
      <c r="A3261" t="str">
        <f t="shared" si="1808"/>
        <v>06/05/2020 14:56:55.491</v>
      </c>
      <c r="C3261" t="str">
        <f t="shared" si="1797"/>
        <v>FFDFD3C0</v>
      </c>
      <c r="D3261" t="s">
        <v>148</v>
      </c>
      <c r="E3261">
        <v>8</v>
      </c>
      <c r="H3261">
        <v>50</v>
      </c>
      <c r="I3261" t="s">
        <v>149</v>
      </c>
      <c r="J3261" t="s">
        <v>150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809"/>
        <v>14:57:01.156</v>
      </c>
      <c r="T3261" t="str">
        <f t="shared" si="1810"/>
        <v>14:57:00.856</v>
      </c>
      <c r="U3261" t="str">
        <f t="shared" si="1779"/>
        <v>ACC530</v>
      </c>
      <c r="V3261">
        <v>0</v>
      </c>
      <c r="W3261">
        <v>0</v>
      </c>
      <c r="X3261">
        <v>1</v>
      </c>
      <c r="Z3261">
        <v>0</v>
      </c>
      <c r="AA3261">
        <v>9</v>
      </c>
      <c r="AB3261">
        <v>3</v>
      </c>
      <c r="AC3261">
        <v>0</v>
      </c>
      <c r="AD3261">
        <v>9</v>
      </c>
      <c r="AE3261">
        <v>0</v>
      </c>
      <c r="AF3261">
        <v>3</v>
      </c>
      <c r="AG3261">
        <v>1</v>
      </c>
      <c r="AH3261">
        <v>0</v>
      </c>
      <c r="AI3261" t="s">
        <v>1080</v>
      </c>
      <c r="AJ3261">
        <v>34.094889000000002</v>
      </c>
      <c r="AK3261" t="s">
        <v>1081</v>
      </c>
      <c r="AL3261">
        <v>-117.04110900000001</v>
      </c>
      <c r="AM3261">
        <v>100</v>
      </c>
      <c r="AN3261">
        <v>5700</v>
      </c>
      <c r="AO3261" t="s">
        <v>118</v>
      </c>
      <c r="AP3261">
        <v>70</v>
      </c>
      <c r="AQ3261">
        <v>-84</v>
      </c>
      <c r="AR3261">
        <v>-640</v>
      </c>
      <c r="AZ3261">
        <v>1200</v>
      </c>
      <c r="BA3261">
        <v>1</v>
      </c>
      <c r="BB3261" t="str">
        <f t="shared" si="1780"/>
        <v xml:space="preserve">N9217B  </v>
      </c>
      <c r="BC3261">
        <v>1</v>
      </c>
      <c r="BE3261">
        <v>0</v>
      </c>
      <c r="BF3261">
        <v>0</v>
      </c>
      <c r="BG3261">
        <v>0</v>
      </c>
      <c r="BH3261">
        <v>5525</v>
      </c>
      <c r="BI3261">
        <v>1</v>
      </c>
      <c r="BJ3261">
        <v>0</v>
      </c>
      <c r="BK3261">
        <v>0</v>
      </c>
      <c r="BL3261">
        <v>0</v>
      </c>
      <c r="BO3261">
        <v>0</v>
      </c>
      <c r="BP3261">
        <v>0</v>
      </c>
      <c r="BW3261" t="str">
        <f t="shared" si="1811"/>
        <v>14:57:01.161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119</v>
      </c>
      <c r="CQ3261">
        <v>285</v>
      </c>
      <c r="CR3261">
        <v>0</v>
      </c>
      <c r="CW3261">
        <v>8876842</v>
      </c>
      <c r="CY3261">
        <v>0</v>
      </c>
      <c r="CZ3261">
        <v>0</v>
      </c>
      <c r="DA3261">
        <v>1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25">
      <c r="A3262" t="str">
        <f t="shared" si="1808"/>
        <v>06/05/2020 14:56:55.491</v>
      </c>
      <c r="C3262" t="str">
        <f t="shared" si="1797"/>
        <v>FFDFD3C0</v>
      </c>
      <c r="D3262" t="s">
        <v>113</v>
      </c>
      <c r="E3262">
        <v>3</v>
      </c>
      <c r="H3262">
        <v>166</v>
      </c>
      <c r="I3262" t="s">
        <v>114</v>
      </c>
      <c r="J3262" t="s">
        <v>115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809"/>
        <v>14:57:01.156</v>
      </c>
      <c r="T3262" t="str">
        <f t="shared" si="1810"/>
        <v>14:57:00.856</v>
      </c>
      <c r="U3262" t="str">
        <f t="shared" si="1779"/>
        <v>ACC530</v>
      </c>
      <c r="V3262">
        <v>0</v>
      </c>
      <c r="W3262">
        <v>0</v>
      </c>
      <c r="X3262">
        <v>1</v>
      </c>
      <c r="Z3262">
        <v>0</v>
      </c>
      <c r="AA3262">
        <v>9</v>
      </c>
      <c r="AB3262">
        <v>3</v>
      </c>
      <c r="AC3262">
        <v>0</v>
      </c>
      <c r="AD3262">
        <v>9</v>
      </c>
      <c r="AE3262">
        <v>0</v>
      </c>
      <c r="AF3262">
        <v>3</v>
      </c>
      <c r="AG3262">
        <v>1</v>
      </c>
      <c r="AH3262">
        <v>0</v>
      </c>
      <c r="AI3262" t="s">
        <v>1080</v>
      </c>
      <c r="AJ3262">
        <v>34.094889000000002</v>
      </c>
      <c r="AK3262" t="s">
        <v>1081</v>
      </c>
      <c r="AL3262">
        <v>-117.04110900000001</v>
      </c>
      <c r="AM3262">
        <v>100</v>
      </c>
      <c r="AN3262">
        <v>5700</v>
      </c>
      <c r="AO3262" t="s">
        <v>118</v>
      </c>
      <c r="AP3262">
        <v>70</v>
      </c>
      <c r="AQ3262">
        <v>-84</v>
      </c>
      <c r="AR3262">
        <v>-640</v>
      </c>
      <c r="AZ3262">
        <v>1200</v>
      </c>
      <c r="BA3262">
        <v>1</v>
      </c>
      <c r="BB3262" t="str">
        <f t="shared" si="1780"/>
        <v xml:space="preserve">N9217B  </v>
      </c>
      <c r="BC3262">
        <v>1</v>
      </c>
      <c r="BE3262">
        <v>0</v>
      </c>
      <c r="BF3262">
        <v>0</v>
      </c>
      <c r="BG3262">
        <v>0</v>
      </c>
      <c r="BH3262">
        <v>5525</v>
      </c>
      <c r="BI3262">
        <v>1</v>
      </c>
      <c r="BJ3262">
        <v>0</v>
      </c>
      <c r="BK3262">
        <v>0</v>
      </c>
      <c r="BL3262">
        <v>0</v>
      </c>
      <c r="BO3262">
        <v>0</v>
      </c>
      <c r="BP3262">
        <v>0</v>
      </c>
      <c r="BW3262" t="str">
        <f t="shared" si="1811"/>
        <v>14:57:01.161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7</v>
      </c>
      <c r="CP3262" t="s">
        <v>119</v>
      </c>
      <c r="CQ3262">
        <v>285</v>
      </c>
      <c r="CR3262">
        <v>0</v>
      </c>
      <c r="CW3262">
        <v>8876842</v>
      </c>
      <c r="CY3262">
        <v>0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25">
      <c r="A3263" t="str">
        <f t="shared" ref="A3263:A3269" si="1812">"06/05/2020 14:56:56.708"</f>
        <v>06/05/2020 14:56:56.708</v>
      </c>
      <c r="C3263" t="str">
        <f t="shared" si="1797"/>
        <v>FFDFD3C0</v>
      </c>
      <c r="D3263" t="s">
        <v>141</v>
      </c>
      <c r="E3263">
        <v>20</v>
      </c>
      <c r="F3263">
        <v>1020</v>
      </c>
      <c r="G3263" t="s">
        <v>114</v>
      </c>
      <c r="J3263" t="s">
        <v>142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ref="S3263:S3269" si="1813">"14:57:02.328"</f>
        <v>14:57:02.328</v>
      </c>
      <c r="T3263" t="str">
        <f t="shared" ref="T3263:T3269" si="1814">"14:57:02.228"</f>
        <v>14:57:02.228</v>
      </c>
      <c r="U3263" t="str">
        <f t="shared" si="1779"/>
        <v>ACC530</v>
      </c>
      <c r="V3263">
        <v>0</v>
      </c>
      <c r="W3263">
        <v>0</v>
      </c>
      <c r="X3263">
        <v>1</v>
      </c>
      <c r="Z3263">
        <v>0</v>
      </c>
      <c r="AA3263">
        <v>9</v>
      </c>
      <c r="AB3263">
        <v>3</v>
      </c>
      <c r="AC3263">
        <v>0</v>
      </c>
      <c r="AD3263">
        <v>9</v>
      </c>
      <c r="AE3263">
        <v>0</v>
      </c>
      <c r="AF3263">
        <v>3</v>
      </c>
      <c r="AG3263">
        <v>1</v>
      </c>
      <c r="AH3263">
        <v>0</v>
      </c>
      <c r="AI3263" t="s">
        <v>1082</v>
      </c>
      <c r="AJ3263">
        <v>34.094439000000001</v>
      </c>
      <c r="AK3263" t="s">
        <v>1083</v>
      </c>
      <c r="AL3263">
        <v>-117.040679</v>
      </c>
      <c r="AM3263">
        <v>100</v>
      </c>
      <c r="AN3263">
        <v>5600</v>
      </c>
      <c r="AO3263" t="s">
        <v>118</v>
      </c>
      <c r="AP3263">
        <v>71</v>
      </c>
      <c r="AQ3263">
        <v>-83</v>
      </c>
      <c r="AR3263">
        <v>-576</v>
      </c>
      <c r="AZ3263">
        <v>1200</v>
      </c>
      <c r="BA3263">
        <v>1</v>
      </c>
      <c r="BB3263" t="str">
        <f t="shared" si="1780"/>
        <v xml:space="preserve">N9217B  </v>
      </c>
      <c r="BC3263">
        <v>1</v>
      </c>
      <c r="BE3263">
        <v>0</v>
      </c>
      <c r="BF3263">
        <v>0</v>
      </c>
      <c r="BG3263">
        <v>0</v>
      </c>
      <c r="BH3263">
        <v>5400</v>
      </c>
      <c r="BI3263">
        <v>1</v>
      </c>
      <c r="BJ3263">
        <v>0</v>
      </c>
      <c r="BK3263">
        <v>0</v>
      </c>
      <c r="BL3263">
        <v>0</v>
      </c>
      <c r="BO3263">
        <v>0</v>
      </c>
      <c r="BP3263">
        <v>0</v>
      </c>
      <c r="BW3263" t="str">
        <f t="shared" ref="BW3263:BW3269" si="1815">"14:57:02.331"</f>
        <v>14:57:02.331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7</v>
      </c>
      <c r="CP3263" t="s">
        <v>119</v>
      </c>
      <c r="CQ3263">
        <v>285</v>
      </c>
      <c r="CR3263">
        <v>0</v>
      </c>
      <c r="CW3263">
        <v>8876952</v>
      </c>
      <c r="CY3263">
        <v>0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25">
      <c r="A3264" t="str">
        <f t="shared" si="1812"/>
        <v>06/05/2020 14:56:56.708</v>
      </c>
      <c r="C3264" t="str">
        <f t="shared" si="1797"/>
        <v>FFDFD3C0</v>
      </c>
      <c r="D3264" t="s">
        <v>151</v>
      </c>
      <c r="E3264">
        <v>9</v>
      </c>
      <c r="H3264">
        <v>226</v>
      </c>
      <c r="I3264" t="s">
        <v>152</v>
      </c>
      <c r="J3264" t="s">
        <v>150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813"/>
        <v>14:57:02.328</v>
      </c>
      <c r="T3264" t="str">
        <f t="shared" si="1814"/>
        <v>14:57:02.228</v>
      </c>
      <c r="U3264" t="str">
        <f t="shared" si="1779"/>
        <v>ACC530</v>
      </c>
      <c r="V3264">
        <v>0</v>
      </c>
      <c r="W3264">
        <v>0</v>
      </c>
      <c r="X3264">
        <v>1</v>
      </c>
      <c r="Z3264">
        <v>0</v>
      </c>
      <c r="AA3264">
        <v>9</v>
      </c>
      <c r="AB3264">
        <v>3</v>
      </c>
      <c r="AC3264">
        <v>0</v>
      </c>
      <c r="AD3264">
        <v>9</v>
      </c>
      <c r="AE3264">
        <v>0</v>
      </c>
      <c r="AF3264">
        <v>3</v>
      </c>
      <c r="AG3264">
        <v>1</v>
      </c>
      <c r="AH3264">
        <v>0</v>
      </c>
      <c r="AI3264" t="s">
        <v>1082</v>
      </c>
      <c r="AJ3264">
        <v>34.094439000000001</v>
      </c>
      <c r="AK3264" t="s">
        <v>1083</v>
      </c>
      <c r="AL3264">
        <v>-117.040679</v>
      </c>
      <c r="AM3264">
        <v>100</v>
      </c>
      <c r="AN3264">
        <v>5600</v>
      </c>
      <c r="AO3264" t="s">
        <v>118</v>
      </c>
      <c r="AP3264">
        <v>71</v>
      </c>
      <c r="AQ3264">
        <v>-83</v>
      </c>
      <c r="AR3264">
        <v>-576</v>
      </c>
      <c r="AZ3264">
        <v>1200</v>
      </c>
      <c r="BA3264">
        <v>1</v>
      </c>
      <c r="BB3264" t="str">
        <f t="shared" si="1780"/>
        <v xml:space="preserve">N9217B  </v>
      </c>
      <c r="BC3264">
        <v>1</v>
      </c>
      <c r="BE3264">
        <v>0</v>
      </c>
      <c r="BF3264">
        <v>0</v>
      </c>
      <c r="BG3264">
        <v>0</v>
      </c>
      <c r="BH3264">
        <v>5400</v>
      </c>
      <c r="BI3264">
        <v>1</v>
      </c>
      <c r="BJ3264">
        <v>0</v>
      </c>
      <c r="BK3264">
        <v>0</v>
      </c>
      <c r="BL3264">
        <v>0</v>
      </c>
      <c r="BO3264">
        <v>0</v>
      </c>
      <c r="BP3264">
        <v>0</v>
      </c>
      <c r="BW3264" t="str">
        <f t="shared" si="1815"/>
        <v>14:57:02.331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7</v>
      </c>
      <c r="CP3264" t="s">
        <v>119</v>
      </c>
      <c r="CQ3264">
        <v>285</v>
      </c>
      <c r="CR3264">
        <v>0</v>
      </c>
      <c r="CW3264">
        <v>8876952</v>
      </c>
      <c r="CY3264">
        <v>0</v>
      </c>
      <c r="CZ3264">
        <v>0</v>
      </c>
      <c r="DA3264">
        <v>1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25">
      <c r="A3265" t="str">
        <f t="shared" si="1812"/>
        <v>06/05/2020 14:56:56.708</v>
      </c>
      <c r="C3265" t="str">
        <f t="shared" si="1797"/>
        <v>FFDFD3C0</v>
      </c>
      <c r="D3265" t="s">
        <v>148</v>
      </c>
      <c r="E3265">
        <v>11</v>
      </c>
      <c r="H3265">
        <v>53</v>
      </c>
      <c r="I3265" t="s">
        <v>364</v>
      </c>
      <c r="J3265" t="s">
        <v>150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si="1813"/>
        <v>14:57:02.328</v>
      </c>
      <c r="T3265" t="str">
        <f t="shared" si="1814"/>
        <v>14:57:02.228</v>
      </c>
      <c r="U3265" t="str">
        <f t="shared" si="1779"/>
        <v>ACC530</v>
      </c>
      <c r="V3265">
        <v>0</v>
      </c>
      <c r="W3265">
        <v>0</v>
      </c>
      <c r="X3265">
        <v>1</v>
      </c>
      <c r="Z3265">
        <v>0</v>
      </c>
      <c r="AA3265">
        <v>9</v>
      </c>
      <c r="AB3265">
        <v>3</v>
      </c>
      <c r="AC3265">
        <v>0</v>
      </c>
      <c r="AD3265">
        <v>9</v>
      </c>
      <c r="AE3265">
        <v>0</v>
      </c>
      <c r="AF3265">
        <v>3</v>
      </c>
      <c r="AG3265">
        <v>1</v>
      </c>
      <c r="AH3265">
        <v>0</v>
      </c>
      <c r="AI3265" t="s">
        <v>1082</v>
      </c>
      <c r="AJ3265">
        <v>34.094439000000001</v>
      </c>
      <c r="AK3265" t="s">
        <v>1083</v>
      </c>
      <c r="AL3265">
        <v>-117.040679</v>
      </c>
      <c r="AM3265">
        <v>100</v>
      </c>
      <c r="AN3265">
        <v>5600</v>
      </c>
      <c r="AO3265" t="s">
        <v>118</v>
      </c>
      <c r="AP3265">
        <v>71</v>
      </c>
      <c r="AQ3265">
        <v>-83</v>
      </c>
      <c r="AR3265">
        <v>-576</v>
      </c>
      <c r="AZ3265">
        <v>1200</v>
      </c>
      <c r="BA3265">
        <v>1</v>
      </c>
      <c r="BB3265" t="str">
        <f t="shared" si="1780"/>
        <v xml:space="preserve">N9217B  </v>
      </c>
      <c r="BC3265">
        <v>1</v>
      </c>
      <c r="BE3265">
        <v>0</v>
      </c>
      <c r="BF3265">
        <v>0</v>
      </c>
      <c r="BG3265">
        <v>0</v>
      </c>
      <c r="BH3265">
        <v>5400</v>
      </c>
      <c r="BI3265">
        <v>1</v>
      </c>
      <c r="BJ3265">
        <v>0</v>
      </c>
      <c r="BK3265">
        <v>0</v>
      </c>
      <c r="BL3265">
        <v>0</v>
      </c>
      <c r="BO3265">
        <v>0</v>
      </c>
      <c r="BP3265">
        <v>0</v>
      </c>
      <c r="BW3265" t="str">
        <f t="shared" si="1815"/>
        <v>14:57:02.331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7</v>
      </c>
      <c r="CP3265" t="s">
        <v>119</v>
      </c>
      <c r="CQ3265">
        <v>285</v>
      </c>
      <c r="CR3265">
        <v>0</v>
      </c>
      <c r="CW3265">
        <v>8876952</v>
      </c>
      <c r="CY3265">
        <v>0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25">
      <c r="A3266" t="str">
        <f t="shared" si="1812"/>
        <v>06/05/2020 14:56:56.708</v>
      </c>
      <c r="C3266" t="str">
        <f t="shared" si="1797"/>
        <v>FFDFD3C0</v>
      </c>
      <c r="D3266" t="s">
        <v>151</v>
      </c>
      <c r="E3266">
        <v>8</v>
      </c>
      <c r="H3266">
        <v>225</v>
      </c>
      <c r="I3266" t="s">
        <v>353</v>
      </c>
      <c r="J3266" t="s">
        <v>150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si="1813"/>
        <v>14:57:02.328</v>
      </c>
      <c r="T3266" t="str">
        <f t="shared" si="1814"/>
        <v>14:57:02.228</v>
      </c>
      <c r="U3266" t="str">
        <f t="shared" ref="U3266:U3329" si="1816">"ACC530"</f>
        <v>ACC530</v>
      </c>
      <c r="V3266">
        <v>0</v>
      </c>
      <c r="W3266">
        <v>0</v>
      </c>
      <c r="X3266">
        <v>1</v>
      </c>
      <c r="Z3266">
        <v>0</v>
      </c>
      <c r="AA3266">
        <v>9</v>
      </c>
      <c r="AB3266">
        <v>3</v>
      </c>
      <c r="AC3266">
        <v>0</v>
      </c>
      <c r="AD3266">
        <v>9</v>
      </c>
      <c r="AE3266">
        <v>0</v>
      </c>
      <c r="AF3266">
        <v>3</v>
      </c>
      <c r="AG3266">
        <v>1</v>
      </c>
      <c r="AH3266">
        <v>0</v>
      </c>
      <c r="AI3266" t="s">
        <v>1082</v>
      </c>
      <c r="AJ3266">
        <v>34.094439000000001</v>
      </c>
      <c r="AK3266" t="s">
        <v>1083</v>
      </c>
      <c r="AL3266">
        <v>-117.040679</v>
      </c>
      <c r="AM3266">
        <v>100</v>
      </c>
      <c r="AN3266">
        <v>5600</v>
      </c>
      <c r="AO3266" t="s">
        <v>118</v>
      </c>
      <c r="AP3266">
        <v>71</v>
      </c>
      <c r="AQ3266">
        <v>-83</v>
      </c>
      <c r="AR3266">
        <v>-576</v>
      </c>
      <c r="AZ3266">
        <v>1200</v>
      </c>
      <c r="BA3266">
        <v>1</v>
      </c>
      <c r="BB3266" t="str">
        <f t="shared" si="1780"/>
        <v xml:space="preserve">N9217B  </v>
      </c>
      <c r="BC3266">
        <v>1</v>
      </c>
      <c r="BE3266">
        <v>0</v>
      </c>
      <c r="BF3266">
        <v>0</v>
      </c>
      <c r="BG3266">
        <v>0</v>
      </c>
      <c r="BH3266">
        <v>5400</v>
      </c>
      <c r="BI3266">
        <v>1</v>
      </c>
      <c r="BJ3266">
        <v>0</v>
      </c>
      <c r="BK3266">
        <v>0</v>
      </c>
      <c r="BL3266">
        <v>0</v>
      </c>
      <c r="BO3266">
        <v>0</v>
      </c>
      <c r="BP3266">
        <v>0</v>
      </c>
      <c r="BW3266" t="str">
        <f t="shared" si="1815"/>
        <v>14:57:02.331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7</v>
      </c>
      <c r="CP3266" t="s">
        <v>119</v>
      </c>
      <c r="CQ3266">
        <v>285</v>
      </c>
      <c r="CR3266">
        <v>0</v>
      </c>
      <c r="CW3266">
        <v>8876952</v>
      </c>
      <c r="CY3266">
        <v>0</v>
      </c>
      <c r="CZ3266">
        <v>0</v>
      </c>
      <c r="DA3266">
        <v>1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25">
      <c r="A3267" t="str">
        <f t="shared" si="1812"/>
        <v>06/05/2020 14:56:56.708</v>
      </c>
      <c r="C3267" t="str">
        <f t="shared" si="1797"/>
        <v>FFDFD3C0</v>
      </c>
      <c r="D3267" t="s">
        <v>148</v>
      </c>
      <c r="E3267">
        <v>8</v>
      </c>
      <c r="H3267">
        <v>50</v>
      </c>
      <c r="I3267" t="s">
        <v>149</v>
      </c>
      <c r="J3267" t="s">
        <v>150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 t="shared" si="1813"/>
        <v>14:57:02.328</v>
      </c>
      <c r="T3267" t="str">
        <f t="shared" si="1814"/>
        <v>14:57:02.228</v>
      </c>
      <c r="U3267" t="str">
        <f t="shared" si="1816"/>
        <v>ACC530</v>
      </c>
      <c r="V3267">
        <v>0</v>
      </c>
      <c r="W3267">
        <v>0</v>
      </c>
      <c r="X3267">
        <v>1</v>
      </c>
      <c r="Z3267">
        <v>0</v>
      </c>
      <c r="AA3267">
        <v>9</v>
      </c>
      <c r="AB3267">
        <v>3</v>
      </c>
      <c r="AC3267">
        <v>0</v>
      </c>
      <c r="AD3267">
        <v>9</v>
      </c>
      <c r="AE3267">
        <v>0</v>
      </c>
      <c r="AF3267">
        <v>3</v>
      </c>
      <c r="AG3267">
        <v>1</v>
      </c>
      <c r="AH3267">
        <v>0</v>
      </c>
      <c r="AI3267" t="s">
        <v>1082</v>
      </c>
      <c r="AJ3267">
        <v>34.094439000000001</v>
      </c>
      <c r="AK3267" t="s">
        <v>1083</v>
      </c>
      <c r="AL3267">
        <v>-117.040679</v>
      </c>
      <c r="AM3267">
        <v>100</v>
      </c>
      <c r="AN3267">
        <v>5600</v>
      </c>
      <c r="AO3267" t="s">
        <v>118</v>
      </c>
      <c r="AP3267">
        <v>71</v>
      </c>
      <c r="AQ3267">
        <v>-83</v>
      </c>
      <c r="AR3267">
        <v>-576</v>
      </c>
      <c r="AZ3267">
        <v>1200</v>
      </c>
      <c r="BA3267">
        <v>1</v>
      </c>
      <c r="BB3267" t="str">
        <f t="shared" si="1780"/>
        <v xml:space="preserve">N9217B  </v>
      </c>
      <c r="BC3267">
        <v>1</v>
      </c>
      <c r="BE3267">
        <v>0</v>
      </c>
      <c r="BF3267">
        <v>0</v>
      </c>
      <c r="BG3267">
        <v>0</v>
      </c>
      <c r="BH3267">
        <v>5400</v>
      </c>
      <c r="BI3267">
        <v>1</v>
      </c>
      <c r="BJ3267">
        <v>0</v>
      </c>
      <c r="BK3267">
        <v>0</v>
      </c>
      <c r="BL3267">
        <v>0</v>
      </c>
      <c r="BO3267">
        <v>0</v>
      </c>
      <c r="BP3267">
        <v>0</v>
      </c>
      <c r="BW3267" t="str">
        <f t="shared" si="1815"/>
        <v>14:57:02.331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7</v>
      </c>
      <c r="CP3267" t="s">
        <v>119</v>
      </c>
      <c r="CQ3267">
        <v>285</v>
      </c>
      <c r="CR3267">
        <v>0</v>
      </c>
      <c r="CW3267">
        <v>8876952</v>
      </c>
      <c r="CY3267">
        <v>0</v>
      </c>
      <c r="CZ3267">
        <v>0</v>
      </c>
      <c r="DA3267">
        <v>1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25">
      <c r="A3268" t="str">
        <f t="shared" si="1812"/>
        <v>06/05/2020 14:56:56.708</v>
      </c>
      <c r="C3268" t="str">
        <f t="shared" si="1797"/>
        <v>FFDFD3C0</v>
      </c>
      <c r="D3268" t="s">
        <v>113</v>
      </c>
      <c r="E3268">
        <v>3</v>
      </c>
      <c r="H3268">
        <v>166</v>
      </c>
      <c r="I3268" t="s">
        <v>114</v>
      </c>
      <c r="J3268" t="s">
        <v>115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 t="shared" si="1813"/>
        <v>14:57:02.328</v>
      </c>
      <c r="T3268" t="str">
        <f t="shared" si="1814"/>
        <v>14:57:02.228</v>
      </c>
      <c r="U3268" t="str">
        <f t="shared" si="1816"/>
        <v>ACC530</v>
      </c>
      <c r="V3268">
        <v>0</v>
      </c>
      <c r="W3268">
        <v>0</v>
      </c>
      <c r="X3268">
        <v>1</v>
      </c>
      <c r="Z3268">
        <v>0</v>
      </c>
      <c r="AA3268">
        <v>9</v>
      </c>
      <c r="AB3268">
        <v>3</v>
      </c>
      <c r="AC3268">
        <v>0</v>
      </c>
      <c r="AD3268">
        <v>9</v>
      </c>
      <c r="AE3268">
        <v>0</v>
      </c>
      <c r="AF3268">
        <v>3</v>
      </c>
      <c r="AG3268">
        <v>1</v>
      </c>
      <c r="AH3268">
        <v>0</v>
      </c>
      <c r="AI3268" t="s">
        <v>1082</v>
      </c>
      <c r="AJ3268">
        <v>34.094439000000001</v>
      </c>
      <c r="AK3268" t="s">
        <v>1083</v>
      </c>
      <c r="AL3268">
        <v>-117.040679</v>
      </c>
      <c r="AM3268">
        <v>100</v>
      </c>
      <c r="AN3268">
        <v>5600</v>
      </c>
      <c r="AO3268" t="s">
        <v>118</v>
      </c>
      <c r="AP3268">
        <v>71</v>
      </c>
      <c r="AQ3268">
        <v>-83</v>
      </c>
      <c r="AR3268">
        <v>-576</v>
      </c>
      <c r="AZ3268">
        <v>1200</v>
      </c>
      <c r="BA3268">
        <v>1</v>
      </c>
      <c r="BB3268" t="str">
        <f t="shared" si="1780"/>
        <v xml:space="preserve">N9217B  </v>
      </c>
      <c r="BC3268">
        <v>1</v>
      </c>
      <c r="BE3268">
        <v>0</v>
      </c>
      <c r="BF3268">
        <v>0</v>
      </c>
      <c r="BG3268">
        <v>0</v>
      </c>
      <c r="BH3268">
        <v>5400</v>
      </c>
      <c r="BI3268">
        <v>1</v>
      </c>
      <c r="BJ3268">
        <v>0</v>
      </c>
      <c r="BK3268">
        <v>0</v>
      </c>
      <c r="BL3268">
        <v>0</v>
      </c>
      <c r="BO3268">
        <v>0</v>
      </c>
      <c r="BP3268">
        <v>0</v>
      </c>
      <c r="BW3268" t="str">
        <f t="shared" si="1815"/>
        <v>14:57:02.331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7</v>
      </c>
      <c r="CP3268" t="s">
        <v>119</v>
      </c>
      <c r="CQ3268">
        <v>285</v>
      </c>
      <c r="CR3268">
        <v>0</v>
      </c>
      <c r="CW3268">
        <v>8876952</v>
      </c>
      <c r="CY3268">
        <v>0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25">
      <c r="A3269" t="str">
        <f t="shared" si="1812"/>
        <v>06/05/2020 14:56:56.708</v>
      </c>
      <c r="C3269" t="str">
        <f t="shared" si="1797"/>
        <v>FFDFD3C0</v>
      </c>
      <c r="D3269" t="s">
        <v>134</v>
      </c>
      <c r="E3269">
        <v>7</v>
      </c>
      <c r="F3269">
        <v>2007</v>
      </c>
      <c r="G3269" t="s">
        <v>135</v>
      </c>
      <c r="J3269" t="s">
        <v>136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si="1813"/>
        <v>14:57:02.328</v>
      </c>
      <c r="T3269" t="str">
        <f t="shared" si="1814"/>
        <v>14:57:02.228</v>
      </c>
      <c r="U3269" t="str">
        <f t="shared" si="1816"/>
        <v>ACC530</v>
      </c>
      <c r="V3269">
        <v>0</v>
      </c>
      <c r="W3269">
        <v>0</v>
      </c>
      <c r="X3269">
        <v>1</v>
      </c>
      <c r="Z3269">
        <v>0</v>
      </c>
      <c r="AA3269">
        <v>9</v>
      </c>
      <c r="AB3269">
        <v>3</v>
      </c>
      <c r="AC3269">
        <v>0</v>
      </c>
      <c r="AD3269">
        <v>9</v>
      </c>
      <c r="AE3269">
        <v>0</v>
      </c>
      <c r="AF3269">
        <v>3</v>
      </c>
      <c r="AG3269">
        <v>1</v>
      </c>
      <c r="AH3269">
        <v>0</v>
      </c>
      <c r="AI3269" t="s">
        <v>1082</v>
      </c>
      <c r="AJ3269">
        <v>34.094439000000001</v>
      </c>
      <c r="AK3269" t="s">
        <v>1083</v>
      </c>
      <c r="AL3269">
        <v>-117.040679</v>
      </c>
      <c r="AM3269">
        <v>100</v>
      </c>
      <c r="AN3269">
        <v>5600</v>
      </c>
      <c r="AO3269" t="s">
        <v>118</v>
      </c>
      <c r="AP3269">
        <v>71</v>
      </c>
      <c r="AQ3269">
        <v>-83</v>
      </c>
      <c r="AR3269">
        <v>-576</v>
      </c>
      <c r="AZ3269">
        <v>1200</v>
      </c>
      <c r="BA3269">
        <v>1</v>
      </c>
      <c r="BB3269" t="str">
        <f t="shared" ref="BB3269:BB3332" si="1817">"N9217B  "</f>
        <v xml:space="preserve">N9217B  </v>
      </c>
      <c r="BC3269">
        <v>1</v>
      </c>
      <c r="BE3269">
        <v>0</v>
      </c>
      <c r="BF3269">
        <v>0</v>
      </c>
      <c r="BG3269">
        <v>0</v>
      </c>
      <c r="BH3269">
        <v>5400</v>
      </c>
      <c r="BI3269">
        <v>1</v>
      </c>
      <c r="BJ3269">
        <v>0</v>
      </c>
      <c r="BK3269">
        <v>0</v>
      </c>
      <c r="BL3269">
        <v>0</v>
      </c>
      <c r="BO3269">
        <v>0</v>
      </c>
      <c r="BP3269">
        <v>0</v>
      </c>
      <c r="BW3269" t="str">
        <f t="shared" si="1815"/>
        <v>14:57:02.331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7</v>
      </c>
      <c r="CP3269" t="s">
        <v>119</v>
      </c>
      <c r="CQ3269">
        <v>285</v>
      </c>
      <c r="CR3269">
        <v>0</v>
      </c>
      <c r="CW3269">
        <v>8876952</v>
      </c>
      <c r="CY3269">
        <v>0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25">
      <c r="A3270" t="str">
        <f t="shared" ref="A3270:A3276" si="1818">"06/05/2020 14:56:57.665"</f>
        <v>06/05/2020 14:56:57.665</v>
      </c>
      <c r="C3270" t="str">
        <f t="shared" si="1797"/>
        <v>FFDFD3C0</v>
      </c>
      <c r="D3270" t="s">
        <v>141</v>
      </c>
      <c r="E3270">
        <v>20</v>
      </c>
      <c r="F3270">
        <v>1020</v>
      </c>
      <c r="G3270" t="s">
        <v>114</v>
      </c>
      <c r="J3270" t="s">
        <v>142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ref="S3270:T3276" si="1819">"14:57:03.320"</f>
        <v>14:57:03.320</v>
      </c>
      <c r="T3270" t="str">
        <f t="shared" si="1819"/>
        <v>14:57:03.320</v>
      </c>
      <c r="U3270" t="str">
        <f t="shared" si="1816"/>
        <v>ACC530</v>
      </c>
      <c r="V3270">
        <v>0</v>
      </c>
      <c r="W3270">
        <v>0</v>
      </c>
      <c r="X3270">
        <v>1</v>
      </c>
      <c r="Z3270">
        <v>0</v>
      </c>
      <c r="AA3270">
        <v>9</v>
      </c>
      <c r="AB3270">
        <v>3</v>
      </c>
      <c r="AC3270">
        <v>0</v>
      </c>
      <c r="AD3270">
        <v>9</v>
      </c>
      <c r="AE3270">
        <v>0</v>
      </c>
      <c r="AF3270">
        <v>3</v>
      </c>
      <c r="AG3270">
        <v>1</v>
      </c>
      <c r="AH3270">
        <v>0</v>
      </c>
      <c r="AI3270" t="s">
        <v>1084</v>
      </c>
      <c r="AJ3270">
        <v>34.094051999999998</v>
      </c>
      <c r="AK3270" t="s">
        <v>1085</v>
      </c>
      <c r="AL3270">
        <v>-117.040272</v>
      </c>
      <c r="AM3270">
        <v>100</v>
      </c>
      <c r="AN3270">
        <v>5600</v>
      </c>
      <c r="AO3270" t="s">
        <v>118</v>
      </c>
      <c r="AP3270">
        <v>71</v>
      </c>
      <c r="AQ3270">
        <v>-82</v>
      </c>
      <c r="AR3270">
        <v>-576</v>
      </c>
      <c r="AZ3270">
        <v>1200</v>
      </c>
      <c r="BA3270">
        <v>1</v>
      </c>
      <c r="BB3270" t="str">
        <f t="shared" si="1817"/>
        <v xml:space="preserve">N9217B  </v>
      </c>
      <c r="BC3270">
        <v>1</v>
      </c>
      <c r="BE3270">
        <v>0</v>
      </c>
      <c r="BF3270">
        <v>0</v>
      </c>
      <c r="BG3270">
        <v>0</v>
      </c>
      <c r="BH3270">
        <v>5500</v>
      </c>
      <c r="BI3270">
        <v>1</v>
      </c>
      <c r="BJ3270">
        <v>0</v>
      </c>
      <c r="BK3270">
        <v>0</v>
      </c>
      <c r="BL3270">
        <v>0</v>
      </c>
      <c r="BO3270">
        <v>0</v>
      </c>
      <c r="BP3270">
        <v>0</v>
      </c>
      <c r="BW3270" t="str">
        <f t="shared" ref="BW3270:BW3276" si="1820">"14:57:03.321"</f>
        <v>14:57:03.321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7</v>
      </c>
      <c r="CP3270" t="s">
        <v>119</v>
      </c>
      <c r="CQ3270">
        <v>285</v>
      </c>
      <c r="CR3270">
        <v>0</v>
      </c>
      <c r="CW3270">
        <v>8877043</v>
      </c>
      <c r="CY3270">
        <v>0</v>
      </c>
      <c r="CZ3270">
        <v>0</v>
      </c>
      <c r="DA3270">
        <v>0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25">
      <c r="A3271" t="str">
        <f t="shared" si="1818"/>
        <v>06/05/2020 14:56:57.665</v>
      </c>
      <c r="C3271" t="str">
        <f t="shared" si="1797"/>
        <v>FFDFD3C0</v>
      </c>
      <c r="D3271" t="s">
        <v>151</v>
      </c>
      <c r="E3271">
        <v>9</v>
      </c>
      <c r="H3271">
        <v>226</v>
      </c>
      <c r="I3271" t="s">
        <v>152</v>
      </c>
      <c r="J3271" t="s">
        <v>150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819"/>
        <v>14:57:03.320</v>
      </c>
      <c r="T3271" t="str">
        <f t="shared" si="1819"/>
        <v>14:57:03.320</v>
      </c>
      <c r="U3271" t="str">
        <f t="shared" si="1816"/>
        <v>ACC530</v>
      </c>
      <c r="V3271">
        <v>0</v>
      </c>
      <c r="W3271">
        <v>0</v>
      </c>
      <c r="X3271">
        <v>1</v>
      </c>
      <c r="Z3271">
        <v>0</v>
      </c>
      <c r="AA3271">
        <v>9</v>
      </c>
      <c r="AB3271">
        <v>3</v>
      </c>
      <c r="AC3271">
        <v>0</v>
      </c>
      <c r="AD3271">
        <v>9</v>
      </c>
      <c r="AE3271">
        <v>0</v>
      </c>
      <c r="AF3271">
        <v>3</v>
      </c>
      <c r="AG3271">
        <v>1</v>
      </c>
      <c r="AH3271">
        <v>0</v>
      </c>
      <c r="AI3271" t="s">
        <v>1084</v>
      </c>
      <c r="AJ3271">
        <v>34.094051999999998</v>
      </c>
      <c r="AK3271" t="s">
        <v>1085</v>
      </c>
      <c r="AL3271">
        <v>-117.040272</v>
      </c>
      <c r="AM3271">
        <v>100</v>
      </c>
      <c r="AN3271">
        <v>5600</v>
      </c>
      <c r="AO3271" t="s">
        <v>118</v>
      </c>
      <c r="AP3271">
        <v>71</v>
      </c>
      <c r="AQ3271">
        <v>-82</v>
      </c>
      <c r="AR3271">
        <v>-576</v>
      </c>
      <c r="AZ3271">
        <v>1200</v>
      </c>
      <c r="BA3271">
        <v>1</v>
      </c>
      <c r="BB3271" t="str">
        <f t="shared" si="1817"/>
        <v xml:space="preserve">N9217B  </v>
      </c>
      <c r="BC3271">
        <v>1</v>
      </c>
      <c r="BE3271">
        <v>0</v>
      </c>
      <c r="BF3271">
        <v>0</v>
      </c>
      <c r="BG3271">
        <v>0</v>
      </c>
      <c r="BH3271">
        <v>5500</v>
      </c>
      <c r="BI3271">
        <v>1</v>
      </c>
      <c r="BJ3271">
        <v>0</v>
      </c>
      <c r="BK3271">
        <v>0</v>
      </c>
      <c r="BL3271">
        <v>0</v>
      </c>
      <c r="BO3271">
        <v>0</v>
      </c>
      <c r="BP3271">
        <v>0</v>
      </c>
      <c r="BW3271" t="str">
        <f t="shared" si="1820"/>
        <v>14:57:03.321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7</v>
      </c>
      <c r="CP3271" t="s">
        <v>119</v>
      </c>
      <c r="CQ3271">
        <v>285</v>
      </c>
      <c r="CR3271">
        <v>0</v>
      </c>
      <c r="CW3271">
        <v>8877043</v>
      </c>
      <c r="CY3271">
        <v>0</v>
      </c>
      <c r="CZ3271">
        <v>0</v>
      </c>
      <c r="DA3271">
        <v>1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25">
      <c r="A3272" t="str">
        <f t="shared" si="1818"/>
        <v>06/05/2020 14:56:57.665</v>
      </c>
      <c r="C3272" t="str">
        <f t="shared" si="1797"/>
        <v>FFDFD3C0</v>
      </c>
      <c r="D3272" t="s">
        <v>148</v>
      </c>
      <c r="E3272">
        <v>11</v>
      </c>
      <c r="H3272">
        <v>53</v>
      </c>
      <c r="I3272" t="s">
        <v>364</v>
      </c>
      <c r="J3272" t="s">
        <v>150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si="1819"/>
        <v>14:57:03.320</v>
      </c>
      <c r="T3272" t="str">
        <f t="shared" si="1819"/>
        <v>14:57:03.320</v>
      </c>
      <c r="U3272" t="str">
        <f t="shared" si="1816"/>
        <v>ACC530</v>
      </c>
      <c r="V3272">
        <v>0</v>
      </c>
      <c r="W3272">
        <v>0</v>
      </c>
      <c r="X3272">
        <v>1</v>
      </c>
      <c r="Z3272">
        <v>0</v>
      </c>
      <c r="AA3272">
        <v>9</v>
      </c>
      <c r="AB3272">
        <v>3</v>
      </c>
      <c r="AC3272">
        <v>0</v>
      </c>
      <c r="AD3272">
        <v>9</v>
      </c>
      <c r="AE3272">
        <v>0</v>
      </c>
      <c r="AF3272">
        <v>3</v>
      </c>
      <c r="AG3272">
        <v>1</v>
      </c>
      <c r="AH3272">
        <v>0</v>
      </c>
      <c r="AI3272" t="s">
        <v>1084</v>
      </c>
      <c r="AJ3272">
        <v>34.094051999999998</v>
      </c>
      <c r="AK3272" t="s">
        <v>1085</v>
      </c>
      <c r="AL3272">
        <v>-117.040272</v>
      </c>
      <c r="AM3272">
        <v>100</v>
      </c>
      <c r="AN3272">
        <v>5600</v>
      </c>
      <c r="AO3272" t="s">
        <v>118</v>
      </c>
      <c r="AP3272">
        <v>71</v>
      </c>
      <c r="AQ3272">
        <v>-82</v>
      </c>
      <c r="AR3272">
        <v>-576</v>
      </c>
      <c r="AZ3272">
        <v>1200</v>
      </c>
      <c r="BA3272">
        <v>1</v>
      </c>
      <c r="BB3272" t="str">
        <f t="shared" si="1817"/>
        <v xml:space="preserve">N9217B  </v>
      </c>
      <c r="BC3272">
        <v>1</v>
      </c>
      <c r="BE3272">
        <v>0</v>
      </c>
      <c r="BF3272">
        <v>0</v>
      </c>
      <c r="BG3272">
        <v>0</v>
      </c>
      <c r="BH3272">
        <v>5500</v>
      </c>
      <c r="BI3272">
        <v>1</v>
      </c>
      <c r="BJ3272">
        <v>0</v>
      </c>
      <c r="BK3272">
        <v>0</v>
      </c>
      <c r="BL3272">
        <v>0</v>
      </c>
      <c r="BO3272">
        <v>0</v>
      </c>
      <c r="BP3272">
        <v>0</v>
      </c>
      <c r="BW3272" t="str">
        <f t="shared" si="1820"/>
        <v>14:57:03.321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7</v>
      </c>
      <c r="CP3272" t="s">
        <v>119</v>
      </c>
      <c r="CQ3272">
        <v>285</v>
      </c>
      <c r="CR3272">
        <v>0</v>
      </c>
      <c r="CW3272">
        <v>8877043</v>
      </c>
      <c r="CY3272">
        <v>0</v>
      </c>
      <c r="CZ3272">
        <v>0</v>
      </c>
      <c r="DA3272">
        <v>1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25">
      <c r="A3273" t="str">
        <f t="shared" si="1818"/>
        <v>06/05/2020 14:56:57.665</v>
      </c>
      <c r="C3273" t="str">
        <f t="shared" si="1797"/>
        <v>FFDFD3C0</v>
      </c>
      <c r="D3273" t="s">
        <v>148</v>
      </c>
      <c r="E3273">
        <v>8</v>
      </c>
      <c r="H3273">
        <v>50</v>
      </c>
      <c r="I3273" t="s">
        <v>149</v>
      </c>
      <c r="J3273" t="s">
        <v>150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si="1819"/>
        <v>14:57:03.320</v>
      </c>
      <c r="T3273" t="str">
        <f t="shared" si="1819"/>
        <v>14:57:03.320</v>
      </c>
      <c r="U3273" t="str">
        <f t="shared" si="1816"/>
        <v>ACC530</v>
      </c>
      <c r="V3273">
        <v>0</v>
      </c>
      <c r="W3273">
        <v>0</v>
      </c>
      <c r="X3273">
        <v>1</v>
      </c>
      <c r="Z3273">
        <v>0</v>
      </c>
      <c r="AA3273">
        <v>9</v>
      </c>
      <c r="AB3273">
        <v>3</v>
      </c>
      <c r="AC3273">
        <v>0</v>
      </c>
      <c r="AD3273">
        <v>9</v>
      </c>
      <c r="AE3273">
        <v>0</v>
      </c>
      <c r="AF3273">
        <v>3</v>
      </c>
      <c r="AG3273">
        <v>1</v>
      </c>
      <c r="AH3273">
        <v>0</v>
      </c>
      <c r="AI3273" t="s">
        <v>1084</v>
      </c>
      <c r="AJ3273">
        <v>34.094051999999998</v>
      </c>
      <c r="AK3273" t="s">
        <v>1085</v>
      </c>
      <c r="AL3273">
        <v>-117.040272</v>
      </c>
      <c r="AM3273">
        <v>100</v>
      </c>
      <c r="AN3273">
        <v>5600</v>
      </c>
      <c r="AO3273" t="s">
        <v>118</v>
      </c>
      <c r="AP3273">
        <v>71</v>
      </c>
      <c r="AQ3273">
        <v>-82</v>
      </c>
      <c r="AR3273">
        <v>-576</v>
      </c>
      <c r="AZ3273">
        <v>1200</v>
      </c>
      <c r="BA3273">
        <v>1</v>
      </c>
      <c r="BB3273" t="str">
        <f t="shared" si="1817"/>
        <v xml:space="preserve">N9217B  </v>
      </c>
      <c r="BC3273">
        <v>1</v>
      </c>
      <c r="BE3273">
        <v>0</v>
      </c>
      <c r="BF3273">
        <v>0</v>
      </c>
      <c r="BG3273">
        <v>0</v>
      </c>
      <c r="BH3273">
        <v>5500</v>
      </c>
      <c r="BI3273">
        <v>1</v>
      </c>
      <c r="BJ3273">
        <v>0</v>
      </c>
      <c r="BK3273">
        <v>0</v>
      </c>
      <c r="BL3273">
        <v>0</v>
      </c>
      <c r="BO3273">
        <v>0</v>
      </c>
      <c r="BP3273">
        <v>0</v>
      </c>
      <c r="BW3273" t="str">
        <f t="shared" si="1820"/>
        <v>14:57:03.321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7</v>
      </c>
      <c r="CP3273" t="s">
        <v>119</v>
      </c>
      <c r="CQ3273">
        <v>285</v>
      </c>
      <c r="CR3273">
        <v>0</v>
      </c>
      <c r="CW3273">
        <v>8877043</v>
      </c>
      <c r="CY3273">
        <v>0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25">
      <c r="A3274" t="str">
        <f t="shared" si="1818"/>
        <v>06/05/2020 14:56:57.665</v>
      </c>
      <c r="C3274" t="str">
        <f t="shared" si="1797"/>
        <v>FFDFD3C0</v>
      </c>
      <c r="D3274" t="s">
        <v>151</v>
      </c>
      <c r="E3274">
        <v>8</v>
      </c>
      <c r="H3274">
        <v>225</v>
      </c>
      <c r="I3274" t="s">
        <v>353</v>
      </c>
      <c r="J3274" t="s">
        <v>150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si="1819"/>
        <v>14:57:03.320</v>
      </c>
      <c r="T3274" t="str">
        <f t="shared" si="1819"/>
        <v>14:57:03.320</v>
      </c>
      <c r="U3274" t="str">
        <f t="shared" si="1816"/>
        <v>ACC530</v>
      </c>
      <c r="V3274">
        <v>0</v>
      </c>
      <c r="W3274">
        <v>0</v>
      </c>
      <c r="X3274">
        <v>1</v>
      </c>
      <c r="Z3274">
        <v>0</v>
      </c>
      <c r="AA3274">
        <v>9</v>
      </c>
      <c r="AB3274">
        <v>3</v>
      </c>
      <c r="AC3274">
        <v>0</v>
      </c>
      <c r="AD3274">
        <v>9</v>
      </c>
      <c r="AE3274">
        <v>0</v>
      </c>
      <c r="AF3274">
        <v>3</v>
      </c>
      <c r="AG3274">
        <v>1</v>
      </c>
      <c r="AH3274">
        <v>0</v>
      </c>
      <c r="AI3274" t="s">
        <v>1084</v>
      </c>
      <c r="AJ3274">
        <v>34.094051999999998</v>
      </c>
      <c r="AK3274" t="s">
        <v>1085</v>
      </c>
      <c r="AL3274">
        <v>-117.040272</v>
      </c>
      <c r="AM3274">
        <v>100</v>
      </c>
      <c r="AN3274">
        <v>5600</v>
      </c>
      <c r="AO3274" t="s">
        <v>118</v>
      </c>
      <c r="AP3274">
        <v>71</v>
      </c>
      <c r="AQ3274">
        <v>-82</v>
      </c>
      <c r="AR3274">
        <v>-576</v>
      </c>
      <c r="AZ3274">
        <v>1200</v>
      </c>
      <c r="BA3274">
        <v>1</v>
      </c>
      <c r="BB3274" t="str">
        <f t="shared" si="1817"/>
        <v xml:space="preserve">N9217B  </v>
      </c>
      <c r="BC3274">
        <v>1</v>
      </c>
      <c r="BE3274">
        <v>0</v>
      </c>
      <c r="BF3274">
        <v>0</v>
      </c>
      <c r="BG3274">
        <v>0</v>
      </c>
      <c r="BH3274">
        <v>5500</v>
      </c>
      <c r="BI3274">
        <v>1</v>
      </c>
      <c r="BJ3274">
        <v>0</v>
      </c>
      <c r="BK3274">
        <v>0</v>
      </c>
      <c r="BL3274">
        <v>0</v>
      </c>
      <c r="BO3274">
        <v>0</v>
      </c>
      <c r="BP3274">
        <v>0</v>
      </c>
      <c r="BW3274" t="str">
        <f t="shared" si="1820"/>
        <v>14:57:03.321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7</v>
      </c>
      <c r="CP3274" t="s">
        <v>119</v>
      </c>
      <c r="CQ3274">
        <v>285</v>
      </c>
      <c r="CR3274">
        <v>0</v>
      </c>
      <c r="CW3274">
        <v>8877043</v>
      </c>
      <c r="CY3274">
        <v>0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25">
      <c r="A3275" t="str">
        <f t="shared" si="1818"/>
        <v>06/05/2020 14:56:57.665</v>
      </c>
      <c r="C3275" t="str">
        <f t="shared" si="1797"/>
        <v>FFDFD3C0</v>
      </c>
      <c r="D3275" t="s">
        <v>134</v>
      </c>
      <c r="E3275">
        <v>7</v>
      </c>
      <c r="F3275">
        <v>2007</v>
      </c>
      <c r="G3275" t="s">
        <v>135</v>
      </c>
      <c r="J3275" t="s">
        <v>136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819"/>
        <v>14:57:03.320</v>
      </c>
      <c r="T3275" t="str">
        <f t="shared" si="1819"/>
        <v>14:57:03.320</v>
      </c>
      <c r="U3275" t="str">
        <f t="shared" si="1816"/>
        <v>ACC530</v>
      </c>
      <c r="V3275">
        <v>0</v>
      </c>
      <c r="W3275">
        <v>0</v>
      </c>
      <c r="X3275">
        <v>1</v>
      </c>
      <c r="Z3275">
        <v>0</v>
      </c>
      <c r="AA3275">
        <v>9</v>
      </c>
      <c r="AB3275">
        <v>3</v>
      </c>
      <c r="AC3275">
        <v>0</v>
      </c>
      <c r="AD3275">
        <v>9</v>
      </c>
      <c r="AE3275">
        <v>0</v>
      </c>
      <c r="AF3275">
        <v>3</v>
      </c>
      <c r="AG3275">
        <v>1</v>
      </c>
      <c r="AH3275">
        <v>0</v>
      </c>
      <c r="AI3275" t="s">
        <v>1084</v>
      </c>
      <c r="AJ3275">
        <v>34.094051999999998</v>
      </c>
      <c r="AK3275" t="s">
        <v>1085</v>
      </c>
      <c r="AL3275">
        <v>-117.040272</v>
      </c>
      <c r="AM3275">
        <v>100</v>
      </c>
      <c r="AN3275">
        <v>5600</v>
      </c>
      <c r="AO3275" t="s">
        <v>118</v>
      </c>
      <c r="AP3275">
        <v>71</v>
      </c>
      <c r="AQ3275">
        <v>-82</v>
      </c>
      <c r="AR3275">
        <v>-576</v>
      </c>
      <c r="AZ3275">
        <v>1200</v>
      </c>
      <c r="BA3275">
        <v>1</v>
      </c>
      <c r="BB3275" t="str">
        <f t="shared" si="1817"/>
        <v xml:space="preserve">N9217B  </v>
      </c>
      <c r="BC3275">
        <v>1</v>
      </c>
      <c r="BE3275">
        <v>0</v>
      </c>
      <c r="BF3275">
        <v>0</v>
      </c>
      <c r="BG3275">
        <v>0</v>
      </c>
      <c r="BH3275">
        <v>5500</v>
      </c>
      <c r="BI3275">
        <v>1</v>
      </c>
      <c r="BJ3275">
        <v>0</v>
      </c>
      <c r="BK3275">
        <v>0</v>
      </c>
      <c r="BL3275">
        <v>0</v>
      </c>
      <c r="BO3275">
        <v>0</v>
      </c>
      <c r="BP3275">
        <v>0</v>
      </c>
      <c r="BW3275" t="str">
        <f t="shared" si="1820"/>
        <v>14:57:03.321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7</v>
      </c>
      <c r="CP3275" t="s">
        <v>119</v>
      </c>
      <c r="CQ3275">
        <v>285</v>
      </c>
      <c r="CR3275">
        <v>0</v>
      </c>
      <c r="CW3275">
        <v>8877043</v>
      </c>
      <c r="CY3275">
        <v>0</v>
      </c>
      <c r="CZ3275">
        <v>0</v>
      </c>
      <c r="DA3275">
        <v>1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25">
      <c r="A3276" t="str">
        <f t="shared" si="1818"/>
        <v>06/05/2020 14:56:57.665</v>
      </c>
      <c r="C3276" t="str">
        <f t="shared" si="1797"/>
        <v>FFDFD3C0</v>
      </c>
      <c r="D3276" t="s">
        <v>113</v>
      </c>
      <c r="E3276">
        <v>3</v>
      </c>
      <c r="H3276">
        <v>166</v>
      </c>
      <c r="I3276" t="s">
        <v>114</v>
      </c>
      <c r="J3276" t="s">
        <v>115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si="1819"/>
        <v>14:57:03.320</v>
      </c>
      <c r="T3276" t="str">
        <f t="shared" si="1819"/>
        <v>14:57:03.320</v>
      </c>
      <c r="U3276" t="str">
        <f t="shared" si="1816"/>
        <v>ACC530</v>
      </c>
      <c r="V3276">
        <v>0</v>
      </c>
      <c r="W3276">
        <v>0</v>
      </c>
      <c r="X3276">
        <v>1</v>
      </c>
      <c r="Z3276">
        <v>0</v>
      </c>
      <c r="AA3276">
        <v>9</v>
      </c>
      <c r="AB3276">
        <v>3</v>
      </c>
      <c r="AC3276">
        <v>0</v>
      </c>
      <c r="AD3276">
        <v>9</v>
      </c>
      <c r="AE3276">
        <v>0</v>
      </c>
      <c r="AF3276">
        <v>3</v>
      </c>
      <c r="AG3276">
        <v>1</v>
      </c>
      <c r="AH3276">
        <v>0</v>
      </c>
      <c r="AI3276" t="s">
        <v>1084</v>
      </c>
      <c r="AJ3276">
        <v>34.094051999999998</v>
      </c>
      <c r="AK3276" t="s">
        <v>1085</v>
      </c>
      <c r="AL3276">
        <v>-117.040272</v>
      </c>
      <c r="AM3276">
        <v>100</v>
      </c>
      <c r="AN3276">
        <v>5600</v>
      </c>
      <c r="AO3276" t="s">
        <v>118</v>
      </c>
      <c r="AP3276">
        <v>71</v>
      </c>
      <c r="AQ3276">
        <v>-82</v>
      </c>
      <c r="AR3276">
        <v>-576</v>
      </c>
      <c r="AZ3276">
        <v>1200</v>
      </c>
      <c r="BA3276">
        <v>1</v>
      </c>
      <c r="BB3276" t="str">
        <f t="shared" si="1817"/>
        <v xml:space="preserve">N9217B  </v>
      </c>
      <c r="BC3276">
        <v>1</v>
      </c>
      <c r="BE3276">
        <v>0</v>
      </c>
      <c r="BF3276">
        <v>0</v>
      </c>
      <c r="BG3276">
        <v>0</v>
      </c>
      <c r="BH3276">
        <v>5500</v>
      </c>
      <c r="BI3276">
        <v>1</v>
      </c>
      <c r="BJ3276">
        <v>0</v>
      </c>
      <c r="BK3276">
        <v>0</v>
      </c>
      <c r="BL3276">
        <v>0</v>
      </c>
      <c r="BO3276">
        <v>0</v>
      </c>
      <c r="BP3276">
        <v>0</v>
      </c>
      <c r="BW3276" t="str">
        <f t="shared" si="1820"/>
        <v>14:57:03.321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7</v>
      </c>
      <c r="CP3276" t="s">
        <v>119</v>
      </c>
      <c r="CQ3276">
        <v>285</v>
      </c>
      <c r="CR3276">
        <v>0</v>
      </c>
      <c r="CW3276">
        <v>8877043</v>
      </c>
      <c r="CY3276">
        <v>0</v>
      </c>
      <c r="CZ3276">
        <v>0</v>
      </c>
      <c r="DA3276">
        <v>1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25">
      <c r="A3277" t="str">
        <f t="shared" ref="A3277:A3283" si="1821">"06/05/2020 14:56:58.740"</f>
        <v>06/05/2020 14:56:58.740</v>
      </c>
      <c r="C3277" t="str">
        <f t="shared" si="1797"/>
        <v>FFDFD3C0</v>
      </c>
      <c r="D3277" t="s">
        <v>151</v>
      </c>
      <c r="E3277">
        <v>9</v>
      </c>
      <c r="H3277">
        <v>226</v>
      </c>
      <c r="I3277" t="s">
        <v>152</v>
      </c>
      <c r="J3277" t="s">
        <v>150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ref="S3277:S3283" si="1822">"14:57:04.352"</f>
        <v>14:57:04.352</v>
      </c>
      <c r="T3277" t="str">
        <f t="shared" ref="T3277:T3283" si="1823">"14:57:04.252"</f>
        <v>14:57:04.252</v>
      </c>
      <c r="U3277" t="str">
        <f t="shared" si="1816"/>
        <v>ACC530</v>
      </c>
      <c r="V3277">
        <v>0</v>
      </c>
      <c r="W3277">
        <v>0</v>
      </c>
      <c r="X3277">
        <v>1</v>
      </c>
      <c r="Z3277">
        <v>0</v>
      </c>
      <c r="AA3277">
        <v>9</v>
      </c>
      <c r="AB3277">
        <v>3</v>
      </c>
      <c r="AC3277">
        <v>0</v>
      </c>
      <c r="AD3277">
        <v>9</v>
      </c>
      <c r="AE3277">
        <v>0</v>
      </c>
      <c r="AF3277">
        <v>3</v>
      </c>
      <c r="AG3277">
        <v>1</v>
      </c>
      <c r="AH3277">
        <v>0</v>
      </c>
      <c r="AI3277" t="s">
        <v>1086</v>
      </c>
      <c r="AJ3277">
        <v>34.093645000000002</v>
      </c>
      <c r="AK3277" t="s">
        <v>813</v>
      </c>
      <c r="AL3277">
        <v>-117.039886</v>
      </c>
      <c r="AM3277">
        <v>100</v>
      </c>
      <c r="AN3277">
        <v>5600</v>
      </c>
      <c r="AO3277" t="s">
        <v>118</v>
      </c>
      <c r="AP3277">
        <v>72</v>
      </c>
      <c r="AQ3277">
        <v>-82</v>
      </c>
      <c r="AR3277">
        <v>-512</v>
      </c>
      <c r="AZ3277">
        <v>1200</v>
      </c>
      <c r="BA3277">
        <v>1</v>
      </c>
      <c r="BB3277" t="str">
        <f t="shared" si="1817"/>
        <v xml:space="preserve">N9217B  </v>
      </c>
      <c r="BC3277">
        <v>1</v>
      </c>
      <c r="BE3277">
        <v>0</v>
      </c>
      <c r="BF3277">
        <v>0</v>
      </c>
      <c r="BG3277">
        <v>0</v>
      </c>
      <c r="BH3277">
        <v>5500</v>
      </c>
      <c r="BI3277">
        <v>1</v>
      </c>
      <c r="BJ3277">
        <v>0</v>
      </c>
      <c r="BK3277">
        <v>0</v>
      </c>
      <c r="BL3277">
        <v>0</v>
      </c>
      <c r="BO3277">
        <v>0</v>
      </c>
      <c r="BP3277">
        <v>0</v>
      </c>
      <c r="BW3277" t="str">
        <f t="shared" ref="BW3277:BW3283" si="1824">"14:57:04.356"</f>
        <v>14:57:04.356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7</v>
      </c>
      <c r="CP3277" t="s">
        <v>119</v>
      </c>
      <c r="CQ3277">
        <v>285</v>
      </c>
      <c r="CR3277">
        <v>0</v>
      </c>
      <c r="CW3277">
        <v>8877144</v>
      </c>
      <c r="CY3277">
        <v>0</v>
      </c>
      <c r="CZ3277">
        <v>0</v>
      </c>
      <c r="DA3277">
        <v>0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25">
      <c r="A3278" t="str">
        <f t="shared" si="1821"/>
        <v>06/05/2020 14:56:58.740</v>
      </c>
      <c r="C3278" t="str">
        <f t="shared" si="1797"/>
        <v>FFDFD3C0</v>
      </c>
      <c r="D3278" t="s">
        <v>148</v>
      </c>
      <c r="E3278">
        <v>11</v>
      </c>
      <c r="H3278">
        <v>53</v>
      </c>
      <c r="I3278" t="s">
        <v>364</v>
      </c>
      <c r="J3278" t="s">
        <v>150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si="1822"/>
        <v>14:57:04.352</v>
      </c>
      <c r="T3278" t="str">
        <f t="shared" si="1823"/>
        <v>14:57:04.252</v>
      </c>
      <c r="U3278" t="str">
        <f t="shared" si="1816"/>
        <v>ACC530</v>
      </c>
      <c r="V3278">
        <v>0</v>
      </c>
      <c r="W3278">
        <v>0</v>
      </c>
      <c r="X3278">
        <v>1</v>
      </c>
      <c r="Z3278">
        <v>0</v>
      </c>
      <c r="AA3278">
        <v>9</v>
      </c>
      <c r="AB3278">
        <v>3</v>
      </c>
      <c r="AC3278">
        <v>0</v>
      </c>
      <c r="AD3278">
        <v>9</v>
      </c>
      <c r="AE3278">
        <v>0</v>
      </c>
      <c r="AF3278">
        <v>3</v>
      </c>
      <c r="AG3278">
        <v>1</v>
      </c>
      <c r="AH3278">
        <v>0</v>
      </c>
      <c r="AI3278" t="s">
        <v>1086</v>
      </c>
      <c r="AJ3278">
        <v>34.093645000000002</v>
      </c>
      <c r="AK3278" t="s">
        <v>813</v>
      </c>
      <c r="AL3278">
        <v>-117.039886</v>
      </c>
      <c r="AM3278">
        <v>100</v>
      </c>
      <c r="AN3278">
        <v>5600</v>
      </c>
      <c r="AO3278" t="s">
        <v>118</v>
      </c>
      <c r="AP3278">
        <v>72</v>
      </c>
      <c r="AQ3278">
        <v>-82</v>
      </c>
      <c r="AR3278">
        <v>-512</v>
      </c>
      <c r="AZ3278">
        <v>1200</v>
      </c>
      <c r="BA3278">
        <v>1</v>
      </c>
      <c r="BB3278" t="str">
        <f t="shared" si="1817"/>
        <v xml:space="preserve">N9217B  </v>
      </c>
      <c r="BC3278">
        <v>1</v>
      </c>
      <c r="BE3278">
        <v>0</v>
      </c>
      <c r="BF3278">
        <v>0</v>
      </c>
      <c r="BG3278">
        <v>0</v>
      </c>
      <c r="BH3278">
        <v>5500</v>
      </c>
      <c r="BI3278">
        <v>1</v>
      </c>
      <c r="BJ3278">
        <v>0</v>
      </c>
      <c r="BK3278">
        <v>0</v>
      </c>
      <c r="BL3278">
        <v>0</v>
      </c>
      <c r="BO3278">
        <v>0</v>
      </c>
      <c r="BP3278">
        <v>0</v>
      </c>
      <c r="BW3278" t="str">
        <f t="shared" si="1824"/>
        <v>14:57:04.356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7</v>
      </c>
      <c r="CP3278" t="s">
        <v>119</v>
      </c>
      <c r="CQ3278">
        <v>285</v>
      </c>
      <c r="CR3278">
        <v>0</v>
      </c>
      <c r="CW3278">
        <v>8877144</v>
      </c>
      <c r="CY3278">
        <v>0</v>
      </c>
      <c r="CZ3278">
        <v>0</v>
      </c>
      <c r="DA3278">
        <v>1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25">
      <c r="A3279" t="str">
        <f t="shared" si="1821"/>
        <v>06/05/2020 14:56:58.740</v>
      </c>
      <c r="C3279" t="str">
        <f t="shared" si="1797"/>
        <v>FFDFD3C0</v>
      </c>
      <c r="D3279" t="s">
        <v>134</v>
      </c>
      <c r="E3279">
        <v>7</v>
      </c>
      <c r="F3279">
        <v>2007</v>
      </c>
      <c r="G3279" t="s">
        <v>135</v>
      </c>
      <c r="J3279" t="s">
        <v>136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822"/>
        <v>14:57:04.352</v>
      </c>
      <c r="T3279" t="str">
        <f t="shared" si="1823"/>
        <v>14:57:04.252</v>
      </c>
      <c r="U3279" t="str">
        <f t="shared" si="1816"/>
        <v>ACC530</v>
      </c>
      <c r="V3279">
        <v>0</v>
      </c>
      <c r="W3279">
        <v>0</v>
      </c>
      <c r="X3279">
        <v>1</v>
      </c>
      <c r="Z3279">
        <v>0</v>
      </c>
      <c r="AA3279">
        <v>9</v>
      </c>
      <c r="AB3279">
        <v>3</v>
      </c>
      <c r="AC3279">
        <v>0</v>
      </c>
      <c r="AD3279">
        <v>9</v>
      </c>
      <c r="AE3279">
        <v>0</v>
      </c>
      <c r="AF3279">
        <v>3</v>
      </c>
      <c r="AG3279">
        <v>1</v>
      </c>
      <c r="AH3279">
        <v>0</v>
      </c>
      <c r="AI3279" t="s">
        <v>1086</v>
      </c>
      <c r="AJ3279">
        <v>34.093645000000002</v>
      </c>
      <c r="AK3279" t="s">
        <v>813</v>
      </c>
      <c r="AL3279">
        <v>-117.039886</v>
      </c>
      <c r="AM3279">
        <v>100</v>
      </c>
      <c r="AN3279">
        <v>5600</v>
      </c>
      <c r="AO3279" t="s">
        <v>118</v>
      </c>
      <c r="AP3279">
        <v>72</v>
      </c>
      <c r="AQ3279">
        <v>-82</v>
      </c>
      <c r="AR3279">
        <v>-512</v>
      </c>
      <c r="AZ3279">
        <v>1200</v>
      </c>
      <c r="BA3279">
        <v>1</v>
      </c>
      <c r="BB3279" t="str">
        <f t="shared" si="1817"/>
        <v xml:space="preserve">N9217B  </v>
      </c>
      <c r="BC3279">
        <v>1</v>
      </c>
      <c r="BE3279">
        <v>0</v>
      </c>
      <c r="BF3279">
        <v>0</v>
      </c>
      <c r="BG3279">
        <v>0</v>
      </c>
      <c r="BH3279">
        <v>5500</v>
      </c>
      <c r="BI3279">
        <v>1</v>
      </c>
      <c r="BJ3279">
        <v>0</v>
      </c>
      <c r="BK3279">
        <v>0</v>
      </c>
      <c r="BL3279">
        <v>0</v>
      </c>
      <c r="BO3279">
        <v>0</v>
      </c>
      <c r="BP3279">
        <v>0</v>
      </c>
      <c r="BW3279" t="str">
        <f t="shared" si="1824"/>
        <v>14:57:04.356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7</v>
      </c>
      <c r="CP3279" t="s">
        <v>119</v>
      </c>
      <c r="CQ3279">
        <v>285</v>
      </c>
      <c r="CR3279">
        <v>0</v>
      </c>
      <c r="CW3279">
        <v>8877144</v>
      </c>
      <c r="CY3279">
        <v>0</v>
      </c>
      <c r="CZ3279">
        <v>0</v>
      </c>
      <c r="DA3279">
        <v>1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25">
      <c r="A3280" t="str">
        <f t="shared" si="1821"/>
        <v>06/05/2020 14:56:58.740</v>
      </c>
      <c r="C3280" t="str">
        <f t="shared" si="1797"/>
        <v>FFDFD3C0</v>
      </c>
      <c r="D3280" t="s">
        <v>151</v>
      </c>
      <c r="E3280">
        <v>8</v>
      </c>
      <c r="H3280">
        <v>225</v>
      </c>
      <c r="I3280" t="s">
        <v>353</v>
      </c>
      <c r="J3280" t="s">
        <v>150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si="1822"/>
        <v>14:57:04.352</v>
      </c>
      <c r="T3280" t="str">
        <f t="shared" si="1823"/>
        <v>14:57:04.252</v>
      </c>
      <c r="U3280" t="str">
        <f t="shared" si="1816"/>
        <v>ACC530</v>
      </c>
      <c r="V3280">
        <v>0</v>
      </c>
      <c r="W3280">
        <v>0</v>
      </c>
      <c r="X3280">
        <v>1</v>
      </c>
      <c r="Z3280">
        <v>0</v>
      </c>
      <c r="AA3280">
        <v>9</v>
      </c>
      <c r="AB3280">
        <v>3</v>
      </c>
      <c r="AC3280">
        <v>0</v>
      </c>
      <c r="AD3280">
        <v>9</v>
      </c>
      <c r="AE3280">
        <v>0</v>
      </c>
      <c r="AF3280">
        <v>3</v>
      </c>
      <c r="AG3280">
        <v>1</v>
      </c>
      <c r="AH3280">
        <v>0</v>
      </c>
      <c r="AI3280" t="s">
        <v>1086</v>
      </c>
      <c r="AJ3280">
        <v>34.093645000000002</v>
      </c>
      <c r="AK3280" t="s">
        <v>813</v>
      </c>
      <c r="AL3280">
        <v>-117.039886</v>
      </c>
      <c r="AM3280">
        <v>100</v>
      </c>
      <c r="AN3280">
        <v>5600</v>
      </c>
      <c r="AO3280" t="s">
        <v>118</v>
      </c>
      <c r="AP3280">
        <v>72</v>
      </c>
      <c r="AQ3280">
        <v>-82</v>
      </c>
      <c r="AR3280">
        <v>-512</v>
      </c>
      <c r="AZ3280">
        <v>1200</v>
      </c>
      <c r="BA3280">
        <v>1</v>
      </c>
      <c r="BB3280" t="str">
        <f t="shared" si="1817"/>
        <v xml:space="preserve">N9217B  </v>
      </c>
      <c r="BC3280">
        <v>1</v>
      </c>
      <c r="BE3280">
        <v>0</v>
      </c>
      <c r="BF3280">
        <v>0</v>
      </c>
      <c r="BG3280">
        <v>0</v>
      </c>
      <c r="BH3280">
        <v>5500</v>
      </c>
      <c r="BI3280">
        <v>1</v>
      </c>
      <c r="BJ3280">
        <v>0</v>
      </c>
      <c r="BK3280">
        <v>0</v>
      </c>
      <c r="BL3280">
        <v>0</v>
      </c>
      <c r="BO3280">
        <v>0</v>
      </c>
      <c r="BP3280">
        <v>0</v>
      </c>
      <c r="BW3280" t="str">
        <f t="shared" si="1824"/>
        <v>14:57:04.356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7</v>
      </c>
      <c r="CP3280" t="s">
        <v>119</v>
      </c>
      <c r="CQ3280">
        <v>285</v>
      </c>
      <c r="CR3280">
        <v>0</v>
      </c>
      <c r="CW3280">
        <v>8877144</v>
      </c>
      <c r="CY3280">
        <v>0</v>
      </c>
      <c r="CZ3280">
        <v>0</v>
      </c>
      <c r="DA3280">
        <v>1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25">
      <c r="A3281" t="str">
        <f t="shared" si="1821"/>
        <v>06/05/2020 14:56:58.740</v>
      </c>
      <c r="C3281" t="str">
        <f t="shared" si="1797"/>
        <v>FFDFD3C0</v>
      </c>
      <c r="D3281" t="s">
        <v>148</v>
      </c>
      <c r="E3281">
        <v>8</v>
      </c>
      <c r="H3281">
        <v>50</v>
      </c>
      <c r="I3281" t="s">
        <v>149</v>
      </c>
      <c r="J3281" t="s">
        <v>150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822"/>
        <v>14:57:04.352</v>
      </c>
      <c r="T3281" t="str">
        <f t="shared" si="1823"/>
        <v>14:57:04.252</v>
      </c>
      <c r="U3281" t="str">
        <f t="shared" si="1816"/>
        <v>ACC530</v>
      </c>
      <c r="V3281">
        <v>0</v>
      </c>
      <c r="W3281">
        <v>0</v>
      </c>
      <c r="X3281">
        <v>1</v>
      </c>
      <c r="Z3281">
        <v>0</v>
      </c>
      <c r="AA3281">
        <v>9</v>
      </c>
      <c r="AB3281">
        <v>3</v>
      </c>
      <c r="AC3281">
        <v>0</v>
      </c>
      <c r="AD3281">
        <v>9</v>
      </c>
      <c r="AE3281">
        <v>0</v>
      </c>
      <c r="AF3281">
        <v>3</v>
      </c>
      <c r="AG3281">
        <v>1</v>
      </c>
      <c r="AH3281">
        <v>0</v>
      </c>
      <c r="AI3281" t="s">
        <v>1086</v>
      </c>
      <c r="AJ3281">
        <v>34.093645000000002</v>
      </c>
      <c r="AK3281" t="s">
        <v>813</v>
      </c>
      <c r="AL3281">
        <v>-117.039886</v>
      </c>
      <c r="AM3281">
        <v>100</v>
      </c>
      <c r="AN3281">
        <v>5600</v>
      </c>
      <c r="AO3281" t="s">
        <v>118</v>
      </c>
      <c r="AP3281">
        <v>72</v>
      </c>
      <c r="AQ3281">
        <v>-82</v>
      </c>
      <c r="AR3281">
        <v>-512</v>
      </c>
      <c r="AZ3281">
        <v>1200</v>
      </c>
      <c r="BA3281">
        <v>1</v>
      </c>
      <c r="BB3281" t="str">
        <f t="shared" si="1817"/>
        <v xml:space="preserve">N9217B  </v>
      </c>
      <c r="BC3281">
        <v>1</v>
      </c>
      <c r="BE3281">
        <v>0</v>
      </c>
      <c r="BF3281">
        <v>0</v>
      </c>
      <c r="BG3281">
        <v>0</v>
      </c>
      <c r="BH3281">
        <v>5500</v>
      </c>
      <c r="BI3281">
        <v>1</v>
      </c>
      <c r="BJ3281">
        <v>0</v>
      </c>
      <c r="BK3281">
        <v>0</v>
      </c>
      <c r="BL3281">
        <v>0</v>
      </c>
      <c r="BO3281">
        <v>0</v>
      </c>
      <c r="BP3281">
        <v>0</v>
      </c>
      <c r="BW3281" t="str">
        <f t="shared" si="1824"/>
        <v>14:57:04.356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7</v>
      </c>
      <c r="CP3281" t="s">
        <v>119</v>
      </c>
      <c r="CQ3281">
        <v>285</v>
      </c>
      <c r="CR3281">
        <v>0</v>
      </c>
      <c r="CW3281">
        <v>8877144</v>
      </c>
      <c r="CY3281">
        <v>0</v>
      </c>
      <c r="CZ3281">
        <v>0</v>
      </c>
      <c r="DA3281">
        <v>1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25">
      <c r="A3282" t="str">
        <f t="shared" si="1821"/>
        <v>06/05/2020 14:56:58.740</v>
      </c>
      <c r="C3282" t="str">
        <f t="shared" si="1797"/>
        <v>FFDFD3C0</v>
      </c>
      <c r="D3282" t="s">
        <v>113</v>
      </c>
      <c r="E3282">
        <v>3</v>
      </c>
      <c r="H3282">
        <v>166</v>
      </c>
      <c r="I3282" t="s">
        <v>114</v>
      </c>
      <c r="J3282" t="s">
        <v>115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si="1822"/>
        <v>14:57:04.352</v>
      </c>
      <c r="T3282" t="str">
        <f t="shared" si="1823"/>
        <v>14:57:04.252</v>
      </c>
      <c r="U3282" t="str">
        <f t="shared" si="1816"/>
        <v>ACC530</v>
      </c>
      <c r="V3282">
        <v>0</v>
      </c>
      <c r="W3282">
        <v>0</v>
      </c>
      <c r="X3282">
        <v>1</v>
      </c>
      <c r="Z3282">
        <v>0</v>
      </c>
      <c r="AA3282">
        <v>9</v>
      </c>
      <c r="AB3282">
        <v>3</v>
      </c>
      <c r="AC3282">
        <v>0</v>
      </c>
      <c r="AD3282">
        <v>9</v>
      </c>
      <c r="AE3282">
        <v>0</v>
      </c>
      <c r="AF3282">
        <v>3</v>
      </c>
      <c r="AG3282">
        <v>1</v>
      </c>
      <c r="AH3282">
        <v>0</v>
      </c>
      <c r="AI3282" t="s">
        <v>1086</v>
      </c>
      <c r="AJ3282">
        <v>34.093645000000002</v>
      </c>
      <c r="AK3282" t="s">
        <v>813</v>
      </c>
      <c r="AL3282">
        <v>-117.039886</v>
      </c>
      <c r="AM3282">
        <v>100</v>
      </c>
      <c r="AN3282">
        <v>5600</v>
      </c>
      <c r="AO3282" t="s">
        <v>118</v>
      </c>
      <c r="AP3282">
        <v>72</v>
      </c>
      <c r="AQ3282">
        <v>-82</v>
      </c>
      <c r="AR3282">
        <v>-512</v>
      </c>
      <c r="AZ3282">
        <v>1200</v>
      </c>
      <c r="BA3282">
        <v>1</v>
      </c>
      <c r="BB3282" t="str">
        <f t="shared" si="1817"/>
        <v xml:space="preserve">N9217B  </v>
      </c>
      <c r="BC3282">
        <v>1</v>
      </c>
      <c r="BE3282">
        <v>0</v>
      </c>
      <c r="BF3282">
        <v>0</v>
      </c>
      <c r="BG3282">
        <v>0</v>
      </c>
      <c r="BH3282">
        <v>5500</v>
      </c>
      <c r="BI3282">
        <v>1</v>
      </c>
      <c r="BJ3282">
        <v>0</v>
      </c>
      <c r="BK3282">
        <v>0</v>
      </c>
      <c r="BL3282">
        <v>0</v>
      </c>
      <c r="BO3282">
        <v>0</v>
      </c>
      <c r="BP3282">
        <v>0</v>
      </c>
      <c r="BW3282" t="str">
        <f t="shared" si="1824"/>
        <v>14:57:04.356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7</v>
      </c>
      <c r="CP3282" t="s">
        <v>119</v>
      </c>
      <c r="CQ3282">
        <v>285</v>
      </c>
      <c r="CR3282">
        <v>0</v>
      </c>
      <c r="CW3282">
        <v>8877144</v>
      </c>
      <c r="CY3282">
        <v>0</v>
      </c>
      <c r="CZ3282">
        <v>0</v>
      </c>
      <c r="DA3282">
        <v>1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25">
      <c r="A3283" t="str">
        <f t="shared" si="1821"/>
        <v>06/05/2020 14:56:58.740</v>
      </c>
      <c r="C3283" t="str">
        <f t="shared" si="1797"/>
        <v>FFDFD3C0</v>
      </c>
      <c r="D3283" t="s">
        <v>141</v>
      </c>
      <c r="E3283">
        <v>20</v>
      </c>
      <c r="F3283">
        <v>1020</v>
      </c>
      <c r="G3283" t="s">
        <v>114</v>
      </c>
      <c r="J3283" t="s">
        <v>142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si="1822"/>
        <v>14:57:04.352</v>
      </c>
      <c r="T3283" t="str">
        <f t="shared" si="1823"/>
        <v>14:57:04.252</v>
      </c>
      <c r="U3283" t="str">
        <f t="shared" si="1816"/>
        <v>ACC530</v>
      </c>
      <c r="V3283">
        <v>0</v>
      </c>
      <c r="W3283">
        <v>0</v>
      </c>
      <c r="X3283">
        <v>1</v>
      </c>
      <c r="Z3283">
        <v>0</v>
      </c>
      <c r="AA3283">
        <v>9</v>
      </c>
      <c r="AB3283">
        <v>3</v>
      </c>
      <c r="AC3283">
        <v>0</v>
      </c>
      <c r="AD3283">
        <v>9</v>
      </c>
      <c r="AE3283">
        <v>0</v>
      </c>
      <c r="AF3283">
        <v>3</v>
      </c>
      <c r="AG3283">
        <v>1</v>
      </c>
      <c r="AH3283">
        <v>0</v>
      </c>
      <c r="AI3283" t="s">
        <v>1086</v>
      </c>
      <c r="AJ3283">
        <v>34.093645000000002</v>
      </c>
      <c r="AK3283" t="s">
        <v>813</v>
      </c>
      <c r="AL3283">
        <v>-117.039886</v>
      </c>
      <c r="AM3283">
        <v>100</v>
      </c>
      <c r="AN3283">
        <v>5600</v>
      </c>
      <c r="AO3283" t="s">
        <v>118</v>
      </c>
      <c r="AP3283">
        <v>72</v>
      </c>
      <c r="AQ3283">
        <v>-82</v>
      </c>
      <c r="AR3283">
        <v>-512</v>
      </c>
      <c r="AZ3283">
        <v>1200</v>
      </c>
      <c r="BA3283">
        <v>1</v>
      </c>
      <c r="BB3283" t="str">
        <f t="shared" si="1817"/>
        <v xml:space="preserve">N9217B  </v>
      </c>
      <c r="BC3283">
        <v>1</v>
      </c>
      <c r="BE3283">
        <v>0</v>
      </c>
      <c r="BF3283">
        <v>0</v>
      </c>
      <c r="BG3283">
        <v>0</v>
      </c>
      <c r="BH3283">
        <v>5500</v>
      </c>
      <c r="BI3283">
        <v>1</v>
      </c>
      <c r="BJ3283">
        <v>0</v>
      </c>
      <c r="BK3283">
        <v>0</v>
      </c>
      <c r="BL3283">
        <v>0</v>
      </c>
      <c r="BO3283">
        <v>0</v>
      </c>
      <c r="BP3283">
        <v>0</v>
      </c>
      <c r="BW3283" t="str">
        <f t="shared" si="1824"/>
        <v>14:57:04.356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7</v>
      </c>
      <c r="CP3283" t="s">
        <v>119</v>
      </c>
      <c r="CQ3283">
        <v>285</v>
      </c>
      <c r="CR3283">
        <v>0</v>
      </c>
      <c r="CW3283">
        <v>8877144</v>
      </c>
      <c r="CY3283">
        <v>0</v>
      </c>
      <c r="CZ3283">
        <v>0</v>
      </c>
      <c r="DA3283">
        <v>1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25">
      <c r="A3284" t="str">
        <f t="shared" ref="A3284:A3290" si="1825">"06/05/2020 14:56:59.675"</f>
        <v>06/05/2020 14:56:59.675</v>
      </c>
      <c r="C3284" t="str">
        <f t="shared" si="1797"/>
        <v>FFDFD3C0</v>
      </c>
      <c r="D3284" t="s">
        <v>141</v>
      </c>
      <c r="E3284">
        <v>20</v>
      </c>
      <c r="F3284">
        <v>1020</v>
      </c>
      <c r="G3284" t="s">
        <v>114</v>
      </c>
      <c r="J3284" t="s">
        <v>142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ref="S3284:S3290" si="1826">"14:57:05.297"</f>
        <v>14:57:05.297</v>
      </c>
      <c r="T3284" t="str">
        <f t="shared" ref="T3284:T3290" si="1827">"14:57:05.097"</f>
        <v>14:57:05.097</v>
      </c>
      <c r="U3284" t="str">
        <f t="shared" si="1816"/>
        <v>ACC530</v>
      </c>
      <c r="V3284">
        <v>0</v>
      </c>
      <c r="W3284">
        <v>0</v>
      </c>
      <c r="X3284">
        <v>1</v>
      </c>
      <c r="Z3284">
        <v>0</v>
      </c>
      <c r="AA3284">
        <v>9</v>
      </c>
      <c r="AB3284">
        <v>3</v>
      </c>
      <c r="AC3284">
        <v>0</v>
      </c>
      <c r="AD3284">
        <v>9</v>
      </c>
      <c r="AE3284">
        <v>0</v>
      </c>
      <c r="AF3284">
        <v>3</v>
      </c>
      <c r="AG3284">
        <v>1</v>
      </c>
      <c r="AH3284">
        <v>0</v>
      </c>
      <c r="AI3284" t="s">
        <v>1087</v>
      </c>
      <c r="AJ3284">
        <v>34.09328</v>
      </c>
      <c r="AK3284" t="s">
        <v>1088</v>
      </c>
      <c r="AL3284">
        <v>-117.039478</v>
      </c>
      <c r="AM3284">
        <v>100</v>
      </c>
      <c r="AN3284">
        <v>5600</v>
      </c>
      <c r="AO3284" t="s">
        <v>118</v>
      </c>
      <c r="AP3284">
        <v>72</v>
      </c>
      <c r="AQ3284">
        <v>-81</v>
      </c>
      <c r="AR3284">
        <v>-448</v>
      </c>
      <c r="AZ3284">
        <v>1200</v>
      </c>
      <c r="BA3284">
        <v>1</v>
      </c>
      <c r="BB3284" t="str">
        <f t="shared" si="1817"/>
        <v xml:space="preserve">N9217B  </v>
      </c>
      <c r="BC3284">
        <v>1</v>
      </c>
      <c r="BE3284">
        <v>0</v>
      </c>
      <c r="BF3284">
        <v>0</v>
      </c>
      <c r="BG3284">
        <v>0</v>
      </c>
      <c r="BH3284">
        <v>5475</v>
      </c>
      <c r="BI3284">
        <v>1</v>
      </c>
      <c r="BJ3284">
        <v>0</v>
      </c>
      <c r="BK3284">
        <v>0</v>
      </c>
      <c r="BL3284">
        <v>0</v>
      </c>
      <c r="BO3284">
        <v>0</v>
      </c>
      <c r="BP3284">
        <v>0</v>
      </c>
      <c r="BW3284" t="str">
        <f t="shared" ref="BW3284:BW3290" si="1828">"14:57:05.300"</f>
        <v>14:57:05.300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7</v>
      </c>
      <c r="CP3284" t="s">
        <v>119</v>
      </c>
      <c r="CQ3284">
        <v>285</v>
      </c>
      <c r="CR3284">
        <v>0</v>
      </c>
      <c r="CW3284">
        <v>8877230</v>
      </c>
      <c r="CY3284">
        <v>0</v>
      </c>
      <c r="CZ3284">
        <v>0</v>
      </c>
      <c r="DA3284">
        <v>0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25">
      <c r="A3285" t="str">
        <f t="shared" si="1825"/>
        <v>06/05/2020 14:56:59.675</v>
      </c>
      <c r="C3285" t="str">
        <f t="shared" si="1797"/>
        <v>FFDFD3C0</v>
      </c>
      <c r="D3285" t="s">
        <v>151</v>
      </c>
      <c r="E3285">
        <v>8</v>
      </c>
      <c r="H3285">
        <v>225</v>
      </c>
      <c r="I3285" t="s">
        <v>353</v>
      </c>
      <c r="J3285" t="s">
        <v>150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826"/>
        <v>14:57:05.297</v>
      </c>
      <c r="T3285" t="str">
        <f t="shared" si="1827"/>
        <v>14:57:05.097</v>
      </c>
      <c r="U3285" t="str">
        <f t="shared" si="1816"/>
        <v>ACC530</v>
      </c>
      <c r="V3285">
        <v>0</v>
      </c>
      <c r="W3285">
        <v>0</v>
      </c>
      <c r="X3285">
        <v>1</v>
      </c>
      <c r="Z3285">
        <v>0</v>
      </c>
      <c r="AA3285">
        <v>9</v>
      </c>
      <c r="AB3285">
        <v>3</v>
      </c>
      <c r="AC3285">
        <v>0</v>
      </c>
      <c r="AD3285">
        <v>9</v>
      </c>
      <c r="AE3285">
        <v>0</v>
      </c>
      <c r="AF3285">
        <v>3</v>
      </c>
      <c r="AG3285">
        <v>1</v>
      </c>
      <c r="AH3285">
        <v>0</v>
      </c>
      <c r="AI3285" t="s">
        <v>1087</v>
      </c>
      <c r="AJ3285">
        <v>34.09328</v>
      </c>
      <c r="AK3285" t="s">
        <v>1088</v>
      </c>
      <c r="AL3285">
        <v>-117.039478</v>
      </c>
      <c r="AM3285">
        <v>100</v>
      </c>
      <c r="AN3285">
        <v>5600</v>
      </c>
      <c r="AO3285" t="s">
        <v>118</v>
      </c>
      <c r="AP3285">
        <v>72</v>
      </c>
      <c r="AQ3285">
        <v>-81</v>
      </c>
      <c r="AR3285">
        <v>-448</v>
      </c>
      <c r="AZ3285">
        <v>1200</v>
      </c>
      <c r="BA3285">
        <v>1</v>
      </c>
      <c r="BB3285" t="str">
        <f t="shared" si="1817"/>
        <v xml:space="preserve">N9217B  </v>
      </c>
      <c r="BC3285">
        <v>1</v>
      </c>
      <c r="BE3285">
        <v>0</v>
      </c>
      <c r="BF3285">
        <v>0</v>
      </c>
      <c r="BG3285">
        <v>0</v>
      </c>
      <c r="BH3285">
        <v>5475</v>
      </c>
      <c r="BI3285">
        <v>1</v>
      </c>
      <c r="BJ3285">
        <v>0</v>
      </c>
      <c r="BK3285">
        <v>0</v>
      </c>
      <c r="BL3285">
        <v>0</v>
      </c>
      <c r="BO3285">
        <v>0</v>
      </c>
      <c r="BP3285">
        <v>0</v>
      </c>
      <c r="BW3285" t="str">
        <f t="shared" si="1828"/>
        <v>14:57:05.300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7</v>
      </c>
      <c r="CP3285" t="s">
        <v>119</v>
      </c>
      <c r="CQ3285">
        <v>285</v>
      </c>
      <c r="CR3285">
        <v>0</v>
      </c>
      <c r="CW3285">
        <v>8877230</v>
      </c>
      <c r="CY3285">
        <v>0</v>
      </c>
      <c r="CZ3285">
        <v>0</v>
      </c>
      <c r="DA3285">
        <v>1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25">
      <c r="A3286" t="str">
        <f t="shared" si="1825"/>
        <v>06/05/2020 14:56:59.675</v>
      </c>
      <c r="C3286" t="str">
        <f t="shared" si="1797"/>
        <v>FFDFD3C0</v>
      </c>
      <c r="D3286" t="s">
        <v>148</v>
      </c>
      <c r="E3286">
        <v>8</v>
      </c>
      <c r="H3286">
        <v>50</v>
      </c>
      <c r="I3286" t="s">
        <v>149</v>
      </c>
      <c r="J3286" t="s">
        <v>150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si="1826"/>
        <v>14:57:05.297</v>
      </c>
      <c r="T3286" t="str">
        <f t="shared" si="1827"/>
        <v>14:57:05.097</v>
      </c>
      <c r="U3286" t="str">
        <f t="shared" si="1816"/>
        <v>ACC530</v>
      </c>
      <c r="V3286">
        <v>0</v>
      </c>
      <c r="W3286">
        <v>0</v>
      </c>
      <c r="X3286">
        <v>1</v>
      </c>
      <c r="Z3286">
        <v>0</v>
      </c>
      <c r="AA3286">
        <v>9</v>
      </c>
      <c r="AB3286">
        <v>3</v>
      </c>
      <c r="AC3286">
        <v>0</v>
      </c>
      <c r="AD3286">
        <v>9</v>
      </c>
      <c r="AE3286">
        <v>0</v>
      </c>
      <c r="AF3286">
        <v>3</v>
      </c>
      <c r="AG3286">
        <v>1</v>
      </c>
      <c r="AH3286">
        <v>0</v>
      </c>
      <c r="AI3286" t="s">
        <v>1087</v>
      </c>
      <c r="AJ3286">
        <v>34.09328</v>
      </c>
      <c r="AK3286" t="s">
        <v>1088</v>
      </c>
      <c r="AL3286">
        <v>-117.039478</v>
      </c>
      <c r="AM3286">
        <v>100</v>
      </c>
      <c r="AN3286">
        <v>5600</v>
      </c>
      <c r="AO3286" t="s">
        <v>118</v>
      </c>
      <c r="AP3286">
        <v>72</v>
      </c>
      <c r="AQ3286">
        <v>-81</v>
      </c>
      <c r="AR3286">
        <v>-448</v>
      </c>
      <c r="AZ3286">
        <v>1200</v>
      </c>
      <c r="BA3286">
        <v>1</v>
      </c>
      <c r="BB3286" t="str">
        <f t="shared" si="1817"/>
        <v xml:space="preserve">N9217B  </v>
      </c>
      <c r="BC3286">
        <v>1</v>
      </c>
      <c r="BE3286">
        <v>0</v>
      </c>
      <c r="BF3286">
        <v>0</v>
      </c>
      <c r="BG3286">
        <v>0</v>
      </c>
      <c r="BH3286">
        <v>5475</v>
      </c>
      <c r="BI3286">
        <v>1</v>
      </c>
      <c r="BJ3286">
        <v>0</v>
      </c>
      <c r="BK3286">
        <v>0</v>
      </c>
      <c r="BL3286">
        <v>0</v>
      </c>
      <c r="BO3286">
        <v>0</v>
      </c>
      <c r="BP3286">
        <v>0</v>
      </c>
      <c r="BW3286" t="str">
        <f t="shared" si="1828"/>
        <v>14:57:05.300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285</v>
      </c>
      <c r="CR3286">
        <v>0</v>
      </c>
      <c r="CW3286">
        <v>8877230</v>
      </c>
      <c r="CY3286">
        <v>0</v>
      </c>
      <c r="CZ3286">
        <v>0</v>
      </c>
      <c r="DA3286">
        <v>1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25">
      <c r="A3287" t="str">
        <f t="shared" si="1825"/>
        <v>06/05/2020 14:56:59.675</v>
      </c>
      <c r="C3287" t="str">
        <f t="shared" si="1797"/>
        <v>FFDFD3C0</v>
      </c>
      <c r="D3287" t="s">
        <v>113</v>
      </c>
      <c r="E3287">
        <v>3</v>
      </c>
      <c r="H3287">
        <v>166</v>
      </c>
      <c r="I3287" t="s">
        <v>114</v>
      </c>
      <c r="J3287" t="s">
        <v>115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826"/>
        <v>14:57:05.297</v>
      </c>
      <c r="T3287" t="str">
        <f t="shared" si="1827"/>
        <v>14:57:05.097</v>
      </c>
      <c r="U3287" t="str">
        <f t="shared" si="1816"/>
        <v>ACC530</v>
      </c>
      <c r="V3287">
        <v>0</v>
      </c>
      <c r="W3287">
        <v>0</v>
      </c>
      <c r="X3287">
        <v>1</v>
      </c>
      <c r="Z3287">
        <v>0</v>
      </c>
      <c r="AA3287">
        <v>9</v>
      </c>
      <c r="AB3287">
        <v>3</v>
      </c>
      <c r="AC3287">
        <v>0</v>
      </c>
      <c r="AD3287">
        <v>9</v>
      </c>
      <c r="AE3287">
        <v>0</v>
      </c>
      <c r="AF3287">
        <v>3</v>
      </c>
      <c r="AG3287">
        <v>1</v>
      </c>
      <c r="AH3287">
        <v>0</v>
      </c>
      <c r="AI3287" t="s">
        <v>1087</v>
      </c>
      <c r="AJ3287">
        <v>34.09328</v>
      </c>
      <c r="AK3287" t="s">
        <v>1088</v>
      </c>
      <c r="AL3287">
        <v>-117.039478</v>
      </c>
      <c r="AM3287">
        <v>100</v>
      </c>
      <c r="AN3287">
        <v>5600</v>
      </c>
      <c r="AO3287" t="s">
        <v>118</v>
      </c>
      <c r="AP3287">
        <v>72</v>
      </c>
      <c r="AQ3287">
        <v>-81</v>
      </c>
      <c r="AR3287">
        <v>-448</v>
      </c>
      <c r="AZ3287">
        <v>1200</v>
      </c>
      <c r="BA3287">
        <v>1</v>
      </c>
      <c r="BB3287" t="str">
        <f t="shared" si="1817"/>
        <v xml:space="preserve">N9217B  </v>
      </c>
      <c r="BC3287">
        <v>1</v>
      </c>
      <c r="BE3287">
        <v>0</v>
      </c>
      <c r="BF3287">
        <v>0</v>
      </c>
      <c r="BG3287">
        <v>0</v>
      </c>
      <c r="BH3287">
        <v>5475</v>
      </c>
      <c r="BI3287">
        <v>1</v>
      </c>
      <c r="BJ3287">
        <v>0</v>
      </c>
      <c r="BK3287">
        <v>0</v>
      </c>
      <c r="BL3287">
        <v>0</v>
      </c>
      <c r="BO3287">
        <v>0</v>
      </c>
      <c r="BP3287">
        <v>0</v>
      </c>
      <c r="BW3287" t="str">
        <f t="shared" si="1828"/>
        <v>14:57:05.300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285</v>
      </c>
      <c r="CR3287">
        <v>0</v>
      </c>
      <c r="CW3287">
        <v>8877230</v>
      </c>
      <c r="CY3287">
        <v>0</v>
      </c>
      <c r="CZ3287">
        <v>0</v>
      </c>
      <c r="DA3287">
        <v>1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25">
      <c r="A3288" t="str">
        <f t="shared" si="1825"/>
        <v>06/05/2020 14:56:59.675</v>
      </c>
      <c r="C3288" t="str">
        <f t="shared" si="1797"/>
        <v>FFDFD3C0</v>
      </c>
      <c r="D3288" t="s">
        <v>151</v>
      </c>
      <c r="E3288">
        <v>9</v>
      </c>
      <c r="H3288">
        <v>226</v>
      </c>
      <c r="I3288" t="s">
        <v>152</v>
      </c>
      <c r="J3288" t="s">
        <v>150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826"/>
        <v>14:57:05.297</v>
      </c>
      <c r="T3288" t="str">
        <f t="shared" si="1827"/>
        <v>14:57:05.097</v>
      </c>
      <c r="U3288" t="str">
        <f t="shared" si="1816"/>
        <v>ACC530</v>
      </c>
      <c r="V3288">
        <v>0</v>
      </c>
      <c r="W3288">
        <v>0</v>
      </c>
      <c r="X3288">
        <v>1</v>
      </c>
      <c r="Z3288">
        <v>0</v>
      </c>
      <c r="AA3288">
        <v>9</v>
      </c>
      <c r="AB3288">
        <v>3</v>
      </c>
      <c r="AC3288">
        <v>0</v>
      </c>
      <c r="AD3288">
        <v>9</v>
      </c>
      <c r="AE3288">
        <v>0</v>
      </c>
      <c r="AF3288">
        <v>3</v>
      </c>
      <c r="AG3288">
        <v>1</v>
      </c>
      <c r="AH3288">
        <v>0</v>
      </c>
      <c r="AI3288" t="s">
        <v>1087</v>
      </c>
      <c r="AJ3288">
        <v>34.09328</v>
      </c>
      <c r="AK3288" t="s">
        <v>1088</v>
      </c>
      <c r="AL3288">
        <v>-117.039478</v>
      </c>
      <c r="AM3288">
        <v>100</v>
      </c>
      <c r="AN3288">
        <v>5600</v>
      </c>
      <c r="AO3288" t="s">
        <v>118</v>
      </c>
      <c r="AP3288">
        <v>72</v>
      </c>
      <c r="AQ3288">
        <v>-81</v>
      </c>
      <c r="AR3288">
        <v>-448</v>
      </c>
      <c r="AZ3288">
        <v>1200</v>
      </c>
      <c r="BA3288">
        <v>1</v>
      </c>
      <c r="BB3288" t="str">
        <f t="shared" si="1817"/>
        <v xml:space="preserve">N9217B  </v>
      </c>
      <c r="BC3288">
        <v>1</v>
      </c>
      <c r="BE3288">
        <v>0</v>
      </c>
      <c r="BF3288">
        <v>0</v>
      </c>
      <c r="BG3288">
        <v>0</v>
      </c>
      <c r="BH3288">
        <v>5475</v>
      </c>
      <c r="BI3288">
        <v>1</v>
      </c>
      <c r="BJ3288">
        <v>0</v>
      </c>
      <c r="BK3288">
        <v>0</v>
      </c>
      <c r="BL3288">
        <v>0</v>
      </c>
      <c r="BO3288">
        <v>0</v>
      </c>
      <c r="BP3288">
        <v>0</v>
      </c>
      <c r="BW3288" t="str">
        <f t="shared" si="1828"/>
        <v>14:57:05.300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285</v>
      </c>
      <c r="CR3288">
        <v>0</v>
      </c>
      <c r="CW3288">
        <v>8877230</v>
      </c>
      <c r="CY3288">
        <v>0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25">
      <c r="A3289" t="str">
        <f t="shared" si="1825"/>
        <v>06/05/2020 14:56:59.675</v>
      </c>
      <c r="C3289" t="str">
        <f t="shared" si="1797"/>
        <v>FFDFD3C0</v>
      </c>
      <c r="D3289" t="s">
        <v>134</v>
      </c>
      <c r="E3289">
        <v>7</v>
      </c>
      <c r="F3289">
        <v>2007</v>
      </c>
      <c r="G3289" t="s">
        <v>135</v>
      </c>
      <c r="J3289" t="s">
        <v>136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826"/>
        <v>14:57:05.297</v>
      </c>
      <c r="T3289" t="str">
        <f t="shared" si="1827"/>
        <v>14:57:05.097</v>
      </c>
      <c r="U3289" t="str">
        <f t="shared" si="1816"/>
        <v>ACC530</v>
      </c>
      <c r="V3289">
        <v>0</v>
      </c>
      <c r="W3289">
        <v>0</v>
      </c>
      <c r="X3289">
        <v>1</v>
      </c>
      <c r="Z3289">
        <v>0</v>
      </c>
      <c r="AA3289">
        <v>9</v>
      </c>
      <c r="AB3289">
        <v>3</v>
      </c>
      <c r="AC3289">
        <v>0</v>
      </c>
      <c r="AD3289">
        <v>9</v>
      </c>
      <c r="AE3289">
        <v>0</v>
      </c>
      <c r="AF3289">
        <v>3</v>
      </c>
      <c r="AG3289">
        <v>1</v>
      </c>
      <c r="AH3289">
        <v>0</v>
      </c>
      <c r="AI3289" t="s">
        <v>1087</v>
      </c>
      <c r="AJ3289">
        <v>34.09328</v>
      </c>
      <c r="AK3289" t="s">
        <v>1088</v>
      </c>
      <c r="AL3289">
        <v>-117.039478</v>
      </c>
      <c r="AM3289">
        <v>100</v>
      </c>
      <c r="AN3289">
        <v>5600</v>
      </c>
      <c r="AO3289" t="s">
        <v>118</v>
      </c>
      <c r="AP3289">
        <v>72</v>
      </c>
      <c r="AQ3289">
        <v>-81</v>
      </c>
      <c r="AR3289">
        <v>-448</v>
      </c>
      <c r="AZ3289">
        <v>1200</v>
      </c>
      <c r="BA3289">
        <v>1</v>
      </c>
      <c r="BB3289" t="str">
        <f t="shared" si="1817"/>
        <v xml:space="preserve">N9217B  </v>
      </c>
      <c r="BC3289">
        <v>1</v>
      </c>
      <c r="BE3289">
        <v>0</v>
      </c>
      <c r="BF3289">
        <v>0</v>
      </c>
      <c r="BG3289">
        <v>0</v>
      </c>
      <c r="BH3289">
        <v>5475</v>
      </c>
      <c r="BI3289">
        <v>1</v>
      </c>
      <c r="BJ3289">
        <v>0</v>
      </c>
      <c r="BK3289">
        <v>0</v>
      </c>
      <c r="BL3289">
        <v>0</v>
      </c>
      <c r="BO3289">
        <v>0</v>
      </c>
      <c r="BP3289">
        <v>0</v>
      </c>
      <c r="BW3289" t="str">
        <f t="shared" si="1828"/>
        <v>14:57:05.300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285</v>
      </c>
      <c r="CR3289">
        <v>0</v>
      </c>
      <c r="CW3289">
        <v>8877230</v>
      </c>
      <c r="CY3289">
        <v>0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25">
      <c r="A3290" t="str">
        <f t="shared" si="1825"/>
        <v>06/05/2020 14:56:59.675</v>
      </c>
      <c r="C3290" t="str">
        <f t="shared" si="1797"/>
        <v>FFDFD3C0</v>
      </c>
      <c r="D3290" t="s">
        <v>148</v>
      </c>
      <c r="E3290">
        <v>11</v>
      </c>
      <c r="H3290">
        <v>53</v>
      </c>
      <c r="I3290" t="s">
        <v>364</v>
      </c>
      <c r="J3290" t="s">
        <v>150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si="1826"/>
        <v>14:57:05.297</v>
      </c>
      <c r="T3290" t="str">
        <f t="shared" si="1827"/>
        <v>14:57:05.097</v>
      </c>
      <c r="U3290" t="str">
        <f t="shared" si="1816"/>
        <v>ACC530</v>
      </c>
      <c r="V3290">
        <v>0</v>
      </c>
      <c r="W3290">
        <v>0</v>
      </c>
      <c r="X3290">
        <v>1</v>
      </c>
      <c r="Z3290">
        <v>0</v>
      </c>
      <c r="AA3290">
        <v>9</v>
      </c>
      <c r="AB3290">
        <v>3</v>
      </c>
      <c r="AC3290">
        <v>0</v>
      </c>
      <c r="AD3290">
        <v>9</v>
      </c>
      <c r="AE3290">
        <v>0</v>
      </c>
      <c r="AF3290">
        <v>3</v>
      </c>
      <c r="AG3290">
        <v>1</v>
      </c>
      <c r="AH3290">
        <v>0</v>
      </c>
      <c r="AI3290" t="s">
        <v>1087</v>
      </c>
      <c r="AJ3290">
        <v>34.09328</v>
      </c>
      <c r="AK3290" t="s">
        <v>1088</v>
      </c>
      <c r="AL3290">
        <v>-117.039478</v>
      </c>
      <c r="AM3290">
        <v>100</v>
      </c>
      <c r="AN3290">
        <v>5600</v>
      </c>
      <c r="AO3290" t="s">
        <v>118</v>
      </c>
      <c r="AP3290">
        <v>72</v>
      </c>
      <c r="AQ3290">
        <v>-81</v>
      </c>
      <c r="AR3290">
        <v>-448</v>
      </c>
      <c r="AZ3290">
        <v>1200</v>
      </c>
      <c r="BA3290">
        <v>1</v>
      </c>
      <c r="BB3290" t="str">
        <f t="shared" si="1817"/>
        <v xml:space="preserve">N9217B  </v>
      </c>
      <c r="BC3290">
        <v>1</v>
      </c>
      <c r="BE3290">
        <v>0</v>
      </c>
      <c r="BF3290">
        <v>0</v>
      </c>
      <c r="BG3290">
        <v>0</v>
      </c>
      <c r="BH3290">
        <v>5475</v>
      </c>
      <c r="BI3290">
        <v>1</v>
      </c>
      <c r="BJ3290">
        <v>0</v>
      </c>
      <c r="BK3290">
        <v>0</v>
      </c>
      <c r="BL3290">
        <v>0</v>
      </c>
      <c r="BO3290">
        <v>0</v>
      </c>
      <c r="BP3290">
        <v>0</v>
      </c>
      <c r="BW3290" t="str">
        <f t="shared" si="1828"/>
        <v>14:57:05.300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285</v>
      </c>
      <c r="CR3290">
        <v>0</v>
      </c>
      <c r="CW3290">
        <v>8877230</v>
      </c>
      <c r="CY3290">
        <v>0</v>
      </c>
      <c r="CZ3290">
        <v>0</v>
      </c>
      <c r="DA3290">
        <v>1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25">
      <c r="A3291" t="str">
        <f t="shared" ref="A3291:A3297" si="1829">"06/05/2020 14:57:00.537"</f>
        <v>06/05/2020 14:57:00.537</v>
      </c>
      <c r="C3291" t="str">
        <f t="shared" si="1797"/>
        <v>FFDFD3C0</v>
      </c>
      <c r="D3291" t="s">
        <v>151</v>
      </c>
      <c r="E3291">
        <v>8</v>
      </c>
      <c r="H3291">
        <v>225</v>
      </c>
      <c r="I3291" t="s">
        <v>353</v>
      </c>
      <c r="J3291" t="s">
        <v>150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ref="S3291:S3297" si="1830">"14:57:06.195"</f>
        <v>14:57:06.195</v>
      </c>
      <c r="T3291" t="str">
        <f t="shared" ref="T3291:T3297" si="1831">"14:57:06.095"</f>
        <v>14:57:06.095</v>
      </c>
      <c r="U3291" t="str">
        <f t="shared" si="1816"/>
        <v>ACC530</v>
      </c>
      <c r="V3291">
        <v>0</v>
      </c>
      <c r="W3291">
        <v>0</v>
      </c>
      <c r="X3291">
        <v>1</v>
      </c>
      <c r="Z3291">
        <v>0</v>
      </c>
      <c r="AA3291">
        <v>9</v>
      </c>
      <c r="AB3291">
        <v>3</v>
      </c>
      <c r="AC3291">
        <v>0</v>
      </c>
      <c r="AD3291">
        <v>9</v>
      </c>
      <c r="AE3291">
        <v>0</v>
      </c>
      <c r="AF3291">
        <v>3</v>
      </c>
      <c r="AG3291">
        <v>1</v>
      </c>
      <c r="AH3291">
        <v>0</v>
      </c>
      <c r="AI3291" t="s">
        <v>1089</v>
      </c>
      <c r="AJ3291">
        <v>34.092958000000003</v>
      </c>
      <c r="AK3291" t="s">
        <v>1090</v>
      </c>
      <c r="AL3291">
        <v>-117.039135</v>
      </c>
      <c r="AM3291">
        <v>100</v>
      </c>
      <c r="AN3291">
        <v>5600</v>
      </c>
      <c r="AO3291" t="s">
        <v>118</v>
      </c>
      <c r="AP3291">
        <v>73</v>
      </c>
      <c r="AQ3291">
        <v>-80</v>
      </c>
      <c r="AR3291">
        <v>-384</v>
      </c>
      <c r="AZ3291">
        <v>1200</v>
      </c>
      <c r="BA3291">
        <v>1</v>
      </c>
      <c r="BB3291" t="str">
        <f t="shared" si="1817"/>
        <v xml:space="preserve">N9217B  </v>
      </c>
      <c r="BC3291">
        <v>1</v>
      </c>
      <c r="BE3291">
        <v>0</v>
      </c>
      <c r="BF3291">
        <v>0</v>
      </c>
      <c r="BG3291">
        <v>0</v>
      </c>
      <c r="BH3291">
        <v>5475</v>
      </c>
      <c r="BI3291">
        <v>1</v>
      </c>
      <c r="BJ3291">
        <v>0</v>
      </c>
      <c r="BK3291">
        <v>0</v>
      </c>
      <c r="BL3291">
        <v>0</v>
      </c>
      <c r="BO3291">
        <v>0</v>
      </c>
      <c r="BP3291">
        <v>0</v>
      </c>
      <c r="BW3291" t="str">
        <f t="shared" ref="BW3291:BW3297" si="1832">"14:57:06.200"</f>
        <v>14:57:06.200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285</v>
      </c>
      <c r="CR3291">
        <v>0</v>
      </c>
      <c r="CW3291">
        <v>8877312</v>
      </c>
      <c r="CY3291">
        <v>0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25">
      <c r="A3292" t="str">
        <f t="shared" si="1829"/>
        <v>06/05/2020 14:57:00.537</v>
      </c>
      <c r="C3292" t="str">
        <f t="shared" si="1797"/>
        <v>FFDFD3C0</v>
      </c>
      <c r="D3292" t="s">
        <v>151</v>
      </c>
      <c r="E3292">
        <v>9</v>
      </c>
      <c r="H3292">
        <v>226</v>
      </c>
      <c r="I3292" t="s">
        <v>152</v>
      </c>
      <c r="J3292" t="s">
        <v>150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si="1830"/>
        <v>14:57:06.195</v>
      </c>
      <c r="T3292" t="str">
        <f t="shared" si="1831"/>
        <v>14:57:06.095</v>
      </c>
      <c r="U3292" t="str">
        <f t="shared" si="1816"/>
        <v>ACC530</v>
      </c>
      <c r="V3292">
        <v>0</v>
      </c>
      <c r="W3292">
        <v>0</v>
      </c>
      <c r="X3292">
        <v>1</v>
      </c>
      <c r="Z3292">
        <v>0</v>
      </c>
      <c r="AA3292">
        <v>9</v>
      </c>
      <c r="AB3292">
        <v>3</v>
      </c>
      <c r="AC3292">
        <v>0</v>
      </c>
      <c r="AD3292">
        <v>9</v>
      </c>
      <c r="AE3292">
        <v>0</v>
      </c>
      <c r="AF3292">
        <v>3</v>
      </c>
      <c r="AG3292">
        <v>1</v>
      </c>
      <c r="AH3292">
        <v>0</v>
      </c>
      <c r="AI3292" t="s">
        <v>1089</v>
      </c>
      <c r="AJ3292">
        <v>34.092958000000003</v>
      </c>
      <c r="AK3292" t="s">
        <v>1090</v>
      </c>
      <c r="AL3292">
        <v>-117.039135</v>
      </c>
      <c r="AM3292">
        <v>100</v>
      </c>
      <c r="AN3292">
        <v>5600</v>
      </c>
      <c r="AO3292" t="s">
        <v>118</v>
      </c>
      <c r="AP3292">
        <v>73</v>
      </c>
      <c r="AQ3292">
        <v>-80</v>
      </c>
      <c r="AR3292">
        <v>-384</v>
      </c>
      <c r="AZ3292">
        <v>1200</v>
      </c>
      <c r="BA3292">
        <v>1</v>
      </c>
      <c r="BB3292" t="str">
        <f t="shared" si="1817"/>
        <v xml:space="preserve">N9217B  </v>
      </c>
      <c r="BC3292">
        <v>1</v>
      </c>
      <c r="BE3292">
        <v>0</v>
      </c>
      <c r="BF3292">
        <v>0</v>
      </c>
      <c r="BG3292">
        <v>0</v>
      </c>
      <c r="BH3292">
        <v>5475</v>
      </c>
      <c r="BI3292">
        <v>1</v>
      </c>
      <c r="BJ3292">
        <v>0</v>
      </c>
      <c r="BK3292">
        <v>0</v>
      </c>
      <c r="BL3292">
        <v>0</v>
      </c>
      <c r="BO3292">
        <v>0</v>
      </c>
      <c r="BP3292">
        <v>0</v>
      </c>
      <c r="BW3292" t="str">
        <f t="shared" si="1832"/>
        <v>14:57:06.200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285</v>
      </c>
      <c r="CR3292">
        <v>0</v>
      </c>
      <c r="CW3292">
        <v>8877312</v>
      </c>
      <c r="CY3292">
        <v>0</v>
      </c>
      <c r="CZ3292">
        <v>0</v>
      </c>
      <c r="DA3292">
        <v>1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25">
      <c r="A3293" t="str">
        <f t="shared" si="1829"/>
        <v>06/05/2020 14:57:00.537</v>
      </c>
      <c r="C3293" t="str">
        <f t="shared" si="1797"/>
        <v>FFDFD3C0</v>
      </c>
      <c r="D3293" t="s">
        <v>134</v>
      </c>
      <c r="E3293">
        <v>7</v>
      </c>
      <c r="F3293">
        <v>2007</v>
      </c>
      <c r="G3293" t="s">
        <v>135</v>
      </c>
      <c r="J3293" t="s">
        <v>136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830"/>
        <v>14:57:06.195</v>
      </c>
      <c r="T3293" t="str">
        <f t="shared" si="1831"/>
        <v>14:57:06.095</v>
      </c>
      <c r="U3293" t="str">
        <f t="shared" si="1816"/>
        <v>ACC530</v>
      </c>
      <c r="V3293">
        <v>0</v>
      </c>
      <c r="W3293">
        <v>0</v>
      </c>
      <c r="X3293">
        <v>1</v>
      </c>
      <c r="Z3293">
        <v>0</v>
      </c>
      <c r="AA3293">
        <v>9</v>
      </c>
      <c r="AB3293">
        <v>3</v>
      </c>
      <c r="AC3293">
        <v>0</v>
      </c>
      <c r="AD3293">
        <v>9</v>
      </c>
      <c r="AE3293">
        <v>0</v>
      </c>
      <c r="AF3293">
        <v>3</v>
      </c>
      <c r="AG3293">
        <v>1</v>
      </c>
      <c r="AH3293">
        <v>0</v>
      </c>
      <c r="AI3293" t="s">
        <v>1089</v>
      </c>
      <c r="AJ3293">
        <v>34.092958000000003</v>
      </c>
      <c r="AK3293" t="s">
        <v>1090</v>
      </c>
      <c r="AL3293">
        <v>-117.039135</v>
      </c>
      <c r="AM3293">
        <v>100</v>
      </c>
      <c r="AN3293">
        <v>5600</v>
      </c>
      <c r="AO3293" t="s">
        <v>118</v>
      </c>
      <c r="AP3293">
        <v>73</v>
      </c>
      <c r="AQ3293">
        <v>-80</v>
      </c>
      <c r="AR3293">
        <v>-384</v>
      </c>
      <c r="AZ3293">
        <v>1200</v>
      </c>
      <c r="BA3293">
        <v>1</v>
      </c>
      <c r="BB3293" t="str">
        <f t="shared" si="1817"/>
        <v xml:space="preserve">N9217B  </v>
      </c>
      <c r="BC3293">
        <v>1</v>
      </c>
      <c r="BE3293">
        <v>0</v>
      </c>
      <c r="BF3293">
        <v>0</v>
      </c>
      <c r="BG3293">
        <v>0</v>
      </c>
      <c r="BH3293">
        <v>5475</v>
      </c>
      <c r="BI3293">
        <v>1</v>
      </c>
      <c r="BJ3293">
        <v>0</v>
      </c>
      <c r="BK3293">
        <v>0</v>
      </c>
      <c r="BL3293">
        <v>0</v>
      </c>
      <c r="BO3293">
        <v>0</v>
      </c>
      <c r="BP3293">
        <v>0</v>
      </c>
      <c r="BW3293" t="str">
        <f t="shared" si="1832"/>
        <v>14:57:06.200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285</v>
      </c>
      <c r="CR3293">
        <v>0</v>
      </c>
      <c r="CW3293">
        <v>8877312</v>
      </c>
      <c r="CY3293">
        <v>0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25">
      <c r="A3294" t="str">
        <f t="shared" si="1829"/>
        <v>06/05/2020 14:57:00.537</v>
      </c>
      <c r="C3294" t="str">
        <f t="shared" si="1797"/>
        <v>FFDFD3C0</v>
      </c>
      <c r="D3294" t="s">
        <v>141</v>
      </c>
      <c r="E3294">
        <v>20</v>
      </c>
      <c r="F3294">
        <v>1020</v>
      </c>
      <c r="G3294" t="s">
        <v>114</v>
      </c>
      <c r="J3294" t="s">
        <v>142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830"/>
        <v>14:57:06.195</v>
      </c>
      <c r="T3294" t="str">
        <f t="shared" si="1831"/>
        <v>14:57:06.095</v>
      </c>
      <c r="U3294" t="str">
        <f t="shared" si="1816"/>
        <v>ACC530</v>
      </c>
      <c r="V3294">
        <v>0</v>
      </c>
      <c r="W3294">
        <v>0</v>
      </c>
      <c r="X3294">
        <v>1</v>
      </c>
      <c r="Z3294">
        <v>0</v>
      </c>
      <c r="AA3294">
        <v>9</v>
      </c>
      <c r="AB3294">
        <v>3</v>
      </c>
      <c r="AC3294">
        <v>0</v>
      </c>
      <c r="AD3294">
        <v>9</v>
      </c>
      <c r="AE3294">
        <v>0</v>
      </c>
      <c r="AF3294">
        <v>3</v>
      </c>
      <c r="AG3294">
        <v>1</v>
      </c>
      <c r="AH3294">
        <v>0</v>
      </c>
      <c r="AI3294" t="s">
        <v>1089</v>
      </c>
      <c r="AJ3294">
        <v>34.092958000000003</v>
      </c>
      <c r="AK3294" t="s">
        <v>1090</v>
      </c>
      <c r="AL3294">
        <v>-117.039135</v>
      </c>
      <c r="AM3294">
        <v>100</v>
      </c>
      <c r="AN3294">
        <v>5600</v>
      </c>
      <c r="AO3294" t="s">
        <v>118</v>
      </c>
      <c r="AP3294">
        <v>73</v>
      </c>
      <c r="AQ3294">
        <v>-80</v>
      </c>
      <c r="AR3294">
        <v>-384</v>
      </c>
      <c r="AZ3294">
        <v>1200</v>
      </c>
      <c r="BA3294">
        <v>1</v>
      </c>
      <c r="BB3294" t="str">
        <f t="shared" si="1817"/>
        <v xml:space="preserve">N9217B  </v>
      </c>
      <c r="BC3294">
        <v>1</v>
      </c>
      <c r="BE3294">
        <v>0</v>
      </c>
      <c r="BF3294">
        <v>0</v>
      </c>
      <c r="BG3294">
        <v>0</v>
      </c>
      <c r="BH3294">
        <v>5475</v>
      </c>
      <c r="BI3294">
        <v>1</v>
      </c>
      <c r="BJ3294">
        <v>0</v>
      </c>
      <c r="BK3294">
        <v>0</v>
      </c>
      <c r="BL3294">
        <v>0</v>
      </c>
      <c r="BO3294">
        <v>0</v>
      </c>
      <c r="BP3294">
        <v>0</v>
      </c>
      <c r="BW3294" t="str">
        <f t="shared" si="1832"/>
        <v>14:57:06.200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285</v>
      </c>
      <c r="CR3294">
        <v>0</v>
      </c>
      <c r="CW3294">
        <v>8877312</v>
      </c>
      <c r="CY3294">
        <v>0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25">
      <c r="A3295" t="str">
        <f t="shared" si="1829"/>
        <v>06/05/2020 14:57:00.537</v>
      </c>
      <c r="C3295" t="str">
        <f t="shared" si="1797"/>
        <v>FFDFD3C0</v>
      </c>
      <c r="D3295" t="s">
        <v>148</v>
      </c>
      <c r="E3295">
        <v>11</v>
      </c>
      <c r="H3295">
        <v>53</v>
      </c>
      <c r="I3295" t="s">
        <v>364</v>
      </c>
      <c r="J3295" t="s">
        <v>150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830"/>
        <v>14:57:06.195</v>
      </c>
      <c r="T3295" t="str">
        <f t="shared" si="1831"/>
        <v>14:57:06.095</v>
      </c>
      <c r="U3295" t="str">
        <f t="shared" si="1816"/>
        <v>ACC530</v>
      </c>
      <c r="V3295">
        <v>0</v>
      </c>
      <c r="W3295">
        <v>0</v>
      </c>
      <c r="X3295">
        <v>1</v>
      </c>
      <c r="Z3295">
        <v>0</v>
      </c>
      <c r="AA3295">
        <v>9</v>
      </c>
      <c r="AB3295">
        <v>3</v>
      </c>
      <c r="AC3295">
        <v>0</v>
      </c>
      <c r="AD3295">
        <v>9</v>
      </c>
      <c r="AE3295">
        <v>0</v>
      </c>
      <c r="AF3295">
        <v>3</v>
      </c>
      <c r="AG3295">
        <v>1</v>
      </c>
      <c r="AH3295">
        <v>0</v>
      </c>
      <c r="AI3295" t="s">
        <v>1089</v>
      </c>
      <c r="AJ3295">
        <v>34.092958000000003</v>
      </c>
      <c r="AK3295" t="s">
        <v>1090</v>
      </c>
      <c r="AL3295">
        <v>-117.039135</v>
      </c>
      <c r="AM3295">
        <v>100</v>
      </c>
      <c r="AN3295">
        <v>5600</v>
      </c>
      <c r="AO3295" t="s">
        <v>118</v>
      </c>
      <c r="AP3295">
        <v>73</v>
      </c>
      <c r="AQ3295">
        <v>-80</v>
      </c>
      <c r="AR3295">
        <v>-384</v>
      </c>
      <c r="AZ3295">
        <v>1200</v>
      </c>
      <c r="BA3295">
        <v>1</v>
      </c>
      <c r="BB3295" t="str">
        <f t="shared" si="1817"/>
        <v xml:space="preserve">N9217B  </v>
      </c>
      <c r="BC3295">
        <v>1</v>
      </c>
      <c r="BE3295">
        <v>0</v>
      </c>
      <c r="BF3295">
        <v>0</v>
      </c>
      <c r="BG3295">
        <v>0</v>
      </c>
      <c r="BH3295">
        <v>5475</v>
      </c>
      <c r="BI3295">
        <v>1</v>
      </c>
      <c r="BJ3295">
        <v>0</v>
      </c>
      <c r="BK3295">
        <v>0</v>
      </c>
      <c r="BL3295">
        <v>0</v>
      </c>
      <c r="BO3295">
        <v>0</v>
      </c>
      <c r="BP3295">
        <v>0</v>
      </c>
      <c r="BW3295" t="str">
        <f t="shared" si="1832"/>
        <v>14:57:06.200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285</v>
      </c>
      <c r="CR3295">
        <v>0</v>
      </c>
      <c r="CW3295">
        <v>8877312</v>
      </c>
      <c r="CY3295">
        <v>0</v>
      </c>
      <c r="CZ3295">
        <v>0</v>
      </c>
      <c r="DA3295">
        <v>1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25">
      <c r="A3296" t="str">
        <f t="shared" si="1829"/>
        <v>06/05/2020 14:57:00.537</v>
      </c>
      <c r="C3296" t="str">
        <f t="shared" si="1797"/>
        <v>FFDFD3C0</v>
      </c>
      <c r="D3296" t="s">
        <v>148</v>
      </c>
      <c r="E3296">
        <v>8</v>
      </c>
      <c r="H3296">
        <v>50</v>
      </c>
      <c r="I3296" t="s">
        <v>149</v>
      </c>
      <c r="J3296" t="s">
        <v>150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830"/>
        <v>14:57:06.195</v>
      </c>
      <c r="T3296" t="str">
        <f t="shared" si="1831"/>
        <v>14:57:06.095</v>
      </c>
      <c r="U3296" t="str">
        <f t="shared" si="1816"/>
        <v>ACC530</v>
      </c>
      <c r="V3296">
        <v>0</v>
      </c>
      <c r="W3296">
        <v>0</v>
      </c>
      <c r="X3296">
        <v>1</v>
      </c>
      <c r="Z3296">
        <v>0</v>
      </c>
      <c r="AA3296">
        <v>9</v>
      </c>
      <c r="AB3296">
        <v>3</v>
      </c>
      <c r="AC3296">
        <v>0</v>
      </c>
      <c r="AD3296">
        <v>9</v>
      </c>
      <c r="AE3296">
        <v>0</v>
      </c>
      <c r="AF3296">
        <v>3</v>
      </c>
      <c r="AG3296">
        <v>1</v>
      </c>
      <c r="AH3296">
        <v>0</v>
      </c>
      <c r="AI3296" t="s">
        <v>1089</v>
      </c>
      <c r="AJ3296">
        <v>34.092958000000003</v>
      </c>
      <c r="AK3296" t="s">
        <v>1090</v>
      </c>
      <c r="AL3296">
        <v>-117.039135</v>
      </c>
      <c r="AM3296">
        <v>100</v>
      </c>
      <c r="AN3296">
        <v>5600</v>
      </c>
      <c r="AO3296" t="s">
        <v>118</v>
      </c>
      <c r="AP3296">
        <v>73</v>
      </c>
      <c r="AQ3296">
        <v>-80</v>
      </c>
      <c r="AR3296">
        <v>-384</v>
      </c>
      <c r="AZ3296">
        <v>1200</v>
      </c>
      <c r="BA3296">
        <v>1</v>
      </c>
      <c r="BB3296" t="str">
        <f t="shared" si="1817"/>
        <v xml:space="preserve">N9217B  </v>
      </c>
      <c r="BC3296">
        <v>1</v>
      </c>
      <c r="BE3296">
        <v>0</v>
      </c>
      <c r="BF3296">
        <v>0</v>
      </c>
      <c r="BG3296">
        <v>0</v>
      </c>
      <c r="BH3296">
        <v>5475</v>
      </c>
      <c r="BI3296">
        <v>1</v>
      </c>
      <c r="BJ3296">
        <v>0</v>
      </c>
      <c r="BK3296">
        <v>0</v>
      </c>
      <c r="BL3296">
        <v>0</v>
      </c>
      <c r="BO3296">
        <v>0</v>
      </c>
      <c r="BP3296">
        <v>0</v>
      </c>
      <c r="BW3296" t="str">
        <f t="shared" si="1832"/>
        <v>14:57:06.200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285</v>
      </c>
      <c r="CR3296">
        <v>0</v>
      </c>
      <c r="CW3296">
        <v>8877312</v>
      </c>
      <c r="CY3296">
        <v>0</v>
      </c>
      <c r="CZ3296">
        <v>0</v>
      </c>
      <c r="DA3296">
        <v>1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25">
      <c r="A3297" t="str">
        <f t="shared" si="1829"/>
        <v>06/05/2020 14:57:00.537</v>
      </c>
      <c r="C3297" t="str">
        <f t="shared" si="1797"/>
        <v>FFDFD3C0</v>
      </c>
      <c r="D3297" t="s">
        <v>113</v>
      </c>
      <c r="E3297">
        <v>3</v>
      </c>
      <c r="H3297">
        <v>166</v>
      </c>
      <c r="I3297" t="s">
        <v>114</v>
      </c>
      <c r="J3297" t="s">
        <v>115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830"/>
        <v>14:57:06.195</v>
      </c>
      <c r="T3297" t="str">
        <f t="shared" si="1831"/>
        <v>14:57:06.095</v>
      </c>
      <c r="U3297" t="str">
        <f t="shared" si="1816"/>
        <v>ACC530</v>
      </c>
      <c r="V3297">
        <v>0</v>
      </c>
      <c r="W3297">
        <v>0</v>
      </c>
      <c r="X3297">
        <v>1</v>
      </c>
      <c r="Z3297">
        <v>0</v>
      </c>
      <c r="AA3297">
        <v>9</v>
      </c>
      <c r="AB3297">
        <v>3</v>
      </c>
      <c r="AC3297">
        <v>0</v>
      </c>
      <c r="AD3297">
        <v>9</v>
      </c>
      <c r="AE3297">
        <v>0</v>
      </c>
      <c r="AF3297">
        <v>3</v>
      </c>
      <c r="AG3297">
        <v>1</v>
      </c>
      <c r="AH3297">
        <v>0</v>
      </c>
      <c r="AI3297" t="s">
        <v>1089</v>
      </c>
      <c r="AJ3297">
        <v>34.092958000000003</v>
      </c>
      <c r="AK3297" t="s">
        <v>1090</v>
      </c>
      <c r="AL3297">
        <v>-117.039135</v>
      </c>
      <c r="AM3297">
        <v>100</v>
      </c>
      <c r="AN3297">
        <v>5600</v>
      </c>
      <c r="AO3297" t="s">
        <v>118</v>
      </c>
      <c r="AP3297">
        <v>73</v>
      </c>
      <c r="AQ3297">
        <v>-80</v>
      </c>
      <c r="AR3297">
        <v>-384</v>
      </c>
      <c r="AZ3297">
        <v>1200</v>
      </c>
      <c r="BA3297">
        <v>1</v>
      </c>
      <c r="BB3297" t="str">
        <f t="shared" si="1817"/>
        <v xml:space="preserve">N9217B  </v>
      </c>
      <c r="BC3297">
        <v>1</v>
      </c>
      <c r="BE3297">
        <v>0</v>
      </c>
      <c r="BF3297">
        <v>0</v>
      </c>
      <c r="BG3297">
        <v>0</v>
      </c>
      <c r="BH3297">
        <v>5475</v>
      </c>
      <c r="BI3297">
        <v>1</v>
      </c>
      <c r="BJ3297">
        <v>0</v>
      </c>
      <c r="BK3297">
        <v>0</v>
      </c>
      <c r="BL3297">
        <v>0</v>
      </c>
      <c r="BO3297">
        <v>0</v>
      </c>
      <c r="BP3297">
        <v>0</v>
      </c>
      <c r="BW3297" t="str">
        <f t="shared" si="1832"/>
        <v>14:57:06.200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285</v>
      </c>
      <c r="CR3297">
        <v>0</v>
      </c>
      <c r="CW3297">
        <v>8877312</v>
      </c>
      <c r="CY3297">
        <v>0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25">
      <c r="A3298" t="str">
        <f t="shared" ref="A3298:A3304" si="1833">"06/05/2020 14:57:01.598"</f>
        <v>06/05/2020 14:57:01.598</v>
      </c>
      <c r="C3298" t="str">
        <f t="shared" si="1797"/>
        <v>FFDFD3C0</v>
      </c>
      <c r="D3298" t="s">
        <v>148</v>
      </c>
      <c r="E3298">
        <v>8</v>
      </c>
      <c r="H3298">
        <v>50</v>
      </c>
      <c r="I3298" t="s">
        <v>149</v>
      </c>
      <c r="J3298" t="s">
        <v>150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ref="S3298:T3304" si="1834">"14:57:07.234"</f>
        <v>14:57:07.234</v>
      </c>
      <c r="T3298" t="str">
        <f t="shared" si="1834"/>
        <v>14:57:07.234</v>
      </c>
      <c r="U3298" t="str">
        <f t="shared" si="1816"/>
        <v>ACC530</v>
      </c>
      <c r="V3298">
        <v>0</v>
      </c>
      <c r="W3298">
        <v>0</v>
      </c>
      <c r="X3298">
        <v>1</v>
      </c>
      <c r="Z3298">
        <v>0</v>
      </c>
      <c r="AA3298">
        <v>9</v>
      </c>
      <c r="AB3298">
        <v>3</v>
      </c>
      <c r="AC3298">
        <v>0</v>
      </c>
      <c r="AD3298">
        <v>9</v>
      </c>
      <c r="AE3298">
        <v>0</v>
      </c>
      <c r="AF3298">
        <v>3</v>
      </c>
      <c r="AG3298">
        <v>1</v>
      </c>
      <c r="AH3298">
        <v>0</v>
      </c>
      <c r="AI3298" t="s">
        <v>1091</v>
      </c>
      <c r="AJ3298">
        <v>34.092593000000001</v>
      </c>
      <c r="AK3298" t="s">
        <v>1092</v>
      </c>
      <c r="AL3298">
        <v>-117.03870499999999</v>
      </c>
      <c r="AM3298">
        <v>100</v>
      </c>
      <c r="AN3298">
        <v>5600</v>
      </c>
      <c r="AO3298" t="s">
        <v>118</v>
      </c>
      <c r="AP3298">
        <v>73</v>
      </c>
      <c r="AQ3298">
        <v>-79</v>
      </c>
      <c r="AR3298">
        <v>-384</v>
      </c>
      <c r="AZ3298">
        <v>1200</v>
      </c>
      <c r="BA3298">
        <v>1</v>
      </c>
      <c r="BB3298" t="str">
        <f t="shared" si="1817"/>
        <v xml:space="preserve">N9217B  </v>
      </c>
      <c r="BC3298">
        <v>1</v>
      </c>
      <c r="BE3298">
        <v>0</v>
      </c>
      <c r="BF3298">
        <v>0</v>
      </c>
      <c r="BG3298">
        <v>0</v>
      </c>
      <c r="BH3298">
        <v>5475</v>
      </c>
      <c r="BI3298">
        <v>1</v>
      </c>
      <c r="BJ3298">
        <v>0</v>
      </c>
      <c r="BK3298">
        <v>0</v>
      </c>
      <c r="BL3298">
        <v>0</v>
      </c>
      <c r="BO3298">
        <v>0</v>
      </c>
      <c r="BP3298">
        <v>0</v>
      </c>
      <c r="BW3298" t="str">
        <f t="shared" ref="BW3298:BW3304" si="1835">"14:57:07.235"</f>
        <v>14:57:07.235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285</v>
      </c>
      <c r="CR3298">
        <v>0</v>
      </c>
      <c r="CW3298">
        <v>8877399</v>
      </c>
      <c r="CY3298">
        <v>0</v>
      </c>
      <c r="CZ3298">
        <v>0</v>
      </c>
      <c r="DA3298">
        <v>0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25">
      <c r="A3299" t="str">
        <f t="shared" si="1833"/>
        <v>06/05/2020 14:57:01.598</v>
      </c>
      <c r="C3299" t="str">
        <f t="shared" ref="C3299:C3362" si="1836">"FFDFD3C0"</f>
        <v>FFDFD3C0</v>
      </c>
      <c r="D3299" t="s">
        <v>113</v>
      </c>
      <c r="E3299">
        <v>3</v>
      </c>
      <c r="H3299">
        <v>166</v>
      </c>
      <c r="I3299" t="s">
        <v>114</v>
      </c>
      <c r="J3299" t="s">
        <v>115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si="1834"/>
        <v>14:57:07.234</v>
      </c>
      <c r="T3299" t="str">
        <f t="shared" si="1834"/>
        <v>14:57:07.234</v>
      </c>
      <c r="U3299" t="str">
        <f t="shared" si="1816"/>
        <v>ACC530</v>
      </c>
      <c r="V3299">
        <v>0</v>
      </c>
      <c r="W3299">
        <v>0</v>
      </c>
      <c r="X3299">
        <v>1</v>
      </c>
      <c r="Z3299">
        <v>0</v>
      </c>
      <c r="AA3299">
        <v>9</v>
      </c>
      <c r="AB3299">
        <v>3</v>
      </c>
      <c r="AC3299">
        <v>0</v>
      </c>
      <c r="AD3299">
        <v>9</v>
      </c>
      <c r="AE3299">
        <v>0</v>
      </c>
      <c r="AF3299">
        <v>3</v>
      </c>
      <c r="AG3299">
        <v>1</v>
      </c>
      <c r="AH3299">
        <v>0</v>
      </c>
      <c r="AI3299" t="s">
        <v>1091</v>
      </c>
      <c r="AJ3299">
        <v>34.092593000000001</v>
      </c>
      <c r="AK3299" t="s">
        <v>1092</v>
      </c>
      <c r="AL3299">
        <v>-117.03870499999999</v>
      </c>
      <c r="AM3299">
        <v>100</v>
      </c>
      <c r="AN3299">
        <v>5600</v>
      </c>
      <c r="AO3299" t="s">
        <v>118</v>
      </c>
      <c r="AP3299">
        <v>73</v>
      </c>
      <c r="AQ3299">
        <v>-79</v>
      </c>
      <c r="AR3299">
        <v>-384</v>
      </c>
      <c r="AZ3299">
        <v>1200</v>
      </c>
      <c r="BA3299">
        <v>1</v>
      </c>
      <c r="BB3299" t="str">
        <f t="shared" si="1817"/>
        <v xml:space="preserve">N9217B  </v>
      </c>
      <c r="BC3299">
        <v>1</v>
      </c>
      <c r="BE3299">
        <v>0</v>
      </c>
      <c r="BF3299">
        <v>0</v>
      </c>
      <c r="BG3299">
        <v>0</v>
      </c>
      <c r="BH3299">
        <v>5475</v>
      </c>
      <c r="BI3299">
        <v>1</v>
      </c>
      <c r="BJ3299">
        <v>0</v>
      </c>
      <c r="BK3299">
        <v>0</v>
      </c>
      <c r="BL3299">
        <v>0</v>
      </c>
      <c r="BO3299">
        <v>0</v>
      </c>
      <c r="BP3299">
        <v>0</v>
      </c>
      <c r="BW3299" t="str">
        <f t="shared" si="1835"/>
        <v>14:57:07.235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285</v>
      </c>
      <c r="CR3299">
        <v>0</v>
      </c>
      <c r="CW3299">
        <v>8877399</v>
      </c>
      <c r="CY3299">
        <v>0</v>
      </c>
      <c r="CZ3299">
        <v>0</v>
      </c>
      <c r="DA3299">
        <v>1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25">
      <c r="A3300" t="str">
        <f t="shared" si="1833"/>
        <v>06/05/2020 14:57:01.598</v>
      </c>
      <c r="C3300" t="str">
        <f t="shared" si="1836"/>
        <v>FFDFD3C0</v>
      </c>
      <c r="D3300" t="s">
        <v>151</v>
      </c>
      <c r="E3300">
        <v>8</v>
      </c>
      <c r="H3300">
        <v>225</v>
      </c>
      <c r="I3300" t="s">
        <v>353</v>
      </c>
      <c r="J3300" t="s">
        <v>150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834"/>
        <v>14:57:07.234</v>
      </c>
      <c r="T3300" t="str">
        <f t="shared" si="1834"/>
        <v>14:57:07.234</v>
      </c>
      <c r="U3300" t="str">
        <f t="shared" si="1816"/>
        <v>ACC530</v>
      </c>
      <c r="V3300">
        <v>0</v>
      </c>
      <c r="W3300">
        <v>0</v>
      </c>
      <c r="X3300">
        <v>1</v>
      </c>
      <c r="Z3300">
        <v>0</v>
      </c>
      <c r="AA3300">
        <v>9</v>
      </c>
      <c r="AB3300">
        <v>3</v>
      </c>
      <c r="AC3300">
        <v>0</v>
      </c>
      <c r="AD3300">
        <v>9</v>
      </c>
      <c r="AE3300">
        <v>0</v>
      </c>
      <c r="AF3300">
        <v>3</v>
      </c>
      <c r="AG3300">
        <v>1</v>
      </c>
      <c r="AH3300">
        <v>0</v>
      </c>
      <c r="AI3300" t="s">
        <v>1091</v>
      </c>
      <c r="AJ3300">
        <v>34.092593000000001</v>
      </c>
      <c r="AK3300" t="s">
        <v>1092</v>
      </c>
      <c r="AL3300">
        <v>-117.03870499999999</v>
      </c>
      <c r="AM3300">
        <v>100</v>
      </c>
      <c r="AN3300">
        <v>5600</v>
      </c>
      <c r="AO3300" t="s">
        <v>118</v>
      </c>
      <c r="AP3300">
        <v>73</v>
      </c>
      <c r="AQ3300">
        <v>-79</v>
      </c>
      <c r="AR3300">
        <v>-384</v>
      </c>
      <c r="AZ3300">
        <v>1200</v>
      </c>
      <c r="BA3300">
        <v>1</v>
      </c>
      <c r="BB3300" t="str">
        <f t="shared" si="1817"/>
        <v xml:space="preserve">N9217B  </v>
      </c>
      <c r="BC3300">
        <v>1</v>
      </c>
      <c r="BE3300">
        <v>0</v>
      </c>
      <c r="BF3300">
        <v>0</v>
      </c>
      <c r="BG3300">
        <v>0</v>
      </c>
      <c r="BH3300">
        <v>5475</v>
      </c>
      <c r="BI3300">
        <v>1</v>
      </c>
      <c r="BJ3300">
        <v>0</v>
      </c>
      <c r="BK3300">
        <v>0</v>
      </c>
      <c r="BL3300">
        <v>0</v>
      </c>
      <c r="BO3300">
        <v>0</v>
      </c>
      <c r="BP3300">
        <v>0</v>
      </c>
      <c r="BW3300" t="str">
        <f t="shared" si="1835"/>
        <v>14:57:07.235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7</v>
      </c>
      <c r="CP3300" t="s">
        <v>119</v>
      </c>
      <c r="CQ3300">
        <v>285</v>
      </c>
      <c r="CR3300">
        <v>0</v>
      </c>
      <c r="CW3300">
        <v>8877399</v>
      </c>
      <c r="CY3300">
        <v>0</v>
      </c>
      <c r="CZ3300">
        <v>0</v>
      </c>
      <c r="DA3300">
        <v>1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25">
      <c r="A3301" t="str">
        <f t="shared" si="1833"/>
        <v>06/05/2020 14:57:01.598</v>
      </c>
      <c r="C3301" t="str">
        <f t="shared" si="1836"/>
        <v>FFDFD3C0</v>
      </c>
      <c r="D3301" t="s">
        <v>151</v>
      </c>
      <c r="E3301">
        <v>9</v>
      </c>
      <c r="H3301">
        <v>226</v>
      </c>
      <c r="I3301" t="s">
        <v>152</v>
      </c>
      <c r="J3301" t="s">
        <v>150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834"/>
        <v>14:57:07.234</v>
      </c>
      <c r="T3301" t="str">
        <f t="shared" si="1834"/>
        <v>14:57:07.234</v>
      </c>
      <c r="U3301" t="str">
        <f t="shared" si="1816"/>
        <v>ACC530</v>
      </c>
      <c r="V3301">
        <v>0</v>
      </c>
      <c r="W3301">
        <v>0</v>
      </c>
      <c r="X3301">
        <v>1</v>
      </c>
      <c r="Z3301">
        <v>0</v>
      </c>
      <c r="AA3301">
        <v>9</v>
      </c>
      <c r="AB3301">
        <v>3</v>
      </c>
      <c r="AC3301">
        <v>0</v>
      </c>
      <c r="AD3301">
        <v>9</v>
      </c>
      <c r="AE3301">
        <v>0</v>
      </c>
      <c r="AF3301">
        <v>3</v>
      </c>
      <c r="AG3301">
        <v>1</v>
      </c>
      <c r="AH3301">
        <v>0</v>
      </c>
      <c r="AI3301" t="s">
        <v>1091</v>
      </c>
      <c r="AJ3301">
        <v>34.092593000000001</v>
      </c>
      <c r="AK3301" t="s">
        <v>1092</v>
      </c>
      <c r="AL3301">
        <v>-117.03870499999999</v>
      </c>
      <c r="AM3301">
        <v>100</v>
      </c>
      <c r="AN3301">
        <v>5600</v>
      </c>
      <c r="AO3301" t="s">
        <v>118</v>
      </c>
      <c r="AP3301">
        <v>73</v>
      </c>
      <c r="AQ3301">
        <v>-79</v>
      </c>
      <c r="AR3301">
        <v>-384</v>
      </c>
      <c r="AZ3301">
        <v>1200</v>
      </c>
      <c r="BA3301">
        <v>1</v>
      </c>
      <c r="BB3301" t="str">
        <f t="shared" si="1817"/>
        <v xml:space="preserve">N9217B  </v>
      </c>
      <c r="BC3301">
        <v>1</v>
      </c>
      <c r="BE3301">
        <v>0</v>
      </c>
      <c r="BF3301">
        <v>0</v>
      </c>
      <c r="BG3301">
        <v>0</v>
      </c>
      <c r="BH3301">
        <v>5475</v>
      </c>
      <c r="BI3301">
        <v>1</v>
      </c>
      <c r="BJ3301">
        <v>0</v>
      </c>
      <c r="BK3301">
        <v>0</v>
      </c>
      <c r="BL3301">
        <v>0</v>
      </c>
      <c r="BO3301">
        <v>0</v>
      </c>
      <c r="BP3301">
        <v>0</v>
      </c>
      <c r="BW3301" t="str">
        <f t="shared" si="1835"/>
        <v>14:57:07.235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7</v>
      </c>
      <c r="CP3301" t="s">
        <v>119</v>
      </c>
      <c r="CQ3301">
        <v>285</v>
      </c>
      <c r="CR3301">
        <v>0</v>
      </c>
      <c r="CW3301">
        <v>8877399</v>
      </c>
      <c r="CY3301">
        <v>0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25">
      <c r="A3302" t="str">
        <f t="shared" si="1833"/>
        <v>06/05/2020 14:57:01.598</v>
      </c>
      <c r="C3302" t="str">
        <f t="shared" si="1836"/>
        <v>FFDFD3C0</v>
      </c>
      <c r="D3302" t="s">
        <v>134</v>
      </c>
      <c r="E3302">
        <v>7</v>
      </c>
      <c r="F3302">
        <v>2007</v>
      </c>
      <c r="G3302" t="s">
        <v>135</v>
      </c>
      <c r="J3302" t="s">
        <v>136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834"/>
        <v>14:57:07.234</v>
      </c>
      <c r="T3302" t="str">
        <f t="shared" si="1834"/>
        <v>14:57:07.234</v>
      </c>
      <c r="U3302" t="str">
        <f t="shared" si="1816"/>
        <v>ACC530</v>
      </c>
      <c r="V3302">
        <v>0</v>
      </c>
      <c r="W3302">
        <v>0</v>
      </c>
      <c r="X3302">
        <v>1</v>
      </c>
      <c r="Z3302">
        <v>0</v>
      </c>
      <c r="AA3302">
        <v>9</v>
      </c>
      <c r="AB3302">
        <v>3</v>
      </c>
      <c r="AC3302">
        <v>0</v>
      </c>
      <c r="AD3302">
        <v>9</v>
      </c>
      <c r="AE3302">
        <v>0</v>
      </c>
      <c r="AF3302">
        <v>3</v>
      </c>
      <c r="AG3302">
        <v>1</v>
      </c>
      <c r="AH3302">
        <v>0</v>
      </c>
      <c r="AI3302" t="s">
        <v>1091</v>
      </c>
      <c r="AJ3302">
        <v>34.092593000000001</v>
      </c>
      <c r="AK3302" t="s">
        <v>1092</v>
      </c>
      <c r="AL3302">
        <v>-117.03870499999999</v>
      </c>
      <c r="AM3302">
        <v>100</v>
      </c>
      <c r="AN3302">
        <v>5600</v>
      </c>
      <c r="AO3302" t="s">
        <v>118</v>
      </c>
      <c r="AP3302">
        <v>73</v>
      </c>
      <c r="AQ3302">
        <v>-79</v>
      </c>
      <c r="AR3302">
        <v>-384</v>
      </c>
      <c r="AZ3302">
        <v>1200</v>
      </c>
      <c r="BA3302">
        <v>1</v>
      </c>
      <c r="BB3302" t="str">
        <f t="shared" si="1817"/>
        <v xml:space="preserve">N9217B  </v>
      </c>
      <c r="BC3302">
        <v>1</v>
      </c>
      <c r="BE3302">
        <v>0</v>
      </c>
      <c r="BF3302">
        <v>0</v>
      </c>
      <c r="BG3302">
        <v>0</v>
      </c>
      <c r="BH3302">
        <v>5475</v>
      </c>
      <c r="BI3302">
        <v>1</v>
      </c>
      <c r="BJ3302">
        <v>0</v>
      </c>
      <c r="BK3302">
        <v>0</v>
      </c>
      <c r="BL3302">
        <v>0</v>
      </c>
      <c r="BO3302">
        <v>0</v>
      </c>
      <c r="BP3302">
        <v>0</v>
      </c>
      <c r="BW3302" t="str">
        <f t="shared" si="1835"/>
        <v>14:57:07.235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7</v>
      </c>
      <c r="CP3302" t="s">
        <v>119</v>
      </c>
      <c r="CQ3302">
        <v>285</v>
      </c>
      <c r="CR3302">
        <v>0</v>
      </c>
      <c r="CW3302">
        <v>8877399</v>
      </c>
      <c r="CY3302">
        <v>0</v>
      </c>
      <c r="CZ3302">
        <v>0</v>
      </c>
      <c r="DA3302">
        <v>1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25">
      <c r="A3303" t="str">
        <f t="shared" si="1833"/>
        <v>06/05/2020 14:57:01.598</v>
      </c>
      <c r="C3303" t="str">
        <f t="shared" si="1836"/>
        <v>FFDFD3C0</v>
      </c>
      <c r="D3303" t="s">
        <v>141</v>
      </c>
      <c r="E3303">
        <v>20</v>
      </c>
      <c r="F3303">
        <v>1020</v>
      </c>
      <c r="G3303" t="s">
        <v>114</v>
      </c>
      <c r="J3303" t="s">
        <v>142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834"/>
        <v>14:57:07.234</v>
      </c>
      <c r="T3303" t="str">
        <f t="shared" si="1834"/>
        <v>14:57:07.234</v>
      </c>
      <c r="U3303" t="str">
        <f t="shared" si="1816"/>
        <v>ACC530</v>
      </c>
      <c r="V3303">
        <v>0</v>
      </c>
      <c r="W3303">
        <v>0</v>
      </c>
      <c r="X3303">
        <v>1</v>
      </c>
      <c r="Z3303">
        <v>0</v>
      </c>
      <c r="AA3303">
        <v>9</v>
      </c>
      <c r="AB3303">
        <v>3</v>
      </c>
      <c r="AC3303">
        <v>0</v>
      </c>
      <c r="AD3303">
        <v>9</v>
      </c>
      <c r="AE3303">
        <v>0</v>
      </c>
      <c r="AF3303">
        <v>3</v>
      </c>
      <c r="AG3303">
        <v>1</v>
      </c>
      <c r="AH3303">
        <v>0</v>
      </c>
      <c r="AI3303" t="s">
        <v>1091</v>
      </c>
      <c r="AJ3303">
        <v>34.092593000000001</v>
      </c>
      <c r="AK3303" t="s">
        <v>1092</v>
      </c>
      <c r="AL3303">
        <v>-117.03870499999999</v>
      </c>
      <c r="AM3303">
        <v>100</v>
      </c>
      <c r="AN3303">
        <v>5600</v>
      </c>
      <c r="AO3303" t="s">
        <v>118</v>
      </c>
      <c r="AP3303">
        <v>73</v>
      </c>
      <c r="AQ3303">
        <v>-79</v>
      </c>
      <c r="AR3303">
        <v>-384</v>
      </c>
      <c r="AZ3303">
        <v>1200</v>
      </c>
      <c r="BA3303">
        <v>1</v>
      </c>
      <c r="BB3303" t="str">
        <f t="shared" si="1817"/>
        <v xml:space="preserve">N9217B  </v>
      </c>
      <c r="BC3303">
        <v>1</v>
      </c>
      <c r="BE3303">
        <v>0</v>
      </c>
      <c r="BF3303">
        <v>0</v>
      </c>
      <c r="BG3303">
        <v>0</v>
      </c>
      <c r="BH3303">
        <v>5475</v>
      </c>
      <c r="BI3303">
        <v>1</v>
      </c>
      <c r="BJ3303">
        <v>0</v>
      </c>
      <c r="BK3303">
        <v>0</v>
      </c>
      <c r="BL3303">
        <v>0</v>
      </c>
      <c r="BO3303">
        <v>0</v>
      </c>
      <c r="BP3303">
        <v>0</v>
      </c>
      <c r="BW3303" t="str">
        <f t="shared" si="1835"/>
        <v>14:57:07.235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7</v>
      </c>
      <c r="CP3303" t="s">
        <v>119</v>
      </c>
      <c r="CQ3303">
        <v>285</v>
      </c>
      <c r="CR3303">
        <v>0</v>
      </c>
      <c r="CW3303">
        <v>8877399</v>
      </c>
      <c r="CY3303">
        <v>0</v>
      </c>
      <c r="CZ3303">
        <v>0</v>
      </c>
      <c r="DA3303">
        <v>1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25">
      <c r="A3304" t="str">
        <f t="shared" si="1833"/>
        <v>06/05/2020 14:57:01.598</v>
      </c>
      <c r="C3304" t="str">
        <f t="shared" si="1836"/>
        <v>FFDFD3C0</v>
      </c>
      <c r="D3304" t="s">
        <v>148</v>
      </c>
      <c r="E3304">
        <v>11</v>
      </c>
      <c r="H3304">
        <v>53</v>
      </c>
      <c r="I3304" t="s">
        <v>364</v>
      </c>
      <c r="J3304" t="s">
        <v>150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si="1834"/>
        <v>14:57:07.234</v>
      </c>
      <c r="T3304" t="str">
        <f t="shared" si="1834"/>
        <v>14:57:07.234</v>
      </c>
      <c r="U3304" t="str">
        <f t="shared" si="1816"/>
        <v>ACC530</v>
      </c>
      <c r="V3304">
        <v>0</v>
      </c>
      <c r="W3304">
        <v>0</v>
      </c>
      <c r="X3304">
        <v>1</v>
      </c>
      <c r="Z3304">
        <v>0</v>
      </c>
      <c r="AA3304">
        <v>9</v>
      </c>
      <c r="AB3304">
        <v>3</v>
      </c>
      <c r="AC3304">
        <v>0</v>
      </c>
      <c r="AD3304">
        <v>9</v>
      </c>
      <c r="AE3304">
        <v>0</v>
      </c>
      <c r="AF3304">
        <v>3</v>
      </c>
      <c r="AG3304">
        <v>1</v>
      </c>
      <c r="AH3304">
        <v>0</v>
      </c>
      <c r="AI3304" t="s">
        <v>1091</v>
      </c>
      <c r="AJ3304">
        <v>34.092593000000001</v>
      </c>
      <c r="AK3304" t="s">
        <v>1092</v>
      </c>
      <c r="AL3304">
        <v>-117.03870499999999</v>
      </c>
      <c r="AM3304">
        <v>100</v>
      </c>
      <c r="AN3304">
        <v>5600</v>
      </c>
      <c r="AO3304" t="s">
        <v>118</v>
      </c>
      <c r="AP3304">
        <v>73</v>
      </c>
      <c r="AQ3304">
        <v>-79</v>
      </c>
      <c r="AR3304">
        <v>-384</v>
      </c>
      <c r="AZ3304">
        <v>1200</v>
      </c>
      <c r="BA3304">
        <v>1</v>
      </c>
      <c r="BB3304" t="str">
        <f t="shared" si="1817"/>
        <v xml:space="preserve">N9217B  </v>
      </c>
      <c r="BC3304">
        <v>1</v>
      </c>
      <c r="BE3304">
        <v>0</v>
      </c>
      <c r="BF3304">
        <v>0</v>
      </c>
      <c r="BG3304">
        <v>0</v>
      </c>
      <c r="BH3304">
        <v>5475</v>
      </c>
      <c r="BI3304">
        <v>1</v>
      </c>
      <c r="BJ3304">
        <v>0</v>
      </c>
      <c r="BK3304">
        <v>0</v>
      </c>
      <c r="BL3304">
        <v>0</v>
      </c>
      <c r="BO3304">
        <v>0</v>
      </c>
      <c r="BP3304">
        <v>0</v>
      </c>
      <c r="BW3304" t="str">
        <f t="shared" si="1835"/>
        <v>14:57:07.235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7</v>
      </c>
      <c r="CP3304" t="s">
        <v>119</v>
      </c>
      <c r="CQ3304">
        <v>285</v>
      </c>
      <c r="CR3304">
        <v>0</v>
      </c>
      <c r="CW3304">
        <v>8877399</v>
      </c>
      <c r="CY3304">
        <v>0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25">
      <c r="A3305" t="str">
        <f t="shared" ref="A3305:A3311" si="1837">"06/05/2020 14:57:02.530"</f>
        <v>06/05/2020 14:57:02.530</v>
      </c>
      <c r="C3305" t="str">
        <f t="shared" si="1836"/>
        <v>FFDFD3C0</v>
      </c>
      <c r="D3305" t="s">
        <v>151</v>
      </c>
      <c r="E3305">
        <v>9</v>
      </c>
      <c r="H3305">
        <v>226</v>
      </c>
      <c r="I3305" t="s">
        <v>152</v>
      </c>
      <c r="J3305" t="s">
        <v>150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ref="S3305:T3311" si="1838">"14:57:08.180"</f>
        <v>14:57:08.180</v>
      </c>
      <c r="T3305" t="str">
        <f t="shared" si="1838"/>
        <v>14:57:08.180</v>
      </c>
      <c r="U3305" t="str">
        <f t="shared" si="1816"/>
        <v>ACC530</v>
      </c>
      <c r="V3305">
        <v>0</v>
      </c>
      <c r="W3305">
        <v>0</v>
      </c>
      <c r="X3305">
        <v>1</v>
      </c>
      <c r="Z3305">
        <v>0</v>
      </c>
      <c r="AA3305">
        <v>9</v>
      </c>
      <c r="AB3305">
        <v>3</v>
      </c>
      <c r="AC3305">
        <v>0</v>
      </c>
      <c r="AD3305">
        <v>9</v>
      </c>
      <c r="AE3305">
        <v>0</v>
      </c>
      <c r="AF3305">
        <v>3</v>
      </c>
      <c r="AG3305">
        <v>1</v>
      </c>
      <c r="AH3305">
        <v>0</v>
      </c>
      <c r="AI3305" t="s">
        <v>1093</v>
      </c>
      <c r="AJ3305">
        <v>34.09225</v>
      </c>
      <c r="AK3305" t="s">
        <v>1094</v>
      </c>
      <c r="AL3305">
        <v>-117.038319</v>
      </c>
      <c r="AM3305">
        <v>100</v>
      </c>
      <c r="AN3305">
        <v>5600</v>
      </c>
      <c r="AO3305" t="s">
        <v>118</v>
      </c>
      <c r="AP3305">
        <v>73</v>
      </c>
      <c r="AQ3305">
        <v>-79</v>
      </c>
      <c r="AR3305">
        <v>-384</v>
      </c>
      <c r="AZ3305">
        <v>1200</v>
      </c>
      <c r="BA3305">
        <v>1</v>
      </c>
      <c r="BB3305" t="str">
        <f t="shared" si="1817"/>
        <v xml:space="preserve">N9217B  </v>
      </c>
      <c r="BC3305">
        <v>1</v>
      </c>
      <c r="BE3305">
        <v>0</v>
      </c>
      <c r="BF3305">
        <v>0</v>
      </c>
      <c r="BG3305">
        <v>0</v>
      </c>
      <c r="BH3305">
        <v>5475</v>
      </c>
      <c r="BI3305">
        <v>1</v>
      </c>
      <c r="BJ3305">
        <v>0</v>
      </c>
      <c r="BK3305">
        <v>0</v>
      </c>
      <c r="BL3305">
        <v>0</v>
      </c>
      <c r="BO3305">
        <v>0</v>
      </c>
      <c r="BP3305">
        <v>0</v>
      </c>
      <c r="BW3305" t="str">
        <f t="shared" ref="BW3305:BW3311" si="1839">"14:57:08.180"</f>
        <v>14:57:08.180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7</v>
      </c>
      <c r="CP3305" t="s">
        <v>119</v>
      </c>
      <c r="CQ3305">
        <v>285</v>
      </c>
      <c r="CR3305">
        <v>0</v>
      </c>
      <c r="CW3305">
        <v>8877487</v>
      </c>
      <c r="CY3305">
        <v>0</v>
      </c>
      <c r="CZ3305">
        <v>0</v>
      </c>
      <c r="DA3305">
        <v>0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25">
      <c r="A3306" t="str">
        <f t="shared" si="1837"/>
        <v>06/05/2020 14:57:02.530</v>
      </c>
      <c r="C3306" t="str">
        <f t="shared" si="1836"/>
        <v>FFDFD3C0</v>
      </c>
      <c r="D3306" t="s">
        <v>134</v>
      </c>
      <c r="E3306">
        <v>7</v>
      </c>
      <c r="F3306">
        <v>2007</v>
      </c>
      <c r="G3306" t="s">
        <v>135</v>
      </c>
      <c r="J3306" t="s">
        <v>136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838"/>
        <v>14:57:08.180</v>
      </c>
      <c r="T3306" t="str">
        <f t="shared" si="1838"/>
        <v>14:57:08.180</v>
      </c>
      <c r="U3306" t="str">
        <f t="shared" si="1816"/>
        <v>ACC530</v>
      </c>
      <c r="V3306">
        <v>0</v>
      </c>
      <c r="W3306">
        <v>0</v>
      </c>
      <c r="X3306">
        <v>1</v>
      </c>
      <c r="Z3306">
        <v>0</v>
      </c>
      <c r="AA3306">
        <v>9</v>
      </c>
      <c r="AB3306">
        <v>3</v>
      </c>
      <c r="AC3306">
        <v>0</v>
      </c>
      <c r="AD3306">
        <v>9</v>
      </c>
      <c r="AE3306">
        <v>0</v>
      </c>
      <c r="AF3306">
        <v>3</v>
      </c>
      <c r="AG3306">
        <v>1</v>
      </c>
      <c r="AH3306">
        <v>0</v>
      </c>
      <c r="AI3306" t="s">
        <v>1093</v>
      </c>
      <c r="AJ3306">
        <v>34.09225</v>
      </c>
      <c r="AK3306" t="s">
        <v>1094</v>
      </c>
      <c r="AL3306">
        <v>-117.038319</v>
      </c>
      <c r="AM3306">
        <v>100</v>
      </c>
      <c r="AN3306">
        <v>5600</v>
      </c>
      <c r="AO3306" t="s">
        <v>118</v>
      </c>
      <c r="AP3306">
        <v>73</v>
      </c>
      <c r="AQ3306">
        <v>-79</v>
      </c>
      <c r="AR3306">
        <v>-384</v>
      </c>
      <c r="AZ3306">
        <v>1200</v>
      </c>
      <c r="BA3306">
        <v>1</v>
      </c>
      <c r="BB3306" t="str">
        <f t="shared" si="1817"/>
        <v xml:space="preserve">N9217B  </v>
      </c>
      <c r="BC3306">
        <v>1</v>
      </c>
      <c r="BE3306">
        <v>0</v>
      </c>
      <c r="BF3306">
        <v>0</v>
      </c>
      <c r="BG3306">
        <v>0</v>
      </c>
      <c r="BH3306">
        <v>5475</v>
      </c>
      <c r="BI3306">
        <v>1</v>
      </c>
      <c r="BJ3306">
        <v>0</v>
      </c>
      <c r="BK3306">
        <v>0</v>
      </c>
      <c r="BL3306">
        <v>0</v>
      </c>
      <c r="BO3306">
        <v>0</v>
      </c>
      <c r="BP3306">
        <v>0</v>
      </c>
      <c r="BW3306" t="str">
        <f t="shared" si="1839"/>
        <v>14:57:08.180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7</v>
      </c>
      <c r="CP3306" t="s">
        <v>119</v>
      </c>
      <c r="CQ3306">
        <v>285</v>
      </c>
      <c r="CR3306">
        <v>0</v>
      </c>
      <c r="CW3306">
        <v>8877487</v>
      </c>
      <c r="CY3306">
        <v>0</v>
      </c>
      <c r="CZ3306">
        <v>0</v>
      </c>
      <c r="DA3306">
        <v>1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25">
      <c r="A3307" t="str">
        <f t="shared" si="1837"/>
        <v>06/05/2020 14:57:02.530</v>
      </c>
      <c r="C3307" t="str">
        <f t="shared" si="1836"/>
        <v>FFDFD3C0</v>
      </c>
      <c r="D3307" t="s">
        <v>141</v>
      </c>
      <c r="E3307">
        <v>20</v>
      </c>
      <c r="F3307">
        <v>1020</v>
      </c>
      <c r="G3307" t="s">
        <v>114</v>
      </c>
      <c r="J3307" t="s">
        <v>142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838"/>
        <v>14:57:08.180</v>
      </c>
      <c r="T3307" t="str">
        <f t="shared" si="1838"/>
        <v>14:57:08.180</v>
      </c>
      <c r="U3307" t="str">
        <f t="shared" si="1816"/>
        <v>ACC530</v>
      </c>
      <c r="V3307">
        <v>0</v>
      </c>
      <c r="W3307">
        <v>0</v>
      </c>
      <c r="X3307">
        <v>1</v>
      </c>
      <c r="Z3307">
        <v>0</v>
      </c>
      <c r="AA3307">
        <v>9</v>
      </c>
      <c r="AB3307">
        <v>3</v>
      </c>
      <c r="AC3307">
        <v>0</v>
      </c>
      <c r="AD3307">
        <v>9</v>
      </c>
      <c r="AE3307">
        <v>0</v>
      </c>
      <c r="AF3307">
        <v>3</v>
      </c>
      <c r="AG3307">
        <v>1</v>
      </c>
      <c r="AH3307">
        <v>0</v>
      </c>
      <c r="AI3307" t="s">
        <v>1093</v>
      </c>
      <c r="AJ3307">
        <v>34.09225</v>
      </c>
      <c r="AK3307" t="s">
        <v>1094</v>
      </c>
      <c r="AL3307">
        <v>-117.038319</v>
      </c>
      <c r="AM3307">
        <v>100</v>
      </c>
      <c r="AN3307">
        <v>5600</v>
      </c>
      <c r="AO3307" t="s">
        <v>118</v>
      </c>
      <c r="AP3307">
        <v>73</v>
      </c>
      <c r="AQ3307">
        <v>-79</v>
      </c>
      <c r="AR3307">
        <v>-384</v>
      </c>
      <c r="AZ3307">
        <v>1200</v>
      </c>
      <c r="BA3307">
        <v>1</v>
      </c>
      <c r="BB3307" t="str">
        <f t="shared" si="1817"/>
        <v xml:space="preserve">N9217B  </v>
      </c>
      <c r="BC3307">
        <v>1</v>
      </c>
      <c r="BE3307">
        <v>0</v>
      </c>
      <c r="BF3307">
        <v>0</v>
      </c>
      <c r="BG3307">
        <v>0</v>
      </c>
      <c r="BH3307">
        <v>5475</v>
      </c>
      <c r="BI3307">
        <v>1</v>
      </c>
      <c r="BJ3307">
        <v>0</v>
      </c>
      <c r="BK3307">
        <v>0</v>
      </c>
      <c r="BL3307">
        <v>0</v>
      </c>
      <c r="BO3307">
        <v>0</v>
      </c>
      <c r="BP3307">
        <v>0</v>
      </c>
      <c r="BW3307" t="str">
        <f t="shared" si="1839"/>
        <v>14:57:08.180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7</v>
      </c>
      <c r="CP3307" t="s">
        <v>119</v>
      </c>
      <c r="CQ3307">
        <v>285</v>
      </c>
      <c r="CR3307">
        <v>0</v>
      </c>
      <c r="CW3307">
        <v>8877487</v>
      </c>
      <c r="CY3307">
        <v>0</v>
      </c>
      <c r="CZ3307">
        <v>0</v>
      </c>
      <c r="DA3307">
        <v>1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25">
      <c r="A3308" t="str">
        <f t="shared" si="1837"/>
        <v>06/05/2020 14:57:02.530</v>
      </c>
      <c r="C3308" t="str">
        <f t="shared" si="1836"/>
        <v>FFDFD3C0</v>
      </c>
      <c r="D3308" t="s">
        <v>148</v>
      </c>
      <c r="E3308">
        <v>11</v>
      </c>
      <c r="H3308">
        <v>53</v>
      </c>
      <c r="I3308" t="s">
        <v>364</v>
      </c>
      <c r="J3308" t="s">
        <v>150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838"/>
        <v>14:57:08.180</v>
      </c>
      <c r="T3308" t="str">
        <f t="shared" si="1838"/>
        <v>14:57:08.180</v>
      </c>
      <c r="U3308" t="str">
        <f t="shared" si="1816"/>
        <v>ACC530</v>
      </c>
      <c r="V3308">
        <v>0</v>
      </c>
      <c r="W3308">
        <v>0</v>
      </c>
      <c r="X3308">
        <v>1</v>
      </c>
      <c r="Z3308">
        <v>0</v>
      </c>
      <c r="AA3308">
        <v>9</v>
      </c>
      <c r="AB3308">
        <v>3</v>
      </c>
      <c r="AC3308">
        <v>0</v>
      </c>
      <c r="AD3308">
        <v>9</v>
      </c>
      <c r="AE3308">
        <v>0</v>
      </c>
      <c r="AF3308">
        <v>3</v>
      </c>
      <c r="AG3308">
        <v>1</v>
      </c>
      <c r="AH3308">
        <v>0</v>
      </c>
      <c r="AI3308" t="s">
        <v>1093</v>
      </c>
      <c r="AJ3308">
        <v>34.09225</v>
      </c>
      <c r="AK3308" t="s">
        <v>1094</v>
      </c>
      <c r="AL3308">
        <v>-117.038319</v>
      </c>
      <c r="AM3308">
        <v>100</v>
      </c>
      <c r="AN3308">
        <v>5600</v>
      </c>
      <c r="AO3308" t="s">
        <v>118</v>
      </c>
      <c r="AP3308">
        <v>73</v>
      </c>
      <c r="AQ3308">
        <v>-79</v>
      </c>
      <c r="AR3308">
        <v>-384</v>
      </c>
      <c r="AZ3308">
        <v>1200</v>
      </c>
      <c r="BA3308">
        <v>1</v>
      </c>
      <c r="BB3308" t="str">
        <f t="shared" si="1817"/>
        <v xml:space="preserve">N9217B  </v>
      </c>
      <c r="BC3308">
        <v>1</v>
      </c>
      <c r="BE3308">
        <v>0</v>
      </c>
      <c r="BF3308">
        <v>0</v>
      </c>
      <c r="BG3308">
        <v>0</v>
      </c>
      <c r="BH3308">
        <v>5475</v>
      </c>
      <c r="BI3308">
        <v>1</v>
      </c>
      <c r="BJ3308">
        <v>0</v>
      </c>
      <c r="BK3308">
        <v>0</v>
      </c>
      <c r="BL3308">
        <v>0</v>
      </c>
      <c r="BO3308">
        <v>0</v>
      </c>
      <c r="BP3308">
        <v>0</v>
      </c>
      <c r="BW3308" t="str">
        <f t="shared" si="1839"/>
        <v>14:57:08.180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7</v>
      </c>
      <c r="CP3308" t="s">
        <v>119</v>
      </c>
      <c r="CQ3308">
        <v>285</v>
      </c>
      <c r="CR3308">
        <v>0</v>
      </c>
      <c r="CW3308">
        <v>8877487</v>
      </c>
      <c r="CY3308">
        <v>0</v>
      </c>
      <c r="CZ3308">
        <v>0</v>
      </c>
      <c r="DA3308">
        <v>1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25">
      <c r="A3309" t="str">
        <f t="shared" si="1837"/>
        <v>06/05/2020 14:57:02.530</v>
      </c>
      <c r="C3309" t="str">
        <f t="shared" si="1836"/>
        <v>FFDFD3C0</v>
      </c>
      <c r="D3309" t="s">
        <v>113</v>
      </c>
      <c r="E3309">
        <v>3</v>
      </c>
      <c r="H3309">
        <v>166</v>
      </c>
      <c r="I3309" t="s">
        <v>114</v>
      </c>
      <c r="J3309" t="s">
        <v>115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838"/>
        <v>14:57:08.180</v>
      </c>
      <c r="T3309" t="str">
        <f t="shared" si="1838"/>
        <v>14:57:08.180</v>
      </c>
      <c r="U3309" t="str">
        <f t="shared" si="1816"/>
        <v>ACC530</v>
      </c>
      <c r="V3309">
        <v>0</v>
      </c>
      <c r="W3309">
        <v>0</v>
      </c>
      <c r="X3309">
        <v>1</v>
      </c>
      <c r="Z3309">
        <v>0</v>
      </c>
      <c r="AA3309">
        <v>9</v>
      </c>
      <c r="AB3309">
        <v>3</v>
      </c>
      <c r="AC3309">
        <v>0</v>
      </c>
      <c r="AD3309">
        <v>9</v>
      </c>
      <c r="AE3309">
        <v>0</v>
      </c>
      <c r="AF3309">
        <v>3</v>
      </c>
      <c r="AG3309">
        <v>1</v>
      </c>
      <c r="AH3309">
        <v>0</v>
      </c>
      <c r="AI3309" t="s">
        <v>1093</v>
      </c>
      <c r="AJ3309">
        <v>34.09225</v>
      </c>
      <c r="AK3309" t="s">
        <v>1094</v>
      </c>
      <c r="AL3309">
        <v>-117.038319</v>
      </c>
      <c r="AM3309">
        <v>100</v>
      </c>
      <c r="AN3309">
        <v>5600</v>
      </c>
      <c r="AO3309" t="s">
        <v>118</v>
      </c>
      <c r="AP3309">
        <v>73</v>
      </c>
      <c r="AQ3309">
        <v>-79</v>
      </c>
      <c r="AR3309">
        <v>-384</v>
      </c>
      <c r="AZ3309">
        <v>1200</v>
      </c>
      <c r="BA3309">
        <v>1</v>
      </c>
      <c r="BB3309" t="str">
        <f t="shared" si="1817"/>
        <v xml:space="preserve">N9217B  </v>
      </c>
      <c r="BC3309">
        <v>1</v>
      </c>
      <c r="BE3309">
        <v>0</v>
      </c>
      <c r="BF3309">
        <v>0</v>
      </c>
      <c r="BG3309">
        <v>0</v>
      </c>
      <c r="BH3309">
        <v>5475</v>
      </c>
      <c r="BI3309">
        <v>1</v>
      </c>
      <c r="BJ3309">
        <v>0</v>
      </c>
      <c r="BK3309">
        <v>0</v>
      </c>
      <c r="BL3309">
        <v>0</v>
      </c>
      <c r="BO3309">
        <v>0</v>
      </c>
      <c r="BP3309">
        <v>0</v>
      </c>
      <c r="BW3309" t="str">
        <f t="shared" si="1839"/>
        <v>14:57:08.180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7</v>
      </c>
      <c r="CP3309" t="s">
        <v>119</v>
      </c>
      <c r="CQ3309">
        <v>285</v>
      </c>
      <c r="CR3309">
        <v>0</v>
      </c>
      <c r="CW3309">
        <v>8877487</v>
      </c>
      <c r="CY3309">
        <v>0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25">
      <c r="A3310" t="str">
        <f t="shared" si="1837"/>
        <v>06/05/2020 14:57:02.530</v>
      </c>
      <c r="C3310" t="str">
        <f t="shared" si="1836"/>
        <v>FFDFD3C0</v>
      </c>
      <c r="D3310" t="s">
        <v>148</v>
      </c>
      <c r="E3310">
        <v>8</v>
      </c>
      <c r="H3310">
        <v>50</v>
      </c>
      <c r="I3310" t="s">
        <v>149</v>
      </c>
      <c r="J3310" t="s">
        <v>150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si="1838"/>
        <v>14:57:08.180</v>
      </c>
      <c r="T3310" t="str">
        <f t="shared" si="1838"/>
        <v>14:57:08.180</v>
      </c>
      <c r="U3310" t="str">
        <f t="shared" si="1816"/>
        <v>ACC530</v>
      </c>
      <c r="V3310">
        <v>0</v>
      </c>
      <c r="W3310">
        <v>0</v>
      </c>
      <c r="X3310">
        <v>1</v>
      </c>
      <c r="Z3310">
        <v>0</v>
      </c>
      <c r="AA3310">
        <v>9</v>
      </c>
      <c r="AB3310">
        <v>3</v>
      </c>
      <c r="AC3310">
        <v>0</v>
      </c>
      <c r="AD3310">
        <v>9</v>
      </c>
      <c r="AE3310">
        <v>0</v>
      </c>
      <c r="AF3310">
        <v>3</v>
      </c>
      <c r="AG3310">
        <v>1</v>
      </c>
      <c r="AH3310">
        <v>0</v>
      </c>
      <c r="AI3310" t="s">
        <v>1093</v>
      </c>
      <c r="AJ3310">
        <v>34.09225</v>
      </c>
      <c r="AK3310" t="s">
        <v>1094</v>
      </c>
      <c r="AL3310">
        <v>-117.038319</v>
      </c>
      <c r="AM3310">
        <v>100</v>
      </c>
      <c r="AN3310">
        <v>5600</v>
      </c>
      <c r="AO3310" t="s">
        <v>118</v>
      </c>
      <c r="AP3310">
        <v>73</v>
      </c>
      <c r="AQ3310">
        <v>-79</v>
      </c>
      <c r="AR3310">
        <v>-384</v>
      </c>
      <c r="AZ3310">
        <v>1200</v>
      </c>
      <c r="BA3310">
        <v>1</v>
      </c>
      <c r="BB3310" t="str">
        <f t="shared" si="1817"/>
        <v xml:space="preserve">N9217B  </v>
      </c>
      <c r="BC3310">
        <v>1</v>
      </c>
      <c r="BE3310">
        <v>0</v>
      </c>
      <c r="BF3310">
        <v>0</v>
      </c>
      <c r="BG3310">
        <v>0</v>
      </c>
      <c r="BH3310">
        <v>5475</v>
      </c>
      <c r="BI3310">
        <v>1</v>
      </c>
      <c r="BJ3310">
        <v>0</v>
      </c>
      <c r="BK3310">
        <v>0</v>
      </c>
      <c r="BL3310">
        <v>0</v>
      </c>
      <c r="BO3310">
        <v>0</v>
      </c>
      <c r="BP3310">
        <v>0</v>
      </c>
      <c r="BW3310" t="str">
        <f t="shared" si="1839"/>
        <v>14:57:08.180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7</v>
      </c>
      <c r="CP3310" t="s">
        <v>119</v>
      </c>
      <c r="CQ3310">
        <v>285</v>
      </c>
      <c r="CR3310">
        <v>0</v>
      </c>
      <c r="CW3310">
        <v>8877487</v>
      </c>
      <c r="CY3310">
        <v>0</v>
      </c>
      <c r="CZ3310">
        <v>0</v>
      </c>
      <c r="DA3310">
        <v>1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25">
      <c r="A3311" t="str">
        <f t="shared" si="1837"/>
        <v>06/05/2020 14:57:02.530</v>
      </c>
      <c r="C3311" t="str">
        <f t="shared" si="1836"/>
        <v>FFDFD3C0</v>
      </c>
      <c r="D3311" t="s">
        <v>151</v>
      </c>
      <c r="E3311">
        <v>8</v>
      </c>
      <c r="H3311">
        <v>225</v>
      </c>
      <c r="I3311" t="s">
        <v>353</v>
      </c>
      <c r="J3311" t="s">
        <v>150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838"/>
        <v>14:57:08.180</v>
      </c>
      <c r="T3311" t="str">
        <f t="shared" si="1838"/>
        <v>14:57:08.180</v>
      </c>
      <c r="U3311" t="str">
        <f t="shared" si="1816"/>
        <v>ACC530</v>
      </c>
      <c r="V3311">
        <v>0</v>
      </c>
      <c r="W3311">
        <v>0</v>
      </c>
      <c r="X3311">
        <v>1</v>
      </c>
      <c r="Z3311">
        <v>0</v>
      </c>
      <c r="AA3311">
        <v>9</v>
      </c>
      <c r="AB3311">
        <v>3</v>
      </c>
      <c r="AC3311">
        <v>0</v>
      </c>
      <c r="AD3311">
        <v>9</v>
      </c>
      <c r="AE3311">
        <v>0</v>
      </c>
      <c r="AF3311">
        <v>3</v>
      </c>
      <c r="AG3311">
        <v>1</v>
      </c>
      <c r="AH3311">
        <v>0</v>
      </c>
      <c r="AI3311" t="s">
        <v>1093</v>
      </c>
      <c r="AJ3311">
        <v>34.09225</v>
      </c>
      <c r="AK3311" t="s">
        <v>1094</v>
      </c>
      <c r="AL3311">
        <v>-117.038319</v>
      </c>
      <c r="AM3311">
        <v>100</v>
      </c>
      <c r="AN3311">
        <v>5600</v>
      </c>
      <c r="AO3311" t="s">
        <v>118</v>
      </c>
      <c r="AP3311">
        <v>73</v>
      </c>
      <c r="AQ3311">
        <v>-79</v>
      </c>
      <c r="AR3311">
        <v>-384</v>
      </c>
      <c r="AZ3311">
        <v>1200</v>
      </c>
      <c r="BA3311">
        <v>1</v>
      </c>
      <c r="BB3311" t="str">
        <f t="shared" si="1817"/>
        <v xml:space="preserve">N9217B  </v>
      </c>
      <c r="BC3311">
        <v>1</v>
      </c>
      <c r="BE3311">
        <v>0</v>
      </c>
      <c r="BF3311">
        <v>0</v>
      </c>
      <c r="BG3311">
        <v>0</v>
      </c>
      <c r="BH3311">
        <v>5475</v>
      </c>
      <c r="BI3311">
        <v>1</v>
      </c>
      <c r="BJ3311">
        <v>0</v>
      </c>
      <c r="BK3311">
        <v>0</v>
      </c>
      <c r="BL3311">
        <v>0</v>
      </c>
      <c r="BO3311">
        <v>0</v>
      </c>
      <c r="BP3311">
        <v>0</v>
      </c>
      <c r="BW3311" t="str">
        <f t="shared" si="1839"/>
        <v>14:57:08.180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7</v>
      </c>
      <c r="CP3311" t="s">
        <v>119</v>
      </c>
      <c r="CQ3311">
        <v>285</v>
      </c>
      <c r="CR3311">
        <v>0</v>
      </c>
      <c r="CW3311">
        <v>8877487</v>
      </c>
      <c r="CY3311">
        <v>0</v>
      </c>
      <c r="CZ3311">
        <v>0</v>
      </c>
      <c r="DA3311">
        <v>1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25">
      <c r="A3312" t="str">
        <f t="shared" ref="A3312:A3318" si="1840">"06/05/2020 14:57:03.563"</f>
        <v>06/05/2020 14:57:03.563</v>
      </c>
      <c r="C3312" t="str">
        <f t="shared" si="1836"/>
        <v>FFDFD3C0</v>
      </c>
      <c r="D3312" t="s">
        <v>148</v>
      </c>
      <c r="E3312">
        <v>11</v>
      </c>
      <c r="H3312">
        <v>53</v>
      </c>
      <c r="I3312" t="s">
        <v>364</v>
      </c>
      <c r="J3312" t="s">
        <v>150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ref="S3312:T3318" si="1841">"14:57:09.227"</f>
        <v>14:57:09.227</v>
      </c>
      <c r="T3312" t="str">
        <f t="shared" si="1841"/>
        <v>14:57:09.227</v>
      </c>
      <c r="U3312" t="str">
        <f t="shared" si="1816"/>
        <v>ACC530</v>
      </c>
      <c r="V3312">
        <v>0</v>
      </c>
      <c r="W3312">
        <v>0</v>
      </c>
      <c r="X3312">
        <v>1</v>
      </c>
      <c r="Z3312">
        <v>0</v>
      </c>
      <c r="AA3312">
        <v>9</v>
      </c>
      <c r="AB3312">
        <v>3</v>
      </c>
      <c r="AC3312">
        <v>0</v>
      </c>
      <c r="AD3312">
        <v>9</v>
      </c>
      <c r="AE3312">
        <v>0</v>
      </c>
      <c r="AF3312">
        <v>3</v>
      </c>
      <c r="AG3312">
        <v>1</v>
      </c>
      <c r="AH3312">
        <v>0</v>
      </c>
      <c r="AI3312" t="s">
        <v>1095</v>
      </c>
      <c r="AJ3312">
        <v>34.091864000000001</v>
      </c>
      <c r="AK3312" t="s">
        <v>1096</v>
      </c>
      <c r="AL3312">
        <v>-117.037868</v>
      </c>
      <c r="AM3312">
        <v>100</v>
      </c>
      <c r="AN3312">
        <v>5600</v>
      </c>
      <c r="AO3312" t="s">
        <v>118</v>
      </c>
      <c r="AP3312">
        <v>73</v>
      </c>
      <c r="AQ3312">
        <v>-78</v>
      </c>
      <c r="AR3312">
        <v>-320</v>
      </c>
      <c r="AZ3312">
        <v>1200</v>
      </c>
      <c r="BA3312">
        <v>1</v>
      </c>
      <c r="BB3312" t="str">
        <f t="shared" si="1817"/>
        <v xml:space="preserve">N9217B  </v>
      </c>
      <c r="BC3312">
        <v>1</v>
      </c>
      <c r="BE3312">
        <v>0</v>
      </c>
      <c r="BF3312">
        <v>0</v>
      </c>
      <c r="BG3312">
        <v>0</v>
      </c>
      <c r="BH3312">
        <v>5475</v>
      </c>
      <c r="BI3312">
        <v>1</v>
      </c>
      <c r="BJ3312">
        <v>0</v>
      </c>
      <c r="BK3312">
        <v>0</v>
      </c>
      <c r="BL3312">
        <v>0</v>
      </c>
      <c r="BO3312">
        <v>0</v>
      </c>
      <c r="BP3312">
        <v>0</v>
      </c>
      <c r="BW3312" t="str">
        <f t="shared" ref="BW3312:BW3318" si="1842">"14:57:09.230"</f>
        <v>14:57:09.230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7</v>
      </c>
      <c r="CP3312" t="s">
        <v>119</v>
      </c>
      <c r="CQ3312">
        <v>285</v>
      </c>
      <c r="CR3312">
        <v>0</v>
      </c>
      <c r="CW3312">
        <v>8877584</v>
      </c>
      <c r="CY3312">
        <v>0</v>
      </c>
      <c r="CZ3312">
        <v>0</v>
      </c>
      <c r="DA3312">
        <v>0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25">
      <c r="A3313" t="str">
        <f t="shared" si="1840"/>
        <v>06/05/2020 14:57:03.563</v>
      </c>
      <c r="C3313" t="str">
        <f t="shared" si="1836"/>
        <v>FFDFD3C0</v>
      </c>
      <c r="D3313" t="s">
        <v>113</v>
      </c>
      <c r="E3313">
        <v>3</v>
      </c>
      <c r="H3313">
        <v>166</v>
      </c>
      <c r="I3313" t="s">
        <v>114</v>
      </c>
      <c r="J3313" t="s">
        <v>115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841"/>
        <v>14:57:09.227</v>
      </c>
      <c r="T3313" t="str">
        <f t="shared" si="1841"/>
        <v>14:57:09.227</v>
      </c>
      <c r="U3313" t="str">
        <f t="shared" si="1816"/>
        <v>ACC530</v>
      </c>
      <c r="V3313">
        <v>0</v>
      </c>
      <c r="W3313">
        <v>0</v>
      </c>
      <c r="X3313">
        <v>1</v>
      </c>
      <c r="Z3313">
        <v>0</v>
      </c>
      <c r="AA3313">
        <v>9</v>
      </c>
      <c r="AB3313">
        <v>3</v>
      </c>
      <c r="AC3313">
        <v>0</v>
      </c>
      <c r="AD3313">
        <v>9</v>
      </c>
      <c r="AE3313">
        <v>0</v>
      </c>
      <c r="AF3313">
        <v>3</v>
      </c>
      <c r="AG3313">
        <v>1</v>
      </c>
      <c r="AH3313">
        <v>0</v>
      </c>
      <c r="AI3313" t="s">
        <v>1095</v>
      </c>
      <c r="AJ3313">
        <v>34.091864000000001</v>
      </c>
      <c r="AK3313" t="s">
        <v>1096</v>
      </c>
      <c r="AL3313">
        <v>-117.037868</v>
      </c>
      <c r="AM3313">
        <v>100</v>
      </c>
      <c r="AN3313">
        <v>5600</v>
      </c>
      <c r="AO3313" t="s">
        <v>118</v>
      </c>
      <c r="AP3313">
        <v>73</v>
      </c>
      <c r="AQ3313">
        <v>-78</v>
      </c>
      <c r="AR3313">
        <v>-320</v>
      </c>
      <c r="AZ3313">
        <v>1200</v>
      </c>
      <c r="BA3313">
        <v>1</v>
      </c>
      <c r="BB3313" t="str">
        <f t="shared" si="1817"/>
        <v xml:space="preserve">N9217B  </v>
      </c>
      <c r="BC3313">
        <v>1</v>
      </c>
      <c r="BE3313">
        <v>0</v>
      </c>
      <c r="BF3313">
        <v>0</v>
      </c>
      <c r="BG3313">
        <v>0</v>
      </c>
      <c r="BH3313">
        <v>5475</v>
      </c>
      <c r="BI3313">
        <v>1</v>
      </c>
      <c r="BJ3313">
        <v>0</v>
      </c>
      <c r="BK3313">
        <v>0</v>
      </c>
      <c r="BL3313">
        <v>0</v>
      </c>
      <c r="BO3313">
        <v>0</v>
      </c>
      <c r="BP3313">
        <v>0</v>
      </c>
      <c r="BW3313" t="str">
        <f t="shared" si="1842"/>
        <v>14:57:09.230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7</v>
      </c>
      <c r="CP3313" t="s">
        <v>119</v>
      </c>
      <c r="CQ3313">
        <v>285</v>
      </c>
      <c r="CR3313">
        <v>0</v>
      </c>
      <c r="CW3313">
        <v>8877584</v>
      </c>
      <c r="CY3313">
        <v>0</v>
      </c>
      <c r="CZ3313">
        <v>0</v>
      </c>
      <c r="DA3313">
        <v>1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25">
      <c r="A3314" t="str">
        <f t="shared" si="1840"/>
        <v>06/05/2020 14:57:03.563</v>
      </c>
      <c r="C3314" t="str">
        <f t="shared" si="1836"/>
        <v>FFDFD3C0</v>
      </c>
      <c r="D3314" t="s">
        <v>148</v>
      </c>
      <c r="E3314">
        <v>8</v>
      </c>
      <c r="H3314">
        <v>50</v>
      </c>
      <c r="I3314" t="s">
        <v>149</v>
      </c>
      <c r="J3314" t="s">
        <v>150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841"/>
        <v>14:57:09.227</v>
      </c>
      <c r="T3314" t="str">
        <f t="shared" si="1841"/>
        <v>14:57:09.227</v>
      </c>
      <c r="U3314" t="str">
        <f t="shared" si="1816"/>
        <v>ACC530</v>
      </c>
      <c r="V3314">
        <v>0</v>
      </c>
      <c r="W3314">
        <v>0</v>
      </c>
      <c r="X3314">
        <v>1</v>
      </c>
      <c r="Z3314">
        <v>0</v>
      </c>
      <c r="AA3314">
        <v>9</v>
      </c>
      <c r="AB3314">
        <v>3</v>
      </c>
      <c r="AC3314">
        <v>0</v>
      </c>
      <c r="AD3314">
        <v>9</v>
      </c>
      <c r="AE3314">
        <v>0</v>
      </c>
      <c r="AF3314">
        <v>3</v>
      </c>
      <c r="AG3314">
        <v>1</v>
      </c>
      <c r="AH3314">
        <v>0</v>
      </c>
      <c r="AI3314" t="s">
        <v>1095</v>
      </c>
      <c r="AJ3314">
        <v>34.091864000000001</v>
      </c>
      <c r="AK3314" t="s">
        <v>1096</v>
      </c>
      <c r="AL3314">
        <v>-117.037868</v>
      </c>
      <c r="AM3314">
        <v>100</v>
      </c>
      <c r="AN3314">
        <v>5600</v>
      </c>
      <c r="AO3314" t="s">
        <v>118</v>
      </c>
      <c r="AP3314">
        <v>73</v>
      </c>
      <c r="AQ3314">
        <v>-78</v>
      </c>
      <c r="AR3314">
        <v>-320</v>
      </c>
      <c r="AZ3314">
        <v>1200</v>
      </c>
      <c r="BA3314">
        <v>1</v>
      </c>
      <c r="BB3314" t="str">
        <f t="shared" si="1817"/>
        <v xml:space="preserve">N9217B  </v>
      </c>
      <c r="BC3314">
        <v>1</v>
      </c>
      <c r="BE3314">
        <v>0</v>
      </c>
      <c r="BF3314">
        <v>0</v>
      </c>
      <c r="BG3314">
        <v>0</v>
      </c>
      <c r="BH3314">
        <v>5475</v>
      </c>
      <c r="BI3314">
        <v>1</v>
      </c>
      <c r="BJ3314">
        <v>0</v>
      </c>
      <c r="BK3314">
        <v>0</v>
      </c>
      <c r="BL3314">
        <v>0</v>
      </c>
      <c r="BO3314">
        <v>0</v>
      </c>
      <c r="BP3314">
        <v>0</v>
      </c>
      <c r="BW3314" t="str">
        <f t="shared" si="1842"/>
        <v>14:57:09.230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7</v>
      </c>
      <c r="CP3314" t="s">
        <v>119</v>
      </c>
      <c r="CQ3314">
        <v>285</v>
      </c>
      <c r="CR3314">
        <v>0</v>
      </c>
      <c r="CW3314">
        <v>8877584</v>
      </c>
      <c r="CY3314">
        <v>0</v>
      </c>
      <c r="CZ3314">
        <v>0</v>
      </c>
      <c r="DA3314">
        <v>1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25">
      <c r="A3315" t="str">
        <f t="shared" si="1840"/>
        <v>06/05/2020 14:57:03.563</v>
      </c>
      <c r="C3315" t="str">
        <f t="shared" si="1836"/>
        <v>FFDFD3C0</v>
      </c>
      <c r="D3315" t="s">
        <v>151</v>
      </c>
      <c r="E3315">
        <v>8</v>
      </c>
      <c r="H3315">
        <v>225</v>
      </c>
      <c r="I3315" t="s">
        <v>353</v>
      </c>
      <c r="J3315" t="s">
        <v>150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841"/>
        <v>14:57:09.227</v>
      </c>
      <c r="T3315" t="str">
        <f t="shared" si="1841"/>
        <v>14:57:09.227</v>
      </c>
      <c r="U3315" t="str">
        <f t="shared" si="1816"/>
        <v>ACC530</v>
      </c>
      <c r="V3315">
        <v>0</v>
      </c>
      <c r="W3315">
        <v>0</v>
      </c>
      <c r="X3315">
        <v>1</v>
      </c>
      <c r="Z3315">
        <v>0</v>
      </c>
      <c r="AA3315">
        <v>9</v>
      </c>
      <c r="AB3315">
        <v>3</v>
      </c>
      <c r="AC3315">
        <v>0</v>
      </c>
      <c r="AD3315">
        <v>9</v>
      </c>
      <c r="AE3315">
        <v>0</v>
      </c>
      <c r="AF3315">
        <v>3</v>
      </c>
      <c r="AG3315">
        <v>1</v>
      </c>
      <c r="AH3315">
        <v>0</v>
      </c>
      <c r="AI3315" t="s">
        <v>1095</v>
      </c>
      <c r="AJ3315">
        <v>34.091864000000001</v>
      </c>
      <c r="AK3315" t="s">
        <v>1096</v>
      </c>
      <c r="AL3315">
        <v>-117.037868</v>
      </c>
      <c r="AM3315">
        <v>100</v>
      </c>
      <c r="AN3315">
        <v>5600</v>
      </c>
      <c r="AO3315" t="s">
        <v>118</v>
      </c>
      <c r="AP3315">
        <v>73</v>
      </c>
      <c r="AQ3315">
        <v>-78</v>
      </c>
      <c r="AR3315">
        <v>-320</v>
      </c>
      <c r="AZ3315">
        <v>1200</v>
      </c>
      <c r="BA3315">
        <v>1</v>
      </c>
      <c r="BB3315" t="str">
        <f t="shared" si="1817"/>
        <v xml:space="preserve">N9217B  </v>
      </c>
      <c r="BC3315">
        <v>1</v>
      </c>
      <c r="BE3315">
        <v>0</v>
      </c>
      <c r="BF3315">
        <v>0</v>
      </c>
      <c r="BG3315">
        <v>0</v>
      </c>
      <c r="BH3315">
        <v>5475</v>
      </c>
      <c r="BI3315">
        <v>1</v>
      </c>
      <c r="BJ3315">
        <v>0</v>
      </c>
      <c r="BK3315">
        <v>0</v>
      </c>
      <c r="BL3315">
        <v>0</v>
      </c>
      <c r="BO3315">
        <v>0</v>
      </c>
      <c r="BP3315">
        <v>0</v>
      </c>
      <c r="BW3315" t="str">
        <f t="shared" si="1842"/>
        <v>14:57:09.230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7</v>
      </c>
      <c r="CP3315" t="s">
        <v>119</v>
      </c>
      <c r="CQ3315">
        <v>285</v>
      </c>
      <c r="CR3315">
        <v>0</v>
      </c>
      <c r="CW3315">
        <v>8877584</v>
      </c>
      <c r="CY3315">
        <v>0</v>
      </c>
      <c r="CZ3315">
        <v>0</v>
      </c>
      <c r="DA3315">
        <v>1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25">
      <c r="A3316" t="str">
        <f t="shared" si="1840"/>
        <v>06/05/2020 14:57:03.563</v>
      </c>
      <c r="C3316" t="str">
        <f t="shared" si="1836"/>
        <v>FFDFD3C0</v>
      </c>
      <c r="D3316" t="s">
        <v>134</v>
      </c>
      <c r="E3316">
        <v>7</v>
      </c>
      <c r="F3316">
        <v>2007</v>
      </c>
      <c r="G3316" t="s">
        <v>135</v>
      </c>
      <c r="J3316" t="s">
        <v>136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841"/>
        <v>14:57:09.227</v>
      </c>
      <c r="T3316" t="str">
        <f t="shared" si="1841"/>
        <v>14:57:09.227</v>
      </c>
      <c r="U3316" t="str">
        <f t="shared" si="1816"/>
        <v>ACC530</v>
      </c>
      <c r="V3316">
        <v>0</v>
      </c>
      <c r="W3316">
        <v>0</v>
      </c>
      <c r="X3316">
        <v>1</v>
      </c>
      <c r="Z3316">
        <v>0</v>
      </c>
      <c r="AA3316">
        <v>9</v>
      </c>
      <c r="AB3316">
        <v>3</v>
      </c>
      <c r="AC3316">
        <v>0</v>
      </c>
      <c r="AD3316">
        <v>9</v>
      </c>
      <c r="AE3316">
        <v>0</v>
      </c>
      <c r="AF3316">
        <v>3</v>
      </c>
      <c r="AG3316">
        <v>1</v>
      </c>
      <c r="AH3316">
        <v>0</v>
      </c>
      <c r="AI3316" t="s">
        <v>1095</v>
      </c>
      <c r="AJ3316">
        <v>34.091864000000001</v>
      </c>
      <c r="AK3316" t="s">
        <v>1096</v>
      </c>
      <c r="AL3316">
        <v>-117.037868</v>
      </c>
      <c r="AM3316">
        <v>100</v>
      </c>
      <c r="AN3316">
        <v>5600</v>
      </c>
      <c r="AO3316" t="s">
        <v>118</v>
      </c>
      <c r="AP3316">
        <v>73</v>
      </c>
      <c r="AQ3316">
        <v>-78</v>
      </c>
      <c r="AR3316">
        <v>-320</v>
      </c>
      <c r="AZ3316">
        <v>1200</v>
      </c>
      <c r="BA3316">
        <v>1</v>
      </c>
      <c r="BB3316" t="str">
        <f t="shared" si="1817"/>
        <v xml:space="preserve">N9217B  </v>
      </c>
      <c r="BC3316">
        <v>1</v>
      </c>
      <c r="BE3316">
        <v>0</v>
      </c>
      <c r="BF3316">
        <v>0</v>
      </c>
      <c r="BG3316">
        <v>0</v>
      </c>
      <c r="BH3316">
        <v>5475</v>
      </c>
      <c r="BI3316">
        <v>1</v>
      </c>
      <c r="BJ3316">
        <v>0</v>
      </c>
      <c r="BK3316">
        <v>0</v>
      </c>
      <c r="BL3316">
        <v>0</v>
      </c>
      <c r="BO3316">
        <v>0</v>
      </c>
      <c r="BP3316">
        <v>0</v>
      </c>
      <c r="BW3316" t="str">
        <f t="shared" si="1842"/>
        <v>14:57:09.230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7</v>
      </c>
      <c r="CP3316" t="s">
        <v>119</v>
      </c>
      <c r="CQ3316">
        <v>285</v>
      </c>
      <c r="CR3316">
        <v>0</v>
      </c>
      <c r="CW3316">
        <v>8877584</v>
      </c>
      <c r="CY3316">
        <v>0</v>
      </c>
      <c r="CZ3316">
        <v>0</v>
      </c>
      <c r="DA3316">
        <v>1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25">
      <c r="A3317" t="str">
        <f t="shared" si="1840"/>
        <v>06/05/2020 14:57:03.563</v>
      </c>
      <c r="C3317" t="str">
        <f t="shared" si="1836"/>
        <v>FFDFD3C0</v>
      </c>
      <c r="D3317" t="s">
        <v>151</v>
      </c>
      <c r="E3317">
        <v>9</v>
      </c>
      <c r="H3317">
        <v>226</v>
      </c>
      <c r="I3317" t="s">
        <v>152</v>
      </c>
      <c r="J3317" t="s">
        <v>150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841"/>
        <v>14:57:09.227</v>
      </c>
      <c r="T3317" t="str">
        <f t="shared" si="1841"/>
        <v>14:57:09.227</v>
      </c>
      <c r="U3317" t="str">
        <f t="shared" si="1816"/>
        <v>ACC530</v>
      </c>
      <c r="V3317">
        <v>0</v>
      </c>
      <c r="W3317">
        <v>0</v>
      </c>
      <c r="X3317">
        <v>1</v>
      </c>
      <c r="Z3317">
        <v>0</v>
      </c>
      <c r="AA3317">
        <v>9</v>
      </c>
      <c r="AB3317">
        <v>3</v>
      </c>
      <c r="AC3317">
        <v>0</v>
      </c>
      <c r="AD3317">
        <v>9</v>
      </c>
      <c r="AE3317">
        <v>0</v>
      </c>
      <c r="AF3317">
        <v>3</v>
      </c>
      <c r="AG3317">
        <v>1</v>
      </c>
      <c r="AH3317">
        <v>0</v>
      </c>
      <c r="AI3317" t="s">
        <v>1095</v>
      </c>
      <c r="AJ3317">
        <v>34.091864000000001</v>
      </c>
      <c r="AK3317" t="s">
        <v>1096</v>
      </c>
      <c r="AL3317">
        <v>-117.037868</v>
      </c>
      <c r="AM3317">
        <v>100</v>
      </c>
      <c r="AN3317">
        <v>5600</v>
      </c>
      <c r="AO3317" t="s">
        <v>118</v>
      </c>
      <c r="AP3317">
        <v>73</v>
      </c>
      <c r="AQ3317">
        <v>-78</v>
      </c>
      <c r="AR3317">
        <v>-320</v>
      </c>
      <c r="AZ3317">
        <v>1200</v>
      </c>
      <c r="BA3317">
        <v>1</v>
      </c>
      <c r="BB3317" t="str">
        <f t="shared" si="1817"/>
        <v xml:space="preserve">N9217B  </v>
      </c>
      <c r="BC3317">
        <v>1</v>
      </c>
      <c r="BE3317">
        <v>0</v>
      </c>
      <c r="BF3317">
        <v>0</v>
      </c>
      <c r="BG3317">
        <v>0</v>
      </c>
      <c r="BH3317">
        <v>5475</v>
      </c>
      <c r="BI3317">
        <v>1</v>
      </c>
      <c r="BJ3317">
        <v>0</v>
      </c>
      <c r="BK3317">
        <v>0</v>
      </c>
      <c r="BL3317">
        <v>0</v>
      </c>
      <c r="BO3317">
        <v>0</v>
      </c>
      <c r="BP3317">
        <v>0</v>
      </c>
      <c r="BW3317" t="str">
        <f t="shared" si="1842"/>
        <v>14:57:09.230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7</v>
      </c>
      <c r="CP3317" t="s">
        <v>119</v>
      </c>
      <c r="CQ3317">
        <v>285</v>
      </c>
      <c r="CR3317">
        <v>0</v>
      </c>
      <c r="CW3317">
        <v>8877584</v>
      </c>
      <c r="CY3317">
        <v>0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25">
      <c r="A3318" t="str">
        <f t="shared" si="1840"/>
        <v>06/05/2020 14:57:03.563</v>
      </c>
      <c r="C3318" t="str">
        <f t="shared" si="1836"/>
        <v>FFDFD3C0</v>
      </c>
      <c r="D3318" t="s">
        <v>141</v>
      </c>
      <c r="E3318">
        <v>20</v>
      </c>
      <c r="F3318">
        <v>1020</v>
      </c>
      <c r="G3318" t="s">
        <v>114</v>
      </c>
      <c r="J3318" t="s">
        <v>142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841"/>
        <v>14:57:09.227</v>
      </c>
      <c r="T3318" t="str">
        <f t="shared" si="1841"/>
        <v>14:57:09.227</v>
      </c>
      <c r="U3318" t="str">
        <f t="shared" si="1816"/>
        <v>ACC530</v>
      </c>
      <c r="V3318">
        <v>0</v>
      </c>
      <c r="W3318">
        <v>0</v>
      </c>
      <c r="X3318">
        <v>1</v>
      </c>
      <c r="Z3318">
        <v>0</v>
      </c>
      <c r="AA3318">
        <v>9</v>
      </c>
      <c r="AB3318">
        <v>3</v>
      </c>
      <c r="AC3318">
        <v>0</v>
      </c>
      <c r="AD3318">
        <v>9</v>
      </c>
      <c r="AE3318">
        <v>0</v>
      </c>
      <c r="AF3318">
        <v>3</v>
      </c>
      <c r="AG3318">
        <v>1</v>
      </c>
      <c r="AH3318">
        <v>0</v>
      </c>
      <c r="AI3318" t="s">
        <v>1095</v>
      </c>
      <c r="AJ3318">
        <v>34.091864000000001</v>
      </c>
      <c r="AK3318" t="s">
        <v>1096</v>
      </c>
      <c r="AL3318">
        <v>-117.037868</v>
      </c>
      <c r="AM3318">
        <v>100</v>
      </c>
      <c r="AN3318">
        <v>5600</v>
      </c>
      <c r="AO3318" t="s">
        <v>118</v>
      </c>
      <c r="AP3318">
        <v>73</v>
      </c>
      <c r="AQ3318">
        <v>-78</v>
      </c>
      <c r="AR3318">
        <v>-320</v>
      </c>
      <c r="AZ3318">
        <v>1200</v>
      </c>
      <c r="BA3318">
        <v>1</v>
      </c>
      <c r="BB3318" t="str">
        <f t="shared" si="1817"/>
        <v xml:space="preserve">N9217B  </v>
      </c>
      <c r="BC3318">
        <v>1</v>
      </c>
      <c r="BE3318">
        <v>0</v>
      </c>
      <c r="BF3318">
        <v>0</v>
      </c>
      <c r="BG3318">
        <v>0</v>
      </c>
      <c r="BH3318">
        <v>5475</v>
      </c>
      <c r="BI3318">
        <v>1</v>
      </c>
      <c r="BJ3318">
        <v>0</v>
      </c>
      <c r="BK3318">
        <v>0</v>
      </c>
      <c r="BL3318">
        <v>0</v>
      </c>
      <c r="BO3318">
        <v>0</v>
      </c>
      <c r="BP3318">
        <v>0</v>
      </c>
      <c r="BW3318" t="str">
        <f t="shared" si="1842"/>
        <v>14:57:09.230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7</v>
      </c>
      <c r="CP3318" t="s">
        <v>119</v>
      </c>
      <c r="CQ3318">
        <v>285</v>
      </c>
      <c r="CR3318">
        <v>0</v>
      </c>
      <c r="CW3318">
        <v>8877584</v>
      </c>
      <c r="CY3318">
        <v>0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25">
      <c r="A3319" t="str">
        <f t="shared" ref="A3319:A3325" si="1843">"06/05/2020 14:57:04.705"</f>
        <v>06/05/2020 14:57:04.705</v>
      </c>
      <c r="C3319" t="str">
        <f t="shared" si="1836"/>
        <v>FFDFD3C0</v>
      </c>
      <c r="D3319" t="s">
        <v>151</v>
      </c>
      <c r="E3319">
        <v>9</v>
      </c>
      <c r="H3319">
        <v>226</v>
      </c>
      <c r="I3319" t="s">
        <v>152</v>
      </c>
      <c r="J3319" t="s">
        <v>150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ref="S3319:T3325" si="1844">"14:57:10.352"</f>
        <v>14:57:10.352</v>
      </c>
      <c r="T3319" t="str">
        <f t="shared" si="1844"/>
        <v>14:57:10.352</v>
      </c>
      <c r="U3319" t="str">
        <f t="shared" si="1816"/>
        <v>ACC530</v>
      </c>
      <c r="V3319">
        <v>0</v>
      </c>
      <c r="W3319">
        <v>0</v>
      </c>
      <c r="X3319">
        <v>1</v>
      </c>
      <c r="Z3319">
        <v>0</v>
      </c>
      <c r="AA3319">
        <v>9</v>
      </c>
      <c r="AB3319">
        <v>3</v>
      </c>
      <c r="AC3319">
        <v>0</v>
      </c>
      <c r="AD3319">
        <v>9</v>
      </c>
      <c r="AE3319">
        <v>0</v>
      </c>
      <c r="AF3319">
        <v>3</v>
      </c>
      <c r="AG3319">
        <v>1</v>
      </c>
      <c r="AH3319">
        <v>0</v>
      </c>
      <c r="AI3319" t="s">
        <v>1097</v>
      </c>
      <c r="AJ3319">
        <v>34.091456000000001</v>
      </c>
      <c r="AK3319" t="s">
        <v>1098</v>
      </c>
      <c r="AL3319">
        <v>-117.03746099999999</v>
      </c>
      <c r="AM3319">
        <v>100</v>
      </c>
      <c r="AN3319">
        <v>5600</v>
      </c>
      <c r="AO3319" t="s">
        <v>118</v>
      </c>
      <c r="AP3319">
        <v>73</v>
      </c>
      <c r="AQ3319">
        <v>-77</v>
      </c>
      <c r="AR3319">
        <v>-320</v>
      </c>
      <c r="AZ3319">
        <v>1200</v>
      </c>
      <c r="BA3319">
        <v>1</v>
      </c>
      <c r="BB3319" t="str">
        <f t="shared" si="1817"/>
        <v xml:space="preserve">N9217B  </v>
      </c>
      <c r="BC3319">
        <v>1</v>
      </c>
      <c r="BE3319">
        <v>0</v>
      </c>
      <c r="BF3319">
        <v>0</v>
      </c>
      <c r="BG3319">
        <v>0</v>
      </c>
      <c r="BH3319">
        <v>5450</v>
      </c>
      <c r="BI3319">
        <v>1</v>
      </c>
      <c r="BJ3319">
        <v>0</v>
      </c>
      <c r="BK3319">
        <v>0</v>
      </c>
      <c r="BL3319">
        <v>0</v>
      </c>
      <c r="BO3319">
        <v>0</v>
      </c>
      <c r="BP3319">
        <v>0</v>
      </c>
      <c r="BW3319" t="str">
        <f t="shared" ref="BW3319:BW3325" si="1845">"14:57:10.355"</f>
        <v>14:57:10.355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7</v>
      </c>
      <c r="CP3319" t="s">
        <v>119</v>
      </c>
      <c r="CQ3319">
        <v>285</v>
      </c>
      <c r="CR3319">
        <v>0</v>
      </c>
      <c r="CW3319">
        <v>8877686</v>
      </c>
      <c r="CY3319">
        <v>0</v>
      </c>
      <c r="CZ3319">
        <v>0</v>
      </c>
      <c r="DA3319">
        <v>0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25">
      <c r="A3320" t="str">
        <f t="shared" si="1843"/>
        <v>06/05/2020 14:57:04.705</v>
      </c>
      <c r="C3320" t="str">
        <f t="shared" si="1836"/>
        <v>FFDFD3C0</v>
      </c>
      <c r="D3320" t="s">
        <v>141</v>
      </c>
      <c r="E3320">
        <v>20</v>
      </c>
      <c r="F3320">
        <v>1020</v>
      </c>
      <c r="G3320" t="s">
        <v>114</v>
      </c>
      <c r="J3320" t="s">
        <v>142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844"/>
        <v>14:57:10.352</v>
      </c>
      <c r="T3320" t="str">
        <f t="shared" si="1844"/>
        <v>14:57:10.352</v>
      </c>
      <c r="U3320" t="str">
        <f t="shared" si="1816"/>
        <v>ACC530</v>
      </c>
      <c r="V3320">
        <v>0</v>
      </c>
      <c r="W3320">
        <v>0</v>
      </c>
      <c r="X3320">
        <v>1</v>
      </c>
      <c r="Z3320">
        <v>0</v>
      </c>
      <c r="AA3320">
        <v>9</v>
      </c>
      <c r="AB3320">
        <v>3</v>
      </c>
      <c r="AC3320">
        <v>0</v>
      </c>
      <c r="AD3320">
        <v>9</v>
      </c>
      <c r="AE3320">
        <v>0</v>
      </c>
      <c r="AF3320">
        <v>3</v>
      </c>
      <c r="AG3320">
        <v>1</v>
      </c>
      <c r="AH3320">
        <v>0</v>
      </c>
      <c r="AI3320" t="s">
        <v>1097</v>
      </c>
      <c r="AJ3320">
        <v>34.091456000000001</v>
      </c>
      <c r="AK3320" t="s">
        <v>1098</v>
      </c>
      <c r="AL3320">
        <v>-117.03746099999999</v>
      </c>
      <c r="AM3320">
        <v>100</v>
      </c>
      <c r="AN3320">
        <v>5600</v>
      </c>
      <c r="AO3320" t="s">
        <v>118</v>
      </c>
      <c r="AP3320">
        <v>73</v>
      </c>
      <c r="AQ3320">
        <v>-77</v>
      </c>
      <c r="AR3320">
        <v>-320</v>
      </c>
      <c r="AZ3320">
        <v>1200</v>
      </c>
      <c r="BA3320">
        <v>1</v>
      </c>
      <c r="BB3320" t="str">
        <f t="shared" si="1817"/>
        <v xml:space="preserve">N9217B  </v>
      </c>
      <c r="BC3320">
        <v>1</v>
      </c>
      <c r="BE3320">
        <v>0</v>
      </c>
      <c r="BF3320">
        <v>0</v>
      </c>
      <c r="BG3320">
        <v>0</v>
      </c>
      <c r="BH3320">
        <v>5450</v>
      </c>
      <c r="BI3320">
        <v>1</v>
      </c>
      <c r="BJ3320">
        <v>0</v>
      </c>
      <c r="BK3320">
        <v>0</v>
      </c>
      <c r="BL3320">
        <v>0</v>
      </c>
      <c r="BO3320">
        <v>0</v>
      </c>
      <c r="BP3320">
        <v>0</v>
      </c>
      <c r="BW3320" t="str">
        <f t="shared" si="1845"/>
        <v>14:57:10.355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7</v>
      </c>
      <c r="CP3320" t="s">
        <v>119</v>
      </c>
      <c r="CQ3320">
        <v>285</v>
      </c>
      <c r="CR3320">
        <v>0</v>
      </c>
      <c r="CW3320">
        <v>8877686</v>
      </c>
      <c r="CY3320">
        <v>0</v>
      </c>
      <c r="CZ3320">
        <v>0</v>
      </c>
      <c r="DA3320">
        <v>1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25">
      <c r="A3321" t="str">
        <f t="shared" si="1843"/>
        <v>06/05/2020 14:57:04.705</v>
      </c>
      <c r="C3321" t="str">
        <f t="shared" si="1836"/>
        <v>FFDFD3C0</v>
      </c>
      <c r="D3321" t="s">
        <v>148</v>
      </c>
      <c r="E3321">
        <v>11</v>
      </c>
      <c r="H3321">
        <v>53</v>
      </c>
      <c r="I3321" t="s">
        <v>364</v>
      </c>
      <c r="J3321" t="s">
        <v>150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844"/>
        <v>14:57:10.352</v>
      </c>
      <c r="T3321" t="str">
        <f t="shared" si="1844"/>
        <v>14:57:10.352</v>
      </c>
      <c r="U3321" t="str">
        <f t="shared" si="1816"/>
        <v>ACC530</v>
      </c>
      <c r="V3321">
        <v>0</v>
      </c>
      <c r="W3321">
        <v>0</v>
      </c>
      <c r="X3321">
        <v>1</v>
      </c>
      <c r="Z3321">
        <v>0</v>
      </c>
      <c r="AA3321">
        <v>9</v>
      </c>
      <c r="AB3321">
        <v>3</v>
      </c>
      <c r="AC3321">
        <v>0</v>
      </c>
      <c r="AD3321">
        <v>9</v>
      </c>
      <c r="AE3321">
        <v>0</v>
      </c>
      <c r="AF3321">
        <v>3</v>
      </c>
      <c r="AG3321">
        <v>1</v>
      </c>
      <c r="AH3321">
        <v>0</v>
      </c>
      <c r="AI3321" t="s">
        <v>1097</v>
      </c>
      <c r="AJ3321">
        <v>34.091456000000001</v>
      </c>
      <c r="AK3321" t="s">
        <v>1098</v>
      </c>
      <c r="AL3321">
        <v>-117.03746099999999</v>
      </c>
      <c r="AM3321">
        <v>100</v>
      </c>
      <c r="AN3321">
        <v>5600</v>
      </c>
      <c r="AO3321" t="s">
        <v>118</v>
      </c>
      <c r="AP3321">
        <v>73</v>
      </c>
      <c r="AQ3321">
        <v>-77</v>
      </c>
      <c r="AR3321">
        <v>-320</v>
      </c>
      <c r="AZ3321">
        <v>1200</v>
      </c>
      <c r="BA3321">
        <v>1</v>
      </c>
      <c r="BB3321" t="str">
        <f t="shared" si="1817"/>
        <v xml:space="preserve">N9217B  </v>
      </c>
      <c r="BC3321">
        <v>1</v>
      </c>
      <c r="BE3321">
        <v>0</v>
      </c>
      <c r="BF3321">
        <v>0</v>
      </c>
      <c r="BG3321">
        <v>0</v>
      </c>
      <c r="BH3321">
        <v>5450</v>
      </c>
      <c r="BI3321">
        <v>1</v>
      </c>
      <c r="BJ3321">
        <v>0</v>
      </c>
      <c r="BK3321">
        <v>0</v>
      </c>
      <c r="BL3321">
        <v>0</v>
      </c>
      <c r="BO3321">
        <v>0</v>
      </c>
      <c r="BP3321">
        <v>0</v>
      </c>
      <c r="BW3321" t="str">
        <f t="shared" si="1845"/>
        <v>14:57:10.355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7</v>
      </c>
      <c r="CP3321" t="s">
        <v>119</v>
      </c>
      <c r="CQ3321">
        <v>285</v>
      </c>
      <c r="CR3321">
        <v>0</v>
      </c>
      <c r="CW3321">
        <v>8877686</v>
      </c>
      <c r="CY3321">
        <v>0</v>
      </c>
      <c r="CZ3321">
        <v>0</v>
      </c>
      <c r="DA3321">
        <v>1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25">
      <c r="A3322" t="str">
        <f t="shared" si="1843"/>
        <v>06/05/2020 14:57:04.705</v>
      </c>
      <c r="C3322" t="str">
        <f t="shared" si="1836"/>
        <v>FFDFD3C0</v>
      </c>
      <c r="D3322" t="s">
        <v>113</v>
      </c>
      <c r="E3322">
        <v>3</v>
      </c>
      <c r="H3322">
        <v>166</v>
      </c>
      <c r="I3322" t="s">
        <v>114</v>
      </c>
      <c r="J3322" t="s">
        <v>115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844"/>
        <v>14:57:10.352</v>
      </c>
      <c r="T3322" t="str">
        <f t="shared" si="1844"/>
        <v>14:57:10.352</v>
      </c>
      <c r="U3322" t="str">
        <f t="shared" si="1816"/>
        <v>ACC530</v>
      </c>
      <c r="V3322">
        <v>0</v>
      </c>
      <c r="W3322">
        <v>0</v>
      </c>
      <c r="X3322">
        <v>1</v>
      </c>
      <c r="Z3322">
        <v>0</v>
      </c>
      <c r="AA3322">
        <v>9</v>
      </c>
      <c r="AB3322">
        <v>3</v>
      </c>
      <c r="AC3322">
        <v>0</v>
      </c>
      <c r="AD3322">
        <v>9</v>
      </c>
      <c r="AE3322">
        <v>0</v>
      </c>
      <c r="AF3322">
        <v>3</v>
      </c>
      <c r="AG3322">
        <v>1</v>
      </c>
      <c r="AH3322">
        <v>0</v>
      </c>
      <c r="AI3322" t="s">
        <v>1097</v>
      </c>
      <c r="AJ3322">
        <v>34.091456000000001</v>
      </c>
      <c r="AK3322" t="s">
        <v>1098</v>
      </c>
      <c r="AL3322">
        <v>-117.03746099999999</v>
      </c>
      <c r="AM3322">
        <v>100</v>
      </c>
      <c r="AN3322">
        <v>5600</v>
      </c>
      <c r="AO3322" t="s">
        <v>118</v>
      </c>
      <c r="AP3322">
        <v>73</v>
      </c>
      <c r="AQ3322">
        <v>-77</v>
      </c>
      <c r="AR3322">
        <v>-320</v>
      </c>
      <c r="AZ3322">
        <v>1200</v>
      </c>
      <c r="BA3322">
        <v>1</v>
      </c>
      <c r="BB3322" t="str">
        <f t="shared" si="1817"/>
        <v xml:space="preserve">N9217B  </v>
      </c>
      <c r="BC3322">
        <v>1</v>
      </c>
      <c r="BE3322">
        <v>0</v>
      </c>
      <c r="BF3322">
        <v>0</v>
      </c>
      <c r="BG3322">
        <v>0</v>
      </c>
      <c r="BH3322">
        <v>5450</v>
      </c>
      <c r="BI3322">
        <v>1</v>
      </c>
      <c r="BJ3322">
        <v>0</v>
      </c>
      <c r="BK3322">
        <v>0</v>
      </c>
      <c r="BL3322">
        <v>0</v>
      </c>
      <c r="BO3322">
        <v>0</v>
      </c>
      <c r="BP3322">
        <v>0</v>
      </c>
      <c r="BW3322" t="str">
        <f t="shared" si="1845"/>
        <v>14:57:10.355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7</v>
      </c>
      <c r="CP3322" t="s">
        <v>119</v>
      </c>
      <c r="CQ3322">
        <v>285</v>
      </c>
      <c r="CR3322">
        <v>0</v>
      </c>
      <c r="CW3322">
        <v>8877686</v>
      </c>
      <c r="CY3322">
        <v>0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25">
      <c r="A3323" t="str">
        <f t="shared" si="1843"/>
        <v>06/05/2020 14:57:04.705</v>
      </c>
      <c r="C3323" t="str">
        <f t="shared" si="1836"/>
        <v>FFDFD3C0</v>
      </c>
      <c r="D3323" t="s">
        <v>151</v>
      </c>
      <c r="E3323">
        <v>8</v>
      </c>
      <c r="H3323">
        <v>225</v>
      </c>
      <c r="I3323" t="s">
        <v>353</v>
      </c>
      <c r="J3323" t="s">
        <v>150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844"/>
        <v>14:57:10.352</v>
      </c>
      <c r="T3323" t="str">
        <f t="shared" si="1844"/>
        <v>14:57:10.352</v>
      </c>
      <c r="U3323" t="str">
        <f t="shared" si="1816"/>
        <v>ACC530</v>
      </c>
      <c r="V3323">
        <v>0</v>
      </c>
      <c r="W3323">
        <v>0</v>
      </c>
      <c r="X3323">
        <v>1</v>
      </c>
      <c r="Z3323">
        <v>0</v>
      </c>
      <c r="AA3323">
        <v>9</v>
      </c>
      <c r="AB3323">
        <v>3</v>
      </c>
      <c r="AC3323">
        <v>0</v>
      </c>
      <c r="AD3323">
        <v>9</v>
      </c>
      <c r="AE3323">
        <v>0</v>
      </c>
      <c r="AF3323">
        <v>3</v>
      </c>
      <c r="AG3323">
        <v>1</v>
      </c>
      <c r="AH3323">
        <v>0</v>
      </c>
      <c r="AI3323" t="s">
        <v>1097</v>
      </c>
      <c r="AJ3323">
        <v>34.091456000000001</v>
      </c>
      <c r="AK3323" t="s">
        <v>1098</v>
      </c>
      <c r="AL3323">
        <v>-117.03746099999999</v>
      </c>
      <c r="AM3323">
        <v>100</v>
      </c>
      <c r="AN3323">
        <v>5600</v>
      </c>
      <c r="AO3323" t="s">
        <v>118</v>
      </c>
      <c r="AP3323">
        <v>73</v>
      </c>
      <c r="AQ3323">
        <v>-77</v>
      </c>
      <c r="AR3323">
        <v>-320</v>
      </c>
      <c r="AZ3323">
        <v>1200</v>
      </c>
      <c r="BA3323">
        <v>1</v>
      </c>
      <c r="BB3323" t="str">
        <f t="shared" si="1817"/>
        <v xml:space="preserve">N9217B  </v>
      </c>
      <c r="BC3323">
        <v>1</v>
      </c>
      <c r="BE3323">
        <v>0</v>
      </c>
      <c r="BF3323">
        <v>0</v>
      </c>
      <c r="BG3323">
        <v>0</v>
      </c>
      <c r="BH3323">
        <v>5450</v>
      </c>
      <c r="BI3323">
        <v>1</v>
      </c>
      <c r="BJ3323">
        <v>0</v>
      </c>
      <c r="BK3323">
        <v>0</v>
      </c>
      <c r="BL3323">
        <v>0</v>
      </c>
      <c r="BO3323">
        <v>0</v>
      </c>
      <c r="BP3323">
        <v>0</v>
      </c>
      <c r="BW3323" t="str">
        <f t="shared" si="1845"/>
        <v>14:57:10.355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7</v>
      </c>
      <c r="CP3323" t="s">
        <v>119</v>
      </c>
      <c r="CQ3323">
        <v>285</v>
      </c>
      <c r="CR3323">
        <v>0</v>
      </c>
      <c r="CW3323">
        <v>8877686</v>
      </c>
      <c r="CY3323">
        <v>0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25">
      <c r="A3324" t="str">
        <f t="shared" si="1843"/>
        <v>06/05/2020 14:57:04.705</v>
      </c>
      <c r="C3324" t="str">
        <f t="shared" si="1836"/>
        <v>FFDFD3C0</v>
      </c>
      <c r="D3324" t="s">
        <v>148</v>
      </c>
      <c r="E3324">
        <v>8</v>
      </c>
      <c r="H3324">
        <v>50</v>
      </c>
      <c r="I3324" t="s">
        <v>149</v>
      </c>
      <c r="J3324" t="s">
        <v>150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844"/>
        <v>14:57:10.352</v>
      </c>
      <c r="T3324" t="str">
        <f t="shared" si="1844"/>
        <v>14:57:10.352</v>
      </c>
      <c r="U3324" t="str">
        <f t="shared" si="1816"/>
        <v>ACC530</v>
      </c>
      <c r="V3324">
        <v>0</v>
      </c>
      <c r="W3324">
        <v>0</v>
      </c>
      <c r="X3324">
        <v>1</v>
      </c>
      <c r="Z3324">
        <v>0</v>
      </c>
      <c r="AA3324">
        <v>9</v>
      </c>
      <c r="AB3324">
        <v>3</v>
      </c>
      <c r="AC3324">
        <v>0</v>
      </c>
      <c r="AD3324">
        <v>9</v>
      </c>
      <c r="AE3324">
        <v>0</v>
      </c>
      <c r="AF3324">
        <v>3</v>
      </c>
      <c r="AG3324">
        <v>1</v>
      </c>
      <c r="AH3324">
        <v>0</v>
      </c>
      <c r="AI3324" t="s">
        <v>1097</v>
      </c>
      <c r="AJ3324">
        <v>34.091456000000001</v>
      </c>
      <c r="AK3324" t="s">
        <v>1098</v>
      </c>
      <c r="AL3324">
        <v>-117.03746099999999</v>
      </c>
      <c r="AM3324">
        <v>100</v>
      </c>
      <c r="AN3324">
        <v>5600</v>
      </c>
      <c r="AO3324" t="s">
        <v>118</v>
      </c>
      <c r="AP3324">
        <v>73</v>
      </c>
      <c r="AQ3324">
        <v>-77</v>
      </c>
      <c r="AR3324">
        <v>-320</v>
      </c>
      <c r="AZ3324">
        <v>1200</v>
      </c>
      <c r="BA3324">
        <v>1</v>
      </c>
      <c r="BB3324" t="str">
        <f t="shared" si="1817"/>
        <v xml:space="preserve">N9217B  </v>
      </c>
      <c r="BC3324">
        <v>1</v>
      </c>
      <c r="BE3324">
        <v>0</v>
      </c>
      <c r="BF3324">
        <v>0</v>
      </c>
      <c r="BG3324">
        <v>0</v>
      </c>
      <c r="BH3324">
        <v>5450</v>
      </c>
      <c r="BI3324">
        <v>1</v>
      </c>
      <c r="BJ3324">
        <v>0</v>
      </c>
      <c r="BK3324">
        <v>0</v>
      </c>
      <c r="BL3324">
        <v>0</v>
      </c>
      <c r="BO3324">
        <v>0</v>
      </c>
      <c r="BP3324">
        <v>0</v>
      </c>
      <c r="BW3324" t="str">
        <f t="shared" si="1845"/>
        <v>14:57:10.355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7</v>
      </c>
      <c r="CP3324" t="s">
        <v>119</v>
      </c>
      <c r="CQ3324">
        <v>285</v>
      </c>
      <c r="CR3324">
        <v>0</v>
      </c>
      <c r="CW3324">
        <v>8877686</v>
      </c>
      <c r="CY3324">
        <v>0</v>
      </c>
      <c r="CZ3324">
        <v>0</v>
      </c>
      <c r="DA3324">
        <v>1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25">
      <c r="A3325" t="str">
        <f t="shared" si="1843"/>
        <v>06/05/2020 14:57:04.705</v>
      </c>
      <c r="C3325" t="str">
        <f t="shared" si="1836"/>
        <v>FFDFD3C0</v>
      </c>
      <c r="D3325" t="s">
        <v>134</v>
      </c>
      <c r="E3325">
        <v>7</v>
      </c>
      <c r="F3325">
        <v>2007</v>
      </c>
      <c r="G3325" t="s">
        <v>135</v>
      </c>
      <c r="J3325" t="s">
        <v>136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844"/>
        <v>14:57:10.352</v>
      </c>
      <c r="T3325" t="str">
        <f t="shared" si="1844"/>
        <v>14:57:10.352</v>
      </c>
      <c r="U3325" t="str">
        <f t="shared" si="1816"/>
        <v>ACC530</v>
      </c>
      <c r="V3325">
        <v>0</v>
      </c>
      <c r="W3325">
        <v>0</v>
      </c>
      <c r="X3325">
        <v>1</v>
      </c>
      <c r="Z3325">
        <v>0</v>
      </c>
      <c r="AA3325">
        <v>9</v>
      </c>
      <c r="AB3325">
        <v>3</v>
      </c>
      <c r="AC3325">
        <v>0</v>
      </c>
      <c r="AD3325">
        <v>9</v>
      </c>
      <c r="AE3325">
        <v>0</v>
      </c>
      <c r="AF3325">
        <v>3</v>
      </c>
      <c r="AG3325">
        <v>1</v>
      </c>
      <c r="AH3325">
        <v>0</v>
      </c>
      <c r="AI3325" t="s">
        <v>1097</v>
      </c>
      <c r="AJ3325">
        <v>34.091456000000001</v>
      </c>
      <c r="AK3325" t="s">
        <v>1098</v>
      </c>
      <c r="AL3325">
        <v>-117.03746099999999</v>
      </c>
      <c r="AM3325">
        <v>100</v>
      </c>
      <c r="AN3325">
        <v>5600</v>
      </c>
      <c r="AO3325" t="s">
        <v>118</v>
      </c>
      <c r="AP3325">
        <v>73</v>
      </c>
      <c r="AQ3325">
        <v>-77</v>
      </c>
      <c r="AR3325">
        <v>-320</v>
      </c>
      <c r="AZ3325">
        <v>1200</v>
      </c>
      <c r="BA3325">
        <v>1</v>
      </c>
      <c r="BB3325" t="str">
        <f t="shared" si="1817"/>
        <v xml:space="preserve">N9217B  </v>
      </c>
      <c r="BC3325">
        <v>1</v>
      </c>
      <c r="BE3325">
        <v>0</v>
      </c>
      <c r="BF3325">
        <v>0</v>
      </c>
      <c r="BG3325">
        <v>0</v>
      </c>
      <c r="BH3325">
        <v>5450</v>
      </c>
      <c r="BI3325">
        <v>1</v>
      </c>
      <c r="BJ3325">
        <v>0</v>
      </c>
      <c r="BK3325">
        <v>0</v>
      </c>
      <c r="BL3325">
        <v>0</v>
      </c>
      <c r="BO3325">
        <v>0</v>
      </c>
      <c r="BP3325">
        <v>0</v>
      </c>
      <c r="BW3325" t="str">
        <f t="shared" si="1845"/>
        <v>14:57:10.355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119</v>
      </c>
      <c r="CQ3325">
        <v>285</v>
      </c>
      <c r="CR3325">
        <v>0</v>
      </c>
      <c r="CW3325">
        <v>8877686</v>
      </c>
      <c r="CY3325">
        <v>0</v>
      </c>
      <c r="CZ3325">
        <v>0</v>
      </c>
      <c r="DA3325">
        <v>1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25">
      <c r="A3326" t="str">
        <f t="shared" ref="A3326:A3332" si="1846">"06/05/2020 14:57:05.689"</f>
        <v>06/05/2020 14:57:05.689</v>
      </c>
      <c r="C3326" t="str">
        <f t="shared" si="1836"/>
        <v>FFDFD3C0</v>
      </c>
      <c r="D3326" t="s">
        <v>113</v>
      </c>
      <c r="E3326">
        <v>3</v>
      </c>
      <c r="H3326">
        <v>166</v>
      </c>
      <c r="I3326" t="s">
        <v>114</v>
      </c>
      <c r="J3326" t="s">
        <v>115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ref="S3326:T3332" si="1847">"14:57:11.313"</f>
        <v>14:57:11.313</v>
      </c>
      <c r="T3326" t="str">
        <f t="shared" si="1847"/>
        <v>14:57:11.313</v>
      </c>
      <c r="U3326" t="str">
        <f t="shared" si="1816"/>
        <v>ACC530</v>
      </c>
      <c r="V3326">
        <v>0</v>
      </c>
      <c r="W3326">
        <v>0</v>
      </c>
      <c r="X3326">
        <v>1</v>
      </c>
      <c r="Z3326">
        <v>0</v>
      </c>
      <c r="AA3326">
        <v>9</v>
      </c>
      <c r="AB3326">
        <v>3</v>
      </c>
      <c r="AC3326">
        <v>0</v>
      </c>
      <c r="AD3326">
        <v>9</v>
      </c>
      <c r="AE3326">
        <v>0</v>
      </c>
      <c r="AF3326">
        <v>3</v>
      </c>
      <c r="AG3326">
        <v>1</v>
      </c>
      <c r="AH3326">
        <v>0</v>
      </c>
      <c r="AI3326" t="s">
        <v>1099</v>
      </c>
      <c r="AJ3326">
        <v>34.091133999999997</v>
      </c>
      <c r="AK3326" t="s">
        <v>1100</v>
      </c>
      <c r="AL3326">
        <v>-117.03701</v>
      </c>
      <c r="AM3326">
        <v>100</v>
      </c>
      <c r="AN3326">
        <v>5600</v>
      </c>
      <c r="AO3326" t="s">
        <v>118</v>
      </c>
      <c r="AP3326">
        <v>73</v>
      </c>
      <c r="AQ3326">
        <v>-76</v>
      </c>
      <c r="AR3326">
        <v>-320</v>
      </c>
      <c r="AZ3326">
        <v>1200</v>
      </c>
      <c r="BA3326">
        <v>1</v>
      </c>
      <c r="BB3326" t="str">
        <f t="shared" si="1817"/>
        <v xml:space="preserve">N9217B  </v>
      </c>
      <c r="BC3326">
        <v>1</v>
      </c>
      <c r="BE3326">
        <v>0</v>
      </c>
      <c r="BF3326">
        <v>0</v>
      </c>
      <c r="BG3326">
        <v>0</v>
      </c>
      <c r="BH3326">
        <v>5450</v>
      </c>
      <c r="BI3326">
        <v>1</v>
      </c>
      <c r="BJ3326">
        <v>0</v>
      </c>
      <c r="BK3326">
        <v>0</v>
      </c>
      <c r="BL3326">
        <v>0</v>
      </c>
      <c r="BO3326">
        <v>0</v>
      </c>
      <c r="BP3326">
        <v>0</v>
      </c>
      <c r="BW3326" t="str">
        <f t="shared" ref="BW3326:BW3332" si="1848">"14:57:11.315"</f>
        <v>14:57:11.315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119</v>
      </c>
      <c r="CQ3326">
        <v>285</v>
      </c>
      <c r="CR3326">
        <v>0</v>
      </c>
      <c r="CW3326">
        <v>8877775</v>
      </c>
      <c r="CY3326">
        <v>0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25">
      <c r="A3327" t="str">
        <f t="shared" si="1846"/>
        <v>06/05/2020 14:57:05.689</v>
      </c>
      <c r="C3327" t="str">
        <f t="shared" si="1836"/>
        <v>FFDFD3C0</v>
      </c>
      <c r="D3327" t="s">
        <v>151</v>
      </c>
      <c r="E3327">
        <v>8</v>
      </c>
      <c r="H3327">
        <v>225</v>
      </c>
      <c r="I3327" t="s">
        <v>353</v>
      </c>
      <c r="J3327" t="s">
        <v>150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847"/>
        <v>14:57:11.313</v>
      </c>
      <c r="T3327" t="str">
        <f t="shared" si="1847"/>
        <v>14:57:11.313</v>
      </c>
      <c r="U3327" t="str">
        <f t="shared" si="1816"/>
        <v>ACC530</v>
      </c>
      <c r="V3327">
        <v>0</v>
      </c>
      <c r="W3327">
        <v>0</v>
      </c>
      <c r="X3327">
        <v>1</v>
      </c>
      <c r="Z3327">
        <v>0</v>
      </c>
      <c r="AA3327">
        <v>9</v>
      </c>
      <c r="AB3327">
        <v>3</v>
      </c>
      <c r="AC3327">
        <v>0</v>
      </c>
      <c r="AD3327">
        <v>9</v>
      </c>
      <c r="AE3327">
        <v>0</v>
      </c>
      <c r="AF3327">
        <v>3</v>
      </c>
      <c r="AG3327">
        <v>1</v>
      </c>
      <c r="AH3327">
        <v>0</v>
      </c>
      <c r="AI3327" t="s">
        <v>1099</v>
      </c>
      <c r="AJ3327">
        <v>34.091133999999997</v>
      </c>
      <c r="AK3327" t="s">
        <v>1100</v>
      </c>
      <c r="AL3327">
        <v>-117.03701</v>
      </c>
      <c r="AM3327">
        <v>100</v>
      </c>
      <c r="AN3327">
        <v>5600</v>
      </c>
      <c r="AO3327" t="s">
        <v>118</v>
      </c>
      <c r="AP3327">
        <v>73</v>
      </c>
      <c r="AQ3327">
        <v>-76</v>
      </c>
      <c r="AR3327">
        <v>-320</v>
      </c>
      <c r="AZ3327">
        <v>1200</v>
      </c>
      <c r="BA3327">
        <v>1</v>
      </c>
      <c r="BB3327" t="str">
        <f t="shared" si="1817"/>
        <v xml:space="preserve">N9217B  </v>
      </c>
      <c r="BC3327">
        <v>1</v>
      </c>
      <c r="BE3327">
        <v>0</v>
      </c>
      <c r="BF3327">
        <v>0</v>
      </c>
      <c r="BG3327">
        <v>0</v>
      </c>
      <c r="BH3327">
        <v>5450</v>
      </c>
      <c r="BI3327">
        <v>1</v>
      </c>
      <c r="BJ3327">
        <v>0</v>
      </c>
      <c r="BK3327">
        <v>0</v>
      </c>
      <c r="BL3327">
        <v>0</v>
      </c>
      <c r="BO3327">
        <v>0</v>
      </c>
      <c r="BP3327">
        <v>0</v>
      </c>
      <c r="BW3327" t="str">
        <f t="shared" si="1848"/>
        <v>14:57:11.315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119</v>
      </c>
      <c r="CQ3327">
        <v>285</v>
      </c>
      <c r="CR3327">
        <v>0</v>
      </c>
      <c r="CW3327">
        <v>8877775</v>
      </c>
      <c r="CY3327">
        <v>0</v>
      </c>
      <c r="CZ3327">
        <v>0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25">
      <c r="A3328" t="str">
        <f t="shared" si="1846"/>
        <v>06/05/2020 14:57:05.689</v>
      </c>
      <c r="C3328" t="str">
        <f t="shared" si="1836"/>
        <v>FFDFD3C0</v>
      </c>
      <c r="D3328" t="s">
        <v>148</v>
      </c>
      <c r="E3328">
        <v>8</v>
      </c>
      <c r="H3328">
        <v>50</v>
      </c>
      <c r="I3328" t="s">
        <v>149</v>
      </c>
      <c r="J3328" t="s">
        <v>150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si="1847"/>
        <v>14:57:11.313</v>
      </c>
      <c r="T3328" t="str">
        <f t="shared" si="1847"/>
        <v>14:57:11.313</v>
      </c>
      <c r="U3328" t="str">
        <f t="shared" si="1816"/>
        <v>ACC530</v>
      </c>
      <c r="V3328">
        <v>0</v>
      </c>
      <c r="W3328">
        <v>0</v>
      </c>
      <c r="X3328">
        <v>1</v>
      </c>
      <c r="Z3328">
        <v>0</v>
      </c>
      <c r="AA3328">
        <v>9</v>
      </c>
      <c r="AB3328">
        <v>3</v>
      </c>
      <c r="AC3328">
        <v>0</v>
      </c>
      <c r="AD3328">
        <v>9</v>
      </c>
      <c r="AE3328">
        <v>0</v>
      </c>
      <c r="AF3328">
        <v>3</v>
      </c>
      <c r="AG3328">
        <v>1</v>
      </c>
      <c r="AH3328">
        <v>0</v>
      </c>
      <c r="AI3328" t="s">
        <v>1099</v>
      </c>
      <c r="AJ3328">
        <v>34.091133999999997</v>
      </c>
      <c r="AK3328" t="s">
        <v>1100</v>
      </c>
      <c r="AL3328">
        <v>-117.03701</v>
      </c>
      <c r="AM3328">
        <v>100</v>
      </c>
      <c r="AN3328">
        <v>5600</v>
      </c>
      <c r="AO3328" t="s">
        <v>118</v>
      </c>
      <c r="AP3328">
        <v>73</v>
      </c>
      <c r="AQ3328">
        <v>-76</v>
      </c>
      <c r="AR3328">
        <v>-320</v>
      </c>
      <c r="AZ3328">
        <v>1200</v>
      </c>
      <c r="BA3328">
        <v>1</v>
      </c>
      <c r="BB3328" t="str">
        <f t="shared" si="1817"/>
        <v xml:space="preserve">N9217B  </v>
      </c>
      <c r="BC3328">
        <v>1</v>
      </c>
      <c r="BE3328">
        <v>0</v>
      </c>
      <c r="BF3328">
        <v>0</v>
      </c>
      <c r="BG3328">
        <v>0</v>
      </c>
      <c r="BH3328">
        <v>5450</v>
      </c>
      <c r="BI3328">
        <v>1</v>
      </c>
      <c r="BJ3328">
        <v>0</v>
      </c>
      <c r="BK3328">
        <v>0</v>
      </c>
      <c r="BL3328">
        <v>0</v>
      </c>
      <c r="BO3328">
        <v>0</v>
      </c>
      <c r="BP3328">
        <v>0</v>
      </c>
      <c r="BW3328" t="str">
        <f t="shared" si="1848"/>
        <v>14:57:11.315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7</v>
      </c>
      <c r="CP3328" t="s">
        <v>119</v>
      </c>
      <c r="CQ3328">
        <v>285</v>
      </c>
      <c r="CR3328">
        <v>0</v>
      </c>
      <c r="CW3328">
        <v>8877775</v>
      </c>
      <c r="CY3328">
        <v>0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25">
      <c r="A3329" t="str">
        <f t="shared" si="1846"/>
        <v>06/05/2020 14:57:05.689</v>
      </c>
      <c r="C3329" t="str">
        <f t="shared" si="1836"/>
        <v>FFDFD3C0</v>
      </c>
      <c r="D3329" t="s">
        <v>134</v>
      </c>
      <c r="E3329">
        <v>7</v>
      </c>
      <c r="F3329">
        <v>2007</v>
      </c>
      <c r="G3329" t="s">
        <v>135</v>
      </c>
      <c r="J3329" t="s">
        <v>136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847"/>
        <v>14:57:11.313</v>
      </c>
      <c r="T3329" t="str">
        <f t="shared" si="1847"/>
        <v>14:57:11.313</v>
      </c>
      <c r="U3329" t="str">
        <f t="shared" si="1816"/>
        <v>ACC530</v>
      </c>
      <c r="V3329">
        <v>0</v>
      </c>
      <c r="W3329">
        <v>0</v>
      </c>
      <c r="X3329">
        <v>1</v>
      </c>
      <c r="Z3329">
        <v>0</v>
      </c>
      <c r="AA3329">
        <v>9</v>
      </c>
      <c r="AB3329">
        <v>3</v>
      </c>
      <c r="AC3329">
        <v>0</v>
      </c>
      <c r="AD3329">
        <v>9</v>
      </c>
      <c r="AE3329">
        <v>0</v>
      </c>
      <c r="AF3329">
        <v>3</v>
      </c>
      <c r="AG3329">
        <v>1</v>
      </c>
      <c r="AH3329">
        <v>0</v>
      </c>
      <c r="AI3329" t="s">
        <v>1099</v>
      </c>
      <c r="AJ3329">
        <v>34.091133999999997</v>
      </c>
      <c r="AK3329" t="s">
        <v>1100</v>
      </c>
      <c r="AL3329">
        <v>-117.03701</v>
      </c>
      <c r="AM3329">
        <v>100</v>
      </c>
      <c r="AN3329">
        <v>5600</v>
      </c>
      <c r="AO3329" t="s">
        <v>118</v>
      </c>
      <c r="AP3329">
        <v>73</v>
      </c>
      <c r="AQ3329">
        <v>-76</v>
      </c>
      <c r="AR3329">
        <v>-320</v>
      </c>
      <c r="AZ3329">
        <v>1200</v>
      </c>
      <c r="BA3329">
        <v>1</v>
      </c>
      <c r="BB3329" t="str">
        <f t="shared" si="1817"/>
        <v xml:space="preserve">N9217B  </v>
      </c>
      <c r="BC3329">
        <v>1</v>
      </c>
      <c r="BE3329">
        <v>0</v>
      </c>
      <c r="BF3329">
        <v>0</v>
      </c>
      <c r="BG3329">
        <v>0</v>
      </c>
      <c r="BH3329">
        <v>5450</v>
      </c>
      <c r="BI3329">
        <v>1</v>
      </c>
      <c r="BJ3329">
        <v>0</v>
      </c>
      <c r="BK3329">
        <v>0</v>
      </c>
      <c r="BL3329">
        <v>0</v>
      </c>
      <c r="BO3329">
        <v>0</v>
      </c>
      <c r="BP3329">
        <v>0</v>
      </c>
      <c r="BW3329" t="str">
        <f t="shared" si="1848"/>
        <v>14:57:11.315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7</v>
      </c>
      <c r="CP3329" t="s">
        <v>119</v>
      </c>
      <c r="CQ3329">
        <v>285</v>
      </c>
      <c r="CR3329">
        <v>0</v>
      </c>
      <c r="CW3329">
        <v>8877775</v>
      </c>
      <c r="CY3329">
        <v>0</v>
      </c>
      <c r="CZ3329">
        <v>0</v>
      </c>
      <c r="DA3329">
        <v>1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25">
      <c r="A3330" t="str">
        <f t="shared" si="1846"/>
        <v>06/05/2020 14:57:05.689</v>
      </c>
      <c r="C3330" t="str">
        <f t="shared" si="1836"/>
        <v>FFDFD3C0</v>
      </c>
      <c r="D3330" t="s">
        <v>141</v>
      </c>
      <c r="E3330">
        <v>20</v>
      </c>
      <c r="F3330">
        <v>1020</v>
      </c>
      <c r="G3330" t="s">
        <v>114</v>
      </c>
      <c r="J3330" t="s">
        <v>142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847"/>
        <v>14:57:11.313</v>
      </c>
      <c r="T3330" t="str">
        <f t="shared" si="1847"/>
        <v>14:57:11.313</v>
      </c>
      <c r="U3330" t="str">
        <f t="shared" ref="U3330:U3393" si="1849">"ACC530"</f>
        <v>ACC530</v>
      </c>
      <c r="V3330">
        <v>0</v>
      </c>
      <c r="W3330">
        <v>0</v>
      </c>
      <c r="X3330">
        <v>1</v>
      </c>
      <c r="Z3330">
        <v>0</v>
      </c>
      <c r="AA3330">
        <v>9</v>
      </c>
      <c r="AB3330">
        <v>3</v>
      </c>
      <c r="AC3330">
        <v>0</v>
      </c>
      <c r="AD3330">
        <v>9</v>
      </c>
      <c r="AE3330">
        <v>0</v>
      </c>
      <c r="AF3330">
        <v>3</v>
      </c>
      <c r="AG3330">
        <v>1</v>
      </c>
      <c r="AH3330">
        <v>0</v>
      </c>
      <c r="AI3330" t="s">
        <v>1099</v>
      </c>
      <c r="AJ3330">
        <v>34.091133999999997</v>
      </c>
      <c r="AK3330" t="s">
        <v>1100</v>
      </c>
      <c r="AL3330">
        <v>-117.03701</v>
      </c>
      <c r="AM3330">
        <v>100</v>
      </c>
      <c r="AN3330">
        <v>5600</v>
      </c>
      <c r="AO3330" t="s">
        <v>118</v>
      </c>
      <c r="AP3330">
        <v>73</v>
      </c>
      <c r="AQ3330">
        <v>-76</v>
      </c>
      <c r="AR3330">
        <v>-320</v>
      </c>
      <c r="AZ3330">
        <v>1200</v>
      </c>
      <c r="BA3330">
        <v>1</v>
      </c>
      <c r="BB3330" t="str">
        <f t="shared" si="1817"/>
        <v xml:space="preserve">N9217B  </v>
      </c>
      <c r="BC3330">
        <v>1</v>
      </c>
      <c r="BE3330">
        <v>0</v>
      </c>
      <c r="BF3330">
        <v>0</v>
      </c>
      <c r="BG3330">
        <v>0</v>
      </c>
      <c r="BH3330">
        <v>5450</v>
      </c>
      <c r="BI3330">
        <v>1</v>
      </c>
      <c r="BJ3330">
        <v>0</v>
      </c>
      <c r="BK3330">
        <v>0</v>
      </c>
      <c r="BL3330">
        <v>0</v>
      </c>
      <c r="BO3330">
        <v>0</v>
      </c>
      <c r="BP3330">
        <v>0</v>
      </c>
      <c r="BW3330" t="str">
        <f t="shared" si="1848"/>
        <v>14:57:11.315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7</v>
      </c>
      <c r="CP3330" t="s">
        <v>119</v>
      </c>
      <c r="CQ3330">
        <v>285</v>
      </c>
      <c r="CR3330">
        <v>0</v>
      </c>
      <c r="CW3330">
        <v>8877775</v>
      </c>
      <c r="CY3330">
        <v>0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25">
      <c r="A3331" t="str">
        <f t="shared" si="1846"/>
        <v>06/05/2020 14:57:05.689</v>
      </c>
      <c r="C3331" t="str">
        <f t="shared" si="1836"/>
        <v>FFDFD3C0</v>
      </c>
      <c r="D3331" t="s">
        <v>151</v>
      </c>
      <c r="E3331">
        <v>9</v>
      </c>
      <c r="H3331">
        <v>226</v>
      </c>
      <c r="I3331" t="s">
        <v>152</v>
      </c>
      <c r="J3331" t="s">
        <v>150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si="1847"/>
        <v>14:57:11.313</v>
      </c>
      <c r="T3331" t="str">
        <f t="shared" si="1847"/>
        <v>14:57:11.313</v>
      </c>
      <c r="U3331" t="str">
        <f t="shared" si="1849"/>
        <v>ACC530</v>
      </c>
      <c r="V3331">
        <v>0</v>
      </c>
      <c r="W3331">
        <v>0</v>
      </c>
      <c r="X3331">
        <v>1</v>
      </c>
      <c r="Z3331">
        <v>0</v>
      </c>
      <c r="AA3331">
        <v>9</v>
      </c>
      <c r="AB3331">
        <v>3</v>
      </c>
      <c r="AC3331">
        <v>0</v>
      </c>
      <c r="AD3331">
        <v>9</v>
      </c>
      <c r="AE3331">
        <v>0</v>
      </c>
      <c r="AF3331">
        <v>3</v>
      </c>
      <c r="AG3331">
        <v>1</v>
      </c>
      <c r="AH3331">
        <v>0</v>
      </c>
      <c r="AI3331" t="s">
        <v>1099</v>
      </c>
      <c r="AJ3331">
        <v>34.091133999999997</v>
      </c>
      <c r="AK3331" t="s">
        <v>1100</v>
      </c>
      <c r="AL3331">
        <v>-117.03701</v>
      </c>
      <c r="AM3331">
        <v>100</v>
      </c>
      <c r="AN3331">
        <v>5600</v>
      </c>
      <c r="AO3331" t="s">
        <v>118</v>
      </c>
      <c r="AP3331">
        <v>73</v>
      </c>
      <c r="AQ3331">
        <v>-76</v>
      </c>
      <c r="AR3331">
        <v>-320</v>
      </c>
      <c r="AZ3331">
        <v>1200</v>
      </c>
      <c r="BA3331">
        <v>1</v>
      </c>
      <c r="BB3331" t="str">
        <f t="shared" si="1817"/>
        <v xml:space="preserve">N9217B  </v>
      </c>
      <c r="BC3331">
        <v>1</v>
      </c>
      <c r="BE3331">
        <v>0</v>
      </c>
      <c r="BF3331">
        <v>0</v>
      </c>
      <c r="BG3331">
        <v>0</v>
      </c>
      <c r="BH3331">
        <v>5450</v>
      </c>
      <c r="BI3331">
        <v>1</v>
      </c>
      <c r="BJ3331">
        <v>0</v>
      </c>
      <c r="BK3331">
        <v>0</v>
      </c>
      <c r="BL3331">
        <v>0</v>
      </c>
      <c r="BO3331">
        <v>0</v>
      </c>
      <c r="BP3331">
        <v>0</v>
      </c>
      <c r="BW3331" t="str">
        <f t="shared" si="1848"/>
        <v>14:57:11.315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7</v>
      </c>
      <c r="CP3331" t="s">
        <v>119</v>
      </c>
      <c r="CQ3331">
        <v>285</v>
      </c>
      <c r="CR3331">
        <v>0</v>
      </c>
      <c r="CW3331">
        <v>8877775</v>
      </c>
      <c r="CY3331">
        <v>0</v>
      </c>
      <c r="CZ3331">
        <v>0</v>
      </c>
      <c r="DA3331">
        <v>1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25">
      <c r="A3332" t="str">
        <f t="shared" si="1846"/>
        <v>06/05/2020 14:57:05.689</v>
      </c>
      <c r="C3332" t="str">
        <f t="shared" si="1836"/>
        <v>FFDFD3C0</v>
      </c>
      <c r="D3332" t="s">
        <v>148</v>
      </c>
      <c r="E3332">
        <v>11</v>
      </c>
      <c r="H3332">
        <v>53</v>
      </c>
      <c r="I3332" t="s">
        <v>364</v>
      </c>
      <c r="J3332" t="s">
        <v>150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847"/>
        <v>14:57:11.313</v>
      </c>
      <c r="T3332" t="str">
        <f t="shared" si="1847"/>
        <v>14:57:11.313</v>
      </c>
      <c r="U3332" t="str">
        <f t="shared" si="1849"/>
        <v>ACC530</v>
      </c>
      <c r="V3332">
        <v>0</v>
      </c>
      <c r="W3332">
        <v>0</v>
      </c>
      <c r="X3332">
        <v>1</v>
      </c>
      <c r="Z3332">
        <v>0</v>
      </c>
      <c r="AA3332">
        <v>9</v>
      </c>
      <c r="AB3332">
        <v>3</v>
      </c>
      <c r="AC3332">
        <v>0</v>
      </c>
      <c r="AD3332">
        <v>9</v>
      </c>
      <c r="AE3332">
        <v>0</v>
      </c>
      <c r="AF3332">
        <v>3</v>
      </c>
      <c r="AG3332">
        <v>1</v>
      </c>
      <c r="AH3332">
        <v>0</v>
      </c>
      <c r="AI3332" t="s">
        <v>1099</v>
      </c>
      <c r="AJ3332">
        <v>34.091133999999997</v>
      </c>
      <c r="AK3332" t="s">
        <v>1100</v>
      </c>
      <c r="AL3332">
        <v>-117.03701</v>
      </c>
      <c r="AM3332">
        <v>100</v>
      </c>
      <c r="AN3332">
        <v>5600</v>
      </c>
      <c r="AO3332" t="s">
        <v>118</v>
      </c>
      <c r="AP3332">
        <v>73</v>
      </c>
      <c r="AQ3332">
        <v>-76</v>
      </c>
      <c r="AR3332">
        <v>-320</v>
      </c>
      <c r="AZ3332">
        <v>1200</v>
      </c>
      <c r="BA3332">
        <v>1</v>
      </c>
      <c r="BB3332" t="str">
        <f t="shared" si="1817"/>
        <v xml:space="preserve">N9217B  </v>
      </c>
      <c r="BC3332">
        <v>1</v>
      </c>
      <c r="BE3332">
        <v>0</v>
      </c>
      <c r="BF3332">
        <v>0</v>
      </c>
      <c r="BG3332">
        <v>0</v>
      </c>
      <c r="BH3332">
        <v>5450</v>
      </c>
      <c r="BI3332">
        <v>1</v>
      </c>
      <c r="BJ3332">
        <v>0</v>
      </c>
      <c r="BK3332">
        <v>0</v>
      </c>
      <c r="BL3332">
        <v>0</v>
      </c>
      <c r="BO3332">
        <v>0</v>
      </c>
      <c r="BP3332">
        <v>0</v>
      </c>
      <c r="BW3332" t="str">
        <f t="shared" si="1848"/>
        <v>14:57:11.315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7</v>
      </c>
      <c r="CP3332" t="s">
        <v>119</v>
      </c>
      <c r="CQ3332">
        <v>285</v>
      </c>
      <c r="CR3332">
        <v>0</v>
      </c>
      <c r="CW3332">
        <v>8877775</v>
      </c>
      <c r="CY3332">
        <v>0</v>
      </c>
      <c r="CZ3332">
        <v>0</v>
      </c>
      <c r="DA3332">
        <v>1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25">
      <c r="A3333" t="str">
        <f t="shared" ref="A3333:A3339" si="1850">"06/05/2020 14:57:06.697"</f>
        <v>06/05/2020 14:57:06.697</v>
      </c>
      <c r="C3333" t="str">
        <f t="shared" si="1836"/>
        <v>FFDFD3C0</v>
      </c>
      <c r="D3333" t="s">
        <v>148</v>
      </c>
      <c r="E3333">
        <v>11</v>
      </c>
      <c r="H3333">
        <v>53</v>
      </c>
      <c r="I3333" t="s">
        <v>364</v>
      </c>
      <c r="J3333" t="s">
        <v>150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ref="S3333:T3339" si="1851">"14:57:12.344"</f>
        <v>14:57:12.344</v>
      </c>
      <c r="T3333" t="str">
        <f t="shared" si="1851"/>
        <v>14:57:12.344</v>
      </c>
      <c r="U3333" t="str">
        <f t="shared" si="1849"/>
        <v>ACC530</v>
      </c>
      <c r="V3333">
        <v>0</v>
      </c>
      <c r="W3333">
        <v>0</v>
      </c>
      <c r="X3333">
        <v>1</v>
      </c>
      <c r="Z3333">
        <v>0</v>
      </c>
      <c r="AA3333">
        <v>9</v>
      </c>
      <c r="AB3333">
        <v>3</v>
      </c>
      <c r="AC3333">
        <v>0</v>
      </c>
      <c r="AD3333">
        <v>9</v>
      </c>
      <c r="AE3333">
        <v>0</v>
      </c>
      <c r="AF3333">
        <v>3</v>
      </c>
      <c r="AG3333">
        <v>1</v>
      </c>
      <c r="AH3333">
        <v>0</v>
      </c>
      <c r="AI3333" t="s">
        <v>1101</v>
      </c>
      <c r="AJ3333">
        <v>34.090769000000002</v>
      </c>
      <c r="AK3333" t="s">
        <v>1102</v>
      </c>
      <c r="AL3333">
        <v>-117.036624</v>
      </c>
      <c r="AM3333">
        <v>100</v>
      </c>
      <c r="AN3333">
        <v>5600</v>
      </c>
      <c r="AO3333" t="s">
        <v>118</v>
      </c>
      <c r="AP3333">
        <v>73</v>
      </c>
      <c r="AQ3333">
        <v>-76</v>
      </c>
      <c r="AR3333">
        <v>-320</v>
      </c>
      <c r="AZ3333">
        <v>1200</v>
      </c>
      <c r="BA3333">
        <v>1</v>
      </c>
      <c r="BB3333" t="str">
        <f t="shared" ref="BB3333:BB3396" si="1852">"N9217B  "</f>
        <v xml:space="preserve">N9217B  </v>
      </c>
      <c r="BC3333">
        <v>1</v>
      </c>
      <c r="BE3333">
        <v>0</v>
      </c>
      <c r="BF3333">
        <v>0</v>
      </c>
      <c r="BG3333">
        <v>0</v>
      </c>
      <c r="BH3333">
        <v>5450</v>
      </c>
      <c r="BI3333">
        <v>1</v>
      </c>
      <c r="BJ3333">
        <v>0</v>
      </c>
      <c r="BK3333">
        <v>0</v>
      </c>
      <c r="BL3333">
        <v>0</v>
      </c>
      <c r="BO3333">
        <v>0</v>
      </c>
      <c r="BP3333">
        <v>0</v>
      </c>
      <c r="BW3333" t="str">
        <f t="shared" ref="BW3333:BW3339" si="1853">"14:57:12.350"</f>
        <v>14:57:12.350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7</v>
      </c>
      <c r="CP3333" t="s">
        <v>119</v>
      </c>
      <c r="CQ3333">
        <v>285</v>
      </c>
      <c r="CR3333">
        <v>0</v>
      </c>
      <c r="CW3333">
        <v>8877859</v>
      </c>
      <c r="CY3333">
        <v>0</v>
      </c>
      <c r="CZ3333">
        <v>0</v>
      </c>
      <c r="DA3333">
        <v>0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25">
      <c r="A3334" t="str">
        <f t="shared" si="1850"/>
        <v>06/05/2020 14:57:06.697</v>
      </c>
      <c r="C3334" t="str">
        <f t="shared" si="1836"/>
        <v>FFDFD3C0</v>
      </c>
      <c r="D3334" t="s">
        <v>113</v>
      </c>
      <c r="E3334">
        <v>3</v>
      </c>
      <c r="H3334">
        <v>166</v>
      </c>
      <c r="I3334" t="s">
        <v>114</v>
      </c>
      <c r="J3334" t="s">
        <v>115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851"/>
        <v>14:57:12.344</v>
      </c>
      <c r="T3334" t="str">
        <f t="shared" si="1851"/>
        <v>14:57:12.344</v>
      </c>
      <c r="U3334" t="str">
        <f t="shared" si="1849"/>
        <v>ACC530</v>
      </c>
      <c r="V3334">
        <v>0</v>
      </c>
      <c r="W3334">
        <v>0</v>
      </c>
      <c r="X3334">
        <v>1</v>
      </c>
      <c r="Z3334">
        <v>0</v>
      </c>
      <c r="AA3334">
        <v>9</v>
      </c>
      <c r="AB3334">
        <v>3</v>
      </c>
      <c r="AC3334">
        <v>0</v>
      </c>
      <c r="AD3334">
        <v>9</v>
      </c>
      <c r="AE3334">
        <v>0</v>
      </c>
      <c r="AF3334">
        <v>3</v>
      </c>
      <c r="AG3334">
        <v>1</v>
      </c>
      <c r="AH3334">
        <v>0</v>
      </c>
      <c r="AI3334" t="s">
        <v>1101</v>
      </c>
      <c r="AJ3334">
        <v>34.090769000000002</v>
      </c>
      <c r="AK3334" t="s">
        <v>1102</v>
      </c>
      <c r="AL3334">
        <v>-117.036624</v>
      </c>
      <c r="AM3334">
        <v>100</v>
      </c>
      <c r="AN3334">
        <v>5600</v>
      </c>
      <c r="AO3334" t="s">
        <v>118</v>
      </c>
      <c r="AP3334">
        <v>73</v>
      </c>
      <c r="AQ3334">
        <v>-76</v>
      </c>
      <c r="AR3334">
        <v>-320</v>
      </c>
      <c r="AZ3334">
        <v>1200</v>
      </c>
      <c r="BA3334">
        <v>1</v>
      </c>
      <c r="BB3334" t="str">
        <f t="shared" si="1852"/>
        <v xml:space="preserve">N9217B  </v>
      </c>
      <c r="BC3334">
        <v>1</v>
      </c>
      <c r="BE3334">
        <v>0</v>
      </c>
      <c r="BF3334">
        <v>0</v>
      </c>
      <c r="BG3334">
        <v>0</v>
      </c>
      <c r="BH3334">
        <v>5450</v>
      </c>
      <c r="BI3334">
        <v>1</v>
      </c>
      <c r="BJ3334">
        <v>0</v>
      </c>
      <c r="BK3334">
        <v>0</v>
      </c>
      <c r="BL3334">
        <v>0</v>
      </c>
      <c r="BO3334">
        <v>0</v>
      </c>
      <c r="BP3334">
        <v>0</v>
      </c>
      <c r="BW3334" t="str">
        <f t="shared" si="1853"/>
        <v>14:57:12.350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119</v>
      </c>
      <c r="CQ3334">
        <v>285</v>
      </c>
      <c r="CR3334">
        <v>0</v>
      </c>
      <c r="CW3334">
        <v>8877859</v>
      </c>
      <c r="CY3334">
        <v>0</v>
      </c>
      <c r="CZ3334">
        <v>0</v>
      </c>
      <c r="DA3334">
        <v>1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25">
      <c r="A3335" t="str">
        <f t="shared" si="1850"/>
        <v>06/05/2020 14:57:06.697</v>
      </c>
      <c r="C3335" t="str">
        <f t="shared" si="1836"/>
        <v>FFDFD3C0</v>
      </c>
      <c r="D3335" t="s">
        <v>151</v>
      </c>
      <c r="E3335">
        <v>8</v>
      </c>
      <c r="H3335">
        <v>225</v>
      </c>
      <c r="I3335" t="s">
        <v>353</v>
      </c>
      <c r="J3335" t="s">
        <v>150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851"/>
        <v>14:57:12.344</v>
      </c>
      <c r="T3335" t="str">
        <f t="shared" si="1851"/>
        <v>14:57:12.344</v>
      </c>
      <c r="U3335" t="str">
        <f t="shared" si="1849"/>
        <v>ACC530</v>
      </c>
      <c r="V3335">
        <v>0</v>
      </c>
      <c r="W3335">
        <v>0</v>
      </c>
      <c r="X3335">
        <v>1</v>
      </c>
      <c r="Z3335">
        <v>0</v>
      </c>
      <c r="AA3335">
        <v>9</v>
      </c>
      <c r="AB3335">
        <v>3</v>
      </c>
      <c r="AC3335">
        <v>0</v>
      </c>
      <c r="AD3335">
        <v>9</v>
      </c>
      <c r="AE3335">
        <v>0</v>
      </c>
      <c r="AF3335">
        <v>3</v>
      </c>
      <c r="AG3335">
        <v>1</v>
      </c>
      <c r="AH3335">
        <v>0</v>
      </c>
      <c r="AI3335" t="s">
        <v>1101</v>
      </c>
      <c r="AJ3335">
        <v>34.090769000000002</v>
      </c>
      <c r="AK3335" t="s">
        <v>1102</v>
      </c>
      <c r="AL3335">
        <v>-117.036624</v>
      </c>
      <c r="AM3335">
        <v>100</v>
      </c>
      <c r="AN3335">
        <v>5600</v>
      </c>
      <c r="AO3335" t="s">
        <v>118</v>
      </c>
      <c r="AP3335">
        <v>73</v>
      </c>
      <c r="AQ3335">
        <v>-76</v>
      </c>
      <c r="AR3335">
        <v>-320</v>
      </c>
      <c r="AZ3335">
        <v>1200</v>
      </c>
      <c r="BA3335">
        <v>1</v>
      </c>
      <c r="BB3335" t="str">
        <f t="shared" si="1852"/>
        <v xml:space="preserve">N9217B  </v>
      </c>
      <c r="BC3335">
        <v>1</v>
      </c>
      <c r="BE3335">
        <v>0</v>
      </c>
      <c r="BF3335">
        <v>0</v>
      </c>
      <c r="BG3335">
        <v>0</v>
      </c>
      <c r="BH3335">
        <v>5450</v>
      </c>
      <c r="BI3335">
        <v>1</v>
      </c>
      <c r="BJ3335">
        <v>0</v>
      </c>
      <c r="BK3335">
        <v>0</v>
      </c>
      <c r="BL3335">
        <v>0</v>
      </c>
      <c r="BO3335">
        <v>0</v>
      </c>
      <c r="BP3335">
        <v>0</v>
      </c>
      <c r="BW3335" t="str">
        <f t="shared" si="1853"/>
        <v>14:57:12.350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7</v>
      </c>
      <c r="CP3335" t="s">
        <v>119</v>
      </c>
      <c r="CQ3335">
        <v>285</v>
      </c>
      <c r="CR3335">
        <v>0</v>
      </c>
      <c r="CW3335">
        <v>8877859</v>
      </c>
      <c r="CY3335">
        <v>0</v>
      </c>
      <c r="CZ3335">
        <v>0</v>
      </c>
      <c r="DA3335">
        <v>1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25">
      <c r="A3336" t="str">
        <f t="shared" si="1850"/>
        <v>06/05/2020 14:57:06.697</v>
      </c>
      <c r="C3336" t="str">
        <f t="shared" si="1836"/>
        <v>FFDFD3C0</v>
      </c>
      <c r="D3336" t="s">
        <v>148</v>
      </c>
      <c r="E3336">
        <v>8</v>
      </c>
      <c r="H3336">
        <v>50</v>
      </c>
      <c r="I3336" t="s">
        <v>149</v>
      </c>
      <c r="J3336" t="s">
        <v>150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851"/>
        <v>14:57:12.344</v>
      </c>
      <c r="T3336" t="str">
        <f t="shared" si="1851"/>
        <v>14:57:12.344</v>
      </c>
      <c r="U3336" t="str">
        <f t="shared" si="1849"/>
        <v>ACC530</v>
      </c>
      <c r="V3336">
        <v>0</v>
      </c>
      <c r="W3336">
        <v>0</v>
      </c>
      <c r="X3336">
        <v>1</v>
      </c>
      <c r="Z3336">
        <v>0</v>
      </c>
      <c r="AA3336">
        <v>9</v>
      </c>
      <c r="AB3336">
        <v>3</v>
      </c>
      <c r="AC3336">
        <v>0</v>
      </c>
      <c r="AD3336">
        <v>9</v>
      </c>
      <c r="AE3336">
        <v>0</v>
      </c>
      <c r="AF3336">
        <v>3</v>
      </c>
      <c r="AG3336">
        <v>1</v>
      </c>
      <c r="AH3336">
        <v>0</v>
      </c>
      <c r="AI3336" t="s">
        <v>1101</v>
      </c>
      <c r="AJ3336">
        <v>34.090769000000002</v>
      </c>
      <c r="AK3336" t="s">
        <v>1102</v>
      </c>
      <c r="AL3336">
        <v>-117.036624</v>
      </c>
      <c r="AM3336">
        <v>100</v>
      </c>
      <c r="AN3336">
        <v>5600</v>
      </c>
      <c r="AO3336" t="s">
        <v>118</v>
      </c>
      <c r="AP3336">
        <v>73</v>
      </c>
      <c r="AQ3336">
        <v>-76</v>
      </c>
      <c r="AR3336">
        <v>-320</v>
      </c>
      <c r="AZ3336">
        <v>1200</v>
      </c>
      <c r="BA3336">
        <v>1</v>
      </c>
      <c r="BB3336" t="str">
        <f t="shared" si="1852"/>
        <v xml:space="preserve">N9217B  </v>
      </c>
      <c r="BC3336">
        <v>1</v>
      </c>
      <c r="BE3336">
        <v>0</v>
      </c>
      <c r="BF3336">
        <v>0</v>
      </c>
      <c r="BG3336">
        <v>0</v>
      </c>
      <c r="BH3336">
        <v>5450</v>
      </c>
      <c r="BI3336">
        <v>1</v>
      </c>
      <c r="BJ3336">
        <v>0</v>
      </c>
      <c r="BK3336">
        <v>0</v>
      </c>
      <c r="BL3336">
        <v>0</v>
      </c>
      <c r="BO3336">
        <v>0</v>
      </c>
      <c r="BP3336">
        <v>0</v>
      </c>
      <c r="BW3336" t="str">
        <f t="shared" si="1853"/>
        <v>14:57:12.350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119</v>
      </c>
      <c r="CQ3336">
        <v>285</v>
      </c>
      <c r="CR3336">
        <v>0</v>
      </c>
      <c r="CW3336">
        <v>8877859</v>
      </c>
      <c r="CY3336">
        <v>0</v>
      </c>
      <c r="CZ3336">
        <v>0</v>
      </c>
      <c r="DA3336">
        <v>1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25">
      <c r="A3337" t="str">
        <f t="shared" si="1850"/>
        <v>06/05/2020 14:57:06.697</v>
      </c>
      <c r="C3337" t="str">
        <f t="shared" si="1836"/>
        <v>FFDFD3C0</v>
      </c>
      <c r="D3337" t="s">
        <v>134</v>
      </c>
      <c r="E3337">
        <v>7</v>
      </c>
      <c r="F3337">
        <v>2007</v>
      </c>
      <c r="G3337" t="s">
        <v>135</v>
      </c>
      <c r="J3337" t="s">
        <v>136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851"/>
        <v>14:57:12.344</v>
      </c>
      <c r="T3337" t="str">
        <f t="shared" si="1851"/>
        <v>14:57:12.344</v>
      </c>
      <c r="U3337" t="str">
        <f t="shared" si="1849"/>
        <v>ACC530</v>
      </c>
      <c r="V3337">
        <v>0</v>
      </c>
      <c r="W3337">
        <v>0</v>
      </c>
      <c r="X3337">
        <v>1</v>
      </c>
      <c r="Z3337">
        <v>0</v>
      </c>
      <c r="AA3337">
        <v>9</v>
      </c>
      <c r="AB3337">
        <v>3</v>
      </c>
      <c r="AC3337">
        <v>0</v>
      </c>
      <c r="AD3337">
        <v>9</v>
      </c>
      <c r="AE3337">
        <v>0</v>
      </c>
      <c r="AF3337">
        <v>3</v>
      </c>
      <c r="AG3337">
        <v>1</v>
      </c>
      <c r="AH3337">
        <v>0</v>
      </c>
      <c r="AI3337" t="s">
        <v>1101</v>
      </c>
      <c r="AJ3337">
        <v>34.090769000000002</v>
      </c>
      <c r="AK3337" t="s">
        <v>1102</v>
      </c>
      <c r="AL3337">
        <v>-117.036624</v>
      </c>
      <c r="AM3337">
        <v>100</v>
      </c>
      <c r="AN3337">
        <v>5600</v>
      </c>
      <c r="AO3337" t="s">
        <v>118</v>
      </c>
      <c r="AP3337">
        <v>73</v>
      </c>
      <c r="AQ3337">
        <v>-76</v>
      </c>
      <c r="AR3337">
        <v>-320</v>
      </c>
      <c r="AZ3337">
        <v>1200</v>
      </c>
      <c r="BA3337">
        <v>1</v>
      </c>
      <c r="BB3337" t="str">
        <f t="shared" si="1852"/>
        <v xml:space="preserve">N9217B  </v>
      </c>
      <c r="BC3337">
        <v>1</v>
      </c>
      <c r="BE3337">
        <v>0</v>
      </c>
      <c r="BF3337">
        <v>0</v>
      </c>
      <c r="BG3337">
        <v>0</v>
      </c>
      <c r="BH3337">
        <v>5450</v>
      </c>
      <c r="BI3337">
        <v>1</v>
      </c>
      <c r="BJ3337">
        <v>0</v>
      </c>
      <c r="BK3337">
        <v>0</v>
      </c>
      <c r="BL3337">
        <v>0</v>
      </c>
      <c r="BO3337">
        <v>0</v>
      </c>
      <c r="BP3337">
        <v>0</v>
      </c>
      <c r="BW3337" t="str">
        <f t="shared" si="1853"/>
        <v>14:57:12.350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119</v>
      </c>
      <c r="CQ3337">
        <v>285</v>
      </c>
      <c r="CR3337">
        <v>0</v>
      </c>
      <c r="CW3337">
        <v>8877859</v>
      </c>
      <c r="CY3337">
        <v>0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25">
      <c r="A3338" t="str">
        <f t="shared" si="1850"/>
        <v>06/05/2020 14:57:06.697</v>
      </c>
      <c r="C3338" t="str">
        <f t="shared" si="1836"/>
        <v>FFDFD3C0</v>
      </c>
      <c r="D3338" t="s">
        <v>141</v>
      </c>
      <c r="E3338">
        <v>20</v>
      </c>
      <c r="F3338">
        <v>1020</v>
      </c>
      <c r="G3338" t="s">
        <v>114</v>
      </c>
      <c r="J3338" t="s">
        <v>142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si="1851"/>
        <v>14:57:12.344</v>
      </c>
      <c r="T3338" t="str">
        <f t="shared" si="1851"/>
        <v>14:57:12.344</v>
      </c>
      <c r="U3338" t="str">
        <f t="shared" si="1849"/>
        <v>ACC530</v>
      </c>
      <c r="V3338">
        <v>0</v>
      </c>
      <c r="W3338">
        <v>0</v>
      </c>
      <c r="X3338">
        <v>1</v>
      </c>
      <c r="Z3338">
        <v>0</v>
      </c>
      <c r="AA3338">
        <v>9</v>
      </c>
      <c r="AB3338">
        <v>3</v>
      </c>
      <c r="AC3338">
        <v>0</v>
      </c>
      <c r="AD3338">
        <v>9</v>
      </c>
      <c r="AE3338">
        <v>0</v>
      </c>
      <c r="AF3338">
        <v>3</v>
      </c>
      <c r="AG3338">
        <v>1</v>
      </c>
      <c r="AH3338">
        <v>0</v>
      </c>
      <c r="AI3338" t="s">
        <v>1101</v>
      </c>
      <c r="AJ3338">
        <v>34.090769000000002</v>
      </c>
      <c r="AK3338" t="s">
        <v>1102</v>
      </c>
      <c r="AL3338">
        <v>-117.036624</v>
      </c>
      <c r="AM3338">
        <v>100</v>
      </c>
      <c r="AN3338">
        <v>5600</v>
      </c>
      <c r="AO3338" t="s">
        <v>118</v>
      </c>
      <c r="AP3338">
        <v>73</v>
      </c>
      <c r="AQ3338">
        <v>-76</v>
      </c>
      <c r="AR3338">
        <v>-320</v>
      </c>
      <c r="AZ3338">
        <v>1200</v>
      </c>
      <c r="BA3338">
        <v>1</v>
      </c>
      <c r="BB3338" t="str">
        <f t="shared" si="1852"/>
        <v xml:space="preserve">N9217B  </v>
      </c>
      <c r="BC3338">
        <v>1</v>
      </c>
      <c r="BE3338">
        <v>0</v>
      </c>
      <c r="BF3338">
        <v>0</v>
      </c>
      <c r="BG3338">
        <v>0</v>
      </c>
      <c r="BH3338">
        <v>5450</v>
      </c>
      <c r="BI3338">
        <v>1</v>
      </c>
      <c r="BJ3338">
        <v>0</v>
      </c>
      <c r="BK3338">
        <v>0</v>
      </c>
      <c r="BL3338">
        <v>0</v>
      </c>
      <c r="BO3338">
        <v>0</v>
      </c>
      <c r="BP3338">
        <v>0</v>
      </c>
      <c r="BW3338" t="str">
        <f t="shared" si="1853"/>
        <v>14:57:12.350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119</v>
      </c>
      <c r="CQ3338">
        <v>285</v>
      </c>
      <c r="CR3338">
        <v>0</v>
      </c>
      <c r="CW3338">
        <v>8877859</v>
      </c>
      <c r="CY3338">
        <v>0</v>
      </c>
      <c r="CZ3338">
        <v>0</v>
      </c>
      <c r="DA3338">
        <v>1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25">
      <c r="A3339" t="str">
        <f t="shared" si="1850"/>
        <v>06/05/2020 14:57:06.697</v>
      </c>
      <c r="C3339" t="str">
        <f t="shared" si="1836"/>
        <v>FFDFD3C0</v>
      </c>
      <c r="D3339" t="s">
        <v>151</v>
      </c>
      <c r="E3339">
        <v>9</v>
      </c>
      <c r="H3339">
        <v>226</v>
      </c>
      <c r="I3339" t="s">
        <v>152</v>
      </c>
      <c r="J3339" t="s">
        <v>150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 t="shared" si="1851"/>
        <v>14:57:12.344</v>
      </c>
      <c r="T3339" t="str">
        <f t="shared" si="1851"/>
        <v>14:57:12.344</v>
      </c>
      <c r="U3339" t="str">
        <f t="shared" si="1849"/>
        <v>ACC530</v>
      </c>
      <c r="V3339">
        <v>0</v>
      </c>
      <c r="W3339">
        <v>0</v>
      </c>
      <c r="X3339">
        <v>1</v>
      </c>
      <c r="Z3339">
        <v>0</v>
      </c>
      <c r="AA3339">
        <v>9</v>
      </c>
      <c r="AB3339">
        <v>3</v>
      </c>
      <c r="AC3339">
        <v>0</v>
      </c>
      <c r="AD3339">
        <v>9</v>
      </c>
      <c r="AE3339">
        <v>0</v>
      </c>
      <c r="AF3339">
        <v>3</v>
      </c>
      <c r="AG3339">
        <v>1</v>
      </c>
      <c r="AH3339">
        <v>0</v>
      </c>
      <c r="AI3339" t="s">
        <v>1101</v>
      </c>
      <c r="AJ3339">
        <v>34.090769000000002</v>
      </c>
      <c r="AK3339" t="s">
        <v>1102</v>
      </c>
      <c r="AL3339">
        <v>-117.036624</v>
      </c>
      <c r="AM3339">
        <v>100</v>
      </c>
      <c r="AN3339">
        <v>5600</v>
      </c>
      <c r="AO3339" t="s">
        <v>118</v>
      </c>
      <c r="AP3339">
        <v>73</v>
      </c>
      <c r="AQ3339">
        <v>-76</v>
      </c>
      <c r="AR3339">
        <v>-320</v>
      </c>
      <c r="AZ3339">
        <v>1200</v>
      </c>
      <c r="BA3339">
        <v>1</v>
      </c>
      <c r="BB3339" t="str">
        <f t="shared" si="1852"/>
        <v xml:space="preserve">N9217B  </v>
      </c>
      <c r="BC3339">
        <v>1</v>
      </c>
      <c r="BE3339">
        <v>0</v>
      </c>
      <c r="BF3339">
        <v>0</v>
      </c>
      <c r="BG3339">
        <v>0</v>
      </c>
      <c r="BH3339">
        <v>5450</v>
      </c>
      <c r="BI3339">
        <v>1</v>
      </c>
      <c r="BJ3339">
        <v>0</v>
      </c>
      <c r="BK3339">
        <v>0</v>
      </c>
      <c r="BL3339">
        <v>0</v>
      </c>
      <c r="BO3339">
        <v>0</v>
      </c>
      <c r="BP3339">
        <v>0</v>
      </c>
      <c r="BW3339" t="str">
        <f t="shared" si="1853"/>
        <v>14:57:12.350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7</v>
      </c>
      <c r="CP3339" t="s">
        <v>119</v>
      </c>
      <c r="CQ3339">
        <v>285</v>
      </c>
      <c r="CR3339">
        <v>0</v>
      </c>
      <c r="CW3339">
        <v>8877859</v>
      </c>
      <c r="CY3339">
        <v>0</v>
      </c>
      <c r="CZ3339">
        <v>0</v>
      </c>
      <c r="DA3339">
        <v>1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25">
      <c r="A3340" t="str">
        <f t="shared" ref="A3340:A3346" si="1854">"06/05/2020 14:57:07.743"</f>
        <v>06/05/2020 14:57:07.743</v>
      </c>
      <c r="C3340" t="str">
        <f t="shared" si="1836"/>
        <v>FFDFD3C0</v>
      </c>
      <c r="D3340" t="s">
        <v>151</v>
      </c>
      <c r="E3340">
        <v>9</v>
      </c>
      <c r="H3340">
        <v>226</v>
      </c>
      <c r="I3340" t="s">
        <v>152</v>
      </c>
      <c r="J3340" t="s">
        <v>150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ref="S3340:S3346" si="1855">"14:57:13.414"</f>
        <v>14:57:13.414</v>
      </c>
      <c r="T3340" t="str">
        <f t="shared" ref="T3340:T3346" si="1856">"14:57:12.914"</f>
        <v>14:57:12.914</v>
      </c>
      <c r="U3340" t="str">
        <f t="shared" si="1849"/>
        <v>ACC530</v>
      </c>
      <c r="V3340">
        <v>0</v>
      </c>
      <c r="W3340">
        <v>0</v>
      </c>
      <c r="X3340">
        <v>1</v>
      </c>
      <c r="Z3340">
        <v>0</v>
      </c>
      <c r="AA3340">
        <v>9</v>
      </c>
      <c r="AB3340">
        <v>3</v>
      </c>
      <c r="AC3340">
        <v>0</v>
      </c>
      <c r="AD3340">
        <v>9</v>
      </c>
      <c r="AE3340">
        <v>0</v>
      </c>
      <c r="AF3340">
        <v>3</v>
      </c>
      <c r="AG3340">
        <v>1</v>
      </c>
      <c r="AH3340">
        <v>0</v>
      </c>
      <c r="AI3340" t="s">
        <v>1103</v>
      </c>
      <c r="AJ3340">
        <v>34.090383000000003</v>
      </c>
      <c r="AK3340" t="s">
        <v>1104</v>
      </c>
      <c r="AL3340">
        <v>-117.036216</v>
      </c>
      <c r="AM3340">
        <v>100</v>
      </c>
      <c r="AN3340">
        <v>5600</v>
      </c>
      <c r="AO3340" t="s">
        <v>118</v>
      </c>
      <c r="AP3340">
        <v>73</v>
      </c>
      <c r="AQ3340">
        <v>-75</v>
      </c>
      <c r="AR3340">
        <v>-320</v>
      </c>
      <c r="AZ3340">
        <v>1200</v>
      </c>
      <c r="BA3340">
        <v>1</v>
      </c>
      <c r="BB3340" t="str">
        <f t="shared" si="1852"/>
        <v xml:space="preserve">N9217B  </v>
      </c>
      <c r="BC3340">
        <v>1</v>
      </c>
      <c r="BE3340">
        <v>0</v>
      </c>
      <c r="BF3340">
        <v>0</v>
      </c>
      <c r="BG3340">
        <v>0</v>
      </c>
      <c r="BH3340">
        <v>5450</v>
      </c>
      <c r="BI3340">
        <v>1</v>
      </c>
      <c r="BJ3340">
        <v>0</v>
      </c>
      <c r="BK3340">
        <v>0</v>
      </c>
      <c r="BL3340">
        <v>0</v>
      </c>
      <c r="BO3340">
        <v>0</v>
      </c>
      <c r="BP3340">
        <v>0</v>
      </c>
      <c r="BW3340" t="str">
        <f t="shared" ref="BW3340:BW3346" si="1857">"14:57:13.415"</f>
        <v>14:57:13.415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7</v>
      </c>
      <c r="CP3340" t="s">
        <v>119</v>
      </c>
      <c r="CQ3340">
        <v>285</v>
      </c>
      <c r="CR3340">
        <v>0</v>
      </c>
      <c r="CW3340">
        <v>8877952</v>
      </c>
      <c r="CY3340">
        <v>0</v>
      </c>
      <c r="CZ3340">
        <v>0</v>
      </c>
      <c r="DA3340">
        <v>0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25">
      <c r="A3341" t="str">
        <f t="shared" si="1854"/>
        <v>06/05/2020 14:57:07.743</v>
      </c>
      <c r="C3341" t="str">
        <f t="shared" si="1836"/>
        <v>FFDFD3C0</v>
      </c>
      <c r="D3341" t="s">
        <v>113</v>
      </c>
      <c r="E3341">
        <v>3</v>
      </c>
      <c r="H3341">
        <v>166</v>
      </c>
      <c r="I3341" t="s">
        <v>114</v>
      </c>
      <c r="J3341" t="s">
        <v>115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855"/>
        <v>14:57:13.414</v>
      </c>
      <c r="T3341" t="str">
        <f t="shared" si="1856"/>
        <v>14:57:12.914</v>
      </c>
      <c r="U3341" t="str">
        <f t="shared" si="1849"/>
        <v>ACC530</v>
      </c>
      <c r="V3341">
        <v>0</v>
      </c>
      <c r="W3341">
        <v>0</v>
      </c>
      <c r="X3341">
        <v>1</v>
      </c>
      <c r="Z3341">
        <v>0</v>
      </c>
      <c r="AA3341">
        <v>9</v>
      </c>
      <c r="AB3341">
        <v>3</v>
      </c>
      <c r="AC3341">
        <v>0</v>
      </c>
      <c r="AD3341">
        <v>9</v>
      </c>
      <c r="AE3341">
        <v>0</v>
      </c>
      <c r="AF3341">
        <v>3</v>
      </c>
      <c r="AG3341">
        <v>1</v>
      </c>
      <c r="AH3341">
        <v>0</v>
      </c>
      <c r="AI3341" t="s">
        <v>1103</v>
      </c>
      <c r="AJ3341">
        <v>34.090383000000003</v>
      </c>
      <c r="AK3341" t="s">
        <v>1104</v>
      </c>
      <c r="AL3341">
        <v>-117.036216</v>
      </c>
      <c r="AM3341">
        <v>100</v>
      </c>
      <c r="AN3341">
        <v>5600</v>
      </c>
      <c r="AO3341" t="s">
        <v>118</v>
      </c>
      <c r="AP3341">
        <v>73</v>
      </c>
      <c r="AQ3341">
        <v>-75</v>
      </c>
      <c r="AR3341">
        <v>-320</v>
      </c>
      <c r="AZ3341">
        <v>1200</v>
      </c>
      <c r="BA3341">
        <v>1</v>
      </c>
      <c r="BB3341" t="str">
        <f t="shared" si="1852"/>
        <v xml:space="preserve">N9217B  </v>
      </c>
      <c r="BC3341">
        <v>1</v>
      </c>
      <c r="BE3341">
        <v>0</v>
      </c>
      <c r="BF3341">
        <v>0</v>
      </c>
      <c r="BG3341">
        <v>0</v>
      </c>
      <c r="BH3341">
        <v>5450</v>
      </c>
      <c r="BI3341">
        <v>1</v>
      </c>
      <c r="BJ3341">
        <v>0</v>
      </c>
      <c r="BK3341">
        <v>0</v>
      </c>
      <c r="BL3341">
        <v>0</v>
      </c>
      <c r="BO3341">
        <v>0</v>
      </c>
      <c r="BP3341">
        <v>0</v>
      </c>
      <c r="BW3341" t="str">
        <f t="shared" si="1857"/>
        <v>14:57:13.415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7</v>
      </c>
      <c r="CP3341" t="s">
        <v>119</v>
      </c>
      <c r="CQ3341">
        <v>285</v>
      </c>
      <c r="CR3341">
        <v>0</v>
      </c>
      <c r="CW3341">
        <v>8877952</v>
      </c>
      <c r="CY3341">
        <v>0</v>
      </c>
      <c r="CZ3341">
        <v>0</v>
      </c>
      <c r="DA3341">
        <v>1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25">
      <c r="A3342" t="str">
        <f t="shared" si="1854"/>
        <v>06/05/2020 14:57:07.743</v>
      </c>
      <c r="C3342" t="str">
        <f t="shared" si="1836"/>
        <v>FFDFD3C0</v>
      </c>
      <c r="D3342" t="s">
        <v>148</v>
      </c>
      <c r="E3342">
        <v>11</v>
      </c>
      <c r="H3342">
        <v>53</v>
      </c>
      <c r="I3342" t="s">
        <v>364</v>
      </c>
      <c r="J3342" t="s">
        <v>150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855"/>
        <v>14:57:13.414</v>
      </c>
      <c r="T3342" t="str">
        <f t="shared" si="1856"/>
        <v>14:57:12.914</v>
      </c>
      <c r="U3342" t="str">
        <f t="shared" si="1849"/>
        <v>ACC530</v>
      </c>
      <c r="V3342">
        <v>0</v>
      </c>
      <c r="W3342">
        <v>0</v>
      </c>
      <c r="X3342">
        <v>1</v>
      </c>
      <c r="Z3342">
        <v>0</v>
      </c>
      <c r="AA3342">
        <v>9</v>
      </c>
      <c r="AB3342">
        <v>3</v>
      </c>
      <c r="AC3342">
        <v>0</v>
      </c>
      <c r="AD3342">
        <v>9</v>
      </c>
      <c r="AE3342">
        <v>0</v>
      </c>
      <c r="AF3342">
        <v>3</v>
      </c>
      <c r="AG3342">
        <v>1</v>
      </c>
      <c r="AH3342">
        <v>0</v>
      </c>
      <c r="AI3342" t="s">
        <v>1103</v>
      </c>
      <c r="AJ3342">
        <v>34.090383000000003</v>
      </c>
      <c r="AK3342" t="s">
        <v>1104</v>
      </c>
      <c r="AL3342">
        <v>-117.036216</v>
      </c>
      <c r="AM3342">
        <v>100</v>
      </c>
      <c r="AN3342">
        <v>5600</v>
      </c>
      <c r="AO3342" t="s">
        <v>118</v>
      </c>
      <c r="AP3342">
        <v>73</v>
      </c>
      <c r="AQ3342">
        <v>-75</v>
      </c>
      <c r="AR3342">
        <v>-320</v>
      </c>
      <c r="AZ3342">
        <v>1200</v>
      </c>
      <c r="BA3342">
        <v>1</v>
      </c>
      <c r="BB3342" t="str">
        <f t="shared" si="1852"/>
        <v xml:space="preserve">N9217B  </v>
      </c>
      <c r="BC3342">
        <v>1</v>
      </c>
      <c r="BE3342">
        <v>0</v>
      </c>
      <c r="BF3342">
        <v>0</v>
      </c>
      <c r="BG3342">
        <v>0</v>
      </c>
      <c r="BH3342">
        <v>5450</v>
      </c>
      <c r="BI3342">
        <v>1</v>
      </c>
      <c r="BJ3342">
        <v>0</v>
      </c>
      <c r="BK3342">
        <v>0</v>
      </c>
      <c r="BL3342">
        <v>0</v>
      </c>
      <c r="BO3342">
        <v>0</v>
      </c>
      <c r="BP3342">
        <v>0</v>
      </c>
      <c r="BW3342" t="str">
        <f t="shared" si="1857"/>
        <v>14:57:13.415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7</v>
      </c>
      <c r="CP3342" t="s">
        <v>119</v>
      </c>
      <c r="CQ3342">
        <v>285</v>
      </c>
      <c r="CR3342">
        <v>0</v>
      </c>
      <c r="CW3342">
        <v>8877952</v>
      </c>
      <c r="CY3342">
        <v>0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25">
      <c r="A3343" t="str">
        <f t="shared" si="1854"/>
        <v>06/05/2020 14:57:07.743</v>
      </c>
      <c r="C3343" t="str">
        <f t="shared" si="1836"/>
        <v>FFDFD3C0</v>
      </c>
      <c r="D3343" t="s">
        <v>148</v>
      </c>
      <c r="E3343">
        <v>8</v>
      </c>
      <c r="H3343">
        <v>50</v>
      </c>
      <c r="I3343" t="s">
        <v>149</v>
      </c>
      <c r="J3343" t="s">
        <v>150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855"/>
        <v>14:57:13.414</v>
      </c>
      <c r="T3343" t="str">
        <f t="shared" si="1856"/>
        <v>14:57:12.914</v>
      </c>
      <c r="U3343" t="str">
        <f t="shared" si="1849"/>
        <v>ACC530</v>
      </c>
      <c r="V3343">
        <v>0</v>
      </c>
      <c r="W3343">
        <v>0</v>
      </c>
      <c r="X3343">
        <v>1</v>
      </c>
      <c r="Z3343">
        <v>0</v>
      </c>
      <c r="AA3343">
        <v>9</v>
      </c>
      <c r="AB3343">
        <v>3</v>
      </c>
      <c r="AC3343">
        <v>0</v>
      </c>
      <c r="AD3343">
        <v>9</v>
      </c>
      <c r="AE3343">
        <v>0</v>
      </c>
      <c r="AF3343">
        <v>3</v>
      </c>
      <c r="AG3343">
        <v>1</v>
      </c>
      <c r="AH3343">
        <v>0</v>
      </c>
      <c r="AI3343" t="s">
        <v>1103</v>
      </c>
      <c r="AJ3343">
        <v>34.090383000000003</v>
      </c>
      <c r="AK3343" t="s">
        <v>1104</v>
      </c>
      <c r="AL3343">
        <v>-117.036216</v>
      </c>
      <c r="AM3343">
        <v>100</v>
      </c>
      <c r="AN3343">
        <v>5600</v>
      </c>
      <c r="AO3343" t="s">
        <v>118</v>
      </c>
      <c r="AP3343">
        <v>73</v>
      </c>
      <c r="AQ3343">
        <v>-75</v>
      </c>
      <c r="AR3343">
        <v>-320</v>
      </c>
      <c r="AZ3343">
        <v>1200</v>
      </c>
      <c r="BA3343">
        <v>1</v>
      </c>
      <c r="BB3343" t="str">
        <f t="shared" si="1852"/>
        <v xml:space="preserve">N9217B  </v>
      </c>
      <c r="BC3343">
        <v>1</v>
      </c>
      <c r="BE3343">
        <v>0</v>
      </c>
      <c r="BF3343">
        <v>0</v>
      </c>
      <c r="BG3343">
        <v>0</v>
      </c>
      <c r="BH3343">
        <v>5450</v>
      </c>
      <c r="BI3343">
        <v>1</v>
      </c>
      <c r="BJ3343">
        <v>0</v>
      </c>
      <c r="BK3343">
        <v>0</v>
      </c>
      <c r="BL3343">
        <v>0</v>
      </c>
      <c r="BO3343">
        <v>0</v>
      </c>
      <c r="BP3343">
        <v>0</v>
      </c>
      <c r="BW3343" t="str">
        <f t="shared" si="1857"/>
        <v>14:57:13.415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7</v>
      </c>
      <c r="CP3343" t="s">
        <v>119</v>
      </c>
      <c r="CQ3343">
        <v>285</v>
      </c>
      <c r="CR3343">
        <v>0</v>
      </c>
      <c r="CW3343">
        <v>8877952</v>
      </c>
      <c r="CY3343">
        <v>0</v>
      </c>
      <c r="CZ3343">
        <v>0</v>
      </c>
      <c r="DA3343">
        <v>1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25">
      <c r="A3344" t="str">
        <f t="shared" si="1854"/>
        <v>06/05/2020 14:57:07.743</v>
      </c>
      <c r="C3344" t="str">
        <f t="shared" si="1836"/>
        <v>FFDFD3C0</v>
      </c>
      <c r="D3344" t="s">
        <v>151</v>
      </c>
      <c r="E3344">
        <v>8</v>
      </c>
      <c r="H3344">
        <v>225</v>
      </c>
      <c r="I3344" t="s">
        <v>353</v>
      </c>
      <c r="J3344" t="s">
        <v>150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si="1855"/>
        <v>14:57:13.414</v>
      </c>
      <c r="T3344" t="str">
        <f t="shared" si="1856"/>
        <v>14:57:12.914</v>
      </c>
      <c r="U3344" t="str">
        <f t="shared" si="1849"/>
        <v>ACC530</v>
      </c>
      <c r="V3344">
        <v>0</v>
      </c>
      <c r="W3344">
        <v>0</v>
      </c>
      <c r="X3344">
        <v>1</v>
      </c>
      <c r="Z3344">
        <v>0</v>
      </c>
      <c r="AA3344">
        <v>9</v>
      </c>
      <c r="AB3344">
        <v>3</v>
      </c>
      <c r="AC3344">
        <v>0</v>
      </c>
      <c r="AD3344">
        <v>9</v>
      </c>
      <c r="AE3344">
        <v>0</v>
      </c>
      <c r="AF3344">
        <v>3</v>
      </c>
      <c r="AG3344">
        <v>1</v>
      </c>
      <c r="AH3344">
        <v>0</v>
      </c>
      <c r="AI3344" t="s">
        <v>1103</v>
      </c>
      <c r="AJ3344">
        <v>34.090383000000003</v>
      </c>
      <c r="AK3344" t="s">
        <v>1104</v>
      </c>
      <c r="AL3344">
        <v>-117.036216</v>
      </c>
      <c r="AM3344">
        <v>100</v>
      </c>
      <c r="AN3344">
        <v>5600</v>
      </c>
      <c r="AO3344" t="s">
        <v>118</v>
      </c>
      <c r="AP3344">
        <v>73</v>
      </c>
      <c r="AQ3344">
        <v>-75</v>
      </c>
      <c r="AR3344">
        <v>-320</v>
      </c>
      <c r="AZ3344">
        <v>1200</v>
      </c>
      <c r="BA3344">
        <v>1</v>
      </c>
      <c r="BB3344" t="str">
        <f t="shared" si="1852"/>
        <v xml:space="preserve">N9217B  </v>
      </c>
      <c r="BC3344">
        <v>1</v>
      </c>
      <c r="BE3344">
        <v>0</v>
      </c>
      <c r="BF3344">
        <v>0</v>
      </c>
      <c r="BG3344">
        <v>0</v>
      </c>
      <c r="BH3344">
        <v>5450</v>
      </c>
      <c r="BI3344">
        <v>1</v>
      </c>
      <c r="BJ3344">
        <v>0</v>
      </c>
      <c r="BK3344">
        <v>0</v>
      </c>
      <c r="BL3344">
        <v>0</v>
      </c>
      <c r="BO3344">
        <v>0</v>
      </c>
      <c r="BP3344">
        <v>0</v>
      </c>
      <c r="BW3344" t="str">
        <f t="shared" si="1857"/>
        <v>14:57:13.415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7</v>
      </c>
      <c r="CP3344" t="s">
        <v>119</v>
      </c>
      <c r="CQ3344">
        <v>285</v>
      </c>
      <c r="CR3344">
        <v>0</v>
      </c>
      <c r="CW3344">
        <v>8877952</v>
      </c>
      <c r="CY3344">
        <v>0</v>
      </c>
      <c r="CZ3344">
        <v>0</v>
      </c>
      <c r="DA3344">
        <v>1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25">
      <c r="A3345" t="str">
        <f t="shared" si="1854"/>
        <v>06/05/2020 14:57:07.743</v>
      </c>
      <c r="C3345" t="str">
        <f t="shared" si="1836"/>
        <v>FFDFD3C0</v>
      </c>
      <c r="D3345" t="s">
        <v>134</v>
      </c>
      <c r="E3345">
        <v>7</v>
      </c>
      <c r="F3345">
        <v>2007</v>
      </c>
      <c r="G3345" t="s">
        <v>135</v>
      </c>
      <c r="J3345" t="s">
        <v>136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si="1855"/>
        <v>14:57:13.414</v>
      </c>
      <c r="T3345" t="str">
        <f t="shared" si="1856"/>
        <v>14:57:12.914</v>
      </c>
      <c r="U3345" t="str">
        <f t="shared" si="1849"/>
        <v>ACC530</v>
      </c>
      <c r="V3345">
        <v>0</v>
      </c>
      <c r="W3345">
        <v>0</v>
      </c>
      <c r="X3345">
        <v>1</v>
      </c>
      <c r="Z3345">
        <v>0</v>
      </c>
      <c r="AA3345">
        <v>9</v>
      </c>
      <c r="AB3345">
        <v>3</v>
      </c>
      <c r="AC3345">
        <v>0</v>
      </c>
      <c r="AD3345">
        <v>9</v>
      </c>
      <c r="AE3345">
        <v>0</v>
      </c>
      <c r="AF3345">
        <v>3</v>
      </c>
      <c r="AG3345">
        <v>1</v>
      </c>
      <c r="AH3345">
        <v>0</v>
      </c>
      <c r="AI3345" t="s">
        <v>1103</v>
      </c>
      <c r="AJ3345">
        <v>34.090383000000003</v>
      </c>
      <c r="AK3345" t="s">
        <v>1104</v>
      </c>
      <c r="AL3345">
        <v>-117.036216</v>
      </c>
      <c r="AM3345">
        <v>100</v>
      </c>
      <c r="AN3345">
        <v>5600</v>
      </c>
      <c r="AO3345" t="s">
        <v>118</v>
      </c>
      <c r="AP3345">
        <v>73</v>
      </c>
      <c r="AQ3345">
        <v>-75</v>
      </c>
      <c r="AR3345">
        <v>-320</v>
      </c>
      <c r="AZ3345">
        <v>1200</v>
      </c>
      <c r="BA3345">
        <v>1</v>
      </c>
      <c r="BB3345" t="str">
        <f t="shared" si="1852"/>
        <v xml:space="preserve">N9217B  </v>
      </c>
      <c r="BC3345">
        <v>1</v>
      </c>
      <c r="BE3345">
        <v>0</v>
      </c>
      <c r="BF3345">
        <v>0</v>
      </c>
      <c r="BG3345">
        <v>0</v>
      </c>
      <c r="BH3345">
        <v>5450</v>
      </c>
      <c r="BI3345">
        <v>1</v>
      </c>
      <c r="BJ3345">
        <v>0</v>
      </c>
      <c r="BK3345">
        <v>0</v>
      </c>
      <c r="BL3345">
        <v>0</v>
      </c>
      <c r="BO3345">
        <v>0</v>
      </c>
      <c r="BP3345">
        <v>0</v>
      </c>
      <c r="BW3345" t="str">
        <f t="shared" si="1857"/>
        <v>14:57:13.415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7</v>
      </c>
      <c r="CP3345" t="s">
        <v>119</v>
      </c>
      <c r="CQ3345">
        <v>285</v>
      </c>
      <c r="CR3345">
        <v>0</v>
      </c>
      <c r="CW3345">
        <v>8877952</v>
      </c>
      <c r="CY3345">
        <v>0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25">
      <c r="A3346" t="str">
        <f t="shared" si="1854"/>
        <v>06/05/2020 14:57:07.743</v>
      </c>
      <c r="C3346" t="str">
        <f t="shared" si="1836"/>
        <v>FFDFD3C0</v>
      </c>
      <c r="D3346" t="s">
        <v>141</v>
      </c>
      <c r="E3346">
        <v>20</v>
      </c>
      <c r="F3346">
        <v>1020</v>
      </c>
      <c r="G3346" t="s">
        <v>114</v>
      </c>
      <c r="J3346" t="s">
        <v>142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855"/>
        <v>14:57:13.414</v>
      </c>
      <c r="T3346" t="str">
        <f t="shared" si="1856"/>
        <v>14:57:12.914</v>
      </c>
      <c r="U3346" t="str">
        <f t="shared" si="1849"/>
        <v>ACC530</v>
      </c>
      <c r="V3346">
        <v>0</v>
      </c>
      <c r="W3346">
        <v>0</v>
      </c>
      <c r="X3346">
        <v>1</v>
      </c>
      <c r="Z3346">
        <v>0</v>
      </c>
      <c r="AA3346">
        <v>9</v>
      </c>
      <c r="AB3346">
        <v>3</v>
      </c>
      <c r="AC3346">
        <v>0</v>
      </c>
      <c r="AD3346">
        <v>9</v>
      </c>
      <c r="AE3346">
        <v>0</v>
      </c>
      <c r="AF3346">
        <v>3</v>
      </c>
      <c r="AG3346">
        <v>1</v>
      </c>
      <c r="AH3346">
        <v>0</v>
      </c>
      <c r="AI3346" t="s">
        <v>1103</v>
      </c>
      <c r="AJ3346">
        <v>34.090383000000003</v>
      </c>
      <c r="AK3346" t="s">
        <v>1104</v>
      </c>
      <c r="AL3346">
        <v>-117.036216</v>
      </c>
      <c r="AM3346">
        <v>100</v>
      </c>
      <c r="AN3346">
        <v>5600</v>
      </c>
      <c r="AO3346" t="s">
        <v>118</v>
      </c>
      <c r="AP3346">
        <v>73</v>
      </c>
      <c r="AQ3346">
        <v>-75</v>
      </c>
      <c r="AR3346">
        <v>-320</v>
      </c>
      <c r="AZ3346">
        <v>1200</v>
      </c>
      <c r="BA3346">
        <v>1</v>
      </c>
      <c r="BB3346" t="str">
        <f t="shared" si="1852"/>
        <v xml:space="preserve">N9217B  </v>
      </c>
      <c r="BC3346">
        <v>1</v>
      </c>
      <c r="BE3346">
        <v>0</v>
      </c>
      <c r="BF3346">
        <v>0</v>
      </c>
      <c r="BG3346">
        <v>0</v>
      </c>
      <c r="BH3346">
        <v>5450</v>
      </c>
      <c r="BI3346">
        <v>1</v>
      </c>
      <c r="BJ3346">
        <v>0</v>
      </c>
      <c r="BK3346">
        <v>0</v>
      </c>
      <c r="BL3346">
        <v>0</v>
      </c>
      <c r="BO3346">
        <v>0</v>
      </c>
      <c r="BP3346">
        <v>0</v>
      </c>
      <c r="BW3346" t="str">
        <f t="shared" si="1857"/>
        <v>14:57:13.415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7</v>
      </c>
      <c r="CP3346" t="s">
        <v>119</v>
      </c>
      <c r="CQ3346">
        <v>285</v>
      </c>
      <c r="CR3346">
        <v>0</v>
      </c>
      <c r="CW3346">
        <v>8877952</v>
      </c>
      <c r="CY3346">
        <v>0</v>
      </c>
      <c r="CZ3346">
        <v>0</v>
      </c>
      <c r="DA3346">
        <v>1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25">
      <c r="A3347" t="str">
        <f t="shared" ref="A3347:A3353" si="1858">"06/05/2020 14:57:08.630"</f>
        <v>06/05/2020 14:57:08.630</v>
      </c>
      <c r="C3347" t="str">
        <f t="shared" si="1836"/>
        <v>FFDFD3C0</v>
      </c>
      <c r="D3347" t="s">
        <v>134</v>
      </c>
      <c r="E3347">
        <v>7</v>
      </c>
      <c r="F3347">
        <v>2007</v>
      </c>
      <c r="G3347" t="s">
        <v>135</v>
      </c>
      <c r="J3347" t="s">
        <v>136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ref="S3347:S3353" si="1859">"14:57:14.297"</f>
        <v>14:57:14.297</v>
      </c>
      <c r="T3347" t="str">
        <f t="shared" ref="T3347:T3353" si="1860">"14:57:13.997"</f>
        <v>14:57:13.997</v>
      </c>
      <c r="U3347" t="str">
        <f t="shared" si="1849"/>
        <v>ACC530</v>
      </c>
      <c r="V3347">
        <v>0</v>
      </c>
      <c r="W3347">
        <v>0</v>
      </c>
      <c r="X3347">
        <v>1</v>
      </c>
      <c r="Z3347">
        <v>0</v>
      </c>
      <c r="AA3347">
        <v>9</v>
      </c>
      <c r="AB3347">
        <v>3</v>
      </c>
      <c r="AC3347">
        <v>0</v>
      </c>
      <c r="AD3347">
        <v>9</v>
      </c>
      <c r="AE3347">
        <v>0</v>
      </c>
      <c r="AF3347">
        <v>3</v>
      </c>
      <c r="AG3347">
        <v>1</v>
      </c>
      <c r="AH3347">
        <v>0</v>
      </c>
      <c r="AI3347" t="s">
        <v>1105</v>
      </c>
      <c r="AJ3347">
        <v>34.090060999999999</v>
      </c>
      <c r="AK3347" t="s">
        <v>1106</v>
      </c>
      <c r="AL3347">
        <v>-117.035809</v>
      </c>
      <c r="AM3347">
        <v>100</v>
      </c>
      <c r="AN3347">
        <v>5600</v>
      </c>
      <c r="AO3347" t="s">
        <v>118</v>
      </c>
      <c r="AP3347">
        <v>73</v>
      </c>
      <c r="AQ3347">
        <v>-75</v>
      </c>
      <c r="AR3347">
        <v>-320</v>
      </c>
      <c r="AZ3347">
        <v>1200</v>
      </c>
      <c r="BA3347">
        <v>1</v>
      </c>
      <c r="BB3347" t="str">
        <f t="shared" si="1852"/>
        <v xml:space="preserve">N9217B  </v>
      </c>
      <c r="BC3347">
        <v>1</v>
      </c>
      <c r="BE3347">
        <v>0</v>
      </c>
      <c r="BF3347">
        <v>0</v>
      </c>
      <c r="BG3347">
        <v>0</v>
      </c>
      <c r="BH3347">
        <v>5425</v>
      </c>
      <c r="BI3347">
        <v>1</v>
      </c>
      <c r="BJ3347">
        <v>0</v>
      </c>
      <c r="BK3347">
        <v>0</v>
      </c>
      <c r="BL3347">
        <v>0</v>
      </c>
      <c r="BO3347">
        <v>0</v>
      </c>
      <c r="BP3347">
        <v>0</v>
      </c>
      <c r="BW3347" t="str">
        <f t="shared" ref="BW3347:BW3353" si="1861">"14:57:14.300"</f>
        <v>14:57:14.300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119</v>
      </c>
      <c r="CQ3347">
        <v>285</v>
      </c>
      <c r="CR3347">
        <v>0</v>
      </c>
      <c r="CW3347">
        <v>8878034</v>
      </c>
      <c r="CY3347">
        <v>0</v>
      </c>
      <c r="CZ3347">
        <v>0</v>
      </c>
      <c r="DA3347">
        <v>0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25">
      <c r="A3348" t="str">
        <f t="shared" si="1858"/>
        <v>06/05/2020 14:57:08.630</v>
      </c>
      <c r="C3348" t="str">
        <f t="shared" si="1836"/>
        <v>FFDFD3C0</v>
      </c>
      <c r="D3348" t="s">
        <v>148</v>
      </c>
      <c r="E3348">
        <v>8</v>
      </c>
      <c r="H3348">
        <v>50</v>
      </c>
      <c r="I3348" t="s">
        <v>149</v>
      </c>
      <c r="J3348" t="s">
        <v>150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859"/>
        <v>14:57:14.297</v>
      </c>
      <c r="T3348" t="str">
        <f t="shared" si="1860"/>
        <v>14:57:13.997</v>
      </c>
      <c r="U3348" t="str">
        <f t="shared" si="1849"/>
        <v>ACC530</v>
      </c>
      <c r="V3348">
        <v>0</v>
      </c>
      <c r="W3348">
        <v>0</v>
      </c>
      <c r="X3348">
        <v>1</v>
      </c>
      <c r="Z3348">
        <v>0</v>
      </c>
      <c r="AA3348">
        <v>9</v>
      </c>
      <c r="AB3348">
        <v>3</v>
      </c>
      <c r="AC3348">
        <v>0</v>
      </c>
      <c r="AD3348">
        <v>9</v>
      </c>
      <c r="AE3348">
        <v>0</v>
      </c>
      <c r="AF3348">
        <v>3</v>
      </c>
      <c r="AG3348">
        <v>1</v>
      </c>
      <c r="AH3348">
        <v>0</v>
      </c>
      <c r="AI3348" t="s">
        <v>1105</v>
      </c>
      <c r="AJ3348">
        <v>34.090060999999999</v>
      </c>
      <c r="AK3348" t="s">
        <v>1106</v>
      </c>
      <c r="AL3348">
        <v>-117.035809</v>
      </c>
      <c r="AM3348">
        <v>100</v>
      </c>
      <c r="AN3348">
        <v>5600</v>
      </c>
      <c r="AO3348" t="s">
        <v>118</v>
      </c>
      <c r="AP3348">
        <v>73</v>
      </c>
      <c r="AQ3348">
        <v>-75</v>
      </c>
      <c r="AR3348">
        <v>-320</v>
      </c>
      <c r="AZ3348">
        <v>1200</v>
      </c>
      <c r="BA3348">
        <v>1</v>
      </c>
      <c r="BB3348" t="str">
        <f t="shared" si="1852"/>
        <v xml:space="preserve">N9217B  </v>
      </c>
      <c r="BC3348">
        <v>1</v>
      </c>
      <c r="BE3348">
        <v>0</v>
      </c>
      <c r="BF3348">
        <v>0</v>
      </c>
      <c r="BG3348">
        <v>0</v>
      </c>
      <c r="BH3348">
        <v>5425</v>
      </c>
      <c r="BI3348">
        <v>1</v>
      </c>
      <c r="BJ3348">
        <v>0</v>
      </c>
      <c r="BK3348">
        <v>0</v>
      </c>
      <c r="BL3348">
        <v>0</v>
      </c>
      <c r="BO3348">
        <v>0</v>
      </c>
      <c r="BP3348">
        <v>0</v>
      </c>
      <c r="BW3348" t="str">
        <f t="shared" si="1861"/>
        <v>14:57:14.300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119</v>
      </c>
      <c r="CQ3348">
        <v>285</v>
      </c>
      <c r="CR3348">
        <v>0</v>
      </c>
      <c r="CW3348">
        <v>8878034</v>
      </c>
      <c r="CY3348">
        <v>0</v>
      </c>
      <c r="CZ3348">
        <v>0</v>
      </c>
      <c r="DA3348">
        <v>1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25">
      <c r="A3349" t="str">
        <f t="shared" si="1858"/>
        <v>06/05/2020 14:57:08.630</v>
      </c>
      <c r="C3349" t="str">
        <f t="shared" si="1836"/>
        <v>FFDFD3C0</v>
      </c>
      <c r="D3349" t="s">
        <v>151</v>
      </c>
      <c r="E3349">
        <v>8</v>
      </c>
      <c r="H3349">
        <v>225</v>
      </c>
      <c r="I3349" t="s">
        <v>353</v>
      </c>
      <c r="J3349" t="s">
        <v>150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859"/>
        <v>14:57:14.297</v>
      </c>
      <c r="T3349" t="str">
        <f t="shared" si="1860"/>
        <v>14:57:13.997</v>
      </c>
      <c r="U3349" t="str">
        <f t="shared" si="1849"/>
        <v>ACC530</v>
      </c>
      <c r="V3349">
        <v>0</v>
      </c>
      <c r="W3349">
        <v>0</v>
      </c>
      <c r="X3349">
        <v>1</v>
      </c>
      <c r="Z3349">
        <v>0</v>
      </c>
      <c r="AA3349">
        <v>9</v>
      </c>
      <c r="AB3349">
        <v>3</v>
      </c>
      <c r="AC3349">
        <v>0</v>
      </c>
      <c r="AD3349">
        <v>9</v>
      </c>
      <c r="AE3349">
        <v>0</v>
      </c>
      <c r="AF3349">
        <v>3</v>
      </c>
      <c r="AG3349">
        <v>1</v>
      </c>
      <c r="AH3349">
        <v>0</v>
      </c>
      <c r="AI3349" t="s">
        <v>1105</v>
      </c>
      <c r="AJ3349">
        <v>34.090060999999999</v>
      </c>
      <c r="AK3349" t="s">
        <v>1106</v>
      </c>
      <c r="AL3349">
        <v>-117.035809</v>
      </c>
      <c r="AM3349">
        <v>100</v>
      </c>
      <c r="AN3349">
        <v>5600</v>
      </c>
      <c r="AO3349" t="s">
        <v>118</v>
      </c>
      <c r="AP3349">
        <v>73</v>
      </c>
      <c r="AQ3349">
        <v>-75</v>
      </c>
      <c r="AR3349">
        <v>-320</v>
      </c>
      <c r="AZ3349">
        <v>1200</v>
      </c>
      <c r="BA3349">
        <v>1</v>
      </c>
      <c r="BB3349" t="str">
        <f t="shared" si="1852"/>
        <v xml:space="preserve">N9217B  </v>
      </c>
      <c r="BC3349">
        <v>1</v>
      </c>
      <c r="BE3349">
        <v>0</v>
      </c>
      <c r="BF3349">
        <v>0</v>
      </c>
      <c r="BG3349">
        <v>0</v>
      </c>
      <c r="BH3349">
        <v>5425</v>
      </c>
      <c r="BI3349">
        <v>1</v>
      </c>
      <c r="BJ3349">
        <v>0</v>
      </c>
      <c r="BK3349">
        <v>0</v>
      </c>
      <c r="BL3349">
        <v>0</v>
      </c>
      <c r="BO3349">
        <v>0</v>
      </c>
      <c r="BP3349">
        <v>0</v>
      </c>
      <c r="BW3349" t="str">
        <f t="shared" si="1861"/>
        <v>14:57:14.300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119</v>
      </c>
      <c r="CQ3349">
        <v>285</v>
      </c>
      <c r="CR3349">
        <v>0</v>
      </c>
      <c r="CW3349">
        <v>8878034</v>
      </c>
      <c r="CY3349">
        <v>0</v>
      </c>
      <c r="CZ3349">
        <v>0</v>
      </c>
      <c r="DA3349">
        <v>1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25">
      <c r="A3350" t="str">
        <f t="shared" si="1858"/>
        <v>06/05/2020 14:57:08.630</v>
      </c>
      <c r="C3350" t="str">
        <f t="shared" si="1836"/>
        <v>FFDFD3C0</v>
      </c>
      <c r="D3350" t="s">
        <v>141</v>
      </c>
      <c r="E3350">
        <v>20</v>
      </c>
      <c r="F3350">
        <v>1020</v>
      </c>
      <c r="G3350" t="s">
        <v>114</v>
      </c>
      <c r="J3350" t="s">
        <v>142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1859"/>
        <v>14:57:14.297</v>
      </c>
      <c r="T3350" t="str">
        <f t="shared" si="1860"/>
        <v>14:57:13.997</v>
      </c>
      <c r="U3350" t="str">
        <f t="shared" si="1849"/>
        <v>ACC530</v>
      </c>
      <c r="V3350">
        <v>0</v>
      </c>
      <c r="W3350">
        <v>0</v>
      </c>
      <c r="X3350">
        <v>1</v>
      </c>
      <c r="Z3350">
        <v>0</v>
      </c>
      <c r="AA3350">
        <v>9</v>
      </c>
      <c r="AB3350">
        <v>3</v>
      </c>
      <c r="AC3350">
        <v>0</v>
      </c>
      <c r="AD3350">
        <v>9</v>
      </c>
      <c r="AE3350">
        <v>0</v>
      </c>
      <c r="AF3350">
        <v>3</v>
      </c>
      <c r="AG3350">
        <v>1</v>
      </c>
      <c r="AH3350">
        <v>0</v>
      </c>
      <c r="AI3350" t="s">
        <v>1105</v>
      </c>
      <c r="AJ3350">
        <v>34.090060999999999</v>
      </c>
      <c r="AK3350" t="s">
        <v>1106</v>
      </c>
      <c r="AL3350">
        <v>-117.035809</v>
      </c>
      <c r="AM3350">
        <v>100</v>
      </c>
      <c r="AN3350">
        <v>5600</v>
      </c>
      <c r="AO3350" t="s">
        <v>118</v>
      </c>
      <c r="AP3350">
        <v>73</v>
      </c>
      <c r="AQ3350">
        <v>-75</v>
      </c>
      <c r="AR3350">
        <v>-320</v>
      </c>
      <c r="AZ3350">
        <v>1200</v>
      </c>
      <c r="BA3350">
        <v>1</v>
      </c>
      <c r="BB3350" t="str">
        <f t="shared" si="1852"/>
        <v xml:space="preserve">N9217B  </v>
      </c>
      <c r="BC3350">
        <v>1</v>
      </c>
      <c r="BE3350">
        <v>0</v>
      </c>
      <c r="BF3350">
        <v>0</v>
      </c>
      <c r="BG3350">
        <v>0</v>
      </c>
      <c r="BH3350">
        <v>5425</v>
      </c>
      <c r="BI3350">
        <v>1</v>
      </c>
      <c r="BJ3350">
        <v>0</v>
      </c>
      <c r="BK3350">
        <v>0</v>
      </c>
      <c r="BL3350">
        <v>0</v>
      </c>
      <c r="BO3350">
        <v>0</v>
      </c>
      <c r="BP3350">
        <v>0</v>
      </c>
      <c r="BW3350" t="str">
        <f t="shared" si="1861"/>
        <v>14:57:14.300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119</v>
      </c>
      <c r="CQ3350">
        <v>285</v>
      </c>
      <c r="CR3350">
        <v>0</v>
      </c>
      <c r="CW3350">
        <v>8878034</v>
      </c>
      <c r="CY3350">
        <v>0</v>
      </c>
      <c r="CZ3350">
        <v>0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25">
      <c r="A3351" t="str">
        <f t="shared" si="1858"/>
        <v>06/05/2020 14:57:08.630</v>
      </c>
      <c r="C3351" t="str">
        <f t="shared" si="1836"/>
        <v>FFDFD3C0</v>
      </c>
      <c r="D3351" t="s">
        <v>151</v>
      </c>
      <c r="E3351">
        <v>9</v>
      </c>
      <c r="H3351">
        <v>226</v>
      </c>
      <c r="I3351" t="s">
        <v>152</v>
      </c>
      <c r="J3351" t="s">
        <v>150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859"/>
        <v>14:57:14.297</v>
      </c>
      <c r="T3351" t="str">
        <f t="shared" si="1860"/>
        <v>14:57:13.997</v>
      </c>
      <c r="U3351" t="str">
        <f t="shared" si="1849"/>
        <v>ACC530</v>
      </c>
      <c r="V3351">
        <v>0</v>
      </c>
      <c r="W3351">
        <v>0</v>
      </c>
      <c r="X3351">
        <v>1</v>
      </c>
      <c r="Z3351">
        <v>0</v>
      </c>
      <c r="AA3351">
        <v>9</v>
      </c>
      <c r="AB3351">
        <v>3</v>
      </c>
      <c r="AC3351">
        <v>0</v>
      </c>
      <c r="AD3351">
        <v>9</v>
      </c>
      <c r="AE3351">
        <v>0</v>
      </c>
      <c r="AF3351">
        <v>3</v>
      </c>
      <c r="AG3351">
        <v>1</v>
      </c>
      <c r="AH3351">
        <v>0</v>
      </c>
      <c r="AI3351" t="s">
        <v>1105</v>
      </c>
      <c r="AJ3351">
        <v>34.090060999999999</v>
      </c>
      <c r="AK3351" t="s">
        <v>1106</v>
      </c>
      <c r="AL3351">
        <v>-117.035809</v>
      </c>
      <c r="AM3351">
        <v>100</v>
      </c>
      <c r="AN3351">
        <v>5600</v>
      </c>
      <c r="AO3351" t="s">
        <v>118</v>
      </c>
      <c r="AP3351">
        <v>73</v>
      </c>
      <c r="AQ3351">
        <v>-75</v>
      </c>
      <c r="AR3351">
        <v>-320</v>
      </c>
      <c r="AZ3351">
        <v>1200</v>
      </c>
      <c r="BA3351">
        <v>1</v>
      </c>
      <c r="BB3351" t="str">
        <f t="shared" si="1852"/>
        <v xml:space="preserve">N9217B  </v>
      </c>
      <c r="BC3351">
        <v>1</v>
      </c>
      <c r="BE3351">
        <v>0</v>
      </c>
      <c r="BF3351">
        <v>0</v>
      </c>
      <c r="BG3351">
        <v>0</v>
      </c>
      <c r="BH3351">
        <v>5425</v>
      </c>
      <c r="BI3351">
        <v>1</v>
      </c>
      <c r="BJ3351">
        <v>0</v>
      </c>
      <c r="BK3351">
        <v>0</v>
      </c>
      <c r="BL3351">
        <v>0</v>
      </c>
      <c r="BO3351">
        <v>0</v>
      </c>
      <c r="BP3351">
        <v>0</v>
      </c>
      <c r="BW3351" t="str">
        <f t="shared" si="1861"/>
        <v>14:57:14.300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7</v>
      </c>
      <c r="CP3351" t="s">
        <v>119</v>
      </c>
      <c r="CQ3351">
        <v>285</v>
      </c>
      <c r="CR3351">
        <v>0</v>
      </c>
      <c r="CW3351">
        <v>8878034</v>
      </c>
      <c r="CY3351">
        <v>0</v>
      </c>
      <c r="CZ3351">
        <v>0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25">
      <c r="A3352" t="str">
        <f t="shared" si="1858"/>
        <v>06/05/2020 14:57:08.630</v>
      </c>
      <c r="C3352" t="str">
        <f t="shared" si="1836"/>
        <v>FFDFD3C0</v>
      </c>
      <c r="D3352" t="s">
        <v>113</v>
      </c>
      <c r="E3352">
        <v>3</v>
      </c>
      <c r="H3352">
        <v>166</v>
      </c>
      <c r="I3352" t="s">
        <v>114</v>
      </c>
      <c r="J3352" t="s">
        <v>115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si="1859"/>
        <v>14:57:14.297</v>
      </c>
      <c r="T3352" t="str">
        <f t="shared" si="1860"/>
        <v>14:57:13.997</v>
      </c>
      <c r="U3352" t="str">
        <f t="shared" si="1849"/>
        <v>ACC530</v>
      </c>
      <c r="V3352">
        <v>0</v>
      </c>
      <c r="W3352">
        <v>0</v>
      </c>
      <c r="X3352">
        <v>1</v>
      </c>
      <c r="Z3352">
        <v>0</v>
      </c>
      <c r="AA3352">
        <v>9</v>
      </c>
      <c r="AB3352">
        <v>3</v>
      </c>
      <c r="AC3352">
        <v>0</v>
      </c>
      <c r="AD3352">
        <v>9</v>
      </c>
      <c r="AE3352">
        <v>0</v>
      </c>
      <c r="AF3352">
        <v>3</v>
      </c>
      <c r="AG3352">
        <v>1</v>
      </c>
      <c r="AH3352">
        <v>0</v>
      </c>
      <c r="AI3352" t="s">
        <v>1105</v>
      </c>
      <c r="AJ3352">
        <v>34.090060999999999</v>
      </c>
      <c r="AK3352" t="s">
        <v>1106</v>
      </c>
      <c r="AL3352">
        <v>-117.035809</v>
      </c>
      <c r="AM3352">
        <v>100</v>
      </c>
      <c r="AN3352">
        <v>5600</v>
      </c>
      <c r="AO3352" t="s">
        <v>118</v>
      </c>
      <c r="AP3352">
        <v>73</v>
      </c>
      <c r="AQ3352">
        <v>-75</v>
      </c>
      <c r="AR3352">
        <v>-320</v>
      </c>
      <c r="AZ3352">
        <v>1200</v>
      </c>
      <c r="BA3352">
        <v>1</v>
      </c>
      <c r="BB3352" t="str">
        <f t="shared" si="1852"/>
        <v xml:space="preserve">N9217B  </v>
      </c>
      <c r="BC3352">
        <v>1</v>
      </c>
      <c r="BE3352">
        <v>0</v>
      </c>
      <c r="BF3352">
        <v>0</v>
      </c>
      <c r="BG3352">
        <v>0</v>
      </c>
      <c r="BH3352">
        <v>5425</v>
      </c>
      <c r="BI3352">
        <v>1</v>
      </c>
      <c r="BJ3352">
        <v>0</v>
      </c>
      <c r="BK3352">
        <v>0</v>
      </c>
      <c r="BL3352">
        <v>0</v>
      </c>
      <c r="BO3352">
        <v>0</v>
      </c>
      <c r="BP3352">
        <v>0</v>
      </c>
      <c r="BW3352" t="str">
        <f t="shared" si="1861"/>
        <v>14:57:14.300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7</v>
      </c>
      <c r="CP3352" t="s">
        <v>119</v>
      </c>
      <c r="CQ3352">
        <v>285</v>
      </c>
      <c r="CR3352">
        <v>0</v>
      </c>
      <c r="CW3352">
        <v>8878034</v>
      </c>
      <c r="CY3352">
        <v>0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25">
      <c r="A3353" t="str">
        <f t="shared" si="1858"/>
        <v>06/05/2020 14:57:08.630</v>
      </c>
      <c r="C3353" t="str">
        <f t="shared" si="1836"/>
        <v>FFDFD3C0</v>
      </c>
      <c r="D3353" t="s">
        <v>148</v>
      </c>
      <c r="E3353">
        <v>11</v>
      </c>
      <c r="H3353">
        <v>53</v>
      </c>
      <c r="I3353" t="s">
        <v>364</v>
      </c>
      <c r="J3353" t="s">
        <v>150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859"/>
        <v>14:57:14.297</v>
      </c>
      <c r="T3353" t="str">
        <f t="shared" si="1860"/>
        <v>14:57:13.997</v>
      </c>
      <c r="U3353" t="str">
        <f t="shared" si="1849"/>
        <v>ACC530</v>
      </c>
      <c r="V3353">
        <v>0</v>
      </c>
      <c r="W3353">
        <v>0</v>
      </c>
      <c r="X3353">
        <v>1</v>
      </c>
      <c r="Z3353">
        <v>0</v>
      </c>
      <c r="AA3353">
        <v>9</v>
      </c>
      <c r="AB3353">
        <v>3</v>
      </c>
      <c r="AC3353">
        <v>0</v>
      </c>
      <c r="AD3353">
        <v>9</v>
      </c>
      <c r="AE3353">
        <v>0</v>
      </c>
      <c r="AF3353">
        <v>3</v>
      </c>
      <c r="AG3353">
        <v>1</v>
      </c>
      <c r="AH3353">
        <v>0</v>
      </c>
      <c r="AI3353" t="s">
        <v>1105</v>
      </c>
      <c r="AJ3353">
        <v>34.090060999999999</v>
      </c>
      <c r="AK3353" t="s">
        <v>1106</v>
      </c>
      <c r="AL3353">
        <v>-117.035809</v>
      </c>
      <c r="AM3353">
        <v>100</v>
      </c>
      <c r="AN3353">
        <v>5600</v>
      </c>
      <c r="AO3353" t="s">
        <v>118</v>
      </c>
      <c r="AP3353">
        <v>73</v>
      </c>
      <c r="AQ3353">
        <v>-75</v>
      </c>
      <c r="AR3353">
        <v>-320</v>
      </c>
      <c r="AZ3353">
        <v>1200</v>
      </c>
      <c r="BA3353">
        <v>1</v>
      </c>
      <c r="BB3353" t="str">
        <f t="shared" si="1852"/>
        <v xml:space="preserve">N9217B  </v>
      </c>
      <c r="BC3353">
        <v>1</v>
      </c>
      <c r="BE3353">
        <v>0</v>
      </c>
      <c r="BF3353">
        <v>0</v>
      </c>
      <c r="BG3353">
        <v>0</v>
      </c>
      <c r="BH3353">
        <v>5425</v>
      </c>
      <c r="BI3353">
        <v>1</v>
      </c>
      <c r="BJ3353">
        <v>0</v>
      </c>
      <c r="BK3353">
        <v>0</v>
      </c>
      <c r="BL3353">
        <v>0</v>
      </c>
      <c r="BO3353">
        <v>0</v>
      </c>
      <c r="BP3353">
        <v>0</v>
      </c>
      <c r="BW3353" t="str">
        <f t="shared" si="1861"/>
        <v>14:57:14.300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7</v>
      </c>
      <c r="CP3353" t="s">
        <v>119</v>
      </c>
      <c r="CQ3353">
        <v>285</v>
      </c>
      <c r="CR3353">
        <v>0</v>
      </c>
      <c r="CW3353">
        <v>8878034</v>
      </c>
      <c r="CY3353">
        <v>0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25">
      <c r="A3354" t="str">
        <f t="shared" ref="A3354:A3360" si="1862">"06/05/2020 14:57:09.615"</f>
        <v>06/05/2020 14:57:09.615</v>
      </c>
      <c r="C3354" t="str">
        <f t="shared" si="1836"/>
        <v>FFDFD3C0</v>
      </c>
      <c r="D3354" t="s">
        <v>151</v>
      </c>
      <c r="E3354">
        <v>9</v>
      </c>
      <c r="H3354">
        <v>226</v>
      </c>
      <c r="I3354" t="s">
        <v>152</v>
      </c>
      <c r="J3354" t="s">
        <v>150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ref="S3354:S3360" si="1863">"14:57:15.258"</f>
        <v>14:57:15.258</v>
      </c>
      <c r="T3354" t="str">
        <f t="shared" ref="T3354:T3360" si="1864">"14:57:15.058"</f>
        <v>14:57:15.058</v>
      </c>
      <c r="U3354" t="str">
        <f t="shared" si="1849"/>
        <v>ACC530</v>
      </c>
      <c r="V3354">
        <v>0</v>
      </c>
      <c r="W3354">
        <v>0</v>
      </c>
      <c r="X3354">
        <v>1</v>
      </c>
      <c r="Z3354">
        <v>0</v>
      </c>
      <c r="AA3354">
        <v>9</v>
      </c>
      <c r="AB3354">
        <v>3</v>
      </c>
      <c r="AC3354">
        <v>0</v>
      </c>
      <c r="AD3354">
        <v>9</v>
      </c>
      <c r="AE3354">
        <v>0</v>
      </c>
      <c r="AF3354">
        <v>3</v>
      </c>
      <c r="AG3354">
        <v>1</v>
      </c>
      <c r="AH3354">
        <v>0</v>
      </c>
      <c r="AI3354" t="s">
        <v>1107</v>
      </c>
      <c r="AJ3354">
        <v>34.089761000000003</v>
      </c>
      <c r="AK3354" t="s">
        <v>1108</v>
      </c>
      <c r="AL3354">
        <v>-117.035444</v>
      </c>
      <c r="AM3354">
        <v>100</v>
      </c>
      <c r="AN3354">
        <v>5600</v>
      </c>
      <c r="AO3354" t="s">
        <v>118</v>
      </c>
      <c r="AP3354">
        <v>73</v>
      </c>
      <c r="AQ3354">
        <v>-74</v>
      </c>
      <c r="AR3354">
        <v>-384</v>
      </c>
      <c r="AZ3354">
        <v>1200</v>
      </c>
      <c r="BA3354">
        <v>1</v>
      </c>
      <c r="BB3354" t="str">
        <f t="shared" si="1852"/>
        <v xml:space="preserve">N9217B  </v>
      </c>
      <c r="BC3354">
        <v>1</v>
      </c>
      <c r="BE3354">
        <v>0</v>
      </c>
      <c r="BF3354">
        <v>0</v>
      </c>
      <c r="BG3354">
        <v>0</v>
      </c>
      <c r="BH3354">
        <v>5425</v>
      </c>
      <c r="BI3354">
        <v>1</v>
      </c>
      <c r="BJ3354">
        <v>0</v>
      </c>
      <c r="BK3354">
        <v>0</v>
      </c>
      <c r="BL3354">
        <v>0</v>
      </c>
      <c r="BO3354">
        <v>0</v>
      </c>
      <c r="BP3354">
        <v>0</v>
      </c>
      <c r="BW3354" t="str">
        <f t="shared" ref="BW3354:BW3360" si="1865">"14:57:15.259"</f>
        <v>14:57:15.259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7</v>
      </c>
      <c r="CP3354" t="s">
        <v>119</v>
      </c>
      <c r="CQ3354">
        <v>285</v>
      </c>
      <c r="CR3354">
        <v>0</v>
      </c>
      <c r="CW3354">
        <v>8878121</v>
      </c>
      <c r="CY3354">
        <v>0</v>
      </c>
      <c r="CZ3354">
        <v>0</v>
      </c>
      <c r="DA3354">
        <v>0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25">
      <c r="A3355" t="str">
        <f t="shared" si="1862"/>
        <v>06/05/2020 14:57:09.615</v>
      </c>
      <c r="C3355" t="str">
        <f t="shared" si="1836"/>
        <v>FFDFD3C0</v>
      </c>
      <c r="D3355" t="s">
        <v>113</v>
      </c>
      <c r="E3355">
        <v>3</v>
      </c>
      <c r="H3355">
        <v>166</v>
      </c>
      <c r="I3355" t="s">
        <v>114</v>
      </c>
      <c r="J3355" t="s">
        <v>115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863"/>
        <v>14:57:15.258</v>
      </c>
      <c r="T3355" t="str">
        <f t="shared" si="1864"/>
        <v>14:57:15.058</v>
      </c>
      <c r="U3355" t="str">
        <f t="shared" si="1849"/>
        <v>ACC530</v>
      </c>
      <c r="V3355">
        <v>0</v>
      </c>
      <c r="W3355">
        <v>0</v>
      </c>
      <c r="X3355">
        <v>1</v>
      </c>
      <c r="Z3355">
        <v>0</v>
      </c>
      <c r="AA3355">
        <v>9</v>
      </c>
      <c r="AB3355">
        <v>3</v>
      </c>
      <c r="AC3355">
        <v>0</v>
      </c>
      <c r="AD3355">
        <v>9</v>
      </c>
      <c r="AE3355">
        <v>0</v>
      </c>
      <c r="AF3355">
        <v>3</v>
      </c>
      <c r="AG3355">
        <v>1</v>
      </c>
      <c r="AH3355">
        <v>0</v>
      </c>
      <c r="AI3355" t="s">
        <v>1107</v>
      </c>
      <c r="AJ3355">
        <v>34.089761000000003</v>
      </c>
      <c r="AK3355" t="s">
        <v>1108</v>
      </c>
      <c r="AL3355">
        <v>-117.035444</v>
      </c>
      <c r="AM3355">
        <v>100</v>
      </c>
      <c r="AN3355">
        <v>5600</v>
      </c>
      <c r="AO3355" t="s">
        <v>118</v>
      </c>
      <c r="AP3355">
        <v>73</v>
      </c>
      <c r="AQ3355">
        <v>-74</v>
      </c>
      <c r="AR3355">
        <v>-384</v>
      </c>
      <c r="AZ3355">
        <v>1200</v>
      </c>
      <c r="BA3355">
        <v>1</v>
      </c>
      <c r="BB3355" t="str">
        <f t="shared" si="1852"/>
        <v xml:space="preserve">N9217B  </v>
      </c>
      <c r="BC3355">
        <v>1</v>
      </c>
      <c r="BE3355">
        <v>0</v>
      </c>
      <c r="BF3355">
        <v>0</v>
      </c>
      <c r="BG3355">
        <v>0</v>
      </c>
      <c r="BH3355">
        <v>5425</v>
      </c>
      <c r="BI3355">
        <v>1</v>
      </c>
      <c r="BJ3355">
        <v>0</v>
      </c>
      <c r="BK3355">
        <v>0</v>
      </c>
      <c r="BL3355">
        <v>0</v>
      </c>
      <c r="BO3355">
        <v>0</v>
      </c>
      <c r="BP3355">
        <v>0</v>
      </c>
      <c r="BW3355" t="str">
        <f t="shared" si="1865"/>
        <v>14:57:15.259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7</v>
      </c>
      <c r="CP3355" t="s">
        <v>119</v>
      </c>
      <c r="CQ3355">
        <v>285</v>
      </c>
      <c r="CR3355">
        <v>0</v>
      </c>
      <c r="CW3355">
        <v>8878121</v>
      </c>
      <c r="CY3355">
        <v>0</v>
      </c>
      <c r="CZ3355">
        <v>0</v>
      </c>
      <c r="DA3355">
        <v>1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25">
      <c r="A3356" t="str">
        <f t="shared" si="1862"/>
        <v>06/05/2020 14:57:09.615</v>
      </c>
      <c r="C3356" t="str">
        <f t="shared" si="1836"/>
        <v>FFDFD3C0</v>
      </c>
      <c r="D3356" t="s">
        <v>148</v>
      </c>
      <c r="E3356">
        <v>11</v>
      </c>
      <c r="H3356">
        <v>53</v>
      </c>
      <c r="I3356" t="s">
        <v>364</v>
      </c>
      <c r="J3356" t="s">
        <v>150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863"/>
        <v>14:57:15.258</v>
      </c>
      <c r="T3356" t="str">
        <f t="shared" si="1864"/>
        <v>14:57:15.058</v>
      </c>
      <c r="U3356" t="str">
        <f t="shared" si="1849"/>
        <v>ACC530</v>
      </c>
      <c r="V3356">
        <v>0</v>
      </c>
      <c r="W3356">
        <v>0</v>
      </c>
      <c r="X3356">
        <v>1</v>
      </c>
      <c r="Z3356">
        <v>0</v>
      </c>
      <c r="AA3356">
        <v>9</v>
      </c>
      <c r="AB3356">
        <v>3</v>
      </c>
      <c r="AC3356">
        <v>0</v>
      </c>
      <c r="AD3356">
        <v>9</v>
      </c>
      <c r="AE3356">
        <v>0</v>
      </c>
      <c r="AF3356">
        <v>3</v>
      </c>
      <c r="AG3356">
        <v>1</v>
      </c>
      <c r="AH3356">
        <v>0</v>
      </c>
      <c r="AI3356" t="s">
        <v>1107</v>
      </c>
      <c r="AJ3356">
        <v>34.089761000000003</v>
      </c>
      <c r="AK3356" t="s">
        <v>1108</v>
      </c>
      <c r="AL3356">
        <v>-117.035444</v>
      </c>
      <c r="AM3356">
        <v>100</v>
      </c>
      <c r="AN3356">
        <v>5600</v>
      </c>
      <c r="AO3356" t="s">
        <v>118</v>
      </c>
      <c r="AP3356">
        <v>73</v>
      </c>
      <c r="AQ3356">
        <v>-74</v>
      </c>
      <c r="AR3356">
        <v>-384</v>
      </c>
      <c r="AZ3356">
        <v>1200</v>
      </c>
      <c r="BA3356">
        <v>1</v>
      </c>
      <c r="BB3356" t="str">
        <f t="shared" si="1852"/>
        <v xml:space="preserve">N9217B  </v>
      </c>
      <c r="BC3356">
        <v>1</v>
      </c>
      <c r="BE3356">
        <v>0</v>
      </c>
      <c r="BF3356">
        <v>0</v>
      </c>
      <c r="BG3356">
        <v>0</v>
      </c>
      <c r="BH3356">
        <v>5425</v>
      </c>
      <c r="BI3356">
        <v>1</v>
      </c>
      <c r="BJ3356">
        <v>0</v>
      </c>
      <c r="BK3356">
        <v>0</v>
      </c>
      <c r="BL3356">
        <v>0</v>
      </c>
      <c r="BO3356">
        <v>0</v>
      </c>
      <c r="BP3356">
        <v>0</v>
      </c>
      <c r="BW3356" t="str">
        <f t="shared" si="1865"/>
        <v>14:57:15.259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7</v>
      </c>
      <c r="CP3356" t="s">
        <v>119</v>
      </c>
      <c r="CQ3356">
        <v>285</v>
      </c>
      <c r="CR3356">
        <v>0</v>
      </c>
      <c r="CW3356">
        <v>8878121</v>
      </c>
      <c r="CY3356">
        <v>0</v>
      </c>
      <c r="CZ3356">
        <v>0</v>
      </c>
      <c r="DA3356">
        <v>1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25">
      <c r="A3357" t="str">
        <f t="shared" si="1862"/>
        <v>06/05/2020 14:57:09.615</v>
      </c>
      <c r="C3357" t="str">
        <f t="shared" si="1836"/>
        <v>FFDFD3C0</v>
      </c>
      <c r="D3357" t="s">
        <v>134</v>
      </c>
      <c r="E3357">
        <v>7</v>
      </c>
      <c r="F3357">
        <v>2007</v>
      </c>
      <c r="G3357" t="s">
        <v>135</v>
      </c>
      <c r="J3357" t="s">
        <v>136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si="1863"/>
        <v>14:57:15.258</v>
      </c>
      <c r="T3357" t="str">
        <f t="shared" si="1864"/>
        <v>14:57:15.058</v>
      </c>
      <c r="U3357" t="str">
        <f t="shared" si="1849"/>
        <v>ACC530</v>
      </c>
      <c r="V3357">
        <v>0</v>
      </c>
      <c r="W3357">
        <v>0</v>
      </c>
      <c r="X3357">
        <v>1</v>
      </c>
      <c r="Z3357">
        <v>0</v>
      </c>
      <c r="AA3357">
        <v>9</v>
      </c>
      <c r="AB3357">
        <v>3</v>
      </c>
      <c r="AC3357">
        <v>0</v>
      </c>
      <c r="AD3357">
        <v>9</v>
      </c>
      <c r="AE3357">
        <v>0</v>
      </c>
      <c r="AF3357">
        <v>3</v>
      </c>
      <c r="AG3357">
        <v>1</v>
      </c>
      <c r="AH3357">
        <v>0</v>
      </c>
      <c r="AI3357" t="s">
        <v>1107</v>
      </c>
      <c r="AJ3357">
        <v>34.089761000000003</v>
      </c>
      <c r="AK3357" t="s">
        <v>1108</v>
      </c>
      <c r="AL3357">
        <v>-117.035444</v>
      </c>
      <c r="AM3357">
        <v>100</v>
      </c>
      <c r="AN3357">
        <v>5600</v>
      </c>
      <c r="AO3357" t="s">
        <v>118</v>
      </c>
      <c r="AP3357">
        <v>73</v>
      </c>
      <c r="AQ3357">
        <v>-74</v>
      </c>
      <c r="AR3357">
        <v>-384</v>
      </c>
      <c r="AZ3357">
        <v>1200</v>
      </c>
      <c r="BA3357">
        <v>1</v>
      </c>
      <c r="BB3357" t="str">
        <f t="shared" si="1852"/>
        <v xml:space="preserve">N9217B  </v>
      </c>
      <c r="BC3357">
        <v>1</v>
      </c>
      <c r="BE3357">
        <v>0</v>
      </c>
      <c r="BF3357">
        <v>0</v>
      </c>
      <c r="BG3357">
        <v>0</v>
      </c>
      <c r="BH3357">
        <v>5425</v>
      </c>
      <c r="BI3357">
        <v>1</v>
      </c>
      <c r="BJ3357">
        <v>0</v>
      </c>
      <c r="BK3357">
        <v>0</v>
      </c>
      <c r="BL3357">
        <v>0</v>
      </c>
      <c r="BO3357">
        <v>0</v>
      </c>
      <c r="BP3357">
        <v>0</v>
      </c>
      <c r="BW3357" t="str">
        <f t="shared" si="1865"/>
        <v>14:57:15.259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285</v>
      </c>
      <c r="CR3357">
        <v>0</v>
      </c>
      <c r="CW3357">
        <v>8878121</v>
      </c>
      <c r="CY3357">
        <v>0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25">
      <c r="A3358" t="str">
        <f t="shared" si="1862"/>
        <v>06/05/2020 14:57:09.615</v>
      </c>
      <c r="C3358" t="str">
        <f t="shared" si="1836"/>
        <v>FFDFD3C0</v>
      </c>
      <c r="D3358" t="s">
        <v>148</v>
      </c>
      <c r="E3358">
        <v>8</v>
      </c>
      <c r="H3358">
        <v>50</v>
      </c>
      <c r="I3358" t="s">
        <v>149</v>
      </c>
      <c r="J3358" t="s">
        <v>150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863"/>
        <v>14:57:15.258</v>
      </c>
      <c r="T3358" t="str">
        <f t="shared" si="1864"/>
        <v>14:57:15.058</v>
      </c>
      <c r="U3358" t="str">
        <f t="shared" si="1849"/>
        <v>ACC530</v>
      </c>
      <c r="V3358">
        <v>0</v>
      </c>
      <c r="W3358">
        <v>0</v>
      </c>
      <c r="X3358">
        <v>1</v>
      </c>
      <c r="Z3358">
        <v>0</v>
      </c>
      <c r="AA3358">
        <v>9</v>
      </c>
      <c r="AB3358">
        <v>3</v>
      </c>
      <c r="AC3358">
        <v>0</v>
      </c>
      <c r="AD3358">
        <v>9</v>
      </c>
      <c r="AE3358">
        <v>0</v>
      </c>
      <c r="AF3358">
        <v>3</v>
      </c>
      <c r="AG3358">
        <v>1</v>
      </c>
      <c r="AH3358">
        <v>0</v>
      </c>
      <c r="AI3358" t="s">
        <v>1107</v>
      </c>
      <c r="AJ3358">
        <v>34.089761000000003</v>
      </c>
      <c r="AK3358" t="s">
        <v>1108</v>
      </c>
      <c r="AL3358">
        <v>-117.035444</v>
      </c>
      <c r="AM3358">
        <v>100</v>
      </c>
      <c r="AN3358">
        <v>5600</v>
      </c>
      <c r="AO3358" t="s">
        <v>118</v>
      </c>
      <c r="AP3358">
        <v>73</v>
      </c>
      <c r="AQ3358">
        <v>-74</v>
      </c>
      <c r="AR3358">
        <v>-384</v>
      </c>
      <c r="AZ3358">
        <v>1200</v>
      </c>
      <c r="BA3358">
        <v>1</v>
      </c>
      <c r="BB3358" t="str">
        <f t="shared" si="1852"/>
        <v xml:space="preserve">N9217B  </v>
      </c>
      <c r="BC3358">
        <v>1</v>
      </c>
      <c r="BE3358">
        <v>0</v>
      </c>
      <c r="BF3358">
        <v>0</v>
      </c>
      <c r="BG3358">
        <v>0</v>
      </c>
      <c r="BH3358">
        <v>5425</v>
      </c>
      <c r="BI3358">
        <v>1</v>
      </c>
      <c r="BJ3358">
        <v>0</v>
      </c>
      <c r="BK3358">
        <v>0</v>
      </c>
      <c r="BL3358">
        <v>0</v>
      </c>
      <c r="BO3358">
        <v>0</v>
      </c>
      <c r="BP3358">
        <v>0</v>
      </c>
      <c r="BW3358" t="str">
        <f t="shared" si="1865"/>
        <v>14:57:15.259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7</v>
      </c>
      <c r="CP3358" t="s">
        <v>119</v>
      </c>
      <c r="CQ3358">
        <v>285</v>
      </c>
      <c r="CR3358">
        <v>0</v>
      </c>
      <c r="CW3358">
        <v>8878121</v>
      </c>
      <c r="CY3358">
        <v>0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25">
      <c r="A3359" t="str">
        <f t="shared" si="1862"/>
        <v>06/05/2020 14:57:09.615</v>
      </c>
      <c r="C3359" t="str">
        <f t="shared" si="1836"/>
        <v>FFDFD3C0</v>
      </c>
      <c r="D3359" t="s">
        <v>151</v>
      </c>
      <c r="E3359">
        <v>8</v>
      </c>
      <c r="H3359">
        <v>225</v>
      </c>
      <c r="I3359" t="s">
        <v>353</v>
      </c>
      <c r="J3359" t="s">
        <v>150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863"/>
        <v>14:57:15.258</v>
      </c>
      <c r="T3359" t="str">
        <f t="shared" si="1864"/>
        <v>14:57:15.058</v>
      </c>
      <c r="U3359" t="str">
        <f t="shared" si="1849"/>
        <v>ACC530</v>
      </c>
      <c r="V3359">
        <v>0</v>
      </c>
      <c r="W3359">
        <v>0</v>
      </c>
      <c r="X3359">
        <v>1</v>
      </c>
      <c r="Z3359">
        <v>0</v>
      </c>
      <c r="AA3359">
        <v>9</v>
      </c>
      <c r="AB3359">
        <v>3</v>
      </c>
      <c r="AC3359">
        <v>0</v>
      </c>
      <c r="AD3359">
        <v>9</v>
      </c>
      <c r="AE3359">
        <v>0</v>
      </c>
      <c r="AF3359">
        <v>3</v>
      </c>
      <c r="AG3359">
        <v>1</v>
      </c>
      <c r="AH3359">
        <v>0</v>
      </c>
      <c r="AI3359" t="s">
        <v>1107</v>
      </c>
      <c r="AJ3359">
        <v>34.089761000000003</v>
      </c>
      <c r="AK3359" t="s">
        <v>1108</v>
      </c>
      <c r="AL3359">
        <v>-117.035444</v>
      </c>
      <c r="AM3359">
        <v>100</v>
      </c>
      <c r="AN3359">
        <v>5600</v>
      </c>
      <c r="AO3359" t="s">
        <v>118</v>
      </c>
      <c r="AP3359">
        <v>73</v>
      </c>
      <c r="AQ3359">
        <v>-74</v>
      </c>
      <c r="AR3359">
        <v>-384</v>
      </c>
      <c r="AZ3359">
        <v>1200</v>
      </c>
      <c r="BA3359">
        <v>1</v>
      </c>
      <c r="BB3359" t="str">
        <f t="shared" si="1852"/>
        <v xml:space="preserve">N9217B  </v>
      </c>
      <c r="BC3359">
        <v>1</v>
      </c>
      <c r="BE3359">
        <v>0</v>
      </c>
      <c r="BF3359">
        <v>0</v>
      </c>
      <c r="BG3359">
        <v>0</v>
      </c>
      <c r="BH3359">
        <v>5425</v>
      </c>
      <c r="BI3359">
        <v>1</v>
      </c>
      <c r="BJ3359">
        <v>0</v>
      </c>
      <c r="BK3359">
        <v>0</v>
      </c>
      <c r="BL3359">
        <v>0</v>
      </c>
      <c r="BO3359">
        <v>0</v>
      </c>
      <c r="BP3359">
        <v>0</v>
      </c>
      <c r="BW3359" t="str">
        <f t="shared" si="1865"/>
        <v>14:57:15.259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285</v>
      </c>
      <c r="CR3359">
        <v>0</v>
      </c>
      <c r="CW3359">
        <v>8878121</v>
      </c>
      <c r="CY3359">
        <v>0</v>
      </c>
      <c r="CZ3359">
        <v>0</v>
      </c>
      <c r="DA3359">
        <v>1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25">
      <c r="A3360" t="str">
        <f t="shared" si="1862"/>
        <v>06/05/2020 14:57:09.615</v>
      </c>
      <c r="C3360" t="str">
        <f t="shared" si="1836"/>
        <v>FFDFD3C0</v>
      </c>
      <c r="D3360" t="s">
        <v>141</v>
      </c>
      <c r="E3360">
        <v>20</v>
      </c>
      <c r="F3360">
        <v>1020</v>
      </c>
      <c r="G3360" t="s">
        <v>114</v>
      </c>
      <c r="J3360" t="s">
        <v>142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863"/>
        <v>14:57:15.258</v>
      </c>
      <c r="T3360" t="str">
        <f t="shared" si="1864"/>
        <v>14:57:15.058</v>
      </c>
      <c r="U3360" t="str">
        <f t="shared" si="1849"/>
        <v>ACC530</v>
      </c>
      <c r="V3360">
        <v>0</v>
      </c>
      <c r="W3360">
        <v>0</v>
      </c>
      <c r="X3360">
        <v>1</v>
      </c>
      <c r="Z3360">
        <v>0</v>
      </c>
      <c r="AA3360">
        <v>9</v>
      </c>
      <c r="AB3360">
        <v>3</v>
      </c>
      <c r="AC3360">
        <v>0</v>
      </c>
      <c r="AD3360">
        <v>9</v>
      </c>
      <c r="AE3360">
        <v>0</v>
      </c>
      <c r="AF3360">
        <v>3</v>
      </c>
      <c r="AG3360">
        <v>1</v>
      </c>
      <c r="AH3360">
        <v>0</v>
      </c>
      <c r="AI3360" t="s">
        <v>1107</v>
      </c>
      <c r="AJ3360">
        <v>34.089761000000003</v>
      </c>
      <c r="AK3360" t="s">
        <v>1108</v>
      </c>
      <c r="AL3360">
        <v>-117.035444</v>
      </c>
      <c r="AM3360">
        <v>100</v>
      </c>
      <c r="AN3360">
        <v>5600</v>
      </c>
      <c r="AO3360" t="s">
        <v>118</v>
      </c>
      <c r="AP3360">
        <v>73</v>
      </c>
      <c r="AQ3360">
        <v>-74</v>
      </c>
      <c r="AR3360">
        <v>-384</v>
      </c>
      <c r="AZ3360">
        <v>1200</v>
      </c>
      <c r="BA3360">
        <v>1</v>
      </c>
      <c r="BB3360" t="str">
        <f t="shared" si="1852"/>
        <v xml:space="preserve">N9217B  </v>
      </c>
      <c r="BC3360">
        <v>1</v>
      </c>
      <c r="BE3360">
        <v>0</v>
      </c>
      <c r="BF3360">
        <v>0</v>
      </c>
      <c r="BG3360">
        <v>0</v>
      </c>
      <c r="BH3360">
        <v>5425</v>
      </c>
      <c r="BI3360">
        <v>1</v>
      </c>
      <c r="BJ3360">
        <v>0</v>
      </c>
      <c r="BK3360">
        <v>0</v>
      </c>
      <c r="BL3360">
        <v>0</v>
      </c>
      <c r="BO3360">
        <v>0</v>
      </c>
      <c r="BP3360">
        <v>0</v>
      </c>
      <c r="BW3360" t="str">
        <f t="shared" si="1865"/>
        <v>14:57:15.259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285</v>
      </c>
      <c r="CR3360">
        <v>0</v>
      </c>
      <c r="CW3360">
        <v>8878121</v>
      </c>
      <c r="CY3360">
        <v>0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25">
      <c r="A3361" t="str">
        <f t="shared" ref="A3361:A3367" si="1866">"06/05/2020 14:57:10.642"</f>
        <v>06/05/2020 14:57:10.642</v>
      </c>
      <c r="C3361" t="str">
        <f t="shared" si="1836"/>
        <v>FFDFD3C0</v>
      </c>
      <c r="D3361" t="s">
        <v>148</v>
      </c>
      <c r="E3361">
        <v>11</v>
      </c>
      <c r="H3361">
        <v>53</v>
      </c>
      <c r="I3361" t="s">
        <v>364</v>
      </c>
      <c r="J3361" t="s">
        <v>150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ref="S3361:S3367" si="1867">"14:57:16.273"</f>
        <v>14:57:16.273</v>
      </c>
      <c r="T3361" t="str">
        <f t="shared" ref="T3361:T3367" si="1868">"14:57:15.973"</f>
        <v>14:57:15.973</v>
      </c>
      <c r="U3361" t="str">
        <f t="shared" si="1849"/>
        <v>ACC530</v>
      </c>
      <c r="V3361">
        <v>0</v>
      </c>
      <c r="W3361">
        <v>0</v>
      </c>
      <c r="X3361">
        <v>1</v>
      </c>
      <c r="Z3361">
        <v>0</v>
      </c>
      <c r="AA3361">
        <v>9</v>
      </c>
      <c r="AB3361">
        <v>3</v>
      </c>
      <c r="AC3361">
        <v>0</v>
      </c>
      <c r="AD3361">
        <v>9</v>
      </c>
      <c r="AE3361">
        <v>0</v>
      </c>
      <c r="AF3361">
        <v>3</v>
      </c>
      <c r="AG3361">
        <v>1</v>
      </c>
      <c r="AH3361">
        <v>0</v>
      </c>
      <c r="AI3361" t="s">
        <v>1109</v>
      </c>
      <c r="AJ3361">
        <v>34.089416999999997</v>
      </c>
      <c r="AK3361" t="s">
        <v>1110</v>
      </c>
      <c r="AL3361">
        <v>-117.035015</v>
      </c>
      <c r="AM3361">
        <v>100</v>
      </c>
      <c r="AN3361">
        <v>5600</v>
      </c>
      <c r="AO3361" t="s">
        <v>118</v>
      </c>
      <c r="AP3361">
        <v>73</v>
      </c>
      <c r="AQ3361">
        <v>-74</v>
      </c>
      <c r="AR3361">
        <v>-384</v>
      </c>
      <c r="AZ3361">
        <v>1200</v>
      </c>
      <c r="BA3361">
        <v>1</v>
      </c>
      <c r="BB3361" t="str">
        <f t="shared" si="1852"/>
        <v xml:space="preserve">N9217B  </v>
      </c>
      <c r="BC3361">
        <v>1</v>
      </c>
      <c r="BE3361">
        <v>0</v>
      </c>
      <c r="BF3361">
        <v>0</v>
      </c>
      <c r="BG3361">
        <v>0</v>
      </c>
      <c r="BH3361">
        <v>5425</v>
      </c>
      <c r="BI3361">
        <v>1</v>
      </c>
      <c r="BJ3361">
        <v>0</v>
      </c>
      <c r="BK3361">
        <v>0</v>
      </c>
      <c r="BL3361">
        <v>0</v>
      </c>
      <c r="BO3361">
        <v>0</v>
      </c>
      <c r="BP3361">
        <v>0</v>
      </c>
      <c r="BW3361" t="str">
        <f t="shared" ref="BW3361:BW3367" si="1869">"14:57:16.279"</f>
        <v>14:57:16.279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285</v>
      </c>
      <c r="CR3361">
        <v>0</v>
      </c>
      <c r="CW3361">
        <v>8878218</v>
      </c>
      <c r="CY3361">
        <v>0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25">
      <c r="A3362" t="str">
        <f t="shared" si="1866"/>
        <v>06/05/2020 14:57:10.642</v>
      </c>
      <c r="C3362" t="str">
        <f t="shared" si="1836"/>
        <v>FFDFD3C0</v>
      </c>
      <c r="D3362" t="s">
        <v>134</v>
      </c>
      <c r="E3362">
        <v>7</v>
      </c>
      <c r="F3362">
        <v>2007</v>
      </c>
      <c r="G3362" t="s">
        <v>135</v>
      </c>
      <c r="J3362" t="s">
        <v>136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867"/>
        <v>14:57:16.273</v>
      </c>
      <c r="T3362" t="str">
        <f t="shared" si="1868"/>
        <v>14:57:15.973</v>
      </c>
      <c r="U3362" t="str">
        <f t="shared" si="1849"/>
        <v>ACC530</v>
      </c>
      <c r="V3362">
        <v>0</v>
      </c>
      <c r="W3362">
        <v>0</v>
      </c>
      <c r="X3362">
        <v>1</v>
      </c>
      <c r="Z3362">
        <v>0</v>
      </c>
      <c r="AA3362">
        <v>9</v>
      </c>
      <c r="AB3362">
        <v>3</v>
      </c>
      <c r="AC3362">
        <v>0</v>
      </c>
      <c r="AD3362">
        <v>9</v>
      </c>
      <c r="AE3362">
        <v>0</v>
      </c>
      <c r="AF3362">
        <v>3</v>
      </c>
      <c r="AG3362">
        <v>1</v>
      </c>
      <c r="AH3362">
        <v>0</v>
      </c>
      <c r="AI3362" t="s">
        <v>1109</v>
      </c>
      <c r="AJ3362">
        <v>34.089416999999997</v>
      </c>
      <c r="AK3362" t="s">
        <v>1110</v>
      </c>
      <c r="AL3362">
        <v>-117.035015</v>
      </c>
      <c r="AM3362">
        <v>100</v>
      </c>
      <c r="AN3362">
        <v>5600</v>
      </c>
      <c r="AO3362" t="s">
        <v>118</v>
      </c>
      <c r="AP3362">
        <v>73</v>
      </c>
      <c r="AQ3362">
        <v>-74</v>
      </c>
      <c r="AR3362">
        <v>-384</v>
      </c>
      <c r="AZ3362">
        <v>1200</v>
      </c>
      <c r="BA3362">
        <v>1</v>
      </c>
      <c r="BB3362" t="str">
        <f t="shared" si="1852"/>
        <v xml:space="preserve">N9217B  </v>
      </c>
      <c r="BC3362">
        <v>1</v>
      </c>
      <c r="BE3362">
        <v>0</v>
      </c>
      <c r="BF3362">
        <v>0</v>
      </c>
      <c r="BG3362">
        <v>0</v>
      </c>
      <c r="BH3362">
        <v>5425</v>
      </c>
      <c r="BI3362">
        <v>1</v>
      </c>
      <c r="BJ3362">
        <v>0</v>
      </c>
      <c r="BK3362">
        <v>0</v>
      </c>
      <c r="BL3362">
        <v>0</v>
      </c>
      <c r="BO3362">
        <v>0</v>
      </c>
      <c r="BP3362">
        <v>0</v>
      </c>
      <c r="BW3362" t="str">
        <f t="shared" si="1869"/>
        <v>14:57:16.279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119</v>
      </c>
      <c r="CQ3362">
        <v>285</v>
      </c>
      <c r="CR3362">
        <v>0</v>
      </c>
      <c r="CW3362">
        <v>8878218</v>
      </c>
      <c r="CY3362">
        <v>0</v>
      </c>
      <c r="CZ3362">
        <v>0</v>
      </c>
      <c r="DA3362">
        <v>1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25">
      <c r="A3363" t="str">
        <f t="shared" si="1866"/>
        <v>06/05/2020 14:57:10.642</v>
      </c>
      <c r="C3363" t="str">
        <f t="shared" ref="C3363:C3426" si="1870">"FFDFD3C0"</f>
        <v>FFDFD3C0</v>
      </c>
      <c r="D3363" t="s">
        <v>141</v>
      </c>
      <c r="E3363">
        <v>20</v>
      </c>
      <c r="F3363">
        <v>1020</v>
      </c>
      <c r="G3363" t="s">
        <v>114</v>
      </c>
      <c r="J3363" t="s">
        <v>142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867"/>
        <v>14:57:16.273</v>
      </c>
      <c r="T3363" t="str">
        <f t="shared" si="1868"/>
        <v>14:57:15.973</v>
      </c>
      <c r="U3363" t="str">
        <f t="shared" si="1849"/>
        <v>ACC530</v>
      </c>
      <c r="V3363">
        <v>0</v>
      </c>
      <c r="W3363">
        <v>0</v>
      </c>
      <c r="X3363">
        <v>1</v>
      </c>
      <c r="Z3363">
        <v>0</v>
      </c>
      <c r="AA3363">
        <v>9</v>
      </c>
      <c r="AB3363">
        <v>3</v>
      </c>
      <c r="AC3363">
        <v>0</v>
      </c>
      <c r="AD3363">
        <v>9</v>
      </c>
      <c r="AE3363">
        <v>0</v>
      </c>
      <c r="AF3363">
        <v>3</v>
      </c>
      <c r="AG3363">
        <v>1</v>
      </c>
      <c r="AH3363">
        <v>0</v>
      </c>
      <c r="AI3363" t="s">
        <v>1109</v>
      </c>
      <c r="AJ3363">
        <v>34.089416999999997</v>
      </c>
      <c r="AK3363" t="s">
        <v>1110</v>
      </c>
      <c r="AL3363">
        <v>-117.035015</v>
      </c>
      <c r="AM3363">
        <v>100</v>
      </c>
      <c r="AN3363">
        <v>5600</v>
      </c>
      <c r="AO3363" t="s">
        <v>118</v>
      </c>
      <c r="AP3363">
        <v>73</v>
      </c>
      <c r="AQ3363">
        <v>-74</v>
      </c>
      <c r="AR3363">
        <v>-384</v>
      </c>
      <c r="AZ3363">
        <v>1200</v>
      </c>
      <c r="BA3363">
        <v>1</v>
      </c>
      <c r="BB3363" t="str">
        <f t="shared" si="1852"/>
        <v xml:space="preserve">N9217B  </v>
      </c>
      <c r="BC3363">
        <v>1</v>
      </c>
      <c r="BE3363">
        <v>0</v>
      </c>
      <c r="BF3363">
        <v>0</v>
      </c>
      <c r="BG3363">
        <v>0</v>
      </c>
      <c r="BH3363">
        <v>5425</v>
      </c>
      <c r="BI3363">
        <v>1</v>
      </c>
      <c r="BJ3363">
        <v>0</v>
      </c>
      <c r="BK3363">
        <v>0</v>
      </c>
      <c r="BL3363">
        <v>0</v>
      </c>
      <c r="BO3363">
        <v>0</v>
      </c>
      <c r="BP3363">
        <v>0</v>
      </c>
      <c r="BW3363" t="str">
        <f t="shared" si="1869"/>
        <v>14:57:16.279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119</v>
      </c>
      <c r="CQ3363">
        <v>285</v>
      </c>
      <c r="CR3363">
        <v>0</v>
      </c>
      <c r="CW3363">
        <v>8878218</v>
      </c>
      <c r="CY3363">
        <v>0</v>
      </c>
      <c r="CZ3363">
        <v>0</v>
      </c>
      <c r="DA3363">
        <v>1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25">
      <c r="A3364" t="str">
        <f t="shared" si="1866"/>
        <v>06/05/2020 14:57:10.642</v>
      </c>
      <c r="C3364" t="str">
        <f t="shared" si="1870"/>
        <v>FFDFD3C0</v>
      </c>
      <c r="D3364" t="s">
        <v>148</v>
      </c>
      <c r="E3364">
        <v>8</v>
      </c>
      <c r="H3364">
        <v>50</v>
      </c>
      <c r="I3364" t="s">
        <v>149</v>
      </c>
      <c r="J3364" t="s">
        <v>150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si="1867"/>
        <v>14:57:16.273</v>
      </c>
      <c r="T3364" t="str">
        <f t="shared" si="1868"/>
        <v>14:57:15.973</v>
      </c>
      <c r="U3364" t="str">
        <f t="shared" si="1849"/>
        <v>ACC530</v>
      </c>
      <c r="V3364">
        <v>0</v>
      </c>
      <c r="W3364">
        <v>0</v>
      </c>
      <c r="X3364">
        <v>1</v>
      </c>
      <c r="Z3364">
        <v>0</v>
      </c>
      <c r="AA3364">
        <v>9</v>
      </c>
      <c r="AB3364">
        <v>3</v>
      </c>
      <c r="AC3364">
        <v>0</v>
      </c>
      <c r="AD3364">
        <v>9</v>
      </c>
      <c r="AE3364">
        <v>0</v>
      </c>
      <c r="AF3364">
        <v>3</v>
      </c>
      <c r="AG3364">
        <v>1</v>
      </c>
      <c r="AH3364">
        <v>0</v>
      </c>
      <c r="AI3364" t="s">
        <v>1109</v>
      </c>
      <c r="AJ3364">
        <v>34.089416999999997</v>
      </c>
      <c r="AK3364" t="s">
        <v>1110</v>
      </c>
      <c r="AL3364">
        <v>-117.035015</v>
      </c>
      <c r="AM3364">
        <v>100</v>
      </c>
      <c r="AN3364">
        <v>5600</v>
      </c>
      <c r="AO3364" t="s">
        <v>118</v>
      </c>
      <c r="AP3364">
        <v>73</v>
      </c>
      <c r="AQ3364">
        <v>-74</v>
      </c>
      <c r="AR3364">
        <v>-384</v>
      </c>
      <c r="AZ3364">
        <v>1200</v>
      </c>
      <c r="BA3364">
        <v>1</v>
      </c>
      <c r="BB3364" t="str">
        <f t="shared" si="1852"/>
        <v xml:space="preserve">N9217B  </v>
      </c>
      <c r="BC3364">
        <v>1</v>
      </c>
      <c r="BE3364">
        <v>0</v>
      </c>
      <c r="BF3364">
        <v>0</v>
      </c>
      <c r="BG3364">
        <v>0</v>
      </c>
      <c r="BH3364">
        <v>5425</v>
      </c>
      <c r="BI3364">
        <v>1</v>
      </c>
      <c r="BJ3364">
        <v>0</v>
      </c>
      <c r="BK3364">
        <v>0</v>
      </c>
      <c r="BL3364">
        <v>0</v>
      </c>
      <c r="BO3364">
        <v>0</v>
      </c>
      <c r="BP3364">
        <v>0</v>
      </c>
      <c r="BW3364" t="str">
        <f t="shared" si="1869"/>
        <v>14:57:16.279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285</v>
      </c>
      <c r="CR3364">
        <v>0</v>
      </c>
      <c r="CW3364">
        <v>8878218</v>
      </c>
      <c r="CY3364">
        <v>0</v>
      </c>
      <c r="CZ3364">
        <v>0</v>
      </c>
      <c r="DA3364">
        <v>1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25">
      <c r="A3365" t="str">
        <f t="shared" si="1866"/>
        <v>06/05/2020 14:57:10.642</v>
      </c>
      <c r="C3365" t="str">
        <f t="shared" si="1870"/>
        <v>FFDFD3C0</v>
      </c>
      <c r="D3365" t="s">
        <v>151</v>
      </c>
      <c r="E3365">
        <v>8</v>
      </c>
      <c r="H3365">
        <v>225</v>
      </c>
      <c r="I3365" t="s">
        <v>353</v>
      </c>
      <c r="J3365" t="s">
        <v>150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867"/>
        <v>14:57:16.273</v>
      </c>
      <c r="T3365" t="str">
        <f t="shared" si="1868"/>
        <v>14:57:15.973</v>
      </c>
      <c r="U3365" t="str">
        <f t="shared" si="1849"/>
        <v>ACC530</v>
      </c>
      <c r="V3365">
        <v>0</v>
      </c>
      <c r="W3365">
        <v>0</v>
      </c>
      <c r="X3365">
        <v>1</v>
      </c>
      <c r="Z3365">
        <v>0</v>
      </c>
      <c r="AA3365">
        <v>9</v>
      </c>
      <c r="AB3365">
        <v>3</v>
      </c>
      <c r="AC3365">
        <v>0</v>
      </c>
      <c r="AD3365">
        <v>9</v>
      </c>
      <c r="AE3365">
        <v>0</v>
      </c>
      <c r="AF3365">
        <v>3</v>
      </c>
      <c r="AG3365">
        <v>1</v>
      </c>
      <c r="AH3365">
        <v>0</v>
      </c>
      <c r="AI3365" t="s">
        <v>1109</v>
      </c>
      <c r="AJ3365">
        <v>34.089416999999997</v>
      </c>
      <c r="AK3365" t="s">
        <v>1110</v>
      </c>
      <c r="AL3365">
        <v>-117.035015</v>
      </c>
      <c r="AM3365">
        <v>100</v>
      </c>
      <c r="AN3365">
        <v>5600</v>
      </c>
      <c r="AO3365" t="s">
        <v>118</v>
      </c>
      <c r="AP3365">
        <v>73</v>
      </c>
      <c r="AQ3365">
        <v>-74</v>
      </c>
      <c r="AR3365">
        <v>-384</v>
      </c>
      <c r="AZ3365">
        <v>1200</v>
      </c>
      <c r="BA3365">
        <v>1</v>
      </c>
      <c r="BB3365" t="str">
        <f t="shared" si="1852"/>
        <v xml:space="preserve">N9217B  </v>
      </c>
      <c r="BC3365">
        <v>1</v>
      </c>
      <c r="BE3365">
        <v>0</v>
      </c>
      <c r="BF3365">
        <v>0</v>
      </c>
      <c r="BG3365">
        <v>0</v>
      </c>
      <c r="BH3365">
        <v>5425</v>
      </c>
      <c r="BI3365">
        <v>1</v>
      </c>
      <c r="BJ3365">
        <v>0</v>
      </c>
      <c r="BK3365">
        <v>0</v>
      </c>
      <c r="BL3365">
        <v>0</v>
      </c>
      <c r="BO3365">
        <v>0</v>
      </c>
      <c r="BP3365">
        <v>0</v>
      </c>
      <c r="BW3365" t="str">
        <f t="shared" si="1869"/>
        <v>14:57:16.279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119</v>
      </c>
      <c r="CQ3365">
        <v>285</v>
      </c>
      <c r="CR3365">
        <v>0</v>
      </c>
      <c r="CW3365">
        <v>8878218</v>
      </c>
      <c r="CY3365">
        <v>0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25">
      <c r="A3366" t="str">
        <f t="shared" si="1866"/>
        <v>06/05/2020 14:57:10.642</v>
      </c>
      <c r="C3366" t="str">
        <f t="shared" si="1870"/>
        <v>FFDFD3C0</v>
      </c>
      <c r="D3366" t="s">
        <v>151</v>
      </c>
      <c r="E3366">
        <v>9</v>
      </c>
      <c r="H3366">
        <v>226</v>
      </c>
      <c r="I3366" t="s">
        <v>152</v>
      </c>
      <c r="J3366" t="s">
        <v>150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867"/>
        <v>14:57:16.273</v>
      </c>
      <c r="T3366" t="str">
        <f t="shared" si="1868"/>
        <v>14:57:15.973</v>
      </c>
      <c r="U3366" t="str">
        <f t="shared" si="1849"/>
        <v>ACC530</v>
      </c>
      <c r="V3366">
        <v>0</v>
      </c>
      <c r="W3366">
        <v>0</v>
      </c>
      <c r="X3366">
        <v>1</v>
      </c>
      <c r="Z3366">
        <v>0</v>
      </c>
      <c r="AA3366">
        <v>9</v>
      </c>
      <c r="AB3366">
        <v>3</v>
      </c>
      <c r="AC3366">
        <v>0</v>
      </c>
      <c r="AD3366">
        <v>9</v>
      </c>
      <c r="AE3366">
        <v>0</v>
      </c>
      <c r="AF3366">
        <v>3</v>
      </c>
      <c r="AG3366">
        <v>1</v>
      </c>
      <c r="AH3366">
        <v>0</v>
      </c>
      <c r="AI3366" t="s">
        <v>1109</v>
      </c>
      <c r="AJ3366">
        <v>34.089416999999997</v>
      </c>
      <c r="AK3366" t="s">
        <v>1110</v>
      </c>
      <c r="AL3366">
        <v>-117.035015</v>
      </c>
      <c r="AM3366">
        <v>100</v>
      </c>
      <c r="AN3366">
        <v>5600</v>
      </c>
      <c r="AO3366" t="s">
        <v>118</v>
      </c>
      <c r="AP3366">
        <v>73</v>
      </c>
      <c r="AQ3366">
        <v>-74</v>
      </c>
      <c r="AR3366">
        <v>-384</v>
      </c>
      <c r="AZ3366">
        <v>1200</v>
      </c>
      <c r="BA3366">
        <v>1</v>
      </c>
      <c r="BB3366" t="str">
        <f t="shared" si="1852"/>
        <v xml:space="preserve">N9217B  </v>
      </c>
      <c r="BC3366">
        <v>1</v>
      </c>
      <c r="BE3366">
        <v>0</v>
      </c>
      <c r="BF3366">
        <v>0</v>
      </c>
      <c r="BG3366">
        <v>0</v>
      </c>
      <c r="BH3366">
        <v>5425</v>
      </c>
      <c r="BI3366">
        <v>1</v>
      </c>
      <c r="BJ3366">
        <v>0</v>
      </c>
      <c r="BK3366">
        <v>0</v>
      </c>
      <c r="BL3366">
        <v>0</v>
      </c>
      <c r="BO3366">
        <v>0</v>
      </c>
      <c r="BP3366">
        <v>0</v>
      </c>
      <c r="BW3366" t="str">
        <f t="shared" si="1869"/>
        <v>14:57:16.279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119</v>
      </c>
      <c r="CQ3366">
        <v>285</v>
      </c>
      <c r="CR3366">
        <v>0</v>
      </c>
      <c r="CW3366">
        <v>8878218</v>
      </c>
      <c r="CY3366">
        <v>0</v>
      </c>
      <c r="CZ3366">
        <v>0</v>
      </c>
      <c r="DA3366">
        <v>1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25">
      <c r="A3367" t="str">
        <f t="shared" si="1866"/>
        <v>06/05/2020 14:57:10.642</v>
      </c>
      <c r="C3367" t="str">
        <f t="shared" si="1870"/>
        <v>FFDFD3C0</v>
      </c>
      <c r="D3367" t="s">
        <v>113</v>
      </c>
      <c r="E3367">
        <v>3</v>
      </c>
      <c r="H3367">
        <v>166</v>
      </c>
      <c r="I3367" t="s">
        <v>114</v>
      </c>
      <c r="J3367" t="s">
        <v>115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867"/>
        <v>14:57:16.273</v>
      </c>
      <c r="T3367" t="str">
        <f t="shared" si="1868"/>
        <v>14:57:15.973</v>
      </c>
      <c r="U3367" t="str">
        <f t="shared" si="1849"/>
        <v>ACC530</v>
      </c>
      <c r="V3367">
        <v>0</v>
      </c>
      <c r="W3367">
        <v>0</v>
      </c>
      <c r="X3367">
        <v>1</v>
      </c>
      <c r="Z3367">
        <v>0</v>
      </c>
      <c r="AA3367">
        <v>9</v>
      </c>
      <c r="AB3367">
        <v>3</v>
      </c>
      <c r="AC3367">
        <v>0</v>
      </c>
      <c r="AD3367">
        <v>9</v>
      </c>
      <c r="AE3367">
        <v>0</v>
      </c>
      <c r="AF3367">
        <v>3</v>
      </c>
      <c r="AG3367">
        <v>1</v>
      </c>
      <c r="AH3367">
        <v>0</v>
      </c>
      <c r="AI3367" t="s">
        <v>1109</v>
      </c>
      <c r="AJ3367">
        <v>34.089416999999997</v>
      </c>
      <c r="AK3367" t="s">
        <v>1110</v>
      </c>
      <c r="AL3367">
        <v>-117.035015</v>
      </c>
      <c r="AM3367">
        <v>100</v>
      </c>
      <c r="AN3367">
        <v>5600</v>
      </c>
      <c r="AO3367" t="s">
        <v>118</v>
      </c>
      <c r="AP3367">
        <v>73</v>
      </c>
      <c r="AQ3367">
        <v>-74</v>
      </c>
      <c r="AR3367">
        <v>-384</v>
      </c>
      <c r="AZ3367">
        <v>1200</v>
      </c>
      <c r="BA3367">
        <v>1</v>
      </c>
      <c r="BB3367" t="str">
        <f t="shared" si="1852"/>
        <v xml:space="preserve">N9217B  </v>
      </c>
      <c r="BC3367">
        <v>1</v>
      </c>
      <c r="BE3367">
        <v>0</v>
      </c>
      <c r="BF3367">
        <v>0</v>
      </c>
      <c r="BG3367">
        <v>0</v>
      </c>
      <c r="BH3367">
        <v>5425</v>
      </c>
      <c r="BI3367">
        <v>1</v>
      </c>
      <c r="BJ3367">
        <v>0</v>
      </c>
      <c r="BK3367">
        <v>0</v>
      </c>
      <c r="BL3367">
        <v>0</v>
      </c>
      <c r="BO3367">
        <v>0</v>
      </c>
      <c r="BP3367">
        <v>0</v>
      </c>
      <c r="BW3367" t="str">
        <f t="shared" si="1869"/>
        <v>14:57:16.279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119</v>
      </c>
      <c r="CQ3367">
        <v>285</v>
      </c>
      <c r="CR3367">
        <v>0</v>
      </c>
      <c r="CW3367">
        <v>8878218</v>
      </c>
      <c r="CY3367">
        <v>0</v>
      </c>
      <c r="CZ3367">
        <v>0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25">
      <c r="A3368" t="str">
        <f t="shared" ref="A3368:A3374" si="1871">"06/05/2020 14:57:11.740"</f>
        <v>06/05/2020 14:57:11.740</v>
      </c>
      <c r="C3368" t="str">
        <f t="shared" si="1870"/>
        <v>FFDFD3C0</v>
      </c>
      <c r="D3368" t="s">
        <v>151</v>
      </c>
      <c r="E3368">
        <v>9</v>
      </c>
      <c r="H3368">
        <v>226</v>
      </c>
      <c r="I3368" t="s">
        <v>152</v>
      </c>
      <c r="J3368" t="s">
        <v>150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ref="S3368:T3374" si="1872">"14:57:17.383"</f>
        <v>14:57:17.383</v>
      </c>
      <c r="T3368" t="str">
        <f t="shared" si="1872"/>
        <v>14:57:17.383</v>
      </c>
      <c r="U3368" t="str">
        <f t="shared" si="1849"/>
        <v>ACC530</v>
      </c>
      <c r="V3368">
        <v>0</v>
      </c>
      <c r="W3368">
        <v>0</v>
      </c>
      <c r="X3368">
        <v>1</v>
      </c>
      <c r="Z3368">
        <v>0</v>
      </c>
      <c r="AA3368">
        <v>9</v>
      </c>
      <c r="AB3368">
        <v>3</v>
      </c>
      <c r="AC3368">
        <v>0</v>
      </c>
      <c r="AD3368">
        <v>9</v>
      </c>
      <c r="AE3368">
        <v>0</v>
      </c>
      <c r="AF3368">
        <v>3</v>
      </c>
      <c r="AG3368">
        <v>1</v>
      </c>
      <c r="AH3368">
        <v>0</v>
      </c>
      <c r="AI3368" t="s">
        <v>1111</v>
      </c>
      <c r="AJ3368">
        <v>34.088988000000001</v>
      </c>
      <c r="AK3368" t="s">
        <v>1112</v>
      </c>
      <c r="AL3368">
        <v>-117.034543</v>
      </c>
      <c r="AM3368">
        <v>100</v>
      </c>
      <c r="AN3368">
        <v>5600</v>
      </c>
      <c r="AO3368" t="s">
        <v>118</v>
      </c>
      <c r="AP3368">
        <v>73</v>
      </c>
      <c r="AQ3368">
        <v>-74</v>
      </c>
      <c r="AR3368">
        <v>-384</v>
      </c>
      <c r="AZ3368">
        <v>1200</v>
      </c>
      <c r="BA3368">
        <v>1</v>
      </c>
      <c r="BB3368" t="str">
        <f t="shared" si="1852"/>
        <v xml:space="preserve">N9217B  </v>
      </c>
      <c r="BC3368">
        <v>1</v>
      </c>
      <c r="BE3368">
        <v>0</v>
      </c>
      <c r="BF3368">
        <v>0</v>
      </c>
      <c r="BG3368">
        <v>0</v>
      </c>
      <c r="BH3368">
        <v>5425</v>
      </c>
      <c r="BI3368">
        <v>1</v>
      </c>
      <c r="BJ3368">
        <v>0</v>
      </c>
      <c r="BK3368">
        <v>0</v>
      </c>
      <c r="BL3368">
        <v>0</v>
      </c>
      <c r="BO3368">
        <v>0</v>
      </c>
      <c r="BP3368">
        <v>0</v>
      </c>
      <c r="BW3368" t="str">
        <f t="shared" ref="BW3368:BW3374" si="1873">"14:57:17.389"</f>
        <v>14:57:17.389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7</v>
      </c>
      <c r="CP3368" t="s">
        <v>119</v>
      </c>
      <c r="CQ3368">
        <v>285</v>
      </c>
      <c r="CR3368">
        <v>0</v>
      </c>
      <c r="CW3368">
        <v>8878317</v>
      </c>
      <c r="CY3368">
        <v>0</v>
      </c>
      <c r="CZ3368">
        <v>0</v>
      </c>
      <c r="DA3368">
        <v>0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25">
      <c r="A3369" t="str">
        <f t="shared" si="1871"/>
        <v>06/05/2020 14:57:11.740</v>
      </c>
      <c r="C3369" t="str">
        <f t="shared" si="1870"/>
        <v>FFDFD3C0</v>
      </c>
      <c r="D3369" t="s">
        <v>113</v>
      </c>
      <c r="E3369">
        <v>3</v>
      </c>
      <c r="H3369">
        <v>166</v>
      </c>
      <c r="I3369" t="s">
        <v>114</v>
      </c>
      <c r="J3369" t="s">
        <v>115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872"/>
        <v>14:57:17.383</v>
      </c>
      <c r="T3369" t="str">
        <f t="shared" si="1872"/>
        <v>14:57:17.383</v>
      </c>
      <c r="U3369" t="str">
        <f t="shared" si="1849"/>
        <v>ACC530</v>
      </c>
      <c r="V3369">
        <v>0</v>
      </c>
      <c r="W3369">
        <v>0</v>
      </c>
      <c r="X3369">
        <v>1</v>
      </c>
      <c r="Z3369">
        <v>0</v>
      </c>
      <c r="AA3369">
        <v>9</v>
      </c>
      <c r="AB3369">
        <v>3</v>
      </c>
      <c r="AC3369">
        <v>0</v>
      </c>
      <c r="AD3369">
        <v>9</v>
      </c>
      <c r="AE3369">
        <v>0</v>
      </c>
      <c r="AF3369">
        <v>3</v>
      </c>
      <c r="AG3369">
        <v>1</v>
      </c>
      <c r="AH3369">
        <v>0</v>
      </c>
      <c r="AI3369" t="s">
        <v>1111</v>
      </c>
      <c r="AJ3369">
        <v>34.088988000000001</v>
      </c>
      <c r="AK3369" t="s">
        <v>1112</v>
      </c>
      <c r="AL3369">
        <v>-117.034543</v>
      </c>
      <c r="AM3369">
        <v>100</v>
      </c>
      <c r="AN3369">
        <v>5600</v>
      </c>
      <c r="AO3369" t="s">
        <v>118</v>
      </c>
      <c r="AP3369">
        <v>73</v>
      </c>
      <c r="AQ3369">
        <v>-74</v>
      </c>
      <c r="AR3369">
        <v>-384</v>
      </c>
      <c r="AZ3369">
        <v>1200</v>
      </c>
      <c r="BA3369">
        <v>1</v>
      </c>
      <c r="BB3369" t="str">
        <f t="shared" si="1852"/>
        <v xml:space="preserve">N9217B  </v>
      </c>
      <c r="BC3369">
        <v>1</v>
      </c>
      <c r="BE3369">
        <v>0</v>
      </c>
      <c r="BF3369">
        <v>0</v>
      </c>
      <c r="BG3369">
        <v>0</v>
      </c>
      <c r="BH3369">
        <v>5425</v>
      </c>
      <c r="BI3369">
        <v>1</v>
      </c>
      <c r="BJ3369">
        <v>0</v>
      </c>
      <c r="BK3369">
        <v>0</v>
      </c>
      <c r="BL3369">
        <v>0</v>
      </c>
      <c r="BO3369">
        <v>0</v>
      </c>
      <c r="BP3369">
        <v>0</v>
      </c>
      <c r="BW3369" t="str">
        <f t="shared" si="1873"/>
        <v>14:57:17.389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7</v>
      </c>
      <c r="CP3369" t="s">
        <v>119</v>
      </c>
      <c r="CQ3369">
        <v>285</v>
      </c>
      <c r="CR3369">
        <v>0</v>
      </c>
      <c r="CW3369">
        <v>8878317</v>
      </c>
      <c r="CY3369">
        <v>0</v>
      </c>
      <c r="CZ3369">
        <v>0</v>
      </c>
      <c r="DA3369">
        <v>1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25">
      <c r="A3370" t="str">
        <f t="shared" si="1871"/>
        <v>06/05/2020 14:57:11.740</v>
      </c>
      <c r="C3370" t="str">
        <f t="shared" si="1870"/>
        <v>FFDFD3C0</v>
      </c>
      <c r="D3370" t="s">
        <v>148</v>
      </c>
      <c r="E3370">
        <v>11</v>
      </c>
      <c r="H3370">
        <v>53</v>
      </c>
      <c r="I3370" t="s">
        <v>364</v>
      </c>
      <c r="J3370" t="s">
        <v>150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si="1872"/>
        <v>14:57:17.383</v>
      </c>
      <c r="T3370" t="str">
        <f t="shared" si="1872"/>
        <v>14:57:17.383</v>
      </c>
      <c r="U3370" t="str">
        <f t="shared" si="1849"/>
        <v>ACC530</v>
      </c>
      <c r="V3370">
        <v>0</v>
      </c>
      <c r="W3370">
        <v>0</v>
      </c>
      <c r="X3370">
        <v>1</v>
      </c>
      <c r="Z3370">
        <v>0</v>
      </c>
      <c r="AA3370">
        <v>9</v>
      </c>
      <c r="AB3370">
        <v>3</v>
      </c>
      <c r="AC3370">
        <v>0</v>
      </c>
      <c r="AD3370">
        <v>9</v>
      </c>
      <c r="AE3370">
        <v>0</v>
      </c>
      <c r="AF3370">
        <v>3</v>
      </c>
      <c r="AG3370">
        <v>1</v>
      </c>
      <c r="AH3370">
        <v>0</v>
      </c>
      <c r="AI3370" t="s">
        <v>1111</v>
      </c>
      <c r="AJ3370">
        <v>34.088988000000001</v>
      </c>
      <c r="AK3370" t="s">
        <v>1112</v>
      </c>
      <c r="AL3370">
        <v>-117.034543</v>
      </c>
      <c r="AM3370">
        <v>100</v>
      </c>
      <c r="AN3370">
        <v>5600</v>
      </c>
      <c r="AO3370" t="s">
        <v>118</v>
      </c>
      <c r="AP3370">
        <v>73</v>
      </c>
      <c r="AQ3370">
        <v>-74</v>
      </c>
      <c r="AR3370">
        <v>-384</v>
      </c>
      <c r="AZ3370">
        <v>1200</v>
      </c>
      <c r="BA3370">
        <v>1</v>
      </c>
      <c r="BB3370" t="str">
        <f t="shared" si="1852"/>
        <v xml:space="preserve">N9217B  </v>
      </c>
      <c r="BC3370">
        <v>1</v>
      </c>
      <c r="BE3370">
        <v>0</v>
      </c>
      <c r="BF3370">
        <v>0</v>
      </c>
      <c r="BG3370">
        <v>0</v>
      </c>
      <c r="BH3370">
        <v>5425</v>
      </c>
      <c r="BI3370">
        <v>1</v>
      </c>
      <c r="BJ3370">
        <v>0</v>
      </c>
      <c r="BK3370">
        <v>0</v>
      </c>
      <c r="BL3370">
        <v>0</v>
      </c>
      <c r="BO3370">
        <v>0</v>
      </c>
      <c r="BP3370">
        <v>0</v>
      </c>
      <c r="BW3370" t="str">
        <f t="shared" si="1873"/>
        <v>14:57:17.389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119</v>
      </c>
      <c r="CQ3370">
        <v>285</v>
      </c>
      <c r="CR3370">
        <v>0</v>
      </c>
      <c r="CW3370">
        <v>8878317</v>
      </c>
      <c r="CY3370">
        <v>0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25">
      <c r="A3371" t="str">
        <f t="shared" si="1871"/>
        <v>06/05/2020 14:57:11.740</v>
      </c>
      <c r="C3371" t="str">
        <f t="shared" si="1870"/>
        <v>FFDFD3C0</v>
      </c>
      <c r="D3371" t="s">
        <v>134</v>
      </c>
      <c r="E3371">
        <v>7</v>
      </c>
      <c r="F3371">
        <v>2007</v>
      </c>
      <c r="G3371" t="s">
        <v>135</v>
      </c>
      <c r="J3371" t="s">
        <v>136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si="1872"/>
        <v>14:57:17.383</v>
      </c>
      <c r="T3371" t="str">
        <f t="shared" si="1872"/>
        <v>14:57:17.383</v>
      </c>
      <c r="U3371" t="str">
        <f t="shared" si="1849"/>
        <v>ACC530</v>
      </c>
      <c r="V3371">
        <v>0</v>
      </c>
      <c r="W3371">
        <v>0</v>
      </c>
      <c r="X3371">
        <v>1</v>
      </c>
      <c r="Z3371">
        <v>0</v>
      </c>
      <c r="AA3371">
        <v>9</v>
      </c>
      <c r="AB3371">
        <v>3</v>
      </c>
      <c r="AC3371">
        <v>0</v>
      </c>
      <c r="AD3371">
        <v>9</v>
      </c>
      <c r="AE3371">
        <v>0</v>
      </c>
      <c r="AF3371">
        <v>3</v>
      </c>
      <c r="AG3371">
        <v>1</v>
      </c>
      <c r="AH3371">
        <v>0</v>
      </c>
      <c r="AI3371" t="s">
        <v>1111</v>
      </c>
      <c r="AJ3371">
        <v>34.088988000000001</v>
      </c>
      <c r="AK3371" t="s">
        <v>1112</v>
      </c>
      <c r="AL3371">
        <v>-117.034543</v>
      </c>
      <c r="AM3371">
        <v>100</v>
      </c>
      <c r="AN3371">
        <v>5600</v>
      </c>
      <c r="AO3371" t="s">
        <v>118</v>
      </c>
      <c r="AP3371">
        <v>73</v>
      </c>
      <c r="AQ3371">
        <v>-74</v>
      </c>
      <c r="AR3371">
        <v>-384</v>
      </c>
      <c r="AZ3371">
        <v>1200</v>
      </c>
      <c r="BA3371">
        <v>1</v>
      </c>
      <c r="BB3371" t="str">
        <f t="shared" si="1852"/>
        <v xml:space="preserve">N9217B  </v>
      </c>
      <c r="BC3371">
        <v>1</v>
      </c>
      <c r="BE3371">
        <v>0</v>
      </c>
      <c r="BF3371">
        <v>0</v>
      </c>
      <c r="BG3371">
        <v>0</v>
      </c>
      <c r="BH3371">
        <v>5425</v>
      </c>
      <c r="BI3371">
        <v>1</v>
      </c>
      <c r="BJ3371">
        <v>0</v>
      </c>
      <c r="BK3371">
        <v>0</v>
      </c>
      <c r="BL3371">
        <v>0</v>
      </c>
      <c r="BO3371">
        <v>0</v>
      </c>
      <c r="BP3371">
        <v>0</v>
      </c>
      <c r="BW3371" t="str">
        <f t="shared" si="1873"/>
        <v>14:57:17.389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119</v>
      </c>
      <c r="CQ3371">
        <v>285</v>
      </c>
      <c r="CR3371">
        <v>0</v>
      </c>
      <c r="CW3371">
        <v>8878317</v>
      </c>
      <c r="CY3371">
        <v>0</v>
      </c>
      <c r="CZ3371">
        <v>0</v>
      </c>
      <c r="DA3371">
        <v>1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25">
      <c r="A3372" t="str">
        <f t="shared" si="1871"/>
        <v>06/05/2020 14:57:11.740</v>
      </c>
      <c r="C3372" t="str">
        <f t="shared" si="1870"/>
        <v>FFDFD3C0</v>
      </c>
      <c r="D3372" t="s">
        <v>141</v>
      </c>
      <c r="E3372">
        <v>20</v>
      </c>
      <c r="F3372">
        <v>1020</v>
      </c>
      <c r="G3372" t="s">
        <v>114</v>
      </c>
      <c r="J3372" t="s">
        <v>142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872"/>
        <v>14:57:17.383</v>
      </c>
      <c r="T3372" t="str">
        <f t="shared" si="1872"/>
        <v>14:57:17.383</v>
      </c>
      <c r="U3372" t="str">
        <f t="shared" si="1849"/>
        <v>ACC530</v>
      </c>
      <c r="V3372">
        <v>0</v>
      </c>
      <c r="W3372">
        <v>0</v>
      </c>
      <c r="X3372">
        <v>1</v>
      </c>
      <c r="Z3372">
        <v>0</v>
      </c>
      <c r="AA3372">
        <v>9</v>
      </c>
      <c r="AB3372">
        <v>3</v>
      </c>
      <c r="AC3372">
        <v>0</v>
      </c>
      <c r="AD3372">
        <v>9</v>
      </c>
      <c r="AE3372">
        <v>0</v>
      </c>
      <c r="AF3372">
        <v>3</v>
      </c>
      <c r="AG3372">
        <v>1</v>
      </c>
      <c r="AH3372">
        <v>0</v>
      </c>
      <c r="AI3372" t="s">
        <v>1111</v>
      </c>
      <c r="AJ3372">
        <v>34.088988000000001</v>
      </c>
      <c r="AK3372" t="s">
        <v>1112</v>
      </c>
      <c r="AL3372">
        <v>-117.034543</v>
      </c>
      <c r="AM3372">
        <v>100</v>
      </c>
      <c r="AN3372">
        <v>5600</v>
      </c>
      <c r="AO3372" t="s">
        <v>118</v>
      </c>
      <c r="AP3372">
        <v>73</v>
      </c>
      <c r="AQ3372">
        <v>-74</v>
      </c>
      <c r="AR3372">
        <v>-384</v>
      </c>
      <c r="AZ3372">
        <v>1200</v>
      </c>
      <c r="BA3372">
        <v>1</v>
      </c>
      <c r="BB3372" t="str">
        <f t="shared" si="1852"/>
        <v xml:space="preserve">N9217B  </v>
      </c>
      <c r="BC3372">
        <v>1</v>
      </c>
      <c r="BE3372">
        <v>0</v>
      </c>
      <c r="BF3372">
        <v>0</v>
      </c>
      <c r="BG3372">
        <v>0</v>
      </c>
      <c r="BH3372">
        <v>5425</v>
      </c>
      <c r="BI3372">
        <v>1</v>
      </c>
      <c r="BJ3372">
        <v>0</v>
      </c>
      <c r="BK3372">
        <v>0</v>
      </c>
      <c r="BL3372">
        <v>0</v>
      </c>
      <c r="BO3372">
        <v>0</v>
      </c>
      <c r="BP3372">
        <v>0</v>
      </c>
      <c r="BW3372" t="str">
        <f t="shared" si="1873"/>
        <v>14:57:17.389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119</v>
      </c>
      <c r="CQ3372">
        <v>285</v>
      </c>
      <c r="CR3372">
        <v>0</v>
      </c>
      <c r="CW3372">
        <v>8878317</v>
      </c>
      <c r="CY3372">
        <v>0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25">
      <c r="A3373" t="str">
        <f t="shared" si="1871"/>
        <v>06/05/2020 14:57:11.740</v>
      </c>
      <c r="C3373" t="str">
        <f t="shared" si="1870"/>
        <v>FFDFD3C0</v>
      </c>
      <c r="D3373" t="s">
        <v>148</v>
      </c>
      <c r="E3373">
        <v>8</v>
      </c>
      <c r="H3373">
        <v>50</v>
      </c>
      <c r="I3373" t="s">
        <v>149</v>
      </c>
      <c r="J3373" t="s">
        <v>150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872"/>
        <v>14:57:17.383</v>
      </c>
      <c r="T3373" t="str">
        <f t="shared" si="1872"/>
        <v>14:57:17.383</v>
      </c>
      <c r="U3373" t="str">
        <f t="shared" si="1849"/>
        <v>ACC530</v>
      </c>
      <c r="V3373">
        <v>0</v>
      </c>
      <c r="W3373">
        <v>0</v>
      </c>
      <c r="X3373">
        <v>1</v>
      </c>
      <c r="Z3373">
        <v>0</v>
      </c>
      <c r="AA3373">
        <v>9</v>
      </c>
      <c r="AB3373">
        <v>3</v>
      </c>
      <c r="AC3373">
        <v>0</v>
      </c>
      <c r="AD3373">
        <v>9</v>
      </c>
      <c r="AE3373">
        <v>0</v>
      </c>
      <c r="AF3373">
        <v>3</v>
      </c>
      <c r="AG3373">
        <v>1</v>
      </c>
      <c r="AH3373">
        <v>0</v>
      </c>
      <c r="AI3373" t="s">
        <v>1111</v>
      </c>
      <c r="AJ3373">
        <v>34.088988000000001</v>
      </c>
      <c r="AK3373" t="s">
        <v>1112</v>
      </c>
      <c r="AL3373">
        <v>-117.034543</v>
      </c>
      <c r="AM3373">
        <v>100</v>
      </c>
      <c r="AN3373">
        <v>5600</v>
      </c>
      <c r="AO3373" t="s">
        <v>118</v>
      </c>
      <c r="AP3373">
        <v>73</v>
      </c>
      <c r="AQ3373">
        <v>-74</v>
      </c>
      <c r="AR3373">
        <v>-384</v>
      </c>
      <c r="AZ3373">
        <v>1200</v>
      </c>
      <c r="BA3373">
        <v>1</v>
      </c>
      <c r="BB3373" t="str">
        <f t="shared" si="1852"/>
        <v xml:space="preserve">N9217B  </v>
      </c>
      <c r="BC3373">
        <v>1</v>
      </c>
      <c r="BE3373">
        <v>0</v>
      </c>
      <c r="BF3373">
        <v>0</v>
      </c>
      <c r="BG3373">
        <v>0</v>
      </c>
      <c r="BH3373">
        <v>5425</v>
      </c>
      <c r="BI3373">
        <v>1</v>
      </c>
      <c r="BJ3373">
        <v>0</v>
      </c>
      <c r="BK3373">
        <v>0</v>
      </c>
      <c r="BL3373">
        <v>0</v>
      </c>
      <c r="BO3373">
        <v>0</v>
      </c>
      <c r="BP3373">
        <v>0</v>
      </c>
      <c r="BW3373" t="str">
        <f t="shared" si="1873"/>
        <v>14:57:17.389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7</v>
      </c>
      <c r="CP3373" t="s">
        <v>119</v>
      </c>
      <c r="CQ3373">
        <v>285</v>
      </c>
      <c r="CR3373">
        <v>0</v>
      </c>
      <c r="CW3373">
        <v>8878317</v>
      </c>
      <c r="CY3373">
        <v>0</v>
      </c>
      <c r="CZ3373">
        <v>0</v>
      </c>
      <c r="DA3373">
        <v>1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25">
      <c r="A3374" t="str">
        <f t="shared" si="1871"/>
        <v>06/05/2020 14:57:11.740</v>
      </c>
      <c r="C3374" t="str">
        <f t="shared" si="1870"/>
        <v>FFDFD3C0</v>
      </c>
      <c r="D3374" t="s">
        <v>151</v>
      </c>
      <c r="E3374">
        <v>8</v>
      </c>
      <c r="H3374">
        <v>225</v>
      </c>
      <c r="I3374" t="s">
        <v>353</v>
      </c>
      <c r="J3374" t="s">
        <v>150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872"/>
        <v>14:57:17.383</v>
      </c>
      <c r="T3374" t="str">
        <f t="shared" si="1872"/>
        <v>14:57:17.383</v>
      </c>
      <c r="U3374" t="str">
        <f t="shared" si="1849"/>
        <v>ACC530</v>
      </c>
      <c r="V3374">
        <v>0</v>
      </c>
      <c r="W3374">
        <v>0</v>
      </c>
      <c r="X3374">
        <v>1</v>
      </c>
      <c r="Z3374">
        <v>0</v>
      </c>
      <c r="AA3374">
        <v>9</v>
      </c>
      <c r="AB3374">
        <v>3</v>
      </c>
      <c r="AC3374">
        <v>0</v>
      </c>
      <c r="AD3374">
        <v>9</v>
      </c>
      <c r="AE3374">
        <v>0</v>
      </c>
      <c r="AF3374">
        <v>3</v>
      </c>
      <c r="AG3374">
        <v>1</v>
      </c>
      <c r="AH3374">
        <v>0</v>
      </c>
      <c r="AI3374" t="s">
        <v>1111</v>
      </c>
      <c r="AJ3374">
        <v>34.088988000000001</v>
      </c>
      <c r="AK3374" t="s">
        <v>1112</v>
      </c>
      <c r="AL3374">
        <v>-117.034543</v>
      </c>
      <c r="AM3374">
        <v>100</v>
      </c>
      <c r="AN3374">
        <v>5600</v>
      </c>
      <c r="AO3374" t="s">
        <v>118</v>
      </c>
      <c r="AP3374">
        <v>73</v>
      </c>
      <c r="AQ3374">
        <v>-74</v>
      </c>
      <c r="AR3374">
        <v>-384</v>
      </c>
      <c r="AZ3374">
        <v>1200</v>
      </c>
      <c r="BA3374">
        <v>1</v>
      </c>
      <c r="BB3374" t="str">
        <f t="shared" si="1852"/>
        <v xml:space="preserve">N9217B  </v>
      </c>
      <c r="BC3374">
        <v>1</v>
      </c>
      <c r="BE3374">
        <v>0</v>
      </c>
      <c r="BF3374">
        <v>0</v>
      </c>
      <c r="BG3374">
        <v>0</v>
      </c>
      <c r="BH3374">
        <v>5425</v>
      </c>
      <c r="BI3374">
        <v>1</v>
      </c>
      <c r="BJ3374">
        <v>0</v>
      </c>
      <c r="BK3374">
        <v>0</v>
      </c>
      <c r="BL3374">
        <v>0</v>
      </c>
      <c r="BO3374">
        <v>0</v>
      </c>
      <c r="BP3374">
        <v>0</v>
      </c>
      <c r="BW3374" t="str">
        <f t="shared" si="1873"/>
        <v>14:57:17.389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7</v>
      </c>
      <c r="CP3374" t="s">
        <v>119</v>
      </c>
      <c r="CQ3374">
        <v>285</v>
      </c>
      <c r="CR3374">
        <v>0</v>
      </c>
      <c r="CW3374">
        <v>8878317</v>
      </c>
      <c r="CY3374">
        <v>0</v>
      </c>
      <c r="CZ3374">
        <v>0</v>
      </c>
      <c r="DA3374">
        <v>1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25">
      <c r="A3375" t="str">
        <f t="shared" ref="A3375:A3381" si="1874">"06/05/2020 14:57:12.752"</f>
        <v>06/05/2020 14:57:12.752</v>
      </c>
      <c r="C3375" t="str">
        <f t="shared" si="1870"/>
        <v>FFDFD3C0</v>
      </c>
      <c r="D3375" t="s">
        <v>151</v>
      </c>
      <c r="E3375">
        <v>9</v>
      </c>
      <c r="H3375">
        <v>226</v>
      </c>
      <c r="I3375" t="s">
        <v>152</v>
      </c>
      <c r="J3375" t="s">
        <v>150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ref="S3375:S3381" si="1875">"14:57:18.375"</f>
        <v>14:57:18.375</v>
      </c>
      <c r="T3375" t="str">
        <f t="shared" ref="T3375:T3381" si="1876">"14:57:18.075"</f>
        <v>14:57:18.075</v>
      </c>
      <c r="U3375" t="str">
        <f t="shared" si="1849"/>
        <v>ACC530</v>
      </c>
      <c r="V3375">
        <v>0</v>
      </c>
      <c r="W3375">
        <v>0</v>
      </c>
      <c r="X3375">
        <v>1</v>
      </c>
      <c r="Z3375">
        <v>0</v>
      </c>
      <c r="AA3375">
        <v>9</v>
      </c>
      <c r="AB3375">
        <v>3</v>
      </c>
      <c r="AC3375">
        <v>0</v>
      </c>
      <c r="AD3375">
        <v>9</v>
      </c>
      <c r="AE3375">
        <v>0</v>
      </c>
      <c r="AF3375">
        <v>3</v>
      </c>
      <c r="AG3375">
        <v>1</v>
      </c>
      <c r="AH3375">
        <v>0</v>
      </c>
      <c r="AI3375" t="s">
        <v>1113</v>
      </c>
      <c r="AJ3375">
        <v>34.088709000000001</v>
      </c>
      <c r="AK3375" t="s">
        <v>1114</v>
      </c>
      <c r="AL3375">
        <v>-117.034156</v>
      </c>
      <c r="AM3375">
        <v>100</v>
      </c>
      <c r="AN3375">
        <v>5600</v>
      </c>
      <c r="AO3375" t="s">
        <v>118</v>
      </c>
      <c r="AP3375">
        <v>73</v>
      </c>
      <c r="AQ3375">
        <v>-74</v>
      </c>
      <c r="AR3375">
        <v>-384</v>
      </c>
      <c r="AZ3375">
        <v>1200</v>
      </c>
      <c r="BA3375">
        <v>1</v>
      </c>
      <c r="BB3375" t="str">
        <f t="shared" si="1852"/>
        <v xml:space="preserve">N9217B  </v>
      </c>
      <c r="BC3375">
        <v>1</v>
      </c>
      <c r="BE3375">
        <v>0</v>
      </c>
      <c r="BF3375">
        <v>0</v>
      </c>
      <c r="BG3375">
        <v>0</v>
      </c>
      <c r="BH3375">
        <v>5400</v>
      </c>
      <c r="BI3375">
        <v>1</v>
      </c>
      <c r="BJ3375">
        <v>0</v>
      </c>
      <c r="BK3375">
        <v>0</v>
      </c>
      <c r="BL3375">
        <v>0</v>
      </c>
      <c r="BO3375">
        <v>0</v>
      </c>
      <c r="BP3375">
        <v>0</v>
      </c>
      <c r="BW3375" t="str">
        <f t="shared" ref="BW3375:BW3381" si="1877">"14:57:18.379"</f>
        <v>14:57:18.379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285</v>
      </c>
      <c r="CR3375">
        <v>1</v>
      </c>
      <c r="CW3375">
        <v>8878409</v>
      </c>
      <c r="CY3375">
        <v>0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25">
      <c r="A3376" t="str">
        <f t="shared" si="1874"/>
        <v>06/05/2020 14:57:12.752</v>
      </c>
      <c r="C3376" t="str">
        <f t="shared" si="1870"/>
        <v>FFDFD3C0</v>
      </c>
      <c r="D3376" t="s">
        <v>113</v>
      </c>
      <c r="E3376">
        <v>3</v>
      </c>
      <c r="H3376">
        <v>166</v>
      </c>
      <c r="I3376" t="s">
        <v>114</v>
      </c>
      <c r="J3376" t="s">
        <v>115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875"/>
        <v>14:57:18.375</v>
      </c>
      <c r="T3376" t="str">
        <f t="shared" si="1876"/>
        <v>14:57:18.075</v>
      </c>
      <c r="U3376" t="str">
        <f t="shared" si="1849"/>
        <v>ACC530</v>
      </c>
      <c r="V3376">
        <v>0</v>
      </c>
      <c r="W3376">
        <v>0</v>
      </c>
      <c r="X3376">
        <v>1</v>
      </c>
      <c r="Z3376">
        <v>0</v>
      </c>
      <c r="AA3376">
        <v>9</v>
      </c>
      <c r="AB3376">
        <v>3</v>
      </c>
      <c r="AC3376">
        <v>0</v>
      </c>
      <c r="AD3376">
        <v>9</v>
      </c>
      <c r="AE3376">
        <v>0</v>
      </c>
      <c r="AF3376">
        <v>3</v>
      </c>
      <c r="AG3376">
        <v>1</v>
      </c>
      <c r="AH3376">
        <v>0</v>
      </c>
      <c r="AI3376" t="s">
        <v>1113</v>
      </c>
      <c r="AJ3376">
        <v>34.088709000000001</v>
      </c>
      <c r="AK3376" t="s">
        <v>1114</v>
      </c>
      <c r="AL3376">
        <v>-117.034156</v>
      </c>
      <c r="AM3376">
        <v>100</v>
      </c>
      <c r="AN3376">
        <v>5600</v>
      </c>
      <c r="AO3376" t="s">
        <v>118</v>
      </c>
      <c r="AP3376">
        <v>73</v>
      </c>
      <c r="AQ3376">
        <v>-74</v>
      </c>
      <c r="AR3376">
        <v>-384</v>
      </c>
      <c r="AZ3376">
        <v>1200</v>
      </c>
      <c r="BA3376">
        <v>1</v>
      </c>
      <c r="BB3376" t="str">
        <f t="shared" si="1852"/>
        <v xml:space="preserve">N9217B  </v>
      </c>
      <c r="BC3376">
        <v>1</v>
      </c>
      <c r="BE3376">
        <v>0</v>
      </c>
      <c r="BF3376">
        <v>0</v>
      </c>
      <c r="BG3376">
        <v>0</v>
      </c>
      <c r="BH3376">
        <v>5400</v>
      </c>
      <c r="BI3376">
        <v>1</v>
      </c>
      <c r="BJ3376">
        <v>0</v>
      </c>
      <c r="BK3376">
        <v>0</v>
      </c>
      <c r="BL3376">
        <v>0</v>
      </c>
      <c r="BO3376">
        <v>0</v>
      </c>
      <c r="BP3376">
        <v>0</v>
      </c>
      <c r="BW3376" t="str">
        <f t="shared" si="1877"/>
        <v>14:57:18.379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6</v>
      </c>
      <c r="CP3376" t="s">
        <v>119</v>
      </c>
      <c r="CQ3376">
        <v>285</v>
      </c>
      <c r="CR3376">
        <v>1</v>
      </c>
      <c r="CW3376">
        <v>8878409</v>
      </c>
      <c r="CY3376">
        <v>0</v>
      </c>
      <c r="CZ3376">
        <v>0</v>
      </c>
      <c r="DA3376">
        <v>1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25">
      <c r="A3377" t="str">
        <f t="shared" si="1874"/>
        <v>06/05/2020 14:57:12.752</v>
      </c>
      <c r="C3377" t="str">
        <f t="shared" si="1870"/>
        <v>FFDFD3C0</v>
      </c>
      <c r="D3377" t="s">
        <v>148</v>
      </c>
      <c r="E3377">
        <v>11</v>
      </c>
      <c r="H3377">
        <v>53</v>
      </c>
      <c r="I3377" t="s">
        <v>364</v>
      </c>
      <c r="J3377" t="s">
        <v>150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875"/>
        <v>14:57:18.375</v>
      </c>
      <c r="T3377" t="str">
        <f t="shared" si="1876"/>
        <v>14:57:18.075</v>
      </c>
      <c r="U3377" t="str">
        <f t="shared" si="1849"/>
        <v>ACC530</v>
      </c>
      <c r="V3377">
        <v>0</v>
      </c>
      <c r="W3377">
        <v>0</v>
      </c>
      <c r="X3377">
        <v>1</v>
      </c>
      <c r="Z3377">
        <v>0</v>
      </c>
      <c r="AA3377">
        <v>9</v>
      </c>
      <c r="AB3377">
        <v>3</v>
      </c>
      <c r="AC3377">
        <v>0</v>
      </c>
      <c r="AD3377">
        <v>9</v>
      </c>
      <c r="AE3377">
        <v>0</v>
      </c>
      <c r="AF3377">
        <v>3</v>
      </c>
      <c r="AG3377">
        <v>1</v>
      </c>
      <c r="AH3377">
        <v>0</v>
      </c>
      <c r="AI3377" t="s">
        <v>1113</v>
      </c>
      <c r="AJ3377">
        <v>34.088709000000001</v>
      </c>
      <c r="AK3377" t="s">
        <v>1114</v>
      </c>
      <c r="AL3377">
        <v>-117.034156</v>
      </c>
      <c r="AM3377">
        <v>100</v>
      </c>
      <c r="AN3377">
        <v>5600</v>
      </c>
      <c r="AO3377" t="s">
        <v>118</v>
      </c>
      <c r="AP3377">
        <v>73</v>
      </c>
      <c r="AQ3377">
        <v>-74</v>
      </c>
      <c r="AR3377">
        <v>-384</v>
      </c>
      <c r="AZ3377">
        <v>1200</v>
      </c>
      <c r="BA3377">
        <v>1</v>
      </c>
      <c r="BB3377" t="str">
        <f t="shared" si="1852"/>
        <v xml:space="preserve">N9217B  </v>
      </c>
      <c r="BC3377">
        <v>1</v>
      </c>
      <c r="BE3377">
        <v>0</v>
      </c>
      <c r="BF3377">
        <v>0</v>
      </c>
      <c r="BG3377">
        <v>0</v>
      </c>
      <c r="BH3377">
        <v>5400</v>
      </c>
      <c r="BI3377">
        <v>1</v>
      </c>
      <c r="BJ3377">
        <v>0</v>
      </c>
      <c r="BK3377">
        <v>0</v>
      </c>
      <c r="BL3377">
        <v>0</v>
      </c>
      <c r="BO3377">
        <v>0</v>
      </c>
      <c r="BP3377">
        <v>0</v>
      </c>
      <c r="BW3377" t="str">
        <f t="shared" si="1877"/>
        <v>14:57:18.379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6</v>
      </c>
      <c r="CP3377" t="s">
        <v>119</v>
      </c>
      <c r="CQ3377">
        <v>285</v>
      </c>
      <c r="CR3377">
        <v>1</v>
      </c>
      <c r="CW3377">
        <v>8878409</v>
      </c>
      <c r="CY3377">
        <v>0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25">
      <c r="A3378" t="str">
        <f t="shared" si="1874"/>
        <v>06/05/2020 14:57:12.752</v>
      </c>
      <c r="C3378" t="str">
        <f t="shared" si="1870"/>
        <v>FFDFD3C0</v>
      </c>
      <c r="D3378" t="s">
        <v>134</v>
      </c>
      <c r="E3378">
        <v>7</v>
      </c>
      <c r="F3378">
        <v>2007</v>
      </c>
      <c r="G3378" t="s">
        <v>135</v>
      </c>
      <c r="J3378" t="s">
        <v>136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si="1875"/>
        <v>14:57:18.375</v>
      </c>
      <c r="T3378" t="str">
        <f t="shared" si="1876"/>
        <v>14:57:18.075</v>
      </c>
      <c r="U3378" t="str">
        <f t="shared" si="1849"/>
        <v>ACC530</v>
      </c>
      <c r="V3378">
        <v>0</v>
      </c>
      <c r="W3378">
        <v>0</v>
      </c>
      <c r="X3378">
        <v>1</v>
      </c>
      <c r="Z3378">
        <v>0</v>
      </c>
      <c r="AA3378">
        <v>9</v>
      </c>
      <c r="AB3378">
        <v>3</v>
      </c>
      <c r="AC3378">
        <v>0</v>
      </c>
      <c r="AD3378">
        <v>9</v>
      </c>
      <c r="AE3378">
        <v>0</v>
      </c>
      <c r="AF3378">
        <v>3</v>
      </c>
      <c r="AG3378">
        <v>1</v>
      </c>
      <c r="AH3378">
        <v>0</v>
      </c>
      <c r="AI3378" t="s">
        <v>1113</v>
      </c>
      <c r="AJ3378">
        <v>34.088709000000001</v>
      </c>
      <c r="AK3378" t="s">
        <v>1114</v>
      </c>
      <c r="AL3378">
        <v>-117.034156</v>
      </c>
      <c r="AM3378">
        <v>100</v>
      </c>
      <c r="AN3378">
        <v>5600</v>
      </c>
      <c r="AO3378" t="s">
        <v>118</v>
      </c>
      <c r="AP3378">
        <v>73</v>
      </c>
      <c r="AQ3378">
        <v>-74</v>
      </c>
      <c r="AR3378">
        <v>-384</v>
      </c>
      <c r="AZ3378">
        <v>1200</v>
      </c>
      <c r="BA3378">
        <v>1</v>
      </c>
      <c r="BB3378" t="str">
        <f t="shared" si="1852"/>
        <v xml:space="preserve">N9217B  </v>
      </c>
      <c r="BC3378">
        <v>1</v>
      </c>
      <c r="BE3378">
        <v>0</v>
      </c>
      <c r="BF3378">
        <v>0</v>
      </c>
      <c r="BG3378">
        <v>0</v>
      </c>
      <c r="BH3378">
        <v>5400</v>
      </c>
      <c r="BI3378">
        <v>1</v>
      </c>
      <c r="BJ3378">
        <v>0</v>
      </c>
      <c r="BK3378">
        <v>0</v>
      </c>
      <c r="BL3378">
        <v>0</v>
      </c>
      <c r="BO3378">
        <v>0</v>
      </c>
      <c r="BP3378">
        <v>0</v>
      </c>
      <c r="BW3378" t="str">
        <f t="shared" si="1877"/>
        <v>14:57:18.379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6</v>
      </c>
      <c r="CP3378" t="s">
        <v>119</v>
      </c>
      <c r="CQ3378">
        <v>285</v>
      </c>
      <c r="CR3378">
        <v>1</v>
      </c>
      <c r="CW3378">
        <v>8878409</v>
      </c>
      <c r="CY3378">
        <v>0</v>
      </c>
      <c r="CZ3378">
        <v>0</v>
      </c>
      <c r="DA3378">
        <v>1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25">
      <c r="A3379" t="str">
        <f t="shared" si="1874"/>
        <v>06/05/2020 14:57:12.752</v>
      </c>
      <c r="C3379" t="str">
        <f t="shared" si="1870"/>
        <v>FFDFD3C0</v>
      </c>
      <c r="D3379" t="s">
        <v>141</v>
      </c>
      <c r="E3379">
        <v>20</v>
      </c>
      <c r="F3379">
        <v>1020</v>
      </c>
      <c r="G3379" t="s">
        <v>114</v>
      </c>
      <c r="J3379" t="s">
        <v>142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875"/>
        <v>14:57:18.375</v>
      </c>
      <c r="T3379" t="str">
        <f t="shared" si="1876"/>
        <v>14:57:18.075</v>
      </c>
      <c r="U3379" t="str">
        <f t="shared" si="1849"/>
        <v>ACC530</v>
      </c>
      <c r="V3379">
        <v>0</v>
      </c>
      <c r="W3379">
        <v>0</v>
      </c>
      <c r="X3379">
        <v>1</v>
      </c>
      <c r="Z3379">
        <v>0</v>
      </c>
      <c r="AA3379">
        <v>9</v>
      </c>
      <c r="AB3379">
        <v>3</v>
      </c>
      <c r="AC3379">
        <v>0</v>
      </c>
      <c r="AD3379">
        <v>9</v>
      </c>
      <c r="AE3379">
        <v>0</v>
      </c>
      <c r="AF3379">
        <v>3</v>
      </c>
      <c r="AG3379">
        <v>1</v>
      </c>
      <c r="AH3379">
        <v>0</v>
      </c>
      <c r="AI3379" t="s">
        <v>1113</v>
      </c>
      <c r="AJ3379">
        <v>34.088709000000001</v>
      </c>
      <c r="AK3379" t="s">
        <v>1114</v>
      </c>
      <c r="AL3379">
        <v>-117.034156</v>
      </c>
      <c r="AM3379">
        <v>100</v>
      </c>
      <c r="AN3379">
        <v>5600</v>
      </c>
      <c r="AO3379" t="s">
        <v>118</v>
      </c>
      <c r="AP3379">
        <v>73</v>
      </c>
      <c r="AQ3379">
        <v>-74</v>
      </c>
      <c r="AR3379">
        <v>-384</v>
      </c>
      <c r="AZ3379">
        <v>1200</v>
      </c>
      <c r="BA3379">
        <v>1</v>
      </c>
      <c r="BB3379" t="str">
        <f t="shared" si="1852"/>
        <v xml:space="preserve">N9217B  </v>
      </c>
      <c r="BC3379">
        <v>1</v>
      </c>
      <c r="BE3379">
        <v>0</v>
      </c>
      <c r="BF3379">
        <v>0</v>
      </c>
      <c r="BG3379">
        <v>0</v>
      </c>
      <c r="BH3379">
        <v>5400</v>
      </c>
      <c r="BI3379">
        <v>1</v>
      </c>
      <c r="BJ3379">
        <v>0</v>
      </c>
      <c r="BK3379">
        <v>0</v>
      </c>
      <c r="BL3379">
        <v>0</v>
      </c>
      <c r="BO3379">
        <v>0</v>
      </c>
      <c r="BP3379">
        <v>0</v>
      </c>
      <c r="BW3379" t="str">
        <f t="shared" si="1877"/>
        <v>14:57:18.379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6</v>
      </c>
      <c r="CP3379" t="s">
        <v>119</v>
      </c>
      <c r="CQ3379">
        <v>285</v>
      </c>
      <c r="CR3379">
        <v>1</v>
      </c>
      <c r="CW3379">
        <v>8878409</v>
      </c>
      <c r="CY3379">
        <v>0</v>
      </c>
      <c r="CZ3379">
        <v>0</v>
      </c>
      <c r="DA3379">
        <v>1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25">
      <c r="A3380" t="str">
        <f t="shared" si="1874"/>
        <v>06/05/2020 14:57:12.752</v>
      </c>
      <c r="C3380" t="str">
        <f t="shared" si="1870"/>
        <v>FFDFD3C0</v>
      </c>
      <c r="D3380" t="s">
        <v>148</v>
      </c>
      <c r="E3380">
        <v>8</v>
      </c>
      <c r="H3380">
        <v>50</v>
      </c>
      <c r="I3380" t="s">
        <v>149</v>
      </c>
      <c r="J3380" t="s">
        <v>150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875"/>
        <v>14:57:18.375</v>
      </c>
      <c r="T3380" t="str">
        <f t="shared" si="1876"/>
        <v>14:57:18.075</v>
      </c>
      <c r="U3380" t="str">
        <f t="shared" si="1849"/>
        <v>ACC530</v>
      </c>
      <c r="V3380">
        <v>0</v>
      </c>
      <c r="W3380">
        <v>0</v>
      </c>
      <c r="X3380">
        <v>1</v>
      </c>
      <c r="Z3380">
        <v>0</v>
      </c>
      <c r="AA3380">
        <v>9</v>
      </c>
      <c r="AB3380">
        <v>3</v>
      </c>
      <c r="AC3380">
        <v>0</v>
      </c>
      <c r="AD3380">
        <v>9</v>
      </c>
      <c r="AE3380">
        <v>0</v>
      </c>
      <c r="AF3380">
        <v>3</v>
      </c>
      <c r="AG3380">
        <v>1</v>
      </c>
      <c r="AH3380">
        <v>0</v>
      </c>
      <c r="AI3380" t="s">
        <v>1113</v>
      </c>
      <c r="AJ3380">
        <v>34.088709000000001</v>
      </c>
      <c r="AK3380" t="s">
        <v>1114</v>
      </c>
      <c r="AL3380">
        <v>-117.034156</v>
      </c>
      <c r="AM3380">
        <v>100</v>
      </c>
      <c r="AN3380">
        <v>5600</v>
      </c>
      <c r="AO3380" t="s">
        <v>118</v>
      </c>
      <c r="AP3380">
        <v>73</v>
      </c>
      <c r="AQ3380">
        <v>-74</v>
      </c>
      <c r="AR3380">
        <v>-384</v>
      </c>
      <c r="AZ3380">
        <v>1200</v>
      </c>
      <c r="BA3380">
        <v>1</v>
      </c>
      <c r="BB3380" t="str">
        <f t="shared" si="1852"/>
        <v xml:space="preserve">N9217B  </v>
      </c>
      <c r="BC3380">
        <v>1</v>
      </c>
      <c r="BE3380">
        <v>0</v>
      </c>
      <c r="BF3380">
        <v>0</v>
      </c>
      <c r="BG3380">
        <v>0</v>
      </c>
      <c r="BH3380">
        <v>5400</v>
      </c>
      <c r="BI3380">
        <v>1</v>
      </c>
      <c r="BJ3380">
        <v>0</v>
      </c>
      <c r="BK3380">
        <v>0</v>
      </c>
      <c r="BL3380">
        <v>0</v>
      </c>
      <c r="BO3380">
        <v>0</v>
      </c>
      <c r="BP3380">
        <v>0</v>
      </c>
      <c r="BW3380" t="str">
        <f t="shared" si="1877"/>
        <v>14:57:18.379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285</v>
      </c>
      <c r="CR3380">
        <v>1</v>
      </c>
      <c r="CW3380">
        <v>8878409</v>
      </c>
      <c r="CY3380">
        <v>0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25">
      <c r="A3381" t="str">
        <f t="shared" si="1874"/>
        <v>06/05/2020 14:57:12.752</v>
      </c>
      <c r="C3381" t="str">
        <f t="shared" si="1870"/>
        <v>FFDFD3C0</v>
      </c>
      <c r="D3381" t="s">
        <v>151</v>
      </c>
      <c r="E3381">
        <v>8</v>
      </c>
      <c r="H3381">
        <v>225</v>
      </c>
      <c r="I3381" t="s">
        <v>353</v>
      </c>
      <c r="J3381" t="s">
        <v>150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 t="shared" si="1875"/>
        <v>14:57:18.375</v>
      </c>
      <c r="T3381" t="str">
        <f t="shared" si="1876"/>
        <v>14:57:18.075</v>
      </c>
      <c r="U3381" t="str">
        <f t="shared" si="1849"/>
        <v>ACC530</v>
      </c>
      <c r="V3381">
        <v>0</v>
      </c>
      <c r="W3381">
        <v>0</v>
      </c>
      <c r="X3381">
        <v>1</v>
      </c>
      <c r="Z3381">
        <v>0</v>
      </c>
      <c r="AA3381">
        <v>9</v>
      </c>
      <c r="AB3381">
        <v>3</v>
      </c>
      <c r="AC3381">
        <v>0</v>
      </c>
      <c r="AD3381">
        <v>9</v>
      </c>
      <c r="AE3381">
        <v>0</v>
      </c>
      <c r="AF3381">
        <v>3</v>
      </c>
      <c r="AG3381">
        <v>1</v>
      </c>
      <c r="AH3381">
        <v>0</v>
      </c>
      <c r="AI3381" t="s">
        <v>1113</v>
      </c>
      <c r="AJ3381">
        <v>34.088709000000001</v>
      </c>
      <c r="AK3381" t="s">
        <v>1114</v>
      </c>
      <c r="AL3381">
        <v>-117.034156</v>
      </c>
      <c r="AM3381">
        <v>100</v>
      </c>
      <c r="AN3381">
        <v>5600</v>
      </c>
      <c r="AO3381" t="s">
        <v>118</v>
      </c>
      <c r="AP3381">
        <v>73</v>
      </c>
      <c r="AQ3381">
        <v>-74</v>
      </c>
      <c r="AR3381">
        <v>-384</v>
      </c>
      <c r="AZ3381">
        <v>1200</v>
      </c>
      <c r="BA3381">
        <v>1</v>
      </c>
      <c r="BB3381" t="str">
        <f t="shared" si="1852"/>
        <v xml:space="preserve">N9217B  </v>
      </c>
      <c r="BC3381">
        <v>1</v>
      </c>
      <c r="BE3381">
        <v>0</v>
      </c>
      <c r="BF3381">
        <v>0</v>
      </c>
      <c r="BG3381">
        <v>0</v>
      </c>
      <c r="BH3381">
        <v>5400</v>
      </c>
      <c r="BI3381">
        <v>1</v>
      </c>
      <c r="BJ3381">
        <v>0</v>
      </c>
      <c r="BK3381">
        <v>0</v>
      </c>
      <c r="BL3381">
        <v>0</v>
      </c>
      <c r="BO3381">
        <v>0</v>
      </c>
      <c r="BP3381">
        <v>0</v>
      </c>
      <c r="BW3381" t="str">
        <f t="shared" si="1877"/>
        <v>14:57:18.379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6</v>
      </c>
      <c r="CP3381" t="s">
        <v>119</v>
      </c>
      <c r="CQ3381">
        <v>285</v>
      </c>
      <c r="CR3381">
        <v>1</v>
      </c>
      <c r="CW3381">
        <v>8878409</v>
      </c>
      <c r="CY3381">
        <v>0</v>
      </c>
      <c r="CZ3381">
        <v>0</v>
      </c>
      <c r="DA3381">
        <v>1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25">
      <c r="A3382" t="str">
        <f t="shared" ref="A3382:A3388" si="1878">"06/05/2020 14:57:13.795"</f>
        <v>06/05/2020 14:57:13.795</v>
      </c>
      <c r="C3382" t="str">
        <f t="shared" si="1870"/>
        <v>FFDFD3C0</v>
      </c>
      <c r="D3382" t="s">
        <v>151</v>
      </c>
      <c r="E3382">
        <v>8</v>
      </c>
      <c r="H3382">
        <v>225</v>
      </c>
      <c r="I3382" t="s">
        <v>353</v>
      </c>
      <c r="J3382" t="s">
        <v>150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 t="shared" ref="S3382:T3388" si="1879">"14:57:19.438"</f>
        <v>14:57:19.438</v>
      </c>
      <c r="T3382" t="str">
        <f t="shared" si="1879"/>
        <v>14:57:19.438</v>
      </c>
      <c r="U3382" t="str">
        <f t="shared" si="1849"/>
        <v>ACC530</v>
      </c>
      <c r="V3382">
        <v>0</v>
      </c>
      <c r="W3382">
        <v>0</v>
      </c>
      <c r="X3382">
        <v>1</v>
      </c>
      <c r="Z3382">
        <v>0</v>
      </c>
      <c r="AA3382">
        <v>9</v>
      </c>
      <c r="AB3382">
        <v>3</v>
      </c>
      <c r="AC3382">
        <v>0</v>
      </c>
      <c r="AD3382">
        <v>9</v>
      </c>
      <c r="AE3382">
        <v>0</v>
      </c>
      <c r="AF3382">
        <v>3</v>
      </c>
      <c r="AG3382">
        <v>1</v>
      </c>
      <c r="AH3382">
        <v>0</v>
      </c>
      <c r="AI3382" t="s">
        <v>1115</v>
      </c>
      <c r="AJ3382">
        <v>34.088344999999997</v>
      </c>
      <c r="AK3382" t="s">
        <v>1116</v>
      </c>
      <c r="AL3382">
        <v>-117.033749</v>
      </c>
      <c r="AM3382">
        <v>100</v>
      </c>
      <c r="AN3382">
        <v>5500</v>
      </c>
      <c r="AO3382" t="s">
        <v>118</v>
      </c>
      <c r="AP3382">
        <v>73</v>
      </c>
      <c r="AQ3382">
        <v>-73</v>
      </c>
      <c r="AR3382">
        <v>-384</v>
      </c>
      <c r="AZ3382">
        <v>1200</v>
      </c>
      <c r="BA3382">
        <v>1</v>
      </c>
      <c r="BB3382" t="str">
        <f t="shared" si="1852"/>
        <v xml:space="preserve">N9217B  </v>
      </c>
      <c r="BC3382">
        <v>1</v>
      </c>
      <c r="BE3382">
        <v>0</v>
      </c>
      <c r="BF3382">
        <v>0</v>
      </c>
      <c r="BG3382">
        <v>0</v>
      </c>
      <c r="BH3382">
        <v>5300</v>
      </c>
      <c r="BI3382">
        <v>1</v>
      </c>
      <c r="BJ3382">
        <v>0</v>
      </c>
      <c r="BK3382">
        <v>0</v>
      </c>
      <c r="BL3382">
        <v>0</v>
      </c>
      <c r="BO3382">
        <v>0</v>
      </c>
      <c r="BP3382">
        <v>0</v>
      </c>
      <c r="BW3382" t="str">
        <f t="shared" ref="BW3382:BW3388" si="1880">"14:57:19.444"</f>
        <v>14:57:19.444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7</v>
      </c>
      <c r="CP3382" t="s">
        <v>119</v>
      </c>
      <c r="CQ3382">
        <v>285</v>
      </c>
      <c r="CR3382">
        <v>0</v>
      </c>
      <c r="CW3382">
        <v>8878503</v>
      </c>
      <c r="CY3382">
        <v>0</v>
      </c>
      <c r="CZ3382">
        <v>0</v>
      </c>
      <c r="DA3382">
        <v>0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25">
      <c r="A3383" t="str">
        <f t="shared" si="1878"/>
        <v>06/05/2020 14:57:13.795</v>
      </c>
      <c r="C3383" t="str">
        <f t="shared" si="1870"/>
        <v>FFDFD3C0</v>
      </c>
      <c r="D3383" t="s">
        <v>151</v>
      </c>
      <c r="E3383">
        <v>9</v>
      </c>
      <c r="H3383">
        <v>226</v>
      </c>
      <c r="I3383" t="s">
        <v>152</v>
      </c>
      <c r="J3383" t="s">
        <v>150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 t="shared" si="1879"/>
        <v>14:57:19.438</v>
      </c>
      <c r="T3383" t="str">
        <f t="shared" si="1879"/>
        <v>14:57:19.438</v>
      </c>
      <c r="U3383" t="str">
        <f t="shared" si="1849"/>
        <v>ACC530</v>
      </c>
      <c r="V3383">
        <v>0</v>
      </c>
      <c r="W3383">
        <v>0</v>
      </c>
      <c r="X3383">
        <v>1</v>
      </c>
      <c r="Z3383">
        <v>0</v>
      </c>
      <c r="AA3383">
        <v>9</v>
      </c>
      <c r="AB3383">
        <v>3</v>
      </c>
      <c r="AC3383">
        <v>0</v>
      </c>
      <c r="AD3383">
        <v>9</v>
      </c>
      <c r="AE3383">
        <v>0</v>
      </c>
      <c r="AF3383">
        <v>3</v>
      </c>
      <c r="AG3383">
        <v>1</v>
      </c>
      <c r="AH3383">
        <v>0</v>
      </c>
      <c r="AI3383" t="s">
        <v>1115</v>
      </c>
      <c r="AJ3383">
        <v>34.088344999999997</v>
      </c>
      <c r="AK3383" t="s">
        <v>1116</v>
      </c>
      <c r="AL3383">
        <v>-117.033749</v>
      </c>
      <c r="AM3383">
        <v>100</v>
      </c>
      <c r="AN3383">
        <v>5500</v>
      </c>
      <c r="AO3383" t="s">
        <v>118</v>
      </c>
      <c r="AP3383">
        <v>73</v>
      </c>
      <c r="AQ3383">
        <v>-73</v>
      </c>
      <c r="AR3383">
        <v>-384</v>
      </c>
      <c r="AZ3383">
        <v>1200</v>
      </c>
      <c r="BA3383">
        <v>1</v>
      </c>
      <c r="BB3383" t="str">
        <f t="shared" si="1852"/>
        <v xml:space="preserve">N9217B  </v>
      </c>
      <c r="BC3383">
        <v>1</v>
      </c>
      <c r="BE3383">
        <v>0</v>
      </c>
      <c r="BF3383">
        <v>0</v>
      </c>
      <c r="BG3383">
        <v>0</v>
      </c>
      <c r="BH3383">
        <v>5300</v>
      </c>
      <c r="BI3383">
        <v>1</v>
      </c>
      <c r="BJ3383">
        <v>0</v>
      </c>
      <c r="BK3383">
        <v>0</v>
      </c>
      <c r="BL3383">
        <v>0</v>
      </c>
      <c r="BO3383">
        <v>0</v>
      </c>
      <c r="BP3383">
        <v>0</v>
      </c>
      <c r="BW3383" t="str">
        <f t="shared" si="1880"/>
        <v>14:57:19.444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7</v>
      </c>
      <c r="CP3383" t="s">
        <v>119</v>
      </c>
      <c r="CQ3383">
        <v>285</v>
      </c>
      <c r="CR3383">
        <v>0</v>
      </c>
      <c r="CW3383">
        <v>8878503</v>
      </c>
      <c r="CY3383">
        <v>0</v>
      </c>
      <c r="CZ3383">
        <v>0</v>
      </c>
      <c r="DA3383">
        <v>1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25">
      <c r="A3384" t="str">
        <f t="shared" si="1878"/>
        <v>06/05/2020 14:57:13.795</v>
      </c>
      <c r="C3384" t="str">
        <f t="shared" si="1870"/>
        <v>FFDFD3C0</v>
      </c>
      <c r="D3384" t="s">
        <v>113</v>
      </c>
      <c r="E3384">
        <v>3</v>
      </c>
      <c r="H3384">
        <v>166</v>
      </c>
      <c r="I3384" t="s">
        <v>114</v>
      </c>
      <c r="J3384" t="s">
        <v>115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si="1879"/>
        <v>14:57:19.438</v>
      </c>
      <c r="T3384" t="str">
        <f t="shared" si="1879"/>
        <v>14:57:19.438</v>
      </c>
      <c r="U3384" t="str">
        <f t="shared" si="1849"/>
        <v>ACC530</v>
      </c>
      <c r="V3384">
        <v>0</v>
      </c>
      <c r="W3384">
        <v>0</v>
      </c>
      <c r="X3384">
        <v>1</v>
      </c>
      <c r="Z3384">
        <v>0</v>
      </c>
      <c r="AA3384">
        <v>9</v>
      </c>
      <c r="AB3384">
        <v>3</v>
      </c>
      <c r="AC3384">
        <v>0</v>
      </c>
      <c r="AD3384">
        <v>9</v>
      </c>
      <c r="AE3384">
        <v>0</v>
      </c>
      <c r="AF3384">
        <v>3</v>
      </c>
      <c r="AG3384">
        <v>1</v>
      </c>
      <c r="AH3384">
        <v>0</v>
      </c>
      <c r="AI3384" t="s">
        <v>1115</v>
      </c>
      <c r="AJ3384">
        <v>34.088344999999997</v>
      </c>
      <c r="AK3384" t="s">
        <v>1116</v>
      </c>
      <c r="AL3384">
        <v>-117.033749</v>
      </c>
      <c r="AM3384">
        <v>100</v>
      </c>
      <c r="AN3384">
        <v>5500</v>
      </c>
      <c r="AO3384" t="s">
        <v>118</v>
      </c>
      <c r="AP3384">
        <v>73</v>
      </c>
      <c r="AQ3384">
        <v>-73</v>
      </c>
      <c r="AR3384">
        <v>-384</v>
      </c>
      <c r="AZ3384">
        <v>1200</v>
      </c>
      <c r="BA3384">
        <v>1</v>
      </c>
      <c r="BB3384" t="str">
        <f t="shared" si="1852"/>
        <v xml:space="preserve">N9217B  </v>
      </c>
      <c r="BC3384">
        <v>1</v>
      </c>
      <c r="BE3384">
        <v>0</v>
      </c>
      <c r="BF3384">
        <v>0</v>
      </c>
      <c r="BG3384">
        <v>0</v>
      </c>
      <c r="BH3384">
        <v>5300</v>
      </c>
      <c r="BI3384">
        <v>1</v>
      </c>
      <c r="BJ3384">
        <v>0</v>
      </c>
      <c r="BK3384">
        <v>0</v>
      </c>
      <c r="BL3384">
        <v>0</v>
      </c>
      <c r="BO3384">
        <v>0</v>
      </c>
      <c r="BP3384">
        <v>0</v>
      </c>
      <c r="BW3384" t="str">
        <f t="shared" si="1880"/>
        <v>14:57:19.444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7</v>
      </c>
      <c r="CP3384" t="s">
        <v>119</v>
      </c>
      <c r="CQ3384">
        <v>285</v>
      </c>
      <c r="CR3384">
        <v>0</v>
      </c>
      <c r="CW3384">
        <v>8878503</v>
      </c>
      <c r="CY3384">
        <v>0</v>
      </c>
      <c r="CZ3384">
        <v>0</v>
      </c>
      <c r="DA3384">
        <v>1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25">
      <c r="A3385" t="str">
        <f t="shared" si="1878"/>
        <v>06/05/2020 14:57:13.795</v>
      </c>
      <c r="C3385" t="str">
        <f t="shared" si="1870"/>
        <v>FFDFD3C0</v>
      </c>
      <c r="D3385" t="s">
        <v>134</v>
      </c>
      <c r="E3385">
        <v>7</v>
      </c>
      <c r="F3385">
        <v>2007</v>
      </c>
      <c r="G3385" t="s">
        <v>135</v>
      </c>
      <c r="J3385" t="s">
        <v>136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879"/>
        <v>14:57:19.438</v>
      </c>
      <c r="T3385" t="str">
        <f t="shared" si="1879"/>
        <v>14:57:19.438</v>
      </c>
      <c r="U3385" t="str">
        <f t="shared" si="1849"/>
        <v>ACC530</v>
      </c>
      <c r="V3385">
        <v>0</v>
      </c>
      <c r="W3385">
        <v>0</v>
      </c>
      <c r="X3385">
        <v>1</v>
      </c>
      <c r="Z3385">
        <v>0</v>
      </c>
      <c r="AA3385">
        <v>9</v>
      </c>
      <c r="AB3385">
        <v>3</v>
      </c>
      <c r="AC3385">
        <v>0</v>
      </c>
      <c r="AD3385">
        <v>9</v>
      </c>
      <c r="AE3385">
        <v>0</v>
      </c>
      <c r="AF3385">
        <v>3</v>
      </c>
      <c r="AG3385">
        <v>1</v>
      </c>
      <c r="AH3385">
        <v>0</v>
      </c>
      <c r="AI3385" t="s">
        <v>1115</v>
      </c>
      <c r="AJ3385">
        <v>34.088344999999997</v>
      </c>
      <c r="AK3385" t="s">
        <v>1116</v>
      </c>
      <c r="AL3385">
        <v>-117.033749</v>
      </c>
      <c r="AM3385">
        <v>100</v>
      </c>
      <c r="AN3385">
        <v>5500</v>
      </c>
      <c r="AO3385" t="s">
        <v>118</v>
      </c>
      <c r="AP3385">
        <v>73</v>
      </c>
      <c r="AQ3385">
        <v>-73</v>
      </c>
      <c r="AR3385">
        <v>-384</v>
      </c>
      <c r="AZ3385">
        <v>1200</v>
      </c>
      <c r="BA3385">
        <v>1</v>
      </c>
      <c r="BB3385" t="str">
        <f t="shared" si="1852"/>
        <v xml:space="preserve">N9217B  </v>
      </c>
      <c r="BC3385">
        <v>1</v>
      </c>
      <c r="BE3385">
        <v>0</v>
      </c>
      <c r="BF3385">
        <v>0</v>
      </c>
      <c r="BG3385">
        <v>0</v>
      </c>
      <c r="BH3385">
        <v>5300</v>
      </c>
      <c r="BI3385">
        <v>1</v>
      </c>
      <c r="BJ3385">
        <v>0</v>
      </c>
      <c r="BK3385">
        <v>0</v>
      </c>
      <c r="BL3385">
        <v>0</v>
      </c>
      <c r="BO3385">
        <v>0</v>
      </c>
      <c r="BP3385">
        <v>0</v>
      </c>
      <c r="BW3385" t="str">
        <f t="shared" si="1880"/>
        <v>14:57:19.444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7</v>
      </c>
      <c r="CP3385" t="s">
        <v>119</v>
      </c>
      <c r="CQ3385">
        <v>285</v>
      </c>
      <c r="CR3385">
        <v>0</v>
      </c>
      <c r="CW3385">
        <v>8878503</v>
      </c>
      <c r="CY3385">
        <v>0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25">
      <c r="A3386" t="str">
        <f t="shared" si="1878"/>
        <v>06/05/2020 14:57:13.795</v>
      </c>
      <c r="C3386" t="str">
        <f t="shared" si="1870"/>
        <v>FFDFD3C0</v>
      </c>
      <c r="D3386" t="s">
        <v>148</v>
      </c>
      <c r="E3386">
        <v>11</v>
      </c>
      <c r="H3386">
        <v>53</v>
      </c>
      <c r="I3386" t="s">
        <v>364</v>
      </c>
      <c r="J3386" t="s">
        <v>150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879"/>
        <v>14:57:19.438</v>
      </c>
      <c r="T3386" t="str">
        <f t="shared" si="1879"/>
        <v>14:57:19.438</v>
      </c>
      <c r="U3386" t="str">
        <f t="shared" si="1849"/>
        <v>ACC530</v>
      </c>
      <c r="V3386">
        <v>0</v>
      </c>
      <c r="W3386">
        <v>0</v>
      </c>
      <c r="X3386">
        <v>1</v>
      </c>
      <c r="Z3386">
        <v>0</v>
      </c>
      <c r="AA3386">
        <v>9</v>
      </c>
      <c r="AB3386">
        <v>3</v>
      </c>
      <c r="AC3386">
        <v>0</v>
      </c>
      <c r="AD3386">
        <v>9</v>
      </c>
      <c r="AE3386">
        <v>0</v>
      </c>
      <c r="AF3386">
        <v>3</v>
      </c>
      <c r="AG3386">
        <v>1</v>
      </c>
      <c r="AH3386">
        <v>0</v>
      </c>
      <c r="AI3386" t="s">
        <v>1115</v>
      </c>
      <c r="AJ3386">
        <v>34.088344999999997</v>
      </c>
      <c r="AK3386" t="s">
        <v>1116</v>
      </c>
      <c r="AL3386">
        <v>-117.033749</v>
      </c>
      <c r="AM3386">
        <v>100</v>
      </c>
      <c r="AN3386">
        <v>5500</v>
      </c>
      <c r="AO3386" t="s">
        <v>118</v>
      </c>
      <c r="AP3386">
        <v>73</v>
      </c>
      <c r="AQ3386">
        <v>-73</v>
      </c>
      <c r="AR3386">
        <v>-384</v>
      </c>
      <c r="AZ3386">
        <v>1200</v>
      </c>
      <c r="BA3386">
        <v>1</v>
      </c>
      <c r="BB3386" t="str">
        <f t="shared" si="1852"/>
        <v xml:space="preserve">N9217B  </v>
      </c>
      <c r="BC3386">
        <v>1</v>
      </c>
      <c r="BE3386">
        <v>0</v>
      </c>
      <c r="BF3386">
        <v>0</v>
      </c>
      <c r="BG3386">
        <v>0</v>
      </c>
      <c r="BH3386">
        <v>5300</v>
      </c>
      <c r="BI3386">
        <v>1</v>
      </c>
      <c r="BJ3386">
        <v>0</v>
      </c>
      <c r="BK3386">
        <v>0</v>
      </c>
      <c r="BL3386">
        <v>0</v>
      </c>
      <c r="BO3386">
        <v>0</v>
      </c>
      <c r="BP3386">
        <v>0</v>
      </c>
      <c r="BW3386" t="str">
        <f t="shared" si="1880"/>
        <v>14:57:19.444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7</v>
      </c>
      <c r="CP3386" t="s">
        <v>119</v>
      </c>
      <c r="CQ3386">
        <v>285</v>
      </c>
      <c r="CR3386">
        <v>0</v>
      </c>
      <c r="CW3386">
        <v>8878503</v>
      </c>
      <c r="CY3386">
        <v>0</v>
      </c>
      <c r="CZ3386">
        <v>0</v>
      </c>
      <c r="DA3386">
        <v>1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25">
      <c r="A3387" t="str">
        <f t="shared" si="1878"/>
        <v>06/05/2020 14:57:13.795</v>
      </c>
      <c r="C3387" t="str">
        <f t="shared" si="1870"/>
        <v>FFDFD3C0</v>
      </c>
      <c r="D3387" t="s">
        <v>141</v>
      </c>
      <c r="E3387">
        <v>20</v>
      </c>
      <c r="F3387">
        <v>1020</v>
      </c>
      <c r="G3387" t="s">
        <v>114</v>
      </c>
      <c r="J3387" t="s">
        <v>142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879"/>
        <v>14:57:19.438</v>
      </c>
      <c r="T3387" t="str">
        <f t="shared" si="1879"/>
        <v>14:57:19.438</v>
      </c>
      <c r="U3387" t="str">
        <f t="shared" si="1849"/>
        <v>ACC530</v>
      </c>
      <c r="V3387">
        <v>0</v>
      </c>
      <c r="W3387">
        <v>0</v>
      </c>
      <c r="X3387">
        <v>1</v>
      </c>
      <c r="Z3387">
        <v>0</v>
      </c>
      <c r="AA3387">
        <v>9</v>
      </c>
      <c r="AB3387">
        <v>3</v>
      </c>
      <c r="AC3387">
        <v>0</v>
      </c>
      <c r="AD3387">
        <v>9</v>
      </c>
      <c r="AE3387">
        <v>0</v>
      </c>
      <c r="AF3387">
        <v>3</v>
      </c>
      <c r="AG3387">
        <v>1</v>
      </c>
      <c r="AH3387">
        <v>0</v>
      </c>
      <c r="AI3387" t="s">
        <v>1115</v>
      </c>
      <c r="AJ3387">
        <v>34.088344999999997</v>
      </c>
      <c r="AK3387" t="s">
        <v>1116</v>
      </c>
      <c r="AL3387">
        <v>-117.033749</v>
      </c>
      <c r="AM3387">
        <v>100</v>
      </c>
      <c r="AN3387">
        <v>5500</v>
      </c>
      <c r="AO3387" t="s">
        <v>118</v>
      </c>
      <c r="AP3387">
        <v>73</v>
      </c>
      <c r="AQ3387">
        <v>-73</v>
      </c>
      <c r="AR3387">
        <v>-384</v>
      </c>
      <c r="AZ3387">
        <v>1200</v>
      </c>
      <c r="BA3387">
        <v>1</v>
      </c>
      <c r="BB3387" t="str">
        <f t="shared" si="1852"/>
        <v xml:space="preserve">N9217B  </v>
      </c>
      <c r="BC3387">
        <v>1</v>
      </c>
      <c r="BE3387">
        <v>0</v>
      </c>
      <c r="BF3387">
        <v>0</v>
      </c>
      <c r="BG3387">
        <v>0</v>
      </c>
      <c r="BH3387">
        <v>5300</v>
      </c>
      <c r="BI3387">
        <v>1</v>
      </c>
      <c r="BJ3387">
        <v>0</v>
      </c>
      <c r="BK3387">
        <v>0</v>
      </c>
      <c r="BL3387">
        <v>0</v>
      </c>
      <c r="BO3387">
        <v>0</v>
      </c>
      <c r="BP3387">
        <v>0</v>
      </c>
      <c r="BW3387" t="str">
        <f t="shared" si="1880"/>
        <v>14:57:19.444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7</v>
      </c>
      <c r="CP3387" t="s">
        <v>119</v>
      </c>
      <c r="CQ3387">
        <v>285</v>
      </c>
      <c r="CR3387">
        <v>0</v>
      </c>
      <c r="CW3387">
        <v>8878503</v>
      </c>
      <c r="CY3387">
        <v>0</v>
      </c>
      <c r="CZ3387">
        <v>0</v>
      </c>
      <c r="DA3387">
        <v>1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25">
      <c r="A3388" t="str">
        <f t="shared" si="1878"/>
        <v>06/05/2020 14:57:13.795</v>
      </c>
      <c r="C3388" t="str">
        <f t="shared" si="1870"/>
        <v>FFDFD3C0</v>
      </c>
      <c r="D3388" t="s">
        <v>148</v>
      </c>
      <c r="E3388">
        <v>8</v>
      </c>
      <c r="H3388">
        <v>50</v>
      </c>
      <c r="I3388" t="s">
        <v>149</v>
      </c>
      <c r="J3388" t="s">
        <v>150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879"/>
        <v>14:57:19.438</v>
      </c>
      <c r="T3388" t="str">
        <f t="shared" si="1879"/>
        <v>14:57:19.438</v>
      </c>
      <c r="U3388" t="str">
        <f t="shared" si="1849"/>
        <v>ACC530</v>
      </c>
      <c r="V3388">
        <v>0</v>
      </c>
      <c r="W3388">
        <v>0</v>
      </c>
      <c r="X3388">
        <v>1</v>
      </c>
      <c r="Z3388">
        <v>0</v>
      </c>
      <c r="AA3388">
        <v>9</v>
      </c>
      <c r="AB3388">
        <v>3</v>
      </c>
      <c r="AC3388">
        <v>0</v>
      </c>
      <c r="AD3388">
        <v>9</v>
      </c>
      <c r="AE3388">
        <v>0</v>
      </c>
      <c r="AF3388">
        <v>3</v>
      </c>
      <c r="AG3388">
        <v>1</v>
      </c>
      <c r="AH3388">
        <v>0</v>
      </c>
      <c r="AI3388" t="s">
        <v>1115</v>
      </c>
      <c r="AJ3388">
        <v>34.088344999999997</v>
      </c>
      <c r="AK3388" t="s">
        <v>1116</v>
      </c>
      <c r="AL3388">
        <v>-117.033749</v>
      </c>
      <c r="AM3388">
        <v>100</v>
      </c>
      <c r="AN3388">
        <v>5500</v>
      </c>
      <c r="AO3388" t="s">
        <v>118</v>
      </c>
      <c r="AP3388">
        <v>73</v>
      </c>
      <c r="AQ3388">
        <v>-73</v>
      </c>
      <c r="AR3388">
        <v>-384</v>
      </c>
      <c r="AZ3388">
        <v>1200</v>
      </c>
      <c r="BA3388">
        <v>1</v>
      </c>
      <c r="BB3388" t="str">
        <f t="shared" si="1852"/>
        <v xml:space="preserve">N9217B  </v>
      </c>
      <c r="BC3388">
        <v>1</v>
      </c>
      <c r="BE3388">
        <v>0</v>
      </c>
      <c r="BF3388">
        <v>0</v>
      </c>
      <c r="BG3388">
        <v>0</v>
      </c>
      <c r="BH3388">
        <v>5300</v>
      </c>
      <c r="BI3388">
        <v>1</v>
      </c>
      <c r="BJ3388">
        <v>0</v>
      </c>
      <c r="BK3388">
        <v>0</v>
      </c>
      <c r="BL3388">
        <v>0</v>
      </c>
      <c r="BO3388">
        <v>0</v>
      </c>
      <c r="BP3388">
        <v>0</v>
      </c>
      <c r="BW3388" t="str">
        <f t="shared" si="1880"/>
        <v>14:57:19.444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7</v>
      </c>
      <c r="CP3388" t="s">
        <v>119</v>
      </c>
      <c r="CQ3388">
        <v>285</v>
      </c>
      <c r="CR3388">
        <v>0</v>
      </c>
      <c r="CW3388">
        <v>8878503</v>
      </c>
      <c r="CY3388">
        <v>0</v>
      </c>
      <c r="CZ3388">
        <v>0</v>
      </c>
      <c r="DA3388">
        <v>1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25">
      <c r="A3389" t="str">
        <f t="shared" ref="A3389:A3395" si="1881">"06/05/2020 14:57:14.787"</f>
        <v>06/05/2020 14:57:14.787</v>
      </c>
      <c r="C3389" t="str">
        <f t="shared" si="1870"/>
        <v>FFDFD3C0</v>
      </c>
      <c r="D3389" t="s">
        <v>148</v>
      </c>
      <c r="E3389">
        <v>11</v>
      </c>
      <c r="H3389">
        <v>53</v>
      </c>
      <c r="I3389" t="s">
        <v>364</v>
      </c>
      <c r="J3389" t="s">
        <v>150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ref="S3389:S3395" si="1882">"14:57:20.445"</f>
        <v>14:57:20.445</v>
      </c>
      <c r="T3389" t="str">
        <f t="shared" ref="T3389:T3395" si="1883">"14:57:20.345"</f>
        <v>14:57:20.345</v>
      </c>
      <c r="U3389" t="str">
        <f t="shared" si="1849"/>
        <v>ACC530</v>
      </c>
      <c r="V3389">
        <v>0</v>
      </c>
      <c r="W3389">
        <v>0</v>
      </c>
      <c r="X3389">
        <v>1</v>
      </c>
      <c r="Z3389">
        <v>0</v>
      </c>
      <c r="AA3389">
        <v>9</v>
      </c>
      <c r="AB3389">
        <v>3</v>
      </c>
      <c r="AC3389">
        <v>0</v>
      </c>
      <c r="AD3389">
        <v>9</v>
      </c>
      <c r="AE3389">
        <v>0</v>
      </c>
      <c r="AF3389">
        <v>3</v>
      </c>
      <c r="AG3389">
        <v>1</v>
      </c>
      <c r="AH3389">
        <v>0</v>
      </c>
      <c r="AI3389" t="s">
        <v>1117</v>
      </c>
      <c r="AJ3389">
        <v>34.087958</v>
      </c>
      <c r="AK3389" t="s">
        <v>1118</v>
      </c>
      <c r="AL3389">
        <v>-117.03331900000001</v>
      </c>
      <c r="AM3389">
        <v>100</v>
      </c>
      <c r="AN3389">
        <v>5500</v>
      </c>
      <c r="AO3389" t="s">
        <v>118</v>
      </c>
      <c r="AP3389">
        <v>73</v>
      </c>
      <c r="AQ3389">
        <v>-73</v>
      </c>
      <c r="AR3389">
        <v>-384</v>
      </c>
      <c r="AZ3389">
        <v>1200</v>
      </c>
      <c r="BA3389">
        <v>1</v>
      </c>
      <c r="BB3389" t="str">
        <f t="shared" si="1852"/>
        <v xml:space="preserve">N9217B  </v>
      </c>
      <c r="BC3389">
        <v>1</v>
      </c>
      <c r="BE3389">
        <v>0</v>
      </c>
      <c r="BF3389">
        <v>0</v>
      </c>
      <c r="BG3389">
        <v>0</v>
      </c>
      <c r="BH3389">
        <v>5400</v>
      </c>
      <c r="BI3389">
        <v>1</v>
      </c>
      <c r="BJ3389">
        <v>0</v>
      </c>
      <c r="BK3389">
        <v>0</v>
      </c>
      <c r="BL3389">
        <v>0</v>
      </c>
      <c r="BO3389">
        <v>0</v>
      </c>
      <c r="BP3389">
        <v>0</v>
      </c>
      <c r="BW3389" t="str">
        <f t="shared" ref="BW3389:BW3395" si="1884">"14:57:20.449"</f>
        <v>14:57:20.449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7</v>
      </c>
      <c r="CP3389" t="s">
        <v>119</v>
      </c>
      <c r="CQ3389">
        <v>285</v>
      </c>
      <c r="CR3389">
        <v>0</v>
      </c>
      <c r="CW3389">
        <v>8878593</v>
      </c>
      <c r="CY3389">
        <v>0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25">
      <c r="A3390" t="str">
        <f t="shared" si="1881"/>
        <v>06/05/2020 14:57:14.787</v>
      </c>
      <c r="C3390" t="str">
        <f t="shared" si="1870"/>
        <v>FFDFD3C0</v>
      </c>
      <c r="D3390" t="s">
        <v>141</v>
      </c>
      <c r="E3390">
        <v>20</v>
      </c>
      <c r="F3390">
        <v>1020</v>
      </c>
      <c r="G3390" t="s">
        <v>114</v>
      </c>
      <c r="J3390" t="s">
        <v>142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882"/>
        <v>14:57:20.445</v>
      </c>
      <c r="T3390" t="str">
        <f t="shared" si="1883"/>
        <v>14:57:20.345</v>
      </c>
      <c r="U3390" t="str">
        <f t="shared" si="1849"/>
        <v>ACC530</v>
      </c>
      <c r="V3390">
        <v>0</v>
      </c>
      <c r="W3390">
        <v>0</v>
      </c>
      <c r="X3390">
        <v>1</v>
      </c>
      <c r="Z3390">
        <v>0</v>
      </c>
      <c r="AA3390">
        <v>9</v>
      </c>
      <c r="AB3390">
        <v>3</v>
      </c>
      <c r="AC3390">
        <v>0</v>
      </c>
      <c r="AD3390">
        <v>9</v>
      </c>
      <c r="AE3390">
        <v>0</v>
      </c>
      <c r="AF3390">
        <v>3</v>
      </c>
      <c r="AG3390">
        <v>1</v>
      </c>
      <c r="AH3390">
        <v>0</v>
      </c>
      <c r="AI3390" t="s">
        <v>1117</v>
      </c>
      <c r="AJ3390">
        <v>34.087958</v>
      </c>
      <c r="AK3390" t="s">
        <v>1118</v>
      </c>
      <c r="AL3390">
        <v>-117.03331900000001</v>
      </c>
      <c r="AM3390">
        <v>100</v>
      </c>
      <c r="AN3390">
        <v>5500</v>
      </c>
      <c r="AO3390" t="s">
        <v>118</v>
      </c>
      <c r="AP3390">
        <v>73</v>
      </c>
      <c r="AQ3390">
        <v>-73</v>
      </c>
      <c r="AR3390">
        <v>-384</v>
      </c>
      <c r="AZ3390">
        <v>1200</v>
      </c>
      <c r="BA3390">
        <v>1</v>
      </c>
      <c r="BB3390" t="str">
        <f t="shared" si="1852"/>
        <v xml:space="preserve">N9217B  </v>
      </c>
      <c r="BC3390">
        <v>1</v>
      </c>
      <c r="BE3390">
        <v>0</v>
      </c>
      <c r="BF3390">
        <v>0</v>
      </c>
      <c r="BG3390">
        <v>0</v>
      </c>
      <c r="BH3390">
        <v>5400</v>
      </c>
      <c r="BI3390">
        <v>1</v>
      </c>
      <c r="BJ3390">
        <v>0</v>
      </c>
      <c r="BK3390">
        <v>0</v>
      </c>
      <c r="BL3390">
        <v>0</v>
      </c>
      <c r="BO3390">
        <v>0</v>
      </c>
      <c r="BP3390">
        <v>0</v>
      </c>
      <c r="BW3390" t="str">
        <f t="shared" si="1884"/>
        <v>14:57:20.449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7</v>
      </c>
      <c r="CP3390" t="s">
        <v>119</v>
      </c>
      <c r="CQ3390">
        <v>285</v>
      </c>
      <c r="CR3390">
        <v>0</v>
      </c>
      <c r="CW3390">
        <v>8878593</v>
      </c>
      <c r="CY3390">
        <v>0</v>
      </c>
      <c r="CZ3390">
        <v>0</v>
      </c>
      <c r="DA3390">
        <v>1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25">
      <c r="A3391" t="str">
        <f t="shared" si="1881"/>
        <v>06/05/2020 14:57:14.787</v>
      </c>
      <c r="C3391" t="str">
        <f t="shared" si="1870"/>
        <v>FFDFD3C0</v>
      </c>
      <c r="D3391" t="s">
        <v>148</v>
      </c>
      <c r="E3391">
        <v>8</v>
      </c>
      <c r="H3391">
        <v>50</v>
      </c>
      <c r="I3391" t="s">
        <v>149</v>
      </c>
      <c r="J3391" t="s">
        <v>150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882"/>
        <v>14:57:20.445</v>
      </c>
      <c r="T3391" t="str">
        <f t="shared" si="1883"/>
        <v>14:57:20.345</v>
      </c>
      <c r="U3391" t="str">
        <f t="shared" si="1849"/>
        <v>ACC530</v>
      </c>
      <c r="V3391">
        <v>0</v>
      </c>
      <c r="W3391">
        <v>0</v>
      </c>
      <c r="X3391">
        <v>1</v>
      </c>
      <c r="Z3391">
        <v>0</v>
      </c>
      <c r="AA3391">
        <v>9</v>
      </c>
      <c r="AB3391">
        <v>3</v>
      </c>
      <c r="AC3391">
        <v>0</v>
      </c>
      <c r="AD3391">
        <v>9</v>
      </c>
      <c r="AE3391">
        <v>0</v>
      </c>
      <c r="AF3391">
        <v>3</v>
      </c>
      <c r="AG3391">
        <v>1</v>
      </c>
      <c r="AH3391">
        <v>0</v>
      </c>
      <c r="AI3391" t="s">
        <v>1117</v>
      </c>
      <c r="AJ3391">
        <v>34.087958</v>
      </c>
      <c r="AK3391" t="s">
        <v>1118</v>
      </c>
      <c r="AL3391">
        <v>-117.03331900000001</v>
      </c>
      <c r="AM3391">
        <v>100</v>
      </c>
      <c r="AN3391">
        <v>5500</v>
      </c>
      <c r="AO3391" t="s">
        <v>118</v>
      </c>
      <c r="AP3391">
        <v>73</v>
      </c>
      <c r="AQ3391">
        <v>-73</v>
      </c>
      <c r="AR3391">
        <v>-384</v>
      </c>
      <c r="AZ3391">
        <v>1200</v>
      </c>
      <c r="BA3391">
        <v>1</v>
      </c>
      <c r="BB3391" t="str">
        <f t="shared" si="1852"/>
        <v xml:space="preserve">N9217B  </v>
      </c>
      <c r="BC3391">
        <v>1</v>
      </c>
      <c r="BE3391">
        <v>0</v>
      </c>
      <c r="BF3391">
        <v>0</v>
      </c>
      <c r="BG3391">
        <v>0</v>
      </c>
      <c r="BH3391">
        <v>5400</v>
      </c>
      <c r="BI3391">
        <v>1</v>
      </c>
      <c r="BJ3391">
        <v>0</v>
      </c>
      <c r="BK3391">
        <v>0</v>
      </c>
      <c r="BL3391">
        <v>0</v>
      </c>
      <c r="BO3391">
        <v>0</v>
      </c>
      <c r="BP3391">
        <v>0</v>
      </c>
      <c r="BW3391" t="str">
        <f t="shared" si="1884"/>
        <v>14:57:20.449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7</v>
      </c>
      <c r="CP3391" t="s">
        <v>119</v>
      </c>
      <c r="CQ3391">
        <v>285</v>
      </c>
      <c r="CR3391">
        <v>0</v>
      </c>
      <c r="CW3391">
        <v>8878593</v>
      </c>
      <c r="CY3391">
        <v>0</v>
      </c>
      <c r="CZ3391">
        <v>0</v>
      </c>
      <c r="DA3391">
        <v>1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25">
      <c r="A3392" t="str">
        <f t="shared" si="1881"/>
        <v>06/05/2020 14:57:14.787</v>
      </c>
      <c r="C3392" t="str">
        <f t="shared" si="1870"/>
        <v>FFDFD3C0</v>
      </c>
      <c r="D3392" t="s">
        <v>151</v>
      </c>
      <c r="E3392">
        <v>8</v>
      </c>
      <c r="H3392">
        <v>225</v>
      </c>
      <c r="I3392" t="s">
        <v>353</v>
      </c>
      <c r="J3392" t="s">
        <v>150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882"/>
        <v>14:57:20.445</v>
      </c>
      <c r="T3392" t="str">
        <f t="shared" si="1883"/>
        <v>14:57:20.345</v>
      </c>
      <c r="U3392" t="str">
        <f t="shared" si="1849"/>
        <v>ACC530</v>
      </c>
      <c r="V3392">
        <v>0</v>
      </c>
      <c r="W3392">
        <v>0</v>
      </c>
      <c r="X3392">
        <v>1</v>
      </c>
      <c r="Z3392">
        <v>0</v>
      </c>
      <c r="AA3392">
        <v>9</v>
      </c>
      <c r="AB3392">
        <v>3</v>
      </c>
      <c r="AC3392">
        <v>0</v>
      </c>
      <c r="AD3392">
        <v>9</v>
      </c>
      <c r="AE3392">
        <v>0</v>
      </c>
      <c r="AF3392">
        <v>3</v>
      </c>
      <c r="AG3392">
        <v>1</v>
      </c>
      <c r="AH3392">
        <v>0</v>
      </c>
      <c r="AI3392" t="s">
        <v>1117</v>
      </c>
      <c r="AJ3392">
        <v>34.087958</v>
      </c>
      <c r="AK3392" t="s">
        <v>1118</v>
      </c>
      <c r="AL3392">
        <v>-117.03331900000001</v>
      </c>
      <c r="AM3392">
        <v>100</v>
      </c>
      <c r="AN3392">
        <v>5500</v>
      </c>
      <c r="AO3392" t="s">
        <v>118</v>
      </c>
      <c r="AP3392">
        <v>73</v>
      </c>
      <c r="AQ3392">
        <v>-73</v>
      </c>
      <c r="AR3392">
        <v>-384</v>
      </c>
      <c r="AZ3392">
        <v>1200</v>
      </c>
      <c r="BA3392">
        <v>1</v>
      </c>
      <c r="BB3392" t="str">
        <f t="shared" si="1852"/>
        <v xml:space="preserve">N9217B  </v>
      </c>
      <c r="BC3392">
        <v>1</v>
      </c>
      <c r="BE3392">
        <v>0</v>
      </c>
      <c r="BF3392">
        <v>0</v>
      </c>
      <c r="BG3392">
        <v>0</v>
      </c>
      <c r="BH3392">
        <v>5400</v>
      </c>
      <c r="BI3392">
        <v>1</v>
      </c>
      <c r="BJ3392">
        <v>0</v>
      </c>
      <c r="BK3392">
        <v>0</v>
      </c>
      <c r="BL3392">
        <v>0</v>
      </c>
      <c r="BO3392">
        <v>0</v>
      </c>
      <c r="BP3392">
        <v>0</v>
      </c>
      <c r="BW3392" t="str">
        <f t="shared" si="1884"/>
        <v>14:57:20.449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7</v>
      </c>
      <c r="CP3392" t="s">
        <v>119</v>
      </c>
      <c r="CQ3392">
        <v>285</v>
      </c>
      <c r="CR3392">
        <v>0</v>
      </c>
      <c r="CW3392">
        <v>8878593</v>
      </c>
      <c r="CY3392">
        <v>0</v>
      </c>
      <c r="CZ3392">
        <v>0</v>
      </c>
      <c r="DA3392">
        <v>1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25">
      <c r="A3393" t="str">
        <f t="shared" si="1881"/>
        <v>06/05/2020 14:57:14.787</v>
      </c>
      <c r="C3393" t="str">
        <f t="shared" si="1870"/>
        <v>FFDFD3C0</v>
      </c>
      <c r="D3393" t="s">
        <v>151</v>
      </c>
      <c r="E3393">
        <v>9</v>
      </c>
      <c r="H3393">
        <v>226</v>
      </c>
      <c r="I3393" t="s">
        <v>152</v>
      </c>
      <c r="J3393" t="s">
        <v>150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1882"/>
        <v>14:57:20.445</v>
      </c>
      <c r="T3393" t="str">
        <f t="shared" si="1883"/>
        <v>14:57:20.345</v>
      </c>
      <c r="U3393" t="str">
        <f t="shared" si="1849"/>
        <v>ACC530</v>
      </c>
      <c r="V3393">
        <v>0</v>
      </c>
      <c r="W3393">
        <v>0</v>
      </c>
      <c r="X3393">
        <v>1</v>
      </c>
      <c r="Z3393">
        <v>0</v>
      </c>
      <c r="AA3393">
        <v>9</v>
      </c>
      <c r="AB3393">
        <v>3</v>
      </c>
      <c r="AC3393">
        <v>0</v>
      </c>
      <c r="AD3393">
        <v>9</v>
      </c>
      <c r="AE3393">
        <v>0</v>
      </c>
      <c r="AF3393">
        <v>3</v>
      </c>
      <c r="AG3393">
        <v>1</v>
      </c>
      <c r="AH3393">
        <v>0</v>
      </c>
      <c r="AI3393" t="s">
        <v>1117</v>
      </c>
      <c r="AJ3393">
        <v>34.087958</v>
      </c>
      <c r="AK3393" t="s">
        <v>1118</v>
      </c>
      <c r="AL3393">
        <v>-117.03331900000001</v>
      </c>
      <c r="AM3393">
        <v>100</v>
      </c>
      <c r="AN3393">
        <v>5500</v>
      </c>
      <c r="AO3393" t="s">
        <v>118</v>
      </c>
      <c r="AP3393">
        <v>73</v>
      </c>
      <c r="AQ3393">
        <v>-73</v>
      </c>
      <c r="AR3393">
        <v>-384</v>
      </c>
      <c r="AZ3393">
        <v>1200</v>
      </c>
      <c r="BA3393">
        <v>1</v>
      </c>
      <c r="BB3393" t="str">
        <f t="shared" si="1852"/>
        <v xml:space="preserve">N9217B  </v>
      </c>
      <c r="BC3393">
        <v>1</v>
      </c>
      <c r="BE3393">
        <v>0</v>
      </c>
      <c r="BF3393">
        <v>0</v>
      </c>
      <c r="BG3393">
        <v>0</v>
      </c>
      <c r="BH3393">
        <v>5400</v>
      </c>
      <c r="BI3393">
        <v>1</v>
      </c>
      <c r="BJ3393">
        <v>0</v>
      </c>
      <c r="BK3393">
        <v>0</v>
      </c>
      <c r="BL3393">
        <v>0</v>
      </c>
      <c r="BO3393">
        <v>0</v>
      </c>
      <c r="BP3393">
        <v>0</v>
      </c>
      <c r="BW3393" t="str">
        <f t="shared" si="1884"/>
        <v>14:57:20.449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7</v>
      </c>
      <c r="CP3393" t="s">
        <v>119</v>
      </c>
      <c r="CQ3393">
        <v>285</v>
      </c>
      <c r="CR3393">
        <v>0</v>
      </c>
      <c r="CW3393">
        <v>8878593</v>
      </c>
      <c r="CY3393">
        <v>0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25">
      <c r="A3394" t="str">
        <f t="shared" si="1881"/>
        <v>06/05/2020 14:57:14.787</v>
      </c>
      <c r="C3394" t="str">
        <f t="shared" si="1870"/>
        <v>FFDFD3C0</v>
      </c>
      <c r="D3394" t="s">
        <v>113</v>
      </c>
      <c r="E3394">
        <v>3</v>
      </c>
      <c r="H3394">
        <v>166</v>
      </c>
      <c r="I3394" t="s">
        <v>114</v>
      </c>
      <c r="J3394" t="s">
        <v>115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882"/>
        <v>14:57:20.445</v>
      </c>
      <c r="T3394" t="str">
        <f t="shared" si="1883"/>
        <v>14:57:20.345</v>
      </c>
      <c r="U3394" t="str">
        <f t="shared" ref="U3394:U3457" si="1885">"ACC530"</f>
        <v>ACC530</v>
      </c>
      <c r="V3394">
        <v>0</v>
      </c>
      <c r="W3394">
        <v>0</v>
      </c>
      <c r="X3394">
        <v>1</v>
      </c>
      <c r="Z3394">
        <v>0</v>
      </c>
      <c r="AA3394">
        <v>9</v>
      </c>
      <c r="AB3394">
        <v>3</v>
      </c>
      <c r="AC3394">
        <v>0</v>
      </c>
      <c r="AD3394">
        <v>9</v>
      </c>
      <c r="AE3394">
        <v>0</v>
      </c>
      <c r="AF3394">
        <v>3</v>
      </c>
      <c r="AG3394">
        <v>1</v>
      </c>
      <c r="AH3394">
        <v>0</v>
      </c>
      <c r="AI3394" t="s">
        <v>1117</v>
      </c>
      <c r="AJ3394">
        <v>34.087958</v>
      </c>
      <c r="AK3394" t="s">
        <v>1118</v>
      </c>
      <c r="AL3394">
        <v>-117.03331900000001</v>
      </c>
      <c r="AM3394">
        <v>100</v>
      </c>
      <c r="AN3394">
        <v>5500</v>
      </c>
      <c r="AO3394" t="s">
        <v>118</v>
      </c>
      <c r="AP3394">
        <v>73</v>
      </c>
      <c r="AQ3394">
        <v>-73</v>
      </c>
      <c r="AR3394">
        <v>-384</v>
      </c>
      <c r="AZ3394">
        <v>1200</v>
      </c>
      <c r="BA3394">
        <v>1</v>
      </c>
      <c r="BB3394" t="str">
        <f t="shared" si="1852"/>
        <v xml:space="preserve">N9217B  </v>
      </c>
      <c r="BC3394">
        <v>1</v>
      </c>
      <c r="BE3394">
        <v>0</v>
      </c>
      <c r="BF3394">
        <v>0</v>
      </c>
      <c r="BG3394">
        <v>0</v>
      </c>
      <c r="BH3394">
        <v>5400</v>
      </c>
      <c r="BI3394">
        <v>1</v>
      </c>
      <c r="BJ3394">
        <v>0</v>
      </c>
      <c r="BK3394">
        <v>0</v>
      </c>
      <c r="BL3394">
        <v>0</v>
      </c>
      <c r="BO3394">
        <v>0</v>
      </c>
      <c r="BP3394">
        <v>0</v>
      </c>
      <c r="BW3394" t="str">
        <f t="shared" si="1884"/>
        <v>14:57:20.449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7</v>
      </c>
      <c r="CP3394" t="s">
        <v>119</v>
      </c>
      <c r="CQ3394">
        <v>285</v>
      </c>
      <c r="CR3394">
        <v>0</v>
      </c>
      <c r="CW3394">
        <v>8878593</v>
      </c>
      <c r="CY3394">
        <v>0</v>
      </c>
      <c r="CZ3394">
        <v>0</v>
      </c>
      <c r="DA3394">
        <v>1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25">
      <c r="A3395" t="str">
        <f t="shared" si="1881"/>
        <v>06/05/2020 14:57:14.787</v>
      </c>
      <c r="C3395" t="str">
        <f t="shared" si="1870"/>
        <v>FFDFD3C0</v>
      </c>
      <c r="D3395" t="s">
        <v>134</v>
      </c>
      <c r="E3395">
        <v>7</v>
      </c>
      <c r="F3395">
        <v>2007</v>
      </c>
      <c r="G3395" t="s">
        <v>135</v>
      </c>
      <c r="J3395" t="s">
        <v>136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882"/>
        <v>14:57:20.445</v>
      </c>
      <c r="T3395" t="str">
        <f t="shared" si="1883"/>
        <v>14:57:20.345</v>
      </c>
      <c r="U3395" t="str">
        <f t="shared" si="1885"/>
        <v>ACC530</v>
      </c>
      <c r="V3395">
        <v>0</v>
      </c>
      <c r="W3395">
        <v>0</v>
      </c>
      <c r="X3395">
        <v>1</v>
      </c>
      <c r="Z3395">
        <v>0</v>
      </c>
      <c r="AA3395">
        <v>9</v>
      </c>
      <c r="AB3395">
        <v>3</v>
      </c>
      <c r="AC3395">
        <v>0</v>
      </c>
      <c r="AD3395">
        <v>9</v>
      </c>
      <c r="AE3395">
        <v>0</v>
      </c>
      <c r="AF3395">
        <v>3</v>
      </c>
      <c r="AG3395">
        <v>1</v>
      </c>
      <c r="AH3395">
        <v>0</v>
      </c>
      <c r="AI3395" t="s">
        <v>1117</v>
      </c>
      <c r="AJ3395">
        <v>34.087958</v>
      </c>
      <c r="AK3395" t="s">
        <v>1118</v>
      </c>
      <c r="AL3395">
        <v>-117.03331900000001</v>
      </c>
      <c r="AM3395">
        <v>100</v>
      </c>
      <c r="AN3395">
        <v>5500</v>
      </c>
      <c r="AO3395" t="s">
        <v>118</v>
      </c>
      <c r="AP3395">
        <v>73</v>
      </c>
      <c r="AQ3395">
        <v>-73</v>
      </c>
      <c r="AR3395">
        <v>-384</v>
      </c>
      <c r="AZ3395">
        <v>1200</v>
      </c>
      <c r="BA3395">
        <v>1</v>
      </c>
      <c r="BB3395" t="str">
        <f t="shared" si="1852"/>
        <v xml:space="preserve">N9217B  </v>
      </c>
      <c r="BC3395">
        <v>1</v>
      </c>
      <c r="BE3395">
        <v>0</v>
      </c>
      <c r="BF3395">
        <v>0</v>
      </c>
      <c r="BG3395">
        <v>0</v>
      </c>
      <c r="BH3395">
        <v>5400</v>
      </c>
      <c r="BI3395">
        <v>1</v>
      </c>
      <c r="BJ3395">
        <v>0</v>
      </c>
      <c r="BK3395">
        <v>0</v>
      </c>
      <c r="BL3395">
        <v>0</v>
      </c>
      <c r="BO3395">
        <v>0</v>
      </c>
      <c r="BP3395">
        <v>0</v>
      </c>
      <c r="BW3395" t="str">
        <f t="shared" si="1884"/>
        <v>14:57:20.449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7</v>
      </c>
      <c r="CP3395" t="s">
        <v>119</v>
      </c>
      <c r="CQ3395">
        <v>285</v>
      </c>
      <c r="CR3395">
        <v>0</v>
      </c>
      <c r="CW3395">
        <v>8878593</v>
      </c>
      <c r="CY3395">
        <v>0</v>
      </c>
      <c r="CZ3395">
        <v>0</v>
      </c>
      <c r="DA3395">
        <v>1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25">
      <c r="A3396" t="str">
        <f t="shared" ref="A3396:A3402" si="1886">"06/05/2020 14:57:15.889"</f>
        <v>06/05/2020 14:57:15.889</v>
      </c>
      <c r="C3396" t="str">
        <f t="shared" si="1870"/>
        <v>FFDFD3C0</v>
      </c>
      <c r="D3396" t="s">
        <v>151</v>
      </c>
      <c r="E3396">
        <v>9</v>
      </c>
      <c r="H3396">
        <v>226</v>
      </c>
      <c r="I3396" t="s">
        <v>152</v>
      </c>
      <c r="J3396" t="s">
        <v>150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ref="S3396:S3402" si="1887">"14:57:21.539"</f>
        <v>14:57:21.539</v>
      </c>
      <c r="T3396" t="str">
        <f t="shared" ref="T3396:T3402" si="1888">"14:57:21.439"</f>
        <v>14:57:21.439</v>
      </c>
      <c r="U3396" t="str">
        <f t="shared" si="1885"/>
        <v>ACC530</v>
      </c>
      <c r="V3396">
        <v>0</v>
      </c>
      <c r="W3396">
        <v>0</v>
      </c>
      <c r="X3396">
        <v>1</v>
      </c>
      <c r="Z3396">
        <v>0</v>
      </c>
      <c r="AA3396">
        <v>9</v>
      </c>
      <c r="AB3396">
        <v>3</v>
      </c>
      <c r="AC3396">
        <v>0</v>
      </c>
      <c r="AD3396">
        <v>9</v>
      </c>
      <c r="AE3396">
        <v>0</v>
      </c>
      <c r="AF3396">
        <v>3</v>
      </c>
      <c r="AG3396">
        <v>1</v>
      </c>
      <c r="AH3396">
        <v>0</v>
      </c>
      <c r="AI3396" t="s">
        <v>1119</v>
      </c>
      <c r="AJ3396">
        <v>34.087594000000003</v>
      </c>
      <c r="AK3396" t="s">
        <v>1120</v>
      </c>
      <c r="AL3396">
        <v>-117.03288999999999</v>
      </c>
      <c r="AM3396">
        <v>100</v>
      </c>
      <c r="AN3396">
        <v>5500</v>
      </c>
      <c r="AO3396" t="s">
        <v>118</v>
      </c>
      <c r="AP3396">
        <v>73</v>
      </c>
      <c r="AQ3396">
        <v>-72</v>
      </c>
      <c r="AR3396">
        <v>-448</v>
      </c>
      <c r="AZ3396">
        <v>1200</v>
      </c>
      <c r="BA3396">
        <v>1</v>
      </c>
      <c r="BB3396" t="str">
        <f t="shared" si="1852"/>
        <v xml:space="preserve">N9217B  </v>
      </c>
      <c r="BC3396">
        <v>1</v>
      </c>
      <c r="BE3396">
        <v>0</v>
      </c>
      <c r="BF3396">
        <v>0</v>
      </c>
      <c r="BG3396">
        <v>0</v>
      </c>
      <c r="BH3396">
        <v>5400</v>
      </c>
      <c r="BI3396">
        <v>1</v>
      </c>
      <c r="BJ3396">
        <v>0</v>
      </c>
      <c r="BK3396">
        <v>0</v>
      </c>
      <c r="BL3396">
        <v>0</v>
      </c>
      <c r="BO3396">
        <v>0</v>
      </c>
      <c r="BP3396">
        <v>0</v>
      </c>
      <c r="BW3396" t="str">
        <f t="shared" ref="BW3396:BW3402" si="1889">"14:57:21.544"</f>
        <v>14:57:21.544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7</v>
      </c>
      <c r="CP3396" t="s">
        <v>119</v>
      </c>
      <c r="CQ3396">
        <v>285</v>
      </c>
      <c r="CR3396">
        <v>0</v>
      </c>
      <c r="CW3396">
        <v>8878691</v>
      </c>
      <c r="CY3396">
        <v>0</v>
      </c>
      <c r="CZ3396">
        <v>0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25">
      <c r="A3397" t="str">
        <f t="shared" si="1886"/>
        <v>06/05/2020 14:57:15.889</v>
      </c>
      <c r="C3397" t="str">
        <f t="shared" si="1870"/>
        <v>FFDFD3C0</v>
      </c>
      <c r="D3397" t="s">
        <v>113</v>
      </c>
      <c r="E3397">
        <v>3</v>
      </c>
      <c r="H3397">
        <v>166</v>
      </c>
      <c r="I3397" t="s">
        <v>114</v>
      </c>
      <c r="J3397" t="s">
        <v>115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887"/>
        <v>14:57:21.539</v>
      </c>
      <c r="T3397" t="str">
        <f t="shared" si="1888"/>
        <v>14:57:21.439</v>
      </c>
      <c r="U3397" t="str">
        <f t="shared" si="1885"/>
        <v>ACC530</v>
      </c>
      <c r="V3397">
        <v>0</v>
      </c>
      <c r="W3397">
        <v>0</v>
      </c>
      <c r="X3397">
        <v>1</v>
      </c>
      <c r="Z3397">
        <v>0</v>
      </c>
      <c r="AA3397">
        <v>9</v>
      </c>
      <c r="AB3397">
        <v>3</v>
      </c>
      <c r="AC3397">
        <v>0</v>
      </c>
      <c r="AD3397">
        <v>9</v>
      </c>
      <c r="AE3397">
        <v>0</v>
      </c>
      <c r="AF3397">
        <v>3</v>
      </c>
      <c r="AG3397">
        <v>1</v>
      </c>
      <c r="AH3397">
        <v>0</v>
      </c>
      <c r="AI3397" t="s">
        <v>1119</v>
      </c>
      <c r="AJ3397">
        <v>34.087594000000003</v>
      </c>
      <c r="AK3397" t="s">
        <v>1120</v>
      </c>
      <c r="AL3397">
        <v>-117.03288999999999</v>
      </c>
      <c r="AM3397">
        <v>100</v>
      </c>
      <c r="AN3397">
        <v>5500</v>
      </c>
      <c r="AO3397" t="s">
        <v>118</v>
      </c>
      <c r="AP3397">
        <v>73</v>
      </c>
      <c r="AQ3397">
        <v>-72</v>
      </c>
      <c r="AR3397">
        <v>-448</v>
      </c>
      <c r="AZ3397">
        <v>1200</v>
      </c>
      <c r="BA3397">
        <v>1</v>
      </c>
      <c r="BB3397" t="str">
        <f t="shared" ref="BB3397:BB3460" si="1890">"N9217B  "</f>
        <v xml:space="preserve">N9217B  </v>
      </c>
      <c r="BC3397">
        <v>1</v>
      </c>
      <c r="BE3397">
        <v>0</v>
      </c>
      <c r="BF3397">
        <v>0</v>
      </c>
      <c r="BG3397">
        <v>0</v>
      </c>
      <c r="BH3397">
        <v>5400</v>
      </c>
      <c r="BI3397">
        <v>1</v>
      </c>
      <c r="BJ3397">
        <v>0</v>
      </c>
      <c r="BK3397">
        <v>0</v>
      </c>
      <c r="BL3397">
        <v>0</v>
      </c>
      <c r="BO3397">
        <v>0</v>
      </c>
      <c r="BP3397">
        <v>0</v>
      </c>
      <c r="BW3397" t="str">
        <f t="shared" si="1889"/>
        <v>14:57:21.544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7</v>
      </c>
      <c r="CP3397" t="s">
        <v>119</v>
      </c>
      <c r="CQ3397">
        <v>285</v>
      </c>
      <c r="CR3397">
        <v>0</v>
      </c>
      <c r="CW3397">
        <v>8878691</v>
      </c>
      <c r="CY3397">
        <v>0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25">
      <c r="A3398" t="str">
        <f t="shared" si="1886"/>
        <v>06/05/2020 14:57:15.889</v>
      </c>
      <c r="C3398" t="str">
        <f t="shared" si="1870"/>
        <v>FFDFD3C0</v>
      </c>
      <c r="D3398" t="s">
        <v>134</v>
      </c>
      <c r="E3398">
        <v>7</v>
      </c>
      <c r="F3398">
        <v>2007</v>
      </c>
      <c r="G3398" t="s">
        <v>135</v>
      </c>
      <c r="J3398" t="s">
        <v>136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887"/>
        <v>14:57:21.539</v>
      </c>
      <c r="T3398" t="str">
        <f t="shared" si="1888"/>
        <v>14:57:21.439</v>
      </c>
      <c r="U3398" t="str">
        <f t="shared" si="1885"/>
        <v>ACC530</v>
      </c>
      <c r="V3398">
        <v>0</v>
      </c>
      <c r="W3398">
        <v>0</v>
      </c>
      <c r="X3398">
        <v>1</v>
      </c>
      <c r="Z3398">
        <v>0</v>
      </c>
      <c r="AA3398">
        <v>9</v>
      </c>
      <c r="AB3398">
        <v>3</v>
      </c>
      <c r="AC3398">
        <v>0</v>
      </c>
      <c r="AD3398">
        <v>9</v>
      </c>
      <c r="AE3398">
        <v>0</v>
      </c>
      <c r="AF3398">
        <v>3</v>
      </c>
      <c r="AG3398">
        <v>1</v>
      </c>
      <c r="AH3398">
        <v>0</v>
      </c>
      <c r="AI3398" t="s">
        <v>1119</v>
      </c>
      <c r="AJ3398">
        <v>34.087594000000003</v>
      </c>
      <c r="AK3398" t="s">
        <v>1120</v>
      </c>
      <c r="AL3398">
        <v>-117.03288999999999</v>
      </c>
      <c r="AM3398">
        <v>100</v>
      </c>
      <c r="AN3398">
        <v>5500</v>
      </c>
      <c r="AO3398" t="s">
        <v>118</v>
      </c>
      <c r="AP3398">
        <v>73</v>
      </c>
      <c r="AQ3398">
        <v>-72</v>
      </c>
      <c r="AR3398">
        <v>-448</v>
      </c>
      <c r="AZ3398">
        <v>1200</v>
      </c>
      <c r="BA3398">
        <v>1</v>
      </c>
      <c r="BB3398" t="str">
        <f t="shared" si="1890"/>
        <v xml:space="preserve">N9217B  </v>
      </c>
      <c r="BC3398">
        <v>1</v>
      </c>
      <c r="BE3398">
        <v>0</v>
      </c>
      <c r="BF3398">
        <v>0</v>
      </c>
      <c r="BG3398">
        <v>0</v>
      </c>
      <c r="BH3398">
        <v>5400</v>
      </c>
      <c r="BI3398">
        <v>1</v>
      </c>
      <c r="BJ3398">
        <v>0</v>
      </c>
      <c r="BK3398">
        <v>0</v>
      </c>
      <c r="BL3398">
        <v>0</v>
      </c>
      <c r="BO3398">
        <v>0</v>
      </c>
      <c r="BP3398">
        <v>0</v>
      </c>
      <c r="BW3398" t="str">
        <f t="shared" si="1889"/>
        <v>14:57:21.544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7</v>
      </c>
      <c r="CP3398" t="s">
        <v>119</v>
      </c>
      <c r="CQ3398">
        <v>285</v>
      </c>
      <c r="CR3398">
        <v>0</v>
      </c>
      <c r="CW3398">
        <v>8878691</v>
      </c>
      <c r="CY3398">
        <v>0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25">
      <c r="A3399" t="str">
        <f t="shared" si="1886"/>
        <v>06/05/2020 14:57:15.889</v>
      </c>
      <c r="C3399" t="str">
        <f t="shared" si="1870"/>
        <v>FFDFD3C0</v>
      </c>
      <c r="D3399" t="s">
        <v>148</v>
      </c>
      <c r="E3399">
        <v>11</v>
      </c>
      <c r="H3399">
        <v>53</v>
      </c>
      <c r="I3399" t="s">
        <v>364</v>
      </c>
      <c r="J3399" t="s">
        <v>150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887"/>
        <v>14:57:21.539</v>
      </c>
      <c r="T3399" t="str">
        <f t="shared" si="1888"/>
        <v>14:57:21.439</v>
      </c>
      <c r="U3399" t="str">
        <f t="shared" si="1885"/>
        <v>ACC530</v>
      </c>
      <c r="V3399">
        <v>0</v>
      </c>
      <c r="W3399">
        <v>0</v>
      </c>
      <c r="X3399">
        <v>1</v>
      </c>
      <c r="Z3399">
        <v>0</v>
      </c>
      <c r="AA3399">
        <v>9</v>
      </c>
      <c r="AB3399">
        <v>3</v>
      </c>
      <c r="AC3399">
        <v>0</v>
      </c>
      <c r="AD3399">
        <v>9</v>
      </c>
      <c r="AE3399">
        <v>0</v>
      </c>
      <c r="AF3399">
        <v>3</v>
      </c>
      <c r="AG3399">
        <v>1</v>
      </c>
      <c r="AH3399">
        <v>0</v>
      </c>
      <c r="AI3399" t="s">
        <v>1119</v>
      </c>
      <c r="AJ3399">
        <v>34.087594000000003</v>
      </c>
      <c r="AK3399" t="s">
        <v>1120</v>
      </c>
      <c r="AL3399">
        <v>-117.03288999999999</v>
      </c>
      <c r="AM3399">
        <v>100</v>
      </c>
      <c r="AN3399">
        <v>5500</v>
      </c>
      <c r="AO3399" t="s">
        <v>118</v>
      </c>
      <c r="AP3399">
        <v>73</v>
      </c>
      <c r="AQ3399">
        <v>-72</v>
      </c>
      <c r="AR3399">
        <v>-448</v>
      </c>
      <c r="AZ3399">
        <v>1200</v>
      </c>
      <c r="BA3399">
        <v>1</v>
      </c>
      <c r="BB3399" t="str">
        <f t="shared" si="1890"/>
        <v xml:space="preserve">N9217B  </v>
      </c>
      <c r="BC3399">
        <v>1</v>
      </c>
      <c r="BE3399">
        <v>0</v>
      </c>
      <c r="BF3399">
        <v>0</v>
      </c>
      <c r="BG3399">
        <v>0</v>
      </c>
      <c r="BH3399">
        <v>5400</v>
      </c>
      <c r="BI3399">
        <v>1</v>
      </c>
      <c r="BJ3399">
        <v>0</v>
      </c>
      <c r="BK3399">
        <v>0</v>
      </c>
      <c r="BL3399">
        <v>0</v>
      </c>
      <c r="BO3399">
        <v>0</v>
      </c>
      <c r="BP3399">
        <v>0</v>
      </c>
      <c r="BW3399" t="str">
        <f t="shared" si="1889"/>
        <v>14:57:21.544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7</v>
      </c>
      <c r="CP3399" t="s">
        <v>119</v>
      </c>
      <c r="CQ3399">
        <v>285</v>
      </c>
      <c r="CR3399">
        <v>0</v>
      </c>
      <c r="CW3399">
        <v>8878691</v>
      </c>
      <c r="CY3399">
        <v>0</v>
      </c>
      <c r="CZ3399">
        <v>0</v>
      </c>
      <c r="DA3399">
        <v>1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25">
      <c r="A3400" t="str">
        <f t="shared" si="1886"/>
        <v>06/05/2020 14:57:15.889</v>
      </c>
      <c r="C3400" t="str">
        <f t="shared" si="1870"/>
        <v>FFDFD3C0</v>
      </c>
      <c r="D3400" t="s">
        <v>141</v>
      </c>
      <c r="E3400">
        <v>20</v>
      </c>
      <c r="F3400">
        <v>1020</v>
      </c>
      <c r="G3400" t="s">
        <v>114</v>
      </c>
      <c r="J3400" t="s">
        <v>142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887"/>
        <v>14:57:21.539</v>
      </c>
      <c r="T3400" t="str">
        <f t="shared" si="1888"/>
        <v>14:57:21.439</v>
      </c>
      <c r="U3400" t="str">
        <f t="shared" si="1885"/>
        <v>ACC530</v>
      </c>
      <c r="V3400">
        <v>0</v>
      </c>
      <c r="W3400">
        <v>0</v>
      </c>
      <c r="X3400">
        <v>1</v>
      </c>
      <c r="Z3400">
        <v>0</v>
      </c>
      <c r="AA3400">
        <v>9</v>
      </c>
      <c r="AB3400">
        <v>3</v>
      </c>
      <c r="AC3400">
        <v>0</v>
      </c>
      <c r="AD3400">
        <v>9</v>
      </c>
      <c r="AE3400">
        <v>0</v>
      </c>
      <c r="AF3400">
        <v>3</v>
      </c>
      <c r="AG3400">
        <v>1</v>
      </c>
      <c r="AH3400">
        <v>0</v>
      </c>
      <c r="AI3400" t="s">
        <v>1119</v>
      </c>
      <c r="AJ3400">
        <v>34.087594000000003</v>
      </c>
      <c r="AK3400" t="s">
        <v>1120</v>
      </c>
      <c r="AL3400">
        <v>-117.03288999999999</v>
      </c>
      <c r="AM3400">
        <v>100</v>
      </c>
      <c r="AN3400">
        <v>5500</v>
      </c>
      <c r="AO3400" t="s">
        <v>118</v>
      </c>
      <c r="AP3400">
        <v>73</v>
      </c>
      <c r="AQ3400">
        <v>-72</v>
      </c>
      <c r="AR3400">
        <v>-448</v>
      </c>
      <c r="AZ3400">
        <v>1200</v>
      </c>
      <c r="BA3400">
        <v>1</v>
      </c>
      <c r="BB3400" t="str">
        <f t="shared" si="1890"/>
        <v xml:space="preserve">N9217B  </v>
      </c>
      <c r="BC3400">
        <v>1</v>
      </c>
      <c r="BE3400">
        <v>0</v>
      </c>
      <c r="BF3400">
        <v>0</v>
      </c>
      <c r="BG3400">
        <v>0</v>
      </c>
      <c r="BH3400">
        <v>5400</v>
      </c>
      <c r="BI3400">
        <v>1</v>
      </c>
      <c r="BJ3400">
        <v>0</v>
      </c>
      <c r="BK3400">
        <v>0</v>
      </c>
      <c r="BL3400">
        <v>0</v>
      </c>
      <c r="BO3400">
        <v>0</v>
      </c>
      <c r="BP3400">
        <v>0</v>
      </c>
      <c r="BW3400" t="str">
        <f t="shared" si="1889"/>
        <v>14:57:21.544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7</v>
      </c>
      <c r="CP3400" t="s">
        <v>119</v>
      </c>
      <c r="CQ3400">
        <v>285</v>
      </c>
      <c r="CR3400">
        <v>0</v>
      </c>
      <c r="CW3400">
        <v>8878691</v>
      </c>
      <c r="CY3400">
        <v>0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25">
      <c r="A3401" t="str">
        <f t="shared" si="1886"/>
        <v>06/05/2020 14:57:15.889</v>
      </c>
      <c r="C3401" t="str">
        <f t="shared" si="1870"/>
        <v>FFDFD3C0</v>
      </c>
      <c r="D3401" t="s">
        <v>148</v>
      </c>
      <c r="E3401">
        <v>8</v>
      </c>
      <c r="H3401">
        <v>50</v>
      </c>
      <c r="I3401" t="s">
        <v>149</v>
      </c>
      <c r="J3401" t="s">
        <v>150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887"/>
        <v>14:57:21.539</v>
      </c>
      <c r="T3401" t="str">
        <f t="shared" si="1888"/>
        <v>14:57:21.439</v>
      </c>
      <c r="U3401" t="str">
        <f t="shared" si="1885"/>
        <v>ACC530</v>
      </c>
      <c r="V3401">
        <v>0</v>
      </c>
      <c r="W3401">
        <v>0</v>
      </c>
      <c r="X3401">
        <v>1</v>
      </c>
      <c r="Z3401">
        <v>0</v>
      </c>
      <c r="AA3401">
        <v>9</v>
      </c>
      <c r="AB3401">
        <v>3</v>
      </c>
      <c r="AC3401">
        <v>0</v>
      </c>
      <c r="AD3401">
        <v>9</v>
      </c>
      <c r="AE3401">
        <v>0</v>
      </c>
      <c r="AF3401">
        <v>3</v>
      </c>
      <c r="AG3401">
        <v>1</v>
      </c>
      <c r="AH3401">
        <v>0</v>
      </c>
      <c r="AI3401" t="s">
        <v>1119</v>
      </c>
      <c r="AJ3401">
        <v>34.087594000000003</v>
      </c>
      <c r="AK3401" t="s">
        <v>1120</v>
      </c>
      <c r="AL3401">
        <v>-117.03288999999999</v>
      </c>
      <c r="AM3401">
        <v>100</v>
      </c>
      <c r="AN3401">
        <v>5500</v>
      </c>
      <c r="AO3401" t="s">
        <v>118</v>
      </c>
      <c r="AP3401">
        <v>73</v>
      </c>
      <c r="AQ3401">
        <v>-72</v>
      </c>
      <c r="AR3401">
        <v>-448</v>
      </c>
      <c r="AZ3401">
        <v>1200</v>
      </c>
      <c r="BA3401">
        <v>1</v>
      </c>
      <c r="BB3401" t="str">
        <f t="shared" si="1890"/>
        <v xml:space="preserve">N9217B  </v>
      </c>
      <c r="BC3401">
        <v>1</v>
      </c>
      <c r="BE3401">
        <v>0</v>
      </c>
      <c r="BF3401">
        <v>0</v>
      </c>
      <c r="BG3401">
        <v>0</v>
      </c>
      <c r="BH3401">
        <v>5400</v>
      </c>
      <c r="BI3401">
        <v>1</v>
      </c>
      <c r="BJ3401">
        <v>0</v>
      </c>
      <c r="BK3401">
        <v>0</v>
      </c>
      <c r="BL3401">
        <v>0</v>
      </c>
      <c r="BO3401">
        <v>0</v>
      </c>
      <c r="BP3401">
        <v>0</v>
      </c>
      <c r="BW3401" t="str">
        <f t="shared" si="1889"/>
        <v>14:57:21.544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7</v>
      </c>
      <c r="CP3401" t="s">
        <v>119</v>
      </c>
      <c r="CQ3401">
        <v>285</v>
      </c>
      <c r="CR3401">
        <v>0</v>
      </c>
      <c r="CW3401">
        <v>8878691</v>
      </c>
      <c r="CY3401">
        <v>0</v>
      </c>
      <c r="CZ3401">
        <v>0</v>
      </c>
      <c r="DA3401">
        <v>1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25">
      <c r="A3402" t="str">
        <f t="shared" si="1886"/>
        <v>06/05/2020 14:57:15.889</v>
      </c>
      <c r="C3402" t="str">
        <f t="shared" si="1870"/>
        <v>FFDFD3C0</v>
      </c>
      <c r="D3402" t="s">
        <v>151</v>
      </c>
      <c r="E3402">
        <v>8</v>
      </c>
      <c r="H3402">
        <v>225</v>
      </c>
      <c r="I3402" t="s">
        <v>353</v>
      </c>
      <c r="J3402" t="s">
        <v>150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si="1887"/>
        <v>14:57:21.539</v>
      </c>
      <c r="T3402" t="str">
        <f t="shared" si="1888"/>
        <v>14:57:21.439</v>
      </c>
      <c r="U3402" t="str">
        <f t="shared" si="1885"/>
        <v>ACC530</v>
      </c>
      <c r="V3402">
        <v>0</v>
      </c>
      <c r="W3402">
        <v>0</v>
      </c>
      <c r="X3402">
        <v>1</v>
      </c>
      <c r="Z3402">
        <v>0</v>
      </c>
      <c r="AA3402">
        <v>9</v>
      </c>
      <c r="AB3402">
        <v>3</v>
      </c>
      <c r="AC3402">
        <v>0</v>
      </c>
      <c r="AD3402">
        <v>9</v>
      </c>
      <c r="AE3402">
        <v>0</v>
      </c>
      <c r="AF3402">
        <v>3</v>
      </c>
      <c r="AG3402">
        <v>1</v>
      </c>
      <c r="AH3402">
        <v>0</v>
      </c>
      <c r="AI3402" t="s">
        <v>1119</v>
      </c>
      <c r="AJ3402">
        <v>34.087594000000003</v>
      </c>
      <c r="AK3402" t="s">
        <v>1120</v>
      </c>
      <c r="AL3402">
        <v>-117.03288999999999</v>
      </c>
      <c r="AM3402">
        <v>100</v>
      </c>
      <c r="AN3402">
        <v>5500</v>
      </c>
      <c r="AO3402" t="s">
        <v>118</v>
      </c>
      <c r="AP3402">
        <v>73</v>
      </c>
      <c r="AQ3402">
        <v>-72</v>
      </c>
      <c r="AR3402">
        <v>-448</v>
      </c>
      <c r="AZ3402">
        <v>1200</v>
      </c>
      <c r="BA3402">
        <v>1</v>
      </c>
      <c r="BB3402" t="str">
        <f t="shared" si="1890"/>
        <v xml:space="preserve">N9217B  </v>
      </c>
      <c r="BC3402">
        <v>1</v>
      </c>
      <c r="BE3402">
        <v>0</v>
      </c>
      <c r="BF3402">
        <v>0</v>
      </c>
      <c r="BG3402">
        <v>0</v>
      </c>
      <c r="BH3402">
        <v>5400</v>
      </c>
      <c r="BI3402">
        <v>1</v>
      </c>
      <c r="BJ3402">
        <v>0</v>
      </c>
      <c r="BK3402">
        <v>0</v>
      </c>
      <c r="BL3402">
        <v>0</v>
      </c>
      <c r="BO3402">
        <v>0</v>
      </c>
      <c r="BP3402">
        <v>0</v>
      </c>
      <c r="BW3402" t="str">
        <f t="shared" si="1889"/>
        <v>14:57:21.544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7</v>
      </c>
      <c r="CP3402" t="s">
        <v>119</v>
      </c>
      <c r="CQ3402">
        <v>285</v>
      </c>
      <c r="CR3402">
        <v>0</v>
      </c>
      <c r="CW3402">
        <v>8878691</v>
      </c>
      <c r="CY3402">
        <v>0</v>
      </c>
      <c r="CZ3402">
        <v>0</v>
      </c>
      <c r="DA3402">
        <v>1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25">
      <c r="A3403" t="str">
        <f t="shared" ref="A3403:A3409" si="1891">"06/05/2020 14:57:16.899"</f>
        <v>06/05/2020 14:57:16.899</v>
      </c>
      <c r="C3403" t="str">
        <f t="shared" si="1870"/>
        <v>FFDFD3C0</v>
      </c>
      <c r="D3403" t="s">
        <v>134</v>
      </c>
      <c r="E3403">
        <v>7</v>
      </c>
      <c r="F3403">
        <v>2007</v>
      </c>
      <c r="G3403" t="s">
        <v>135</v>
      </c>
      <c r="J3403" t="s">
        <v>136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ref="S3403:S3409" si="1892">"14:57:22.516"</f>
        <v>14:57:22.516</v>
      </c>
      <c r="T3403" t="str">
        <f t="shared" ref="T3403:T3409" si="1893">"14:57:22.416"</f>
        <v>14:57:22.416</v>
      </c>
      <c r="U3403" t="str">
        <f t="shared" si="1885"/>
        <v>ACC530</v>
      </c>
      <c r="V3403">
        <v>0</v>
      </c>
      <c r="W3403">
        <v>0</v>
      </c>
      <c r="X3403">
        <v>1</v>
      </c>
      <c r="Z3403">
        <v>0</v>
      </c>
      <c r="AA3403">
        <v>9</v>
      </c>
      <c r="AB3403">
        <v>3</v>
      </c>
      <c r="AC3403">
        <v>0</v>
      </c>
      <c r="AD3403">
        <v>9</v>
      </c>
      <c r="AE3403">
        <v>0</v>
      </c>
      <c r="AF3403">
        <v>3</v>
      </c>
      <c r="AG3403">
        <v>1</v>
      </c>
      <c r="AH3403">
        <v>0</v>
      </c>
      <c r="AI3403" t="s">
        <v>1121</v>
      </c>
      <c r="AJ3403">
        <v>34.087271999999999</v>
      </c>
      <c r="AK3403" t="s">
        <v>1122</v>
      </c>
      <c r="AL3403">
        <v>-117.032483</v>
      </c>
      <c r="AM3403">
        <v>100</v>
      </c>
      <c r="AN3403">
        <v>5500</v>
      </c>
      <c r="AO3403" t="s">
        <v>118</v>
      </c>
      <c r="AP3403">
        <v>74</v>
      </c>
      <c r="AQ3403">
        <v>-72</v>
      </c>
      <c r="AR3403">
        <v>-448</v>
      </c>
      <c r="AZ3403">
        <v>1200</v>
      </c>
      <c r="BA3403">
        <v>1</v>
      </c>
      <c r="BB3403" t="str">
        <f t="shared" si="1890"/>
        <v xml:space="preserve">N9217B  </v>
      </c>
      <c r="BC3403">
        <v>1</v>
      </c>
      <c r="BE3403">
        <v>0</v>
      </c>
      <c r="BF3403">
        <v>0</v>
      </c>
      <c r="BG3403">
        <v>0</v>
      </c>
      <c r="BH3403">
        <v>5375</v>
      </c>
      <c r="BI3403">
        <v>1</v>
      </c>
      <c r="BJ3403">
        <v>0</v>
      </c>
      <c r="BK3403">
        <v>0</v>
      </c>
      <c r="BL3403">
        <v>0</v>
      </c>
      <c r="BO3403">
        <v>0</v>
      </c>
      <c r="BP3403">
        <v>0</v>
      </c>
      <c r="BW3403" t="str">
        <f t="shared" ref="BW3403:BW3409" si="1894">"14:57:22.519"</f>
        <v>14:57:22.519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7</v>
      </c>
      <c r="CP3403" t="s">
        <v>119</v>
      </c>
      <c r="CQ3403">
        <v>285</v>
      </c>
      <c r="CR3403">
        <v>0</v>
      </c>
      <c r="CW3403">
        <v>8878767</v>
      </c>
      <c r="CY3403">
        <v>0</v>
      </c>
      <c r="CZ3403">
        <v>0</v>
      </c>
      <c r="DA3403">
        <v>0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25">
      <c r="A3404" t="str">
        <f t="shared" si="1891"/>
        <v>06/05/2020 14:57:16.899</v>
      </c>
      <c r="C3404" t="str">
        <f t="shared" si="1870"/>
        <v>FFDFD3C0</v>
      </c>
      <c r="D3404" t="s">
        <v>113</v>
      </c>
      <c r="E3404">
        <v>3</v>
      </c>
      <c r="H3404">
        <v>166</v>
      </c>
      <c r="I3404" t="s">
        <v>114</v>
      </c>
      <c r="J3404" t="s">
        <v>115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892"/>
        <v>14:57:22.516</v>
      </c>
      <c r="T3404" t="str">
        <f t="shared" si="1893"/>
        <v>14:57:22.416</v>
      </c>
      <c r="U3404" t="str">
        <f t="shared" si="1885"/>
        <v>ACC530</v>
      </c>
      <c r="V3404">
        <v>0</v>
      </c>
      <c r="W3404">
        <v>0</v>
      </c>
      <c r="X3404">
        <v>1</v>
      </c>
      <c r="Z3404">
        <v>0</v>
      </c>
      <c r="AA3404">
        <v>9</v>
      </c>
      <c r="AB3404">
        <v>3</v>
      </c>
      <c r="AC3404">
        <v>0</v>
      </c>
      <c r="AD3404">
        <v>9</v>
      </c>
      <c r="AE3404">
        <v>0</v>
      </c>
      <c r="AF3404">
        <v>3</v>
      </c>
      <c r="AG3404">
        <v>1</v>
      </c>
      <c r="AH3404">
        <v>0</v>
      </c>
      <c r="AI3404" t="s">
        <v>1121</v>
      </c>
      <c r="AJ3404">
        <v>34.087271999999999</v>
      </c>
      <c r="AK3404" t="s">
        <v>1122</v>
      </c>
      <c r="AL3404">
        <v>-117.032483</v>
      </c>
      <c r="AM3404">
        <v>100</v>
      </c>
      <c r="AN3404">
        <v>5500</v>
      </c>
      <c r="AO3404" t="s">
        <v>118</v>
      </c>
      <c r="AP3404">
        <v>74</v>
      </c>
      <c r="AQ3404">
        <v>-72</v>
      </c>
      <c r="AR3404">
        <v>-448</v>
      </c>
      <c r="AZ3404">
        <v>1200</v>
      </c>
      <c r="BA3404">
        <v>1</v>
      </c>
      <c r="BB3404" t="str">
        <f t="shared" si="1890"/>
        <v xml:space="preserve">N9217B  </v>
      </c>
      <c r="BC3404">
        <v>1</v>
      </c>
      <c r="BE3404">
        <v>0</v>
      </c>
      <c r="BF3404">
        <v>0</v>
      </c>
      <c r="BG3404">
        <v>0</v>
      </c>
      <c r="BH3404">
        <v>5375</v>
      </c>
      <c r="BI3404">
        <v>1</v>
      </c>
      <c r="BJ3404">
        <v>0</v>
      </c>
      <c r="BK3404">
        <v>0</v>
      </c>
      <c r="BL3404">
        <v>0</v>
      </c>
      <c r="BO3404">
        <v>0</v>
      </c>
      <c r="BP3404">
        <v>0</v>
      </c>
      <c r="BW3404" t="str">
        <f t="shared" si="1894"/>
        <v>14:57:22.519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7</v>
      </c>
      <c r="CP3404" t="s">
        <v>119</v>
      </c>
      <c r="CQ3404">
        <v>285</v>
      </c>
      <c r="CR3404">
        <v>0</v>
      </c>
      <c r="CW3404">
        <v>8878767</v>
      </c>
      <c r="CY3404">
        <v>0</v>
      </c>
      <c r="CZ3404">
        <v>0</v>
      </c>
      <c r="DA3404">
        <v>1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25">
      <c r="A3405" t="str">
        <f t="shared" si="1891"/>
        <v>06/05/2020 14:57:16.899</v>
      </c>
      <c r="C3405" t="str">
        <f t="shared" si="1870"/>
        <v>FFDFD3C0</v>
      </c>
      <c r="D3405" t="s">
        <v>151</v>
      </c>
      <c r="E3405">
        <v>9</v>
      </c>
      <c r="H3405">
        <v>226</v>
      </c>
      <c r="I3405" t="s">
        <v>152</v>
      </c>
      <c r="J3405" t="s">
        <v>150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si="1892"/>
        <v>14:57:22.516</v>
      </c>
      <c r="T3405" t="str">
        <f t="shared" si="1893"/>
        <v>14:57:22.416</v>
      </c>
      <c r="U3405" t="str">
        <f t="shared" si="1885"/>
        <v>ACC530</v>
      </c>
      <c r="V3405">
        <v>0</v>
      </c>
      <c r="W3405">
        <v>0</v>
      </c>
      <c r="X3405">
        <v>1</v>
      </c>
      <c r="Z3405">
        <v>0</v>
      </c>
      <c r="AA3405">
        <v>9</v>
      </c>
      <c r="AB3405">
        <v>3</v>
      </c>
      <c r="AC3405">
        <v>0</v>
      </c>
      <c r="AD3405">
        <v>9</v>
      </c>
      <c r="AE3405">
        <v>0</v>
      </c>
      <c r="AF3405">
        <v>3</v>
      </c>
      <c r="AG3405">
        <v>1</v>
      </c>
      <c r="AH3405">
        <v>0</v>
      </c>
      <c r="AI3405" t="s">
        <v>1121</v>
      </c>
      <c r="AJ3405">
        <v>34.087271999999999</v>
      </c>
      <c r="AK3405" t="s">
        <v>1122</v>
      </c>
      <c r="AL3405">
        <v>-117.032483</v>
      </c>
      <c r="AM3405">
        <v>100</v>
      </c>
      <c r="AN3405">
        <v>5500</v>
      </c>
      <c r="AO3405" t="s">
        <v>118</v>
      </c>
      <c r="AP3405">
        <v>74</v>
      </c>
      <c r="AQ3405">
        <v>-72</v>
      </c>
      <c r="AR3405">
        <v>-448</v>
      </c>
      <c r="AZ3405">
        <v>1200</v>
      </c>
      <c r="BA3405">
        <v>1</v>
      </c>
      <c r="BB3405" t="str">
        <f t="shared" si="1890"/>
        <v xml:space="preserve">N9217B  </v>
      </c>
      <c r="BC3405">
        <v>1</v>
      </c>
      <c r="BE3405">
        <v>0</v>
      </c>
      <c r="BF3405">
        <v>0</v>
      </c>
      <c r="BG3405">
        <v>0</v>
      </c>
      <c r="BH3405">
        <v>5375</v>
      </c>
      <c r="BI3405">
        <v>1</v>
      </c>
      <c r="BJ3405">
        <v>0</v>
      </c>
      <c r="BK3405">
        <v>0</v>
      </c>
      <c r="BL3405">
        <v>0</v>
      </c>
      <c r="BO3405">
        <v>0</v>
      </c>
      <c r="BP3405">
        <v>0</v>
      </c>
      <c r="BW3405" t="str">
        <f t="shared" si="1894"/>
        <v>14:57:22.519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7</v>
      </c>
      <c r="CP3405" t="s">
        <v>119</v>
      </c>
      <c r="CQ3405">
        <v>285</v>
      </c>
      <c r="CR3405">
        <v>0</v>
      </c>
      <c r="CW3405">
        <v>8878767</v>
      </c>
      <c r="CY3405">
        <v>0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25">
      <c r="A3406" t="str">
        <f t="shared" si="1891"/>
        <v>06/05/2020 14:57:16.899</v>
      </c>
      <c r="C3406" t="str">
        <f t="shared" si="1870"/>
        <v>FFDFD3C0</v>
      </c>
      <c r="D3406" t="s">
        <v>141</v>
      </c>
      <c r="E3406">
        <v>20</v>
      </c>
      <c r="F3406">
        <v>1020</v>
      </c>
      <c r="G3406" t="s">
        <v>114</v>
      </c>
      <c r="J3406" t="s">
        <v>142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si="1892"/>
        <v>14:57:22.516</v>
      </c>
      <c r="T3406" t="str">
        <f t="shared" si="1893"/>
        <v>14:57:22.416</v>
      </c>
      <c r="U3406" t="str">
        <f t="shared" si="1885"/>
        <v>ACC530</v>
      </c>
      <c r="V3406">
        <v>0</v>
      </c>
      <c r="W3406">
        <v>0</v>
      </c>
      <c r="X3406">
        <v>1</v>
      </c>
      <c r="Z3406">
        <v>0</v>
      </c>
      <c r="AA3406">
        <v>9</v>
      </c>
      <c r="AB3406">
        <v>3</v>
      </c>
      <c r="AC3406">
        <v>0</v>
      </c>
      <c r="AD3406">
        <v>9</v>
      </c>
      <c r="AE3406">
        <v>0</v>
      </c>
      <c r="AF3406">
        <v>3</v>
      </c>
      <c r="AG3406">
        <v>1</v>
      </c>
      <c r="AH3406">
        <v>0</v>
      </c>
      <c r="AI3406" t="s">
        <v>1121</v>
      </c>
      <c r="AJ3406">
        <v>34.087271999999999</v>
      </c>
      <c r="AK3406" t="s">
        <v>1122</v>
      </c>
      <c r="AL3406">
        <v>-117.032483</v>
      </c>
      <c r="AM3406">
        <v>100</v>
      </c>
      <c r="AN3406">
        <v>5500</v>
      </c>
      <c r="AO3406" t="s">
        <v>118</v>
      </c>
      <c r="AP3406">
        <v>74</v>
      </c>
      <c r="AQ3406">
        <v>-72</v>
      </c>
      <c r="AR3406">
        <v>-448</v>
      </c>
      <c r="AZ3406">
        <v>1200</v>
      </c>
      <c r="BA3406">
        <v>1</v>
      </c>
      <c r="BB3406" t="str">
        <f t="shared" si="1890"/>
        <v xml:space="preserve">N9217B  </v>
      </c>
      <c r="BC3406">
        <v>1</v>
      </c>
      <c r="BE3406">
        <v>0</v>
      </c>
      <c r="BF3406">
        <v>0</v>
      </c>
      <c r="BG3406">
        <v>0</v>
      </c>
      <c r="BH3406">
        <v>5375</v>
      </c>
      <c r="BI3406">
        <v>1</v>
      </c>
      <c r="BJ3406">
        <v>0</v>
      </c>
      <c r="BK3406">
        <v>0</v>
      </c>
      <c r="BL3406">
        <v>0</v>
      </c>
      <c r="BO3406">
        <v>0</v>
      </c>
      <c r="BP3406">
        <v>0</v>
      </c>
      <c r="BW3406" t="str">
        <f t="shared" si="1894"/>
        <v>14:57:22.519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7</v>
      </c>
      <c r="CP3406" t="s">
        <v>119</v>
      </c>
      <c r="CQ3406">
        <v>285</v>
      </c>
      <c r="CR3406">
        <v>0</v>
      </c>
      <c r="CW3406">
        <v>8878767</v>
      </c>
      <c r="CY3406">
        <v>0</v>
      </c>
      <c r="CZ3406">
        <v>0</v>
      </c>
      <c r="DA3406">
        <v>1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25">
      <c r="A3407" t="str">
        <f t="shared" si="1891"/>
        <v>06/05/2020 14:57:16.899</v>
      </c>
      <c r="C3407" t="str">
        <f t="shared" si="1870"/>
        <v>FFDFD3C0</v>
      </c>
      <c r="D3407" t="s">
        <v>148</v>
      </c>
      <c r="E3407">
        <v>11</v>
      </c>
      <c r="H3407">
        <v>53</v>
      </c>
      <c r="I3407" t="s">
        <v>364</v>
      </c>
      <c r="J3407" t="s">
        <v>150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892"/>
        <v>14:57:22.516</v>
      </c>
      <c r="T3407" t="str">
        <f t="shared" si="1893"/>
        <v>14:57:22.416</v>
      </c>
      <c r="U3407" t="str">
        <f t="shared" si="1885"/>
        <v>ACC530</v>
      </c>
      <c r="V3407">
        <v>0</v>
      </c>
      <c r="W3407">
        <v>0</v>
      </c>
      <c r="X3407">
        <v>1</v>
      </c>
      <c r="Z3407">
        <v>0</v>
      </c>
      <c r="AA3407">
        <v>9</v>
      </c>
      <c r="AB3407">
        <v>3</v>
      </c>
      <c r="AC3407">
        <v>0</v>
      </c>
      <c r="AD3407">
        <v>9</v>
      </c>
      <c r="AE3407">
        <v>0</v>
      </c>
      <c r="AF3407">
        <v>3</v>
      </c>
      <c r="AG3407">
        <v>1</v>
      </c>
      <c r="AH3407">
        <v>0</v>
      </c>
      <c r="AI3407" t="s">
        <v>1121</v>
      </c>
      <c r="AJ3407">
        <v>34.087271999999999</v>
      </c>
      <c r="AK3407" t="s">
        <v>1122</v>
      </c>
      <c r="AL3407">
        <v>-117.032483</v>
      </c>
      <c r="AM3407">
        <v>100</v>
      </c>
      <c r="AN3407">
        <v>5500</v>
      </c>
      <c r="AO3407" t="s">
        <v>118</v>
      </c>
      <c r="AP3407">
        <v>74</v>
      </c>
      <c r="AQ3407">
        <v>-72</v>
      </c>
      <c r="AR3407">
        <v>-448</v>
      </c>
      <c r="AZ3407">
        <v>1200</v>
      </c>
      <c r="BA3407">
        <v>1</v>
      </c>
      <c r="BB3407" t="str">
        <f t="shared" si="1890"/>
        <v xml:space="preserve">N9217B  </v>
      </c>
      <c r="BC3407">
        <v>1</v>
      </c>
      <c r="BE3407">
        <v>0</v>
      </c>
      <c r="BF3407">
        <v>0</v>
      </c>
      <c r="BG3407">
        <v>0</v>
      </c>
      <c r="BH3407">
        <v>5375</v>
      </c>
      <c r="BI3407">
        <v>1</v>
      </c>
      <c r="BJ3407">
        <v>0</v>
      </c>
      <c r="BK3407">
        <v>0</v>
      </c>
      <c r="BL3407">
        <v>0</v>
      </c>
      <c r="BO3407">
        <v>0</v>
      </c>
      <c r="BP3407">
        <v>0</v>
      </c>
      <c r="BW3407" t="str">
        <f t="shared" si="1894"/>
        <v>14:57:22.519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7</v>
      </c>
      <c r="CP3407" t="s">
        <v>119</v>
      </c>
      <c r="CQ3407">
        <v>285</v>
      </c>
      <c r="CR3407">
        <v>0</v>
      </c>
      <c r="CW3407">
        <v>8878767</v>
      </c>
      <c r="CY3407">
        <v>0</v>
      </c>
      <c r="CZ3407">
        <v>0</v>
      </c>
      <c r="DA3407">
        <v>1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25">
      <c r="A3408" t="str">
        <f t="shared" si="1891"/>
        <v>06/05/2020 14:57:16.899</v>
      </c>
      <c r="C3408" t="str">
        <f t="shared" si="1870"/>
        <v>FFDFD3C0</v>
      </c>
      <c r="D3408" t="s">
        <v>148</v>
      </c>
      <c r="E3408">
        <v>8</v>
      </c>
      <c r="H3408">
        <v>50</v>
      </c>
      <c r="I3408" t="s">
        <v>149</v>
      </c>
      <c r="J3408" t="s">
        <v>150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892"/>
        <v>14:57:22.516</v>
      </c>
      <c r="T3408" t="str">
        <f t="shared" si="1893"/>
        <v>14:57:22.416</v>
      </c>
      <c r="U3408" t="str">
        <f t="shared" si="1885"/>
        <v>ACC530</v>
      </c>
      <c r="V3408">
        <v>0</v>
      </c>
      <c r="W3408">
        <v>0</v>
      </c>
      <c r="X3408">
        <v>1</v>
      </c>
      <c r="Z3408">
        <v>0</v>
      </c>
      <c r="AA3408">
        <v>9</v>
      </c>
      <c r="AB3408">
        <v>3</v>
      </c>
      <c r="AC3408">
        <v>0</v>
      </c>
      <c r="AD3408">
        <v>9</v>
      </c>
      <c r="AE3408">
        <v>0</v>
      </c>
      <c r="AF3408">
        <v>3</v>
      </c>
      <c r="AG3408">
        <v>1</v>
      </c>
      <c r="AH3408">
        <v>0</v>
      </c>
      <c r="AI3408" t="s">
        <v>1121</v>
      </c>
      <c r="AJ3408">
        <v>34.087271999999999</v>
      </c>
      <c r="AK3408" t="s">
        <v>1122</v>
      </c>
      <c r="AL3408">
        <v>-117.032483</v>
      </c>
      <c r="AM3408">
        <v>100</v>
      </c>
      <c r="AN3408">
        <v>5500</v>
      </c>
      <c r="AO3408" t="s">
        <v>118</v>
      </c>
      <c r="AP3408">
        <v>74</v>
      </c>
      <c r="AQ3408">
        <v>-72</v>
      </c>
      <c r="AR3408">
        <v>-448</v>
      </c>
      <c r="AZ3408">
        <v>1200</v>
      </c>
      <c r="BA3408">
        <v>1</v>
      </c>
      <c r="BB3408" t="str">
        <f t="shared" si="1890"/>
        <v xml:space="preserve">N9217B  </v>
      </c>
      <c r="BC3408">
        <v>1</v>
      </c>
      <c r="BE3408">
        <v>0</v>
      </c>
      <c r="BF3408">
        <v>0</v>
      </c>
      <c r="BG3408">
        <v>0</v>
      </c>
      <c r="BH3408">
        <v>5375</v>
      </c>
      <c r="BI3408">
        <v>1</v>
      </c>
      <c r="BJ3408">
        <v>0</v>
      </c>
      <c r="BK3408">
        <v>0</v>
      </c>
      <c r="BL3408">
        <v>0</v>
      </c>
      <c r="BO3408">
        <v>0</v>
      </c>
      <c r="BP3408">
        <v>0</v>
      </c>
      <c r="BW3408" t="str">
        <f t="shared" si="1894"/>
        <v>14:57:22.519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7</v>
      </c>
      <c r="CP3408" t="s">
        <v>119</v>
      </c>
      <c r="CQ3408">
        <v>285</v>
      </c>
      <c r="CR3408">
        <v>0</v>
      </c>
      <c r="CW3408">
        <v>8878767</v>
      </c>
      <c r="CY3408">
        <v>0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25">
      <c r="A3409" t="str">
        <f t="shared" si="1891"/>
        <v>06/05/2020 14:57:16.899</v>
      </c>
      <c r="C3409" t="str">
        <f t="shared" si="1870"/>
        <v>FFDFD3C0</v>
      </c>
      <c r="D3409" t="s">
        <v>151</v>
      </c>
      <c r="E3409">
        <v>8</v>
      </c>
      <c r="H3409">
        <v>225</v>
      </c>
      <c r="I3409" t="s">
        <v>353</v>
      </c>
      <c r="J3409" t="s">
        <v>150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892"/>
        <v>14:57:22.516</v>
      </c>
      <c r="T3409" t="str">
        <f t="shared" si="1893"/>
        <v>14:57:22.416</v>
      </c>
      <c r="U3409" t="str">
        <f t="shared" si="1885"/>
        <v>ACC530</v>
      </c>
      <c r="V3409">
        <v>0</v>
      </c>
      <c r="W3409">
        <v>0</v>
      </c>
      <c r="X3409">
        <v>1</v>
      </c>
      <c r="Z3409">
        <v>0</v>
      </c>
      <c r="AA3409">
        <v>9</v>
      </c>
      <c r="AB3409">
        <v>3</v>
      </c>
      <c r="AC3409">
        <v>0</v>
      </c>
      <c r="AD3409">
        <v>9</v>
      </c>
      <c r="AE3409">
        <v>0</v>
      </c>
      <c r="AF3409">
        <v>3</v>
      </c>
      <c r="AG3409">
        <v>1</v>
      </c>
      <c r="AH3409">
        <v>0</v>
      </c>
      <c r="AI3409" t="s">
        <v>1121</v>
      </c>
      <c r="AJ3409">
        <v>34.087271999999999</v>
      </c>
      <c r="AK3409" t="s">
        <v>1122</v>
      </c>
      <c r="AL3409">
        <v>-117.032483</v>
      </c>
      <c r="AM3409">
        <v>100</v>
      </c>
      <c r="AN3409">
        <v>5500</v>
      </c>
      <c r="AO3409" t="s">
        <v>118</v>
      </c>
      <c r="AP3409">
        <v>74</v>
      </c>
      <c r="AQ3409">
        <v>-72</v>
      </c>
      <c r="AR3409">
        <v>-448</v>
      </c>
      <c r="AZ3409">
        <v>1200</v>
      </c>
      <c r="BA3409">
        <v>1</v>
      </c>
      <c r="BB3409" t="str">
        <f t="shared" si="1890"/>
        <v xml:space="preserve">N9217B  </v>
      </c>
      <c r="BC3409">
        <v>1</v>
      </c>
      <c r="BE3409">
        <v>0</v>
      </c>
      <c r="BF3409">
        <v>0</v>
      </c>
      <c r="BG3409">
        <v>0</v>
      </c>
      <c r="BH3409">
        <v>5375</v>
      </c>
      <c r="BI3409">
        <v>1</v>
      </c>
      <c r="BJ3409">
        <v>0</v>
      </c>
      <c r="BK3409">
        <v>0</v>
      </c>
      <c r="BL3409">
        <v>0</v>
      </c>
      <c r="BO3409">
        <v>0</v>
      </c>
      <c r="BP3409">
        <v>0</v>
      </c>
      <c r="BW3409" t="str">
        <f t="shared" si="1894"/>
        <v>14:57:22.519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7</v>
      </c>
      <c r="CP3409" t="s">
        <v>119</v>
      </c>
      <c r="CQ3409">
        <v>285</v>
      </c>
      <c r="CR3409">
        <v>0</v>
      </c>
      <c r="CW3409">
        <v>8878767</v>
      </c>
      <c r="CY3409">
        <v>0</v>
      </c>
      <c r="CZ3409">
        <v>0</v>
      </c>
      <c r="DA3409">
        <v>1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25">
      <c r="A3410" t="str">
        <f t="shared" ref="A3410:A3416" si="1895">"06/05/2020 14:57:17.926"</f>
        <v>06/05/2020 14:57:17.926</v>
      </c>
      <c r="C3410" t="str">
        <f t="shared" si="1870"/>
        <v>FFDFD3C0</v>
      </c>
      <c r="D3410" t="s">
        <v>148</v>
      </c>
      <c r="E3410">
        <v>11</v>
      </c>
      <c r="H3410">
        <v>53</v>
      </c>
      <c r="I3410" t="s">
        <v>364</v>
      </c>
      <c r="J3410" t="s">
        <v>150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ref="S3410:S3416" si="1896">"14:57:23.563"</f>
        <v>14:57:23.563</v>
      </c>
      <c r="T3410" t="str">
        <f t="shared" ref="T3410:T3416" si="1897">"14:57:23.363"</f>
        <v>14:57:23.363</v>
      </c>
      <c r="U3410" t="str">
        <f t="shared" si="1885"/>
        <v>ACC530</v>
      </c>
      <c r="V3410">
        <v>0</v>
      </c>
      <c r="W3410">
        <v>0</v>
      </c>
      <c r="X3410">
        <v>1</v>
      </c>
      <c r="Z3410">
        <v>0</v>
      </c>
      <c r="AA3410">
        <v>9</v>
      </c>
      <c r="AB3410">
        <v>3</v>
      </c>
      <c r="AC3410">
        <v>0</v>
      </c>
      <c r="AD3410">
        <v>9</v>
      </c>
      <c r="AE3410">
        <v>0</v>
      </c>
      <c r="AF3410">
        <v>3</v>
      </c>
      <c r="AG3410">
        <v>1</v>
      </c>
      <c r="AH3410">
        <v>0</v>
      </c>
      <c r="AI3410" t="s">
        <v>1123</v>
      </c>
      <c r="AJ3410">
        <v>34.086906999999997</v>
      </c>
      <c r="AK3410" t="s">
        <v>1124</v>
      </c>
      <c r="AL3410">
        <v>-117.032032</v>
      </c>
      <c r="AM3410">
        <v>100</v>
      </c>
      <c r="AN3410">
        <v>5500</v>
      </c>
      <c r="AO3410" t="s">
        <v>118</v>
      </c>
      <c r="AP3410">
        <v>74</v>
      </c>
      <c r="AQ3410">
        <v>-71</v>
      </c>
      <c r="AR3410">
        <v>-512</v>
      </c>
      <c r="AZ3410">
        <v>1200</v>
      </c>
      <c r="BA3410">
        <v>1</v>
      </c>
      <c r="BB3410" t="str">
        <f t="shared" si="1890"/>
        <v xml:space="preserve">N9217B  </v>
      </c>
      <c r="BC3410">
        <v>1</v>
      </c>
      <c r="BE3410">
        <v>0</v>
      </c>
      <c r="BF3410">
        <v>0</v>
      </c>
      <c r="BG3410">
        <v>0</v>
      </c>
      <c r="BH3410">
        <v>5375</v>
      </c>
      <c r="BI3410">
        <v>1</v>
      </c>
      <c r="BJ3410">
        <v>0</v>
      </c>
      <c r="BK3410">
        <v>0</v>
      </c>
      <c r="BL3410">
        <v>0</v>
      </c>
      <c r="BO3410">
        <v>0</v>
      </c>
      <c r="BP3410">
        <v>0</v>
      </c>
      <c r="BW3410" t="str">
        <f t="shared" ref="BW3410:BW3416" si="1898">"14:57:23.569"</f>
        <v>14:57:23.569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7</v>
      </c>
      <c r="CP3410" t="s">
        <v>119</v>
      </c>
      <c r="CQ3410">
        <v>285</v>
      </c>
      <c r="CR3410">
        <v>0</v>
      </c>
      <c r="CW3410">
        <v>8878865</v>
      </c>
      <c r="CY3410">
        <v>0</v>
      </c>
      <c r="CZ3410">
        <v>0</v>
      </c>
      <c r="DA3410">
        <v>0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25">
      <c r="A3411" t="str">
        <f t="shared" si="1895"/>
        <v>06/05/2020 14:57:17.926</v>
      </c>
      <c r="C3411" t="str">
        <f t="shared" si="1870"/>
        <v>FFDFD3C0</v>
      </c>
      <c r="D3411" t="s">
        <v>151</v>
      </c>
      <c r="E3411">
        <v>8</v>
      </c>
      <c r="H3411">
        <v>225</v>
      </c>
      <c r="I3411" t="s">
        <v>353</v>
      </c>
      <c r="J3411" t="s">
        <v>150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896"/>
        <v>14:57:23.563</v>
      </c>
      <c r="T3411" t="str">
        <f t="shared" si="1897"/>
        <v>14:57:23.363</v>
      </c>
      <c r="U3411" t="str">
        <f t="shared" si="1885"/>
        <v>ACC530</v>
      </c>
      <c r="V3411">
        <v>0</v>
      </c>
      <c r="W3411">
        <v>0</v>
      </c>
      <c r="X3411">
        <v>1</v>
      </c>
      <c r="Z3411">
        <v>0</v>
      </c>
      <c r="AA3411">
        <v>9</v>
      </c>
      <c r="AB3411">
        <v>3</v>
      </c>
      <c r="AC3411">
        <v>0</v>
      </c>
      <c r="AD3411">
        <v>9</v>
      </c>
      <c r="AE3411">
        <v>0</v>
      </c>
      <c r="AF3411">
        <v>3</v>
      </c>
      <c r="AG3411">
        <v>1</v>
      </c>
      <c r="AH3411">
        <v>0</v>
      </c>
      <c r="AI3411" t="s">
        <v>1123</v>
      </c>
      <c r="AJ3411">
        <v>34.086906999999997</v>
      </c>
      <c r="AK3411" t="s">
        <v>1124</v>
      </c>
      <c r="AL3411">
        <v>-117.032032</v>
      </c>
      <c r="AM3411">
        <v>100</v>
      </c>
      <c r="AN3411">
        <v>5500</v>
      </c>
      <c r="AO3411" t="s">
        <v>118</v>
      </c>
      <c r="AP3411">
        <v>74</v>
      </c>
      <c r="AQ3411">
        <v>-71</v>
      </c>
      <c r="AR3411">
        <v>-512</v>
      </c>
      <c r="AZ3411">
        <v>1200</v>
      </c>
      <c r="BA3411">
        <v>1</v>
      </c>
      <c r="BB3411" t="str">
        <f t="shared" si="1890"/>
        <v xml:space="preserve">N9217B  </v>
      </c>
      <c r="BC3411">
        <v>1</v>
      </c>
      <c r="BE3411">
        <v>0</v>
      </c>
      <c r="BF3411">
        <v>0</v>
      </c>
      <c r="BG3411">
        <v>0</v>
      </c>
      <c r="BH3411">
        <v>5375</v>
      </c>
      <c r="BI3411">
        <v>1</v>
      </c>
      <c r="BJ3411">
        <v>0</v>
      </c>
      <c r="BK3411">
        <v>0</v>
      </c>
      <c r="BL3411">
        <v>0</v>
      </c>
      <c r="BO3411">
        <v>0</v>
      </c>
      <c r="BP3411">
        <v>0</v>
      </c>
      <c r="BW3411" t="str">
        <f t="shared" si="1898"/>
        <v>14:57:23.569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7</v>
      </c>
      <c r="CP3411" t="s">
        <v>119</v>
      </c>
      <c r="CQ3411">
        <v>285</v>
      </c>
      <c r="CR3411">
        <v>0</v>
      </c>
      <c r="CW3411">
        <v>8878865</v>
      </c>
      <c r="CY3411">
        <v>0</v>
      </c>
      <c r="CZ3411">
        <v>0</v>
      </c>
      <c r="DA3411">
        <v>1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25">
      <c r="A3412" t="str">
        <f t="shared" si="1895"/>
        <v>06/05/2020 14:57:17.926</v>
      </c>
      <c r="C3412" t="str">
        <f t="shared" si="1870"/>
        <v>FFDFD3C0</v>
      </c>
      <c r="D3412" t="s">
        <v>148</v>
      </c>
      <c r="E3412">
        <v>8</v>
      </c>
      <c r="H3412">
        <v>50</v>
      </c>
      <c r="I3412" t="s">
        <v>149</v>
      </c>
      <c r="J3412" t="s">
        <v>150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896"/>
        <v>14:57:23.563</v>
      </c>
      <c r="T3412" t="str">
        <f t="shared" si="1897"/>
        <v>14:57:23.363</v>
      </c>
      <c r="U3412" t="str">
        <f t="shared" si="1885"/>
        <v>ACC530</v>
      </c>
      <c r="V3412">
        <v>0</v>
      </c>
      <c r="W3412">
        <v>0</v>
      </c>
      <c r="X3412">
        <v>1</v>
      </c>
      <c r="Z3412">
        <v>0</v>
      </c>
      <c r="AA3412">
        <v>9</v>
      </c>
      <c r="AB3412">
        <v>3</v>
      </c>
      <c r="AC3412">
        <v>0</v>
      </c>
      <c r="AD3412">
        <v>9</v>
      </c>
      <c r="AE3412">
        <v>0</v>
      </c>
      <c r="AF3412">
        <v>3</v>
      </c>
      <c r="AG3412">
        <v>1</v>
      </c>
      <c r="AH3412">
        <v>0</v>
      </c>
      <c r="AI3412" t="s">
        <v>1123</v>
      </c>
      <c r="AJ3412">
        <v>34.086906999999997</v>
      </c>
      <c r="AK3412" t="s">
        <v>1124</v>
      </c>
      <c r="AL3412">
        <v>-117.032032</v>
      </c>
      <c r="AM3412">
        <v>100</v>
      </c>
      <c r="AN3412">
        <v>5500</v>
      </c>
      <c r="AO3412" t="s">
        <v>118</v>
      </c>
      <c r="AP3412">
        <v>74</v>
      </c>
      <c r="AQ3412">
        <v>-71</v>
      </c>
      <c r="AR3412">
        <v>-512</v>
      </c>
      <c r="AZ3412">
        <v>1200</v>
      </c>
      <c r="BA3412">
        <v>1</v>
      </c>
      <c r="BB3412" t="str">
        <f t="shared" si="1890"/>
        <v xml:space="preserve">N9217B  </v>
      </c>
      <c r="BC3412">
        <v>1</v>
      </c>
      <c r="BE3412">
        <v>0</v>
      </c>
      <c r="BF3412">
        <v>0</v>
      </c>
      <c r="BG3412">
        <v>0</v>
      </c>
      <c r="BH3412">
        <v>5375</v>
      </c>
      <c r="BI3412">
        <v>1</v>
      </c>
      <c r="BJ3412">
        <v>0</v>
      </c>
      <c r="BK3412">
        <v>0</v>
      </c>
      <c r="BL3412">
        <v>0</v>
      </c>
      <c r="BO3412">
        <v>0</v>
      </c>
      <c r="BP3412">
        <v>0</v>
      </c>
      <c r="BW3412" t="str">
        <f t="shared" si="1898"/>
        <v>14:57:23.569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7</v>
      </c>
      <c r="CP3412" t="s">
        <v>119</v>
      </c>
      <c r="CQ3412">
        <v>285</v>
      </c>
      <c r="CR3412">
        <v>0</v>
      </c>
      <c r="CW3412">
        <v>8878865</v>
      </c>
      <c r="CY3412">
        <v>0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25">
      <c r="A3413" t="str">
        <f t="shared" si="1895"/>
        <v>06/05/2020 14:57:17.926</v>
      </c>
      <c r="C3413" t="str">
        <f t="shared" si="1870"/>
        <v>FFDFD3C0</v>
      </c>
      <c r="D3413" t="s">
        <v>134</v>
      </c>
      <c r="E3413">
        <v>7</v>
      </c>
      <c r="F3413">
        <v>2007</v>
      </c>
      <c r="G3413" t="s">
        <v>135</v>
      </c>
      <c r="J3413" t="s">
        <v>136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si="1896"/>
        <v>14:57:23.563</v>
      </c>
      <c r="T3413" t="str">
        <f t="shared" si="1897"/>
        <v>14:57:23.363</v>
      </c>
      <c r="U3413" t="str">
        <f t="shared" si="1885"/>
        <v>ACC530</v>
      </c>
      <c r="V3413">
        <v>0</v>
      </c>
      <c r="W3413">
        <v>0</v>
      </c>
      <c r="X3413">
        <v>1</v>
      </c>
      <c r="Z3413">
        <v>0</v>
      </c>
      <c r="AA3413">
        <v>9</v>
      </c>
      <c r="AB3413">
        <v>3</v>
      </c>
      <c r="AC3413">
        <v>0</v>
      </c>
      <c r="AD3413">
        <v>9</v>
      </c>
      <c r="AE3413">
        <v>0</v>
      </c>
      <c r="AF3413">
        <v>3</v>
      </c>
      <c r="AG3413">
        <v>1</v>
      </c>
      <c r="AH3413">
        <v>0</v>
      </c>
      <c r="AI3413" t="s">
        <v>1123</v>
      </c>
      <c r="AJ3413">
        <v>34.086906999999997</v>
      </c>
      <c r="AK3413" t="s">
        <v>1124</v>
      </c>
      <c r="AL3413">
        <v>-117.032032</v>
      </c>
      <c r="AM3413">
        <v>100</v>
      </c>
      <c r="AN3413">
        <v>5500</v>
      </c>
      <c r="AO3413" t="s">
        <v>118</v>
      </c>
      <c r="AP3413">
        <v>74</v>
      </c>
      <c r="AQ3413">
        <v>-71</v>
      </c>
      <c r="AR3413">
        <v>-512</v>
      </c>
      <c r="AZ3413">
        <v>1200</v>
      </c>
      <c r="BA3413">
        <v>1</v>
      </c>
      <c r="BB3413" t="str">
        <f t="shared" si="1890"/>
        <v xml:space="preserve">N9217B  </v>
      </c>
      <c r="BC3413">
        <v>1</v>
      </c>
      <c r="BE3413">
        <v>0</v>
      </c>
      <c r="BF3413">
        <v>0</v>
      </c>
      <c r="BG3413">
        <v>0</v>
      </c>
      <c r="BH3413">
        <v>5375</v>
      </c>
      <c r="BI3413">
        <v>1</v>
      </c>
      <c r="BJ3413">
        <v>0</v>
      </c>
      <c r="BK3413">
        <v>0</v>
      </c>
      <c r="BL3413">
        <v>0</v>
      </c>
      <c r="BO3413">
        <v>0</v>
      </c>
      <c r="BP3413">
        <v>0</v>
      </c>
      <c r="BW3413" t="str">
        <f t="shared" si="1898"/>
        <v>14:57:23.569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7</v>
      </c>
      <c r="CP3413" t="s">
        <v>119</v>
      </c>
      <c r="CQ3413">
        <v>285</v>
      </c>
      <c r="CR3413">
        <v>0</v>
      </c>
      <c r="CW3413">
        <v>8878865</v>
      </c>
      <c r="CY3413">
        <v>0</v>
      </c>
      <c r="CZ3413">
        <v>0</v>
      </c>
      <c r="DA3413">
        <v>1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25">
      <c r="A3414" t="str">
        <f t="shared" si="1895"/>
        <v>06/05/2020 14:57:17.926</v>
      </c>
      <c r="C3414" t="str">
        <f t="shared" si="1870"/>
        <v>FFDFD3C0</v>
      </c>
      <c r="D3414" t="s">
        <v>113</v>
      </c>
      <c r="E3414">
        <v>3</v>
      </c>
      <c r="H3414">
        <v>166</v>
      </c>
      <c r="I3414" t="s">
        <v>114</v>
      </c>
      <c r="J3414" t="s">
        <v>115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896"/>
        <v>14:57:23.563</v>
      </c>
      <c r="T3414" t="str">
        <f t="shared" si="1897"/>
        <v>14:57:23.363</v>
      </c>
      <c r="U3414" t="str">
        <f t="shared" si="1885"/>
        <v>ACC530</v>
      </c>
      <c r="V3414">
        <v>0</v>
      </c>
      <c r="W3414">
        <v>0</v>
      </c>
      <c r="X3414">
        <v>1</v>
      </c>
      <c r="Z3414">
        <v>0</v>
      </c>
      <c r="AA3414">
        <v>9</v>
      </c>
      <c r="AB3414">
        <v>3</v>
      </c>
      <c r="AC3414">
        <v>0</v>
      </c>
      <c r="AD3414">
        <v>9</v>
      </c>
      <c r="AE3414">
        <v>0</v>
      </c>
      <c r="AF3414">
        <v>3</v>
      </c>
      <c r="AG3414">
        <v>1</v>
      </c>
      <c r="AH3414">
        <v>0</v>
      </c>
      <c r="AI3414" t="s">
        <v>1123</v>
      </c>
      <c r="AJ3414">
        <v>34.086906999999997</v>
      </c>
      <c r="AK3414" t="s">
        <v>1124</v>
      </c>
      <c r="AL3414">
        <v>-117.032032</v>
      </c>
      <c r="AM3414">
        <v>100</v>
      </c>
      <c r="AN3414">
        <v>5500</v>
      </c>
      <c r="AO3414" t="s">
        <v>118</v>
      </c>
      <c r="AP3414">
        <v>74</v>
      </c>
      <c r="AQ3414">
        <v>-71</v>
      </c>
      <c r="AR3414">
        <v>-512</v>
      </c>
      <c r="AZ3414">
        <v>1200</v>
      </c>
      <c r="BA3414">
        <v>1</v>
      </c>
      <c r="BB3414" t="str">
        <f t="shared" si="1890"/>
        <v xml:space="preserve">N9217B  </v>
      </c>
      <c r="BC3414">
        <v>1</v>
      </c>
      <c r="BE3414">
        <v>0</v>
      </c>
      <c r="BF3414">
        <v>0</v>
      </c>
      <c r="BG3414">
        <v>0</v>
      </c>
      <c r="BH3414">
        <v>5375</v>
      </c>
      <c r="BI3414">
        <v>1</v>
      </c>
      <c r="BJ3414">
        <v>0</v>
      </c>
      <c r="BK3414">
        <v>0</v>
      </c>
      <c r="BL3414">
        <v>0</v>
      </c>
      <c r="BO3414">
        <v>0</v>
      </c>
      <c r="BP3414">
        <v>0</v>
      </c>
      <c r="BW3414" t="str">
        <f t="shared" si="1898"/>
        <v>14:57:23.569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7</v>
      </c>
      <c r="CP3414" t="s">
        <v>119</v>
      </c>
      <c r="CQ3414">
        <v>285</v>
      </c>
      <c r="CR3414">
        <v>0</v>
      </c>
      <c r="CW3414">
        <v>8878865</v>
      </c>
      <c r="CY3414">
        <v>0</v>
      </c>
      <c r="CZ3414">
        <v>0</v>
      </c>
      <c r="DA3414">
        <v>1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25">
      <c r="A3415" t="str">
        <f t="shared" si="1895"/>
        <v>06/05/2020 14:57:17.926</v>
      </c>
      <c r="C3415" t="str">
        <f t="shared" si="1870"/>
        <v>FFDFD3C0</v>
      </c>
      <c r="D3415" t="s">
        <v>141</v>
      </c>
      <c r="E3415">
        <v>20</v>
      </c>
      <c r="F3415">
        <v>1020</v>
      </c>
      <c r="G3415" t="s">
        <v>114</v>
      </c>
      <c r="J3415" t="s">
        <v>142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896"/>
        <v>14:57:23.563</v>
      </c>
      <c r="T3415" t="str">
        <f t="shared" si="1897"/>
        <v>14:57:23.363</v>
      </c>
      <c r="U3415" t="str">
        <f t="shared" si="1885"/>
        <v>ACC530</v>
      </c>
      <c r="V3415">
        <v>0</v>
      </c>
      <c r="W3415">
        <v>0</v>
      </c>
      <c r="X3415">
        <v>1</v>
      </c>
      <c r="Z3415">
        <v>0</v>
      </c>
      <c r="AA3415">
        <v>9</v>
      </c>
      <c r="AB3415">
        <v>3</v>
      </c>
      <c r="AC3415">
        <v>0</v>
      </c>
      <c r="AD3415">
        <v>9</v>
      </c>
      <c r="AE3415">
        <v>0</v>
      </c>
      <c r="AF3415">
        <v>3</v>
      </c>
      <c r="AG3415">
        <v>1</v>
      </c>
      <c r="AH3415">
        <v>0</v>
      </c>
      <c r="AI3415" t="s">
        <v>1123</v>
      </c>
      <c r="AJ3415">
        <v>34.086906999999997</v>
      </c>
      <c r="AK3415" t="s">
        <v>1124</v>
      </c>
      <c r="AL3415">
        <v>-117.032032</v>
      </c>
      <c r="AM3415">
        <v>100</v>
      </c>
      <c r="AN3415">
        <v>5500</v>
      </c>
      <c r="AO3415" t="s">
        <v>118</v>
      </c>
      <c r="AP3415">
        <v>74</v>
      </c>
      <c r="AQ3415">
        <v>-71</v>
      </c>
      <c r="AR3415">
        <v>-512</v>
      </c>
      <c r="AZ3415">
        <v>1200</v>
      </c>
      <c r="BA3415">
        <v>1</v>
      </c>
      <c r="BB3415" t="str">
        <f t="shared" si="1890"/>
        <v xml:space="preserve">N9217B  </v>
      </c>
      <c r="BC3415">
        <v>1</v>
      </c>
      <c r="BE3415">
        <v>0</v>
      </c>
      <c r="BF3415">
        <v>0</v>
      </c>
      <c r="BG3415">
        <v>0</v>
      </c>
      <c r="BH3415">
        <v>5375</v>
      </c>
      <c r="BI3415">
        <v>1</v>
      </c>
      <c r="BJ3415">
        <v>0</v>
      </c>
      <c r="BK3415">
        <v>0</v>
      </c>
      <c r="BL3415">
        <v>0</v>
      </c>
      <c r="BO3415">
        <v>0</v>
      </c>
      <c r="BP3415">
        <v>0</v>
      </c>
      <c r="BW3415" t="str">
        <f t="shared" si="1898"/>
        <v>14:57:23.569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7</v>
      </c>
      <c r="CP3415" t="s">
        <v>119</v>
      </c>
      <c r="CQ3415">
        <v>285</v>
      </c>
      <c r="CR3415">
        <v>0</v>
      </c>
      <c r="CW3415">
        <v>8878865</v>
      </c>
      <c r="CY3415">
        <v>0</v>
      </c>
      <c r="CZ3415">
        <v>0</v>
      </c>
      <c r="DA3415">
        <v>1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25">
      <c r="A3416" t="str">
        <f t="shared" si="1895"/>
        <v>06/05/2020 14:57:17.926</v>
      </c>
      <c r="C3416" t="str">
        <f t="shared" si="1870"/>
        <v>FFDFD3C0</v>
      </c>
      <c r="D3416" t="s">
        <v>151</v>
      </c>
      <c r="E3416">
        <v>9</v>
      </c>
      <c r="H3416">
        <v>226</v>
      </c>
      <c r="I3416" t="s">
        <v>152</v>
      </c>
      <c r="J3416" t="s">
        <v>150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896"/>
        <v>14:57:23.563</v>
      </c>
      <c r="T3416" t="str">
        <f t="shared" si="1897"/>
        <v>14:57:23.363</v>
      </c>
      <c r="U3416" t="str">
        <f t="shared" si="1885"/>
        <v>ACC530</v>
      </c>
      <c r="V3416">
        <v>0</v>
      </c>
      <c r="W3416">
        <v>0</v>
      </c>
      <c r="X3416">
        <v>1</v>
      </c>
      <c r="Z3416">
        <v>0</v>
      </c>
      <c r="AA3416">
        <v>9</v>
      </c>
      <c r="AB3416">
        <v>3</v>
      </c>
      <c r="AC3416">
        <v>0</v>
      </c>
      <c r="AD3416">
        <v>9</v>
      </c>
      <c r="AE3416">
        <v>0</v>
      </c>
      <c r="AF3416">
        <v>3</v>
      </c>
      <c r="AG3416">
        <v>1</v>
      </c>
      <c r="AH3416">
        <v>0</v>
      </c>
      <c r="AI3416" t="s">
        <v>1123</v>
      </c>
      <c r="AJ3416">
        <v>34.086906999999997</v>
      </c>
      <c r="AK3416" t="s">
        <v>1124</v>
      </c>
      <c r="AL3416">
        <v>-117.032032</v>
      </c>
      <c r="AM3416">
        <v>100</v>
      </c>
      <c r="AN3416">
        <v>5500</v>
      </c>
      <c r="AO3416" t="s">
        <v>118</v>
      </c>
      <c r="AP3416">
        <v>74</v>
      </c>
      <c r="AQ3416">
        <v>-71</v>
      </c>
      <c r="AR3416">
        <v>-512</v>
      </c>
      <c r="AZ3416">
        <v>1200</v>
      </c>
      <c r="BA3416">
        <v>1</v>
      </c>
      <c r="BB3416" t="str">
        <f t="shared" si="1890"/>
        <v xml:space="preserve">N9217B  </v>
      </c>
      <c r="BC3416">
        <v>1</v>
      </c>
      <c r="BE3416">
        <v>0</v>
      </c>
      <c r="BF3416">
        <v>0</v>
      </c>
      <c r="BG3416">
        <v>0</v>
      </c>
      <c r="BH3416">
        <v>5375</v>
      </c>
      <c r="BI3416">
        <v>1</v>
      </c>
      <c r="BJ3416">
        <v>0</v>
      </c>
      <c r="BK3416">
        <v>0</v>
      </c>
      <c r="BL3416">
        <v>0</v>
      </c>
      <c r="BO3416">
        <v>0</v>
      </c>
      <c r="BP3416">
        <v>0</v>
      </c>
      <c r="BW3416" t="str">
        <f t="shared" si="1898"/>
        <v>14:57:23.569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7</v>
      </c>
      <c r="CP3416" t="s">
        <v>119</v>
      </c>
      <c r="CQ3416">
        <v>285</v>
      </c>
      <c r="CR3416">
        <v>0</v>
      </c>
      <c r="CW3416">
        <v>8878865</v>
      </c>
      <c r="CY3416">
        <v>0</v>
      </c>
      <c r="CZ3416">
        <v>0</v>
      </c>
      <c r="DA3416">
        <v>1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25">
      <c r="A3417" t="str">
        <f t="shared" ref="A3417:A3423" si="1899">"06/05/2020 14:57:18.801"</f>
        <v>06/05/2020 14:57:18.801</v>
      </c>
      <c r="C3417" t="str">
        <f t="shared" si="1870"/>
        <v>FFDFD3C0</v>
      </c>
      <c r="D3417" t="s">
        <v>148</v>
      </c>
      <c r="E3417">
        <v>8</v>
      </c>
      <c r="H3417">
        <v>50</v>
      </c>
      <c r="I3417" t="s">
        <v>149</v>
      </c>
      <c r="J3417" t="s">
        <v>150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ref="S3417:T3423" si="1900">"14:57:24.422"</f>
        <v>14:57:24.422</v>
      </c>
      <c r="T3417" t="str">
        <f t="shared" si="1900"/>
        <v>14:57:24.422</v>
      </c>
      <c r="U3417" t="str">
        <f t="shared" si="1885"/>
        <v>ACC530</v>
      </c>
      <c r="V3417">
        <v>0</v>
      </c>
      <c r="W3417">
        <v>0</v>
      </c>
      <c r="X3417">
        <v>1</v>
      </c>
      <c r="Z3417">
        <v>0</v>
      </c>
      <c r="AA3417">
        <v>9</v>
      </c>
      <c r="AB3417">
        <v>3</v>
      </c>
      <c r="AC3417">
        <v>0</v>
      </c>
      <c r="AD3417">
        <v>9</v>
      </c>
      <c r="AE3417">
        <v>0</v>
      </c>
      <c r="AF3417">
        <v>3</v>
      </c>
      <c r="AG3417">
        <v>1</v>
      </c>
      <c r="AH3417">
        <v>0</v>
      </c>
      <c r="AI3417" t="s">
        <v>1125</v>
      </c>
      <c r="AJ3417">
        <v>34.086649000000001</v>
      </c>
      <c r="AK3417" t="s">
        <v>1126</v>
      </c>
      <c r="AL3417">
        <v>-117.031689</v>
      </c>
      <c r="AM3417">
        <v>100</v>
      </c>
      <c r="AN3417">
        <v>5500</v>
      </c>
      <c r="AO3417" t="s">
        <v>118</v>
      </c>
      <c r="AP3417">
        <v>75</v>
      </c>
      <c r="AQ3417">
        <v>-71</v>
      </c>
      <c r="AR3417">
        <v>-448</v>
      </c>
      <c r="AZ3417">
        <v>1200</v>
      </c>
      <c r="BA3417">
        <v>1</v>
      </c>
      <c r="BB3417" t="str">
        <f t="shared" si="1890"/>
        <v xml:space="preserve">N9217B  </v>
      </c>
      <c r="BC3417">
        <v>1</v>
      </c>
      <c r="BE3417">
        <v>0</v>
      </c>
      <c r="BF3417">
        <v>0</v>
      </c>
      <c r="BG3417">
        <v>0</v>
      </c>
      <c r="BH3417">
        <v>5375</v>
      </c>
      <c r="BI3417">
        <v>1</v>
      </c>
      <c r="BJ3417">
        <v>0</v>
      </c>
      <c r="BK3417">
        <v>0</v>
      </c>
      <c r="BL3417">
        <v>0</v>
      </c>
      <c r="BO3417">
        <v>0</v>
      </c>
      <c r="BP3417">
        <v>0</v>
      </c>
      <c r="BW3417" t="str">
        <f t="shared" ref="BW3417:BW3423" si="1901">"14:57:24.424"</f>
        <v>14:57:24.424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7</v>
      </c>
      <c r="CP3417" t="s">
        <v>119</v>
      </c>
      <c r="CQ3417">
        <v>285</v>
      </c>
      <c r="CR3417">
        <v>0</v>
      </c>
      <c r="CW3417">
        <v>8878935</v>
      </c>
      <c r="CY3417">
        <v>0</v>
      </c>
      <c r="CZ3417">
        <v>0</v>
      </c>
      <c r="DA3417">
        <v>0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25">
      <c r="A3418" t="str">
        <f t="shared" si="1899"/>
        <v>06/05/2020 14:57:18.801</v>
      </c>
      <c r="C3418" t="str">
        <f t="shared" si="1870"/>
        <v>FFDFD3C0</v>
      </c>
      <c r="D3418" t="s">
        <v>151</v>
      </c>
      <c r="E3418">
        <v>8</v>
      </c>
      <c r="H3418">
        <v>225</v>
      </c>
      <c r="I3418" t="s">
        <v>353</v>
      </c>
      <c r="J3418" t="s">
        <v>150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900"/>
        <v>14:57:24.422</v>
      </c>
      <c r="T3418" t="str">
        <f t="shared" si="1900"/>
        <v>14:57:24.422</v>
      </c>
      <c r="U3418" t="str">
        <f t="shared" si="1885"/>
        <v>ACC530</v>
      </c>
      <c r="V3418">
        <v>0</v>
      </c>
      <c r="W3418">
        <v>0</v>
      </c>
      <c r="X3418">
        <v>1</v>
      </c>
      <c r="Z3418">
        <v>0</v>
      </c>
      <c r="AA3418">
        <v>9</v>
      </c>
      <c r="AB3418">
        <v>3</v>
      </c>
      <c r="AC3418">
        <v>0</v>
      </c>
      <c r="AD3418">
        <v>9</v>
      </c>
      <c r="AE3418">
        <v>0</v>
      </c>
      <c r="AF3418">
        <v>3</v>
      </c>
      <c r="AG3418">
        <v>1</v>
      </c>
      <c r="AH3418">
        <v>0</v>
      </c>
      <c r="AI3418" t="s">
        <v>1125</v>
      </c>
      <c r="AJ3418">
        <v>34.086649000000001</v>
      </c>
      <c r="AK3418" t="s">
        <v>1126</v>
      </c>
      <c r="AL3418">
        <v>-117.031689</v>
      </c>
      <c r="AM3418">
        <v>100</v>
      </c>
      <c r="AN3418">
        <v>5500</v>
      </c>
      <c r="AO3418" t="s">
        <v>118</v>
      </c>
      <c r="AP3418">
        <v>75</v>
      </c>
      <c r="AQ3418">
        <v>-71</v>
      </c>
      <c r="AR3418">
        <v>-448</v>
      </c>
      <c r="AZ3418">
        <v>1200</v>
      </c>
      <c r="BA3418">
        <v>1</v>
      </c>
      <c r="BB3418" t="str">
        <f t="shared" si="1890"/>
        <v xml:space="preserve">N9217B  </v>
      </c>
      <c r="BC3418">
        <v>1</v>
      </c>
      <c r="BE3418">
        <v>0</v>
      </c>
      <c r="BF3418">
        <v>0</v>
      </c>
      <c r="BG3418">
        <v>0</v>
      </c>
      <c r="BH3418">
        <v>5375</v>
      </c>
      <c r="BI3418">
        <v>1</v>
      </c>
      <c r="BJ3418">
        <v>0</v>
      </c>
      <c r="BK3418">
        <v>0</v>
      </c>
      <c r="BL3418">
        <v>0</v>
      </c>
      <c r="BO3418">
        <v>0</v>
      </c>
      <c r="BP3418">
        <v>0</v>
      </c>
      <c r="BW3418" t="str">
        <f t="shared" si="1901"/>
        <v>14:57:24.424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7</v>
      </c>
      <c r="CP3418" t="s">
        <v>119</v>
      </c>
      <c r="CQ3418">
        <v>285</v>
      </c>
      <c r="CR3418">
        <v>0</v>
      </c>
      <c r="CW3418">
        <v>8878935</v>
      </c>
      <c r="CY3418">
        <v>0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25">
      <c r="A3419" t="str">
        <f t="shared" si="1899"/>
        <v>06/05/2020 14:57:18.801</v>
      </c>
      <c r="C3419" t="str">
        <f t="shared" si="1870"/>
        <v>FFDFD3C0</v>
      </c>
      <c r="D3419" t="s">
        <v>134</v>
      </c>
      <c r="E3419">
        <v>7</v>
      </c>
      <c r="F3419">
        <v>2007</v>
      </c>
      <c r="G3419" t="s">
        <v>135</v>
      </c>
      <c r="J3419" t="s">
        <v>136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 t="shared" si="1900"/>
        <v>14:57:24.422</v>
      </c>
      <c r="T3419" t="str">
        <f t="shared" si="1900"/>
        <v>14:57:24.422</v>
      </c>
      <c r="U3419" t="str">
        <f t="shared" si="1885"/>
        <v>ACC530</v>
      </c>
      <c r="V3419">
        <v>0</v>
      </c>
      <c r="W3419">
        <v>0</v>
      </c>
      <c r="X3419">
        <v>1</v>
      </c>
      <c r="Z3419">
        <v>0</v>
      </c>
      <c r="AA3419">
        <v>9</v>
      </c>
      <c r="AB3419">
        <v>3</v>
      </c>
      <c r="AC3419">
        <v>0</v>
      </c>
      <c r="AD3419">
        <v>9</v>
      </c>
      <c r="AE3419">
        <v>0</v>
      </c>
      <c r="AF3419">
        <v>3</v>
      </c>
      <c r="AG3419">
        <v>1</v>
      </c>
      <c r="AH3419">
        <v>0</v>
      </c>
      <c r="AI3419" t="s">
        <v>1125</v>
      </c>
      <c r="AJ3419">
        <v>34.086649000000001</v>
      </c>
      <c r="AK3419" t="s">
        <v>1126</v>
      </c>
      <c r="AL3419">
        <v>-117.031689</v>
      </c>
      <c r="AM3419">
        <v>100</v>
      </c>
      <c r="AN3419">
        <v>5500</v>
      </c>
      <c r="AO3419" t="s">
        <v>118</v>
      </c>
      <c r="AP3419">
        <v>75</v>
      </c>
      <c r="AQ3419">
        <v>-71</v>
      </c>
      <c r="AR3419">
        <v>-448</v>
      </c>
      <c r="AZ3419">
        <v>1200</v>
      </c>
      <c r="BA3419">
        <v>1</v>
      </c>
      <c r="BB3419" t="str">
        <f t="shared" si="1890"/>
        <v xml:space="preserve">N9217B  </v>
      </c>
      <c r="BC3419">
        <v>1</v>
      </c>
      <c r="BE3419">
        <v>0</v>
      </c>
      <c r="BF3419">
        <v>0</v>
      </c>
      <c r="BG3419">
        <v>0</v>
      </c>
      <c r="BH3419">
        <v>5375</v>
      </c>
      <c r="BI3419">
        <v>1</v>
      </c>
      <c r="BJ3419">
        <v>0</v>
      </c>
      <c r="BK3419">
        <v>0</v>
      </c>
      <c r="BL3419">
        <v>0</v>
      </c>
      <c r="BO3419">
        <v>0</v>
      </c>
      <c r="BP3419">
        <v>0</v>
      </c>
      <c r="BW3419" t="str">
        <f t="shared" si="1901"/>
        <v>14:57:24.424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7</v>
      </c>
      <c r="CP3419" t="s">
        <v>119</v>
      </c>
      <c r="CQ3419">
        <v>285</v>
      </c>
      <c r="CR3419">
        <v>0</v>
      </c>
      <c r="CW3419">
        <v>8878935</v>
      </c>
      <c r="CY3419">
        <v>0</v>
      </c>
      <c r="CZ3419">
        <v>0</v>
      </c>
      <c r="DA3419">
        <v>1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25">
      <c r="A3420" t="str">
        <f t="shared" si="1899"/>
        <v>06/05/2020 14:57:18.801</v>
      </c>
      <c r="C3420" t="str">
        <f t="shared" si="1870"/>
        <v>FFDFD3C0</v>
      </c>
      <c r="D3420" t="s">
        <v>141</v>
      </c>
      <c r="E3420">
        <v>20</v>
      </c>
      <c r="F3420">
        <v>1020</v>
      </c>
      <c r="G3420" t="s">
        <v>114</v>
      </c>
      <c r="J3420" t="s">
        <v>142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 t="shared" si="1900"/>
        <v>14:57:24.422</v>
      </c>
      <c r="T3420" t="str">
        <f t="shared" si="1900"/>
        <v>14:57:24.422</v>
      </c>
      <c r="U3420" t="str">
        <f t="shared" si="1885"/>
        <v>ACC530</v>
      </c>
      <c r="V3420">
        <v>0</v>
      </c>
      <c r="W3420">
        <v>0</v>
      </c>
      <c r="X3420">
        <v>1</v>
      </c>
      <c r="Z3420">
        <v>0</v>
      </c>
      <c r="AA3420">
        <v>9</v>
      </c>
      <c r="AB3420">
        <v>3</v>
      </c>
      <c r="AC3420">
        <v>0</v>
      </c>
      <c r="AD3420">
        <v>9</v>
      </c>
      <c r="AE3420">
        <v>0</v>
      </c>
      <c r="AF3420">
        <v>3</v>
      </c>
      <c r="AG3420">
        <v>1</v>
      </c>
      <c r="AH3420">
        <v>0</v>
      </c>
      <c r="AI3420" t="s">
        <v>1125</v>
      </c>
      <c r="AJ3420">
        <v>34.086649000000001</v>
      </c>
      <c r="AK3420" t="s">
        <v>1126</v>
      </c>
      <c r="AL3420">
        <v>-117.031689</v>
      </c>
      <c r="AM3420">
        <v>100</v>
      </c>
      <c r="AN3420">
        <v>5500</v>
      </c>
      <c r="AO3420" t="s">
        <v>118</v>
      </c>
      <c r="AP3420">
        <v>75</v>
      </c>
      <c r="AQ3420">
        <v>-71</v>
      </c>
      <c r="AR3420">
        <v>-448</v>
      </c>
      <c r="AZ3420">
        <v>1200</v>
      </c>
      <c r="BA3420">
        <v>1</v>
      </c>
      <c r="BB3420" t="str">
        <f t="shared" si="1890"/>
        <v xml:space="preserve">N9217B  </v>
      </c>
      <c r="BC3420">
        <v>1</v>
      </c>
      <c r="BE3420">
        <v>0</v>
      </c>
      <c r="BF3420">
        <v>0</v>
      </c>
      <c r="BG3420">
        <v>0</v>
      </c>
      <c r="BH3420">
        <v>5375</v>
      </c>
      <c r="BI3420">
        <v>1</v>
      </c>
      <c r="BJ3420">
        <v>0</v>
      </c>
      <c r="BK3420">
        <v>0</v>
      </c>
      <c r="BL3420">
        <v>0</v>
      </c>
      <c r="BO3420">
        <v>0</v>
      </c>
      <c r="BP3420">
        <v>0</v>
      </c>
      <c r="BW3420" t="str">
        <f t="shared" si="1901"/>
        <v>14:57:24.424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7</v>
      </c>
      <c r="CP3420" t="s">
        <v>119</v>
      </c>
      <c r="CQ3420">
        <v>285</v>
      </c>
      <c r="CR3420">
        <v>0</v>
      </c>
      <c r="CW3420">
        <v>8878935</v>
      </c>
      <c r="CY3420">
        <v>0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25">
      <c r="A3421" t="str">
        <f t="shared" si="1899"/>
        <v>06/05/2020 14:57:18.801</v>
      </c>
      <c r="C3421" t="str">
        <f t="shared" si="1870"/>
        <v>FFDFD3C0</v>
      </c>
      <c r="D3421" t="s">
        <v>113</v>
      </c>
      <c r="E3421">
        <v>3</v>
      </c>
      <c r="H3421">
        <v>166</v>
      </c>
      <c r="I3421" t="s">
        <v>114</v>
      </c>
      <c r="J3421" t="s">
        <v>115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 t="shared" si="1900"/>
        <v>14:57:24.422</v>
      </c>
      <c r="T3421" t="str">
        <f t="shared" si="1900"/>
        <v>14:57:24.422</v>
      </c>
      <c r="U3421" t="str">
        <f t="shared" si="1885"/>
        <v>ACC530</v>
      </c>
      <c r="V3421">
        <v>0</v>
      </c>
      <c r="W3421">
        <v>0</v>
      </c>
      <c r="X3421">
        <v>1</v>
      </c>
      <c r="Z3421">
        <v>0</v>
      </c>
      <c r="AA3421">
        <v>9</v>
      </c>
      <c r="AB3421">
        <v>3</v>
      </c>
      <c r="AC3421">
        <v>0</v>
      </c>
      <c r="AD3421">
        <v>9</v>
      </c>
      <c r="AE3421">
        <v>0</v>
      </c>
      <c r="AF3421">
        <v>3</v>
      </c>
      <c r="AG3421">
        <v>1</v>
      </c>
      <c r="AH3421">
        <v>0</v>
      </c>
      <c r="AI3421" t="s">
        <v>1125</v>
      </c>
      <c r="AJ3421">
        <v>34.086649000000001</v>
      </c>
      <c r="AK3421" t="s">
        <v>1126</v>
      </c>
      <c r="AL3421">
        <v>-117.031689</v>
      </c>
      <c r="AM3421">
        <v>100</v>
      </c>
      <c r="AN3421">
        <v>5500</v>
      </c>
      <c r="AO3421" t="s">
        <v>118</v>
      </c>
      <c r="AP3421">
        <v>75</v>
      </c>
      <c r="AQ3421">
        <v>-71</v>
      </c>
      <c r="AR3421">
        <v>-448</v>
      </c>
      <c r="AZ3421">
        <v>1200</v>
      </c>
      <c r="BA3421">
        <v>1</v>
      </c>
      <c r="BB3421" t="str">
        <f t="shared" si="1890"/>
        <v xml:space="preserve">N9217B  </v>
      </c>
      <c r="BC3421">
        <v>1</v>
      </c>
      <c r="BE3421">
        <v>0</v>
      </c>
      <c r="BF3421">
        <v>0</v>
      </c>
      <c r="BG3421">
        <v>0</v>
      </c>
      <c r="BH3421">
        <v>5375</v>
      </c>
      <c r="BI3421">
        <v>1</v>
      </c>
      <c r="BJ3421">
        <v>0</v>
      </c>
      <c r="BK3421">
        <v>0</v>
      </c>
      <c r="BL3421">
        <v>0</v>
      </c>
      <c r="BO3421">
        <v>0</v>
      </c>
      <c r="BP3421">
        <v>0</v>
      </c>
      <c r="BW3421" t="str">
        <f t="shared" si="1901"/>
        <v>14:57:24.424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7</v>
      </c>
      <c r="CP3421" t="s">
        <v>119</v>
      </c>
      <c r="CQ3421">
        <v>285</v>
      </c>
      <c r="CR3421">
        <v>0</v>
      </c>
      <c r="CW3421">
        <v>8878935</v>
      </c>
      <c r="CY3421">
        <v>0</v>
      </c>
      <c r="CZ3421">
        <v>0</v>
      </c>
      <c r="DA3421">
        <v>1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25">
      <c r="A3422" t="str">
        <f t="shared" si="1899"/>
        <v>06/05/2020 14:57:18.801</v>
      </c>
      <c r="C3422" t="str">
        <f t="shared" si="1870"/>
        <v>FFDFD3C0</v>
      </c>
      <c r="D3422" t="s">
        <v>151</v>
      </c>
      <c r="E3422">
        <v>9</v>
      </c>
      <c r="H3422">
        <v>226</v>
      </c>
      <c r="I3422" t="s">
        <v>152</v>
      </c>
      <c r="J3422" t="s">
        <v>150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si="1900"/>
        <v>14:57:24.422</v>
      </c>
      <c r="T3422" t="str">
        <f t="shared" si="1900"/>
        <v>14:57:24.422</v>
      </c>
      <c r="U3422" t="str">
        <f t="shared" si="1885"/>
        <v>ACC530</v>
      </c>
      <c r="V3422">
        <v>0</v>
      </c>
      <c r="W3422">
        <v>0</v>
      </c>
      <c r="X3422">
        <v>1</v>
      </c>
      <c r="Z3422">
        <v>0</v>
      </c>
      <c r="AA3422">
        <v>9</v>
      </c>
      <c r="AB3422">
        <v>3</v>
      </c>
      <c r="AC3422">
        <v>0</v>
      </c>
      <c r="AD3422">
        <v>9</v>
      </c>
      <c r="AE3422">
        <v>0</v>
      </c>
      <c r="AF3422">
        <v>3</v>
      </c>
      <c r="AG3422">
        <v>1</v>
      </c>
      <c r="AH3422">
        <v>0</v>
      </c>
      <c r="AI3422" t="s">
        <v>1125</v>
      </c>
      <c r="AJ3422">
        <v>34.086649000000001</v>
      </c>
      <c r="AK3422" t="s">
        <v>1126</v>
      </c>
      <c r="AL3422">
        <v>-117.031689</v>
      </c>
      <c r="AM3422">
        <v>100</v>
      </c>
      <c r="AN3422">
        <v>5500</v>
      </c>
      <c r="AO3422" t="s">
        <v>118</v>
      </c>
      <c r="AP3422">
        <v>75</v>
      </c>
      <c r="AQ3422">
        <v>-71</v>
      </c>
      <c r="AR3422">
        <v>-448</v>
      </c>
      <c r="AZ3422">
        <v>1200</v>
      </c>
      <c r="BA3422">
        <v>1</v>
      </c>
      <c r="BB3422" t="str">
        <f t="shared" si="1890"/>
        <v xml:space="preserve">N9217B  </v>
      </c>
      <c r="BC3422">
        <v>1</v>
      </c>
      <c r="BE3422">
        <v>0</v>
      </c>
      <c r="BF3422">
        <v>0</v>
      </c>
      <c r="BG3422">
        <v>0</v>
      </c>
      <c r="BH3422">
        <v>5375</v>
      </c>
      <c r="BI3422">
        <v>1</v>
      </c>
      <c r="BJ3422">
        <v>0</v>
      </c>
      <c r="BK3422">
        <v>0</v>
      </c>
      <c r="BL3422">
        <v>0</v>
      </c>
      <c r="BO3422">
        <v>0</v>
      </c>
      <c r="BP3422">
        <v>0</v>
      </c>
      <c r="BW3422" t="str">
        <f t="shared" si="1901"/>
        <v>14:57:24.424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7</v>
      </c>
      <c r="CP3422" t="s">
        <v>119</v>
      </c>
      <c r="CQ3422">
        <v>285</v>
      </c>
      <c r="CR3422">
        <v>0</v>
      </c>
      <c r="CW3422">
        <v>8878935</v>
      </c>
      <c r="CY3422">
        <v>0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25">
      <c r="A3423" t="str">
        <f t="shared" si="1899"/>
        <v>06/05/2020 14:57:18.801</v>
      </c>
      <c r="C3423" t="str">
        <f t="shared" si="1870"/>
        <v>FFDFD3C0</v>
      </c>
      <c r="D3423" t="s">
        <v>148</v>
      </c>
      <c r="E3423">
        <v>11</v>
      </c>
      <c r="H3423">
        <v>53</v>
      </c>
      <c r="I3423" t="s">
        <v>364</v>
      </c>
      <c r="J3423" t="s">
        <v>150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si="1900"/>
        <v>14:57:24.422</v>
      </c>
      <c r="T3423" t="str">
        <f t="shared" si="1900"/>
        <v>14:57:24.422</v>
      </c>
      <c r="U3423" t="str">
        <f t="shared" si="1885"/>
        <v>ACC530</v>
      </c>
      <c r="V3423">
        <v>0</v>
      </c>
      <c r="W3423">
        <v>0</v>
      </c>
      <c r="X3423">
        <v>1</v>
      </c>
      <c r="Z3423">
        <v>0</v>
      </c>
      <c r="AA3423">
        <v>9</v>
      </c>
      <c r="AB3423">
        <v>3</v>
      </c>
      <c r="AC3423">
        <v>0</v>
      </c>
      <c r="AD3423">
        <v>9</v>
      </c>
      <c r="AE3423">
        <v>0</v>
      </c>
      <c r="AF3423">
        <v>3</v>
      </c>
      <c r="AG3423">
        <v>1</v>
      </c>
      <c r="AH3423">
        <v>0</v>
      </c>
      <c r="AI3423" t="s">
        <v>1125</v>
      </c>
      <c r="AJ3423">
        <v>34.086649000000001</v>
      </c>
      <c r="AK3423" t="s">
        <v>1126</v>
      </c>
      <c r="AL3423">
        <v>-117.031689</v>
      </c>
      <c r="AM3423">
        <v>100</v>
      </c>
      <c r="AN3423">
        <v>5500</v>
      </c>
      <c r="AO3423" t="s">
        <v>118</v>
      </c>
      <c r="AP3423">
        <v>75</v>
      </c>
      <c r="AQ3423">
        <v>-71</v>
      </c>
      <c r="AR3423">
        <v>-448</v>
      </c>
      <c r="AZ3423">
        <v>1200</v>
      </c>
      <c r="BA3423">
        <v>1</v>
      </c>
      <c r="BB3423" t="str">
        <f t="shared" si="1890"/>
        <v xml:space="preserve">N9217B  </v>
      </c>
      <c r="BC3423">
        <v>1</v>
      </c>
      <c r="BE3423">
        <v>0</v>
      </c>
      <c r="BF3423">
        <v>0</v>
      </c>
      <c r="BG3423">
        <v>0</v>
      </c>
      <c r="BH3423">
        <v>5375</v>
      </c>
      <c r="BI3423">
        <v>1</v>
      </c>
      <c r="BJ3423">
        <v>0</v>
      </c>
      <c r="BK3423">
        <v>0</v>
      </c>
      <c r="BL3423">
        <v>0</v>
      </c>
      <c r="BO3423">
        <v>0</v>
      </c>
      <c r="BP3423">
        <v>0</v>
      </c>
      <c r="BW3423" t="str">
        <f t="shared" si="1901"/>
        <v>14:57:24.424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7</v>
      </c>
      <c r="CP3423" t="s">
        <v>119</v>
      </c>
      <c r="CQ3423">
        <v>285</v>
      </c>
      <c r="CR3423">
        <v>0</v>
      </c>
      <c r="CW3423">
        <v>8878935</v>
      </c>
      <c r="CY3423">
        <v>0</v>
      </c>
      <c r="CZ3423">
        <v>0</v>
      </c>
      <c r="DA3423">
        <v>1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25">
      <c r="A3424" t="str">
        <f t="shared" ref="A3424:A3430" si="1902">"06/05/2020 14:57:19.723"</f>
        <v>06/05/2020 14:57:19.723</v>
      </c>
      <c r="C3424" t="str">
        <f t="shared" si="1870"/>
        <v>FFDFD3C0</v>
      </c>
      <c r="D3424" t="s">
        <v>141</v>
      </c>
      <c r="E3424">
        <v>20</v>
      </c>
      <c r="F3424">
        <v>1020</v>
      </c>
      <c r="G3424" t="s">
        <v>114</v>
      </c>
      <c r="J3424" t="s">
        <v>142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ref="S3424:S3430" si="1903">"14:57:25.383"</f>
        <v>14:57:25.383</v>
      </c>
      <c r="T3424" t="str">
        <f t="shared" ref="T3424:T3430" si="1904">"14:57:25.283"</f>
        <v>14:57:25.283</v>
      </c>
      <c r="U3424" t="str">
        <f t="shared" si="1885"/>
        <v>ACC530</v>
      </c>
      <c r="V3424">
        <v>0</v>
      </c>
      <c r="W3424">
        <v>0</v>
      </c>
      <c r="X3424">
        <v>1</v>
      </c>
      <c r="Z3424">
        <v>0</v>
      </c>
      <c r="AA3424">
        <v>9</v>
      </c>
      <c r="AB3424">
        <v>3</v>
      </c>
      <c r="AC3424">
        <v>0</v>
      </c>
      <c r="AD3424">
        <v>9</v>
      </c>
      <c r="AE3424">
        <v>0</v>
      </c>
      <c r="AF3424">
        <v>3</v>
      </c>
      <c r="AG3424">
        <v>1</v>
      </c>
      <c r="AH3424">
        <v>0</v>
      </c>
      <c r="AI3424" t="s">
        <v>1127</v>
      </c>
      <c r="AJ3424">
        <v>34.086348999999998</v>
      </c>
      <c r="AK3424" t="s">
        <v>1128</v>
      </c>
      <c r="AL3424">
        <v>-117.03128100000001</v>
      </c>
      <c r="AM3424">
        <v>100</v>
      </c>
      <c r="AN3424">
        <v>5500</v>
      </c>
      <c r="AO3424" t="s">
        <v>118</v>
      </c>
      <c r="AP3424">
        <v>75</v>
      </c>
      <c r="AQ3424">
        <v>-70</v>
      </c>
      <c r="AR3424">
        <v>-512</v>
      </c>
      <c r="AZ3424">
        <v>1200</v>
      </c>
      <c r="BA3424">
        <v>1</v>
      </c>
      <c r="BB3424" t="str">
        <f t="shared" si="1890"/>
        <v xml:space="preserve">N9217B  </v>
      </c>
      <c r="BC3424">
        <v>1</v>
      </c>
      <c r="BE3424">
        <v>0</v>
      </c>
      <c r="BF3424">
        <v>0</v>
      </c>
      <c r="BG3424">
        <v>0</v>
      </c>
      <c r="BH3424">
        <v>5350</v>
      </c>
      <c r="BI3424">
        <v>1</v>
      </c>
      <c r="BJ3424">
        <v>0</v>
      </c>
      <c r="BK3424">
        <v>0</v>
      </c>
      <c r="BL3424">
        <v>0</v>
      </c>
      <c r="BO3424">
        <v>0</v>
      </c>
      <c r="BP3424">
        <v>0</v>
      </c>
      <c r="BW3424" t="str">
        <f t="shared" ref="BW3424:BW3430" si="1905">"14:57:25.383"</f>
        <v>14:57:25.383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7</v>
      </c>
      <c r="CP3424" t="s">
        <v>119</v>
      </c>
      <c r="CQ3424">
        <v>285</v>
      </c>
      <c r="CR3424">
        <v>0</v>
      </c>
      <c r="CW3424">
        <v>8879020</v>
      </c>
      <c r="CY3424">
        <v>0</v>
      </c>
      <c r="CZ3424">
        <v>0</v>
      </c>
      <c r="DA3424">
        <v>0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25">
      <c r="A3425" t="str">
        <f t="shared" si="1902"/>
        <v>06/05/2020 14:57:19.723</v>
      </c>
      <c r="C3425" t="str">
        <f t="shared" si="1870"/>
        <v>FFDFD3C0</v>
      </c>
      <c r="D3425" t="s">
        <v>113</v>
      </c>
      <c r="E3425">
        <v>3</v>
      </c>
      <c r="H3425">
        <v>166</v>
      </c>
      <c r="I3425" t="s">
        <v>114</v>
      </c>
      <c r="J3425" t="s">
        <v>115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903"/>
        <v>14:57:25.383</v>
      </c>
      <c r="T3425" t="str">
        <f t="shared" si="1904"/>
        <v>14:57:25.283</v>
      </c>
      <c r="U3425" t="str">
        <f t="shared" si="1885"/>
        <v>ACC530</v>
      </c>
      <c r="V3425">
        <v>0</v>
      </c>
      <c r="W3425">
        <v>0</v>
      </c>
      <c r="X3425">
        <v>1</v>
      </c>
      <c r="Z3425">
        <v>0</v>
      </c>
      <c r="AA3425">
        <v>9</v>
      </c>
      <c r="AB3425">
        <v>3</v>
      </c>
      <c r="AC3425">
        <v>0</v>
      </c>
      <c r="AD3425">
        <v>9</v>
      </c>
      <c r="AE3425">
        <v>0</v>
      </c>
      <c r="AF3425">
        <v>3</v>
      </c>
      <c r="AG3425">
        <v>1</v>
      </c>
      <c r="AH3425">
        <v>0</v>
      </c>
      <c r="AI3425" t="s">
        <v>1127</v>
      </c>
      <c r="AJ3425">
        <v>34.086348999999998</v>
      </c>
      <c r="AK3425" t="s">
        <v>1128</v>
      </c>
      <c r="AL3425">
        <v>-117.03128100000001</v>
      </c>
      <c r="AM3425">
        <v>100</v>
      </c>
      <c r="AN3425">
        <v>5500</v>
      </c>
      <c r="AO3425" t="s">
        <v>118</v>
      </c>
      <c r="AP3425">
        <v>75</v>
      </c>
      <c r="AQ3425">
        <v>-70</v>
      </c>
      <c r="AR3425">
        <v>-512</v>
      </c>
      <c r="AZ3425">
        <v>1200</v>
      </c>
      <c r="BA3425">
        <v>1</v>
      </c>
      <c r="BB3425" t="str">
        <f t="shared" si="1890"/>
        <v xml:space="preserve">N9217B  </v>
      </c>
      <c r="BC3425">
        <v>1</v>
      </c>
      <c r="BE3425">
        <v>0</v>
      </c>
      <c r="BF3425">
        <v>0</v>
      </c>
      <c r="BG3425">
        <v>0</v>
      </c>
      <c r="BH3425">
        <v>5350</v>
      </c>
      <c r="BI3425">
        <v>1</v>
      </c>
      <c r="BJ3425">
        <v>0</v>
      </c>
      <c r="BK3425">
        <v>0</v>
      </c>
      <c r="BL3425">
        <v>0</v>
      </c>
      <c r="BO3425">
        <v>0</v>
      </c>
      <c r="BP3425">
        <v>0</v>
      </c>
      <c r="BW3425" t="str">
        <f t="shared" si="1905"/>
        <v>14:57:25.383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7</v>
      </c>
      <c r="CP3425" t="s">
        <v>119</v>
      </c>
      <c r="CQ3425">
        <v>285</v>
      </c>
      <c r="CR3425">
        <v>0</v>
      </c>
      <c r="CW3425">
        <v>8879020</v>
      </c>
      <c r="CY3425">
        <v>0</v>
      </c>
      <c r="CZ3425">
        <v>0</v>
      </c>
      <c r="DA3425">
        <v>1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25">
      <c r="A3426" t="str">
        <f t="shared" si="1902"/>
        <v>06/05/2020 14:57:19.723</v>
      </c>
      <c r="C3426" t="str">
        <f t="shared" si="1870"/>
        <v>FFDFD3C0</v>
      </c>
      <c r="D3426" t="s">
        <v>151</v>
      </c>
      <c r="E3426">
        <v>9</v>
      </c>
      <c r="H3426">
        <v>226</v>
      </c>
      <c r="I3426" t="s">
        <v>152</v>
      </c>
      <c r="J3426" t="s">
        <v>150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903"/>
        <v>14:57:25.383</v>
      </c>
      <c r="T3426" t="str">
        <f t="shared" si="1904"/>
        <v>14:57:25.283</v>
      </c>
      <c r="U3426" t="str">
        <f t="shared" si="1885"/>
        <v>ACC530</v>
      </c>
      <c r="V3426">
        <v>0</v>
      </c>
      <c r="W3426">
        <v>0</v>
      </c>
      <c r="X3426">
        <v>1</v>
      </c>
      <c r="Z3426">
        <v>0</v>
      </c>
      <c r="AA3426">
        <v>9</v>
      </c>
      <c r="AB3426">
        <v>3</v>
      </c>
      <c r="AC3426">
        <v>0</v>
      </c>
      <c r="AD3426">
        <v>9</v>
      </c>
      <c r="AE3426">
        <v>0</v>
      </c>
      <c r="AF3426">
        <v>3</v>
      </c>
      <c r="AG3426">
        <v>1</v>
      </c>
      <c r="AH3426">
        <v>0</v>
      </c>
      <c r="AI3426" t="s">
        <v>1127</v>
      </c>
      <c r="AJ3426">
        <v>34.086348999999998</v>
      </c>
      <c r="AK3426" t="s">
        <v>1128</v>
      </c>
      <c r="AL3426">
        <v>-117.03128100000001</v>
      </c>
      <c r="AM3426">
        <v>100</v>
      </c>
      <c r="AN3426">
        <v>5500</v>
      </c>
      <c r="AO3426" t="s">
        <v>118</v>
      </c>
      <c r="AP3426">
        <v>75</v>
      </c>
      <c r="AQ3426">
        <v>-70</v>
      </c>
      <c r="AR3426">
        <v>-512</v>
      </c>
      <c r="AZ3426">
        <v>1200</v>
      </c>
      <c r="BA3426">
        <v>1</v>
      </c>
      <c r="BB3426" t="str">
        <f t="shared" si="1890"/>
        <v xml:space="preserve">N9217B  </v>
      </c>
      <c r="BC3426">
        <v>1</v>
      </c>
      <c r="BE3426">
        <v>0</v>
      </c>
      <c r="BF3426">
        <v>0</v>
      </c>
      <c r="BG3426">
        <v>0</v>
      </c>
      <c r="BH3426">
        <v>5350</v>
      </c>
      <c r="BI3426">
        <v>1</v>
      </c>
      <c r="BJ3426">
        <v>0</v>
      </c>
      <c r="BK3426">
        <v>0</v>
      </c>
      <c r="BL3426">
        <v>0</v>
      </c>
      <c r="BO3426">
        <v>0</v>
      </c>
      <c r="BP3426">
        <v>0</v>
      </c>
      <c r="BW3426" t="str">
        <f t="shared" si="1905"/>
        <v>14:57:25.383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7</v>
      </c>
      <c r="CP3426" t="s">
        <v>119</v>
      </c>
      <c r="CQ3426">
        <v>285</v>
      </c>
      <c r="CR3426">
        <v>0</v>
      </c>
      <c r="CW3426">
        <v>8879020</v>
      </c>
      <c r="CY3426">
        <v>0</v>
      </c>
      <c r="CZ3426">
        <v>0</v>
      </c>
      <c r="DA3426">
        <v>1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25">
      <c r="A3427" t="str">
        <f t="shared" si="1902"/>
        <v>06/05/2020 14:57:19.723</v>
      </c>
      <c r="C3427" t="str">
        <f t="shared" ref="C3427:C3490" si="1906">"FFDFD3C0"</f>
        <v>FFDFD3C0</v>
      </c>
      <c r="D3427" t="s">
        <v>148</v>
      </c>
      <c r="E3427">
        <v>11</v>
      </c>
      <c r="H3427">
        <v>53</v>
      </c>
      <c r="I3427" t="s">
        <v>364</v>
      </c>
      <c r="J3427" t="s">
        <v>150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903"/>
        <v>14:57:25.383</v>
      </c>
      <c r="T3427" t="str">
        <f t="shared" si="1904"/>
        <v>14:57:25.283</v>
      </c>
      <c r="U3427" t="str">
        <f t="shared" si="1885"/>
        <v>ACC530</v>
      </c>
      <c r="V3427">
        <v>0</v>
      </c>
      <c r="W3427">
        <v>0</v>
      </c>
      <c r="X3427">
        <v>1</v>
      </c>
      <c r="Z3427">
        <v>0</v>
      </c>
      <c r="AA3427">
        <v>9</v>
      </c>
      <c r="AB3427">
        <v>3</v>
      </c>
      <c r="AC3427">
        <v>0</v>
      </c>
      <c r="AD3427">
        <v>9</v>
      </c>
      <c r="AE3427">
        <v>0</v>
      </c>
      <c r="AF3427">
        <v>3</v>
      </c>
      <c r="AG3427">
        <v>1</v>
      </c>
      <c r="AH3427">
        <v>0</v>
      </c>
      <c r="AI3427" t="s">
        <v>1127</v>
      </c>
      <c r="AJ3427">
        <v>34.086348999999998</v>
      </c>
      <c r="AK3427" t="s">
        <v>1128</v>
      </c>
      <c r="AL3427">
        <v>-117.03128100000001</v>
      </c>
      <c r="AM3427">
        <v>100</v>
      </c>
      <c r="AN3427">
        <v>5500</v>
      </c>
      <c r="AO3427" t="s">
        <v>118</v>
      </c>
      <c r="AP3427">
        <v>75</v>
      </c>
      <c r="AQ3427">
        <v>-70</v>
      </c>
      <c r="AR3427">
        <v>-512</v>
      </c>
      <c r="AZ3427">
        <v>1200</v>
      </c>
      <c r="BA3427">
        <v>1</v>
      </c>
      <c r="BB3427" t="str">
        <f t="shared" si="1890"/>
        <v xml:space="preserve">N9217B  </v>
      </c>
      <c r="BC3427">
        <v>1</v>
      </c>
      <c r="BE3427">
        <v>0</v>
      </c>
      <c r="BF3427">
        <v>0</v>
      </c>
      <c r="BG3427">
        <v>0</v>
      </c>
      <c r="BH3427">
        <v>5350</v>
      </c>
      <c r="BI3427">
        <v>1</v>
      </c>
      <c r="BJ3427">
        <v>0</v>
      </c>
      <c r="BK3427">
        <v>0</v>
      </c>
      <c r="BL3427">
        <v>0</v>
      </c>
      <c r="BO3427">
        <v>0</v>
      </c>
      <c r="BP3427">
        <v>0</v>
      </c>
      <c r="BW3427" t="str">
        <f t="shared" si="1905"/>
        <v>14:57:25.383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7</v>
      </c>
      <c r="CP3427" t="s">
        <v>119</v>
      </c>
      <c r="CQ3427">
        <v>285</v>
      </c>
      <c r="CR3427">
        <v>0</v>
      </c>
      <c r="CW3427">
        <v>8879020</v>
      </c>
      <c r="CY3427">
        <v>0</v>
      </c>
      <c r="CZ3427">
        <v>0</v>
      </c>
      <c r="DA3427">
        <v>1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25">
      <c r="A3428" t="str">
        <f t="shared" si="1902"/>
        <v>06/05/2020 14:57:19.723</v>
      </c>
      <c r="C3428" t="str">
        <f t="shared" si="1906"/>
        <v>FFDFD3C0</v>
      </c>
      <c r="D3428" t="s">
        <v>148</v>
      </c>
      <c r="E3428">
        <v>8</v>
      </c>
      <c r="H3428">
        <v>50</v>
      </c>
      <c r="I3428" t="s">
        <v>149</v>
      </c>
      <c r="J3428" t="s">
        <v>150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si="1903"/>
        <v>14:57:25.383</v>
      </c>
      <c r="T3428" t="str">
        <f t="shared" si="1904"/>
        <v>14:57:25.283</v>
      </c>
      <c r="U3428" t="str">
        <f t="shared" si="1885"/>
        <v>ACC530</v>
      </c>
      <c r="V3428">
        <v>0</v>
      </c>
      <c r="W3428">
        <v>0</v>
      </c>
      <c r="X3428">
        <v>1</v>
      </c>
      <c r="Z3428">
        <v>0</v>
      </c>
      <c r="AA3428">
        <v>9</v>
      </c>
      <c r="AB3428">
        <v>3</v>
      </c>
      <c r="AC3428">
        <v>0</v>
      </c>
      <c r="AD3428">
        <v>9</v>
      </c>
      <c r="AE3428">
        <v>0</v>
      </c>
      <c r="AF3428">
        <v>3</v>
      </c>
      <c r="AG3428">
        <v>1</v>
      </c>
      <c r="AH3428">
        <v>0</v>
      </c>
      <c r="AI3428" t="s">
        <v>1127</v>
      </c>
      <c r="AJ3428">
        <v>34.086348999999998</v>
      </c>
      <c r="AK3428" t="s">
        <v>1128</v>
      </c>
      <c r="AL3428">
        <v>-117.03128100000001</v>
      </c>
      <c r="AM3428">
        <v>100</v>
      </c>
      <c r="AN3428">
        <v>5500</v>
      </c>
      <c r="AO3428" t="s">
        <v>118</v>
      </c>
      <c r="AP3428">
        <v>75</v>
      </c>
      <c r="AQ3428">
        <v>-70</v>
      </c>
      <c r="AR3428">
        <v>-512</v>
      </c>
      <c r="AZ3428">
        <v>1200</v>
      </c>
      <c r="BA3428">
        <v>1</v>
      </c>
      <c r="BB3428" t="str">
        <f t="shared" si="1890"/>
        <v xml:space="preserve">N9217B  </v>
      </c>
      <c r="BC3428">
        <v>1</v>
      </c>
      <c r="BE3428">
        <v>0</v>
      </c>
      <c r="BF3428">
        <v>0</v>
      </c>
      <c r="BG3428">
        <v>0</v>
      </c>
      <c r="BH3428">
        <v>5350</v>
      </c>
      <c r="BI3428">
        <v>1</v>
      </c>
      <c r="BJ3428">
        <v>0</v>
      </c>
      <c r="BK3428">
        <v>0</v>
      </c>
      <c r="BL3428">
        <v>0</v>
      </c>
      <c r="BO3428">
        <v>0</v>
      </c>
      <c r="BP3428">
        <v>0</v>
      </c>
      <c r="BW3428" t="str">
        <f t="shared" si="1905"/>
        <v>14:57:25.383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7</v>
      </c>
      <c r="CP3428" t="s">
        <v>119</v>
      </c>
      <c r="CQ3428">
        <v>285</v>
      </c>
      <c r="CR3428">
        <v>0</v>
      </c>
      <c r="CW3428">
        <v>8879020</v>
      </c>
      <c r="CY3428">
        <v>0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25">
      <c r="A3429" t="str">
        <f t="shared" si="1902"/>
        <v>06/05/2020 14:57:19.723</v>
      </c>
      <c r="C3429" t="str">
        <f t="shared" si="1906"/>
        <v>FFDFD3C0</v>
      </c>
      <c r="D3429" t="s">
        <v>151</v>
      </c>
      <c r="E3429">
        <v>8</v>
      </c>
      <c r="H3429">
        <v>225</v>
      </c>
      <c r="I3429" t="s">
        <v>353</v>
      </c>
      <c r="J3429" t="s">
        <v>150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903"/>
        <v>14:57:25.383</v>
      </c>
      <c r="T3429" t="str">
        <f t="shared" si="1904"/>
        <v>14:57:25.283</v>
      </c>
      <c r="U3429" t="str">
        <f t="shared" si="1885"/>
        <v>ACC530</v>
      </c>
      <c r="V3429">
        <v>0</v>
      </c>
      <c r="W3429">
        <v>0</v>
      </c>
      <c r="X3429">
        <v>1</v>
      </c>
      <c r="Z3429">
        <v>0</v>
      </c>
      <c r="AA3429">
        <v>9</v>
      </c>
      <c r="AB3429">
        <v>3</v>
      </c>
      <c r="AC3429">
        <v>0</v>
      </c>
      <c r="AD3429">
        <v>9</v>
      </c>
      <c r="AE3429">
        <v>0</v>
      </c>
      <c r="AF3429">
        <v>3</v>
      </c>
      <c r="AG3429">
        <v>1</v>
      </c>
      <c r="AH3429">
        <v>0</v>
      </c>
      <c r="AI3429" t="s">
        <v>1127</v>
      </c>
      <c r="AJ3429">
        <v>34.086348999999998</v>
      </c>
      <c r="AK3429" t="s">
        <v>1128</v>
      </c>
      <c r="AL3429">
        <v>-117.03128100000001</v>
      </c>
      <c r="AM3429">
        <v>100</v>
      </c>
      <c r="AN3429">
        <v>5500</v>
      </c>
      <c r="AO3429" t="s">
        <v>118</v>
      </c>
      <c r="AP3429">
        <v>75</v>
      </c>
      <c r="AQ3429">
        <v>-70</v>
      </c>
      <c r="AR3429">
        <v>-512</v>
      </c>
      <c r="AZ3429">
        <v>1200</v>
      </c>
      <c r="BA3429">
        <v>1</v>
      </c>
      <c r="BB3429" t="str">
        <f t="shared" si="1890"/>
        <v xml:space="preserve">N9217B  </v>
      </c>
      <c r="BC3429">
        <v>1</v>
      </c>
      <c r="BE3429">
        <v>0</v>
      </c>
      <c r="BF3429">
        <v>0</v>
      </c>
      <c r="BG3429">
        <v>0</v>
      </c>
      <c r="BH3429">
        <v>5350</v>
      </c>
      <c r="BI3429">
        <v>1</v>
      </c>
      <c r="BJ3429">
        <v>0</v>
      </c>
      <c r="BK3429">
        <v>0</v>
      </c>
      <c r="BL3429">
        <v>0</v>
      </c>
      <c r="BO3429">
        <v>0</v>
      </c>
      <c r="BP3429">
        <v>0</v>
      </c>
      <c r="BW3429" t="str">
        <f t="shared" si="1905"/>
        <v>14:57:25.383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7</v>
      </c>
      <c r="CP3429" t="s">
        <v>119</v>
      </c>
      <c r="CQ3429">
        <v>285</v>
      </c>
      <c r="CR3429">
        <v>0</v>
      </c>
      <c r="CW3429">
        <v>8879020</v>
      </c>
      <c r="CY3429">
        <v>0</v>
      </c>
      <c r="CZ3429">
        <v>0</v>
      </c>
      <c r="DA3429">
        <v>1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25">
      <c r="A3430" t="str">
        <f t="shared" si="1902"/>
        <v>06/05/2020 14:57:19.723</v>
      </c>
      <c r="C3430" t="str">
        <f t="shared" si="1906"/>
        <v>FFDFD3C0</v>
      </c>
      <c r="D3430" t="s">
        <v>134</v>
      </c>
      <c r="E3430">
        <v>7</v>
      </c>
      <c r="F3430">
        <v>2007</v>
      </c>
      <c r="G3430" t="s">
        <v>135</v>
      </c>
      <c r="J3430" t="s">
        <v>136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si="1903"/>
        <v>14:57:25.383</v>
      </c>
      <c r="T3430" t="str">
        <f t="shared" si="1904"/>
        <v>14:57:25.283</v>
      </c>
      <c r="U3430" t="str">
        <f t="shared" si="1885"/>
        <v>ACC530</v>
      </c>
      <c r="V3430">
        <v>0</v>
      </c>
      <c r="W3430">
        <v>0</v>
      </c>
      <c r="X3430">
        <v>1</v>
      </c>
      <c r="Z3430">
        <v>0</v>
      </c>
      <c r="AA3430">
        <v>9</v>
      </c>
      <c r="AB3430">
        <v>3</v>
      </c>
      <c r="AC3430">
        <v>0</v>
      </c>
      <c r="AD3430">
        <v>9</v>
      </c>
      <c r="AE3430">
        <v>0</v>
      </c>
      <c r="AF3430">
        <v>3</v>
      </c>
      <c r="AG3430">
        <v>1</v>
      </c>
      <c r="AH3430">
        <v>0</v>
      </c>
      <c r="AI3430" t="s">
        <v>1127</v>
      </c>
      <c r="AJ3430">
        <v>34.086348999999998</v>
      </c>
      <c r="AK3430" t="s">
        <v>1128</v>
      </c>
      <c r="AL3430">
        <v>-117.03128100000001</v>
      </c>
      <c r="AM3430">
        <v>100</v>
      </c>
      <c r="AN3430">
        <v>5500</v>
      </c>
      <c r="AO3430" t="s">
        <v>118</v>
      </c>
      <c r="AP3430">
        <v>75</v>
      </c>
      <c r="AQ3430">
        <v>-70</v>
      </c>
      <c r="AR3430">
        <v>-512</v>
      </c>
      <c r="AZ3430">
        <v>1200</v>
      </c>
      <c r="BA3430">
        <v>1</v>
      </c>
      <c r="BB3430" t="str">
        <f t="shared" si="1890"/>
        <v xml:space="preserve">N9217B  </v>
      </c>
      <c r="BC3430">
        <v>1</v>
      </c>
      <c r="BE3430">
        <v>0</v>
      </c>
      <c r="BF3430">
        <v>0</v>
      </c>
      <c r="BG3430">
        <v>0</v>
      </c>
      <c r="BH3430">
        <v>5350</v>
      </c>
      <c r="BI3430">
        <v>1</v>
      </c>
      <c r="BJ3430">
        <v>0</v>
      </c>
      <c r="BK3430">
        <v>0</v>
      </c>
      <c r="BL3430">
        <v>0</v>
      </c>
      <c r="BO3430">
        <v>0</v>
      </c>
      <c r="BP3430">
        <v>0</v>
      </c>
      <c r="BW3430" t="str">
        <f t="shared" si="1905"/>
        <v>14:57:25.383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7</v>
      </c>
      <c r="CP3430" t="s">
        <v>119</v>
      </c>
      <c r="CQ3430">
        <v>285</v>
      </c>
      <c r="CR3430">
        <v>0</v>
      </c>
      <c r="CW3430">
        <v>8879020</v>
      </c>
      <c r="CY3430">
        <v>0</v>
      </c>
      <c r="CZ3430">
        <v>0</v>
      </c>
      <c r="DA3430">
        <v>1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25">
      <c r="A3431" t="str">
        <f t="shared" ref="A3431:A3437" si="1907">"06/05/2020 14:57:20.623"</f>
        <v>06/05/2020 14:57:20.623</v>
      </c>
      <c r="C3431" t="str">
        <f t="shared" si="1906"/>
        <v>FFDFD3C0</v>
      </c>
      <c r="D3431" t="s">
        <v>151</v>
      </c>
      <c r="E3431">
        <v>8</v>
      </c>
      <c r="H3431">
        <v>225</v>
      </c>
      <c r="I3431" t="s">
        <v>353</v>
      </c>
      <c r="J3431" t="s">
        <v>150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ref="S3431:T3437" si="1908">"14:57:26.281"</f>
        <v>14:57:26.281</v>
      </c>
      <c r="T3431" t="str">
        <f t="shared" si="1908"/>
        <v>14:57:26.281</v>
      </c>
      <c r="U3431" t="str">
        <f t="shared" si="1885"/>
        <v>ACC530</v>
      </c>
      <c r="V3431">
        <v>0</v>
      </c>
      <c r="W3431">
        <v>0</v>
      </c>
      <c r="X3431">
        <v>1</v>
      </c>
      <c r="Z3431">
        <v>0</v>
      </c>
      <c r="AA3431">
        <v>9</v>
      </c>
      <c r="AB3431">
        <v>3</v>
      </c>
      <c r="AC3431">
        <v>0</v>
      </c>
      <c r="AD3431">
        <v>9</v>
      </c>
      <c r="AE3431">
        <v>0</v>
      </c>
      <c r="AF3431">
        <v>3</v>
      </c>
      <c r="AG3431">
        <v>1</v>
      </c>
      <c r="AH3431">
        <v>0</v>
      </c>
      <c r="AI3431" t="s">
        <v>1129</v>
      </c>
      <c r="AJ3431">
        <v>34.086069999999999</v>
      </c>
      <c r="AK3431" t="s">
        <v>1130</v>
      </c>
      <c r="AL3431">
        <v>-117.030895</v>
      </c>
      <c r="AM3431">
        <v>100</v>
      </c>
      <c r="AN3431">
        <v>5500</v>
      </c>
      <c r="AO3431" t="s">
        <v>118</v>
      </c>
      <c r="AP3431">
        <v>76</v>
      </c>
      <c r="AQ3431">
        <v>-69</v>
      </c>
      <c r="AR3431">
        <v>-512</v>
      </c>
      <c r="AZ3431">
        <v>1200</v>
      </c>
      <c r="BA3431">
        <v>1</v>
      </c>
      <c r="BB3431" t="str">
        <f t="shared" si="1890"/>
        <v xml:space="preserve">N9217B  </v>
      </c>
      <c r="BC3431">
        <v>1</v>
      </c>
      <c r="BE3431">
        <v>0</v>
      </c>
      <c r="BF3431">
        <v>0</v>
      </c>
      <c r="BG3431">
        <v>0</v>
      </c>
      <c r="BH3431">
        <v>5350</v>
      </c>
      <c r="BI3431">
        <v>1</v>
      </c>
      <c r="BJ3431">
        <v>0</v>
      </c>
      <c r="BK3431">
        <v>0</v>
      </c>
      <c r="BL3431">
        <v>0</v>
      </c>
      <c r="BO3431">
        <v>0</v>
      </c>
      <c r="BP3431">
        <v>0</v>
      </c>
      <c r="BW3431" t="str">
        <f t="shared" ref="BW3431:BW3437" si="1909">"14:57:26.283"</f>
        <v>14:57:26.283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7</v>
      </c>
      <c r="CP3431" t="s">
        <v>119</v>
      </c>
      <c r="CQ3431">
        <v>285</v>
      </c>
      <c r="CR3431">
        <v>0</v>
      </c>
      <c r="CW3431">
        <v>8879099</v>
      </c>
      <c r="CY3431">
        <v>0</v>
      </c>
      <c r="CZ3431">
        <v>0</v>
      </c>
      <c r="DA3431">
        <v>0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25">
      <c r="A3432" t="str">
        <f t="shared" si="1907"/>
        <v>06/05/2020 14:57:20.623</v>
      </c>
      <c r="C3432" t="str">
        <f t="shared" si="1906"/>
        <v>FFDFD3C0</v>
      </c>
      <c r="D3432" t="s">
        <v>141</v>
      </c>
      <c r="E3432">
        <v>20</v>
      </c>
      <c r="F3432">
        <v>1020</v>
      </c>
      <c r="G3432" t="s">
        <v>114</v>
      </c>
      <c r="J3432" t="s">
        <v>142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908"/>
        <v>14:57:26.281</v>
      </c>
      <c r="T3432" t="str">
        <f t="shared" si="1908"/>
        <v>14:57:26.281</v>
      </c>
      <c r="U3432" t="str">
        <f t="shared" si="1885"/>
        <v>ACC530</v>
      </c>
      <c r="V3432">
        <v>0</v>
      </c>
      <c r="W3432">
        <v>0</v>
      </c>
      <c r="X3432">
        <v>1</v>
      </c>
      <c r="Z3432">
        <v>0</v>
      </c>
      <c r="AA3432">
        <v>9</v>
      </c>
      <c r="AB3432">
        <v>3</v>
      </c>
      <c r="AC3432">
        <v>0</v>
      </c>
      <c r="AD3432">
        <v>9</v>
      </c>
      <c r="AE3432">
        <v>0</v>
      </c>
      <c r="AF3432">
        <v>3</v>
      </c>
      <c r="AG3432">
        <v>1</v>
      </c>
      <c r="AH3432">
        <v>0</v>
      </c>
      <c r="AI3432" t="s">
        <v>1129</v>
      </c>
      <c r="AJ3432">
        <v>34.086069999999999</v>
      </c>
      <c r="AK3432" t="s">
        <v>1130</v>
      </c>
      <c r="AL3432">
        <v>-117.030895</v>
      </c>
      <c r="AM3432">
        <v>100</v>
      </c>
      <c r="AN3432">
        <v>5500</v>
      </c>
      <c r="AO3432" t="s">
        <v>118</v>
      </c>
      <c r="AP3432">
        <v>76</v>
      </c>
      <c r="AQ3432">
        <v>-69</v>
      </c>
      <c r="AR3432">
        <v>-512</v>
      </c>
      <c r="AZ3432">
        <v>1200</v>
      </c>
      <c r="BA3432">
        <v>1</v>
      </c>
      <c r="BB3432" t="str">
        <f t="shared" si="1890"/>
        <v xml:space="preserve">N9217B  </v>
      </c>
      <c r="BC3432">
        <v>1</v>
      </c>
      <c r="BE3432">
        <v>0</v>
      </c>
      <c r="BF3432">
        <v>0</v>
      </c>
      <c r="BG3432">
        <v>0</v>
      </c>
      <c r="BH3432">
        <v>5350</v>
      </c>
      <c r="BI3432">
        <v>1</v>
      </c>
      <c r="BJ3432">
        <v>0</v>
      </c>
      <c r="BK3432">
        <v>0</v>
      </c>
      <c r="BL3432">
        <v>0</v>
      </c>
      <c r="BO3432">
        <v>0</v>
      </c>
      <c r="BP3432">
        <v>0</v>
      </c>
      <c r="BW3432" t="str">
        <f t="shared" si="1909"/>
        <v>14:57:26.283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7</v>
      </c>
      <c r="CP3432" t="s">
        <v>119</v>
      </c>
      <c r="CQ3432">
        <v>285</v>
      </c>
      <c r="CR3432">
        <v>0</v>
      </c>
      <c r="CW3432">
        <v>8879099</v>
      </c>
      <c r="CY3432">
        <v>0</v>
      </c>
      <c r="CZ3432">
        <v>0</v>
      </c>
      <c r="DA3432">
        <v>1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25">
      <c r="A3433" t="str">
        <f t="shared" si="1907"/>
        <v>06/05/2020 14:57:20.623</v>
      </c>
      <c r="C3433" t="str">
        <f t="shared" si="1906"/>
        <v>FFDFD3C0</v>
      </c>
      <c r="D3433" t="s">
        <v>113</v>
      </c>
      <c r="E3433">
        <v>3</v>
      </c>
      <c r="H3433">
        <v>166</v>
      </c>
      <c r="I3433" t="s">
        <v>114</v>
      </c>
      <c r="J3433" t="s">
        <v>115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908"/>
        <v>14:57:26.281</v>
      </c>
      <c r="T3433" t="str">
        <f t="shared" si="1908"/>
        <v>14:57:26.281</v>
      </c>
      <c r="U3433" t="str">
        <f t="shared" si="1885"/>
        <v>ACC530</v>
      </c>
      <c r="V3433">
        <v>0</v>
      </c>
      <c r="W3433">
        <v>0</v>
      </c>
      <c r="X3433">
        <v>1</v>
      </c>
      <c r="Z3433">
        <v>0</v>
      </c>
      <c r="AA3433">
        <v>9</v>
      </c>
      <c r="AB3433">
        <v>3</v>
      </c>
      <c r="AC3433">
        <v>0</v>
      </c>
      <c r="AD3433">
        <v>9</v>
      </c>
      <c r="AE3433">
        <v>0</v>
      </c>
      <c r="AF3433">
        <v>3</v>
      </c>
      <c r="AG3433">
        <v>1</v>
      </c>
      <c r="AH3433">
        <v>0</v>
      </c>
      <c r="AI3433" t="s">
        <v>1129</v>
      </c>
      <c r="AJ3433">
        <v>34.086069999999999</v>
      </c>
      <c r="AK3433" t="s">
        <v>1130</v>
      </c>
      <c r="AL3433">
        <v>-117.030895</v>
      </c>
      <c r="AM3433">
        <v>100</v>
      </c>
      <c r="AN3433">
        <v>5500</v>
      </c>
      <c r="AO3433" t="s">
        <v>118</v>
      </c>
      <c r="AP3433">
        <v>76</v>
      </c>
      <c r="AQ3433">
        <v>-69</v>
      </c>
      <c r="AR3433">
        <v>-512</v>
      </c>
      <c r="AZ3433">
        <v>1200</v>
      </c>
      <c r="BA3433">
        <v>1</v>
      </c>
      <c r="BB3433" t="str">
        <f t="shared" si="1890"/>
        <v xml:space="preserve">N9217B  </v>
      </c>
      <c r="BC3433">
        <v>1</v>
      </c>
      <c r="BE3433">
        <v>0</v>
      </c>
      <c r="BF3433">
        <v>0</v>
      </c>
      <c r="BG3433">
        <v>0</v>
      </c>
      <c r="BH3433">
        <v>5350</v>
      </c>
      <c r="BI3433">
        <v>1</v>
      </c>
      <c r="BJ3433">
        <v>0</v>
      </c>
      <c r="BK3433">
        <v>0</v>
      </c>
      <c r="BL3433">
        <v>0</v>
      </c>
      <c r="BO3433">
        <v>0</v>
      </c>
      <c r="BP3433">
        <v>0</v>
      </c>
      <c r="BW3433" t="str">
        <f t="shared" si="1909"/>
        <v>14:57:26.283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7</v>
      </c>
      <c r="CP3433" t="s">
        <v>119</v>
      </c>
      <c r="CQ3433">
        <v>285</v>
      </c>
      <c r="CR3433">
        <v>0</v>
      </c>
      <c r="CW3433">
        <v>8879099</v>
      </c>
      <c r="CY3433">
        <v>0</v>
      </c>
      <c r="CZ3433">
        <v>0</v>
      </c>
      <c r="DA3433">
        <v>1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25">
      <c r="A3434" t="str">
        <f t="shared" si="1907"/>
        <v>06/05/2020 14:57:20.623</v>
      </c>
      <c r="C3434" t="str">
        <f t="shared" si="1906"/>
        <v>FFDFD3C0</v>
      </c>
      <c r="D3434" t="s">
        <v>151</v>
      </c>
      <c r="E3434">
        <v>9</v>
      </c>
      <c r="H3434">
        <v>226</v>
      </c>
      <c r="I3434" t="s">
        <v>152</v>
      </c>
      <c r="J3434" t="s">
        <v>150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si="1908"/>
        <v>14:57:26.281</v>
      </c>
      <c r="T3434" t="str">
        <f t="shared" si="1908"/>
        <v>14:57:26.281</v>
      </c>
      <c r="U3434" t="str">
        <f t="shared" si="1885"/>
        <v>ACC530</v>
      </c>
      <c r="V3434">
        <v>0</v>
      </c>
      <c r="W3434">
        <v>0</v>
      </c>
      <c r="X3434">
        <v>1</v>
      </c>
      <c r="Z3434">
        <v>0</v>
      </c>
      <c r="AA3434">
        <v>9</v>
      </c>
      <c r="AB3434">
        <v>3</v>
      </c>
      <c r="AC3434">
        <v>0</v>
      </c>
      <c r="AD3434">
        <v>9</v>
      </c>
      <c r="AE3434">
        <v>0</v>
      </c>
      <c r="AF3434">
        <v>3</v>
      </c>
      <c r="AG3434">
        <v>1</v>
      </c>
      <c r="AH3434">
        <v>0</v>
      </c>
      <c r="AI3434" t="s">
        <v>1129</v>
      </c>
      <c r="AJ3434">
        <v>34.086069999999999</v>
      </c>
      <c r="AK3434" t="s">
        <v>1130</v>
      </c>
      <c r="AL3434">
        <v>-117.030895</v>
      </c>
      <c r="AM3434">
        <v>100</v>
      </c>
      <c r="AN3434">
        <v>5500</v>
      </c>
      <c r="AO3434" t="s">
        <v>118</v>
      </c>
      <c r="AP3434">
        <v>76</v>
      </c>
      <c r="AQ3434">
        <v>-69</v>
      </c>
      <c r="AR3434">
        <v>-512</v>
      </c>
      <c r="AZ3434">
        <v>1200</v>
      </c>
      <c r="BA3434">
        <v>1</v>
      </c>
      <c r="BB3434" t="str">
        <f t="shared" si="1890"/>
        <v xml:space="preserve">N9217B  </v>
      </c>
      <c r="BC3434">
        <v>1</v>
      </c>
      <c r="BE3434">
        <v>0</v>
      </c>
      <c r="BF3434">
        <v>0</v>
      </c>
      <c r="BG3434">
        <v>0</v>
      </c>
      <c r="BH3434">
        <v>5350</v>
      </c>
      <c r="BI3434">
        <v>1</v>
      </c>
      <c r="BJ3434">
        <v>0</v>
      </c>
      <c r="BK3434">
        <v>0</v>
      </c>
      <c r="BL3434">
        <v>0</v>
      </c>
      <c r="BO3434">
        <v>0</v>
      </c>
      <c r="BP3434">
        <v>0</v>
      </c>
      <c r="BW3434" t="str">
        <f t="shared" si="1909"/>
        <v>14:57:26.283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7</v>
      </c>
      <c r="CP3434" t="s">
        <v>119</v>
      </c>
      <c r="CQ3434">
        <v>285</v>
      </c>
      <c r="CR3434">
        <v>0</v>
      </c>
      <c r="CW3434">
        <v>8879099</v>
      </c>
      <c r="CY3434">
        <v>0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25">
      <c r="A3435" t="str">
        <f t="shared" si="1907"/>
        <v>06/05/2020 14:57:20.623</v>
      </c>
      <c r="C3435" t="str">
        <f t="shared" si="1906"/>
        <v>FFDFD3C0</v>
      </c>
      <c r="D3435" t="s">
        <v>148</v>
      </c>
      <c r="E3435">
        <v>11</v>
      </c>
      <c r="H3435">
        <v>53</v>
      </c>
      <c r="I3435" t="s">
        <v>364</v>
      </c>
      <c r="J3435" t="s">
        <v>150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908"/>
        <v>14:57:26.281</v>
      </c>
      <c r="T3435" t="str">
        <f t="shared" si="1908"/>
        <v>14:57:26.281</v>
      </c>
      <c r="U3435" t="str">
        <f t="shared" si="1885"/>
        <v>ACC530</v>
      </c>
      <c r="V3435">
        <v>0</v>
      </c>
      <c r="W3435">
        <v>0</v>
      </c>
      <c r="X3435">
        <v>1</v>
      </c>
      <c r="Z3435">
        <v>0</v>
      </c>
      <c r="AA3435">
        <v>9</v>
      </c>
      <c r="AB3435">
        <v>3</v>
      </c>
      <c r="AC3435">
        <v>0</v>
      </c>
      <c r="AD3435">
        <v>9</v>
      </c>
      <c r="AE3435">
        <v>0</v>
      </c>
      <c r="AF3435">
        <v>3</v>
      </c>
      <c r="AG3435">
        <v>1</v>
      </c>
      <c r="AH3435">
        <v>0</v>
      </c>
      <c r="AI3435" t="s">
        <v>1129</v>
      </c>
      <c r="AJ3435">
        <v>34.086069999999999</v>
      </c>
      <c r="AK3435" t="s">
        <v>1130</v>
      </c>
      <c r="AL3435">
        <v>-117.030895</v>
      </c>
      <c r="AM3435">
        <v>100</v>
      </c>
      <c r="AN3435">
        <v>5500</v>
      </c>
      <c r="AO3435" t="s">
        <v>118</v>
      </c>
      <c r="AP3435">
        <v>76</v>
      </c>
      <c r="AQ3435">
        <v>-69</v>
      </c>
      <c r="AR3435">
        <v>-512</v>
      </c>
      <c r="AZ3435">
        <v>1200</v>
      </c>
      <c r="BA3435">
        <v>1</v>
      </c>
      <c r="BB3435" t="str">
        <f t="shared" si="1890"/>
        <v xml:space="preserve">N9217B  </v>
      </c>
      <c r="BC3435">
        <v>1</v>
      </c>
      <c r="BE3435">
        <v>0</v>
      </c>
      <c r="BF3435">
        <v>0</v>
      </c>
      <c r="BG3435">
        <v>0</v>
      </c>
      <c r="BH3435">
        <v>5350</v>
      </c>
      <c r="BI3435">
        <v>1</v>
      </c>
      <c r="BJ3435">
        <v>0</v>
      </c>
      <c r="BK3435">
        <v>0</v>
      </c>
      <c r="BL3435">
        <v>0</v>
      </c>
      <c r="BO3435">
        <v>0</v>
      </c>
      <c r="BP3435">
        <v>0</v>
      </c>
      <c r="BW3435" t="str">
        <f t="shared" si="1909"/>
        <v>14:57:26.283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7</v>
      </c>
      <c r="CP3435" t="s">
        <v>119</v>
      </c>
      <c r="CQ3435">
        <v>285</v>
      </c>
      <c r="CR3435">
        <v>0</v>
      </c>
      <c r="CW3435">
        <v>8879099</v>
      </c>
      <c r="CY3435">
        <v>0</v>
      </c>
      <c r="CZ3435">
        <v>0</v>
      </c>
      <c r="DA3435">
        <v>1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25">
      <c r="A3436" t="str">
        <f t="shared" si="1907"/>
        <v>06/05/2020 14:57:20.623</v>
      </c>
      <c r="C3436" t="str">
        <f t="shared" si="1906"/>
        <v>FFDFD3C0</v>
      </c>
      <c r="D3436" t="s">
        <v>134</v>
      </c>
      <c r="E3436">
        <v>7</v>
      </c>
      <c r="F3436">
        <v>2007</v>
      </c>
      <c r="G3436" t="s">
        <v>135</v>
      </c>
      <c r="J3436" t="s">
        <v>136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908"/>
        <v>14:57:26.281</v>
      </c>
      <c r="T3436" t="str">
        <f t="shared" si="1908"/>
        <v>14:57:26.281</v>
      </c>
      <c r="U3436" t="str">
        <f t="shared" si="1885"/>
        <v>ACC530</v>
      </c>
      <c r="V3436">
        <v>0</v>
      </c>
      <c r="W3436">
        <v>0</v>
      </c>
      <c r="X3436">
        <v>1</v>
      </c>
      <c r="Z3436">
        <v>0</v>
      </c>
      <c r="AA3436">
        <v>9</v>
      </c>
      <c r="AB3436">
        <v>3</v>
      </c>
      <c r="AC3436">
        <v>0</v>
      </c>
      <c r="AD3436">
        <v>9</v>
      </c>
      <c r="AE3436">
        <v>0</v>
      </c>
      <c r="AF3436">
        <v>3</v>
      </c>
      <c r="AG3436">
        <v>1</v>
      </c>
      <c r="AH3436">
        <v>0</v>
      </c>
      <c r="AI3436" t="s">
        <v>1129</v>
      </c>
      <c r="AJ3436">
        <v>34.086069999999999</v>
      </c>
      <c r="AK3436" t="s">
        <v>1130</v>
      </c>
      <c r="AL3436">
        <v>-117.030895</v>
      </c>
      <c r="AM3436">
        <v>100</v>
      </c>
      <c r="AN3436">
        <v>5500</v>
      </c>
      <c r="AO3436" t="s">
        <v>118</v>
      </c>
      <c r="AP3436">
        <v>76</v>
      </c>
      <c r="AQ3436">
        <v>-69</v>
      </c>
      <c r="AR3436">
        <v>-512</v>
      </c>
      <c r="AZ3436">
        <v>1200</v>
      </c>
      <c r="BA3436">
        <v>1</v>
      </c>
      <c r="BB3436" t="str">
        <f t="shared" si="1890"/>
        <v xml:space="preserve">N9217B  </v>
      </c>
      <c r="BC3436">
        <v>1</v>
      </c>
      <c r="BE3436">
        <v>0</v>
      </c>
      <c r="BF3436">
        <v>0</v>
      </c>
      <c r="BG3436">
        <v>0</v>
      </c>
      <c r="BH3436">
        <v>5350</v>
      </c>
      <c r="BI3436">
        <v>1</v>
      </c>
      <c r="BJ3436">
        <v>0</v>
      </c>
      <c r="BK3436">
        <v>0</v>
      </c>
      <c r="BL3436">
        <v>0</v>
      </c>
      <c r="BO3436">
        <v>0</v>
      </c>
      <c r="BP3436">
        <v>0</v>
      </c>
      <c r="BW3436" t="str">
        <f t="shared" si="1909"/>
        <v>14:57:26.283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7</v>
      </c>
      <c r="CP3436" t="s">
        <v>119</v>
      </c>
      <c r="CQ3436">
        <v>285</v>
      </c>
      <c r="CR3436">
        <v>0</v>
      </c>
      <c r="CW3436">
        <v>8879099</v>
      </c>
      <c r="CY3436">
        <v>0</v>
      </c>
      <c r="CZ3436">
        <v>0</v>
      </c>
      <c r="DA3436">
        <v>1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25">
      <c r="A3437" t="str">
        <f t="shared" si="1907"/>
        <v>06/05/2020 14:57:20.623</v>
      </c>
      <c r="C3437" t="str">
        <f t="shared" si="1906"/>
        <v>FFDFD3C0</v>
      </c>
      <c r="D3437" t="s">
        <v>148</v>
      </c>
      <c r="E3437">
        <v>8</v>
      </c>
      <c r="H3437">
        <v>50</v>
      </c>
      <c r="I3437" t="s">
        <v>149</v>
      </c>
      <c r="J3437" t="s">
        <v>150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si="1908"/>
        <v>14:57:26.281</v>
      </c>
      <c r="T3437" t="str">
        <f t="shared" si="1908"/>
        <v>14:57:26.281</v>
      </c>
      <c r="U3437" t="str">
        <f t="shared" si="1885"/>
        <v>ACC530</v>
      </c>
      <c r="V3437">
        <v>0</v>
      </c>
      <c r="W3437">
        <v>0</v>
      </c>
      <c r="X3437">
        <v>1</v>
      </c>
      <c r="Z3437">
        <v>0</v>
      </c>
      <c r="AA3437">
        <v>9</v>
      </c>
      <c r="AB3437">
        <v>3</v>
      </c>
      <c r="AC3437">
        <v>0</v>
      </c>
      <c r="AD3437">
        <v>9</v>
      </c>
      <c r="AE3437">
        <v>0</v>
      </c>
      <c r="AF3437">
        <v>3</v>
      </c>
      <c r="AG3437">
        <v>1</v>
      </c>
      <c r="AH3437">
        <v>0</v>
      </c>
      <c r="AI3437" t="s">
        <v>1129</v>
      </c>
      <c r="AJ3437">
        <v>34.086069999999999</v>
      </c>
      <c r="AK3437" t="s">
        <v>1130</v>
      </c>
      <c r="AL3437">
        <v>-117.030895</v>
      </c>
      <c r="AM3437">
        <v>100</v>
      </c>
      <c r="AN3437">
        <v>5500</v>
      </c>
      <c r="AO3437" t="s">
        <v>118</v>
      </c>
      <c r="AP3437">
        <v>76</v>
      </c>
      <c r="AQ3437">
        <v>-69</v>
      </c>
      <c r="AR3437">
        <v>-512</v>
      </c>
      <c r="AZ3437">
        <v>1200</v>
      </c>
      <c r="BA3437">
        <v>1</v>
      </c>
      <c r="BB3437" t="str">
        <f t="shared" si="1890"/>
        <v xml:space="preserve">N9217B  </v>
      </c>
      <c r="BC3437">
        <v>1</v>
      </c>
      <c r="BE3437">
        <v>0</v>
      </c>
      <c r="BF3437">
        <v>0</v>
      </c>
      <c r="BG3437">
        <v>0</v>
      </c>
      <c r="BH3437">
        <v>5350</v>
      </c>
      <c r="BI3437">
        <v>1</v>
      </c>
      <c r="BJ3437">
        <v>0</v>
      </c>
      <c r="BK3437">
        <v>0</v>
      </c>
      <c r="BL3437">
        <v>0</v>
      </c>
      <c r="BO3437">
        <v>0</v>
      </c>
      <c r="BP3437">
        <v>0</v>
      </c>
      <c r="BW3437" t="str">
        <f t="shared" si="1909"/>
        <v>14:57:26.283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7</v>
      </c>
      <c r="CP3437" t="s">
        <v>119</v>
      </c>
      <c r="CQ3437">
        <v>285</v>
      </c>
      <c r="CR3437">
        <v>0</v>
      </c>
      <c r="CW3437">
        <v>8879099</v>
      </c>
      <c r="CY3437">
        <v>0</v>
      </c>
      <c r="CZ3437">
        <v>0</v>
      </c>
      <c r="DA3437">
        <v>1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25">
      <c r="A3438" t="str">
        <f t="shared" ref="A3438:A3444" si="1910">"06/05/2020 14:57:21.545"</f>
        <v>06/05/2020 14:57:21.545</v>
      </c>
      <c r="C3438" t="str">
        <f t="shared" si="1906"/>
        <v>FFDFD3C0</v>
      </c>
      <c r="D3438" t="s">
        <v>113</v>
      </c>
      <c r="E3438">
        <v>3</v>
      </c>
      <c r="H3438">
        <v>166</v>
      </c>
      <c r="I3438" t="s">
        <v>114</v>
      </c>
      <c r="J3438" t="s">
        <v>115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ref="S3438:S3444" si="1911">"14:57:27.211"</f>
        <v>14:57:27.211</v>
      </c>
      <c r="T3438" t="str">
        <f t="shared" ref="T3438:T3444" si="1912">"14:57:26.811"</f>
        <v>14:57:26.811</v>
      </c>
      <c r="U3438" t="str">
        <f t="shared" si="1885"/>
        <v>ACC530</v>
      </c>
      <c r="V3438">
        <v>0</v>
      </c>
      <c r="W3438">
        <v>0</v>
      </c>
      <c r="X3438">
        <v>1</v>
      </c>
      <c r="Z3438">
        <v>0</v>
      </c>
      <c r="AA3438">
        <v>9</v>
      </c>
      <c r="AB3438">
        <v>3</v>
      </c>
      <c r="AC3438">
        <v>0</v>
      </c>
      <c r="AD3438">
        <v>9</v>
      </c>
      <c r="AE3438">
        <v>0</v>
      </c>
      <c r="AF3438">
        <v>3</v>
      </c>
      <c r="AG3438">
        <v>1</v>
      </c>
      <c r="AH3438">
        <v>0</v>
      </c>
      <c r="AI3438" t="s">
        <v>1131</v>
      </c>
      <c r="AJ3438">
        <v>34.085769999999997</v>
      </c>
      <c r="AK3438" t="s">
        <v>1132</v>
      </c>
      <c r="AL3438">
        <v>-117.030509</v>
      </c>
      <c r="AM3438">
        <v>100</v>
      </c>
      <c r="AN3438">
        <v>5500</v>
      </c>
      <c r="AO3438" t="s">
        <v>118</v>
      </c>
      <c r="AP3438">
        <v>76</v>
      </c>
      <c r="AQ3438">
        <v>-69</v>
      </c>
      <c r="AR3438">
        <v>-512</v>
      </c>
      <c r="AZ3438">
        <v>1200</v>
      </c>
      <c r="BA3438">
        <v>1</v>
      </c>
      <c r="BB3438" t="str">
        <f t="shared" si="1890"/>
        <v xml:space="preserve">N9217B  </v>
      </c>
      <c r="BC3438">
        <v>1</v>
      </c>
      <c r="BE3438">
        <v>0</v>
      </c>
      <c r="BF3438">
        <v>0</v>
      </c>
      <c r="BG3438">
        <v>0</v>
      </c>
      <c r="BH3438">
        <v>5350</v>
      </c>
      <c r="BI3438">
        <v>1</v>
      </c>
      <c r="BJ3438">
        <v>0</v>
      </c>
      <c r="BK3438">
        <v>0</v>
      </c>
      <c r="BL3438">
        <v>0</v>
      </c>
      <c r="BO3438">
        <v>0</v>
      </c>
      <c r="BP3438">
        <v>0</v>
      </c>
      <c r="BW3438" t="str">
        <f t="shared" ref="BW3438:BW3444" si="1913">"14:57:27.213"</f>
        <v>14:57:27.213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7</v>
      </c>
      <c r="CP3438" t="s">
        <v>119</v>
      </c>
      <c r="CQ3438">
        <v>285</v>
      </c>
      <c r="CR3438">
        <v>0</v>
      </c>
      <c r="CW3438">
        <v>8879184</v>
      </c>
      <c r="CY3438">
        <v>0</v>
      </c>
      <c r="CZ3438">
        <v>0</v>
      </c>
      <c r="DA3438">
        <v>0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25">
      <c r="A3439" t="str">
        <f t="shared" si="1910"/>
        <v>06/05/2020 14:57:21.545</v>
      </c>
      <c r="C3439" t="str">
        <f t="shared" si="1906"/>
        <v>FFDFD3C0</v>
      </c>
      <c r="D3439" t="s">
        <v>151</v>
      </c>
      <c r="E3439">
        <v>9</v>
      </c>
      <c r="H3439">
        <v>226</v>
      </c>
      <c r="I3439" t="s">
        <v>152</v>
      </c>
      <c r="J3439" t="s">
        <v>150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911"/>
        <v>14:57:27.211</v>
      </c>
      <c r="T3439" t="str">
        <f t="shared" si="1912"/>
        <v>14:57:26.811</v>
      </c>
      <c r="U3439" t="str">
        <f t="shared" si="1885"/>
        <v>ACC530</v>
      </c>
      <c r="V3439">
        <v>0</v>
      </c>
      <c r="W3439">
        <v>0</v>
      </c>
      <c r="X3439">
        <v>1</v>
      </c>
      <c r="Z3439">
        <v>0</v>
      </c>
      <c r="AA3439">
        <v>9</v>
      </c>
      <c r="AB3439">
        <v>3</v>
      </c>
      <c r="AC3439">
        <v>0</v>
      </c>
      <c r="AD3439">
        <v>9</v>
      </c>
      <c r="AE3439">
        <v>0</v>
      </c>
      <c r="AF3439">
        <v>3</v>
      </c>
      <c r="AG3439">
        <v>1</v>
      </c>
      <c r="AH3439">
        <v>0</v>
      </c>
      <c r="AI3439" t="s">
        <v>1131</v>
      </c>
      <c r="AJ3439">
        <v>34.085769999999997</v>
      </c>
      <c r="AK3439" t="s">
        <v>1132</v>
      </c>
      <c r="AL3439">
        <v>-117.030509</v>
      </c>
      <c r="AM3439">
        <v>100</v>
      </c>
      <c r="AN3439">
        <v>5500</v>
      </c>
      <c r="AO3439" t="s">
        <v>118</v>
      </c>
      <c r="AP3439">
        <v>76</v>
      </c>
      <c r="AQ3439">
        <v>-69</v>
      </c>
      <c r="AR3439">
        <v>-512</v>
      </c>
      <c r="AZ3439">
        <v>1200</v>
      </c>
      <c r="BA3439">
        <v>1</v>
      </c>
      <c r="BB3439" t="str">
        <f t="shared" si="1890"/>
        <v xml:space="preserve">N9217B  </v>
      </c>
      <c r="BC3439">
        <v>1</v>
      </c>
      <c r="BE3439">
        <v>0</v>
      </c>
      <c r="BF3439">
        <v>0</v>
      </c>
      <c r="BG3439">
        <v>0</v>
      </c>
      <c r="BH3439">
        <v>5350</v>
      </c>
      <c r="BI3439">
        <v>1</v>
      </c>
      <c r="BJ3439">
        <v>0</v>
      </c>
      <c r="BK3439">
        <v>0</v>
      </c>
      <c r="BL3439">
        <v>0</v>
      </c>
      <c r="BO3439">
        <v>0</v>
      </c>
      <c r="BP3439">
        <v>0</v>
      </c>
      <c r="BW3439" t="str">
        <f t="shared" si="1913"/>
        <v>14:57:27.213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7</v>
      </c>
      <c r="CP3439" t="s">
        <v>119</v>
      </c>
      <c r="CQ3439">
        <v>285</v>
      </c>
      <c r="CR3439">
        <v>0</v>
      </c>
      <c r="CW3439">
        <v>8879184</v>
      </c>
      <c r="CY3439">
        <v>0</v>
      </c>
      <c r="CZ3439">
        <v>0</v>
      </c>
      <c r="DA3439">
        <v>1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25">
      <c r="A3440" t="str">
        <f t="shared" si="1910"/>
        <v>06/05/2020 14:57:21.545</v>
      </c>
      <c r="C3440" t="str">
        <f t="shared" si="1906"/>
        <v>FFDFD3C0</v>
      </c>
      <c r="D3440" t="s">
        <v>148</v>
      </c>
      <c r="E3440">
        <v>11</v>
      </c>
      <c r="H3440">
        <v>53</v>
      </c>
      <c r="I3440" t="s">
        <v>364</v>
      </c>
      <c r="J3440" t="s">
        <v>150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911"/>
        <v>14:57:27.211</v>
      </c>
      <c r="T3440" t="str">
        <f t="shared" si="1912"/>
        <v>14:57:26.811</v>
      </c>
      <c r="U3440" t="str">
        <f t="shared" si="1885"/>
        <v>ACC530</v>
      </c>
      <c r="V3440">
        <v>0</v>
      </c>
      <c r="W3440">
        <v>0</v>
      </c>
      <c r="X3440">
        <v>1</v>
      </c>
      <c r="Z3440">
        <v>0</v>
      </c>
      <c r="AA3440">
        <v>9</v>
      </c>
      <c r="AB3440">
        <v>3</v>
      </c>
      <c r="AC3440">
        <v>0</v>
      </c>
      <c r="AD3440">
        <v>9</v>
      </c>
      <c r="AE3440">
        <v>0</v>
      </c>
      <c r="AF3440">
        <v>3</v>
      </c>
      <c r="AG3440">
        <v>1</v>
      </c>
      <c r="AH3440">
        <v>0</v>
      </c>
      <c r="AI3440" t="s">
        <v>1131</v>
      </c>
      <c r="AJ3440">
        <v>34.085769999999997</v>
      </c>
      <c r="AK3440" t="s">
        <v>1132</v>
      </c>
      <c r="AL3440">
        <v>-117.030509</v>
      </c>
      <c r="AM3440">
        <v>100</v>
      </c>
      <c r="AN3440">
        <v>5500</v>
      </c>
      <c r="AO3440" t="s">
        <v>118</v>
      </c>
      <c r="AP3440">
        <v>76</v>
      </c>
      <c r="AQ3440">
        <v>-69</v>
      </c>
      <c r="AR3440">
        <v>-512</v>
      </c>
      <c r="AZ3440">
        <v>1200</v>
      </c>
      <c r="BA3440">
        <v>1</v>
      </c>
      <c r="BB3440" t="str">
        <f t="shared" si="1890"/>
        <v xml:space="preserve">N9217B  </v>
      </c>
      <c r="BC3440">
        <v>1</v>
      </c>
      <c r="BE3440">
        <v>0</v>
      </c>
      <c r="BF3440">
        <v>0</v>
      </c>
      <c r="BG3440">
        <v>0</v>
      </c>
      <c r="BH3440">
        <v>5350</v>
      </c>
      <c r="BI3440">
        <v>1</v>
      </c>
      <c r="BJ3440">
        <v>0</v>
      </c>
      <c r="BK3440">
        <v>0</v>
      </c>
      <c r="BL3440">
        <v>0</v>
      </c>
      <c r="BO3440">
        <v>0</v>
      </c>
      <c r="BP3440">
        <v>0</v>
      </c>
      <c r="BW3440" t="str">
        <f t="shared" si="1913"/>
        <v>14:57:27.213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7</v>
      </c>
      <c r="CP3440" t="s">
        <v>119</v>
      </c>
      <c r="CQ3440">
        <v>285</v>
      </c>
      <c r="CR3440">
        <v>0</v>
      </c>
      <c r="CW3440">
        <v>8879184</v>
      </c>
      <c r="CY3440">
        <v>0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25">
      <c r="A3441" t="str">
        <f t="shared" si="1910"/>
        <v>06/05/2020 14:57:21.545</v>
      </c>
      <c r="C3441" t="str">
        <f t="shared" si="1906"/>
        <v>FFDFD3C0</v>
      </c>
      <c r="D3441" t="s">
        <v>134</v>
      </c>
      <c r="E3441">
        <v>7</v>
      </c>
      <c r="F3441">
        <v>2007</v>
      </c>
      <c r="G3441" t="s">
        <v>135</v>
      </c>
      <c r="J3441" t="s">
        <v>136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911"/>
        <v>14:57:27.211</v>
      </c>
      <c r="T3441" t="str">
        <f t="shared" si="1912"/>
        <v>14:57:26.811</v>
      </c>
      <c r="U3441" t="str">
        <f t="shared" si="1885"/>
        <v>ACC530</v>
      </c>
      <c r="V3441">
        <v>0</v>
      </c>
      <c r="W3441">
        <v>0</v>
      </c>
      <c r="X3441">
        <v>1</v>
      </c>
      <c r="Z3441">
        <v>0</v>
      </c>
      <c r="AA3441">
        <v>9</v>
      </c>
      <c r="AB3441">
        <v>3</v>
      </c>
      <c r="AC3441">
        <v>0</v>
      </c>
      <c r="AD3441">
        <v>9</v>
      </c>
      <c r="AE3441">
        <v>0</v>
      </c>
      <c r="AF3441">
        <v>3</v>
      </c>
      <c r="AG3441">
        <v>1</v>
      </c>
      <c r="AH3441">
        <v>0</v>
      </c>
      <c r="AI3441" t="s">
        <v>1131</v>
      </c>
      <c r="AJ3441">
        <v>34.085769999999997</v>
      </c>
      <c r="AK3441" t="s">
        <v>1132</v>
      </c>
      <c r="AL3441">
        <v>-117.030509</v>
      </c>
      <c r="AM3441">
        <v>100</v>
      </c>
      <c r="AN3441">
        <v>5500</v>
      </c>
      <c r="AO3441" t="s">
        <v>118</v>
      </c>
      <c r="AP3441">
        <v>76</v>
      </c>
      <c r="AQ3441">
        <v>-69</v>
      </c>
      <c r="AR3441">
        <v>-512</v>
      </c>
      <c r="AZ3441">
        <v>1200</v>
      </c>
      <c r="BA3441">
        <v>1</v>
      </c>
      <c r="BB3441" t="str">
        <f t="shared" si="1890"/>
        <v xml:space="preserve">N9217B  </v>
      </c>
      <c r="BC3441">
        <v>1</v>
      </c>
      <c r="BE3441">
        <v>0</v>
      </c>
      <c r="BF3441">
        <v>0</v>
      </c>
      <c r="BG3441">
        <v>0</v>
      </c>
      <c r="BH3441">
        <v>5350</v>
      </c>
      <c r="BI3441">
        <v>1</v>
      </c>
      <c r="BJ3441">
        <v>0</v>
      </c>
      <c r="BK3441">
        <v>0</v>
      </c>
      <c r="BL3441">
        <v>0</v>
      </c>
      <c r="BO3441">
        <v>0</v>
      </c>
      <c r="BP3441">
        <v>0</v>
      </c>
      <c r="BW3441" t="str">
        <f t="shared" si="1913"/>
        <v>14:57:27.213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7</v>
      </c>
      <c r="CP3441" t="s">
        <v>119</v>
      </c>
      <c r="CQ3441">
        <v>285</v>
      </c>
      <c r="CR3441">
        <v>0</v>
      </c>
      <c r="CW3441">
        <v>8879184</v>
      </c>
      <c r="CY3441">
        <v>0</v>
      </c>
      <c r="CZ3441">
        <v>0</v>
      </c>
      <c r="DA3441">
        <v>1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25">
      <c r="A3442" t="str">
        <f t="shared" si="1910"/>
        <v>06/05/2020 14:57:21.545</v>
      </c>
      <c r="C3442" t="str">
        <f t="shared" si="1906"/>
        <v>FFDFD3C0</v>
      </c>
      <c r="D3442" t="s">
        <v>148</v>
      </c>
      <c r="E3442">
        <v>8</v>
      </c>
      <c r="H3442">
        <v>50</v>
      </c>
      <c r="I3442" t="s">
        <v>149</v>
      </c>
      <c r="J3442" t="s">
        <v>150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911"/>
        <v>14:57:27.211</v>
      </c>
      <c r="T3442" t="str">
        <f t="shared" si="1912"/>
        <v>14:57:26.811</v>
      </c>
      <c r="U3442" t="str">
        <f t="shared" si="1885"/>
        <v>ACC530</v>
      </c>
      <c r="V3442">
        <v>0</v>
      </c>
      <c r="W3442">
        <v>0</v>
      </c>
      <c r="X3442">
        <v>1</v>
      </c>
      <c r="Z3442">
        <v>0</v>
      </c>
      <c r="AA3442">
        <v>9</v>
      </c>
      <c r="AB3442">
        <v>3</v>
      </c>
      <c r="AC3442">
        <v>0</v>
      </c>
      <c r="AD3442">
        <v>9</v>
      </c>
      <c r="AE3442">
        <v>0</v>
      </c>
      <c r="AF3442">
        <v>3</v>
      </c>
      <c r="AG3442">
        <v>1</v>
      </c>
      <c r="AH3442">
        <v>0</v>
      </c>
      <c r="AI3442" t="s">
        <v>1131</v>
      </c>
      <c r="AJ3442">
        <v>34.085769999999997</v>
      </c>
      <c r="AK3442" t="s">
        <v>1132</v>
      </c>
      <c r="AL3442">
        <v>-117.030509</v>
      </c>
      <c r="AM3442">
        <v>100</v>
      </c>
      <c r="AN3442">
        <v>5500</v>
      </c>
      <c r="AO3442" t="s">
        <v>118</v>
      </c>
      <c r="AP3442">
        <v>76</v>
      </c>
      <c r="AQ3442">
        <v>-69</v>
      </c>
      <c r="AR3442">
        <v>-512</v>
      </c>
      <c r="AZ3442">
        <v>1200</v>
      </c>
      <c r="BA3442">
        <v>1</v>
      </c>
      <c r="BB3442" t="str">
        <f t="shared" si="1890"/>
        <v xml:space="preserve">N9217B  </v>
      </c>
      <c r="BC3442">
        <v>1</v>
      </c>
      <c r="BE3442">
        <v>0</v>
      </c>
      <c r="BF3442">
        <v>0</v>
      </c>
      <c r="BG3442">
        <v>0</v>
      </c>
      <c r="BH3442">
        <v>5350</v>
      </c>
      <c r="BI3442">
        <v>1</v>
      </c>
      <c r="BJ3442">
        <v>0</v>
      </c>
      <c r="BK3442">
        <v>0</v>
      </c>
      <c r="BL3442">
        <v>0</v>
      </c>
      <c r="BO3442">
        <v>0</v>
      </c>
      <c r="BP3442">
        <v>0</v>
      </c>
      <c r="BW3442" t="str">
        <f t="shared" si="1913"/>
        <v>14:57:27.213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7</v>
      </c>
      <c r="CP3442" t="s">
        <v>119</v>
      </c>
      <c r="CQ3442">
        <v>285</v>
      </c>
      <c r="CR3442">
        <v>0</v>
      </c>
      <c r="CW3442">
        <v>8879184</v>
      </c>
      <c r="CY3442">
        <v>0</v>
      </c>
      <c r="CZ3442">
        <v>0</v>
      </c>
      <c r="DA3442">
        <v>1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25">
      <c r="A3443" t="str">
        <f t="shared" si="1910"/>
        <v>06/05/2020 14:57:21.545</v>
      </c>
      <c r="C3443" t="str">
        <f t="shared" si="1906"/>
        <v>FFDFD3C0</v>
      </c>
      <c r="D3443" t="s">
        <v>151</v>
      </c>
      <c r="E3443">
        <v>8</v>
      </c>
      <c r="H3443">
        <v>225</v>
      </c>
      <c r="I3443" t="s">
        <v>353</v>
      </c>
      <c r="J3443" t="s">
        <v>150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911"/>
        <v>14:57:27.211</v>
      </c>
      <c r="T3443" t="str">
        <f t="shared" si="1912"/>
        <v>14:57:26.811</v>
      </c>
      <c r="U3443" t="str">
        <f t="shared" si="1885"/>
        <v>ACC530</v>
      </c>
      <c r="V3443">
        <v>0</v>
      </c>
      <c r="W3443">
        <v>0</v>
      </c>
      <c r="X3443">
        <v>1</v>
      </c>
      <c r="Z3443">
        <v>0</v>
      </c>
      <c r="AA3443">
        <v>9</v>
      </c>
      <c r="AB3443">
        <v>3</v>
      </c>
      <c r="AC3443">
        <v>0</v>
      </c>
      <c r="AD3443">
        <v>9</v>
      </c>
      <c r="AE3443">
        <v>0</v>
      </c>
      <c r="AF3443">
        <v>3</v>
      </c>
      <c r="AG3443">
        <v>1</v>
      </c>
      <c r="AH3443">
        <v>0</v>
      </c>
      <c r="AI3443" t="s">
        <v>1131</v>
      </c>
      <c r="AJ3443">
        <v>34.085769999999997</v>
      </c>
      <c r="AK3443" t="s">
        <v>1132</v>
      </c>
      <c r="AL3443">
        <v>-117.030509</v>
      </c>
      <c r="AM3443">
        <v>100</v>
      </c>
      <c r="AN3443">
        <v>5500</v>
      </c>
      <c r="AO3443" t="s">
        <v>118</v>
      </c>
      <c r="AP3443">
        <v>76</v>
      </c>
      <c r="AQ3443">
        <v>-69</v>
      </c>
      <c r="AR3443">
        <v>-512</v>
      </c>
      <c r="AZ3443">
        <v>1200</v>
      </c>
      <c r="BA3443">
        <v>1</v>
      </c>
      <c r="BB3443" t="str">
        <f t="shared" si="1890"/>
        <v xml:space="preserve">N9217B  </v>
      </c>
      <c r="BC3443">
        <v>1</v>
      </c>
      <c r="BE3443">
        <v>0</v>
      </c>
      <c r="BF3443">
        <v>0</v>
      </c>
      <c r="BG3443">
        <v>0</v>
      </c>
      <c r="BH3443">
        <v>5350</v>
      </c>
      <c r="BI3443">
        <v>1</v>
      </c>
      <c r="BJ3443">
        <v>0</v>
      </c>
      <c r="BK3443">
        <v>0</v>
      </c>
      <c r="BL3443">
        <v>0</v>
      </c>
      <c r="BO3443">
        <v>0</v>
      </c>
      <c r="BP3443">
        <v>0</v>
      </c>
      <c r="BW3443" t="str">
        <f t="shared" si="1913"/>
        <v>14:57:27.213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7</v>
      </c>
      <c r="CP3443" t="s">
        <v>119</v>
      </c>
      <c r="CQ3443">
        <v>285</v>
      </c>
      <c r="CR3443">
        <v>0</v>
      </c>
      <c r="CW3443">
        <v>8879184</v>
      </c>
      <c r="CY3443">
        <v>0</v>
      </c>
      <c r="CZ3443">
        <v>0</v>
      </c>
      <c r="DA3443">
        <v>1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25">
      <c r="A3444" t="str">
        <f t="shared" si="1910"/>
        <v>06/05/2020 14:57:21.545</v>
      </c>
      <c r="C3444" t="str">
        <f t="shared" si="1906"/>
        <v>FFDFD3C0</v>
      </c>
      <c r="D3444" t="s">
        <v>141</v>
      </c>
      <c r="E3444">
        <v>20</v>
      </c>
      <c r="F3444">
        <v>1020</v>
      </c>
      <c r="G3444" t="s">
        <v>114</v>
      </c>
      <c r="J3444" t="s">
        <v>142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911"/>
        <v>14:57:27.211</v>
      </c>
      <c r="T3444" t="str">
        <f t="shared" si="1912"/>
        <v>14:57:26.811</v>
      </c>
      <c r="U3444" t="str">
        <f t="shared" si="1885"/>
        <v>ACC530</v>
      </c>
      <c r="V3444">
        <v>0</v>
      </c>
      <c r="W3444">
        <v>0</v>
      </c>
      <c r="X3444">
        <v>1</v>
      </c>
      <c r="Z3444">
        <v>0</v>
      </c>
      <c r="AA3444">
        <v>9</v>
      </c>
      <c r="AB3444">
        <v>3</v>
      </c>
      <c r="AC3444">
        <v>0</v>
      </c>
      <c r="AD3444">
        <v>9</v>
      </c>
      <c r="AE3444">
        <v>0</v>
      </c>
      <c r="AF3444">
        <v>3</v>
      </c>
      <c r="AG3444">
        <v>1</v>
      </c>
      <c r="AH3444">
        <v>0</v>
      </c>
      <c r="AI3444" t="s">
        <v>1131</v>
      </c>
      <c r="AJ3444">
        <v>34.085769999999997</v>
      </c>
      <c r="AK3444" t="s">
        <v>1132</v>
      </c>
      <c r="AL3444">
        <v>-117.030509</v>
      </c>
      <c r="AM3444">
        <v>100</v>
      </c>
      <c r="AN3444">
        <v>5500</v>
      </c>
      <c r="AO3444" t="s">
        <v>118</v>
      </c>
      <c r="AP3444">
        <v>76</v>
      </c>
      <c r="AQ3444">
        <v>-69</v>
      </c>
      <c r="AR3444">
        <v>-512</v>
      </c>
      <c r="AZ3444">
        <v>1200</v>
      </c>
      <c r="BA3444">
        <v>1</v>
      </c>
      <c r="BB3444" t="str">
        <f t="shared" si="1890"/>
        <v xml:space="preserve">N9217B  </v>
      </c>
      <c r="BC3444">
        <v>1</v>
      </c>
      <c r="BE3444">
        <v>0</v>
      </c>
      <c r="BF3444">
        <v>0</v>
      </c>
      <c r="BG3444">
        <v>0</v>
      </c>
      <c r="BH3444">
        <v>5350</v>
      </c>
      <c r="BI3444">
        <v>1</v>
      </c>
      <c r="BJ3444">
        <v>0</v>
      </c>
      <c r="BK3444">
        <v>0</v>
      </c>
      <c r="BL3444">
        <v>0</v>
      </c>
      <c r="BO3444">
        <v>0</v>
      </c>
      <c r="BP3444">
        <v>0</v>
      </c>
      <c r="BW3444" t="str">
        <f t="shared" si="1913"/>
        <v>14:57:27.213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7</v>
      </c>
      <c r="CP3444" t="s">
        <v>119</v>
      </c>
      <c r="CQ3444">
        <v>285</v>
      </c>
      <c r="CR3444">
        <v>0</v>
      </c>
      <c r="CW3444">
        <v>8879184</v>
      </c>
      <c r="CY3444">
        <v>0</v>
      </c>
      <c r="CZ3444">
        <v>0</v>
      </c>
      <c r="DA3444">
        <v>1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25">
      <c r="A3445" t="str">
        <f t="shared" ref="A3445:A3451" si="1914">"06/05/2020 14:57:22.579"</f>
        <v>06/05/2020 14:57:22.579</v>
      </c>
      <c r="C3445" t="str">
        <f t="shared" si="1906"/>
        <v>FFDFD3C0</v>
      </c>
      <c r="D3445" t="s">
        <v>148</v>
      </c>
      <c r="E3445">
        <v>11</v>
      </c>
      <c r="H3445">
        <v>53</v>
      </c>
      <c r="I3445" t="s">
        <v>364</v>
      </c>
      <c r="J3445" t="s">
        <v>150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ref="S3445:S3451" si="1915">"14:57:28.227"</f>
        <v>14:57:28.227</v>
      </c>
      <c r="T3445" t="str">
        <f t="shared" ref="T3445:T3451" si="1916">"14:57:27.827"</f>
        <v>14:57:27.827</v>
      </c>
      <c r="U3445" t="str">
        <f t="shared" si="1885"/>
        <v>ACC530</v>
      </c>
      <c r="V3445">
        <v>0</v>
      </c>
      <c r="W3445">
        <v>0</v>
      </c>
      <c r="X3445">
        <v>1</v>
      </c>
      <c r="Z3445">
        <v>0</v>
      </c>
      <c r="AA3445">
        <v>9</v>
      </c>
      <c r="AB3445">
        <v>3</v>
      </c>
      <c r="AC3445">
        <v>0</v>
      </c>
      <c r="AD3445">
        <v>9</v>
      </c>
      <c r="AE3445">
        <v>0</v>
      </c>
      <c r="AF3445">
        <v>3</v>
      </c>
      <c r="AG3445">
        <v>1</v>
      </c>
      <c r="AH3445">
        <v>0</v>
      </c>
      <c r="AI3445" t="s">
        <v>1133</v>
      </c>
      <c r="AJ3445">
        <v>34.085448</v>
      </c>
      <c r="AK3445" t="s">
        <v>1134</v>
      </c>
      <c r="AL3445">
        <v>-117.030079</v>
      </c>
      <c r="AM3445">
        <v>100</v>
      </c>
      <c r="AN3445">
        <v>5500</v>
      </c>
      <c r="AO3445" t="s">
        <v>118</v>
      </c>
      <c r="AP3445">
        <v>77</v>
      </c>
      <c r="AQ3445">
        <v>-68</v>
      </c>
      <c r="AR3445">
        <v>-512</v>
      </c>
      <c r="AZ3445">
        <v>1200</v>
      </c>
      <c r="BA3445">
        <v>1</v>
      </c>
      <c r="BB3445" t="str">
        <f t="shared" si="1890"/>
        <v xml:space="preserve">N9217B  </v>
      </c>
      <c r="BC3445">
        <v>1</v>
      </c>
      <c r="BE3445">
        <v>0</v>
      </c>
      <c r="BF3445">
        <v>0</v>
      </c>
      <c r="BG3445">
        <v>0</v>
      </c>
      <c r="BH3445">
        <v>5325</v>
      </c>
      <c r="BI3445">
        <v>1</v>
      </c>
      <c r="BJ3445">
        <v>0</v>
      </c>
      <c r="BK3445">
        <v>0</v>
      </c>
      <c r="BL3445">
        <v>0</v>
      </c>
      <c r="BO3445">
        <v>0</v>
      </c>
      <c r="BP3445">
        <v>0</v>
      </c>
      <c r="BW3445" t="str">
        <f t="shared" ref="BW3445:BW3451" si="1917">"14:57:28.233"</f>
        <v>14:57:28.233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7</v>
      </c>
      <c r="CP3445" t="s">
        <v>119</v>
      </c>
      <c r="CQ3445">
        <v>285</v>
      </c>
      <c r="CR3445">
        <v>0</v>
      </c>
      <c r="CW3445">
        <v>8879267</v>
      </c>
      <c r="CY3445">
        <v>0</v>
      </c>
      <c r="CZ3445">
        <v>0</v>
      </c>
      <c r="DA3445">
        <v>0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25">
      <c r="A3446" t="str">
        <f t="shared" si="1914"/>
        <v>06/05/2020 14:57:22.579</v>
      </c>
      <c r="C3446" t="str">
        <f t="shared" si="1906"/>
        <v>FFDFD3C0</v>
      </c>
      <c r="D3446" t="s">
        <v>134</v>
      </c>
      <c r="E3446">
        <v>7</v>
      </c>
      <c r="F3446">
        <v>2007</v>
      </c>
      <c r="G3446" t="s">
        <v>135</v>
      </c>
      <c r="J3446" t="s">
        <v>136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si="1915"/>
        <v>14:57:28.227</v>
      </c>
      <c r="T3446" t="str">
        <f t="shared" si="1916"/>
        <v>14:57:27.827</v>
      </c>
      <c r="U3446" t="str">
        <f t="shared" si="1885"/>
        <v>ACC530</v>
      </c>
      <c r="V3446">
        <v>0</v>
      </c>
      <c r="W3446">
        <v>0</v>
      </c>
      <c r="X3446">
        <v>1</v>
      </c>
      <c r="Z3446">
        <v>0</v>
      </c>
      <c r="AA3446">
        <v>9</v>
      </c>
      <c r="AB3446">
        <v>3</v>
      </c>
      <c r="AC3446">
        <v>0</v>
      </c>
      <c r="AD3446">
        <v>9</v>
      </c>
      <c r="AE3446">
        <v>0</v>
      </c>
      <c r="AF3446">
        <v>3</v>
      </c>
      <c r="AG3446">
        <v>1</v>
      </c>
      <c r="AH3446">
        <v>0</v>
      </c>
      <c r="AI3446" t="s">
        <v>1133</v>
      </c>
      <c r="AJ3446">
        <v>34.085448</v>
      </c>
      <c r="AK3446" t="s">
        <v>1134</v>
      </c>
      <c r="AL3446">
        <v>-117.030079</v>
      </c>
      <c r="AM3446">
        <v>100</v>
      </c>
      <c r="AN3446">
        <v>5500</v>
      </c>
      <c r="AO3446" t="s">
        <v>118</v>
      </c>
      <c r="AP3446">
        <v>77</v>
      </c>
      <c r="AQ3446">
        <v>-68</v>
      </c>
      <c r="AR3446">
        <v>-512</v>
      </c>
      <c r="AZ3446">
        <v>1200</v>
      </c>
      <c r="BA3446">
        <v>1</v>
      </c>
      <c r="BB3446" t="str">
        <f t="shared" si="1890"/>
        <v xml:space="preserve">N9217B  </v>
      </c>
      <c r="BC3446">
        <v>1</v>
      </c>
      <c r="BE3446">
        <v>0</v>
      </c>
      <c r="BF3446">
        <v>0</v>
      </c>
      <c r="BG3446">
        <v>0</v>
      </c>
      <c r="BH3446">
        <v>5325</v>
      </c>
      <c r="BI3446">
        <v>1</v>
      </c>
      <c r="BJ3446">
        <v>0</v>
      </c>
      <c r="BK3446">
        <v>0</v>
      </c>
      <c r="BL3446">
        <v>0</v>
      </c>
      <c r="BO3446">
        <v>0</v>
      </c>
      <c r="BP3446">
        <v>0</v>
      </c>
      <c r="BW3446" t="str">
        <f t="shared" si="1917"/>
        <v>14:57:28.233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7</v>
      </c>
      <c r="CP3446" t="s">
        <v>119</v>
      </c>
      <c r="CQ3446">
        <v>285</v>
      </c>
      <c r="CR3446">
        <v>0</v>
      </c>
      <c r="CW3446">
        <v>8879267</v>
      </c>
      <c r="CY3446">
        <v>0</v>
      </c>
      <c r="CZ3446">
        <v>0</v>
      </c>
      <c r="DA3446">
        <v>1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25">
      <c r="A3447" t="str">
        <f t="shared" si="1914"/>
        <v>06/05/2020 14:57:22.579</v>
      </c>
      <c r="C3447" t="str">
        <f t="shared" si="1906"/>
        <v>FFDFD3C0</v>
      </c>
      <c r="D3447" t="s">
        <v>148</v>
      </c>
      <c r="E3447">
        <v>8</v>
      </c>
      <c r="H3447">
        <v>50</v>
      </c>
      <c r="I3447" t="s">
        <v>149</v>
      </c>
      <c r="J3447" t="s">
        <v>150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915"/>
        <v>14:57:28.227</v>
      </c>
      <c r="T3447" t="str">
        <f t="shared" si="1916"/>
        <v>14:57:27.827</v>
      </c>
      <c r="U3447" t="str">
        <f t="shared" si="1885"/>
        <v>ACC530</v>
      </c>
      <c r="V3447">
        <v>0</v>
      </c>
      <c r="W3447">
        <v>0</v>
      </c>
      <c r="X3447">
        <v>1</v>
      </c>
      <c r="Z3447">
        <v>0</v>
      </c>
      <c r="AA3447">
        <v>9</v>
      </c>
      <c r="AB3447">
        <v>3</v>
      </c>
      <c r="AC3447">
        <v>0</v>
      </c>
      <c r="AD3447">
        <v>9</v>
      </c>
      <c r="AE3447">
        <v>0</v>
      </c>
      <c r="AF3447">
        <v>3</v>
      </c>
      <c r="AG3447">
        <v>1</v>
      </c>
      <c r="AH3447">
        <v>0</v>
      </c>
      <c r="AI3447" t="s">
        <v>1133</v>
      </c>
      <c r="AJ3447">
        <v>34.085448</v>
      </c>
      <c r="AK3447" t="s">
        <v>1134</v>
      </c>
      <c r="AL3447">
        <v>-117.030079</v>
      </c>
      <c r="AM3447">
        <v>100</v>
      </c>
      <c r="AN3447">
        <v>5500</v>
      </c>
      <c r="AO3447" t="s">
        <v>118</v>
      </c>
      <c r="AP3447">
        <v>77</v>
      </c>
      <c r="AQ3447">
        <v>-68</v>
      </c>
      <c r="AR3447">
        <v>-512</v>
      </c>
      <c r="AZ3447">
        <v>1200</v>
      </c>
      <c r="BA3447">
        <v>1</v>
      </c>
      <c r="BB3447" t="str">
        <f t="shared" si="1890"/>
        <v xml:space="preserve">N9217B  </v>
      </c>
      <c r="BC3447">
        <v>1</v>
      </c>
      <c r="BE3447">
        <v>0</v>
      </c>
      <c r="BF3447">
        <v>0</v>
      </c>
      <c r="BG3447">
        <v>0</v>
      </c>
      <c r="BH3447">
        <v>5325</v>
      </c>
      <c r="BI3447">
        <v>1</v>
      </c>
      <c r="BJ3447">
        <v>0</v>
      </c>
      <c r="BK3447">
        <v>0</v>
      </c>
      <c r="BL3447">
        <v>0</v>
      </c>
      <c r="BO3447">
        <v>0</v>
      </c>
      <c r="BP3447">
        <v>0</v>
      </c>
      <c r="BW3447" t="str">
        <f t="shared" si="1917"/>
        <v>14:57:28.233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7</v>
      </c>
      <c r="CP3447" t="s">
        <v>119</v>
      </c>
      <c r="CQ3447">
        <v>285</v>
      </c>
      <c r="CR3447">
        <v>0</v>
      </c>
      <c r="CW3447">
        <v>8879267</v>
      </c>
      <c r="CY3447">
        <v>0</v>
      </c>
      <c r="CZ3447">
        <v>0</v>
      </c>
      <c r="DA3447">
        <v>1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25">
      <c r="A3448" t="str">
        <f t="shared" si="1914"/>
        <v>06/05/2020 14:57:22.579</v>
      </c>
      <c r="C3448" t="str">
        <f t="shared" si="1906"/>
        <v>FFDFD3C0</v>
      </c>
      <c r="D3448" t="s">
        <v>151</v>
      </c>
      <c r="E3448">
        <v>8</v>
      </c>
      <c r="H3448">
        <v>225</v>
      </c>
      <c r="I3448" t="s">
        <v>353</v>
      </c>
      <c r="J3448" t="s">
        <v>150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si="1915"/>
        <v>14:57:28.227</v>
      </c>
      <c r="T3448" t="str">
        <f t="shared" si="1916"/>
        <v>14:57:27.827</v>
      </c>
      <c r="U3448" t="str">
        <f t="shared" si="1885"/>
        <v>ACC530</v>
      </c>
      <c r="V3448">
        <v>0</v>
      </c>
      <c r="W3448">
        <v>0</v>
      </c>
      <c r="X3448">
        <v>1</v>
      </c>
      <c r="Z3448">
        <v>0</v>
      </c>
      <c r="AA3448">
        <v>9</v>
      </c>
      <c r="AB3448">
        <v>3</v>
      </c>
      <c r="AC3448">
        <v>0</v>
      </c>
      <c r="AD3448">
        <v>9</v>
      </c>
      <c r="AE3448">
        <v>0</v>
      </c>
      <c r="AF3448">
        <v>3</v>
      </c>
      <c r="AG3448">
        <v>1</v>
      </c>
      <c r="AH3448">
        <v>0</v>
      </c>
      <c r="AI3448" t="s">
        <v>1133</v>
      </c>
      <c r="AJ3448">
        <v>34.085448</v>
      </c>
      <c r="AK3448" t="s">
        <v>1134</v>
      </c>
      <c r="AL3448">
        <v>-117.030079</v>
      </c>
      <c r="AM3448">
        <v>100</v>
      </c>
      <c r="AN3448">
        <v>5500</v>
      </c>
      <c r="AO3448" t="s">
        <v>118</v>
      </c>
      <c r="AP3448">
        <v>77</v>
      </c>
      <c r="AQ3448">
        <v>-68</v>
      </c>
      <c r="AR3448">
        <v>-512</v>
      </c>
      <c r="AZ3448">
        <v>1200</v>
      </c>
      <c r="BA3448">
        <v>1</v>
      </c>
      <c r="BB3448" t="str">
        <f t="shared" si="1890"/>
        <v xml:space="preserve">N9217B  </v>
      </c>
      <c r="BC3448">
        <v>1</v>
      </c>
      <c r="BE3448">
        <v>0</v>
      </c>
      <c r="BF3448">
        <v>0</v>
      </c>
      <c r="BG3448">
        <v>0</v>
      </c>
      <c r="BH3448">
        <v>5325</v>
      </c>
      <c r="BI3448">
        <v>1</v>
      </c>
      <c r="BJ3448">
        <v>0</v>
      </c>
      <c r="BK3448">
        <v>0</v>
      </c>
      <c r="BL3448">
        <v>0</v>
      </c>
      <c r="BO3448">
        <v>0</v>
      </c>
      <c r="BP3448">
        <v>0</v>
      </c>
      <c r="BW3448" t="str">
        <f t="shared" si="1917"/>
        <v>14:57:28.233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7</v>
      </c>
      <c r="CP3448" t="s">
        <v>119</v>
      </c>
      <c r="CQ3448">
        <v>285</v>
      </c>
      <c r="CR3448">
        <v>0</v>
      </c>
      <c r="CW3448">
        <v>8879267</v>
      </c>
      <c r="CY3448">
        <v>0</v>
      </c>
      <c r="CZ3448">
        <v>0</v>
      </c>
      <c r="DA3448">
        <v>1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25">
      <c r="A3449" t="str">
        <f t="shared" si="1914"/>
        <v>06/05/2020 14:57:22.579</v>
      </c>
      <c r="C3449" t="str">
        <f t="shared" si="1906"/>
        <v>FFDFD3C0</v>
      </c>
      <c r="D3449" t="s">
        <v>141</v>
      </c>
      <c r="E3449">
        <v>20</v>
      </c>
      <c r="F3449">
        <v>1020</v>
      </c>
      <c r="G3449" t="s">
        <v>114</v>
      </c>
      <c r="J3449" t="s">
        <v>142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915"/>
        <v>14:57:28.227</v>
      </c>
      <c r="T3449" t="str">
        <f t="shared" si="1916"/>
        <v>14:57:27.827</v>
      </c>
      <c r="U3449" t="str">
        <f t="shared" si="1885"/>
        <v>ACC530</v>
      </c>
      <c r="V3449">
        <v>0</v>
      </c>
      <c r="W3449">
        <v>0</v>
      </c>
      <c r="X3449">
        <v>1</v>
      </c>
      <c r="Z3449">
        <v>0</v>
      </c>
      <c r="AA3449">
        <v>9</v>
      </c>
      <c r="AB3449">
        <v>3</v>
      </c>
      <c r="AC3449">
        <v>0</v>
      </c>
      <c r="AD3449">
        <v>9</v>
      </c>
      <c r="AE3449">
        <v>0</v>
      </c>
      <c r="AF3449">
        <v>3</v>
      </c>
      <c r="AG3449">
        <v>1</v>
      </c>
      <c r="AH3449">
        <v>0</v>
      </c>
      <c r="AI3449" t="s">
        <v>1133</v>
      </c>
      <c r="AJ3449">
        <v>34.085448</v>
      </c>
      <c r="AK3449" t="s">
        <v>1134</v>
      </c>
      <c r="AL3449">
        <v>-117.030079</v>
      </c>
      <c r="AM3449">
        <v>100</v>
      </c>
      <c r="AN3449">
        <v>5500</v>
      </c>
      <c r="AO3449" t="s">
        <v>118</v>
      </c>
      <c r="AP3449">
        <v>77</v>
      </c>
      <c r="AQ3449">
        <v>-68</v>
      </c>
      <c r="AR3449">
        <v>-512</v>
      </c>
      <c r="AZ3449">
        <v>1200</v>
      </c>
      <c r="BA3449">
        <v>1</v>
      </c>
      <c r="BB3449" t="str">
        <f t="shared" si="1890"/>
        <v xml:space="preserve">N9217B  </v>
      </c>
      <c r="BC3449">
        <v>1</v>
      </c>
      <c r="BE3449">
        <v>0</v>
      </c>
      <c r="BF3449">
        <v>0</v>
      </c>
      <c r="BG3449">
        <v>0</v>
      </c>
      <c r="BH3449">
        <v>5325</v>
      </c>
      <c r="BI3449">
        <v>1</v>
      </c>
      <c r="BJ3449">
        <v>0</v>
      </c>
      <c r="BK3449">
        <v>0</v>
      </c>
      <c r="BL3449">
        <v>0</v>
      </c>
      <c r="BO3449">
        <v>0</v>
      </c>
      <c r="BP3449">
        <v>0</v>
      </c>
      <c r="BW3449" t="str">
        <f t="shared" si="1917"/>
        <v>14:57:28.233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7</v>
      </c>
      <c r="CP3449" t="s">
        <v>119</v>
      </c>
      <c r="CQ3449">
        <v>285</v>
      </c>
      <c r="CR3449">
        <v>0</v>
      </c>
      <c r="CW3449">
        <v>8879267</v>
      </c>
      <c r="CY3449">
        <v>0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25">
      <c r="A3450" t="str">
        <f t="shared" si="1914"/>
        <v>06/05/2020 14:57:22.579</v>
      </c>
      <c r="C3450" t="str">
        <f t="shared" si="1906"/>
        <v>FFDFD3C0</v>
      </c>
      <c r="D3450" t="s">
        <v>113</v>
      </c>
      <c r="E3450">
        <v>3</v>
      </c>
      <c r="H3450">
        <v>166</v>
      </c>
      <c r="I3450" t="s">
        <v>114</v>
      </c>
      <c r="J3450" t="s">
        <v>115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915"/>
        <v>14:57:28.227</v>
      </c>
      <c r="T3450" t="str">
        <f t="shared" si="1916"/>
        <v>14:57:27.827</v>
      </c>
      <c r="U3450" t="str">
        <f t="shared" si="1885"/>
        <v>ACC530</v>
      </c>
      <c r="V3450">
        <v>0</v>
      </c>
      <c r="W3450">
        <v>0</v>
      </c>
      <c r="X3450">
        <v>1</v>
      </c>
      <c r="Z3450">
        <v>0</v>
      </c>
      <c r="AA3450">
        <v>9</v>
      </c>
      <c r="AB3450">
        <v>3</v>
      </c>
      <c r="AC3450">
        <v>0</v>
      </c>
      <c r="AD3450">
        <v>9</v>
      </c>
      <c r="AE3450">
        <v>0</v>
      </c>
      <c r="AF3450">
        <v>3</v>
      </c>
      <c r="AG3450">
        <v>1</v>
      </c>
      <c r="AH3450">
        <v>0</v>
      </c>
      <c r="AI3450" t="s">
        <v>1133</v>
      </c>
      <c r="AJ3450">
        <v>34.085448</v>
      </c>
      <c r="AK3450" t="s">
        <v>1134</v>
      </c>
      <c r="AL3450">
        <v>-117.030079</v>
      </c>
      <c r="AM3450">
        <v>100</v>
      </c>
      <c r="AN3450">
        <v>5500</v>
      </c>
      <c r="AO3450" t="s">
        <v>118</v>
      </c>
      <c r="AP3450">
        <v>77</v>
      </c>
      <c r="AQ3450">
        <v>-68</v>
      </c>
      <c r="AR3450">
        <v>-512</v>
      </c>
      <c r="AZ3450">
        <v>1200</v>
      </c>
      <c r="BA3450">
        <v>1</v>
      </c>
      <c r="BB3450" t="str">
        <f t="shared" si="1890"/>
        <v xml:space="preserve">N9217B  </v>
      </c>
      <c r="BC3450">
        <v>1</v>
      </c>
      <c r="BE3450">
        <v>0</v>
      </c>
      <c r="BF3450">
        <v>0</v>
      </c>
      <c r="BG3450">
        <v>0</v>
      </c>
      <c r="BH3450">
        <v>5325</v>
      </c>
      <c r="BI3450">
        <v>1</v>
      </c>
      <c r="BJ3450">
        <v>0</v>
      </c>
      <c r="BK3450">
        <v>0</v>
      </c>
      <c r="BL3450">
        <v>0</v>
      </c>
      <c r="BO3450">
        <v>0</v>
      </c>
      <c r="BP3450">
        <v>0</v>
      </c>
      <c r="BW3450" t="str">
        <f t="shared" si="1917"/>
        <v>14:57:28.233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7</v>
      </c>
      <c r="CP3450" t="s">
        <v>119</v>
      </c>
      <c r="CQ3450">
        <v>285</v>
      </c>
      <c r="CR3450">
        <v>0</v>
      </c>
      <c r="CW3450">
        <v>8879267</v>
      </c>
      <c r="CY3450">
        <v>0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25">
      <c r="A3451" t="str">
        <f t="shared" si="1914"/>
        <v>06/05/2020 14:57:22.579</v>
      </c>
      <c r="C3451" t="str">
        <f t="shared" si="1906"/>
        <v>FFDFD3C0</v>
      </c>
      <c r="D3451" t="s">
        <v>151</v>
      </c>
      <c r="E3451">
        <v>9</v>
      </c>
      <c r="H3451">
        <v>226</v>
      </c>
      <c r="I3451" t="s">
        <v>152</v>
      </c>
      <c r="J3451" t="s">
        <v>150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915"/>
        <v>14:57:28.227</v>
      </c>
      <c r="T3451" t="str">
        <f t="shared" si="1916"/>
        <v>14:57:27.827</v>
      </c>
      <c r="U3451" t="str">
        <f t="shared" si="1885"/>
        <v>ACC530</v>
      </c>
      <c r="V3451">
        <v>0</v>
      </c>
      <c r="W3451">
        <v>0</v>
      </c>
      <c r="X3451">
        <v>1</v>
      </c>
      <c r="Z3451">
        <v>0</v>
      </c>
      <c r="AA3451">
        <v>9</v>
      </c>
      <c r="AB3451">
        <v>3</v>
      </c>
      <c r="AC3451">
        <v>0</v>
      </c>
      <c r="AD3451">
        <v>9</v>
      </c>
      <c r="AE3451">
        <v>0</v>
      </c>
      <c r="AF3451">
        <v>3</v>
      </c>
      <c r="AG3451">
        <v>1</v>
      </c>
      <c r="AH3451">
        <v>0</v>
      </c>
      <c r="AI3451" t="s">
        <v>1133</v>
      </c>
      <c r="AJ3451">
        <v>34.085448</v>
      </c>
      <c r="AK3451" t="s">
        <v>1134</v>
      </c>
      <c r="AL3451">
        <v>-117.030079</v>
      </c>
      <c r="AM3451">
        <v>100</v>
      </c>
      <c r="AN3451">
        <v>5500</v>
      </c>
      <c r="AO3451" t="s">
        <v>118</v>
      </c>
      <c r="AP3451">
        <v>77</v>
      </c>
      <c r="AQ3451">
        <v>-68</v>
      </c>
      <c r="AR3451">
        <v>-512</v>
      </c>
      <c r="AZ3451">
        <v>1200</v>
      </c>
      <c r="BA3451">
        <v>1</v>
      </c>
      <c r="BB3451" t="str">
        <f t="shared" si="1890"/>
        <v xml:space="preserve">N9217B  </v>
      </c>
      <c r="BC3451">
        <v>1</v>
      </c>
      <c r="BE3451">
        <v>0</v>
      </c>
      <c r="BF3451">
        <v>0</v>
      </c>
      <c r="BG3451">
        <v>0</v>
      </c>
      <c r="BH3451">
        <v>5325</v>
      </c>
      <c r="BI3451">
        <v>1</v>
      </c>
      <c r="BJ3451">
        <v>0</v>
      </c>
      <c r="BK3451">
        <v>0</v>
      </c>
      <c r="BL3451">
        <v>0</v>
      </c>
      <c r="BO3451">
        <v>0</v>
      </c>
      <c r="BP3451">
        <v>0</v>
      </c>
      <c r="BW3451" t="str">
        <f t="shared" si="1917"/>
        <v>14:57:28.233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7</v>
      </c>
      <c r="CP3451" t="s">
        <v>119</v>
      </c>
      <c r="CQ3451">
        <v>285</v>
      </c>
      <c r="CR3451">
        <v>0</v>
      </c>
      <c r="CW3451">
        <v>8879267</v>
      </c>
      <c r="CY3451">
        <v>0</v>
      </c>
      <c r="CZ3451">
        <v>0</v>
      </c>
      <c r="DA3451">
        <v>1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25">
      <c r="A3452" t="str">
        <f t="shared" ref="A3452:A3458" si="1918">"06/05/2020 14:57:23.746"</f>
        <v>06/05/2020 14:57:23.746</v>
      </c>
      <c r="C3452" t="str">
        <f t="shared" si="1906"/>
        <v>FFDFD3C0</v>
      </c>
      <c r="D3452" t="s">
        <v>134</v>
      </c>
      <c r="E3452">
        <v>7</v>
      </c>
      <c r="F3452">
        <v>2007</v>
      </c>
      <c r="G3452" t="s">
        <v>135</v>
      </c>
      <c r="J3452" t="s">
        <v>136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ref="S3452:S3458" si="1919">"14:57:29.383"</f>
        <v>14:57:29.383</v>
      </c>
      <c r="T3452" t="str">
        <f t="shared" ref="T3452:T3458" si="1920">"14:57:28.883"</f>
        <v>14:57:28.883</v>
      </c>
      <c r="U3452" t="str">
        <f t="shared" si="1885"/>
        <v>ACC530</v>
      </c>
      <c r="V3452">
        <v>0</v>
      </c>
      <c r="W3452">
        <v>0</v>
      </c>
      <c r="X3452">
        <v>1</v>
      </c>
      <c r="Z3452">
        <v>0</v>
      </c>
      <c r="AA3452">
        <v>9</v>
      </c>
      <c r="AB3452">
        <v>3</v>
      </c>
      <c r="AC3452">
        <v>0</v>
      </c>
      <c r="AD3452">
        <v>9</v>
      </c>
      <c r="AE3452">
        <v>0</v>
      </c>
      <c r="AF3452">
        <v>3</v>
      </c>
      <c r="AG3452">
        <v>1</v>
      </c>
      <c r="AH3452">
        <v>0</v>
      </c>
      <c r="AI3452" t="s">
        <v>1135</v>
      </c>
      <c r="AJ3452">
        <v>34.085082999999997</v>
      </c>
      <c r="AK3452" t="s">
        <v>1136</v>
      </c>
      <c r="AL3452">
        <v>-117.02956399999999</v>
      </c>
      <c r="AM3452">
        <v>100</v>
      </c>
      <c r="AN3452">
        <v>5500</v>
      </c>
      <c r="AO3452" t="s">
        <v>118</v>
      </c>
      <c r="AP3452">
        <v>78</v>
      </c>
      <c r="AQ3452">
        <v>-68</v>
      </c>
      <c r="AR3452">
        <v>-512</v>
      </c>
      <c r="AZ3452">
        <v>1200</v>
      </c>
      <c r="BA3452">
        <v>1</v>
      </c>
      <c r="BB3452" t="str">
        <f t="shared" si="1890"/>
        <v xml:space="preserve">N9217B  </v>
      </c>
      <c r="BC3452">
        <v>1</v>
      </c>
      <c r="BE3452">
        <v>0</v>
      </c>
      <c r="BF3452">
        <v>0</v>
      </c>
      <c r="BG3452">
        <v>0</v>
      </c>
      <c r="BH3452">
        <v>5325</v>
      </c>
      <c r="BI3452">
        <v>1</v>
      </c>
      <c r="BJ3452">
        <v>0</v>
      </c>
      <c r="BK3452">
        <v>0</v>
      </c>
      <c r="BL3452">
        <v>0</v>
      </c>
      <c r="BO3452">
        <v>0</v>
      </c>
      <c r="BP3452">
        <v>0</v>
      </c>
      <c r="BW3452" t="str">
        <f t="shared" ref="BW3452:BW3458" si="1921">"14:57:29.388"</f>
        <v>14:57:29.388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7</v>
      </c>
      <c r="CP3452" t="s">
        <v>119</v>
      </c>
      <c r="CQ3452">
        <v>285</v>
      </c>
      <c r="CR3452">
        <v>0</v>
      </c>
      <c r="CW3452">
        <v>8879366</v>
      </c>
      <c r="CY3452">
        <v>0</v>
      </c>
      <c r="CZ3452">
        <v>0</v>
      </c>
      <c r="DA3452">
        <v>0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25">
      <c r="A3453" t="str">
        <f t="shared" si="1918"/>
        <v>06/05/2020 14:57:23.746</v>
      </c>
      <c r="C3453" t="str">
        <f t="shared" si="1906"/>
        <v>FFDFD3C0</v>
      </c>
      <c r="D3453" t="s">
        <v>141</v>
      </c>
      <c r="E3453">
        <v>20</v>
      </c>
      <c r="F3453">
        <v>1020</v>
      </c>
      <c r="G3453" t="s">
        <v>114</v>
      </c>
      <c r="J3453" t="s">
        <v>142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919"/>
        <v>14:57:29.383</v>
      </c>
      <c r="T3453" t="str">
        <f t="shared" si="1920"/>
        <v>14:57:28.883</v>
      </c>
      <c r="U3453" t="str">
        <f t="shared" si="1885"/>
        <v>ACC530</v>
      </c>
      <c r="V3453">
        <v>0</v>
      </c>
      <c r="W3453">
        <v>0</v>
      </c>
      <c r="X3453">
        <v>1</v>
      </c>
      <c r="Z3453">
        <v>0</v>
      </c>
      <c r="AA3453">
        <v>9</v>
      </c>
      <c r="AB3453">
        <v>3</v>
      </c>
      <c r="AC3453">
        <v>0</v>
      </c>
      <c r="AD3453">
        <v>9</v>
      </c>
      <c r="AE3453">
        <v>0</v>
      </c>
      <c r="AF3453">
        <v>3</v>
      </c>
      <c r="AG3453">
        <v>1</v>
      </c>
      <c r="AH3453">
        <v>0</v>
      </c>
      <c r="AI3453" t="s">
        <v>1135</v>
      </c>
      <c r="AJ3453">
        <v>34.085082999999997</v>
      </c>
      <c r="AK3453" t="s">
        <v>1136</v>
      </c>
      <c r="AL3453">
        <v>-117.02956399999999</v>
      </c>
      <c r="AM3453">
        <v>100</v>
      </c>
      <c r="AN3453">
        <v>5500</v>
      </c>
      <c r="AO3453" t="s">
        <v>118</v>
      </c>
      <c r="AP3453">
        <v>78</v>
      </c>
      <c r="AQ3453">
        <v>-68</v>
      </c>
      <c r="AR3453">
        <v>-512</v>
      </c>
      <c r="AZ3453">
        <v>1200</v>
      </c>
      <c r="BA3453">
        <v>1</v>
      </c>
      <c r="BB3453" t="str">
        <f t="shared" si="1890"/>
        <v xml:space="preserve">N9217B  </v>
      </c>
      <c r="BC3453">
        <v>1</v>
      </c>
      <c r="BE3453">
        <v>0</v>
      </c>
      <c r="BF3453">
        <v>0</v>
      </c>
      <c r="BG3453">
        <v>0</v>
      </c>
      <c r="BH3453">
        <v>5325</v>
      </c>
      <c r="BI3453">
        <v>1</v>
      </c>
      <c r="BJ3453">
        <v>0</v>
      </c>
      <c r="BK3453">
        <v>0</v>
      </c>
      <c r="BL3453">
        <v>0</v>
      </c>
      <c r="BO3453">
        <v>0</v>
      </c>
      <c r="BP3453">
        <v>0</v>
      </c>
      <c r="BW3453" t="str">
        <f t="shared" si="1921"/>
        <v>14:57:29.388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7</v>
      </c>
      <c r="CP3453" t="s">
        <v>119</v>
      </c>
      <c r="CQ3453">
        <v>285</v>
      </c>
      <c r="CR3453">
        <v>0</v>
      </c>
      <c r="CW3453">
        <v>8879366</v>
      </c>
      <c r="CY3453">
        <v>0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25">
      <c r="A3454" t="str">
        <f t="shared" si="1918"/>
        <v>06/05/2020 14:57:23.746</v>
      </c>
      <c r="C3454" t="str">
        <f t="shared" si="1906"/>
        <v>FFDFD3C0</v>
      </c>
      <c r="D3454" t="s">
        <v>148</v>
      </c>
      <c r="E3454">
        <v>8</v>
      </c>
      <c r="H3454">
        <v>50</v>
      </c>
      <c r="I3454" t="s">
        <v>149</v>
      </c>
      <c r="J3454" t="s">
        <v>150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919"/>
        <v>14:57:29.383</v>
      </c>
      <c r="T3454" t="str">
        <f t="shared" si="1920"/>
        <v>14:57:28.883</v>
      </c>
      <c r="U3454" t="str">
        <f t="shared" si="1885"/>
        <v>ACC530</v>
      </c>
      <c r="V3454">
        <v>0</v>
      </c>
      <c r="W3454">
        <v>0</v>
      </c>
      <c r="X3454">
        <v>1</v>
      </c>
      <c r="Z3454">
        <v>0</v>
      </c>
      <c r="AA3454">
        <v>9</v>
      </c>
      <c r="AB3454">
        <v>3</v>
      </c>
      <c r="AC3454">
        <v>0</v>
      </c>
      <c r="AD3454">
        <v>9</v>
      </c>
      <c r="AE3454">
        <v>0</v>
      </c>
      <c r="AF3454">
        <v>3</v>
      </c>
      <c r="AG3454">
        <v>1</v>
      </c>
      <c r="AH3454">
        <v>0</v>
      </c>
      <c r="AI3454" t="s">
        <v>1135</v>
      </c>
      <c r="AJ3454">
        <v>34.085082999999997</v>
      </c>
      <c r="AK3454" t="s">
        <v>1136</v>
      </c>
      <c r="AL3454">
        <v>-117.02956399999999</v>
      </c>
      <c r="AM3454">
        <v>100</v>
      </c>
      <c r="AN3454">
        <v>5500</v>
      </c>
      <c r="AO3454" t="s">
        <v>118</v>
      </c>
      <c r="AP3454">
        <v>78</v>
      </c>
      <c r="AQ3454">
        <v>-68</v>
      </c>
      <c r="AR3454">
        <v>-512</v>
      </c>
      <c r="AZ3454">
        <v>1200</v>
      </c>
      <c r="BA3454">
        <v>1</v>
      </c>
      <c r="BB3454" t="str">
        <f t="shared" si="1890"/>
        <v xml:space="preserve">N9217B  </v>
      </c>
      <c r="BC3454">
        <v>1</v>
      </c>
      <c r="BE3454">
        <v>0</v>
      </c>
      <c r="BF3454">
        <v>0</v>
      </c>
      <c r="BG3454">
        <v>0</v>
      </c>
      <c r="BH3454">
        <v>5325</v>
      </c>
      <c r="BI3454">
        <v>1</v>
      </c>
      <c r="BJ3454">
        <v>0</v>
      </c>
      <c r="BK3454">
        <v>0</v>
      </c>
      <c r="BL3454">
        <v>0</v>
      </c>
      <c r="BO3454">
        <v>0</v>
      </c>
      <c r="BP3454">
        <v>0</v>
      </c>
      <c r="BW3454" t="str">
        <f t="shared" si="1921"/>
        <v>14:57:29.388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7</v>
      </c>
      <c r="CP3454" t="s">
        <v>119</v>
      </c>
      <c r="CQ3454">
        <v>285</v>
      </c>
      <c r="CR3454">
        <v>0</v>
      </c>
      <c r="CW3454">
        <v>8879366</v>
      </c>
      <c r="CY3454">
        <v>0</v>
      </c>
      <c r="CZ3454">
        <v>0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25">
      <c r="A3455" t="str">
        <f t="shared" si="1918"/>
        <v>06/05/2020 14:57:23.746</v>
      </c>
      <c r="C3455" t="str">
        <f t="shared" si="1906"/>
        <v>FFDFD3C0</v>
      </c>
      <c r="D3455" t="s">
        <v>151</v>
      </c>
      <c r="E3455">
        <v>8</v>
      </c>
      <c r="H3455">
        <v>225</v>
      </c>
      <c r="I3455" t="s">
        <v>353</v>
      </c>
      <c r="J3455" t="s">
        <v>150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si="1919"/>
        <v>14:57:29.383</v>
      </c>
      <c r="T3455" t="str">
        <f t="shared" si="1920"/>
        <v>14:57:28.883</v>
      </c>
      <c r="U3455" t="str">
        <f t="shared" si="1885"/>
        <v>ACC530</v>
      </c>
      <c r="V3455">
        <v>0</v>
      </c>
      <c r="W3455">
        <v>0</v>
      </c>
      <c r="X3455">
        <v>1</v>
      </c>
      <c r="Z3455">
        <v>0</v>
      </c>
      <c r="AA3455">
        <v>9</v>
      </c>
      <c r="AB3455">
        <v>3</v>
      </c>
      <c r="AC3455">
        <v>0</v>
      </c>
      <c r="AD3455">
        <v>9</v>
      </c>
      <c r="AE3455">
        <v>0</v>
      </c>
      <c r="AF3455">
        <v>3</v>
      </c>
      <c r="AG3455">
        <v>1</v>
      </c>
      <c r="AH3455">
        <v>0</v>
      </c>
      <c r="AI3455" t="s">
        <v>1135</v>
      </c>
      <c r="AJ3455">
        <v>34.085082999999997</v>
      </c>
      <c r="AK3455" t="s">
        <v>1136</v>
      </c>
      <c r="AL3455">
        <v>-117.02956399999999</v>
      </c>
      <c r="AM3455">
        <v>100</v>
      </c>
      <c r="AN3455">
        <v>5500</v>
      </c>
      <c r="AO3455" t="s">
        <v>118</v>
      </c>
      <c r="AP3455">
        <v>78</v>
      </c>
      <c r="AQ3455">
        <v>-68</v>
      </c>
      <c r="AR3455">
        <v>-512</v>
      </c>
      <c r="AZ3455">
        <v>1200</v>
      </c>
      <c r="BA3455">
        <v>1</v>
      </c>
      <c r="BB3455" t="str">
        <f t="shared" si="1890"/>
        <v xml:space="preserve">N9217B  </v>
      </c>
      <c r="BC3455">
        <v>1</v>
      </c>
      <c r="BE3455">
        <v>0</v>
      </c>
      <c r="BF3455">
        <v>0</v>
      </c>
      <c r="BG3455">
        <v>0</v>
      </c>
      <c r="BH3455">
        <v>5325</v>
      </c>
      <c r="BI3455">
        <v>1</v>
      </c>
      <c r="BJ3455">
        <v>0</v>
      </c>
      <c r="BK3455">
        <v>0</v>
      </c>
      <c r="BL3455">
        <v>0</v>
      </c>
      <c r="BO3455">
        <v>0</v>
      </c>
      <c r="BP3455">
        <v>0</v>
      </c>
      <c r="BW3455" t="str">
        <f t="shared" si="1921"/>
        <v>14:57:29.388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7</v>
      </c>
      <c r="CP3455" t="s">
        <v>119</v>
      </c>
      <c r="CQ3455">
        <v>285</v>
      </c>
      <c r="CR3455">
        <v>0</v>
      </c>
      <c r="CW3455">
        <v>8879366</v>
      </c>
      <c r="CY3455">
        <v>0</v>
      </c>
      <c r="CZ3455">
        <v>0</v>
      </c>
      <c r="DA3455">
        <v>1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25">
      <c r="A3456" t="str">
        <f t="shared" si="1918"/>
        <v>06/05/2020 14:57:23.746</v>
      </c>
      <c r="C3456" t="str">
        <f t="shared" si="1906"/>
        <v>FFDFD3C0</v>
      </c>
      <c r="D3456" t="s">
        <v>113</v>
      </c>
      <c r="E3456">
        <v>3</v>
      </c>
      <c r="H3456">
        <v>166</v>
      </c>
      <c r="I3456" t="s">
        <v>114</v>
      </c>
      <c r="J3456" t="s">
        <v>115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919"/>
        <v>14:57:29.383</v>
      </c>
      <c r="T3456" t="str">
        <f t="shared" si="1920"/>
        <v>14:57:28.883</v>
      </c>
      <c r="U3456" t="str">
        <f t="shared" si="1885"/>
        <v>ACC530</v>
      </c>
      <c r="V3456">
        <v>0</v>
      </c>
      <c r="W3456">
        <v>0</v>
      </c>
      <c r="X3456">
        <v>1</v>
      </c>
      <c r="Z3456">
        <v>0</v>
      </c>
      <c r="AA3456">
        <v>9</v>
      </c>
      <c r="AB3456">
        <v>3</v>
      </c>
      <c r="AC3456">
        <v>0</v>
      </c>
      <c r="AD3456">
        <v>9</v>
      </c>
      <c r="AE3456">
        <v>0</v>
      </c>
      <c r="AF3456">
        <v>3</v>
      </c>
      <c r="AG3456">
        <v>1</v>
      </c>
      <c r="AH3456">
        <v>0</v>
      </c>
      <c r="AI3456" t="s">
        <v>1135</v>
      </c>
      <c r="AJ3456">
        <v>34.085082999999997</v>
      </c>
      <c r="AK3456" t="s">
        <v>1136</v>
      </c>
      <c r="AL3456">
        <v>-117.02956399999999</v>
      </c>
      <c r="AM3456">
        <v>100</v>
      </c>
      <c r="AN3456">
        <v>5500</v>
      </c>
      <c r="AO3456" t="s">
        <v>118</v>
      </c>
      <c r="AP3456">
        <v>78</v>
      </c>
      <c r="AQ3456">
        <v>-68</v>
      </c>
      <c r="AR3456">
        <v>-512</v>
      </c>
      <c r="AZ3456">
        <v>1200</v>
      </c>
      <c r="BA3456">
        <v>1</v>
      </c>
      <c r="BB3456" t="str">
        <f t="shared" si="1890"/>
        <v xml:space="preserve">N9217B  </v>
      </c>
      <c r="BC3456">
        <v>1</v>
      </c>
      <c r="BE3456">
        <v>0</v>
      </c>
      <c r="BF3456">
        <v>0</v>
      </c>
      <c r="BG3456">
        <v>0</v>
      </c>
      <c r="BH3456">
        <v>5325</v>
      </c>
      <c r="BI3456">
        <v>1</v>
      </c>
      <c r="BJ3456">
        <v>0</v>
      </c>
      <c r="BK3456">
        <v>0</v>
      </c>
      <c r="BL3456">
        <v>0</v>
      </c>
      <c r="BO3456">
        <v>0</v>
      </c>
      <c r="BP3456">
        <v>0</v>
      </c>
      <c r="BW3456" t="str">
        <f t="shared" si="1921"/>
        <v>14:57:29.388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7</v>
      </c>
      <c r="CP3456" t="s">
        <v>119</v>
      </c>
      <c r="CQ3456">
        <v>285</v>
      </c>
      <c r="CR3456">
        <v>0</v>
      </c>
      <c r="CW3456">
        <v>8879366</v>
      </c>
      <c r="CY3456">
        <v>0</v>
      </c>
      <c r="CZ3456">
        <v>0</v>
      </c>
      <c r="DA3456">
        <v>1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25">
      <c r="A3457" t="str">
        <f t="shared" si="1918"/>
        <v>06/05/2020 14:57:23.746</v>
      </c>
      <c r="C3457" t="str">
        <f t="shared" si="1906"/>
        <v>FFDFD3C0</v>
      </c>
      <c r="D3457" t="s">
        <v>151</v>
      </c>
      <c r="E3457">
        <v>9</v>
      </c>
      <c r="H3457">
        <v>226</v>
      </c>
      <c r="I3457" t="s">
        <v>152</v>
      </c>
      <c r="J3457" t="s">
        <v>150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919"/>
        <v>14:57:29.383</v>
      </c>
      <c r="T3457" t="str">
        <f t="shared" si="1920"/>
        <v>14:57:28.883</v>
      </c>
      <c r="U3457" t="str">
        <f t="shared" si="1885"/>
        <v>ACC530</v>
      </c>
      <c r="V3457">
        <v>0</v>
      </c>
      <c r="W3457">
        <v>0</v>
      </c>
      <c r="X3457">
        <v>1</v>
      </c>
      <c r="Z3457">
        <v>0</v>
      </c>
      <c r="AA3457">
        <v>9</v>
      </c>
      <c r="AB3457">
        <v>3</v>
      </c>
      <c r="AC3457">
        <v>0</v>
      </c>
      <c r="AD3457">
        <v>9</v>
      </c>
      <c r="AE3457">
        <v>0</v>
      </c>
      <c r="AF3457">
        <v>3</v>
      </c>
      <c r="AG3457">
        <v>1</v>
      </c>
      <c r="AH3457">
        <v>0</v>
      </c>
      <c r="AI3457" t="s">
        <v>1135</v>
      </c>
      <c r="AJ3457">
        <v>34.085082999999997</v>
      </c>
      <c r="AK3457" t="s">
        <v>1136</v>
      </c>
      <c r="AL3457">
        <v>-117.02956399999999</v>
      </c>
      <c r="AM3457">
        <v>100</v>
      </c>
      <c r="AN3457">
        <v>5500</v>
      </c>
      <c r="AO3457" t="s">
        <v>118</v>
      </c>
      <c r="AP3457">
        <v>78</v>
      </c>
      <c r="AQ3457">
        <v>-68</v>
      </c>
      <c r="AR3457">
        <v>-512</v>
      </c>
      <c r="AZ3457">
        <v>1200</v>
      </c>
      <c r="BA3457">
        <v>1</v>
      </c>
      <c r="BB3457" t="str">
        <f t="shared" si="1890"/>
        <v xml:space="preserve">N9217B  </v>
      </c>
      <c r="BC3457">
        <v>1</v>
      </c>
      <c r="BE3457">
        <v>0</v>
      </c>
      <c r="BF3457">
        <v>0</v>
      </c>
      <c r="BG3457">
        <v>0</v>
      </c>
      <c r="BH3457">
        <v>5325</v>
      </c>
      <c r="BI3457">
        <v>1</v>
      </c>
      <c r="BJ3457">
        <v>0</v>
      </c>
      <c r="BK3457">
        <v>0</v>
      </c>
      <c r="BL3457">
        <v>0</v>
      </c>
      <c r="BO3457">
        <v>0</v>
      </c>
      <c r="BP3457">
        <v>0</v>
      </c>
      <c r="BW3457" t="str">
        <f t="shared" si="1921"/>
        <v>14:57:29.388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7</v>
      </c>
      <c r="CP3457" t="s">
        <v>119</v>
      </c>
      <c r="CQ3457">
        <v>285</v>
      </c>
      <c r="CR3457">
        <v>0</v>
      </c>
      <c r="CW3457">
        <v>8879366</v>
      </c>
      <c r="CY3457">
        <v>0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25">
      <c r="A3458" t="str">
        <f t="shared" si="1918"/>
        <v>06/05/2020 14:57:23.746</v>
      </c>
      <c r="C3458" t="str">
        <f t="shared" si="1906"/>
        <v>FFDFD3C0</v>
      </c>
      <c r="D3458" t="s">
        <v>148</v>
      </c>
      <c r="E3458">
        <v>11</v>
      </c>
      <c r="H3458">
        <v>53</v>
      </c>
      <c r="I3458" t="s">
        <v>364</v>
      </c>
      <c r="J3458" t="s">
        <v>150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si="1919"/>
        <v>14:57:29.383</v>
      </c>
      <c r="T3458" t="str">
        <f t="shared" si="1920"/>
        <v>14:57:28.883</v>
      </c>
      <c r="U3458" t="str">
        <f t="shared" ref="U3458:U3521" si="1922">"ACC530"</f>
        <v>ACC530</v>
      </c>
      <c r="V3458">
        <v>0</v>
      </c>
      <c r="W3458">
        <v>0</v>
      </c>
      <c r="X3458">
        <v>1</v>
      </c>
      <c r="Z3458">
        <v>0</v>
      </c>
      <c r="AA3458">
        <v>9</v>
      </c>
      <c r="AB3458">
        <v>3</v>
      </c>
      <c r="AC3458">
        <v>0</v>
      </c>
      <c r="AD3458">
        <v>9</v>
      </c>
      <c r="AE3458">
        <v>0</v>
      </c>
      <c r="AF3458">
        <v>3</v>
      </c>
      <c r="AG3458">
        <v>1</v>
      </c>
      <c r="AH3458">
        <v>0</v>
      </c>
      <c r="AI3458" t="s">
        <v>1135</v>
      </c>
      <c r="AJ3458">
        <v>34.085082999999997</v>
      </c>
      <c r="AK3458" t="s">
        <v>1136</v>
      </c>
      <c r="AL3458">
        <v>-117.02956399999999</v>
      </c>
      <c r="AM3458">
        <v>100</v>
      </c>
      <c r="AN3458">
        <v>5500</v>
      </c>
      <c r="AO3458" t="s">
        <v>118</v>
      </c>
      <c r="AP3458">
        <v>78</v>
      </c>
      <c r="AQ3458">
        <v>-68</v>
      </c>
      <c r="AR3458">
        <v>-512</v>
      </c>
      <c r="AZ3458">
        <v>1200</v>
      </c>
      <c r="BA3458">
        <v>1</v>
      </c>
      <c r="BB3458" t="str">
        <f t="shared" si="1890"/>
        <v xml:space="preserve">N9217B  </v>
      </c>
      <c r="BC3458">
        <v>1</v>
      </c>
      <c r="BE3458">
        <v>0</v>
      </c>
      <c r="BF3458">
        <v>0</v>
      </c>
      <c r="BG3458">
        <v>0</v>
      </c>
      <c r="BH3458">
        <v>5325</v>
      </c>
      <c r="BI3458">
        <v>1</v>
      </c>
      <c r="BJ3458">
        <v>0</v>
      </c>
      <c r="BK3458">
        <v>0</v>
      </c>
      <c r="BL3458">
        <v>0</v>
      </c>
      <c r="BO3458">
        <v>0</v>
      </c>
      <c r="BP3458">
        <v>0</v>
      </c>
      <c r="BW3458" t="str">
        <f t="shared" si="1921"/>
        <v>14:57:29.388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7</v>
      </c>
      <c r="CP3458" t="s">
        <v>119</v>
      </c>
      <c r="CQ3458">
        <v>285</v>
      </c>
      <c r="CR3458">
        <v>0</v>
      </c>
      <c r="CW3458">
        <v>8879366</v>
      </c>
      <c r="CY3458">
        <v>0</v>
      </c>
      <c r="CZ3458">
        <v>0</v>
      </c>
      <c r="DA3458">
        <v>1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25">
      <c r="A3459" t="str">
        <f t="shared" ref="A3459:A3465" si="1923">"06/05/2020 14:57:24.691"</f>
        <v>06/05/2020 14:57:24.691</v>
      </c>
      <c r="C3459" t="str">
        <f t="shared" si="1906"/>
        <v>FFDFD3C0</v>
      </c>
      <c r="D3459" t="s">
        <v>151</v>
      </c>
      <c r="E3459">
        <v>9</v>
      </c>
      <c r="H3459">
        <v>226</v>
      </c>
      <c r="I3459" t="s">
        <v>152</v>
      </c>
      <c r="J3459" t="s">
        <v>150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ref="S3459:S3465" si="1924">"14:57:30.313"</f>
        <v>14:57:30.313</v>
      </c>
      <c r="T3459" t="str">
        <f t="shared" ref="T3459:T3465" si="1925">"14:57:30.013"</f>
        <v>14:57:30.013</v>
      </c>
      <c r="U3459" t="str">
        <f t="shared" si="1922"/>
        <v>ACC530</v>
      </c>
      <c r="V3459">
        <v>0</v>
      </c>
      <c r="W3459">
        <v>0</v>
      </c>
      <c r="X3459">
        <v>1</v>
      </c>
      <c r="Z3459">
        <v>0</v>
      </c>
      <c r="AA3459">
        <v>9</v>
      </c>
      <c r="AB3459">
        <v>3</v>
      </c>
      <c r="AC3459">
        <v>0</v>
      </c>
      <c r="AD3459">
        <v>9</v>
      </c>
      <c r="AE3459">
        <v>0</v>
      </c>
      <c r="AF3459">
        <v>3</v>
      </c>
      <c r="AG3459">
        <v>1</v>
      </c>
      <c r="AH3459">
        <v>0</v>
      </c>
      <c r="AI3459" t="s">
        <v>1137</v>
      </c>
      <c r="AJ3459">
        <v>34.084761</v>
      </c>
      <c r="AK3459" t="s">
        <v>1138</v>
      </c>
      <c r="AL3459">
        <v>-117.029178</v>
      </c>
      <c r="AM3459">
        <v>100</v>
      </c>
      <c r="AN3459">
        <v>5500</v>
      </c>
      <c r="AO3459" t="s">
        <v>118</v>
      </c>
      <c r="AP3459">
        <v>79</v>
      </c>
      <c r="AQ3459">
        <v>-67</v>
      </c>
      <c r="AR3459">
        <v>-512</v>
      </c>
      <c r="AZ3459">
        <v>1200</v>
      </c>
      <c r="BA3459">
        <v>1</v>
      </c>
      <c r="BB3459" t="str">
        <f t="shared" si="1890"/>
        <v xml:space="preserve">N9217B  </v>
      </c>
      <c r="BC3459">
        <v>1</v>
      </c>
      <c r="BE3459">
        <v>0</v>
      </c>
      <c r="BF3459">
        <v>0</v>
      </c>
      <c r="BG3459">
        <v>0</v>
      </c>
      <c r="BH3459">
        <v>5325</v>
      </c>
      <c r="BI3459">
        <v>1</v>
      </c>
      <c r="BJ3459">
        <v>0</v>
      </c>
      <c r="BK3459">
        <v>0</v>
      </c>
      <c r="BL3459">
        <v>0</v>
      </c>
      <c r="BO3459">
        <v>0</v>
      </c>
      <c r="BP3459">
        <v>0</v>
      </c>
      <c r="BW3459" t="str">
        <f t="shared" ref="BW3459:BW3465" si="1926">"14:57:30.318"</f>
        <v>14:57:30.318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7</v>
      </c>
      <c r="CP3459" t="s">
        <v>119</v>
      </c>
      <c r="CQ3459">
        <v>285</v>
      </c>
      <c r="CR3459">
        <v>0</v>
      </c>
      <c r="CW3459">
        <v>8879442</v>
      </c>
      <c r="CY3459">
        <v>0</v>
      </c>
      <c r="CZ3459">
        <v>0</v>
      </c>
      <c r="DA3459">
        <v>0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25">
      <c r="A3460" t="str">
        <f t="shared" si="1923"/>
        <v>06/05/2020 14:57:24.691</v>
      </c>
      <c r="C3460" t="str">
        <f t="shared" si="1906"/>
        <v>FFDFD3C0</v>
      </c>
      <c r="D3460" t="s">
        <v>148</v>
      </c>
      <c r="E3460">
        <v>11</v>
      </c>
      <c r="H3460">
        <v>53</v>
      </c>
      <c r="I3460" t="s">
        <v>364</v>
      </c>
      <c r="J3460" t="s">
        <v>150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924"/>
        <v>14:57:30.313</v>
      </c>
      <c r="T3460" t="str">
        <f t="shared" si="1925"/>
        <v>14:57:30.013</v>
      </c>
      <c r="U3460" t="str">
        <f t="shared" si="1922"/>
        <v>ACC530</v>
      </c>
      <c r="V3460">
        <v>0</v>
      </c>
      <c r="W3460">
        <v>0</v>
      </c>
      <c r="X3460">
        <v>1</v>
      </c>
      <c r="Z3460">
        <v>0</v>
      </c>
      <c r="AA3460">
        <v>9</v>
      </c>
      <c r="AB3460">
        <v>3</v>
      </c>
      <c r="AC3460">
        <v>0</v>
      </c>
      <c r="AD3460">
        <v>9</v>
      </c>
      <c r="AE3460">
        <v>0</v>
      </c>
      <c r="AF3460">
        <v>3</v>
      </c>
      <c r="AG3460">
        <v>1</v>
      </c>
      <c r="AH3460">
        <v>0</v>
      </c>
      <c r="AI3460" t="s">
        <v>1137</v>
      </c>
      <c r="AJ3460">
        <v>34.084761</v>
      </c>
      <c r="AK3460" t="s">
        <v>1138</v>
      </c>
      <c r="AL3460">
        <v>-117.029178</v>
      </c>
      <c r="AM3460">
        <v>100</v>
      </c>
      <c r="AN3460">
        <v>5500</v>
      </c>
      <c r="AO3460" t="s">
        <v>118</v>
      </c>
      <c r="AP3460">
        <v>79</v>
      </c>
      <c r="AQ3460">
        <v>-67</v>
      </c>
      <c r="AR3460">
        <v>-512</v>
      </c>
      <c r="AZ3460">
        <v>1200</v>
      </c>
      <c r="BA3460">
        <v>1</v>
      </c>
      <c r="BB3460" t="str">
        <f t="shared" si="1890"/>
        <v xml:space="preserve">N9217B  </v>
      </c>
      <c r="BC3460">
        <v>1</v>
      </c>
      <c r="BE3460">
        <v>0</v>
      </c>
      <c r="BF3460">
        <v>0</v>
      </c>
      <c r="BG3460">
        <v>0</v>
      </c>
      <c r="BH3460">
        <v>5325</v>
      </c>
      <c r="BI3460">
        <v>1</v>
      </c>
      <c r="BJ3460">
        <v>0</v>
      </c>
      <c r="BK3460">
        <v>0</v>
      </c>
      <c r="BL3460">
        <v>0</v>
      </c>
      <c r="BO3460">
        <v>0</v>
      </c>
      <c r="BP3460">
        <v>0</v>
      </c>
      <c r="BW3460" t="str">
        <f t="shared" si="1926"/>
        <v>14:57:30.318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7</v>
      </c>
      <c r="CP3460" t="s">
        <v>119</v>
      </c>
      <c r="CQ3460">
        <v>285</v>
      </c>
      <c r="CR3460">
        <v>0</v>
      </c>
      <c r="CW3460">
        <v>8879442</v>
      </c>
      <c r="CY3460">
        <v>0</v>
      </c>
      <c r="CZ3460">
        <v>0</v>
      </c>
      <c r="DA3460">
        <v>1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25">
      <c r="A3461" t="str">
        <f t="shared" si="1923"/>
        <v>06/05/2020 14:57:24.691</v>
      </c>
      <c r="C3461" t="str">
        <f t="shared" si="1906"/>
        <v>FFDFD3C0</v>
      </c>
      <c r="D3461" t="s">
        <v>134</v>
      </c>
      <c r="E3461">
        <v>7</v>
      </c>
      <c r="F3461">
        <v>2007</v>
      </c>
      <c r="G3461" t="s">
        <v>135</v>
      </c>
      <c r="J3461" t="s">
        <v>136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924"/>
        <v>14:57:30.313</v>
      </c>
      <c r="T3461" t="str">
        <f t="shared" si="1925"/>
        <v>14:57:30.013</v>
      </c>
      <c r="U3461" t="str">
        <f t="shared" si="1922"/>
        <v>ACC530</v>
      </c>
      <c r="V3461">
        <v>0</v>
      </c>
      <c r="W3461">
        <v>0</v>
      </c>
      <c r="X3461">
        <v>1</v>
      </c>
      <c r="Z3461">
        <v>0</v>
      </c>
      <c r="AA3461">
        <v>9</v>
      </c>
      <c r="AB3461">
        <v>3</v>
      </c>
      <c r="AC3461">
        <v>0</v>
      </c>
      <c r="AD3461">
        <v>9</v>
      </c>
      <c r="AE3461">
        <v>0</v>
      </c>
      <c r="AF3461">
        <v>3</v>
      </c>
      <c r="AG3461">
        <v>1</v>
      </c>
      <c r="AH3461">
        <v>0</v>
      </c>
      <c r="AI3461" t="s">
        <v>1137</v>
      </c>
      <c r="AJ3461">
        <v>34.084761</v>
      </c>
      <c r="AK3461" t="s">
        <v>1138</v>
      </c>
      <c r="AL3461">
        <v>-117.029178</v>
      </c>
      <c r="AM3461">
        <v>100</v>
      </c>
      <c r="AN3461">
        <v>5500</v>
      </c>
      <c r="AO3461" t="s">
        <v>118</v>
      </c>
      <c r="AP3461">
        <v>79</v>
      </c>
      <c r="AQ3461">
        <v>-67</v>
      </c>
      <c r="AR3461">
        <v>-512</v>
      </c>
      <c r="AZ3461">
        <v>1200</v>
      </c>
      <c r="BA3461">
        <v>1</v>
      </c>
      <c r="BB3461" t="str">
        <f t="shared" ref="BB3461:BB3524" si="1927">"N9217B  "</f>
        <v xml:space="preserve">N9217B  </v>
      </c>
      <c r="BC3461">
        <v>1</v>
      </c>
      <c r="BE3461">
        <v>0</v>
      </c>
      <c r="BF3461">
        <v>0</v>
      </c>
      <c r="BG3461">
        <v>0</v>
      </c>
      <c r="BH3461">
        <v>5325</v>
      </c>
      <c r="BI3461">
        <v>1</v>
      </c>
      <c r="BJ3461">
        <v>0</v>
      </c>
      <c r="BK3461">
        <v>0</v>
      </c>
      <c r="BL3461">
        <v>0</v>
      </c>
      <c r="BO3461">
        <v>0</v>
      </c>
      <c r="BP3461">
        <v>0</v>
      </c>
      <c r="BW3461" t="str">
        <f t="shared" si="1926"/>
        <v>14:57:30.318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7</v>
      </c>
      <c r="CP3461" t="s">
        <v>119</v>
      </c>
      <c r="CQ3461">
        <v>285</v>
      </c>
      <c r="CR3461">
        <v>0</v>
      </c>
      <c r="CW3461">
        <v>8879442</v>
      </c>
      <c r="CY3461">
        <v>0</v>
      </c>
      <c r="CZ3461">
        <v>0</v>
      </c>
      <c r="DA3461">
        <v>1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25">
      <c r="A3462" t="str">
        <f t="shared" si="1923"/>
        <v>06/05/2020 14:57:24.691</v>
      </c>
      <c r="C3462" t="str">
        <f t="shared" si="1906"/>
        <v>FFDFD3C0</v>
      </c>
      <c r="D3462" t="s">
        <v>141</v>
      </c>
      <c r="E3462">
        <v>20</v>
      </c>
      <c r="F3462">
        <v>1020</v>
      </c>
      <c r="G3462" t="s">
        <v>114</v>
      </c>
      <c r="J3462" t="s">
        <v>142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924"/>
        <v>14:57:30.313</v>
      </c>
      <c r="T3462" t="str">
        <f t="shared" si="1925"/>
        <v>14:57:30.013</v>
      </c>
      <c r="U3462" t="str">
        <f t="shared" si="1922"/>
        <v>ACC530</v>
      </c>
      <c r="V3462">
        <v>0</v>
      </c>
      <c r="W3462">
        <v>0</v>
      </c>
      <c r="X3462">
        <v>1</v>
      </c>
      <c r="Z3462">
        <v>0</v>
      </c>
      <c r="AA3462">
        <v>9</v>
      </c>
      <c r="AB3462">
        <v>3</v>
      </c>
      <c r="AC3462">
        <v>0</v>
      </c>
      <c r="AD3462">
        <v>9</v>
      </c>
      <c r="AE3462">
        <v>0</v>
      </c>
      <c r="AF3462">
        <v>3</v>
      </c>
      <c r="AG3462">
        <v>1</v>
      </c>
      <c r="AH3462">
        <v>0</v>
      </c>
      <c r="AI3462" t="s">
        <v>1137</v>
      </c>
      <c r="AJ3462">
        <v>34.084761</v>
      </c>
      <c r="AK3462" t="s">
        <v>1138</v>
      </c>
      <c r="AL3462">
        <v>-117.029178</v>
      </c>
      <c r="AM3462">
        <v>100</v>
      </c>
      <c r="AN3462">
        <v>5500</v>
      </c>
      <c r="AO3462" t="s">
        <v>118</v>
      </c>
      <c r="AP3462">
        <v>79</v>
      </c>
      <c r="AQ3462">
        <v>-67</v>
      </c>
      <c r="AR3462">
        <v>-512</v>
      </c>
      <c r="AZ3462">
        <v>1200</v>
      </c>
      <c r="BA3462">
        <v>1</v>
      </c>
      <c r="BB3462" t="str">
        <f t="shared" si="1927"/>
        <v xml:space="preserve">N9217B  </v>
      </c>
      <c r="BC3462">
        <v>1</v>
      </c>
      <c r="BE3462">
        <v>0</v>
      </c>
      <c r="BF3462">
        <v>0</v>
      </c>
      <c r="BG3462">
        <v>0</v>
      </c>
      <c r="BH3462">
        <v>5325</v>
      </c>
      <c r="BI3462">
        <v>1</v>
      </c>
      <c r="BJ3462">
        <v>0</v>
      </c>
      <c r="BK3462">
        <v>0</v>
      </c>
      <c r="BL3462">
        <v>0</v>
      </c>
      <c r="BO3462">
        <v>0</v>
      </c>
      <c r="BP3462">
        <v>0</v>
      </c>
      <c r="BW3462" t="str">
        <f t="shared" si="1926"/>
        <v>14:57:30.318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7</v>
      </c>
      <c r="CP3462" t="s">
        <v>119</v>
      </c>
      <c r="CQ3462">
        <v>285</v>
      </c>
      <c r="CR3462">
        <v>0</v>
      </c>
      <c r="CW3462">
        <v>8879442</v>
      </c>
      <c r="CY3462">
        <v>0</v>
      </c>
      <c r="CZ3462">
        <v>0</v>
      </c>
      <c r="DA3462">
        <v>1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25">
      <c r="A3463" t="str">
        <f t="shared" si="1923"/>
        <v>06/05/2020 14:57:24.691</v>
      </c>
      <c r="C3463" t="str">
        <f t="shared" si="1906"/>
        <v>FFDFD3C0</v>
      </c>
      <c r="D3463" t="s">
        <v>148</v>
      </c>
      <c r="E3463">
        <v>8</v>
      </c>
      <c r="H3463">
        <v>50</v>
      </c>
      <c r="I3463" t="s">
        <v>149</v>
      </c>
      <c r="J3463" t="s">
        <v>150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924"/>
        <v>14:57:30.313</v>
      </c>
      <c r="T3463" t="str">
        <f t="shared" si="1925"/>
        <v>14:57:30.013</v>
      </c>
      <c r="U3463" t="str">
        <f t="shared" si="1922"/>
        <v>ACC530</v>
      </c>
      <c r="V3463">
        <v>0</v>
      </c>
      <c r="W3463">
        <v>0</v>
      </c>
      <c r="X3463">
        <v>1</v>
      </c>
      <c r="Z3463">
        <v>0</v>
      </c>
      <c r="AA3463">
        <v>9</v>
      </c>
      <c r="AB3463">
        <v>3</v>
      </c>
      <c r="AC3463">
        <v>0</v>
      </c>
      <c r="AD3463">
        <v>9</v>
      </c>
      <c r="AE3463">
        <v>0</v>
      </c>
      <c r="AF3463">
        <v>3</v>
      </c>
      <c r="AG3463">
        <v>1</v>
      </c>
      <c r="AH3463">
        <v>0</v>
      </c>
      <c r="AI3463" t="s">
        <v>1137</v>
      </c>
      <c r="AJ3463">
        <v>34.084761</v>
      </c>
      <c r="AK3463" t="s">
        <v>1138</v>
      </c>
      <c r="AL3463">
        <v>-117.029178</v>
      </c>
      <c r="AM3463">
        <v>100</v>
      </c>
      <c r="AN3463">
        <v>5500</v>
      </c>
      <c r="AO3463" t="s">
        <v>118</v>
      </c>
      <c r="AP3463">
        <v>79</v>
      </c>
      <c r="AQ3463">
        <v>-67</v>
      </c>
      <c r="AR3463">
        <v>-512</v>
      </c>
      <c r="AZ3463">
        <v>1200</v>
      </c>
      <c r="BA3463">
        <v>1</v>
      </c>
      <c r="BB3463" t="str">
        <f t="shared" si="1927"/>
        <v xml:space="preserve">N9217B  </v>
      </c>
      <c r="BC3463">
        <v>1</v>
      </c>
      <c r="BE3463">
        <v>0</v>
      </c>
      <c r="BF3463">
        <v>0</v>
      </c>
      <c r="BG3463">
        <v>0</v>
      </c>
      <c r="BH3463">
        <v>5325</v>
      </c>
      <c r="BI3463">
        <v>1</v>
      </c>
      <c r="BJ3463">
        <v>0</v>
      </c>
      <c r="BK3463">
        <v>0</v>
      </c>
      <c r="BL3463">
        <v>0</v>
      </c>
      <c r="BO3463">
        <v>0</v>
      </c>
      <c r="BP3463">
        <v>0</v>
      </c>
      <c r="BW3463" t="str">
        <f t="shared" si="1926"/>
        <v>14:57:30.318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7</v>
      </c>
      <c r="CP3463" t="s">
        <v>119</v>
      </c>
      <c r="CQ3463">
        <v>285</v>
      </c>
      <c r="CR3463">
        <v>0</v>
      </c>
      <c r="CW3463">
        <v>8879442</v>
      </c>
      <c r="CY3463">
        <v>0</v>
      </c>
      <c r="CZ3463">
        <v>0</v>
      </c>
      <c r="DA3463">
        <v>1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25">
      <c r="A3464" t="str">
        <f t="shared" si="1923"/>
        <v>06/05/2020 14:57:24.691</v>
      </c>
      <c r="C3464" t="str">
        <f t="shared" si="1906"/>
        <v>FFDFD3C0</v>
      </c>
      <c r="D3464" t="s">
        <v>151</v>
      </c>
      <c r="E3464">
        <v>8</v>
      </c>
      <c r="H3464">
        <v>225</v>
      </c>
      <c r="I3464" t="s">
        <v>353</v>
      </c>
      <c r="J3464" t="s">
        <v>150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924"/>
        <v>14:57:30.313</v>
      </c>
      <c r="T3464" t="str">
        <f t="shared" si="1925"/>
        <v>14:57:30.013</v>
      </c>
      <c r="U3464" t="str">
        <f t="shared" si="1922"/>
        <v>ACC530</v>
      </c>
      <c r="V3464">
        <v>0</v>
      </c>
      <c r="W3464">
        <v>0</v>
      </c>
      <c r="X3464">
        <v>1</v>
      </c>
      <c r="Z3464">
        <v>0</v>
      </c>
      <c r="AA3464">
        <v>9</v>
      </c>
      <c r="AB3464">
        <v>3</v>
      </c>
      <c r="AC3464">
        <v>0</v>
      </c>
      <c r="AD3464">
        <v>9</v>
      </c>
      <c r="AE3464">
        <v>0</v>
      </c>
      <c r="AF3464">
        <v>3</v>
      </c>
      <c r="AG3464">
        <v>1</v>
      </c>
      <c r="AH3464">
        <v>0</v>
      </c>
      <c r="AI3464" t="s">
        <v>1137</v>
      </c>
      <c r="AJ3464">
        <v>34.084761</v>
      </c>
      <c r="AK3464" t="s">
        <v>1138</v>
      </c>
      <c r="AL3464">
        <v>-117.029178</v>
      </c>
      <c r="AM3464">
        <v>100</v>
      </c>
      <c r="AN3464">
        <v>5500</v>
      </c>
      <c r="AO3464" t="s">
        <v>118</v>
      </c>
      <c r="AP3464">
        <v>79</v>
      </c>
      <c r="AQ3464">
        <v>-67</v>
      </c>
      <c r="AR3464">
        <v>-512</v>
      </c>
      <c r="AZ3464">
        <v>1200</v>
      </c>
      <c r="BA3464">
        <v>1</v>
      </c>
      <c r="BB3464" t="str">
        <f t="shared" si="1927"/>
        <v xml:space="preserve">N9217B  </v>
      </c>
      <c r="BC3464">
        <v>1</v>
      </c>
      <c r="BE3464">
        <v>0</v>
      </c>
      <c r="BF3464">
        <v>0</v>
      </c>
      <c r="BG3464">
        <v>0</v>
      </c>
      <c r="BH3464">
        <v>5325</v>
      </c>
      <c r="BI3464">
        <v>1</v>
      </c>
      <c r="BJ3464">
        <v>0</v>
      </c>
      <c r="BK3464">
        <v>0</v>
      </c>
      <c r="BL3464">
        <v>0</v>
      </c>
      <c r="BO3464">
        <v>0</v>
      </c>
      <c r="BP3464">
        <v>0</v>
      </c>
      <c r="BW3464" t="str">
        <f t="shared" si="1926"/>
        <v>14:57:30.318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7</v>
      </c>
      <c r="CP3464" t="s">
        <v>119</v>
      </c>
      <c r="CQ3464">
        <v>285</v>
      </c>
      <c r="CR3464">
        <v>0</v>
      </c>
      <c r="CW3464">
        <v>8879442</v>
      </c>
      <c r="CY3464">
        <v>0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25">
      <c r="A3465" t="str">
        <f t="shared" si="1923"/>
        <v>06/05/2020 14:57:24.691</v>
      </c>
      <c r="C3465" t="str">
        <f t="shared" si="1906"/>
        <v>FFDFD3C0</v>
      </c>
      <c r="D3465" t="s">
        <v>113</v>
      </c>
      <c r="E3465">
        <v>3</v>
      </c>
      <c r="H3465">
        <v>166</v>
      </c>
      <c r="I3465" t="s">
        <v>114</v>
      </c>
      <c r="J3465" t="s">
        <v>115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924"/>
        <v>14:57:30.313</v>
      </c>
      <c r="T3465" t="str">
        <f t="shared" si="1925"/>
        <v>14:57:30.013</v>
      </c>
      <c r="U3465" t="str">
        <f t="shared" si="1922"/>
        <v>ACC530</v>
      </c>
      <c r="V3465">
        <v>0</v>
      </c>
      <c r="W3465">
        <v>0</v>
      </c>
      <c r="X3465">
        <v>1</v>
      </c>
      <c r="Z3465">
        <v>0</v>
      </c>
      <c r="AA3465">
        <v>9</v>
      </c>
      <c r="AB3465">
        <v>3</v>
      </c>
      <c r="AC3465">
        <v>0</v>
      </c>
      <c r="AD3465">
        <v>9</v>
      </c>
      <c r="AE3465">
        <v>0</v>
      </c>
      <c r="AF3465">
        <v>3</v>
      </c>
      <c r="AG3465">
        <v>1</v>
      </c>
      <c r="AH3465">
        <v>0</v>
      </c>
      <c r="AI3465" t="s">
        <v>1137</v>
      </c>
      <c r="AJ3465">
        <v>34.084761</v>
      </c>
      <c r="AK3465" t="s">
        <v>1138</v>
      </c>
      <c r="AL3465">
        <v>-117.029178</v>
      </c>
      <c r="AM3465">
        <v>100</v>
      </c>
      <c r="AN3465">
        <v>5500</v>
      </c>
      <c r="AO3465" t="s">
        <v>118</v>
      </c>
      <c r="AP3465">
        <v>79</v>
      </c>
      <c r="AQ3465">
        <v>-67</v>
      </c>
      <c r="AR3465">
        <v>-512</v>
      </c>
      <c r="AZ3465">
        <v>1200</v>
      </c>
      <c r="BA3465">
        <v>1</v>
      </c>
      <c r="BB3465" t="str">
        <f t="shared" si="1927"/>
        <v xml:space="preserve">N9217B  </v>
      </c>
      <c r="BC3465">
        <v>1</v>
      </c>
      <c r="BE3465">
        <v>0</v>
      </c>
      <c r="BF3465">
        <v>0</v>
      </c>
      <c r="BG3465">
        <v>0</v>
      </c>
      <c r="BH3465">
        <v>5325</v>
      </c>
      <c r="BI3465">
        <v>1</v>
      </c>
      <c r="BJ3465">
        <v>0</v>
      </c>
      <c r="BK3465">
        <v>0</v>
      </c>
      <c r="BL3465">
        <v>0</v>
      </c>
      <c r="BO3465">
        <v>0</v>
      </c>
      <c r="BP3465">
        <v>0</v>
      </c>
      <c r="BW3465" t="str">
        <f t="shared" si="1926"/>
        <v>14:57:30.318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7</v>
      </c>
      <c r="CP3465" t="s">
        <v>119</v>
      </c>
      <c r="CQ3465">
        <v>285</v>
      </c>
      <c r="CR3465">
        <v>0</v>
      </c>
      <c r="CW3465">
        <v>8879442</v>
      </c>
      <c r="CY3465">
        <v>0</v>
      </c>
      <c r="CZ3465">
        <v>0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25">
      <c r="A3466" t="str">
        <f t="shared" ref="A3466:A3472" si="1928">"06/05/2020 14:57:25.804"</f>
        <v>06/05/2020 14:57:25.804</v>
      </c>
      <c r="C3466" t="str">
        <f t="shared" si="1906"/>
        <v>FFDFD3C0</v>
      </c>
      <c r="D3466" t="s">
        <v>151</v>
      </c>
      <c r="E3466">
        <v>9</v>
      </c>
      <c r="H3466">
        <v>226</v>
      </c>
      <c r="I3466" t="s">
        <v>152</v>
      </c>
      <c r="J3466" t="s">
        <v>150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ref="S3466:T3472" si="1929">"14:57:31.453"</f>
        <v>14:57:31.453</v>
      </c>
      <c r="T3466" t="str">
        <f t="shared" si="1929"/>
        <v>14:57:31.453</v>
      </c>
      <c r="U3466" t="str">
        <f t="shared" si="1922"/>
        <v>ACC530</v>
      </c>
      <c r="V3466">
        <v>0</v>
      </c>
      <c r="W3466">
        <v>0</v>
      </c>
      <c r="X3466">
        <v>1</v>
      </c>
      <c r="Z3466">
        <v>0</v>
      </c>
      <c r="AA3466">
        <v>9</v>
      </c>
      <c r="AB3466">
        <v>3</v>
      </c>
      <c r="AC3466">
        <v>0</v>
      </c>
      <c r="AD3466">
        <v>9</v>
      </c>
      <c r="AE3466">
        <v>0</v>
      </c>
      <c r="AF3466">
        <v>3</v>
      </c>
      <c r="AG3466">
        <v>1</v>
      </c>
      <c r="AH3466">
        <v>0</v>
      </c>
      <c r="AI3466" t="s">
        <v>1139</v>
      </c>
      <c r="AJ3466">
        <v>34.084439000000003</v>
      </c>
      <c r="AK3466" t="s">
        <v>1140</v>
      </c>
      <c r="AL3466">
        <v>-117.02866299999999</v>
      </c>
      <c r="AM3466">
        <v>100</v>
      </c>
      <c r="AN3466">
        <v>5500</v>
      </c>
      <c r="AO3466" t="s">
        <v>118</v>
      </c>
      <c r="AP3466">
        <v>81</v>
      </c>
      <c r="AQ3466">
        <v>-65</v>
      </c>
      <c r="AR3466">
        <v>-512</v>
      </c>
      <c r="AZ3466">
        <v>1200</v>
      </c>
      <c r="BA3466">
        <v>1</v>
      </c>
      <c r="BB3466" t="str">
        <f t="shared" si="1927"/>
        <v xml:space="preserve">N9217B  </v>
      </c>
      <c r="BC3466">
        <v>1</v>
      </c>
      <c r="BE3466">
        <v>0</v>
      </c>
      <c r="BF3466">
        <v>0</v>
      </c>
      <c r="BG3466">
        <v>0</v>
      </c>
      <c r="BH3466">
        <v>5300</v>
      </c>
      <c r="BI3466">
        <v>1</v>
      </c>
      <c r="BJ3466">
        <v>0</v>
      </c>
      <c r="BK3466">
        <v>0</v>
      </c>
      <c r="BL3466">
        <v>0</v>
      </c>
      <c r="BO3466">
        <v>0</v>
      </c>
      <c r="BP3466">
        <v>0</v>
      </c>
      <c r="BW3466" t="str">
        <f t="shared" ref="BW3466:BW3472" si="1930">"14:57:31.458"</f>
        <v>14:57:31.458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7</v>
      </c>
      <c r="CP3466" t="s">
        <v>119</v>
      </c>
      <c r="CQ3466">
        <v>285</v>
      </c>
      <c r="CR3466">
        <v>0</v>
      </c>
      <c r="CW3466">
        <v>8879546</v>
      </c>
      <c r="CY3466">
        <v>0</v>
      </c>
      <c r="CZ3466">
        <v>0</v>
      </c>
      <c r="DA3466">
        <v>0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25">
      <c r="A3467" t="str">
        <f t="shared" si="1928"/>
        <v>06/05/2020 14:57:25.804</v>
      </c>
      <c r="C3467" t="str">
        <f t="shared" si="1906"/>
        <v>FFDFD3C0</v>
      </c>
      <c r="D3467" t="s">
        <v>134</v>
      </c>
      <c r="E3467">
        <v>7</v>
      </c>
      <c r="F3467">
        <v>2007</v>
      </c>
      <c r="G3467" t="s">
        <v>135</v>
      </c>
      <c r="J3467" t="s">
        <v>136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si="1929"/>
        <v>14:57:31.453</v>
      </c>
      <c r="T3467" t="str">
        <f t="shared" si="1929"/>
        <v>14:57:31.453</v>
      </c>
      <c r="U3467" t="str">
        <f t="shared" si="1922"/>
        <v>ACC530</v>
      </c>
      <c r="V3467">
        <v>0</v>
      </c>
      <c r="W3467">
        <v>0</v>
      </c>
      <c r="X3467">
        <v>1</v>
      </c>
      <c r="Z3467">
        <v>0</v>
      </c>
      <c r="AA3467">
        <v>9</v>
      </c>
      <c r="AB3467">
        <v>3</v>
      </c>
      <c r="AC3467">
        <v>0</v>
      </c>
      <c r="AD3467">
        <v>9</v>
      </c>
      <c r="AE3467">
        <v>0</v>
      </c>
      <c r="AF3467">
        <v>3</v>
      </c>
      <c r="AG3467">
        <v>1</v>
      </c>
      <c r="AH3467">
        <v>0</v>
      </c>
      <c r="AI3467" t="s">
        <v>1139</v>
      </c>
      <c r="AJ3467">
        <v>34.084439000000003</v>
      </c>
      <c r="AK3467" t="s">
        <v>1140</v>
      </c>
      <c r="AL3467">
        <v>-117.02866299999999</v>
      </c>
      <c r="AM3467">
        <v>100</v>
      </c>
      <c r="AN3467">
        <v>5500</v>
      </c>
      <c r="AO3467" t="s">
        <v>118</v>
      </c>
      <c r="AP3467">
        <v>81</v>
      </c>
      <c r="AQ3467">
        <v>-65</v>
      </c>
      <c r="AR3467">
        <v>-512</v>
      </c>
      <c r="AZ3467">
        <v>1200</v>
      </c>
      <c r="BA3467">
        <v>1</v>
      </c>
      <c r="BB3467" t="str">
        <f t="shared" si="1927"/>
        <v xml:space="preserve">N9217B  </v>
      </c>
      <c r="BC3467">
        <v>1</v>
      </c>
      <c r="BE3467">
        <v>0</v>
      </c>
      <c r="BF3467">
        <v>0</v>
      </c>
      <c r="BG3467">
        <v>0</v>
      </c>
      <c r="BH3467">
        <v>5300</v>
      </c>
      <c r="BI3467">
        <v>1</v>
      </c>
      <c r="BJ3467">
        <v>0</v>
      </c>
      <c r="BK3467">
        <v>0</v>
      </c>
      <c r="BL3467">
        <v>0</v>
      </c>
      <c r="BO3467">
        <v>0</v>
      </c>
      <c r="BP3467">
        <v>0</v>
      </c>
      <c r="BW3467" t="str">
        <f t="shared" si="1930"/>
        <v>14:57:31.458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7</v>
      </c>
      <c r="CP3467" t="s">
        <v>119</v>
      </c>
      <c r="CQ3467">
        <v>285</v>
      </c>
      <c r="CR3467">
        <v>0</v>
      </c>
      <c r="CW3467">
        <v>8879546</v>
      </c>
      <c r="CY3467">
        <v>0</v>
      </c>
      <c r="CZ3467">
        <v>0</v>
      </c>
      <c r="DA3467">
        <v>1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25">
      <c r="A3468" t="str">
        <f t="shared" si="1928"/>
        <v>06/05/2020 14:57:25.804</v>
      </c>
      <c r="C3468" t="str">
        <f t="shared" si="1906"/>
        <v>FFDFD3C0</v>
      </c>
      <c r="D3468" t="s">
        <v>148</v>
      </c>
      <c r="E3468">
        <v>11</v>
      </c>
      <c r="H3468">
        <v>53</v>
      </c>
      <c r="I3468" t="s">
        <v>364</v>
      </c>
      <c r="J3468" t="s">
        <v>150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929"/>
        <v>14:57:31.453</v>
      </c>
      <c r="T3468" t="str">
        <f t="shared" si="1929"/>
        <v>14:57:31.453</v>
      </c>
      <c r="U3468" t="str">
        <f t="shared" si="1922"/>
        <v>ACC530</v>
      </c>
      <c r="V3468">
        <v>0</v>
      </c>
      <c r="W3468">
        <v>0</v>
      </c>
      <c r="X3468">
        <v>1</v>
      </c>
      <c r="Z3468">
        <v>0</v>
      </c>
      <c r="AA3468">
        <v>9</v>
      </c>
      <c r="AB3468">
        <v>3</v>
      </c>
      <c r="AC3468">
        <v>0</v>
      </c>
      <c r="AD3468">
        <v>9</v>
      </c>
      <c r="AE3468">
        <v>0</v>
      </c>
      <c r="AF3468">
        <v>3</v>
      </c>
      <c r="AG3468">
        <v>1</v>
      </c>
      <c r="AH3468">
        <v>0</v>
      </c>
      <c r="AI3468" t="s">
        <v>1139</v>
      </c>
      <c r="AJ3468">
        <v>34.084439000000003</v>
      </c>
      <c r="AK3468" t="s">
        <v>1140</v>
      </c>
      <c r="AL3468">
        <v>-117.02866299999999</v>
      </c>
      <c r="AM3468">
        <v>100</v>
      </c>
      <c r="AN3468">
        <v>5500</v>
      </c>
      <c r="AO3468" t="s">
        <v>118</v>
      </c>
      <c r="AP3468">
        <v>81</v>
      </c>
      <c r="AQ3468">
        <v>-65</v>
      </c>
      <c r="AR3468">
        <v>-512</v>
      </c>
      <c r="AZ3468">
        <v>1200</v>
      </c>
      <c r="BA3468">
        <v>1</v>
      </c>
      <c r="BB3468" t="str">
        <f t="shared" si="1927"/>
        <v xml:space="preserve">N9217B  </v>
      </c>
      <c r="BC3468">
        <v>1</v>
      </c>
      <c r="BE3468">
        <v>0</v>
      </c>
      <c r="BF3468">
        <v>0</v>
      </c>
      <c r="BG3468">
        <v>0</v>
      </c>
      <c r="BH3468">
        <v>5300</v>
      </c>
      <c r="BI3468">
        <v>1</v>
      </c>
      <c r="BJ3468">
        <v>0</v>
      </c>
      <c r="BK3468">
        <v>0</v>
      </c>
      <c r="BL3468">
        <v>0</v>
      </c>
      <c r="BO3468">
        <v>0</v>
      </c>
      <c r="BP3468">
        <v>0</v>
      </c>
      <c r="BW3468" t="str">
        <f t="shared" si="1930"/>
        <v>14:57:31.458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7</v>
      </c>
      <c r="CP3468" t="s">
        <v>119</v>
      </c>
      <c r="CQ3468">
        <v>285</v>
      </c>
      <c r="CR3468">
        <v>0</v>
      </c>
      <c r="CW3468">
        <v>8879546</v>
      </c>
      <c r="CY3468">
        <v>0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25">
      <c r="A3469" t="str">
        <f t="shared" si="1928"/>
        <v>06/05/2020 14:57:25.804</v>
      </c>
      <c r="C3469" t="str">
        <f t="shared" si="1906"/>
        <v>FFDFD3C0</v>
      </c>
      <c r="D3469" t="s">
        <v>141</v>
      </c>
      <c r="E3469">
        <v>20</v>
      </c>
      <c r="F3469">
        <v>1020</v>
      </c>
      <c r="G3469" t="s">
        <v>114</v>
      </c>
      <c r="J3469" t="s">
        <v>142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929"/>
        <v>14:57:31.453</v>
      </c>
      <c r="T3469" t="str">
        <f t="shared" si="1929"/>
        <v>14:57:31.453</v>
      </c>
      <c r="U3469" t="str">
        <f t="shared" si="1922"/>
        <v>ACC530</v>
      </c>
      <c r="V3469">
        <v>0</v>
      </c>
      <c r="W3469">
        <v>0</v>
      </c>
      <c r="X3469">
        <v>1</v>
      </c>
      <c r="Z3469">
        <v>0</v>
      </c>
      <c r="AA3469">
        <v>9</v>
      </c>
      <c r="AB3469">
        <v>3</v>
      </c>
      <c r="AC3469">
        <v>0</v>
      </c>
      <c r="AD3469">
        <v>9</v>
      </c>
      <c r="AE3469">
        <v>0</v>
      </c>
      <c r="AF3469">
        <v>3</v>
      </c>
      <c r="AG3469">
        <v>1</v>
      </c>
      <c r="AH3469">
        <v>0</v>
      </c>
      <c r="AI3469" t="s">
        <v>1139</v>
      </c>
      <c r="AJ3469">
        <v>34.084439000000003</v>
      </c>
      <c r="AK3469" t="s">
        <v>1140</v>
      </c>
      <c r="AL3469">
        <v>-117.02866299999999</v>
      </c>
      <c r="AM3469">
        <v>100</v>
      </c>
      <c r="AN3469">
        <v>5500</v>
      </c>
      <c r="AO3469" t="s">
        <v>118</v>
      </c>
      <c r="AP3469">
        <v>81</v>
      </c>
      <c r="AQ3469">
        <v>-65</v>
      </c>
      <c r="AR3469">
        <v>-512</v>
      </c>
      <c r="AZ3469">
        <v>1200</v>
      </c>
      <c r="BA3469">
        <v>1</v>
      </c>
      <c r="BB3469" t="str">
        <f t="shared" si="1927"/>
        <v xml:space="preserve">N9217B  </v>
      </c>
      <c r="BC3469">
        <v>1</v>
      </c>
      <c r="BE3469">
        <v>0</v>
      </c>
      <c r="BF3469">
        <v>0</v>
      </c>
      <c r="BG3469">
        <v>0</v>
      </c>
      <c r="BH3469">
        <v>5300</v>
      </c>
      <c r="BI3469">
        <v>1</v>
      </c>
      <c r="BJ3469">
        <v>0</v>
      </c>
      <c r="BK3469">
        <v>0</v>
      </c>
      <c r="BL3469">
        <v>0</v>
      </c>
      <c r="BO3469">
        <v>0</v>
      </c>
      <c r="BP3469">
        <v>0</v>
      </c>
      <c r="BW3469" t="str">
        <f t="shared" si="1930"/>
        <v>14:57:31.458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7</v>
      </c>
      <c r="CP3469" t="s">
        <v>119</v>
      </c>
      <c r="CQ3469">
        <v>285</v>
      </c>
      <c r="CR3469">
        <v>0</v>
      </c>
      <c r="CW3469">
        <v>8879546</v>
      </c>
      <c r="CY3469">
        <v>0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25">
      <c r="A3470" t="str">
        <f t="shared" si="1928"/>
        <v>06/05/2020 14:57:25.804</v>
      </c>
      <c r="C3470" t="str">
        <f t="shared" si="1906"/>
        <v>FFDFD3C0</v>
      </c>
      <c r="D3470" t="s">
        <v>148</v>
      </c>
      <c r="E3470">
        <v>8</v>
      </c>
      <c r="H3470">
        <v>50</v>
      </c>
      <c r="I3470" t="s">
        <v>149</v>
      </c>
      <c r="J3470" t="s">
        <v>150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929"/>
        <v>14:57:31.453</v>
      </c>
      <c r="T3470" t="str">
        <f t="shared" si="1929"/>
        <v>14:57:31.453</v>
      </c>
      <c r="U3470" t="str">
        <f t="shared" si="1922"/>
        <v>ACC530</v>
      </c>
      <c r="V3470">
        <v>0</v>
      </c>
      <c r="W3470">
        <v>0</v>
      </c>
      <c r="X3470">
        <v>1</v>
      </c>
      <c r="Z3470">
        <v>0</v>
      </c>
      <c r="AA3470">
        <v>9</v>
      </c>
      <c r="AB3470">
        <v>3</v>
      </c>
      <c r="AC3470">
        <v>0</v>
      </c>
      <c r="AD3470">
        <v>9</v>
      </c>
      <c r="AE3470">
        <v>0</v>
      </c>
      <c r="AF3470">
        <v>3</v>
      </c>
      <c r="AG3470">
        <v>1</v>
      </c>
      <c r="AH3470">
        <v>0</v>
      </c>
      <c r="AI3470" t="s">
        <v>1139</v>
      </c>
      <c r="AJ3470">
        <v>34.084439000000003</v>
      </c>
      <c r="AK3470" t="s">
        <v>1140</v>
      </c>
      <c r="AL3470">
        <v>-117.02866299999999</v>
      </c>
      <c r="AM3470">
        <v>100</v>
      </c>
      <c r="AN3470">
        <v>5500</v>
      </c>
      <c r="AO3470" t="s">
        <v>118</v>
      </c>
      <c r="AP3470">
        <v>81</v>
      </c>
      <c r="AQ3470">
        <v>-65</v>
      </c>
      <c r="AR3470">
        <v>-512</v>
      </c>
      <c r="AZ3470">
        <v>1200</v>
      </c>
      <c r="BA3470">
        <v>1</v>
      </c>
      <c r="BB3470" t="str">
        <f t="shared" si="1927"/>
        <v xml:space="preserve">N9217B  </v>
      </c>
      <c r="BC3470">
        <v>1</v>
      </c>
      <c r="BE3470">
        <v>0</v>
      </c>
      <c r="BF3470">
        <v>0</v>
      </c>
      <c r="BG3470">
        <v>0</v>
      </c>
      <c r="BH3470">
        <v>5300</v>
      </c>
      <c r="BI3470">
        <v>1</v>
      </c>
      <c r="BJ3470">
        <v>0</v>
      </c>
      <c r="BK3470">
        <v>0</v>
      </c>
      <c r="BL3470">
        <v>0</v>
      </c>
      <c r="BO3470">
        <v>0</v>
      </c>
      <c r="BP3470">
        <v>0</v>
      </c>
      <c r="BW3470" t="str">
        <f t="shared" si="1930"/>
        <v>14:57:31.458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7</v>
      </c>
      <c r="CP3470" t="s">
        <v>119</v>
      </c>
      <c r="CQ3470">
        <v>285</v>
      </c>
      <c r="CR3470">
        <v>0</v>
      </c>
      <c r="CW3470">
        <v>8879546</v>
      </c>
      <c r="CY3470">
        <v>0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25">
      <c r="A3471" t="str">
        <f t="shared" si="1928"/>
        <v>06/05/2020 14:57:25.804</v>
      </c>
      <c r="C3471" t="str">
        <f t="shared" si="1906"/>
        <v>FFDFD3C0</v>
      </c>
      <c r="D3471" t="s">
        <v>151</v>
      </c>
      <c r="E3471">
        <v>8</v>
      </c>
      <c r="H3471">
        <v>225</v>
      </c>
      <c r="I3471" t="s">
        <v>353</v>
      </c>
      <c r="J3471" t="s">
        <v>150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929"/>
        <v>14:57:31.453</v>
      </c>
      <c r="T3471" t="str">
        <f t="shared" si="1929"/>
        <v>14:57:31.453</v>
      </c>
      <c r="U3471" t="str">
        <f t="shared" si="1922"/>
        <v>ACC530</v>
      </c>
      <c r="V3471">
        <v>0</v>
      </c>
      <c r="W3471">
        <v>0</v>
      </c>
      <c r="X3471">
        <v>1</v>
      </c>
      <c r="Z3471">
        <v>0</v>
      </c>
      <c r="AA3471">
        <v>9</v>
      </c>
      <c r="AB3471">
        <v>3</v>
      </c>
      <c r="AC3471">
        <v>0</v>
      </c>
      <c r="AD3471">
        <v>9</v>
      </c>
      <c r="AE3471">
        <v>0</v>
      </c>
      <c r="AF3471">
        <v>3</v>
      </c>
      <c r="AG3471">
        <v>1</v>
      </c>
      <c r="AH3471">
        <v>0</v>
      </c>
      <c r="AI3471" t="s">
        <v>1139</v>
      </c>
      <c r="AJ3471">
        <v>34.084439000000003</v>
      </c>
      <c r="AK3471" t="s">
        <v>1140</v>
      </c>
      <c r="AL3471">
        <v>-117.02866299999999</v>
      </c>
      <c r="AM3471">
        <v>100</v>
      </c>
      <c r="AN3471">
        <v>5500</v>
      </c>
      <c r="AO3471" t="s">
        <v>118</v>
      </c>
      <c r="AP3471">
        <v>81</v>
      </c>
      <c r="AQ3471">
        <v>-65</v>
      </c>
      <c r="AR3471">
        <v>-512</v>
      </c>
      <c r="AZ3471">
        <v>1200</v>
      </c>
      <c r="BA3471">
        <v>1</v>
      </c>
      <c r="BB3471" t="str">
        <f t="shared" si="1927"/>
        <v xml:space="preserve">N9217B  </v>
      </c>
      <c r="BC3471">
        <v>1</v>
      </c>
      <c r="BE3471">
        <v>0</v>
      </c>
      <c r="BF3471">
        <v>0</v>
      </c>
      <c r="BG3471">
        <v>0</v>
      </c>
      <c r="BH3471">
        <v>5300</v>
      </c>
      <c r="BI3471">
        <v>1</v>
      </c>
      <c r="BJ3471">
        <v>0</v>
      </c>
      <c r="BK3471">
        <v>0</v>
      </c>
      <c r="BL3471">
        <v>0</v>
      </c>
      <c r="BO3471">
        <v>0</v>
      </c>
      <c r="BP3471">
        <v>0</v>
      </c>
      <c r="BW3471" t="str">
        <f t="shared" si="1930"/>
        <v>14:57:31.458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7</v>
      </c>
      <c r="CP3471" t="s">
        <v>119</v>
      </c>
      <c r="CQ3471">
        <v>285</v>
      </c>
      <c r="CR3471">
        <v>0</v>
      </c>
      <c r="CW3471">
        <v>8879546</v>
      </c>
      <c r="CY3471">
        <v>0</v>
      </c>
      <c r="CZ3471">
        <v>0</v>
      </c>
      <c r="DA3471">
        <v>1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25">
      <c r="A3472" t="str">
        <f t="shared" si="1928"/>
        <v>06/05/2020 14:57:25.804</v>
      </c>
      <c r="C3472" t="str">
        <f t="shared" si="1906"/>
        <v>FFDFD3C0</v>
      </c>
      <c r="D3472" t="s">
        <v>113</v>
      </c>
      <c r="E3472">
        <v>3</v>
      </c>
      <c r="H3472">
        <v>166</v>
      </c>
      <c r="I3472" t="s">
        <v>114</v>
      </c>
      <c r="J3472" t="s">
        <v>115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si="1929"/>
        <v>14:57:31.453</v>
      </c>
      <c r="T3472" t="str">
        <f t="shared" si="1929"/>
        <v>14:57:31.453</v>
      </c>
      <c r="U3472" t="str">
        <f t="shared" si="1922"/>
        <v>ACC530</v>
      </c>
      <c r="V3472">
        <v>0</v>
      </c>
      <c r="W3472">
        <v>0</v>
      </c>
      <c r="X3472">
        <v>1</v>
      </c>
      <c r="Z3472">
        <v>0</v>
      </c>
      <c r="AA3472">
        <v>9</v>
      </c>
      <c r="AB3472">
        <v>3</v>
      </c>
      <c r="AC3472">
        <v>0</v>
      </c>
      <c r="AD3472">
        <v>9</v>
      </c>
      <c r="AE3472">
        <v>0</v>
      </c>
      <c r="AF3472">
        <v>3</v>
      </c>
      <c r="AG3472">
        <v>1</v>
      </c>
      <c r="AH3472">
        <v>0</v>
      </c>
      <c r="AI3472" t="s">
        <v>1139</v>
      </c>
      <c r="AJ3472">
        <v>34.084439000000003</v>
      </c>
      <c r="AK3472" t="s">
        <v>1140</v>
      </c>
      <c r="AL3472">
        <v>-117.02866299999999</v>
      </c>
      <c r="AM3472">
        <v>100</v>
      </c>
      <c r="AN3472">
        <v>5500</v>
      </c>
      <c r="AO3472" t="s">
        <v>118</v>
      </c>
      <c r="AP3472">
        <v>81</v>
      </c>
      <c r="AQ3472">
        <v>-65</v>
      </c>
      <c r="AR3472">
        <v>-512</v>
      </c>
      <c r="AZ3472">
        <v>1200</v>
      </c>
      <c r="BA3472">
        <v>1</v>
      </c>
      <c r="BB3472" t="str">
        <f t="shared" si="1927"/>
        <v xml:space="preserve">N9217B  </v>
      </c>
      <c r="BC3472">
        <v>1</v>
      </c>
      <c r="BE3472">
        <v>0</v>
      </c>
      <c r="BF3472">
        <v>0</v>
      </c>
      <c r="BG3472">
        <v>0</v>
      </c>
      <c r="BH3472">
        <v>5300</v>
      </c>
      <c r="BI3472">
        <v>1</v>
      </c>
      <c r="BJ3472">
        <v>0</v>
      </c>
      <c r="BK3472">
        <v>0</v>
      </c>
      <c r="BL3472">
        <v>0</v>
      </c>
      <c r="BO3472">
        <v>0</v>
      </c>
      <c r="BP3472">
        <v>0</v>
      </c>
      <c r="BW3472" t="str">
        <f t="shared" si="1930"/>
        <v>14:57:31.458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7</v>
      </c>
      <c r="CP3472" t="s">
        <v>119</v>
      </c>
      <c r="CQ3472">
        <v>285</v>
      </c>
      <c r="CR3472">
        <v>0</v>
      </c>
      <c r="CW3472">
        <v>8879546</v>
      </c>
      <c r="CY3472">
        <v>0</v>
      </c>
      <c r="CZ3472">
        <v>0</v>
      </c>
      <c r="DA3472">
        <v>1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25">
      <c r="A3473" t="str">
        <f t="shared" ref="A3473:A3479" si="1931">"06/05/2020 14:57:26.745"</f>
        <v>06/05/2020 14:57:26.745</v>
      </c>
      <c r="C3473" t="str">
        <f t="shared" si="1906"/>
        <v>FFDFD3C0</v>
      </c>
      <c r="D3473" t="s">
        <v>148</v>
      </c>
      <c r="E3473">
        <v>8</v>
      </c>
      <c r="H3473">
        <v>50</v>
      </c>
      <c r="I3473" t="s">
        <v>149</v>
      </c>
      <c r="J3473" t="s">
        <v>150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ref="S3473:T3479" si="1932">"14:57:32.367"</f>
        <v>14:57:32.367</v>
      </c>
      <c r="T3473" t="str">
        <f t="shared" si="1932"/>
        <v>14:57:32.367</v>
      </c>
      <c r="U3473" t="str">
        <f t="shared" si="1922"/>
        <v>ACC530</v>
      </c>
      <c r="V3473">
        <v>0</v>
      </c>
      <c r="W3473">
        <v>0</v>
      </c>
      <c r="X3473">
        <v>1</v>
      </c>
      <c r="Z3473">
        <v>0</v>
      </c>
      <c r="AA3473">
        <v>9</v>
      </c>
      <c r="AB3473">
        <v>3</v>
      </c>
      <c r="AC3473">
        <v>0</v>
      </c>
      <c r="AD3473">
        <v>9</v>
      </c>
      <c r="AE3473">
        <v>0</v>
      </c>
      <c r="AF3473">
        <v>3</v>
      </c>
      <c r="AG3473">
        <v>1</v>
      </c>
      <c r="AH3473">
        <v>0</v>
      </c>
      <c r="AI3473" t="s">
        <v>1141</v>
      </c>
      <c r="AJ3473">
        <v>34.084159999999997</v>
      </c>
      <c r="AK3473" t="s">
        <v>1142</v>
      </c>
      <c r="AL3473">
        <v>-117.02821299999999</v>
      </c>
      <c r="AM3473">
        <v>100</v>
      </c>
      <c r="AN3473">
        <v>5400</v>
      </c>
      <c r="AO3473" t="s">
        <v>118</v>
      </c>
      <c r="AP3473">
        <v>81</v>
      </c>
      <c r="AQ3473">
        <v>-65</v>
      </c>
      <c r="AR3473">
        <v>-512</v>
      </c>
      <c r="AZ3473">
        <v>1200</v>
      </c>
      <c r="BA3473">
        <v>1</v>
      </c>
      <c r="BB3473" t="str">
        <f t="shared" si="1927"/>
        <v xml:space="preserve">N9217B  </v>
      </c>
      <c r="BC3473">
        <v>1</v>
      </c>
      <c r="BE3473">
        <v>0</v>
      </c>
      <c r="BF3473">
        <v>0</v>
      </c>
      <c r="BG3473">
        <v>0</v>
      </c>
      <c r="BH3473">
        <v>5300</v>
      </c>
      <c r="BI3473">
        <v>1</v>
      </c>
      <c r="BJ3473">
        <v>0</v>
      </c>
      <c r="BK3473">
        <v>0</v>
      </c>
      <c r="BL3473">
        <v>0</v>
      </c>
      <c r="BO3473">
        <v>0</v>
      </c>
      <c r="BP3473">
        <v>0</v>
      </c>
      <c r="BW3473" t="str">
        <f t="shared" ref="BW3473:BW3479" si="1933">"14:57:32.373"</f>
        <v>14:57:32.373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7</v>
      </c>
      <c r="CP3473" t="s">
        <v>119</v>
      </c>
      <c r="CQ3473">
        <v>285</v>
      </c>
      <c r="CR3473">
        <v>0</v>
      </c>
      <c r="CW3473">
        <v>8879627</v>
      </c>
      <c r="CY3473">
        <v>0</v>
      </c>
      <c r="CZ3473">
        <v>0</v>
      </c>
      <c r="DA3473">
        <v>0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25">
      <c r="A3474" t="str">
        <f t="shared" si="1931"/>
        <v>06/05/2020 14:57:26.745</v>
      </c>
      <c r="C3474" t="str">
        <f t="shared" si="1906"/>
        <v>FFDFD3C0</v>
      </c>
      <c r="D3474" t="s">
        <v>151</v>
      </c>
      <c r="E3474">
        <v>8</v>
      </c>
      <c r="H3474">
        <v>225</v>
      </c>
      <c r="I3474" t="s">
        <v>353</v>
      </c>
      <c r="J3474" t="s">
        <v>150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932"/>
        <v>14:57:32.367</v>
      </c>
      <c r="T3474" t="str">
        <f t="shared" si="1932"/>
        <v>14:57:32.367</v>
      </c>
      <c r="U3474" t="str">
        <f t="shared" si="1922"/>
        <v>ACC530</v>
      </c>
      <c r="V3474">
        <v>0</v>
      </c>
      <c r="W3474">
        <v>0</v>
      </c>
      <c r="X3474">
        <v>1</v>
      </c>
      <c r="Z3474">
        <v>0</v>
      </c>
      <c r="AA3474">
        <v>9</v>
      </c>
      <c r="AB3474">
        <v>3</v>
      </c>
      <c r="AC3474">
        <v>0</v>
      </c>
      <c r="AD3474">
        <v>9</v>
      </c>
      <c r="AE3474">
        <v>0</v>
      </c>
      <c r="AF3474">
        <v>3</v>
      </c>
      <c r="AG3474">
        <v>1</v>
      </c>
      <c r="AH3474">
        <v>0</v>
      </c>
      <c r="AI3474" t="s">
        <v>1141</v>
      </c>
      <c r="AJ3474">
        <v>34.084159999999997</v>
      </c>
      <c r="AK3474" t="s">
        <v>1142</v>
      </c>
      <c r="AL3474">
        <v>-117.02821299999999</v>
      </c>
      <c r="AM3474">
        <v>100</v>
      </c>
      <c r="AN3474">
        <v>5400</v>
      </c>
      <c r="AO3474" t="s">
        <v>118</v>
      </c>
      <c r="AP3474">
        <v>81</v>
      </c>
      <c r="AQ3474">
        <v>-65</v>
      </c>
      <c r="AR3474">
        <v>-512</v>
      </c>
      <c r="AZ3474">
        <v>1200</v>
      </c>
      <c r="BA3474">
        <v>1</v>
      </c>
      <c r="BB3474" t="str">
        <f t="shared" si="1927"/>
        <v xml:space="preserve">N9217B  </v>
      </c>
      <c r="BC3474">
        <v>1</v>
      </c>
      <c r="BE3474">
        <v>0</v>
      </c>
      <c r="BF3474">
        <v>0</v>
      </c>
      <c r="BG3474">
        <v>0</v>
      </c>
      <c r="BH3474">
        <v>5300</v>
      </c>
      <c r="BI3474">
        <v>1</v>
      </c>
      <c r="BJ3474">
        <v>0</v>
      </c>
      <c r="BK3474">
        <v>0</v>
      </c>
      <c r="BL3474">
        <v>0</v>
      </c>
      <c r="BO3474">
        <v>0</v>
      </c>
      <c r="BP3474">
        <v>0</v>
      </c>
      <c r="BW3474" t="str">
        <f t="shared" si="1933"/>
        <v>14:57:32.373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7</v>
      </c>
      <c r="CP3474" t="s">
        <v>119</v>
      </c>
      <c r="CQ3474">
        <v>285</v>
      </c>
      <c r="CR3474">
        <v>0</v>
      </c>
      <c r="CW3474">
        <v>8879627</v>
      </c>
      <c r="CY3474">
        <v>0</v>
      </c>
      <c r="CZ3474">
        <v>0</v>
      </c>
      <c r="DA3474">
        <v>1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25">
      <c r="A3475" t="str">
        <f t="shared" si="1931"/>
        <v>06/05/2020 14:57:26.745</v>
      </c>
      <c r="C3475" t="str">
        <f t="shared" si="1906"/>
        <v>FFDFD3C0</v>
      </c>
      <c r="D3475" t="s">
        <v>113</v>
      </c>
      <c r="E3475">
        <v>3</v>
      </c>
      <c r="H3475">
        <v>166</v>
      </c>
      <c r="I3475" t="s">
        <v>114</v>
      </c>
      <c r="J3475" t="s">
        <v>115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932"/>
        <v>14:57:32.367</v>
      </c>
      <c r="T3475" t="str">
        <f t="shared" si="1932"/>
        <v>14:57:32.367</v>
      </c>
      <c r="U3475" t="str">
        <f t="shared" si="1922"/>
        <v>ACC530</v>
      </c>
      <c r="V3475">
        <v>0</v>
      </c>
      <c r="W3475">
        <v>0</v>
      </c>
      <c r="X3475">
        <v>1</v>
      </c>
      <c r="Z3475">
        <v>0</v>
      </c>
      <c r="AA3475">
        <v>9</v>
      </c>
      <c r="AB3475">
        <v>3</v>
      </c>
      <c r="AC3475">
        <v>0</v>
      </c>
      <c r="AD3475">
        <v>9</v>
      </c>
      <c r="AE3475">
        <v>0</v>
      </c>
      <c r="AF3475">
        <v>3</v>
      </c>
      <c r="AG3475">
        <v>1</v>
      </c>
      <c r="AH3475">
        <v>0</v>
      </c>
      <c r="AI3475" t="s">
        <v>1141</v>
      </c>
      <c r="AJ3475">
        <v>34.084159999999997</v>
      </c>
      <c r="AK3475" t="s">
        <v>1142</v>
      </c>
      <c r="AL3475">
        <v>-117.02821299999999</v>
      </c>
      <c r="AM3475">
        <v>100</v>
      </c>
      <c r="AN3475">
        <v>5400</v>
      </c>
      <c r="AO3475" t="s">
        <v>118</v>
      </c>
      <c r="AP3475">
        <v>81</v>
      </c>
      <c r="AQ3475">
        <v>-65</v>
      </c>
      <c r="AR3475">
        <v>-512</v>
      </c>
      <c r="AZ3475">
        <v>1200</v>
      </c>
      <c r="BA3475">
        <v>1</v>
      </c>
      <c r="BB3475" t="str">
        <f t="shared" si="1927"/>
        <v xml:space="preserve">N9217B  </v>
      </c>
      <c r="BC3475">
        <v>1</v>
      </c>
      <c r="BE3475">
        <v>0</v>
      </c>
      <c r="BF3475">
        <v>0</v>
      </c>
      <c r="BG3475">
        <v>0</v>
      </c>
      <c r="BH3475">
        <v>5300</v>
      </c>
      <c r="BI3475">
        <v>1</v>
      </c>
      <c r="BJ3475">
        <v>0</v>
      </c>
      <c r="BK3475">
        <v>0</v>
      </c>
      <c r="BL3475">
        <v>0</v>
      </c>
      <c r="BO3475">
        <v>0</v>
      </c>
      <c r="BP3475">
        <v>0</v>
      </c>
      <c r="BW3475" t="str">
        <f t="shared" si="1933"/>
        <v>14:57:32.373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7</v>
      </c>
      <c r="CP3475" t="s">
        <v>119</v>
      </c>
      <c r="CQ3475">
        <v>285</v>
      </c>
      <c r="CR3475">
        <v>0</v>
      </c>
      <c r="CW3475">
        <v>8879627</v>
      </c>
      <c r="CY3475">
        <v>0</v>
      </c>
      <c r="CZ3475">
        <v>0</v>
      </c>
      <c r="DA3475">
        <v>1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25">
      <c r="A3476" t="str">
        <f t="shared" si="1931"/>
        <v>06/05/2020 14:57:26.745</v>
      </c>
      <c r="C3476" t="str">
        <f t="shared" si="1906"/>
        <v>FFDFD3C0</v>
      </c>
      <c r="D3476" t="s">
        <v>151</v>
      </c>
      <c r="E3476">
        <v>9</v>
      </c>
      <c r="H3476">
        <v>226</v>
      </c>
      <c r="I3476" t="s">
        <v>152</v>
      </c>
      <c r="J3476" t="s">
        <v>150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si="1932"/>
        <v>14:57:32.367</v>
      </c>
      <c r="T3476" t="str">
        <f t="shared" si="1932"/>
        <v>14:57:32.367</v>
      </c>
      <c r="U3476" t="str">
        <f t="shared" si="1922"/>
        <v>ACC530</v>
      </c>
      <c r="V3476">
        <v>0</v>
      </c>
      <c r="W3476">
        <v>0</v>
      </c>
      <c r="X3476">
        <v>1</v>
      </c>
      <c r="Z3476">
        <v>0</v>
      </c>
      <c r="AA3476">
        <v>9</v>
      </c>
      <c r="AB3476">
        <v>3</v>
      </c>
      <c r="AC3476">
        <v>0</v>
      </c>
      <c r="AD3476">
        <v>9</v>
      </c>
      <c r="AE3476">
        <v>0</v>
      </c>
      <c r="AF3476">
        <v>3</v>
      </c>
      <c r="AG3476">
        <v>1</v>
      </c>
      <c r="AH3476">
        <v>0</v>
      </c>
      <c r="AI3476" t="s">
        <v>1141</v>
      </c>
      <c r="AJ3476">
        <v>34.084159999999997</v>
      </c>
      <c r="AK3476" t="s">
        <v>1142</v>
      </c>
      <c r="AL3476">
        <v>-117.02821299999999</v>
      </c>
      <c r="AM3476">
        <v>100</v>
      </c>
      <c r="AN3476">
        <v>5400</v>
      </c>
      <c r="AO3476" t="s">
        <v>118</v>
      </c>
      <c r="AP3476">
        <v>81</v>
      </c>
      <c r="AQ3476">
        <v>-65</v>
      </c>
      <c r="AR3476">
        <v>-512</v>
      </c>
      <c r="AZ3476">
        <v>1200</v>
      </c>
      <c r="BA3476">
        <v>1</v>
      </c>
      <c r="BB3476" t="str">
        <f t="shared" si="1927"/>
        <v xml:space="preserve">N9217B  </v>
      </c>
      <c r="BC3476">
        <v>1</v>
      </c>
      <c r="BE3476">
        <v>0</v>
      </c>
      <c r="BF3476">
        <v>0</v>
      </c>
      <c r="BG3476">
        <v>0</v>
      </c>
      <c r="BH3476">
        <v>5300</v>
      </c>
      <c r="BI3476">
        <v>1</v>
      </c>
      <c r="BJ3476">
        <v>0</v>
      </c>
      <c r="BK3476">
        <v>0</v>
      </c>
      <c r="BL3476">
        <v>0</v>
      </c>
      <c r="BO3476">
        <v>0</v>
      </c>
      <c r="BP3476">
        <v>0</v>
      </c>
      <c r="BW3476" t="str">
        <f t="shared" si="1933"/>
        <v>14:57:32.373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7</v>
      </c>
      <c r="CP3476" t="s">
        <v>119</v>
      </c>
      <c r="CQ3476">
        <v>285</v>
      </c>
      <c r="CR3476">
        <v>0</v>
      </c>
      <c r="CW3476">
        <v>8879627</v>
      </c>
      <c r="CY3476">
        <v>0</v>
      </c>
      <c r="CZ3476">
        <v>0</v>
      </c>
      <c r="DA3476">
        <v>1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25">
      <c r="A3477" t="str">
        <f t="shared" si="1931"/>
        <v>06/05/2020 14:57:26.745</v>
      </c>
      <c r="C3477" t="str">
        <f t="shared" si="1906"/>
        <v>FFDFD3C0</v>
      </c>
      <c r="D3477" t="s">
        <v>134</v>
      </c>
      <c r="E3477">
        <v>7</v>
      </c>
      <c r="F3477">
        <v>2007</v>
      </c>
      <c r="G3477" t="s">
        <v>135</v>
      </c>
      <c r="J3477" t="s">
        <v>136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932"/>
        <v>14:57:32.367</v>
      </c>
      <c r="T3477" t="str">
        <f t="shared" si="1932"/>
        <v>14:57:32.367</v>
      </c>
      <c r="U3477" t="str">
        <f t="shared" si="1922"/>
        <v>ACC530</v>
      </c>
      <c r="V3477">
        <v>0</v>
      </c>
      <c r="W3477">
        <v>0</v>
      </c>
      <c r="X3477">
        <v>1</v>
      </c>
      <c r="Z3477">
        <v>0</v>
      </c>
      <c r="AA3477">
        <v>9</v>
      </c>
      <c r="AB3477">
        <v>3</v>
      </c>
      <c r="AC3477">
        <v>0</v>
      </c>
      <c r="AD3477">
        <v>9</v>
      </c>
      <c r="AE3477">
        <v>0</v>
      </c>
      <c r="AF3477">
        <v>3</v>
      </c>
      <c r="AG3477">
        <v>1</v>
      </c>
      <c r="AH3477">
        <v>0</v>
      </c>
      <c r="AI3477" t="s">
        <v>1141</v>
      </c>
      <c r="AJ3477">
        <v>34.084159999999997</v>
      </c>
      <c r="AK3477" t="s">
        <v>1142</v>
      </c>
      <c r="AL3477">
        <v>-117.02821299999999</v>
      </c>
      <c r="AM3477">
        <v>100</v>
      </c>
      <c r="AN3477">
        <v>5400</v>
      </c>
      <c r="AO3477" t="s">
        <v>118</v>
      </c>
      <c r="AP3477">
        <v>81</v>
      </c>
      <c r="AQ3477">
        <v>-65</v>
      </c>
      <c r="AR3477">
        <v>-512</v>
      </c>
      <c r="AZ3477">
        <v>1200</v>
      </c>
      <c r="BA3477">
        <v>1</v>
      </c>
      <c r="BB3477" t="str">
        <f t="shared" si="1927"/>
        <v xml:space="preserve">N9217B  </v>
      </c>
      <c r="BC3477">
        <v>1</v>
      </c>
      <c r="BE3477">
        <v>0</v>
      </c>
      <c r="BF3477">
        <v>0</v>
      </c>
      <c r="BG3477">
        <v>0</v>
      </c>
      <c r="BH3477">
        <v>5300</v>
      </c>
      <c r="BI3477">
        <v>1</v>
      </c>
      <c r="BJ3477">
        <v>0</v>
      </c>
      <c r="BK3477">
        <v>0</v>
      </c>
      <c r="BL3477">
        <v>0</v>
      </c>
      <c r="BO3477">
        <v>0</v>
      </c>
      <c r="BP3477">
        <v>0</v>
      </c>
      <c r="BW3477" t="str">
        <f t="shared" si="1933"/>
        <v>14:57:32.373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7</v>
      </c>
      <c r="CP3477" t="s">
        <v>119</v>
      </c>
      <c r="CQ3477">
        <v>285</v>
      </c>
      <c r="CR3477">
        <v>0</v>
      </c>
      <c r="CW3477">
        <v>8879627</v>
      </c>
      <c r="CY3477">
        <v>0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25">
      <c r="A3478" t="str">
        <f t="shared" si="1931"/>
        <v>06/05/2020 14:57:26.745</v>
      </c>
      <c r="C3478" t="str">
        <f t="shared" si="1906"/>
        <v>FFDFD3C0</v>
      </c>
      <c r="D3478" t="s">
        <v>148</v>
      </c>
      <c r="E3478">
        <v>11</v>
      </c>
      <c r="H3478">
        <v>53</v>
      </c>
      <c r="I3478" t="s">
        <v>364</v>
      </c>
      <c r="J3478" t="s">
        <v>150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si="1932"/>
        <v>14:57:32.367</v>
      </c>
      <c r="T3478" t="str">
        <f t="shared" si="1932"/>
        <v>14:57:32.367</v>
      </c>
      <c r="U3478" t="str">
        <f t="shared" si="1922"/>
        <v>ACC530</v>
      </c>
      <c r="V3478">
        <v>0</v>
      </c>
      <c r="W3478">
        <v>0</v>
      </c>
      <c r="X3478">
        <v>1</v>
      </c>
      <c r="Z3478">
        <v>0</v>
      </c>
      <c r="AA3478">
        <v>9</v>
      </c>
      <c r="AB3478">
        <v>3</v>
      </c>
      <c r="AC3478">
        <v>0</v>
      </c>
      <c r="AD3478">
        <v>9</v>
      </c>
      <c r="AE3478">
        <v>0</v>
      </c>
      <c r="AF3478">
        <v>3</v>
      </c>
      <c r="AG3478">
        <v>1</v>
      </c>
      <c r="AH3478">
        <v>0</v>
      </c>
      <c r="AI3478" t="s">
        <v>1141</v>
      </c>
      <c r="AJ3478">
        <v>34.084159999999997</v>
      </c>
      <c r="AK3478" t="s">
        <v>1142</v>
      </c>
      <c r="AL3478">
        <v>-117.02821299999999</v>
      </c>
      <c r="AM3478">
        <v>100</v>
      </c>
      <c r="AN3478">
        <v>5400</v>
      </c>
      <c r="AO3478" t="s">
        <v>118</v>
      </c>
      <c r="AP3478">
        <v>81</v>
      </c>
      <c r="AQ3478">
        <v>-65</v>
      </c>
      <c r="AR3478">
        <v>-512</v>
      </c>
      <c r="AZ3478">
        <v>1200</v>
      </c>
      <c r="BA3478">
        <v>1</v>
      </c>
      <c r="BB3478" t="str">
        <f t="shared" si="1927"/>
        <v xml:space="preserve">N9217B  </v>
      </c>
      <c r="BC3478">
        <v>1</v>
      </c>
      <c r="BE3478">
        <v>0</v>
      </c>
      <c r="BF3478">
        <v>0</v>
      </c>
      <c r="BG3478">
        <v>0</v>
      </c>
      <c r="BH3478">
        <v>5300</v>
      </c>
      <c r="BI3478">
        <v>1</v>
      </c>
      <c r="BJ3478">
        <v>0</v>
      </c>
      <c r="BK3478">
        <v>0</v>
      </c>
      <c r="BL3478">
        <v>0</v>
      </c>
      <c r="BO3478">
        <v>0</v>
      </c>
      <c r="BP3478">
        <v>0</v>
      </c>
      <c r="BW3478" t="str">
        <f t="shared" si="1933"/>
        <v>14:57:32.373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7</v>
      </c>
      <c r="CP3478" t="s">
        <v>119</v>
      </c>
      <c r="CQ3478">
        <v>285</v>
      </c>
      <c r="CR3478">
        <v>0</v>
      </c>
      <c r="CW3478">
        <v>8879627</v>
      </c>
      <c r="CY3478">
        <v>0</v>
      </c>
      <c r="CZ3478">
        <v>0</v>
      </c>
      <c r="DA3478">
        <v>1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25">
      <c r="A3479" t="str">
        <f t="shared" si="1931"/>
        <v>06/05/2020 14:57:26.745</v>
      </c>
      <c r="C3479" t="str">
        <f t="shared" si="1906"/>
        <v>FFDFD3C0</v>
      </c>
      <c r="D3479" t="s">
        <v>141</v>
      </c>
      <c r="E3479">
        <v>20</v>
      </c>
      <c r="F3479">
        <v>1020</v>
      </c>
      <c r="G3479" t="s">
        <v>114</v>
      </c>
      <c r="J3479" t="s">
        <v>142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si="1932"/>
        <v>14:57:32.367</v>
      </c>
      <c r="T3479" t="str">
        <f t="shared" si="1932"/>
        <v>14:57:32.367</v>
      </c>
      <c r="U3479" t="str">
        <f t="shared" si="1922"/>
        <v>ACC530</v>
      </c>
      <c r="V3479">
        <v>0</v>
      </c>
      <c r="W3479">
        <v>0</v>
      </c>
      <c r="X3479">
        <v>1</v>
      </c>
      <c r="Z3479">
        <v>0</v>
      </c>
      <c r="AA3479">
        <v>9</v>
      </c>
      <c r="AB3479">
        <v>3</v>
      </c>
      <c r="AC3479">
        <v>0</v>
      </c>
      <c r="AD3479">
        <v>9</v>
      </c>
      <c r="AE3479">
        <v>0</v>
      </c>
      <c r="AF3479">
        <v>3</v>
      </c>
      <c r="AG3479">
        <v>1</v>
      </c>
      <c r="AH3479">
        <v>0</v>
      </c>
      <c r="AI3479" t="s">
        <v>1141</v>
      </c>
      <c r="AJ3479">
        <v>34.084159999999997</v>
      </c>
      <c r="AK3479" t="s">
        <v>1142</v>
      </c>
      <c r="AL3479">
        <v>-117.02821299999999</v>
      </c>
      <c r="AM3479">
        <v>100</v>
      </c>
      <c r="AN3479">
        <v>5400</v>
      </c>
      <c r="AO3479" t="s">
        <v>118</v>
      </c>
      <c r="AP3479">
        <v>81</v>
      </c>
      <c r="AQ3479">
        <v>-65</v>
      </c>
      <c r="AR3479">
        <v>-512</v>
      </c>
      <c r="AZ3479">
        <v>1200</v>
      </c>
      <c r="BA3479">
        <v>1</v>
      </c>
      <c r="BB3479" t="str">
        <f t="shared" si="1927"/>
        <v xml:space="preserve">N9217B  </v>
      </c>
      <c r="BC3479">
        <v>1</v>
      </c>
      <c r="BE3479">
        <v>0</v>
      </c>
      <c r="BF3479">
        <v>0</v>
      </c>
      <c r="BG3479">
        <v>0</v>
      </c>
      <c r="BH3479">
        <v>5300</v>
      </c>
      <c r="BI3479">
        <v>1</v>
      </c>
      <c r="BJ3479">
        <v>0</v>
      </c>
      <c r="BK3479">
        <v>0</v>
      </c>
      <c r="BL3479">
        <v>0</v>
      </c>
      <c r="BO3479">
        <v>0</v>
      </c>
      <c r="BP3479">
        <v>0</v>
      </c>
      <c r="BW3479" t="str">
        <f t="shared" si="1933"/>
        <v>14:57:32.373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7</v>
      </c>
      <c r="CP3479" t="s">
        <v>119</v>
      </c>
      <c r="CQ3479">
        <v>285</v>
      </c>
      <c r="CR3479">
        <v>0</v>
      </c>
      <c r="CW3479">
        <v>8879627</v>
      </c>
      <c r="CY3479">
        <v>0</v>
      </c>
      <c r="CZ3479">
        <v>0</v>
      </c>
      <c r="DA3479">
        <v>1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25">
      <c r="A3480" t="str">
        <f t="shared" ref="A3480:A3486" si="1934">"06/05/2020 14:57:27.788"</f>
        <v>06/05/2020 14:57:27.788</v>
      </c>
      <c r="C3480" t="str">
        <f t="shared" si="1906"/>
        <v>FFDFD3C0</v>
      </c>
      <c r="D3480" t="s">
        <v>141</v>
      </c>
      <c r="E3480">
        <v>20</v>
      </c>
      <c r="F3480">
        <v>1020</v>
      </c>
      <c r="G3480" t="s">
        <v>114</v>
      </c>
      <c r="J3480" t="s">
        <v>142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ref="S3480:T3486" si="1935">"14:57:33.438"</f>
        <v>14:57:33.438</v>
      </c>
      <c r="T3480" t="str">
        <f t="shared" si="1935"/>
        <v>14:57:33.438</v>
      </c>
      <c r="U3480" t="str">
        <f t="shared" si="1922"/>
        <v>ACC530</v>
      </c>
      <c r="V3480">
        <v>0</v>
      </c>
      <c r="W3480">
        <v>0</v>
      </c>
      <c r="X3480">
        <v>1</v>
      </c>
      <c r="Z3480">
        <v>0</v>
      </c>
      <c r="AA3480">
        <v>9</v>
      </c>
      <c r="AB3480">
        <v>3</v>
      </c>
      <c r="AC3480">
        <v>0</v>
      </c>
      <c r="AD3480">
        <v>9</v>
      </c>
      <c r="AE3480">
        <v>0</v>
      </c>
      <c r="AF3480">
        <v>3</v>
      </c>
      <c r="AG3480">
        <v>1</v>
      </c>
      <c r="AH3480">
        <v>0</v>
      </c>
      <c r="AI3480" t="s">
        <v>1143</v>
      </c>
      <c r="AJ3480">
        <v>34.083817000000003</v>
      </c>
      <c r="AK3480" t="s">
        <v>1144</v>
      </c>
      <c r="AL3480">
        <v>-117.02773999999999</v>
      </c>
      <c r="AM3480">
        <v>100</v>
      </c>
      <c r="AN3480">
        <v>5400</v>
      </c>
      <c r="AO3480" t="s">
        <v>118</v>
      </c>
      <c r="AP3480">
        <v>82</v>
      </c>
      <c r="AQ3480">
        <v>-64</v>
      </c>
      <c r="AR3480">
        <v>-512</v>
      </c>
      <c r="AZ3480">
        <v>1200</v>
      </c>
      <c r="BA3480">
        <v>1</v>
      </c>
      <c r="BB3480" t="str">
        <f t="shared" si="1927"/>
        <v xml:space="preserve">N9217B  </v>
      </c>
      <c r="BC3480">
        <v>1</v>
      </c>
      <c r="BE3480">
        <v>0</v>
      </c>
      <c r="BF3480">
        <v>0</v>
      </c>
      <c r="BG3480">
        <v>0</v>
      </c>
      <c r="BH3480">
        <v>5300</v>
      </c>
      <c r="BI3480">
        <v>1</v>
      </c>
      <c r="BJ3480">
        <v>0</v>
      </c>
      <c r="BK3480">
        <v>0</v>
      </c>
      <c r="BL3480">
        <v>0</v>
      </c>
      <c r="BO3480">
        <v>0</v>
      </c>
      <c r="BP3480">
        <v>0</v>
      </c>
      <c r="BW3480" t="str">
        <f t="shared" ref="BW3480:BW3486" si="1936">"14:57:33.438"</f>
        <v>14:57:33.438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7</v>
      </c>
      <c r="CP3480" t="s">
        <v>119</v>
      </c>
      <c r="CQ3480">
        <v>285</v>
      </c>
      <c r="CR3480">
        <v>0</v>
      </c>
      <c r="CW3480">
        <v>8879721</v>
      </c>
      <c r="CY3480">
        <v>0</v>
      </c>
      <c r="CZ3480">
        <v>0</v>
      </c>
      <c r="DA3480">
        <v>0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25">
      <c r="A3481" t="str">
        <f t="shared" si="1934"/>
        <v>06/05/2020 14:57:27.788</v>
      </c>
      <c r="C3481" t="str">
        <f t="shared" si="1906"/>
        <v>FFDFD3C0</v>
      </c>
      <c r="D3481" t="s">
        <v>148</v>
      </c>
      <c r="E3481">
        <v>11</v>
      </c>
      <c r="H3481">
        <v>53</v>
      </c>
      <c r="I3481" t="s">
        <v>364</v>
      </c>
      <c r="J3481" t="s">
        <v>150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935"/>
        <v>14:57:33.438</v>
      </c>
      <c r="T3481" t="str">
        <f t="shared" si="1935"/>
        <v>14:57:33.438</v>
      </c>
      <c r="U3481" t="str">
        <f t="shared" si="1922"/>
        <v>ACC530</v>
      </c>
      <c r="V3481">
        <v>0</v>
      </c>
      <c r="W3481">
        <v>0</v>
      </c>
      <c r="X3481">
        <v>1</v>
      </c>
      <c r="Z3481">
        <v>0</v>
      </c>
      <c r="AA3481">
        <v>9</v>
      </c>
      <c r="AB3481">
        <v>3</v>
      </c>
      <c r="AC3481">
        <v>0</v>
      </c>
      <c r="AD3481">
        <v>9</v>
      </c>
      <c r="AE3481">
        <v>0</v>
      </c>
      <c r="AF3481">
        <v>3</v>
      </c>
      <c r="AG3481">
        <v>1</v>
      </c>
      <c r="AH3481">
        <v>0</v>
      </c>
      <c r="AI3481" t="s">
        <v>1143</v>
      </c>
      <c r="AJ3481">
        <v>34.083817000000003</v>
      </c>
      <c r="AK3481" t="s">
        <v>1144</v>
      </c>
      <c r="AL3481">
        <v>-117.02773999999999</v>
      </c>
      <c r="AM3481">
        <v>100</v>
      </c>
      <c r="AN3481">
        <v>5400</v>
      </c>
      <c r="AO3481" t="s">
        <v>118</v>
      </c>
      <c r="AP3481">
        <v>82</v>
      </c>
      <c r="AQ3481">
        <v>-64</v>
      </c>
      <c r="AR3481">
        <v>-512</v>
      </c>
      <c r="AZ3481">
        <v>1200</v>
      </c>
      <c r="BA3481">
        <v>1</v>
      </c>
      <c r="BB3481" t="str">
        <f t="shared" si="1927"/>
        <v xml:space="preserve">N9217B  </v>
      </c>
      <c r="BC3481">
        <v>1</v>
      </c>
      <c r="BE3481">
        <v>0</v>
      </c>
      <c r="BF3481">
        <v>0</v>
      </c>
      <c r="BG3481">
        <v>0</v>
      </c>
      <c r="BH3481">
        <v>5300</v>
      </c>
      <c r="BI3481">
        <v>1</v>
      </c>
      <c r="BJ3481">
        <v>0</v>
      </c>
      <c r="BK3481">
        <v>0</v>
      </c>
      <c r="BL3481">
        <v>0</v>
      </c>
      <c r="BO3481">
        <v>0</v>
      </c>
      <c r="BP3481">
        <v>0</v>
      </c>
      <c r="BW3481" t="str">
        <f t="shared" si="1936"/>
        <v>14:57:33.438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7</v>
      </c>
      <c r="CP3481" t="s">
        <v>119</v>
      </c>
      <c r="CQ3481">
        <v>285</v>
      </c>
      <c r="CR3481">
        <v>0</v>
      </c>
      <c r="CW3481">
        <v>8879721</v>
      </c>
      <c r="CY3481">
        <v>0</v>
      </c>
      <c r="CZ3481">
        <v>0</v>
      </c>
      <c r="DA3481">
        <v>1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25">
      <c r="A3482" t="str">
        <f t="shared" si="1934"/>
        <v>06/05/2020 14:57:27.788</v>
      </c>
      <c r="C3482" t="str">
        <f t="shared" si="1906"/>
        <v>FFDFD3C0</v>
      </c>
      <c r="D3482" t="s">
        <v>148</v>
      </c>
      <c r="E3482">
        <v>8</v>
      </c>
      <c r="H3482">
        <v>50</v>
      </c>
      <c r="I3482" t="s">
        <v>149</v>
      </c>
      <c r="J3482" t="s">
        <v>150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935"/>
        <v>14:57:33.438</v>
      </c>
      <c r="T3482" t="str">
        <f t="shared" si="1935"/>
        <v>14:57:33.438</v>
      </c>
      <c r="U3482" t="str">
        <f t="shared" si="1922"/>
        <v>ACC530</v>
      </c>
      <c r="V3482">
        <v>0</v>
      </c>
      <c r="W3482">
        <v>0</v>
      </c>
      <c r="X3482">
        <v>1</v>
      </c>
      <c r="Z3482">
        <v>0</v>
      </c>
      <c r="AA3482">
        <v>9</v>
      </c>
      <c r="AB3482">
        <v>3</v>
      </c>
      <c r="AC3482">
        <v>0</v>
      </c>
      <c r="AD3482">
        <v>9</v>
      </c>
      <c r="AE3482">
        <v>0</v>
      </c>
      <c r="AF3482">
        <v>3</v>
      </c>
      <c r="AG3482">
        <v>1</v>
      </c>
      <c r="AH3482">
        <v>0</v>
      </c>
      <c r="AI3482" t="s">
        <v>1143</v>
      </c>
      <c r="AJ3482">
        <v>34.083817000000003</v>
      </c>
      <c r="AK3482" t="s">
        <v>1144</v>
      </c>
      <c r="AL3482">
        <v>-117.02773999999999</v>
      </c>
      <c r="AM3482">
        <v>100</v>
      </c>
      <c r="AN3482">
        <v>5400</v>
      </c>
      <c r="AO3482" t="s">
        <v>118</v>
      </c>
      <c r="AP3482">
        <v>82</v>
      </c>
      <c r="AQ3482">
        <v>-64</v>
      </c>
      <c r="AR3482">
        <v>-512</v>
      </c>
      <c r="AZ3482">
        <v>1200</v>
      </c>
      <c r="BA3482">
        <v>1</v>
      </c>
      <c r="BB3482" t="str">
        <f t="shared" si="1927"/>
        <v xml:space="preserve">N9217B  </v>
      </c>
      <c r="BC3482">
        <v>1</v>
      </c>
      <c r="BE3482">
        <v>0</v>
      </c>
      <c r="BF3482">
        <v>0</v>
      </c>
      <c r="BG3482">
        <v>0</v>
      </c>
      <c r="BH3482">
        <v>5300</v>
      </c>
      <c r="BI3482">
        <v>1</v>
      </c>
      <c r="BJ3482">
        <v>0</v>
      </c>
      <c r="BK3482">
        <v>0</v>
      </c>
      <c r="BL3482">
        <v>0</v>
      </c>
      <c r="BO3482">
        <v>0</v>
      </c>
      <c r="BP3482">
        <v>0</v>
      </c>
      <c r="BW3482" t="str">
        <f t="shared" si="1936"/>
        <v>14:57:33.438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7</v>
      </c>
      <c r="CP3482" t="s">
        <v>119</v>
      </c>
      <c r="CQ3482">
        <v>285</v>
      </c>
      <c r="CR3482">
        <v>0</v>
      </c>
      <c r="CW3482">
        <v>8879721</v>
      </c>
      <c r="CY3482">
        <v>0</v>
      </c>
      <c r="CZ3482">
        <v>0</v>
      </c>
      <c r="DA3482">
        <v>1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25">
      <c r="A3483" t="str">
        <f t="shared" si="1934"/>
        <v>06/05/2020 14:57:27.788</v>
      </c>
      <c r="C3483" t="str">
        <f t="shared" si="1906"/>
        <v>FFDFD3C0</v>
      </c>
      <c r="D3483" t="s">
        <v>113</v>
      </c>
      <c r="E3483">
        <v>3</v>
      </c>
      <c r="H3483">
        <v>166</v>
      </c>
      <c r="I3483" t="s">
        <v>114</v>
      </c>
      <c r="J3483" t="s">
        <v>115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si="1935"/>
        <v>14:57:33.438</v>
      </c>
      <c r="T3483" t="str">
        <f t="shared" si="1935"/>
        <v>14:57:33.438</v>
      </c>
      <c r="U3483" t="str">
        <f t="shared" si="1922"/>
        <v>ACC530</v>
      </c>
      <c r="V3483">
        <v>0</v>
      </c>
      <c r="W3483">
        <v>0</v>
      </c>
      <c r="X3483">
        <v>1</v>
      </c>
      <c r="Z3483">
        <v>0</v>
      </c>
      <c r="AA3483">
        <v>9</v>
      </c>
      <c r="AB3483">
        <v>3</v>
      </c>
      <c r="AC3483">
        <v>0</v>
      </c>
      <c r="AD3483">
        <v>9</v>
      </c>
      <c r="AE3483">
        <v>0</v>
      </c>
      <c r="AF3483">
        <v>3</v>
      </c>
      <c r="AG3483">
        <v>1</v>
      </c>
      <c r="AH3483">
        <v>0</v>
      </c>
      <c r="AI3483" t="s">
        <v>1143</v>
      </c>
      <c r="AJ3483">
        <v>34.083817000000003</v>
      </c>
      <c r="AK3483" t="s">
        <v>1144</v>
      </c>
      <c r="AL3483">
        <v>-117.02773999999999</v>
      </c>
      <c r="AM3483">
        <v>100</v>
      </c>
      <c r="AN3483">
        <v>5400</v>
      </c>
      <c r="AO3483" t="s">
        <v>118</v>
      </c>
      <c r="AP3483">
        <v>82</v>
      </c>
      <c r="AQ3483">
        <v>-64</v>
      </c>
      <c r="AR3483">
        <v>-512</v>
      </c>
      <c r="AZ3483">
        <v>1200</v>
      </c>
      <c r="BA3483">
        <v>1</v>
      </c>
      <c r="BB3483" t="str">
        <f t="shared" si="1927"/>
        <v xml:space="preserve">N9217B  </v>
      </c>
      <c r="BC3483">
        <v>1</v>
      </c>
      <c r="BE3483">
        <v>0</v>
      </c>
      <c r="BF3483">
        <v>0</v>
      </c>
      <c r="BG3483">
        <v>0</v>
      </c>
      <c r="BH3483">
        <v>5300</v>
      </c>
      <c r="BI3483">
        <v>1</v>
      </c>
      <c r="BJ3483">
        <v>0</v>
      </c>
      <c r="BK3483">
        <v>0</v>
      </c>
      <c r="BL3483">
        <v>0</v>
      </c>
      <c r="BO3483">
        <v>0</v>
      </c>
      <c r="BP3483">
        <v>0</v>
      </c>
      <c r="BW3483" t="str">
        <f t="shared" si="1936"/>
        <v>14:57:33.438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7</v>
      </c>
      <c r="CP3483" t="s">
        <v>119</v>
      </c>
      <c r="CQ3483">
        <v>285</v>
      </c>
      <c r="CR3483">
        <v>0</v>
      </c>
      <c r="CW3483">
        <v>8879721</v>
      </c>
      <c r="CY3483">
        <v>0</v>
      </c>
      <c r="CZ3483">
        <v>0</v>
      </c>
      <c r="DA3483">
        <v>1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25">
      <c r="A3484" t="str">
        <f t="shared" si="1934"/>
        <v>06/05/2020 14:57:27.788</v>
      </c>
      <c r="C3484" t="str">
        <f t="shared" si="1906"/>
        <v>FFDFD3C0</v>
      </c>
      <c r="D3484" t="s">
        <v>151</v>
      </c>
      <c r="E3484">
        <v>8</v>
      </c>
      <c r="H3484">
        <v>225</v>
      </c>
      <c r="I3484" t="s">
        <v>353</v>
      </c>
      <c r="J3484" t="s">
        <v>150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si="1935"/>
        <v>14:57:33.438</v>
      </c>
      <c r="T3484" t="str">
        <f t="shared" si="1935"/>
        <v>14:57:33.438</v>
      </c>
      <c r="U3484" t="str">
        <f t="shared" si="1922"/>
        <v>ACC530</v>
      </c>
      <c r="V3484">
        <v>0</v>
      </c>
      <c r="W3484">
        <v>0</v>
      </c>
      <c r="X3484">
        <v>1</v>
      </c>
      <c r="Z3484">
        <v>0</v>
      </c>
      <c r="AA3484">
        <v>9</v>
      </c>
      <c r="AB3484">
        <v>3</v>
      </c>
      <c r="AC3484">
        <v>0</v>
      </c>
      <c r="AD3484">
        <v>9</v>
      </c>
      <c r="AE3484">
        <v>0</v>
      </c>
      <c r="AF3484">
        <v>3</v>
      </c>
      <c r="AG3484">
        <v>1</v>
      </c>
      <c r="AH3484">
        <v>0</v>
      </c>
      <c r="AI3484" t="s">
        <v>1143</v>
      </c>
      <c r="AJ3484">
        <v>34.083817000000003</v>
      </c>
      <c r="AK3484" t="s">
        <v>1144</v>
      </c>
      <c r="AL3484">
        <v>-117.02773999999999</v>
      </c>
      <c r="AM3484">
        <v>100</v>
      </c>
      <c r="AN3484">
        <v>5400</v>
      </c>
      <c r="AO3484" t="s">
        <v>118</v>
      </c>
      <c r="AP3484">
        <v>82</v>
      </c>
      <c r="AQ3484">
        <v>-64</v>
      </c>
      <c r="AR3484">
        <v>-512</v>
      </c>
      <c r="AZ3484">
        <v>1200</v>
      </c>
      <c r="BA3484">
        <v>1</v>
      </c>
      <c r="BB3484" t="str">
        <f t="shared" si="1927"/>
        <v xml:space="preserve">N9217B  </v>
      </c>
      <c r="BC3484">
        <v>1</v>
      </c>
      <c r="BE3484">
        <v>0</v>
      </c>
      <c r="BF3484">
        <v>0</v>
      </c>
      <c r="BG3484">
        <v>0</v>
      </c>
      <c r="BH3484">
        <v>5300</v>
      </c>
      <c r="BI3484">
        <v>1</v>
      </c>
      <c r="BJ3484">
        <v>0</v>
      </c>
      <c r="BK3484">
        <v>0</v>
      </c>
      <c r="BL3484">
        <v>0</v>
      </c>
      <c r="BO3484">
        <v>0</v>
      </c>
      <c r="BP3484">
        <v>0</v>
      </c>
      <c r="BW3484" t="str">
        <f t="shared" si="1936"/>
        <v>14:57:33.438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7</v>
      </c>
      <c r="CP3484" t="s">
        <v>119</v>
      </c>
      <c r="CQ3484">
        <v>285</v>
      </c>
      <c r="CR3484">
        <v>0</v>
      </c>
      <c r="CW3484">
        <v>8879721</v>
      </c>
      <c r="CY3484">
        <v>0</v>
      </c>
      <c r="CZ3484">
        <v>0</v>
      </c>
      <c r="DA3484">
        <v>1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25">
      <c r="A3485" t="str">
        <f t="shared" si="1934"/>
        <v>06/05/2020 14:57:27.788</v>
      </c>
      <c r="C3485" t="str">
        <f t="shared" si="1906"/>
        <v>FFDFD3C0</v>
      </c>
      <c r="D3485" t="s">
        <v>134</v>
      </c>
      <c r="E3485">
        <v>7</v>
      </c>
      <c r="F3485">
        <v>2007</v>
      </c>
      <c r="G3485" t="s">
        <v>135</v>
      </c>
      <c r="J3485" t="s">
        <v>136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935"/>
        <v>14:57:33.438</v>
      </c>
      <c r="T3485" t="str">
        <f t="shared" si="1935"/>
        <v>14:57:33.438</v>
      </c>
      <c r="U3485" t="str">
        <f t="shared" si="1922"/>
        <v>ACC530</v>
      </c>
      <c r="V3485">
        <v>0</v>
      </c>
      <c r="W3485">
        <v>0</v>
      </c>
      <c r="X3485">
        <v>1</v>
      </c>
      <c r="Z3485">
        <v>0</v>
      </c>
      <c r="AA3485">
        <v>9</v>
      </c>
      <c r="AB3485">
        <v>3</v>
      </c>
      <c r="AC3485">
        <v>0</v>
      </c>
      <c r="AD3485">
        <v>9</v>
      </c>
      <c r="AE3485">
        <v>0</v>
      </c>
      <c r="AF3485">
        <v>3</v>
      </c>
      <c r="AG3485">
        <v>1</v>
      </c>
      <c r="AH3485">
        <v>0</v>
      </c>
      <c r="AI3485" t="s">
        <v>1143</v>
      </c>
      <c r="AJ3485">
        <v>34.083817000000003</v>
      </c>
      <c r="AK3485" t="s">
        <v>1144</v>
      </c>
      <c r="AL3485">
        <v>-117.02773999999999</v>
      </c>
      <c r="AM3485">
        <v>100</v>
      </c>
      <c r="AN3485">
        <v>5400</v>
      </c>
      <c r="AO3485" t="s">
        <v>118</v>
      </c>
      <c r="AP3485">
        <v>82</v>
      </c>
      <c r="AQ3485">
        <v>-64</v>
      </c>
      <c r="AR3485">
        <v>-512</v>
      </c>
      <c r="AZ3485">
        <v>1200</v>
      </c>
      <c r="BA3485">
        <v>1</v>
      </c>
      <c r="BB3485" t="str">
        <f t="shared" si="1927"/>
        <v xml:space="preserve">N9217B  </v>
      </c>
      <c r="BC3485">
        <v>1</v>
      </c>
      <c r="BE3485">
        <v>0</v>
      </c>
      <c r="BF3485">
        <v>0</v>
      </c>
      <c r="BG3485">
        <v>0</v>
      </c>
      <c r="BH3485">
        <v>5300</v>
      </c>
      <c r="BI3485">
        <v>1</v>
      </c>
      <c r="BJ3485">
        <v>0</v>
      </c>
      <c r="BK3485">
        <v>0</v>
      </c>
      <c r="BL3485">
        <v>0</v>
      </c>
      <c r="BO3485">
        <v>0</v>
      </c>
      <c r="BP3485">
        <v>0</v>
      </c>
      <c r="BW3485" t="str">
        <f t="shared" si="1936"/>
        <v>14:57:33.438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7</v>
      </c>
      <c r="CP3485" t="s">
        <v>119</v>
      </c>
      <c r="CQ3485">
        <v>285</v>
      </c>
      <c r="CR3485">
        <v>0</v>
      </c>
      <c r="CW3485">
        <v>8879721</v>
      </c>
      <c r="CY3485">
        <v>0</v>
      </c>
      <c r="CZ3485">
        <v>0</v>
      </c>
      <c r="DA3485">
        <v>1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25">
      <c r="A3486" t="str">
        <f t="shared" si="1934"/>
        <v>06/05/2020 14:57:27.788</v>
      </c>
      <c r="C3486" t="str">
        <f t="shared" si="1906"/>
        <v>FFDFD3C0</v>
      </c>
      <c r="D3486" t="s">
        <v>151</v>
      </c>
      <c r="E3486">
        <v>9</v>
      </c>
      <c r="H3486">
        <v>226</v>
      </c>
      <c r="I3486" t="s">
        <v>152</v>
      </c>
      <c r="J3486" t="s">
        <v>150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si="1935"/>
        <v>14:57:33.438</v>
      </c>
      <c r="T3486" t="str">
        <f t="shared" si="1935"/>
        <v>14:57:33.438</v>
      </c>
      <c r="U3486" t="str">
        <f t="shared" si="1922"/>
        <v>ACC530</v>
      </c>
      <c r="V3486">
        <v>0</v>
      </c>
      <c r="W3486">
        <v>0</v>
      </c>
      <c r="X3486">
        <v>1</v>
      </c>
      <c r="Z3486">
        <v>0</v>
      </c>
      <c r="AA3486">
        <v>9</v>
      </c>
      <c r="AB3486">
        <v>3</v>
      </c>
      <c r="AC3486">
        <v>0</v>
      </c>
      <c r="AD3486">
        <v>9</v>
      </c>
      <c r="AE3486">
        <v>0</v>
      </c>
      <c r="AF3486">
        <v>3</v>
      </c>
      <c r="AG3486">
        <v>1</v>
      </c>
      <c r="AH3486">
        <v>0</v>
      </c>
      <c r="AI3486" t="s">
        <v>1143</v>
      </c>
      <c r="AJ3486">
        <v>34.083817000000003</v>
      </c>
      <c r="AK3486" t="s">
        <v>1144</v>
      </c>
      <c r="AL3486">
        <v>-117.02773999999999</v>
      </c>
      <c r="AM3486">
        <v>100</v>
      </c>
      <c r="AN3486">
        <v>5400</v>
      </c>
      <c r="AO3486" t="s">
        <v>118</v>
      </c>
      <c r="AP3486">
        <v>82</v>
      </c>
      <c r="AQ3486">
        <v>-64</v>
      </c>
      <c r="AR3486">
        <v>-512</v>
      </c>
      <c r="AZ3486">
        <v>1200</v>
      </c>
      <c r="BA3486">
        <v>1</v>
      </c>
      <c r="BB3486" t="str">
        <f t="shared" si="1927"/>
        <v xml:space="preserve">N9217B  </v>
      </c>
      <c r="BC3486">
        <v>1</v>
      </c>
      <c r="BE3486">
        <v>0</v>
      </c>
      <c r="BF3486">
        <v>0</v>
      </c>
      <c r="BG3486">
        <v>0</v>
      </c>
      <c r="BH3486">
        <v>5300</v>
      </c>
      <c r="BI3486">
        <v>1</v>
      </c>
      <c r="BJ3486">
        <v>0</v>
      </c>
      <c r="BK3486">
        <v>0</v>
      </c>
      <c r="BL3486">
        <v>0</v>
      </c>
      <c r="BO3486">
        <v>0</v>
      </c>
      <c r="BP3486">
        <v>0</v>
      </c>
      <c r="BW3486" t="str">
        <f t="shared" si="1936"/>
        <v>14:57:33.438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7</v>
      </c>
      <c r="CP3486" t="s">
        <v>119</v>
      </c>
      <c r="CQ3486">
        <v>285</v>
      </c>
      <c r="CR3486">
        <v>0</v>
      </c>
      <c r="CW3486">
        <v>8879721</v>
      </c>
      <c r="CY3486">
        <v>0</v>
      </c>
      <c r="CZ3486">
        <v>0</v>
      </c>
      <c r="DA3486">
        <v>1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25">
      <c r="A3487" t="str">
        <f t="shared" ref="A3487:A3493" si="1937">"06/05/2020 14:57:28.794"</f>
        <v>06/05/2020 14:57:28.794</v>
      </c>
      <c r="C3487" t="str">
        <f t="shared" si="1906"/>
        <v>FFDFD3C0</v>
      </c>
      <c r="D3487" t="s">
        <v>141</v>
      </c>
      <c r="E3487">
        <v>20</v>
      </c>
      <c r="F3487">
        <v>1020</v>
      </c>
      <c r="G3487" t="s">
        <v>114</v>
      </c>
      <c r="J3487" t="s">
        <v>142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ref="S3487:S3493" si="1938">"14:57:34.469"</f>
        <v>14:57:34.469</v>
      </c>
      <c r="T3487" t="str">
        <f t="shared" ref="T3487:T3493" si="1939">"14:57:33.969"</f>
        <v>14:57:33.969</v>
      </c>
      <c r="U3487" t="str">
        <f t="shared" si="1922"/>
        <v>ACC530</v>
      </c>
      <c r="V3487">
        <v>0</v>
      </c>
      <c r="W3487">
        <v>0</v>
      </c>
      <c r="X3487">
        <v>1</v>
      </c>
      <c r="Z3487">
        <v>0</v>
      </c>
      <c r="AA3487">
        <v>9</v>
      </c>
      <c r="AB3487">
        <v>3</v>
      </c>
      <c r="AC3487">
        <v>0</v>
      </c>
      <c r="AD3487">
        <v>9</v>
      </c>
      <c r="AE3487">
        <v>0</v>
      </c>
      <c r="AF3487">
        <v>3</v>
      </c>
      <c r="AG3487">
        <v>1</v>
      </c>
      <c r="AH3487">
        <v>0</v>
      </c>
      <c r="AI3487" t="s">
        <v>1145</v>
      </c>
      <c r="AJ3487">
        <v>34.083581000000002</v>
      </c>
      <c r="AK3487" t="s">
        <v>1146</v>
      </c>
      <c r="AL3487">
        <v>-117.02726800000001</v>
      </c>
      <c r="AM3487">
        <v>100</v>
      </c>
      <c r="AN3487">
        <v>5400</v>
      </c>
      <c r="AO3487" t="s">
        <v>118</v>
      </c>
      <c r="AP3487">
        <v>83</v>
      </c>
      <c r="AQ3487">
        <v>-63</v>
      </c>
      <c r="AR3487">
        <v>-512</v>
      </c>
      <c r="AZ3487">
        <v>1200</v>
      </c>
      <c r="BA3487">
        <v>1</v>
      </c>
      <c r="BB3487" t="str">
        <f t="shared" si="1927"/>
        <v xml:space="preserve">N9217B  </v>
      </c>
      <c r="BC3487">
        <v>1</v>
      </c>
      <c r="BE3487">
        <v>0</v>
      </c>
      <c r="BF3487">
        <v>0</v>
      </c>
      <c r="BG3487">
        <v>0</v>
      </c>
      <c r="BH3487">
        <v>5275</v>
      </c>
      <c r="BI3487">
        <v>1</v>
      </c>
      <c r="BJ3487">
        <v>0</v>
      </c>
      <c r="BK3487">
        <v>0</v>
      </c>
      <c r="BL3487">
        <v>0</v>
      </c>
      <c r="BO3487">
        <v>0</v>
      </c>
      <c r="BP3487">
        <v>0</v>
      </c>
      <c r="BW3487" t="str">
        <f t="shared" ref="BW3487:BW3493" si="1940">"14:57:34.473"</f>
        <v>14:57:34.473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7</v>
      </c>
      <c r="CP3487" t="s">
        <v>119</v>
      </c>
      <c r="CQ3487">
        <v>285</v>
      </c>
      <c r="CR3487">
        <v>0</v>
      </c>
      <c r="CW3487">
        <v>8879813</v>
      </c>
      <c r="CY3487">
        <v>0</v>
      </c>
      <c r="CZ3487">
        <v>0</v>
      </c>
      <c r="DA3487">
        <v>0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25">
      <c r="A3488" t="str">
        <f t="shared" si="1937"/>
        <v>06/05/2020 14:57:28.794</v>
      </c>
      <c r="C3488" t="str">
        <f t="shared" si="1906"/>
        <v>FFDFD3C0</v>
      </c>
      <c r="D3488" t="s">
        <v>148</v>
      </c>
      <c r="E3488">
        <v>11</v>
      </c>
      <c r="H3488">
        <v>53</v>
      </c>
      <c r="I3488" t="s">
        <v>364</v>
      </c>
      <c r="J3488" t="s">
        <v>150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si="1938"/>
        <v>14:57:34.469</v>
      </c>
      <c r="T3488" t="str">
        <f t="shared" si="1939"/>
        <v>14:57:33.969</v>
      </c>
      <c r="U3488" t="str">
        <f t="shared" si="1922"/>
        <v>ACC530</v>
      </c>
      <c r="V3488">
        <v>0</v>
      </c>
      <c r="W3488">
        <v>0</v>
      </c>
      <c r="X3488">
        <v>1</v>
      </c>
      <c r="Z3488">
        <v>0</v>
      </c>
      <c r="AA3488">
        <v>9</v>
      </c>
      <c r="AB3488">
        <v>3</v>
      </c>
      <c r="AC3488">
        <v>0</v>
      </c>
      <c r="AD3488">
        <v>9</v>
      </c>
      <c r="AE3488">
        <v>0</v>
      </c>
      <c r="AF3488">
        <v>3</v>
      </c>
      <c r="AG3488">
        <v>1</v>
      </c>
      <c r="AH3488">
        <v>0</v>
      </c>
      <c r="AI3488" t="s">
        <v>1145</v>
      </c>
      <c r="AJ3488">
        <v>34.083581000000002</v>
      </c>
      <c r="AK3488" t="s">
        <v>1146</v>
      </c>
      <c r="AL3488">
        <v>-117.02726800000001</v>
      </c>
      <c r="AM3488">
        <v>100</v>
      </c>
      <c r="AN3488">
        <v>5400</v>
      </c>
      <c r="AO3488" t="s">
        <v>118</v>
      </c>
      <c r="AP3488">
        <v>83</v>
      </c>
      <c r="AQ3488">
        <v>-63</v>
      </c>
      <c r="AR3488">
        <v>-512</v>
      </c>
      <c r="AZ3488">
        <v>1200</v>
      </c>
      <c r="BA3488">
        <v>1</v>
      </c>
      <c r="BB3488" t="str">
        <f t="shared" si="1927"/>
        <v xml:space="preserve">N9217B  </v>
      </c>
      <c r="BC3488">
        <v>1</v>
      </c>
      <c r="BE3488">
        <v>0</v>
      </c>
      <c r="BF3488">
        <v>0</v>
      </c>
      <c r="BG3488">
        <v>0</v>
      </c>
      <c r="BH3488">
        <v>5275</v>
      </c>
      <c r="BI3488">
        <v>1</v>
      </c>
      <c r="BJ3488">
        <v>0</v>
      </c>
      <c r="BK3488">
        <v>0</v>
      </c>
      <c r="BL3488">
        <v>0</v>
      </c>
      <c r="BO3488">
        <v>0</v>
      </c>
      <c r="BP3488">
        <v>0</v>
      </c>
      <c r="BW3488" t="str">
        <f t="shared" si="1940"/>
        <v>14:57:34.473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7</v>
      </c>
      <c r="CP3488" t="s">
        <v>119</v>
      </c>
      <c r="CQ3488">
        <v>285</v>
      </c>
      <c r="CR3488">
        <v>0</v>
      </c>
      <c r="CW3488">
        <v>8879813</v>
      </c>
      <c r="CY3488">
        <v>0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25">
      <c r="A3489" t="str">
        <f t="shared" si="1937"/>
        <v>06/05/2020 14:57:28.794</v>
      </c>
      <c r="C3489" t="str">
        <f t="shared" si="1906"/>
        <v>FFDFD3C0</v>
      </c>
      <c r="D3489" t="s">
        <v>113</v>
      </c>
      <c r="E3489">
        <v>3</v>
      </c>
      <c r="H3489">
        <v>166</v>
      </c>
      <c r="I3489" t="s">
        <v>114</v>
      </c>
      <c r="J3489" t="s">
        <v>115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si="1938"/>
        <v>14:57:34.469</v>
      </c>
      <c r="T3489" t="str">
        <f t="shared" si="1939"/>
        <v>14:57:33.969</v>
      </c>
      <c r="U3489" t="str">
        <f t="shared" si="1922"/>
        <v>ACC530</v>
      </c>
      <c r="V3489">
        <v>0</v>
      </c>
      <c r="W3489">
        <v>0</v>
      </c>
      <c r="X3489">
        <v>1</v>
      </c>
      <c r="Z3489">
        <v>0</v>
      </c>
      <c r="AA3489">
        <v>9</v>
      </c>
      <c r="AB3489">
        <v>3</v>
      </c>
      <c r="AC3489">
        <v>0</v>
      </c>
      <c r="AD3489">
        <v>9</v>
      </c>
      <c r="AE3489">
        <v>0</v>
      </c>
      <c r="AF3489">
        <v>3</v>
      </c>
      <c r="AG3489">
        <v>1</v>
      </c>
      <c r="AH3489">
        <v>0</v>
      </c>
      <c r="AI3489" t="s">
        <v>1145</v>
      </c>
      <c r="AJ3489">
        <v>34.083581000000002</v>
      </c>
      <c r="AK3489" t="s">
        <v>1146</v>
      </c>
      <c r="AL3489">
        <v>-117.02726800000001</v>
      </c>
      <c r="AM3489">
        <v>100</v>
      </c>
      <c r="AN3489">
        <v>5400</v>
      </c>
      <c r="AO3489" t="s">
        <v>118</v>
      </c>
      <c r="AP3489">
        <v>83</v>
      </c>
      <c r="AQ3489">
        <v>-63</v>
      </c>
      <c r="AR3489">
        <v>-512</v>
      </c>
      <c r="AZ3489">
        <v>1200</v>
      </c>
      <c r="BA3489">
        <v>1</v>
      </c>
      <c r="BB3489" t="str">
        <f t="shared" si="1927"/>
        <v xml:space="preserve">N9217B  </v>
      </c>
      <c r="BC3489">
        <v>1</v>
      </c>
      <c r="BE3489">
        <v>0</v>
      </c>
      <c r="BF3489">
        <v>0</v>
      </c>
      <c r="BG3489">
        <v>0</v>
      </c>
      <c r="BH3489">
        <v>5275</v>
      </c>
      <c r="BI3489">
        <v>1</v>
      </c>
      <c r="BJ3489">
        <v>0</v>
      </c>
      <c r="BK3489">
        <v>0</v>
      </c>
      <c r="BL3489">
        <v>0</v>
      </c>
      <c r="BO3489">
        <v>0</v>
      </c>
      <c r="BP3489">
        <v>0</v>
      </c>
      <c r="BW3489" t="str">
        <f t="shared" si="1940"/>
        <v>14:57:34.473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7</v>
      </c>
      <c r="CP3489" t="s">
        <v>119</v>
      </c>
      <c r="CQ3489">
        <v>285</v>
      </c>
      <c r="CR3489">
        <v>0</v>
      </c>
      <c r="CW3489">
        <v>8879813</v>
      </c>
      <c r="CY3489">
        <v>0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25">
      <c r="A3490" t="str">
        <f t="shared" si="1937"/>
        <v>06/05/2020 14:57:28.794</v>
      </c>
      <c r="C3490" t="str">
        <f t="shared" si="1906"/>
        <v>FFDFD3C0</v>
      </c>
      <c r="D3490" t="s">
        <v>148</v>
      </c>
      <c r="E3490">
        <v>8</v>
      </c>
      <c r="H3490">
        <v>50</v>
      </c>
      <c r="I3490" t="s">
        <v>149</v>
      </c>
      <c r="J3490" t="s">
        <v>150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si="1938"/>
        <v>14:57:34.469</v>
      </c>
      <c r="T3490" t="str">
        <f t="shared" si="1939"/>
        <v>14:57:33.969</v>
      </c>
      <c r="U3490" t="str">
        <f t="shared" si="1922"/>
        <v>ACC530</v>
      </c>
      <c r="V3490">
        <v>0</v>
      </c>
      <c r="W3490">
        <v>0</v>
      </c>
      <c r="X3490">
        <v>1</v>
      </c>
      <c r="Z3490">
        <v>0</v>
      </c>
      <c r="AA3490">
        <v>9</v>
      </c>
      <c r="AB3490">
        <v>3</v>
      </c>
      <c r="AC3490">
        <v>0</v>
      </c>
      <c r="AD3490">
        <v>9</v>
      </c>
      <c r="AE3490">
        <v>0</v>
      </c>
      <c r="AF3490">
        <v>3</v>
      </c>
      <c r="AG3490">
        <v>1</v>
      </c>
      <c r="AH3490">
        <v>0</v>
      </c>
      <c r="AI3490" t="s">
        <v>1145</v>
      </c>
      <c r="AJ3490">
        <v>34.083581000000002</v>
      </c>
      <c r="AK3490" t="s">
        <v>1146</v>
      </c>
      <c r="AL3490">
        <v>-117.02726800000001</v>
      </c>
      <c r="AM3490">
        <v>100</v>
      </c>
      <c r="AN3490">
        <v>5400</v>
      </c>
      <c r="AO3490" t="s">
        <v>118</v>
      </c>
      <c r="AP3490">
        <v>83</v>
      </c>
      <c r="AQ3490">
        <v>-63</v>
      </c>
      <c r="AR3490">
        <v>-512</v>
      </c>
      <c r="AZ3490">
        <v>1200</v>
      </c>
      <c r="BA3490">
        <v>1</v>
      </c>
      <c r="BB3490" t="str">
        <f t="shared" si="1927"/>
        <v xml:space="preserve">N9217B  </v>
      </c>
      <c r="BC3490">
        <v>1</v>
      </c>
      <c r="BE3490">
        <v>0</v>
      </c>
      <c r="BF3490">
        <v>0</v>
      </c>
      <c r="BG3490">
        <v>0</v>
      </c>
      <c r="BH3490">
        <v>5275</v>
      </c>
      <c r="BI3490">
        <v>1</v>
      </c>
      <c r="BJ3490">
        <v>0</v>
      </c>
      <c r="BK3490">
        <v>0</v>
      </c>
      <c r="BL3490">
        <v>0</v>
      </c>
      <c r="BO3490">
        <v>0</v>
      </c>
      <c r="BP3490">
        <v>0</v>
      </c>
      <c r="BW3490" t="str">
        <f t="shared" si="1940"/>
        <v>14:57:34.473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7</v>
      </c>
      <c r="CP3490" t="s">
        <v>119</v>
      </c>
      <c r="CQ3490">
        <v>285</v>
      </c>
      <c r="CR3490">
        <v>0</v>
      </c>
      <c r="CW3490">
        <v>8879813</v>
      </c>
      <c r="CY3490">
        <v>0</v>
      </c>
      <c r="CZ3490">
        <v>0</v>
      </c>
      <c r="DA3490">
        <v>1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25">
      <c r="A3491" t="str">
        <f t="shared" si="1937"/>
        <v>06/05/2020 14:57:28.794</v>
      </c>
      <c r="C3491" t="str">
        <f t="shared" ref="C3491:C3554" si="1941">"FFDFD3C0"</f>
        <v>FFDFD3C0</v>
      </c>
      <c r="D3491" t="s">
        <v>151</v>
      </c>
      <c r="E3491">
        <v>8</v>
      </c>
      <c r="H3491">
        <v>225</v>
      </c>
      <c r="I3491" t="s">
        <v>353</v>
      </c>
      <c r="J3491" t="s">
        <v>150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938"/>
        <v>14:57:34.469</v>
      </c>
      <c r="T3491" t="str">
        <f t="shared" si="1939"/>
        <v>14:57:33.969</v>
      </c>
      <c r="U3491" t="str">
        <f t="shared" si="1922"/>
        <v>ACC530</v>
      </c>
      <c r="V3491">
        <v>0</v>
      </c>
      <c r="W3491">
        <v>0</v>
      </c>
      <c r="X3491">
        <v>1</v>
      </c>
      <c r="Z3491">
        <v>0</v>
      </c>
      <c r="AA3491">
        <v>9</v>
      </c>
      <c r="AB3491">
        <v>3</v>
      </c>
      <c r="AC3491">
        <v>0</v>
      </c>
      <c r="AD3491">
        <v>9</v>
      </c>
      <c r="AE3491">
        <v>0</v>
      </c>
      <c r="AF3491">
        <v>3</v>
      </c>
      <c r="AG3491">
        <v>1</v>
      </c>
      <c r="AH3491">
        <v>0</v>
      </c>
      <c r="AI3491" t="s">
        <v>1145</v>
      </c>
      <c r="AJ3491">
        <v>34.083581000000002</v>
      </c>
      <c r="AK3491" t="s">
        <v>1146</v>
      </c>
      <c r="AL3491">
        <v>-117.02726800000001</v>
      </c>
      <c r="AM3491">
        <v>100</v>
      </c>
      <c r="AN3491">
        <v>5400</v>
      </c>
      <c r="AO3491" t="s">
        <v>118</v>
      </c>
      <c r="AP3491">
        <v>83</v>
      </c>
      <c r="AQ3491">
        <v>-63</v>
      </c>
      <c r="AR3491">
        <v>-512</v>
      </c>
      <c r="AZ3491">
        <v>1200</v>
      </c>
      <c r="BA3491">
        <v>1</v>
      </c>
      <c r="BB3491" t="str">
        <f t="shared" si="1927"/>
        <v xml:space="preserve">N9217B  </v>
      </c>
      <c r="BC3491">
        <v>1</v>
      </c>
      <c r="BE3491">
        <v>0</v>
      </c>
      <c r="BF3491">
        <v>0</v>
      </c>
      <c r="BG3491">
        <v>0</v>
      </c>
      <c r="BH3491">
        <v>5275</v>
      </c>
      <c r="BI3491">
        <v>1</v>
      </c>
      <c r="BJ3491">
        <v>0</v>
      </c>
      <c r="BK3491">
        <v>0</v>
      </c>
      <c r="BL3491">
        <v>0</v>
      </c>
      <c r="BO3491">
        <v>0</v>
      </c>
      <c r="BP3491">
        <v>0</v>
      </c>
      <c r="BW3491" t="str">
        <f t="shared" si="1940"/>
        <v>14:57:34.473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7</v>
      </c>
      <c r="CP3491" t="s">
        <v>119</v>
      </c>
      <c r="CQ3491">
        <v>285</v>
      </c>
      <c r="CR3491">
        <v>0</v>
      </c>
      <c r="CW3491">
        <v>8879813</v>
      </c>
      <c r="CY3491">
        <v>0</v>
      </c>
      <c r="CZ3491">
        <v>0</v>
      </c>
      <c r="DA3491">
        <v>1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25">
      <c r="A3492" t="str">
        <f t="shared" si="1937"/>
        <v>06/05/2020 14:57:28.794</v>
      </c>
      <c r="C3492" t="str">
        <f t="shared" si="1941"/>
        <v>FFDFD3C0</v>
      </c>
      <c r="D3492" t="s">
        <v>134</v>
      </c>
      <c r="E3492">
        <v>7</v>
      </c>
      <c r="F3492">
        <v>2007</v>
      </c>
      <c r="G3492" t="s">
        <v>135</v>
      </c>
      <c r="J3492" t="s">
        <v>136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si="1938"/>
        <v>14:57:34.469</v>
      </c>
      <c r="T3492" t="str">
        <f t="shared" si="1939"/>
        <v>14:57:33.969</v>
      </c>
      <c r="U3492" t="str">
        <f t="shared" si="1922"/>
        <v>ACC530</v>
      </c>
      <c r="V3492">
        <v>0</v>
      </c>
      <c r="W3492">
        <v>0</v>
      </c>
      <c r="X3492">
        <v>1</v>
      </c>
      <c r="Z3492">
        <v>0</v>
      </c>
      <c r="AA3492">
        <v>9</v>
      </c>
      <c r="AB3492">
        <v>3</v>
      </c>
      <c r="AC3492">
        <v>0</v>
      </c>
      <c r="AD3492">
        <v>9</v>
      </c>
      <c r="AE3492">
        <v>0</v>
      </c>
      <c r="AF3492">
        <v>3</v>
      </c>
      <c r="AG3492">
        <v>1</v>
      </c>
      <c r="AH3492">
        <v>0</v>
      </c>
      <c r="AI3492" t="s">
        <v>1145</v>
      </c>
      <c r="AJ3492">
        <v>34.083581000000002</v>
      </c>
      <c r="AK3492" t="s">
        <v>1146</v>
      </c>
      <c r="AL3492">
        <v>-117.02726800000001</v>
      </c>
      <c r="AM3492">
        <v>100</v>
      </c>
      <c r="AN3492">
        <v>5400</v>
      </c>
      <c r="AO3492" t="s">
        <v>118</v>
      </c>
      <c r="AP3492">
        <v>83</v>
      </c>
      <c r="AQ3492">
        <v>-63</v>
      </c>
      <c r="AR3492">
        <v>-512</v>
      </c>
      <c r="AZ3492">
        <v>1200</v>
      </c>
      <c r="BA3492">
        <v>1</v>
      </c>
      <c r="BB3492" t="str">
        <f t="shared" si="1927"/>
        <v xml:space="preserve">N9217B  </v>
      </c>
      <c r="BC3492">
        <v>1</v>
      </c>
      <c r="BE3492">
        <v>0</v>
      </c>
      <c r="BF3492">
        <v>0</v>
      </c>
      <c r="BG3492">
        <v>0</v>
      </c>
      <c r="BH3492">
        <v>5275</v>
      </c>
      <c r="BI3492">
        <v>1</v>
      </c>
      <c r="BJ3492">
        <v>0</v>
      </c>
      <c r="BK3492">
        <v>0</v>
      </c>
      <c r="BL3492">
        <v>0</v>
      </c>
      <c r="BO3492">
        <v>0</v>
      </c>
      <c r="BP3492">
        <v>0</v>
      </c>
      <c r="BW3492" t="str">
        <f t="shared" si="1940"/>
        <v>14:57:34.473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7</v>
      </c>
      <c r="CP3492" t="s">
        <v>119</v>
      </c>
      <c r="CQ3492">
        <v>285</v>
      </c>
      <c r="CR3492">
        <v>0</v>
      </c>
      <c r="CW3492">
        <v>8879813</v>
      </c>
      <c r="CY3492">
        <v>0</v>
      </c>
      <c r="CZ3492">
        <v>0</v>
      </c>
      <c r="DA3492">
        <v>1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25">
      <c r="A3493" t="str">
        <f t="shared" si="1937"/>
        <v>06/05/2020 14:57:28.794</v>
      </c>
      <c r="C3493" t="str">
        <f t="shared" si="1941"/>
        <v>FFDFD3C0</v>
      </c>
      <c r="D3493" t="s">
        <v>151</v>
      </c>
      <c r="E3493">
        <v>9</v>
      </c>
      <c r="H3493">
        <v>226</v>
      </c>
      <c r="I3493" t="s">
        <v>152</v>
      </c>
      <c r="J3493" t="s">
        <v>150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938"/>
        <v>14:57:34.469</v>
      </c>
      <c r="T3493" t="str">
        <f t="shared" si="1939"/>
        <v>14:57:33.969</v>
      </c>
      <c r="U3493" t="str">
        <f t="shared" si="1922"/>
        <v>ACC530</v>
      </c>
      <c r="V3493">
        <v>0</v>
      </c>
      <c r="W3493">
        <v>0</v>
      </c>
      <c r="X3493">
        <v>1</v>
      </c>
      <c r="Z3493">
        <v>0</v>
      </c>
      <c r="AA3493">
        <v>9</v>
      </c>
      <c r="AB3493">
        <v>3</v>
      </c>
      <c r="AC3493">
        <v>0</v>
      </c>
      <c r="AD3493">
        <v>9</v>
      </c>
      <c r="AE3493">
        <v>0</v>
      </c>
      <c r="AF3493">
        <v>3</v>
      </c>
      <c r="AG3493">
        <v>1</v>
      </c>
      <c r="AH3493">
        <v>0</v>
      </c>
      <c r="AI3493" t="s">
        <v>1145</v>
      </c>
      <c r="AJ3493">
        <v>34.083581000000002</v>
      </c>
      <c r="AK3493" t="s">
        <v>1146</v>
      </c>
      <c r="AL3493">
        <v>-117.02726800000001</v>
      </c>
      <c r="AM3493">
        <v>100</v>
      </c>
      <c r="AN3493">
        <v>5400</v>
      </c>
      <c r="AO3493" t="s">
        <v>118</v>
      </c>
      <c r="AP3493">
        <v>83</v>
      </c>
      <c r="AQ3493">
        <v>-63</v>
      </c>
      <c r="AR3493">
        <v>-512</v>
      </c>
      <c r="AZ3493">
        <v>1200</v>
      </c>
      <c r="BA3493">
        <v>1</v>
      </c>
      <c r="BB3493" t="str">
        <f t="shared" si="1927"/>
        <v xml:space="preserve">N9217B  </v>
      </c>
      <c r="BC3493">
        <v>1</v>
      </c>
      <c r="BE3493">
        <v>0</v>
      </c>
      <c r="BF3493">
        <v>0</v>
      </c>
      <c r="BG3493">
        <v>0</v>
      </c>
      <c r="BH3493">
        <v>5275</v>
      </c>
      <c r="BI3493">
        <v>1</v>
      </c>
      <c r="BJ3493">
        <v>0</v>
      </c>
      <c r="BK3493">
        <v>0</v>
      </c>
      <c r="BL3493">
        <v>0</v>
      </c>
      <c r="BO3493">
        <v>0</v>
      </c>
      <c r="BP3493">
        <v>0</v>
      </c>
      <c r="BW3493" t="str">
        <f t="shared" si="1940"/>
        <v>14:57:34.473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7</v>
      </c>
      <c r="CP3493" t="s">
        <v>119</v>
      </c>
      <c r="CQ3493">
        <v>285</v>
      </c>
      <c r="CR3493">
        <v>0</v>
      </c>
      <c r="CW3493">
        <v>8879813</v>
      </c>
      <c r="CY3493">
        <v>0</v>
      </c>
      <c r="CZ3493">
        <v>0</v>
      </c>
      <c r="DA3493">
        <v>1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25">
      <c r="A3494" t="str">
        <f t="shared" ref="A3494:A3500" si="1942">"06/05/2020 14:57:29.939"</f>
        <v>06/05/2020 14:57:29.939</v>
      </c>
      <c r="C3494" t="str">
        <f t="shared" si="1941"/>
        <v>FFDFD3C0</v>
      </c>
      <c r="D3494" t="s">
        <v>134</v>
      </c>
      <c r="E3494">
        <v>7</v>
      </c>
      <c r="F3494">
        <v>2007</v>
      </c>
      <c r="G3494" t="s">
        <v>135</v>
      </c>
      <c r="J3494" t="s">
        <v>136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ref="S3494:T3500" si="1943">"14:57:35.563"</f>
        <v>14:57:35.563</v>
      </c>
      <c r="T3494" t="str">
        <f t="shared" si="1943"/>
        <v>14:57:35.563</v>
      </c>
      <c r="U3494" t="str">
        <f t="shared" si="1922"/>
        <v>ACC530</v>
      </c>
      <c r="V3494">
        <v>0</v>
      </c>
      <c r="W3494">
        <v>0</v>
      </c>
      <c r="X3494">
        <v>1</v>
      </c>
      <c r="Z3494">
        <v>0</v>
      </c>
      <c r="AA3494">
        <v>9</v>
      </c>
      <c r="AB3494">
        <v>3</v>
      </c>
      <c r="AC3494">
        <v>0</v>
      </c>
      <c r="AD3494">
        <v>9</v>
      </c>
      <c r="AE3494">
        <v>0</v>
      </c>
      <c r="AF3494">
        <v>3</v>
      </c>
      <c r="AG3494">
        <v>1</v>
      </c>
      <c r="AH3494">
        <v>0</v>
      </c>
      <c r="AI3494" t="s">
        <v>1147</v>
      </c>
      <c r="AJ3494">
        <v>34.083216</v>
      </c>
      <c r="AK3494" t="s">
        <v>1148</v>
      </c>
      <c r="AL3494">
        <v>-117.026753</v>
      </c>
      <c r="AM3494">
        <v>100</v>
      </c>
      <c r="AN3494">
        <v>5400</v>
      </c>
      <c r="AO3494" t="s">
        <v>118</v>
      </c>
      <c r="AP3494">
        <v>84</v>
      </c>
      <c r="AQ3494">
        <v>-62</v>
      </c>
      <c r="AR3494">
        <v>-448</v>
      </c>
      <c r="AZ3494">
        <v>1200</v>
      </c>
      <c r="BA3494">
        <v>1</v>
      </c>
      <c r="BB3494" t="str">
        <f t="shared" si="1927"/>
        <v xml:space="preserve">N9217B  </v>
      </c>
      <c r="BC3494">
        <v>1</v>
      </c>
      <c r="BE3494">
        <v>0</v>
      </c>
      <c r="BF3494">
        <v>0</v>
      </c>
      <c r="BG3494">
        <v>0</v>
      </c>
      <c r="BH3494">
        <v>5275</v>
      </c>
      <c r="BI3494">
        <v>1</v>
      </c>
      <c r="BJ3494">
        <v>0</v>
      </c>
      <c r="BK3494">
        <v>0</v>
      </c>
      <c r="BL3494">
        <v>0</v>
      </c>
      <c r="BO3494">
        <v>0</v>
      </c>
      <c r="BP3494">
        <v>0</v>
      </c>
      <c r="BW3494" t="str">
        <f t="shared" ref="BW3494:BW3500" si="1944">"14:57:35.567"</f>
        <v>14:57:35.567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7</v>
      </c>
      <c r="CP3494" t="s">
        <v>119</v>
      </c>
      <c r="CQ3494">
        <v>285</v>
      </c>
      <c r="CR3494">
        <v>0</v>
      </c>
      <c r="CW3494">
        <v>8879913</v>
      </c>
      <c r="CY3494">
        <v>0</v>
      </c>
      <c r="CZ3494">
        <v>0</v>
      </c>
      <c r="DA3494">
        <v>0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25">
      <c r="A3495" t="str">
        <f t="shared" si="1942"/>
        <v>06/05/2020 14:57:29.939</v>
      </c>
      <c r="C3495" t="str">
        <f t="shared" si="1941"/>
        <v>FFDFD3C0</v>
      </c>
      <c r="D3495" t="s">
        <v>141</v>
      </c>
      <c r="E3495">
        <v>20</v>
      </c>
      <c r="F3495">
        <v>1020</v>
      </c>
      <c r="G3495" t="s">
        <v>114</v>
      </c>
      <c r="J3495" t="s">
        <v>142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943"/>
        <v>14:57:35.563</v>
      </c>
      <c r="T3495" t="str">
        <f t="shared" si="1943"/>
        <v>14:57:35.563</v>
      </c>
      <c r="U3495" t="str">
        <f t="shared" si="1922"/>
        <v>ACC530</v>
      </c>
      <c r="V3495">
        <v>0</v>
      </c>
      <c r="W3495">
        <v>0</v>
      </c>
      <c r="X3495">
        <v>1</v>
      </c>
      <c r="Z3495">
        <v>0</v>
      </c>
      <c r="AA3495">
        <v>9</v>
      </c>
      <c r="AB3495">
        <v>3</v>
      </c>
      <c r="AC3495">
        <v>0</v>
      </c>
      <c r="AD3495">
        <v>9</v>
      </c>
      <c r="AE3495">
        <v>0</v>
      </c>
      <c r="AF3495">
        <v>3</v>
      </c>
      <c r="AG3495">
        <v>1</v>
      </c>
      <c r="AH3495">
        <v>0</v>
      </c>
      <c r="AI3495" t="s">
        <v>1147</v>
      </c>
      <c r="AJ3495">
        <v>34.083216</v>
      </c>
      <c r="AK3495" t="s">
        <v>1148</v>
      </c>
      <c r="AL3495">
        <v>-117.026753</v>
      </c>
      <c r="AM3495">
        <v>100</v>
      </c>
      <c r="AN3495">
        <v>5400</v>
      </c>
      <c r="AO3495" t="s">
        <v>118</v>
      </c>
      <c r="AP3495">
        <v>84</v>
      </c>
      <c r="AQ3495">
        <v>-62</v>
      </c>
      <c r="AR3495">
        <v>-448</v>
      </c>
      <c r="AZ3495">
        <v>1200</v>
      </c>
      <c r="BA3495">
        <v>1</v>
      </c>
      <c r="BB3495" t="str">
        <f t="shared" si="1927"/>
        <v xml:space="preserve">N9217B  </v>
      </c>
      <c r="BC3495">
        <v>1</v>
      </c>
      <c r="BE3495">
        <v>0</v>
      </c>
      <c r="BF3495">
        <v>0</v>
      </c>
      <c r="BG3495">
        <v>0</v>
      </c>
      <c r="BH3495">
        <v>5275</v>
      </c>
      <c r="BI3495">
        <v>1</v>
      </c>
      <c r="BJ3495">
        <v>0</v>
      </c>
      <c r="BK3495">
        <v>0</v>
      </c>
      <c r="BL3495">
        <v>0</v>
      </c>
      <c r="BO3495">
        <v>0</v>
      </c>
      <c r="BP3495">
        <v>0</v>
      </c>
      <c r="BW3495" t="str">
        <f t="shared" si="1944"/>
        <v>14:57:35.567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7</v>
      </c>
      <c r="CP3495" t="s">
        <v>119</v>
      </c>
      <c r="CQ3495">
        <v>285</v>
      </c>
      <c r="CR3495">
        <v>0</v>
      </c>
      <c r="CW3495">
        <v>8879913</v>
      </c>
      <c r="CY3495">
        <v>0</v>
      </c>
      <c r="CZ3495">
        <v>0</v>
      </c>
      <c r="DA3495">
        <v>1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25">
      <c r="A3496" t="str">
        <f t="shared" si="1942"/>
        <v>06/05/2020 14:57:29.939</v>
      </c>
      <c r="C3496" t="str">
        <f t="shared" si="1941"/>
        <v>FFDFD3C0</v>
      </c>
      <c r="D3496" t="s">
        <v>151</v>
      </c>
      <c r="E3496">
        <v>9</v>
      </c>
      <c r="H3496">
        <v>226</v>
      </c>
      <c r="I3496" t="s">
        <v>152</v>
      </c>
      <c r="J3496" t="s">
        <v>150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si="1943"/>
        <v>14:57:35.563</v>
      </c>
      <c r="T3496" t="str">
        <f t="shared" si="1943"/>
        <v>14:57:35.563</v>
      </c>
      <c r="U3496" t="str">
        <f t="shared" si="1922"/>
        <v>ACC530</v>
      </c>
      <c r="V3496">
        <v>0</v>
      </c>
      <c r="W3496">
        <v>0</v>
      </c>
      <c r="X3496">
        <v>1</v>
      </c>
      <c r="Z3496">
        <v>0</v>
      </c>
      <c r="AA3496">
        <v>9</v>
      </c>
      <c r="AB3496">
        <v>3</v>
      </c>
      <c r="AC3496">
        <v>0</v>
      </c>
      <c r="AD3496">
        <v>9</v>
      </c>
      <c r="AE3496">
        <v>0</v>
      </c>
      <c r="AF3496">
        <v>3</v>
      </c>
      <c r="AG3496">
        <v>1</v>
      </c>
      <c r="AH3496">
        <v>0</v>
      </c>
      <c r="AI3496" t="s">
        <v>1147</v>
      </c>
      <c r="AJ3496">
        <v>34.083216</v>
      </c>
      <c r="AK3496" t="s">
        <v>1148</v>
      </c>
      <c r="AL3496">
        <v>-117.026753</v>
      </c>
      <c r="AM3496">
        <v>100</v>
      </c>
      <c r="AN3496">
        <v>5400</v>
      </c>
      <c r="AO3496" t="s">
        <v>118</v>
      </c>
      <c r="AP3496">
        <v>84</v>
      </c>
      <c r="AQ3496">
        <v>-62</v>
      </c>
      <c r="AR3496">
        <v>-448</v>
      </c>
      <c r="AZ3496">
        <v>1200</v>
      </c>
      <c r="BA3496">
        <v>1</v>
      </c>
      <c r="BB3496" t="str">
        <f t="shared" si="1927"/>
        <v xml:space="preserve">N9217B  </v>
      </c>
      <c r="BC3496">
        <v>1</v>
      </c>
      <c r="BE3496">
        <v>0</v>
      </c>
      <c r="BF3496">
        <v>0</v>
      </c>
      <c r="BG3496">
        <v>0</v>
      </c>
      <c r="BH3496">
        <v>5275</v>
      </c>
      <c r="BI3496">
        <v>1</v>
      </c>
      <c r="BJ3496">
        <v>0</v>
      </c>
      <c r="BK3496">
        <v>0</v>
      </c>
      <c r="BL3496">
        <v>0</v>
      </c>
      <c r="BO3496">
        <v>0</v>
      </c>
      <c r="BP3496">
        <v>0</v>
      </c>
      <c r="BW3496" t="str">
        <f t="shared" si="1944"/>
        <v>14:57:35.567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7</v>
      </c>
      <c r="CP3496" t="s">
        <v>119</v>
      </c>
      <c r="CQ3496">
        <v>285</v>
      </c>
      <c r="CR3496">
        <v>0</v>
      </c>
      <c r="CW3496">
        <v>8879913</v>
      </c>
      <c r="CY3496">
        <v>0</v>
      </c>
      <c r="CZ3496">
        <v>0</v>
      </c>
      <c r="DA3496">
        <v>1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25">
      <c r="A3497" t="str">
        <f t="shared" si="1942"/>
        <v>06/05/2020 14:57:29.939</v>
      </c>
      <c r="C3497" t="str">
        <f t="shared" si="1941"/>
        <v>FFDFD3C0</v>
      </c>
      <c r="D3497" t="s">
        <v>148</v>
      </c>
      <c r="E3497">
        <v>11</v>
      </c>
      <c r="H3497">
        <v>53</v>
      </c>
      <c r="I3497" t="s">
        <v>364</v>
      </c>
      <c r="J3497" t="s">
        <v>150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si="1943"/>
        <v>14:57:35.563</v>
      </c>
      <c r="T3497" t="str">
        <f t="shared" si="1943"/>
        <v>14:57:35.563</v>
      </c>
      <c r="U3497" t="str">
        <f t="shared" si="1922"/>
        <v>ACC530</v>
      </c>
      <c r="V3497">
        <v>0</v>
      </c>
      <c r="W3497">
        <v>0</v>
      </c>
      <c r="X3497">
        <v>1</v>
      </c>
      <c r="Z3497">
        <v>0</v>
      </c>
      <c r="AA3497">
        <v>9</v>
      </c>
      <c r="AB3497">
        <v>3</v>
      </c>
      <c r="AC3497">
        <v>0</v>
      </c>
      <c r="AD3497">
        <v>9</v>
      </c>
      <c r="AE3497">
        <v>0</v>
      </c>
      <c r="AF3497">
        <v>3</v>
      </c>
      <c r="AG3497">
        <v>1</v>
      </c>
      <c r="AH3497">
        <v>0</v>
      </c>
      <c r="AI3497" t="s">
        <v>1147</v>
      </c>
      <c r="AJ3497">
        <v>34.083216</v>
      </c>
      <c r="AK3497" t="s">
        <v>1148</v>
      </c>
      <c r="AL3497">
        <v>-117.026753</v>
      </c>
      <c r="AM3497">
        <v>100</v>
      </c>
      <c r="AN3497">
        <v>5400</v>
      </c>
      <c r="AO3497" t="s">
        <v>118</v>
      </c>
      <c r="AP3497">
        <v>84</v>
      </c>
      <c r="AQ3497">
        <v>-62</v>
      </c>
      <c r="AR3497">
        <v>-448</v>
      </c>
      <c r="AZ3497">
        <v>1200</v>
      </c>
      <c r="BA3497">
        <v>1</v>
      </c>
      <c r="BB3497" t="str">
        <f t="shared" si="1927"/>
        <v xml:space="preserve">N9217B  </v>
      </c>
      <c r="BC3497">
        <v>1</v>
      </c>
      <c r="BE3497">
        <v>0</v>
      </c>
      <c r="BF3497">
        <v>0</v>
      </c>
      <c r="BG3497">
        <v>0</v>
      </c>
      <c r="BH3497">
        <v>5275</v>
      </c>
      <c r="BI3497">
        <v>1</v>
      </c>
      <c r="BJ3497">
        <v>0</v>
      </c>
      <c r="BK3497">
        <v>0</v>
      </c>
      <c r="BL3497">
        <v>0</v>
      </c>
      <c r="BO3497">
        <v>0</v>
      </c>
      <c r="BP3497">
        <v>0</v>
      </c>
      <c r="BW3497" t="str">
        <f t="shared" si="1944"/>
        <v>14:57:35.567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7</v>
      </c>
      <c r="CP3497" t="s">
        <v>119</v>
      </c>
      <c r="CQ3497">
        <v>285</v>
      </c>
      <c r="CR3497">
        <v>0</v>
      </c>
      <c r="CW3497">
        <v>8879913</v>
      </c>
      <c r="CY3497">
        <v>0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25">
      <c r="A3498" t="str">
        <f t="shared" si="1942"/>
        <v>06/05/2020 14:57:29.939</v>
      </c>
      <c r="C3498" t="str">
        <f t="shared" si="1941"/>
        <v>FFDFD3C0</v>
      </c>
      <c r="D3498" t="s">
        <v>113</v>
      </c>
      <c r="E3498">
        <v>3</v>
      </c>
      <c r="H3498">
        <v>166</v>
      </c>
      <c r="I3498" t="s">
        <v>114</v>
      </c>
      <c r="J3498" t="s">
        <v>115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1943"/>
        <v>14:57:35.563</v>
      </c>
      <c r="T3498" t="str">
        <f t="shared" si="1943"/>
        <v>14:57:35.563</v>
      </c>
      <c r="U3498" t="str">
        <f t="shared" si="1922"/>
        <v>ACC530</v>
      </c>
      <c r="V3498">
        <v>0</v>
      </c>
      <c r="W3498">
        <v>0</v>
      </c>
      <c r="X3498">
        <v>1</v>
      </c>
      <c r="Z3498">
        <v>0</v>
      </c>
      <c r="AA3498">
        <v>9</v>
      </c>
      <c r="AB3498">
        <v>3</v>
      </c>
      <c r="AC3498">
        <v>0</v>
      </c>
      <c r="AD3498">
        <v>9</v>
      </c>
      <c r="AE3498">
        <v>0</v>
      </c>
      <c r="AF3498">
        <v>3</v>
      </c>
      <c r="AG3498">
        <v>1</v>
      </c>
      <c r="AH3498">
        <v>0</v>
      </c>
      <c r="AI3498" t="s">
        <v>1147</v>
      </c>
      <c r="AJ3498">
        <v>34.083216</v>
      </c>
      <c r="AK3498" t="s">
        <v>1148</v>
      </c>
      <c r="AL3498">
        <v>-117.026753</v>
      </c>
      <c r="AM3498">
        <v>100</v>
      </c>
      <c r="AN3498">
        <v>5400</v>
      </c>
      <c r="AO3498" t="s">
        <v>118</v>
      </c>
      <c r="AP3498">
        <v>84</v>
      </c>
      <c r="AQ3498">
        <v>-62</v>
      </c>
      <c r="AR3498">
        <v>-448</v>
      </c>
      <c r="AZ3498">
        <v>1200</v>
      </c>
      <c r="BA3498">
        <v>1</v>
      </c>
      <c r="BB3498" t="str">
        <f t="shared" si="1927"/>
        <v xml:space="preserve">N9217B  </v>
      </c>
      <c r="BC3498">
        <v>1</v>
      </c>
      <c r="BE3498">
        <v>0</v>
      </c>
      <c r="BF3498">
        <v>0</v>
      </c>
      <c r="BG3498">
        <v>0</v>
      </c>
      <c r="BH3498">
        <v>5275</v>
      </c>
      <c r="BI3498">
        <v>1</v>
      </c>
      <c r="BJ3498">
        <v>0</v>
      </c>
      <c r="BK3498">
        <v>0</v>
      </c>
      <c r="BL3498">
        <v>0</v>
      </c>
      <c r="BO3498">
        <v>0</v>
      </c>
      <c r="BP3498">
        <v>0</v>
      </c>
      <c r="BW3498" t="str">
        <f t="shared" si="1944"/>
        <v>14:57:35.567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7</v>
      </c>
      <c r="CP3498" t="s">
        <v>119</v>
      </c>
      <c r="CQ3498">
        <v>285</v>
      </c>
      <c r="CR3498">
        <v>0</v>
      </c>
      <c r="CW3498">
        <v>8879913</v>
      </c>
      <c r="CY3498">
        <v>0</v>
      </c>
      <c r="CZ3498">
        <v>0</v>
      </c>
      <c r="DA3498">
        <v>1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25">
      <c r="A3499" t="str">
        <f t="shared" si="1942"/>
        <v>06/05/2020 14:57:29.939</v>
      </c>
      <c r="C3499" t="str">
        <f t="shared" si="1941"/>
        <v>FFDFD3C0</v>
      </c>
      <c r="D3499" t="s">
        <v>151</v>
      </c>
      <c r="E3499">
        <v>8</v>
      </c>
      <c r="H3499">
        <v>225</v>
      </c>
      <c r="I3499" t="s">
        <v>353</v>
      </c>
      <c r="J3499" t="s">
        <v>150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1943"/>
        <v>14:57:35.563</v>
      </c>
      <c r="T3499" t="str">
        <f t="shared" si="1943"/>
        <v>14:57:35.563</v>
      </c>
      <c r="U3499" t="str">
        <f t="shared" si="1922"/>
        <v>ACC530</v>
      </c>
      <c r="V3499">
        <v>0</v>
      </c>
      <c r="W3499">
        <v>0</v>
      </c>
      <c r="X3499">
        <v>1</v>
      </c>
      <c r="Z3499">
        <v>0</v>
      </c>
      <c r="AA3499">
        <v>9</v>
      </c>
      <c r="AB3499">
        <v>3</v>
      </c>
      <c r="AC3499">
        <v>0</v>
      </c>
      <c r="AD3499">
        <v>9</v>
      </c>
      <c r="AE3499">
        <v>0</v>
      </c>
      <c r="AF3499">
        <v>3</v>
      </c>
      <c r="AG3499">
        <v>1</v>
      </c>
      <c r="AH3499">
        <v>0</v>
      </c>
      <c r="AI3499" t="s">
        <v>1147</v>
      </c>
      <c r="AJ3499">
        <v>34.083216</v>
      </c>
      <c r="AK3499" t="s">
        <v>1148</v>
      </c>
      <c r="AL3499">
        <v>-117.026753</v>
      </c>
      <c r="AM3499">
        <v>100</v>
      </c>
      <c r="AN3499">
        <v>5400</v>
      </c>
      <c r="AO3499" t="s">
        <v>118</v>
      </c>
      <c r="AP3499">
        <v>84</v>
      </c>
      <c r="AQ3499">
        <v>-62</v>
      </c>
      <c r="AR3499">
        <v>-448</v>
      </c>
      <c r="AZ3499">
        <v>1200</v>
      </c>
      <c r="BA3499">
        <v>1</v>
      </c>
      <c r="BB3499" t="str">
        <f t="shared" si="1927"/>
        <v xml:space="preserve">N9217B  </v>
      </c>
      <c r="BC3499">
        <v>1</v>
      </c>
      <c r="BE3499">
        <v>0</v>
      </c>
      <c r="BF3499">
        <v>0</v>
      </c>
      <c r="BG3499">
        <v>0</v>
      </c>
      <c r="BH3499">
        <v>5275</v>
      </c>
      <c r="BI3499">
        <v>1</v>
      </c>
      <c r="BJ3499">
        <v>0</v>
      </c>
      <c r="BK3499">
        <v>0</v>
      </c>
      <c r="BL3499">
        <v>0</v>
      </c>
      <c r="BO3499">
        <v>0</v>
      </c>
      <c r="BP3499">
        <v>0</v>
      </c>
      <c r="BW3499" t="str">
        <f t="shared" si="1944"/>
        <v>14:57:35.567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7</v>
      </c>
      <c r="CP3499" t="s">
        <v>119</v>
      </c>
      <c r="CQ3499">
        <v>285</v>
      </c>
      <c r="CR3499">
        <v>0</v>
      </c>
      <c r="CW3499">
        <v>8879913</v>
      </c>
      <c r="CY3499">
        <v>0</v>
      </c>
      <c r="CZ3499">
        <v>0</v>
      </c>
      <c r="DA3499">
        <v>1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25">
      <c r="A3500" t="str">
        <f t="shared" si="1942"/>
        <v>06/05/2020 14:57:29.939</v>
      </c>
      <c r="C3500" t="str">
        <f t="shared" si="1941"/>
        <v>FFDFD3C0</v>
      </c>
      <c r="D3500" t="s">
        <v>148</v>
      </c>
      <c r="E3500">
        <v>8</v>
      </c>
      <c r="H3500">
        <v>50</v>
      </c>
      <c r="I3500" t="s">
        <v>149</v>
      </c>
      <c r="J3500" t="s">
        <v>150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1943"/>
        <v>14:57:35.563</v>
      </c>
      <c r="T3500" t="str">
        <f t="shared" si="1943"/>
        <v>14:57:35.563</v>
      </c>
      <c r="U3500" t="str">
        <f t="shared" si="1922"/>
        <v>ACC530</v>
      </c>
      <c r="V3500">
        <v>0</v>
      </c>
      <c r="W3500">
        <v>0</v>
      </c>
      <c r="X3500">
        <v>1</v>
      </c>
      <c r="Z3500">
        <v>0</v>
      </c>
      <c r="AA3500">
        <v>9</v>
      </c>
      <c r="AB3500">
        <v>3</v>
      </c>
      <c r="AC3500">
        <v>0</v>
      </c>
      <c r="AD3500">
        <v>9</v>
      </c>
      <c r="AE3500">
        <v>0</v>
      </c>
      <c r="AF3500">
        <v>3</v>
      </c>
      <c r="AG3500">
        <v>1</v>
      </c>
      <c r="AH3500">
        <v>0</v>
      </c>
      <c r="AI3500" t="s">
        <v>1147</v>
      </c>
      <c r="AJ3500">
        <v>34.083216</v>
      </c>
      <c r="AK3500" t="s">
        <v>1148</v>
      </c>
      <c r="AL3500">
        <v>-117.026753</v>
      </c>
      <c r="AM3500">
        <v>100</v>
      </c>
      <c r="AN3500">
        <v>5400</v>
      </c>
      <c r="AO3500" t="s">
        <v>118</v>
      </c>
      <c r="AP3500">
        <v>84</v>
      </c>
      <c r="AQ3500">
        <v>-62</v>
      </c>
      <c r="AR3500">
        <v>-448</v>
      </c>
      <c r="AZ3500">
        <v>1200</v>
      </c>
      <c r="BA3500">
        <v>1</v>
      </c>
      <c r="BB3500" t="str">
        <f t="shared" si="1927"/>
        <v xml:space="preserve">N9217B  </v>
      </c>
      <c r="BC3500">
        <v>1</v>
      </c>
      <c r="BE3500">
        <v>0</v>
      </c>
      <c r="BF3500">
        <v>0</v>
      </c>
      <c r="BG3500">
        <v>0</v>
      </c>
      <c r="BH3500">
        <v>5275</v>
      </c>
      <c r="BI3500">
        <v>1</v>
      </c>
      <c r="BJ3500">
        <v>0</v>
      </c>
      <c r="BK3500">
        <v>0</v>
      </c>
      <c r="BL3500">
        <v>0</v>
      </c>
      <c r="BO3500">
        <v>0</v>
      </c>
      <c r="BP3500">
        <v>0</v>
      </c>
      <c r="BW3500" t="str">
        <f t="shared" si="1944"/>
        <v>14:57:35.567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7</v>
      </c>
      <c r="CP3500" t="s">
        <v>119</v>
      </c>
      <c r="CQ3500">
        <v>285</v>
      </c>
      <c r="CR3500">
        <v>0</v>
      </c>
      <c r="CW3500">
        <v>8879913</v>
      </c>
      <c r="CY3500">
        <v>0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25">
      <c r="A3501" t="str">
        <f t="shared" ref="A3501:A3507" si="1945">"06/05/2020 14:57:30.760"</f>
        <v>06/05/2020 14:57:30.760</v>
      </c>
      <c r="C3501" t="str">
        <f t="shared" si="1941"/>
        <v>FFDFD3C0</v>
      </c>
      <c r="D3501" t="s">
        <v>151</v>
      </c>
      <c r="E3501">
        <v>9</v>
      </c>
      <c r="H3501">
        <v>226</v>
      </c>
      <c r="I3501" t="s">
        <v>152</v>
      </c>
      <c r="J3501" t="s">
        <v>150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ref="S3501:S3507" si="1946">"14:57:36.422"</f>
        <v>14:57:36.422</v>
      </c>
      <c r="T3501" t="str">
        <f t="shared" ref="T3501:T3507" si="1947">"14:57:36.022"</f>
        <v>14:57:36.022</v>
      </c>
      <c r="U3501" t="str">
        <f t="shared" si="1922"/>
        <v>ACC530</v>
      </c>
      <c r="V3501">
        <v>0</v>
      </c>
      <c r="W3501">
        <v>0</v>
      </c>
      <c r="X3501">
        <v>1</v>
      </c>
      <c r="Z3501">
        <v>0</v>
      </c>
      <c r="AA3501">
        <v>9</v>
      </c>
      <c r="AB3501">
        <v>3</v>
      </c>
      <c r="AC3501">
        <v>0</v>
      </c>
      <c r="AD3501">
        <v>9</v>
      </c>
      <c r="AE3501">
        <v>0</v>
      </c>
      <c r="AF3501">
        <v>3</v>
      </c>
      <c r="AG3501">
        <v>1</v>
      </c>
      <c r="AH3501">
        <v>0</v>
      </c>
      <c r="AI3501" t="s">
        <v>1149</v>
      </c>
      <c r="AJ3501">
        <v>34.082979999999999</v>
      </c>
      <c r="AK3501" t="s">
        <v>759</v>
      </c>
      <c r="AL3501">
        <v>-117.02636699999999</v>
      </c>
      <c r="AM3501">
        <v>100</v>
      </c>
      <c r="AN3501">
        <v>5400</v>
      </c>
      <c r="AO3501" t="s">
        <v>118</v>
      </c>
      <c r="AP3501">
        <v>84</v>
      </c>
      <c r="AQ3501">
        <v>-62</v>
      </c>
      <c r="AR3501">
        <v>-448</v>
      </c>
      <c r="AZ3501">
        <v>1200</v>
      </c>
      <c r="BA3501">
        <v>1</v>
      </c>
      <c r="BB3501" t="str">
        <f t="shared" si="1927"/>
        <v xml:space="preserve">N9217B  </v>
      </c>
      <c r="BC3501">
        <v>1</v>
      </c>
      <c r="BE3501">
        <v>0</v>
      </c>
      <c r="BF3501">
        <v>0</v>
      </c>
      <c r="BG3501">
        <v>0</v>
      </c>
      <c r="BH3501">
        <v>5275</v>
      </c>
      <c r="BI3501">
        <v>1</v>
      </c>
      <c r="BJ3501">
        <v>0</v>
      </c>
      <c r="BK3501">
        <v>0</v>
      </c>
      <c r="BL3501">
        <v>0</v>
      </c>
      <c r="BO3501">
        <v>0</v>
      </c>
      <c r="BP3501">
        <v>0</v>
      </c>
      <c r="BW3501" t="str">
        <f t="shared" ref="BW3501:BW3507" si="1948">"14:57:36.422"</f>
        <v>14:57:36.422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7</v>
      </c>
      <c r="CP3501" t="s">
        <v>119</v>
      </c>
      <c r="CQ3501">
        <v>285</v>
      </c>
      <c r="CR3501">
        <v>0</v>
      </c>
      <c r="CW3501">
        <v>8879991</v>
      </c>
      <c r="CY3501">
        <v>0</v>
      </c>
      <c r="CZ3501">
        <v>0</v>
      </c>
      <c r="DA3501">
        <v>0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25">
      <c r="A3502" t="str">
        <f t="shared" si="1945"/>
        <v>06/05/2020 14:57:30.760</v>
      </c>
      <c r="C3502" t="str">
        <f t="shared" si="1941"/>
        <v>FFDFD3C0</v>
      </c>
      <c r="D3502" t="s">
        <v>148</v>
      </c>
      <c r="E3502">
        <v>11</v>
      </c>
      <c r="H3502">
        <v>53</v>
      </c>
      <c r="I3502" t="s">
        <v>364</v>
      </c>
      <c r="J3502" t="s">
        <v>150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si="1946"/>
        <v>14:57:36.422</v>
      </c>
      <c r="T3502" t="str">
        <f t="shared" si="1947"/>
        <v>14:57:36.022</v>
      </c>
      <c r="U3502" t="str">
        <f t="shared" si="1922"/>
        <v>ACC530</v>
      </c>
      <c r="V3502">
        <v>0</v>
      </c>
      <c r="W3502">
        <v>0</v>
      </c>
      <c r="X3502">
        <v>1</v>
      </c>
      <c r="Z3502">
        <v>0</v>
      </c>
      <c r="AA3502">
        <v>9</v>
      </c>
      <c r="AB3502">
        <v>3</v>
      </c>
      <c r="AC3502">
        <v>0</v>
      </c>
      <c r="AD3502">
        <v>9</v>
      </c>
      <c r="AE3502">
        <v>0</v>
      </c>
      <c r="AF3502">
        <v>3</v>
      </c>
      <c r="AG3502">
        <v>1</v>
      </c>
      <c r="AH3502">
        <v>0</v>
      </c>
      <c r="AI3502" t="s">
        <v>1149</v>
      </c>
      <c r="AJ3502">
        <v>34.082979999999999</v>
      </c>
      <c r="AK3502" t="s">
        <v>759</v>
      </c>
      <c r="AL3502">
        <v>-117.02636699999999</v>
      </c>
      <c r="AM3502">
        <v>100</v>
      </c>
      <c r="AN3502">
        <v>5400</v>
      </c>
      <c r="AO3502" t="s">
        <v>118</v>
      </c>
      <c r="AP3502">
        <v>84</v>
      </c>
      <c r="AQ3502">
        <v>-62</v>
      </c>
      <c r="AR3502">
        <v>-448</v>
      </c>
      <c r="AZ3502">
        <v>1200</v>
      </c>
      <c r="BA3502">
        <v>1</v>
      </c>
      <c r="BB3502" t="str">
        <f t="shared" si="1927"/>
        <v xml:space="preserve">N9217B  </v>
      </c>
      <c r="BC3502">
        <v>1</v>
      </c>
      <c r="BE3502">
        <v>0</v>
      </c>
      <c r="BF3502">
        <v>0</v>
      </c>
      <c r="BG3502">
        <v>0</v>
      </c>
      <c r="BH3502">
        <v>5275</v>
      </c>
      <c r="BI3502">
        <v>1</v>
      </c>
      <c r="BJ3502">
        <v>0</v>
      </c>
      <c r="BK3502">
        <v>0</v>
      </c>
      <c r="BL3502">
        <v>0</v>
      </c>
      <c r="BO3502">
        <v>0</v>
      </c>
      <c r="BP3502">
        <v>0</v>
      </c>
      <c r="BW3502" t="str">
        <f t="shared" si="1948"/>
        <v>14:57:36.422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7</v>
      </c>
      <c r="CP3502" t="s">
        <v>119</v>
      </c>
      <c r="CQ3502">
        <v>285</v>
      </c>
      <c r="CR3502">
        <v>0</v>
      </c>
      <c r="CW3502">
        <v>8879991</v>
      </c>
      <c r="CY3502">
        <v>0</v>
      </c>
      <c r="CZ3502">
        <v>0</v>
      </c>
      <c r="DA3502">
        <v>1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25">
      <c r="A3503" t="str">
        <f t="shared" si="1945"/>
        <v>06/05/2020 14:57:30.760</v>
      </c>
      <c r="C3503" t="str">
        <f t="shared" si="1941"/>
        <v>FFDFD3C0</v>
      </c>
      <c r="D3503" t="s">
        <v>113</v>
      </c>
      <c r="E3503">
        <v>3</v>
      </c>
      <c r="H3503">
        <v>166</v>
      </c>
      <c r="I3503" t="s">
        <v>114</v>
      </c>
      <c r="J3503" t="s">
        <v>115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946"/>
        <v>14:57:36.422</v>
      </c>
      <c r="T3503" t="str">
        <f t="shared" si="1947"/>
        <v>14:57:36.022</v>
      </c>
      <c r="U3503" t="str">
        <f t="shared" si="1922"/>
        <v>ACC530</v>
      </c>
      <c r="V3503">
        <v>0</v>
      </c>
      <c r="W3503">
        <v>0</v>
      </c>
      <c r="X3503">
        <v>1</v>
      </c>
      <c r="Z3503">
        <v>0</v>
      </c>
      <c r="AA3503">
        <v>9</v>
      </c>
      <c r="AB3503">
        <v>3</v>
      </c>
      <c r="AC3503">
        <v>0</v>
      </c>
      <c r="AD3503">
        <v>9</v>
      </c>
      <c r="AE3503">
        <v>0</v>
      </c>
      <c r="AF3503">
        <v>3</v>
      </c>
      <c r="AG3503">
        <v>1</v>
      </c>
      <c r="AH3503">
        <v>0</v>
      </c>
      <c r="AI3503" t="s">
        <v>1149</v>
      </c>
      <c r="AJ3503">
        <v>34.082979999999999</v>
      </c>
      <c r="AK3503" t="s">
        <v>759</v>
      </c>
      <c r="AL3503">
        <v>-117.02636699999999</v>
      </c>
      <c r="AM3503">
        <v>100</v>
      </c>
      <c r="AN3503">
        <v>5400</v>
      </c>
      <c r="AO3503" t="s">
        <v>118</v>
      </c>
      <c r="AP3503">
        <v>84</v>
      </c>
      <c r="AQ3503">
        <v>-62</v>
      </c>
      <c r="AR3503">
        <v>-448</v>
      </c>
      <c r="AZ3503">
        <v>1200</v>
      </c>
      <c r="BA3503">
        <v>1</v>
      </c>
      <c r="BB3503" t="str">
        <f t="shared" si="1927"/>
        <v xml:space="preserve">N9217B  </v>
      </c>
      <c r="BC3503">
        <v>1</v>
      </c>
      <c r="BE3503">
        <v>0</v>
      </c>
      <c r="BF3503">
        <v>0</v>
      </c>
      <c r="BG3503">
        <v>0</v>
      </c>
      <c r="BH3503">
        <v>5275</v>
      </c>
      <c r="BI3503">
        <v>1</v>
      </c>
      <c r="BJ3503">
        <v>0</v>
      </c>
      <c r="BK3503">
        <v>0</v>
      </c>
      <c r="BL3503">
        <v>0</v>
      </c>
      <c r="BO3503">
        <v>0</v>
      </c>
      <c r="BP3503">
        <v>0</v>
      </c>
      <c r="BW3503" t="str">
        <f t="shared" si="1948"/>
        <v>14:57:36.422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7</v>
      </c>
      <c r="CP3503" t="s">
        <v>119</v>
      </c>
      <c r="CQ3503">
        <v>285</v>
      </c>
      <c r="CR3503">
        <v>0</v>
      </c>
      <c r="CW3503">
        <v>8879991</v>
      </c>
      <c r="CY3503">
        <v>0</v>
      </c>
      <c r="CZ3503">
        <v>0</v>
      </c>
      <c r="DA3503">
        <v>1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25">
      <c r="A3504" t="str">
        <f t="shared" si="1945"/>
        <v>06/05/2020 14:57:30.760</v>
      </c>
      <c r="C3504" t="str">
        <f t="shared" si="1941"/>
        <v>FFDFD3C0</v>
      </c>
      <c r="D3504" t="s">
        <v>151</v>
      </c>
      <c r="E3504">
        <v>8</v>
      </c>
      <c r="H3504">
        <v>225</v>
      </c>
      <c r="I3504" t="s">
        <v>353</v>
      </c>
      <c r="J3504" t="s">
        <v>150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946"/>
        <v>14:57:36.422</v>
      </c>
      <c r="T3504" t="str">
        <f t="shared" si="1947"/>
        <v>14:57:36.022</v>
      </c>
      <c r="U3504" t="str">
        <f t="shared" si="1922"/>
        <v>ACC530</v>
      </c>
      <c r="V3504">
        <v>0</v>
      </c>
      <c r="W3504">
        <v>0</v>
      </c>
      <c r="X3504">
        <v>1</v>
      </c>
      <c r="Z3504">
        <v>0</v>
      </c>
      <c r="AA3504">
        <v>9</v>
      </c>
      <c r="AB3504">
        <v>3</v>
      </c>
      <c r="AC3504">
        <v>0</v>
      </c>
      <c r="AD3504">
        <v>9</v>
      </c>
      <c r="AE3504">
        <v>0</v>
      </c>
      <c r="AF3504">
        <v>3</v>
      </c>
      <c r="AG3504">
        <v>1</v>
      </c>
      <c r="AH3504">
        <v>0</v>
      </c>
      <c r="AI3504" t="s">
        <v>1149</v>
      </c>
      <c r="AJ3504">
        <v>34.082979999999999</v>
      </c>
      <c r="AK3504" t="s">
        <v>759</v>
      </c>
      <c r="AL3504">
        <v>-117.02636699999999</v>
      </c>
      <c r="AM3504">
        <v>100</v>
      </c>
      <c r="AN3504">
        <v>5400</v>
      </c>
      <c r="AO3504" t="s">
        <v>118</v>
      </c>
      <c r="AP3504">
        <v>84</v>
      </c>
      <c r="AQ3504">
        <v>-62</v>
      </c>
      <c r="AR3504">
        <v>-448</v>
      </c>
      <c r="AZ3504">
        <v>1200</v>
      </c>
      <c r="BA3504">
        <v>1</v>
      </c>
      <c r="BB3504" t="str">
        <f t="shared" si="1927"/>
        <v xml:space="preserve">N9217B  </v>
      </c>
      <c r="BC3504">
        <v>1</v>
      </c>
      <c r="BE3504">
        <v>0</v>
      </c>
      <c r="BF3504">
        <v>0</v>
      </c>
      <c r="BG3504">
        <v>0</v>
      </c>
      <c r="BH3504">
        <v>5275</v>
      </c>
      <c r="BI3504">
        <v>1</v>
      </c>
      <c r="BJ3504">
        <v>0</v>
      </c>
      <c r="BK3504">
        <v>0</v>
      </c>
      <c r="BL3504">
        <v>0</v>
      </c>
      <c r="BO3504">
        <v>0</v>
      </c>
      <c r="BP3504">
        <v>0</v>
      </c>
      <c r="BW3504" t="str">
        <f t="shared" si="1948"/>
        <v>14:57:36.422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7</v>
      </c>
      <c r="CP3504" t="s">
        <v>119</v>
      </c>
      <c r="CQ3504">
        <v>285</v>
      </c>
      <c r="CR3504">
        <v>0</v>
      </c>
      <c r="CW3504">
        <v>8879991</v>
      </c>
      <c r="CY3504">
        <v>0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25">
      <c r="A3505" t="str">
        <f t="shared" si="1945"/>
        <v>06/05/2020 14:57:30.760</v>
      </c>
      <c r="C3505" t="str">
        <f t="shared" si="1941"/>
        <v>FFDFD3C0</v>
      </c>
      <c r="D3505" t="s">
        <v>134</v>
      </c>
      <c r="E3505">
        <v>7</v>
      </c>
      <c r="F3505">
        <v>2007</v>
      </c>
      <c r="G3505" t="s">
        <v>135</v>
      </c>
      <c r="J3505" t="s">
        <v>136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946"/>
        <v>14:57:36.422</v>
      </c>
      <c r="T3505" t="str">
        <f t="shared" si="1947"/>
        <v>14:57:36.022</v>
      </c>
      <c r="U3505" t="str">
        <f t="shared" si="1922"/>
        <v>ACC530</v>
      </c>
      <c r="V3505">
        <v>0</v>
      </c>
      <c r="W3505">
        <v>0</v>
      </c>
      <c r="X3505">
        <v>1</v>
      </c>
      <c r="Z3505">
        <v>0</v>
      </c>
      <c r="AA3505">
        <v>9</v>
      </c>
      <c r="AB3505">
        <v>3</v>
      </c>
      <c r="AC3505">
        <v>0</v>
      </c>
      <c r="AD3505">
        <v>9</v>
      </c>
      <c r="AE3505">
        <v>0</v>
      </c>
      <c r="AF3505">
        <v>3</v>
      </c>
      <c r="AG3505">
        <v>1</v>
      </c>
      <c r="AH3505">
        <v>0</v>
      </c>
      <c r="AI3505" t="s">
        <v>1149</v>
      </c>
      <c r="AJ3505">
        <v>34.082979999999999</v>
      </c>
      <c r="AK3505" t="s">
        <v>759</v>
      </c>
      <c r="AL3505">
        <v>-117.02636699999999</v>
      </c>
      <c r="AM3505">
        <v>100</v>
      </c>
      <c r="AN3505">
        <v>5400</v>
      </c>
      <c r="AO3505" t="s">
        <v>118</v>
      </c>
      <c r="AP3505">
        <v>84</v>
      </c>
      <c r="AQ3505">
        <v>-62</v>
      </c>
      <c r="AR3505">
        <v>-448</v>
      </c>
      <c r="AZ3505">
        <v>1200</v>
      </c>
      <c r="BA3505">
        <v>1</v>
      </c>
      <c r="BB3505" t="str">
        <f t="shared" si="1927"/>
        <v xml:space="preserve">N9217B  </v>
      </c>
      <c r="BC3505">
        <v>1</v>
      </c>
      <c r="BE3505">
        <v>0</v>
      </c>
      <c r="BF3505">
        <v>0</v>
      </c>
      <c r="BG3505">
        <v>0</v>
      </c>
      <c r="BH3505">
        <v>5275</v>
      </c>
      <c r="BI3505">
        <v>1</v>
      </c>
      <c r="BJ3505">
        <v>0</v>
      </c>
      <c r="BK3505">
        <v>0</v>
      </c>
      <c r="BL3505">
        <v>0</v>
      </c>
      <c r="BO3505">
        <v>0</v>
      </c>
      <c r="BP3505">
        <v>0</v>
      </c>
      <c r="BW3505" t="str">
        <f t="shared" si="1948"/>
        <v>14:57:36.422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7</v>
      </c>
      <c r="CP3505" t="s">
        <v>119</v>
      </c>
      <c r="CQ3505">
        <v>285</v>
      </c>
      <c r="CR3505">
        <v>0</v>
      </c>
      <c r="CW3505">
        <v>8879991</v>
      </c>
      <c r="CY3505">
        <v>0</v>
      </c>
      <c r="CZ3505">
        <v>0</v>
      </c>
      <c r="DA3505">
        <v>1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25">
      <c r="A3506" t="str">
        <f t="shared" si="1945"/>
        <v>06/05/2020 14:57:30.760</v>
      </c>
      <c r="C3506" t="str">
        <f t="shared" si="1941"/>
        <v>FFDFD3C0</v>
      </c>
      <c r="D3506" t="s">
        <v>148</v>
      </c>
      <c r="E3506">
        <v>8</v>
      </c>
      <c r="H3506">
        <v>50</v>
      </c>
      <c r="I3506" t="s">
        <v>149</v>
      </c>
      <c r="J3506" t="s">
        <v>150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si="1946"/>
        <v>14:57:36.422</v>
      </c>
      <c r="T3506" t="str">
        <f t="shared" si="1947"/>
        <v>14:57:36.022</v>
      </c>
      <c r="U3506" t="str">
        <f t="shared" si="1922"/>
        <v>ACC530</v>
      </c>
      <c r="V3506">
        <v>0</v>
      </c>
      <c r="W3506">
        <v>0</v>
      </c>
      <c r="X3506">
        <v>1</v>
      </c>
      <c r="Z3506">
        <v>0</v>
      </c>
      <c r="AA3506">
        <v>9</v>
      </c>
      <c r="AB3506">
        <v>3</v>
      </c>
      <c r="AC3506">
        <v>0</v>
      </c>
      <c r="AD3506">
        <v>9</v>
      </c>
      <c r="AE3506">
        <v>0</v>
      </c>
      <c r="AF3506">
        <v>3</v>
      </c>
      <c r="AG3506">
        <v>1</v>
      </c>
      <c r="AH3506">
        <v>0</v>
      </c>
      <c r="AI3506" t="s">
        <v>1149</v>
      </c>
      <c r="AJ3506">
        <v>34.082979999999999</v>
      </c>
      <c r="AK3506" t="s">
        <v>759</v>
      </c>
      <c r="AL3506">
        <v>-117.02636699999999</v>
      </c>
      <c r="AM3506">
        <v>100</v>
      </c>
      <c r="AN3506">
        <v>5400</v>
      </c>
      <c r="AO3506" t="s">
        <v>118</v>
      </c>
      <c r="AP3506">
        <v>84</v>
      </c>
      <c r="AQ3506">
        <v>-62</v>
      </c>
      <c r="AR3506">
        <v>-448</v>
      </c>
      <c r="AZ3506">
        <v>1200</v>
      </c>
      <c r="BA3506">
        <v>1</v>
      </c>
      <c r="BB3506" t="str">
        <f t="shared" si="1927"/>
        <v xml:space="preserve">N9217B  </v>
      </c>
      <c r="BC3506">
        <v>1</v>
      </c>
      <c r="BE3506">
        <v>0</v>
      </c>
      <c r="BF3506">
        <v>0</v>
      </c>
      <c r="BG3506">
        <v>0</v>
      </c>
      <c r="BH3506">
        <v>5275</v>
      </c>
      <c r="BI3506">
        <v>1</v>
      </c>
      <c r="BJ3506">
        <v>0</v>
      </c>
      <c r="BK3506">
        <v>0</v>
      </c>
      <c r="BL3506">
        <v>0</v>
      </c>
      <c r="BO3506">
        <v>0</v>
      </c>
      <c r="BP3506">
        <v>0</v>
      </c>
      <c r="BW3506" t="str">
        <f t="shared" si="1948"/>
        <v>14:57:36.422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7</v>
      </c>
      <c r="CP3506" t="s">
        <v>119</v>
      </c>
      <c r="CQ3506">
        <v>285</v>
      </c>
      <c r="CR3506">
        <v>0</v>
      </c>
      <c r="CW3506">
        <v>8879991</v>
      </c>
      <c r="CY3506">
        <v>0</v>
      </c>
      <c r="CZ3506">
        <v>0</v>
      </c>
      <c r="DA3506">
        <v>1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25">
      <c r="A3507" t="str">
        <f t="shared" si="1945"/>
        <v>06/05/2020 14:57:30.760</v>
      </c>
      <c r="C3507" t="str">
        <f t="shared" si="1941"/>
        <v>FFDFD3C0</v>
      </c>
      <c r="D3507" t="s">
        <v>141</v>
      </c>
      <c r="E3507">
        <v>20</v>
      </c>
      <c r="F3507">
        <v>1020</v>
      </c>
      <c r="G3507" t="s">
        <v>114</v>
      </c>
      <c r="J3507" t="s">
        <v>142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si="1946"/>
        <v>14:57:36.422</v>
      </c>
      <c r="T3507" t="str">
        <f t="shared" si="1947"/>
        <v>14:57:36.022</v>
      </c>
      <c r="U3507" t="str">
        <f t="shared" si="1922"/>
        <v>ACC530</v>
      </c>
      <c r="V3507">
        <v>0</v>
      </c>
      <c r="W3507">
        <v>0</v>
      </c>
      <c r="X3507">
        <v>1</v>
      </c>
      <c r="Z3507">
        <v>0</v>
      </c>
      <c r="AA3507">
        <v>9</v>
      </c>
      <c r="AB3507">
        <v>3</v>
      </c>
      <c r="AC3507">
        <v>0</v>
      </c>
      <c r="AD3507">
        <v>9</v>
      </c>
      <c r="AE3507">
        <v>0</v>
      </c>
      <c r="AF3507">
        <v>3</v>
      </c>
      <c r="AG3507">
        <v>1</v>
      </c>
      <c r="AH3507">
        <v>0</v>
      </c>
      <c r="AI3507" t="s">
        <v>1149</v>
      </c>
      <c r="AJ3507">
        <v>34.082979999999999</v>
      </c>
      <c r="AK3507" t="s">
        <v>759</v>
      </c>
      <c r="AL3507">
        <v>-117.02636699999999</v>
      </c>
      <c r="AM3507">
        <v>100</v>
      </c>
      <c r="AN3507">
        <v>5400</v>
      </c>
      <c r="AO3507" t="s">
        <v>118</v>
      </c>
      <c r="AP3507">
        <v>84</v>
      </c>
      <c r="AQ3507">
        <v>-62</v>
      </c>
      <c r="AR3507">
        <v>-448</v>
      </c>
      <c r="AZ3507">
        <v>1200</v>
      </c>
      <c r="BA3507">
        <v>1</v>
      </c>
      <c r="BB3507" t="str">
        <f t="shared" si="1927"/>
        <v xml:space="preserve">N9217B  </v>
      </c>
      <c r="BC3507">
        <v>1</v>
      </c>
      <c r="BE3507">
        <v>0</v>
      </c>
      <c r="BF3507">
        <v>0</v>
      </c>
      <c r="BG3507">
        <v>0</v>
      </c>
      <c r="BH3507">
        <v>5275</v>
      </c>
      <c r="BI3507">
        <v>1</v>
      </c>
      <c r="BJ3507">
        <v>0</v>
      </c>
      <c r="BK3507">
        <v>0</v>
      </c>
      <c r="BL3507">
        <v>0</v>
      </c>
      <c r="BO3507">
        <v>0</v>
      </c>
      <c r="BP3507">
        <v>0</v>
      </c>
      <c r="BW3507" t="str">
        <f t="shared" si="1948"/>
        <v>14:57:36.422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7</v>
      </c>
      <c r="CP3507" t="s">
        <v>119</v>
      </c>
      <c r="CQ3507">
        <v>285</v>
      </c>
      <c r="CR3507">
        <v>0</v>
      </c>
      <c r="CW3507">
        <v>8879991</v>
      </c>
      <c r="CY3507">
        <v>0</v>
      </c>
      <c r="CZ3507">
        <v>0</v>
      </c>
      <c r="DA3507">
        <v>1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25">
      <c r="A3508" t="str">
        <f t="shared" ref="A3508:A3514" si="1949">"06/05/2020 14:57:31.899"</f>
        <v>06/05/2020 14:57:31.899</v>
      </c>
      <c r="C3508" t="str">
        <f t="shared" si="1941"/>
        <v>FFDFD3C0</v>
      </c>
      <c r="D3508" t="s">
        <v>113</v>
      </c>
      <c r="E3508">
        <v>3</v>
      </c>
      <c r="H3508">
        <v>166</v>
      </c>
      <c r="I3508" t="s">
        <v>114</v>
      </c>
      <c r="J3508" t="s">
        <v>115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ref="S3508:T3514" si="1950">"14:57:37.531"</f>
        <v>14:57:37.531</v>
      </c>
      <c r="T3508" t="str">
        <f t="shared" si="1950"/>
        <v>14:57:37.531</v>
      </c>
      <c r="U3508" t="str">
        <f t="shared" si="1922"/>
        <v>ACC530</v>
      </c>
      <c r="V3508">
        <v>0</v>
      </c>
      <c r="W3508">
        <v>0</v>
      </c>
      <c r="X3508">
        <v>1</v>
      </c>
      <c r="Z3508">
        <v>0</v>
      </c>
      <c r="AA3508">
        <v>9</v>
      </c>
      <c r="AB3508">
        <v>3</v>
      </c>
      <c r="AC3508">
        <v>0</v>
      </c>
      <c r="AD3508">
        <v>9</v>
      </c>
      <c r="AE3508">
        <v>0</v>
      </c>
      <c r="AF3508">
        <v>3</v>
      </c>
      <c r="AG3508">
        <v>1</v>
      </c>
      <c r="AH3508">
        <v>0</v>
      </c>
      <c r="AI3508" t="s">
        <v>1150</v>
      </c>
      <c r="AJ3508">
        <v>34.082658000000002</v>
      </c>
      <c r="AK3508" t="s">
        <v>1151</v>
      </c>
      <c r="AL3508">
        <v>-117.02578800000001</v>
      </c>
      <c r="AM3508">
        <v>100</v>
      </c>
      <c r="AN3508">
        <v>5400</v>
      </c>
      <c r="AO3508" t="s">
        <v>118</v>
      </c>
      <c r="AP3508">
        <v>85</v>
      </c>
      <c r="AQ3508">
        <v>-61</v>
      </c>
      <c r="AR3508">
        <v>-448</v>
      </c>
      <c r="AZ3508">
        <v>1200</v>
      </c>
      <c r="BA3508">
        <v>1</v>
      </c>
      <c r="BB3508" t="str">
        <f t="shared" si="1927"/>
        <v xml:space="preserve">N9217B  </v>
      </c>
      <c r="BC3508">
        <v>1</v>
      </c>
      <c r="BE3508">
        <v>0</v>
      </c>
      <c r="BF3508">
        <v>0</v>
      </c>
      <c r="BG3508">
        <v>0</v>
      </c>
      <c r="BH3508">
        <v>5250</v>
      </c>
      <c r="BI3508">
        <v>1</v>
      </c>
      <c r="BJ3508">
        <v>0</v>
      </c>
      <c r="BK3508">
        <v>0</v>
      </c>
      <c r="BL3508">
        <v>0</v>
      </c>
      <c r="BO3508">
        <v>0</v>
      </c>
      <c r="BP3508">
        <v>0</v>
      </c>
      <c r="BW3508" t="str">
        <f t="shared" ref="BW3508:BW3514" si="1951">"14:57:37.532"</f>
        <v>14:57:37.532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7</v>
      </c>
      <c r="CP3508" t="s">
        <v>119</v>
      </c>
      <c r="CQ3508">
        <v>285</v>
      </c>
      <c r="CR3508">
        <v>0</v>
      </c>
      <c r="CW3508">
        <v>8880087</v>
      </c>
      <c r="CY3508">
        <v>0</v>
      </c>
      <c r="CZ3508">
        <v>0</v>
      </c>
      <c r="DA3508">
        <v>0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25">
      <c r="A3509" t="str">
        <f t="shared" si="1949"/>
        <v>06/05/2020 14:57:31.899</v>
      </c>
      <c r="C3509" t="str">
        <f t="shared" si="1941"/>
        <v>FFDFD3C0</v>
      </c>
      <c r="D3509" t="s">
        <v>134</v>
      </c>
      <c r="E3509">
        <v>7</v>
      </c>
      <c r="F3509">
        <v>2007</v>
      </c>
      <c r="G3509" t="s">
        <v>135</v>
      </c>
      <c r="J3509" t="s">
        <v>136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950"/>
        <v>14:57:37.531</v>
      </c>
      <c r="T3509" t="str">
        <f t="shared" si="1950"/>
        <v>14:57:37.531</v>
      </c>
      <c r="U3509" t="str">
        <f t="shared" si="1922"/>
        <v>ACC530</v>
      </c>
      <c r="V3509">
        <v>0</v>
      </c>
      <c r="W3509">
        <v>0</v>
      </c>
      <c r="X3509">
        <v>1</v>
      </c>
      <c r="Z3509">
        <v>0</v>
      </c>
      <c r="AA3509">
        <v>9</v>
      </c>
      <c r="AB3509">
        <v>3</v>
      </c>
      <c r="AC3509">
        <v>0</v>
      </c>
      <c r="AD3509">
        <v>9</v>
      </c>
      <c r="AE3509">
        <v>0</v>
      </c>
      <c r="AF3509">
        <v>3</v>
      </c>
      <c r="AG3509">
        <v>1</v>
      </c>
      <c r="AH3509">
        <v>0</v>
      </c>
      <c r="AI3509" t="s">
        <v>1150</v>
      </c>
      <c r="AJ3509">
        <v>34.082658000000002</v>
      </c>
      <c r="AK3509" t="s">
        <v>1151</v>
      </c>
      <c r="AL3509">
        <v>-117.02578800000001</v>
      </c>
      <c r="AM3509">
        <v>100</v>
      </c>
      <c r="AN3509">
        <v>5400</v>
      </c>
      <c r="AO3509" t="s">
        <v>118</v>
      </c>
      <c r="AP3509">
        <v>85</v>
      </c>
      <c r="AQ3509">
        <v>-61</v>
      </c>
      <c r="AR3509">
        <v>-448</v>
      </c>
      <c r="AZ3509">
        <v>1200</v>
      </c>
      <c r="BA3509">
        <v>1</v>
      </c>
      <c r="BB3509" t="str">
        <f t="shared" si="1927"/>
        <v xml:space="preserve">N9217B  </v>
      </c>
      <c r="BC3509">
        <v>1</v>
      </c>
      <c r="BE3509">
        <v>0</v>
      </c>
      <c r="BF3509">
        <v>0</v>
      </c>
      <c r="BG3509">
        <v>0</v>
      </c>
      <c r="BH3509">
        <v>5250</v>
      </c>
      <c r="BI3509">
        <v>1</v>
      </c>
      <c r="BJ3509">
        <v>0</v>
      </c>
      <c r="BK3509">
        <v>0</v>
      </c>
      <c r="BL3509">
        <v>0</v>
      </c>
      <c r="BO3509">
        <v>0</v>
      </c>
      <c r="BP3509">
        <v>0</v>
      </c>
      <c r="BW3509" t="str">
        <f t="shared" si="1951"/>
        <v>14:57:37.532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7</v>
      </c>
      <c r="CP3509" t="s">
        <v>119</v>
      </c>
      <c r="CQ3509">
        <v>285</v>
      </c>
      <c r="CR3509">
        <v>0</v>
      </c>
      <c r="CW3509">
        <v>8880087</v>
      </c>
      <c r="CY3509">
        <v>0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25">
      <c r="A3510" t="str">
        <f t="shared" si="1949"/>
        <v>06/05/2020 14:57:31.899</v>
      </c>
      <c r="C3510" t="str">
        <f t="shared" si="1941"/>
        <v>FFDFD3C0</v>
      </c>
      <c r="D3510" t="s">
        <v>148</v>
      </c>
      <c r="E3510">
        <v>8</v>
      </c>
      <c r="H3510">
        <v>50</v>
      </c>
      <c r="I3510" t="s">
        <v>149</v>
      </c>
      <c r="J3510" t="s">
        <v>150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950"/>
        <v>14:57:37.531</v>
      </c>
      <c r="T3510" t="str">
        <f t="shared" si="1950"/>
        <v>14:57:37.531</v>
      </c>
      <c r="U3510" t="str">
        <f t="shared" si="1922"/>
        <v>ACC530</v>
      </c>
      <c r="V3510">
        <v>0</v>
      </c>
      <c r="W3510">
        <v>0</v>
      </c>
      <c r="X3510">
        <v>1</v>
      </c>
      <c r="Z3510">
        <v>0</v>
      </c>
      <c r="AA3510">
        <v>9</v>
      </c>
      <c r="AB3510">
        <v>3</v>
      </c>
      <c r="AC3510">
        <v>0</v>
      </c>
      <c r="AD3510">
        <v>9</v>
      </c>
      <c r="AE3510">
        <v>0</v>
      </c>
      <c r="AF3510">
        <v>3</v>
      </c>
      <c r="AG3510">
        <v>1</v>
      </c>
      <c r="AH3510">
        <v>0</v>
      </c>
      <c r="AI3510" t="s">
        <v>1150</v>
      </c>
      <c r="AJ3510">
        <v>34.082658000000002</v>
      </c>
      <c r="AK3510" t="s">
        <v>1151</v>
      </c>
      <c r="AL3510">
        <v>-117.02578800000001</v>
      </c>
      <c r="AM3510">
        <v>100</v>
      </c>
      <c r="AN3510">
        <v>5400</v>
      </c>
      <c r="AO3510" t="s">
        <v>118</v>
      </c>
      <c r="AP3510">
        <v>85</v>
      </c>
      <c r="AQ3510">
        <v>-61</v>
      </c>
      <c r="AR3510">
        <v>-448</v>
      </c>
      <c r="AZ3510">
        <v>1200</v>
      </c>
      <c r="BA3510">
        <v>1</v>
      </c>
      <c r="BB3510" t="str">
        <f t="shared" si="1927"/>
        <v xml:space="preserve">N9217B  </v>
      </c>
      <c r="BC3510">
        <v>1</v>
      </c>
      <c r="BE3510">
        <v>0</v>
      </c>
      <c r="BF3510">
        <v>0</v>
      </c>
      <c r="BG3510">
        <v>0</v>
      </c>
      <c r="BH3510">
        <v>5250</v>
      </c>
      <c r="BI3510">
        <v>1</v>
      </c>
      <c r="BJ3510">
        <v>0</v>
      </c>
      <c r="BK3510">
        <v>0</v>
      </c>
      <c r="BL3510">
        <v>0</v>
      </c>
      <c r="BO3510">
        <v>0</v>
      </c>
      <c r="BP3510">
        <v>0</v>
      </c>
      <c r="BW3510" t="str">
        <f t="shared" si="1951"/>
        <v>14:57:37.532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7</v>
      </c>
      <c r="CP3510" t="s">
        <v>119</v>
      </c>
      <c r="CQ3510">
        <v>285</v>
      </c>
      <c r="CR3510">
        <v>0</v>
      </c>
      <c r="CW3510">
        <v>8880087</v>
      </c>
      <c r="CY3510">
        <v>0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25">
      <c r="A3511" t="str">
        <f t="shared" si="1949"/>
        <v>06/05/2020 14:57:31.899</v>
      </c>
      <c r="C3511" t="str">
        <f t="shared" si="1941"/>
        <v>FFDFD3C0</v>
      </c>
      <c r="D3511" t="s">
        <v>151</v>
      </c>
      <c r="E3511">
        <v>8</v>
      </c>
      <c r="H3511">
        <v>225</v>
      </c>
      <c r="I3511" t="s">
        <v>353</v>
      </c>
      <c r="J3511" t="s">
        <v>150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si="1950"/>
        <v>14:57:37.531</v>
      </c>
      <c r="T3511" t="str">
        <f t="shared" si="1950"/>
        <v>14:57:37.531</v>
      </c>
      <c r="U3511" t="str">
        <f t="shared" si="1922"/>
        <v>ACC530</v>
      </c>
      <c r="V3511">
        <v>0</v>
      </c>
      <c r="W3511">
        <v>0</v>
      </c>
      <c r="X3511">
        <v>1</v>
      </c>
      <c r="Z3511">
        <v>0</v>
      </c>
      <c r="AA3511">
        <v>9</v>
      </c>
      <c r="AB3511">
        <v>3</v>
      </c>
      <c r="AC3511">
        <v>0</v>
      </c>
      <c r="AD3511">
        <v>9</v>
      </c>
      <c r="AE3511">
        <v>0</v>
      </c>
      <c r="AF3511">
        <v>3</v>
      </c>
      <c r="AG3511">
        <v>1</v>
      </c>
      <c r="AH3511">
        <v>0</v>
      </c>
      <c r="AI3511" t="s">
        <v>1150</v>
      </c>
      <c r="AJ3511">
        <v>34.082658000000002</v>
      </c>
      <c r="AK3511" t="s">
        <v>1151</v>
      </c>
      <c r="AL3511">
        <v>-117.02578800000001</v>
      </c>
      <c r="AM3511">
        <v>100</v>
      </c>
      <c r="AN3511">
        <v>5400</v>
      </c>
      <c r="AO3511" t="s">
        <v>118</v>
      </c>
      <c r="AP3511">
        <v>85</v>
      </c>
      <c r="AQ3511">
        <v>-61</v>
      </c>
      <c r="AR3511">
        <v>-448</v>
      </c>
      <c r="AZ3511">
        <v>1200</v>
      </c>
      <c r="BA3511">
        <v>1</v>
      </c>
      <c r="BB3511" t="str">
        <f t="shared" si="1927"/>
        <v xml:space="preserve">N9217B  </v>
      </c>
      <c r="BC3511">
        <v>1</v>
      </c>
      <c r="BE3511">
        <v>0</v>
      </c>
      <c r="BF3511">
        <v>0</v>
      </c>
      <c r="BG3511">
        <v>0</v>
      </c>
      <c r="BH3511">
        <v>5250</v>
      </c>
      <c r="BI3511">
        <v>1</v>
      </c>
      <c r="BJ3511">
        <v>0</v>
      </c>
      <c r="BK3511">
        <v>0</v>
      </c>
      <c r="BL3511">
        <v>0</v>
      </c>
      <c r="BO3511">
        <v>0</v>
      </c>
      <c r="BP3511">
        <v>0</v>
      </c>
      <c r="BW3511" t="str">
        <f t="shared" si="1951"/>
        <v>14:57:37.532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7</v>
      </c>
      <c r="CP3511" t="s">
        <v>119</v>
      </c>
      <c r="CQ3511">
        <v>285</v>
      </c>
      <c r="CR3511">
        <v>0</v>
      </c>
      <c r="CW3511">
        <v>8880087</v>
      </c>
      <c r="CY3511">
        <v>0</v>
      </c>
      <c r="CZ3511">
        <v>0</v>
      </c>
      <c r="DA3511">
        <v>1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25">
      <c r="A3512" t="str">
        <f t="shared" si="1949"/>
        <v>06/05/2020 14:57:31.899</v>
      </c>
      <c r="C3512" t="str">
        <f t="shared" si="1941"/>
        <v>FFDFD3C0</v>
      </c>
      <c r="D3512" t="s">
        <v>141</v>
      </c>
      <c r="E3512">
        <v>20</v>
      </c>
      <c r="F3512">
        <v>1020</v>
      </c>
      <c r="G3512" t="s">
        <v>114</v>
      </c>
      <c r="J3512" t="s">
        <v>142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950"/>
        <v>14:57:37.531</v>
      </c>
      <c r="T3512" t="str">
        <f t="shared" si="1950"/>
        <v>14:57:37.531</v>
      </c>
      <c r="U3512" t="str">
        <f t="shared" si="1922"/>
        <v>ACC530</v>
      </c>
      <c r="V3512">
        <v>0</v>
      </c>
      <c r="W3512">
        <v>0</v>
      </c>
      <c r="X3512">
        <v>1</v>
      </c>
      <c r="Z3512">
        <v>0</v>
      </c>
      <c r="AA3512">
        <v>9</v>
      </c>
      <c r="AB3512">
        <v>3</v>
      </c>
      <c r="AC3512">
        <v>0</v>
      </c>
      <c r="AD3512">
        <v>9</v>
      </c>
      <c r="AE3512">
        <v>0</v>
      </c>
      <c r="AF3512">
        <v>3</v>
      </c>
      <c r="AG3512">
        <v>1</v>
      </c>
      <c r="AH3512">
        <v>0</v>
      </c>
      <c r="AI3512" t="s">
        <v>1150</v>
      </c>
      <c r="AJ3512">
        <v>34.082658000000002</v>
      </c>
      <c r="AK3512" t="s">
        <v>1151</v>
      </c>
      <c r="AL3512">
        <v>-117.02578800000001</v>
      </c>
      <c r="AM3512">
        <v>100</v>
      </c>
      <c r="AN3512">
        <v>5400</v>
      </c>
      <c r="AO3512" t="s">
        <v>118</v>
      </c>
      <c r="AP3512">
        <v>85</v>
      </c>
      <c r="AQ3512">
        <v>-61</v>
      </c>
      <c r="AR3512">
        <v>-448</v>
      </c>
      <c r="AZ3512">
        <v>1200</v>
      </c>
      <c r="BA3512">
        <v>1</v>
      </c>
      <c r="BB3512" t="str">
        <f t="shared" si="1927"/>
        <v xml:space="preserve">N9217B  </v>
      </c>
      <c r="BC3512">
        <v>1</v>
      </c>
      <c r="BE3512">
        <v>0</v>
      </c>
      <c r="BF3512">
        <v>0</v>
      </c>
      <c r="BG3512">
        <v>0</v>
      </c>
      <c r="BH3512">
        <v>5250</v>
      </c>
      <c r="BI3512">
        <v>1</v>
      </c>
      <c r="BJ3512">
        <v>0</v>
      </c>
      <c r="BK3512">
        <v>0</v>
      </c>
      <c r="BL3512">
        <v>0</v>
      </c>
      <c r="BO3512">
        <v>0</v>
      </c>
      <c r="BP3512">
        <v>0</v>
      </c>
      <c r="BW3512" t="str">
        <f t="shared" si="1951"/>
        <v>14:57:37.532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7</v>
      </c>
      <c r="CP3512" t="s">
        <v>119</v>
      </c>
      <c r="CQ3512">
        <v>285</v>
      </c>
      <c r="CR3512">
        <v>0</v>
      </c>
      <c r="CW3512">
        <v>8880087</v>
      </c>
      <c r="CY3512">
        <v>0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25">
      <c r="A3513" t="str">
        <f t="shared" si="1949"/>
        <v>06/05/2020 14:57:31.899</v>
      </c>
      <c r="C3513" t="str">
        <f t="shared" si="1941"/>
        <v>FFDFD3C0</v>
      </c>
      <c r="D3513" t="s">
        <v>151</v>
      </c>
      <c r="E3513">
        <v>9</v>
      </c>
      <c r="H3513">
        <v>226</v>
      </c>
      <c r="I3513" t="s">
        <v>152</v>
      </c>
      <c r="J3513" t="s">
        <v>150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si="1950"/>
        <v>14:57:37.531</v>
      </c>
      <c r="T3513" t="str">
        <f t="shared" si="1950"/>
        <v>14:57:37.531</v>
      </c>
      <c r="U3513" t="str">
        <f t="shared" si="1922"/>
        <v>ACC530</v>
      </c>
      <c r="V3513">
        <v>0</v>
      </c>
      <c r="W3513">
        <v>0</v>
      </c>
      <c r="X3513">
        <v>1</v>
      </c>
      <c r="Z3513">
        <v>0</v>
      </c>
      <c r="AA3513">
        <v>9</v>
      </c>
      <c r="AB3513">
        <v>3</v>
      </c>
      <c r="AC3513">
        <v>0</v>
      </c>
      <c r="AD3513">
        <v>9</v>
      </c>
      <c r="AE3513">
        <v>0</v>
      </c>
      <c r="AF3513">
        <v>3</v>
      </c>
      <c r="AG3513">
        <v>1</v>
      </c>
      <c r="AH3513">
        <v>0</v>
      </c>
      <c r="AI3513" t="s">
        <v>1150</v>
      </c>
      <c r="AJ3513">
        <v>34.082658000000002</v>
      </c>
      <c r="AK3513" t="s">
        <v>1151</v>
      </c>
      <c r="AL3513">
        <v>-117.02578800000001</v>
      </c>
      <c r="AM3513">
        <v>100</v>
      </c>
      <c r="AN3513">
        <v>5400</v>
      </c>
      <c r="AO3513" t="s">
        <v>118</v>
      </c>
      <c r="AP3513">
        <v>85</v>
      </c>
      <c r="AQ3513">
        <v>-61</v>
      </c>
      <c r="AR3513">
        <v>-448</v>
      </c>
      <c r="AZ3513">
        <v>1200</v>
      </c>
      <c r="BA3513">
        <v>1</v>
      </c>
      <c r="BB3513" t="str">
        <f t="shared" si="1927"/>
        <v xml:space="preserve">N9217B  </v>
      </c>
      <c r="BC3513">
        <v>1</v>
      </c>
      <c r="BE3513">
        <v>0</v>
      </c>
      <c r="BF3513">
        <v>0</v>
      </c>
      <c r="BG3513">
        <v>0</v>
      </c>
      <c r="BH3513">
        <v>5250</v>
      </c>
      <c r="BI3513">
        <v>1</v>
      </c>
      <c r="BJ3513">
        <v>0</v>
      </c>
      <c r="BK3513">
        <v>0</v>
      </c>
      <c r="BL3513">
        <v>0</v>
      </c>
      <c r="BO3513">
        <v>0</v>
      </c>
      <c r="BP3513">
        <v>0</v>
      </c>
      <c r="BW3513" t="str">
        <f t="shared" si="1951"/>
        <v>14:57:37.532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7</v>
      </c>
      <c r="CP3513" t="s">
        <v>119</v>
      </c>
      <c r="CQ3513">
        <v>285</v>
      </c>
      <c r="CR3513">
        <v>0</v>
      </c>
      <c r="CW3513">
        <v>8880087</v>
      </c>
      <c r="CY3513">
        <v>0</v>
      </c>
      <c r="CZ3513">
        <v>0</v>
      </c>
      <c r="DA3513">
        <v>1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25">
      <c r="A3514" t="str">
        <f t="shared" si="1949"/>
        <v>06/05/2020 14:57:31.899</v>
      </c>
      <c r="C3514" t="str">
        <f t="shared" si="1941"/>
        <v>FFDFD3C0</v>
      </c>
      <c r="D3514" t="s">
        <v>148</v>
      </c>
      <c r="E3514">
        <v>11</v>
      </c>
      <c r="H3514">
        <v>53</v>
      </c>
      <c r="I3514" t="s">
        <v>364</v>
      </c>
      <c r="J3514" t="s">
        <v>150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si="1950"/>
        <v>14:57:37.531</v>
      </c>
      <c r="T3514" t="str">
        <f t="shared" si="1950"/>
        <v>14:57:37.531</v>
      </c>
      <c r="U3514" t="str">
        <f t="shared" si="1922"/>
        <v>ACC530</v>
      </c>
      <c r="V3514">
        <v>0</v>
      </c>
      <c r="W3514">
        <v>0</v>
      </c>
      <c r="X3514">
        <v>1</v>
      </c>
      <c r="Z3514">
        <v>0</v>
      </c>
      <c r="AA3514">
        <v>9</v>
      </c>
      <c r="AB3514">
        <v>3</v>
      </c>
      <c r="AC3514">
        <v>0</v>
      </c>
      <c r="AD3514">
        <v>9</v>
      </c>
      <c r="AE3514">
        <v>0</v>
      </c>
      <c r="AF3514">
        <v>3</v>
      </c>
      <c r="AG3514">
        <v>1</v>
      </c>
      <c r="AH3514">
        <v>0</v>
      </c>
      <c r="AI3514" t="s">
        <v>1150</v>
      </c>
      <c r="AJ3514">
        <v>34.082658000000002</v>
      </c>
      <c r="AK3514" t="s">
        <v>1151</v>
      </c>
      <c r="AL3514">
        <v>-117.02578800000001</v>
      </c>
      <c r="AM3514">
        <v>100</v>
      </c>
      <c r="AN3514">
        <v>5400</v>
      </c>
      <c r="AO3514" t="s">
        <v>118</v>
      </c>
      <c r="AP3514">
        <v>85</v>
      </c>
      <c r="AQ3514">
        <v>-61</v>
      </c>
      <c r="AR3514">
        <v>-448</v>
      </c>
      <c r="AZ3514">
        <v>1200</v>
      </c>
      <c r="BA3514">
        <v>1</v>
      </c>
      <c r="BB3514" t="str">
        <f t="shared" si="1927"/>
        <v xml:space="preserve">N9217B  </v>
      </c>
      <c r="BC3514">
        <v>1</v>
      </c>
      <c r="BE3514">
        <v>0</v>
      </c>
      <c r="BF3514">
        <v>0</v>
      </c>
      <c r="BG3514">
        <v>0</v>
      </c>
      <c r="BH3514">
        <v>5250</v>
      </c>
      <c r="BI3514">
        <v>1</v>
      </c>
      <c r="BJ3514">
        <v>0</v>
      </c>
      <c r="BK3514">
        <v>0</v>
      </c>
      <c r="BL3514">
        <v>0</v>
      </c>
      <c r="BO3514">
        <v>0</v>
      </c>
      <c r="BP3514">
        <v>0</v>
      </c>
      <c r="BW3514" t="str">
        <f t="shared" si="1951"/>
        <v>14:57:37.532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7</v>
      </c>
      <c r="CP3514" t="s">
        <v>119</v>
      </c>
      <c r="CQ3514">
        <v>285</v>
      </c>
      <c r="CR3514">
        <v>0</v>
      </c>
      <c r="CW3514">
        <v>8880087</v>
      </c>
      <c r="CY3514">
        <v>0</v>
      </c>
      <c r="CZ3514">
        <v>0</v>
      </c>
      <c r="DA3514">
        <v>1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25">
      <c r="A3515" t="str">
        <f t="shared" ref="A3515:A3521" si="1952">"06/05/2020 14:57:32.834"</f>
        <v>06/05/2020 14:57:32.834</v>
      </c>
      <c r="C3515" t="str">
        <f t="shared" si="1941"/>
        <v>FFDFD3C0</v>
      </c>
      <c r="D3515" t="s">
        <v>151</v>
      </c>
      <c r="E3515">
        <v>9</v>
      </c>
      <c r="H3515">
        <v>226</v>
      </c>
      <c r="I3515" t="s">
        <v>152</v>
      </c>
      <c r="J3515" t="s">
        <v>150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ref="S3515:T3521" si="1953">"14:57:38.484"</f>
        <v>14:57:38.484</v>
      </c>
      <c r="T3515" t="str">
        <f t="shared" si="1953"/>
        <v>14:57:38.484</v>
      </c>
      <c r="U3515" t="str">
        <f t="shared" si="1922"/>
        <v>ACC530</v>
      </c>
      <c r="V3515">
        <v>0</v>
      </c>
      <c r="W3515">
        <v>0</v>
      </c>
      <c r="X3515">
        <v>1</v>
      </c>
      <c r="Z3515">
        <v>0</v>
      </c>
      <c r="AA3515">
        <v>9</v>
      </c>
      <c r="AB3515">
        <v>3</v>
      </c>
      <c r="AC3515">
        <v>0</v>
      </c>
      <c r="AD3515">
        <v>9</v>
      </c>
      <c r="AE3515">
        <v>0</v>
      </c>
      <c r="AF3515">
        <v>3</v>
      </c>
      <c r="AG3515">
        <v>1</v>
      </c>
      <c r="AH3515">
        <v>0</v>
      </c>
      <c r="AI3515" t="s">
        <v>1152</v>
      </c>
      <c r="AJ3515">
        <v>34.082422000000001</v>
      </c>
      <c r="AK3515" t="s">
        <v>1153</v>
      </c>
      <c r="AL3515">
        <v>-117.02535899999999</v>
      </c>
      <c r="AM3515">
        <v>100</v>
      </c>
      <c r="AN3515">
        <v>5400</v>
      </c>
      <c r="AO3515" t="s">
        <v>118</v>
      </c>
      <c r="AP3515">
        <v>85</v>
      </c>
      <c r="AQ3515">
        <v>-61</v>
      </c>
      <c r="AR3515">
        <v>-448</v>
      </c>
      <c r="AZ3515">
        <v>1200</v>
      </c>
      <c r="BA3515">
        <v>1</v>
      </c>
      <c r="BB3515" t="str">
        <f t="shared" si="1927"/>
        <v xml:space="preserve">N9217B  </v>
      </c>
      <c r="BC3515">
        <v>1</v>
      </c>
      <c r="BE3515">
        <v>0</v>
      </c>
      <c r="BF3515">
        <v>0</v>
      </c>
      <c r="BG3515">
        <v>0</v>
      </c>
      <c r="BH3515">
        <v>5250</v>
      </c>
      <c r="BI3515">
        <v>1</v>
      </c>
      <c r="BJ3515">
        <v>0</v>
      </c>
      <c r="BK3515">
        <v>0</v>
      </c>
      <c r="BL3515">
        <v>0</v>
      </c>
      <c r="BO3515">
        <v>0</v>
      </c>
      <c r="BP3515">
        <v>0</v>
      </c>
      <c r="BW3515" t="str">
        <f t="shared" ref="BW3515:BW3521" si="1954">"14:57:38.492"</f>
        <v>14:57:38.492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7</v>
      </c>
      <c r="CP3515" t="s">
        <v>119</v>
      </c>
      <c r="CQ3515">
        <v>285</v>
      </c>
      <c r="CR3515">
        <v>0</v>
      </c>
      <c r="CW3515">
        <v>8880167</v>
      </c>
      <c r="CY3515">
        <v>0</v>
      </c>
      <c r="CZ3515">
        <v>0</v>
      </c>
      <c r="DA3515">
        <v>0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25">
      <c r="A3516" t="str">
        <f t="shared" si="1952"/>
        <v>06/05/2020 14:57:32.834</v>
      </c>
      <c r="C3516" t="str">
        <f t="shared" si="1941"/>
        <v>FFDFD3C0</v>
      </c>
      <c r="D3516" t="s">
        <v>148</v>
      </c>
      <c r="E3516">
        <v>11</v>
      </c>
      <c r="H3516">
        <v>53</v>
      </c>
      <c r="I3516" t="s">
        <v>364</v>
      </c>
      <c r="J3516" t="s">
        <v>150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si="1953"/>
        <v>14:57:38.484</v>
      </c>
      <c r="T3516" t="str">
        <f t="shared" si="1953"/>
        <v>14:57:38.484</v>
      </c>
      <c r="U3516" t="str">
        <f t="shared" si="1922"/>
        <v>ACC530</v>
      </c>
      <c r="V3516">
        <v>0</v>
      </c>
      <c r="W3516">
        <v>0</v>
      </c>
      <c r="X3516">
        <v>1</v>
      </c>
      <c r="Z3516">
        <v>0</v>
      </c>
      <c r="AA3516">
        <v>9</v>
      </c>
      <c r="AB3516">
        <v>3</v>
      </c>
      <c r="AC3516">
        <v>0</v>
      </c>
      <c r="AD3516">
        <v>9</v>
      </c>
      <c r="AE3516">
        <v>0</v>
      </c>
      <c r="AF3516">
        <v>3</v>
      </c>
      <c r="AG3516">
        <v>1</v>
      </c>
      <c r="AH3516">
        <v>0</v>
      </c>
      <c r="AI3516" t="s">
        <v>1152</v>
      </c>
      <c r="AJ3516">
        <v>34.082422000000001</v>
      </c>
      <c r="AK3516" t="s">
        <v>1153</v>
      </c>
      <c r="AL3516">
        <v>-117.02535899999999</v>
      </c>
      <c r="AM3516">
        <v>100</v>
      </c>
      <c r="AN3516">
        <v>5400</v>
      </c>
      <c r="AO3516" t="s">
        <v>118</v>
      </c>
      <c r="AP3516">
        <v>85</v>
      </c>
      <c r="AQ3516">
        <v>-61</v>
      </c>
      <c r="AR3516">
        <v>-448</v>
      </c>
      <c r="AZ3516">
        <v>1200</v>
      </c>
      <c r="BA3516">
        <v>1</v>
      </c>
      <c r="BB3516" t="str">
        <f t="shared" si="1927"/>
        <v xml:space="preserve">N9217B  </v>
      </c>
      <c r="BC3516">
        <v>1</v>
      </c>
      <c r="BE3516">
        <v>0</v>
      </c>
      <c r="BF3516">
        <v>0</v>
      </c>
      <c r="BG3516">
        <v>0</v>
      </c>
      <c r="BH3516">
        <v>5250</v>
      </c>
      <c r="BI3516">
        <v>1</v>
      </c>
      <c r="BJ3516">
        <v>0</v>
      </c>
      <c r="BK3516">
        <v>0</v>
      </c>
      <c r="BL3516">
        <v>0</v>
      </c>
      <c r="BO3516">
        <v>0</v>
      </c>
      <c r="BP3516">
        <v>0</v>
      </c>
      <c r="BW3516" t="str">
        <f t="shared" si="1954"/>
        <v>14:57:38.492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7</v>
      </c>
      <c r="CP3516" t="s">
        <v>119</v>
      </c>
      <c r="CQ3516">
        <v>285</v>
      </c>
      <c r="CR3516">
        <v>0</v>
      </c>
      <c r="CW3516">
        <v>8880167</v>
      </c>
      <c r="CY3516">
        <v>0</v>
      </c>
      <c r="CZ3516">
        <v>0</v>
      </c>
      <c r="DA3516">
        <v>1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25">
      <c r="A3517" t="str">
        <f t="shared" si="1952"/>
        <v>06/05/2020 14:57:32.834</v>
      </c>
      <c r="C3517" t="str">
        <f t="shared" si="1941"/>
        <v>FFDFD3C0</v>
      </c>
      <c r="D3517" t="s">
        <v>134</v>
      </c>
      <c r="E3517">
        <v>7</v>
      </c>
      <c r="F3517">
        <v>2007</v>
      </c>
      <c r="G3517" t="s">
        <v>135</v>
      </c>
      <c r="J3517" t="s">
        <v>136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953"/>
        <v>14:57:38.484</v>
      </c>
      <c r="T3517" t="str">
        <f t="shared" si="1953"/>
        <v>14:57:38.484</v>
      </c>
      <c r="U3517" t="str">
        <f t="shared" si="1922"/>
        <v>ACC530</v>
      </c>
      <c r="V3517">
        <v>0</v>
      </c>
      <c r="W3517">
        <v>0</v>
      </c>
      <c r="X3517">
        <v>1</v>
      </c>
      <c r="Z3517">
        <v>0</v>
      </c>
      <c r="AA3517">
        <v>9</v>
      </c>
      <c r="AB3517">
        <v>3</v>
      </c>
      <c r="AC3517">
        <v>0</v>
      </c>
      <c r="AD3517">
        <v>9</v>
      </c>
      <c r="AE3517">
        <v>0</v>
      </c>
      <c r="AF3517">
        <v>3</v>
      </c>
      <c r="AG3517">
        <v>1</v>
      </c>
      <c r="AH3517">
        <v>0</v>
      </c>
      <c r="AI3517" t="s">
        <v>1152</v>
      </c>
      <c r="AJ3517">
        <v>34.082422000000001</v>
      </c>
      <c r="AK3517" t="s">
        <v>1153</v>
      </c>
      <c r="AL3517">
        <v>-117.02535899999999</v>
      </c>
      <c r="AM3517">
        <v>100</v>
      </c>
      <c r="AN3517">
        <v>5400</v>
      </c>
      <c r="AO3517" t="s">
        <v>118</v>
      </c>
      <c r="AP3517">
        <v>85</v>
      </c>
      <c r="AQ3517">
        <v>-61</v>
      </c>
      <c r="AR3517">
        <v>-448</v>
      </c>
      <c r="AZ3517">
        <v>1200</v>
      </c>
      <c r="BA3517">
        <v>1</v>
      </c>
      <c r="BB3517" t="str">
        <f t="shared" si="1927"/>
        <v xml:space="preserve">N9217B  </v>
      </c>
      <c r="BC3517">
        <v>1</v>
      </c>
      <c r="BE3517">
        <v>0</v>
      </c>
      <c r="BF3517">
        <v>0</v>
      </c>
      <c r="BG3517">
        <v>0</v>
      </c>
      <c r="BH3517">
        <v>5250</v>
      </c>
      <c r="BI3517">
        <v>1</v>
      </c>
      <c r="BJ3517">
        <v>0</v>
      </c>
      <c r="BK3517">
        <v>0</v>
      </c>
      <c r="BL3517">
        <v>0</v>
      </c>
      <c r="BO3517">
        <v>0</v>
      </c>
      <c r="BP3517">
        <v>0</v>
      </c>
      <c r="BW3517" t="str">
        <f t="shared" si="1954"/>
        <v>14:57:38.492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7</v>
      </c>
      <c r="CP3517" t="s">
        <v>119</v>
      </c>
      <c r="CQ3517">
        <v>285</v>
      </c>
      <c r="CR3517">
        <v>0</v>
      </c>
      <c r="CW3517">
        <v>8880167</v>
      </c>
      <c r="CY3517">
        <v>0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25">
      <c r="A3518" t="str">
        <f t="shared" si="1952"/>
        <v>06/05/2020 14:57:32.834</v>
      </c>
      <c r="C3518" t="str">
        <f t="shared" si="1941"/>
        <v>FFDFD3C0</v>
      </c>
      <c r="D3518" t="s">
        <v>113</v>
      </c>
      <c r="E3518">
        <v>3</v>
      </c>
      <c r="H3518">
        <v>166</v>
      </c>
      <c r="I3518" t="s">
        <v>114</v>
      </c>
      <c r="J3518" t="s">
        <v>115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si="1953"/>
        <v>14:57:38.484</v>
      </c>
      <c r="T3518" t="str">
        <f t="shared" si="1953"/>
        <v>14:57:38.484</v>
      </c>
      <c r="U3518" t="str">
        <f t="shared" si="1922"/>
        <v>ACC530</v>
      </c>
      <c r="V3518">
        <v>0</v>
      </c>
      <c r="W3518">
        <v>0</v>
      </c>
      <c r="X3518">
        <v>1</v>
      </c>
      <c r="Z3518">
        <v>0</v>
      </c>
      <c r="AA3518">
        <v>9</v>
      </c>
      <c r="AB3518">
        <v>3</v>
      </c>
      <c r="AC3518">
        <v>0</v>
      </c>
      <c r="AD3518">
        <v>9</v>
      </c>
      <c r="AE3518">
        <v>0</v>
      </c>
      <c r="AF3518">
        <v>3</v>
      </c>
      <c r="AG3518">
        <v>1</v>
      </c>
      <c r="AH3518">
        <v>0</v>
      </c>
      <c r="AI3518" t="s">
        <v>1152</v>
      </c>
      <c r="AJ3518">
        <v>34.082422000000001</v>
      </c>
      <c r="AK3518" t="s">
        <v>1153</v>
      </c>
      <c r="AL3518">
        <v>-117.02535899999999</v>
      </c>
      <c r="AM3518">
        <v>100</v>
      </c>
      <c r="AN3518">
        <v>5400</v>
      </c>
      <c r="AO3518" t="s">
        <v>118</v>
      </c>
      <c r="AP3518">
        <v>85</v>
      </c>
      <c r="AQ3518">
        <v>-61</v>
      </c>
      <c r="AR3518">
        <v>-448</v>
      </c>
      <c r="AZ3518">
        <v>1200</v>
      </c>
      <c r="BA3518">
        <v>1</v>
      </c>
      <c r="BB3518" t="str">
        <f t="shared" si="1927"/>
        <v xml:space="preserve">N9217B  </v>
      </c>
      <c r="BC3518">
        <v>1</v>
      </c>
      <c r="BE3518">
        <v>0</v>
      </c>
      <c r="BF3518">
        <v>0</v>
      </c>
      <c r="BG3518">
        <v>0</v>
      </c>
      <c r="BH3518">
        <v>5250</v>
      </c>
      <c r="BI3518">
        <v>1</v>
      </c>
      <c r="BJ3518">
        <v>0</v>
      </c>
      <c r="BK3518">
        <v>0</v>
      </c>
      <c r="BL3518">
        <v>0</v>
      </c>
      <c r="BO3518">
        <v>0</v>
      </c>
      <c r="BP3518">
        <v>0</v>
      </c>
      <c r="BW3518" t="str">
        <f t="shared" si="1954"/>
        <v>14:57:38.492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7</v>
      </c>
      <c r="CP3518" t="s">
        <v>119</v>
      </c>
      <c r="CQ3518">
        <v>285</v>
      </c>
      <c r="CR3518">
        <v>0</v>
      </c>
      <c r="CW3518">
        <v>8880167</v>
      </c>
      <c r="CY3518">
        <v>0</v>
      </c>
      <c r="CZ3518">
        <v>0</v>
      </c>
      <c r="DA3518">
        <v>1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25">
      <c r="A3519" t="str">
        <f t="shared" si="1952"/>
        <v>06/05/2020 14:57:32.834</v>
      </c>
      <c r="C3519" t="str">
        <f t="shared" si="1941"/>
        <v>FFDFD3C0</v>
      </c>
      <c r="D3519" t="s">
        <v>148</v>
      </c>
      <c r="E3519">
        <v>8</v>
      </c>
      <c r="H3519">
        <v>50</v>
      </c>
      <c r="I3519" t="s">
        <v>149</v>
      </c>
      <c r="J3519" t="s">
        <v>150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953"/>
        <v>14:57:38.484</v>
      </c>
      <c r="T3519" t="str">
        <f t="shared" si="1953"/>
        <v>14:57:38.484</v>
      </c>
      <c r="U3519" t="str">
        <f t="shared" si="1922"/>
        <v>ACC530</v>
      </c>
      <c r="V3519">
        <v>0</v>
      </c>
      <c r="W3519">
        <v>0</v>
      </c>
      <c r="X3519">
        <v>1</v>
      </c>
      <c r="Z3519">
        <v>0</v>
      </c>
      <c r="AA3519">
        <v>9</v>
      </c>
      <c r="AB3519">
        <v>3</v>
      </c>
      <c r="AC3519">
        <v>0</v>
      </c>
      <c r="AD3519">
        <v>9</v>
      </c>
      <c r="AE3519">
        <v>0</v>
      </c>
      <c r="AF3519">
        <v>3</v>
      </c>
      <c r="AG3519">
        <v>1</v>
      </c>
      <c r="AH3519">
        <v>0</v>
      </c>
      <c r="AI3519" t="s">
        <v>1152</v>
      </c>
      <c r="AJ3519">
        <v>34.082422000000001</v>
      </c>
      <c r="AK3519" t="s">
        <v>1153</v>
      </c>
      <c r="AL3519">
        <v>-117.02535899999999</v>
      </c>
      <c r="AM3519">
        <v>100</v>
      </c>
      <c r="AN3519">
        <v>5400</v>
      </c>
      <c r="AO3519" t="s">
        <v>118</v>
      </c>
      <c r="AP3519">
        <v>85</v>
      </c>
      <c r="AQ3519">
        <v>-61</v>
      </c>
      <c r="AR3519">
        <v>-448</v>
      </c>
      <c r="AZ3519">
        <v>1200</v>
      </c>
      <c r="BA3519">
        <v>1</v>
      </c>
      <c r="BB3519" t="str">
        <f t="shared" si="1927"/>
        <v xml:space="preserve">N9217B  </v>
      </c>
      <c r="BC3519">
        <v>1</v>
      </c>
      <c r="BE3519">
        <v>0</v>
      </c>
      <c r="BF3519">
        <v>0</v>
      </c>
      <c r="BG3519">
        <v>0</v>
      </c>
      <c r="BH3519">
        <v>5250</v>
      </c>
      <c r="BI3519">
        <v>1</v>
      </c>
      <c r="BJ3519">
        <v>0</v>
      </c>
      <c r="BK3519">
        <v>0</v>
      </c>
      <c r="BL3519">
        <v>0</v>
      </c>
      <c r="BO3519">
        <v>0</v>
      </c>
      <c r="BP3519">
        <v>0</v>
      </c>
      <c r="BW3519" t="str">
        <f t="shared" si="1954"/>
        <v>14:57:38.492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7</v>
      </c>
      <c r="CP3519" t="s">
        <v>119</v>
      </c>
      <c r="CQ3519">
        <v>285</v>
      </c>
      <c r="CR3519">
        <v>0</v>
      </c>
      <c r="CW3519">
        <v>8880167</v>
      </c>
      <c r="CY3519">
        <v>0</v>
      </c>
      <c r="CZ3519">
        <v>0</v>
      </c>
      <c r="DA3519">
        <v>1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25">
      <c r="A3520" t="str">
        <f t="shared" si="1952"/>
        <v>06/05/2020 14:57:32.834</v>
      </c>
      <c r="C3520" t="str">
        <f t="shared" si="1941"/>
        <v>FFDFD3C0</v>
      </c>
      <c r="D3520" t="s">
        <v>151</v>
      </c>
      <c r="E3520">
        <v>8</v>
      </c>
      <c r="H3520">
        <v>225</v>
      </c>
      <c r="I3520" t="s">
        <v>353</v>
      </c>
      <c r="J3520" t="s">
        <v>150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si="1953"/>
        <v>14:57:38.484</v>
      </c>
      <c r="T3520" t="str">
        <f t="shared" si="1953"/>
        <v>14:57:38.484</v>
      </c>
      <c r="U3520" t="str">
        <f t="shared" si="1922"/>
        <v>ACC530</v>
      </c>
      <c r="V3520">
        <v>0</v>
      </c>
      <c r="W3520">
        <v>0</v>
      </c>
      <c r="X3520">
        <v>1</v>
      </c>
      <c r="Z3520">
        <v>0</v>
      </c>
      <c r="AA3520">
        <v>9</v>
      </c>
      <c r="AB3520">
        <v>3</v>
      </c>
      <c r="AC3520">
        <v>0</v>
      </c>
      <c r="AD3520">
        <v>9</v>
      </c>
      <c r="AE3520">
        <v>0</v>
      </c>
      <c r="AF3520">
        <v>3</v>
      </c>
      <c r="AG3520">
        <v>1</v>
      </c>
      <c r="AH3520">
        <v>0</v>
      </c>
      <c r="AI3520" t="s">
        <v>1152</v>
      </c>
      <c r="AJ3520">
        <v>34.082422000000001</v>
      </c>
      <c r="AK3520" t="s">
        <v>1153</v>
      </c>
      <c r="AL3520">
        <v>-117.02535899999999</v>
      </c>
      <c r="AM3520">
        <v>100</v>
      </c>
      <c r="AN3520">
        <v>5400</v>
      </c>
      <c r="AO3520" t="s">
        <v>118</v>
      </c>
      <c r="AP3520">
        <v>85</v>
      </c>
      <c r="AQ3520">
        <v>-61</v>
      </c>
      <c r="AR3520">
        <v>-448</v>
      </c>
      <c r="AZ3520">
        <v>1200</v>
      </c>
      <c r="BA3520">
        <v>1</v>
      </c>
      <c r="BB3520" t="str">
        <f t="shared" si="1927"/>
        <v xml:space="preserve">N9217B  </v>
      </c>
      <c r="BC3520">
        <v>1</v>
      </c>
      <c r="BE3520">
        <v>0</v>
      </c>
      <c r="BF3520">
        <v>0</v>
      </c>
      <c r="BG3520">
        <v>0</v>
      </c>
      <c r="BH3520">
        <v>5250</v>
      </c>
      <c r="BI3520">
        <v>1</v>
      </c>
      <c r="BJ3520">
        <v>0</v>
      </c>
      <c r="BK3520">
        <v>0</v>
      </c>
      <c r="BL3520">
        <v>0</v>
      </c>
      <c r="BO3520">
        <v>0</v>
      </c>
      <c r="BP3520">
        <v>0</v>
      </c>
      <c r="BW3520" t="str">
        <f t="shared" si="1954"/>
        <v>14:57:38.492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7</v>
      </c>
      <c r="CP3520" t="s">
        <v>119</v>
      </c>
      <c r="CQ3520">
        <v>285</v>
      </c>
      <c r="CR3520">
        <v>0</v>
      </c>
      <c r="CW3520">
        <v>8880167</v>
      </c>
      <c r="CY3520">
        <v>0</v>
      </c>
      <c r="CZ3520">
        <v>0</v>
      </c>
      <c r="DA3520">
        <v>1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25">
      <c r="A3521" t="str">
        <f t="shared" si="1952"/>
        <v>06/05/2020 14:57:32.834</v>
      </c>
      <c r="C3521" t="str">
        <f t="shared" si="1941"/>
        <v>FFDFD3C0</v>
      </c>
      <c r="D3521" t="s">
        <v>141</v>
      </c>
      <c r="E3521">
        <v>20</v>
      </c>
      <c r="F3521">
        <v>1020</v>
      </c>
      <c r="G3521" t="s">
        <v>114</v>
      </c>
      <c r="J3521" t="s">
        <v>142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953"/>
        <v>14:57:38.484</v>
      </c>
      <c r="T3521" t="str">
        <f t="shared" si="1953"/>
        <v>14:57:38.484</v>
      </c>
      <c r="U3521" t="str">
        <f t="shared" si="1922"/>
        <v>ACC530</v>
      </c>
      <c r="V3521">
        <v>0</v>
      </c>
      <c r="W3521">
        <v>0</v>
      </c>
      <c r="X3521">
        <v>1</v>
      </c>
      <c r="Z3521">
        <v>0</v>
      </c>
      <c r="AA3521">
        <v>9</v>
      </c>
      <c r="AB3521">
        <v>3</v>
      </c>
      <c r="AC3521">
        <v>0</v>
      </c>
      <c r="AD3521">
        <v>9</v>
      </c>
      <c r="AE3521">
        <v>0</v>
      </c>
      <c r="AF3521">
        <v>3</v>
      </c>
      <c r="AG3521">
        <v>1</v>
      </c>
      <c r="AH3521">
        <v>0</v>
      </c>
      <c r="AI3521" t="s">
        <v>1152</v>
      </c>
      <c r="AJ3521">
        <v>34.082422000000001</v>
      </c>
      <c r="AK3521" t="s">
        <v>1153</v>
      </c>
      <c r="AL3521">
        <v>-117.02535899999999</v>
      </c>
      <c r="AM3521">
        <v>100</v>
      </c>
      <c r="AN3521">
        <v>5400</v>
      </c>
      <c r="AO3521" t="s">
        <v>118</v>
      </c>
      <c r="AP3521">
        <v>85</v>
      </c>
      <c r="AQ3521">
        <v>-61</v>
      </c>
      <c r="AR3521">
        <v>-448</v>
      </c>
      <c r="AZ3521">
        <v>1200</v>
      </c>
      <c r="BA3521">
        <v>1</v>
      </c>
      <c r="BB3521" t="str">
        <f t="shared" si="1927"/>
        <v xml:space="preserve">N9217B  </v>
      </c>
      <c r="BC3521">
        <v>1</v>
      </c>
      <c r="BE3521">
        <v>0</v>
      </c>
      <c r="BF3521">
        <v>0</v>
      </c>
      <c r="BG3521">
        <v>0</v>
      </c>
      <c r="BH3521">
        <v>5250</v>
      </c>
      <c r="BI3521">
        <v>1</v>
      </c>
      <c r="BJ3521">
        <v>0</v>
      </c>
      <c r="BK3521">
        <v>0</v>
      </c>
      <c r="BL3521">
        <v>0</v>
      </c>
      <c r="BO3521">
        <v>0</v>
      </c>
      <c r="BP3521">
        <v>0</v>
      </c>
      <c r="BW3521" t="str">
        <f t="shared" si="1954"/>
        <v>14:57:38.492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7</v>
      </c>
      <c r="CP3521" t="s">
        <v>119</v>
      </c>
      <c r="CQ3521">
        <v>285</v>
      </c>
      <c r="CR3521">
        <v>0</v>
      </c>
      <c r="CW3521">
        <v>8880167</v>
      </c>
      <c r="CY3521">
        <v>0</v>
      </c>
      <c r="CZ3521">
        <v>0</v>
      </c>
      <c r="DA3521">
        <v>1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25">
      <c r="A3522" t="str">
        <f t="shared" ref="A3522:A3528" si="1955">"06/05/2020 14:57:33.765"</f>
        <v>06/05/2020 14:57:33.765</v>
      </c>
      <c r="C3522" t="str">
        <f t="shared" si="1941"/>
        <v>FFDFD3C0</v>
      </c>
      <c r="D3522" t="s">
        <v>134</v>
      </c>
      <c r="E3522">
        <v>7</v>
      </c>
      <c r="F3522">
        <v>2007</v>
      </c>
      <c r="G3522" t="s">
        <v>135</v>
      </c>
      <c r="J3522" t="s">
        <v>136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ref="S3522:S3528" si="1956">"14:57:39.422"</f>
        <v>14:57:39.422</v>
      </c>
      <c r="T3522" t="str">
        <f t="shared" ref="T3522:T3528" si="1957">"14:57:38.922"</f>
        <v>14:57:38.922</v>
      </c>
      <c r="U3522" t="str">
        <f t="shared" ref="U3522:U3585" si="1958">"ACC530"</f>
        <v>ACC530</v>
      </c>
      <c r="V3522">
        <v>0</v>
      </c>
      <c r="W3522">
        <v>0</v>
      </c>
      <c r="X3522">
        <v>1</v>
      </c>
      <c r="Z3522">
        <v>0</v>
      </c>
      <c r="AA3522">
        <v>9</v>
      </c>
      <c r="AB3522">
        <v>3</v>
      </c>
      <c r="AC3522">
        <v>0</v>
      </c>
      <c r="AD3522">
        <v>9</v>
      </c>
      <c r="AE3522">
        <v>0</v>
      </c>
      <c r="AF3522">
        <v>3</v>
      </c>
      <c r="AG3522">
        <v>1</v>
      </c>
      <c r="AH3522">
        <v>0</v>
      </c>
      <c r="AI3522" t="s">
        <v>1154</v>
      </c>
      <c r="AJ3522">
        <v>34.082143000000002</v>
      </c>
      <c r="AK3522" t="s">
        <v>1155</v>
      </c>
      <c r="AL3522">
        <v>-117.02493</v>
      </c>
      <c r="AM3522">
        <v>100</v>
      </c>
      <c r="AN3522">
        <v>5400</v>
      </c>
      <c r="AO3522" t="s">
        <v>118</v>
      </c>
      <c r="AP3522">
        <v>85</v>
      </c>
      <c r="AQ3522">
        <v>-61</v>
      </c>
      <c r="AR3522">
        <v>-384</v>
      </c>
      <c r="AZ3522">
        <v>1200</v>
      </c>
      <c r="BA3522">
        <v>1</v>
      </c>
      <c r="BB3522" t="str">
        <f t="shared" si="1927"/>
        <v xml:space="preserve">N9217B  </v>
      </c>
      <c r="BC3522">
        <v>1</v>
      </c>
      <c r="BE3522">
        <v>0</v>
      </c>
      <c r="BF3522">
        <v>0</v>
      </c>
      <c r="BG3522">
        <v>0</v>
      </c>
      <c r="BH3522">
        <v>5250</v>
      </c>
      <c r="BI3522">
        <v>1</v>
      </c>
      <c r="BJ3522">
        <v>0</v>
      </c>
      <c r="BK3522">
        <v>0</v>
      </c>
      <c r="BL3522">
        <v>0</v>
      </c>
      <c r="BO3522">
        <v>0</v>
      </c>
      <c r="BP3522">
        <v>0</v>
      </c>
      <c r="BW3522" t="str">
        <f t="shared" ref="BW3522:BW3528" si="1959">"14:57:39.422"</f>
        <v>14:57:39.422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7</v>
      </c>
      <c r="CP3522" t="s">
        <v>119</v>
      </c>
      <c r="CQ3522">
        <v>285</v>
      </c>
      <c r="CR3522">
        <v>0</v>
      </c>
      <c r="CW3522">
        <v>8880247</v>
      </c>
      <c r="CY3522">
        <v>0</v>
      </c>
      <c r="CZ3522">
        <v>0</v>
      </c>
      <c r="DA3522">
        <v>0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25">
      <c r="A3523" t="str">
        <f t="shared" si="1955"/>
        <v>06/05/2020 14:57:33.765</v>
      </c>
      <c r="C3523" t="str">
        <f t="shared" si="1941"/>
        <v>FFDFD3C0</v>
      </c>
      <c r="D3523" t="s">
        <v>113</v>
      </c>
      <c r="E3523">
        <v>3</v>
      </c>
      <c r="H3523">
        <v>166</v>
      </c>
      <c r="I3523" t="s">
        <v>114</v>
      </c>
      <c r="J3523" t="s">
        <v>115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956"/>
        <v>14:57:39.422</v>
      </c>
      <c r="T3523" t="str">
        <f t="shared" si="1957"/>
        <v>14:57:38.922</v>
      </c>
      <c r="U3523" t="str">
        <f t="shared" si="1958"/>
        <v>ACC530</v>
      </c>
      <c r="V3523">
        <v>0</v>
      </c>
      <c r="W3523">
        <v>0</v>
      </c>
      <c r="X3523">
        <v>1</v>
      </c>
      <c r="Z3523">
        <v>0</v>
      </c>
      <c r="AA3523">
        <v>9</v>
      </c>
      <c r="AB3523">
        <v>3</v>
      </c>
      <c r="AC3523">
        <v>0</v>
      </c>
      <c r="AD3523">
        <v>9</v>
      </c>
      <c r="AE3523">
        <v>0</v>
      </c>
      <c r="AF3523">
        <v>3</v>
      </c>
      <c r="AG3523">
        <v>1</v>
      </c>
      <c r="AH3523">
        <v>0</v>
      </c>
      <c r="AI3523" t="s">
        <v>1154</v>
      </c>
      <c r="AJ3523">
        <v>34.082143000000002</v>
      </c>
      <c r="AK3523" t="s">
        <v>1155</v>
      </c>
      <c r="AL3523">
        <v>-117.02493</v>
      </c>
      <c r="AM3523">
        <v>100</v>
      </c>
      <c r="AN3523">
        <v>5400</v>
      </c>
      <c r="AO3523" t="s">
        <v>118</v>
      </c>
      <c r="AP3523">
        <v>85</v>
      </c>
      <c r="AQ3523">
        <v>-61</v>
      </c>
      <c r="AR3523">
        <v>-384</v>
      </c>
      <c r="AZ3523">
        <v>1200</v>
      </c>
      <c r="BA3523">
        <v>1</v>
      </c>
      <c r="BB3523" t="str">
        <f t="shared" si="1927"/>
        <v xml:space="preserve">N9217B  </v>
      </c>
      <c r="BC3523">
        <v>1</v>
      </c>
      <c r="BE3523">
        <v>0</v>
      </c>
      <c r="BF3523">
        <v>0</v>
      </c>
      <c r="BG3523">
        <v>0</v>
      </c>
      <c r="BH3523">
        <v>5250</v>
      </c>
      <c r="BI3523">
        <v>1</v>
      </c>
      <c r="BJ3523">
        <v>0</v>
      </c>
      <c r="BK3523">
        <v>0</v>
      </c>
      <c r="BL3523">
        <v>0</v>
      </c>
      <c r="BO3523">
        <v>0</v>
      </c>
      <c r="BP3523">
        <v>0</v>
      </c>
      <c r="BW3523" t="str">
        <f t="shared" si="1959"/>
        <v>14:57:39.422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7</v>
      </c>
      <c r="CP3523" t="s">
        <v>119</v>
      </c>
      <c r="CQ3523">
        <v>285</v>
      </c>
      <c r="CR3523">
        <v>0</v>
      </c>
      <c r="CW3523">
        <v>8880247</v>
      </c>
      <c r="CY3523">
        <v>0</v>
      </c>
      <c r="CZ3523">
        <v>0</v>
      </c>
      <c r="DA3523">
        <v>1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25">
      <c r="A3524" t="str">
        <f t="shared" si="1955"/>
        <v>06/05/2020 14:57:33.765</v>
      </c>
      <c r="C3524" t="str">
        <f t="shared" si="1941"/>
        <v>FFDFD3C0</v>
      </c>
      <c r="D3524" t="s">
        <v>148</v>
      </c>
      <c r="E3524">
        <v>8</v>
      </c>
      <c r="H3524">
        <v>50</v>
      </c>
      <c r="I3524" t="s">
        <v>149</v>
      </c>
      <c r="J3524" t="s">
        <v>150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956"/>
        <v>14:57:39.422</v>
      </c>
      <c r="T3524" t="str">
        <f t="shared" si="1957"/>
        <v>14:57:38.922</v>
      </c>
      <c r="U3524" t="str">
        <f t="shared" si="1958"/>
        <v>ACC530</v>
      </c>
      <c r="V3524">
        <v>0</v>
      </c>
      <c r="W3524">
        <v>0</v>
      </c>
      <c r="X3524">
        <v>1</v>
      </c>
      <c r="Z3524">
        <v>0</v>
      </c>
      <c r="AA3524">
        <v>9</v>
      </c>
      <c r="AB3524">
        <v>3</v>
      </c>
      <c r="AC3524">
        <v>0</v>
      </c>
      <c r="AD3524">
        <v>9</v>
      </c>
      <c r="AE3524">
        <v>0</v>
      </c>
      <c r="AF3524">
        <v>3</v>
      </c>
      <c r="AG3524">
        <v>1</v>
      </c>
      <c r="AH3524">
        <v>0</v>
      </c>
      <c r="AI3524" t="s">
        <v>1154</v>
      </c>
      <c r="AJ3524">
        <v>34.082143000000002</v>
      </c>
      <c r="AK3524" t="s">
        <v>1155</v>
      </c>
      <c r="AL3524">
        <v>-117.02493</v>
      </c>
      <c r="AM3524">
        <v>100</v>
      </c>
      <c r="AN3524">
        <v>5400</v>
      </c>
      <c r="AO3524" t="s">
        <v>118</v>
      </c>
      <c r="AP3524">
        <v>85</v>
      </c>
      <c r="AQ3524">
        <v>-61</v>
      </c>
      <c r="AR3524">
        <v>-384</v>
      </c>
      <c r="AZ3524">
        <v>1200</v>
      </c>
      <c r="BA3524">
        <v>1</v>
      </c>
      <c r="BB3524" t="str">
        <f t="shared" si="1927"/>
        <v xml:space="preserve">N9217B  </v>
      </c>
      <c r="BC3524">
        <v>1</v>
      </c>
      <c r="BE3524">
        <v>0</v>
      </c>
      <c r="BF3524">
        <v>0</v>
      </c>
      <c r="BG3524">
        <v>0</v>
      </c>
      <c r="BH3524">
        <v>5250</v>
      </c>
      <c r="BI3524">
        <v>1</v>
      </c>
      <c r="BJ3524">
        <v>0</v>
      </c>
      <c r="BK3524">
        <v>0</v>
      </c>
      <c r="BL3524">
        <v>0</v>
      </c>
      <c r="BO3524">
        <v>0</v>
      </c>
      <c r="BP3524">
        <v>0</v>
      </c>
      <c r="BW3524" t="str">
        <f t="shared" si="1959"/>
        <v>14:57:39.422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7</v>
      </c>
      <c r="CP3524" t="s">
        <v>119</v>
      </c>
      <c r="CQ3524">
        <v>285</v>
      </c>
      <c r="CR3524">
        <v>0</v>
      </c>
      <c r="CW3524">
        <v>8880247</v>
      </c>
      <c r="CY3524">
        <v>0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25">
      <c r="A3525" t="str">
        <f t="shared" si="1955"/>
        <v>06/05/2020 14:57:33.765</v>
      </c>
      <c r="C3525" t="str">
        <f t="shared" si="1941"/>
        <v>FFDFD3C0</v>
      </c>
      <c r="D3525" t="s">
        <v>151</v>
      </c>
      <c r="E3525">
        <v>8</v>
      </c>
      <c r="H3525">
        <v>225</v>
      </c>
      <c r="I3525" t="s">
        <v>353</v>
      </c>
      <c r="J3525" t="s">
        <v>150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si="1956"/>
        <v>14:57:39.422</v>
      </c>
      <c r="T3525" t="str">
        <f t="shared" si="1957"/>
        <v>14:57:38.922</v>
      </c>
      <c r="U3525" t="str">
        <f t="shared" si="1958"/>
        <v>ACC530</v>
      </c>
      <c r="V3525">
        <v>0</v>
      </c>
      <c r="W3525">
        <v>0</v>
      </c>
      <c r="X3525">
        <v>1</v>
      </c>
      <c r="Z3525">
        <v>0</v>
      </c>
      <c r="AA3525">
        <v>9</v>
      </c>
      <c r="AB3525">
        <v>3</v>
      </c>
      <c r="AC3525">
        <v>0</v>
      </c>
      <c r="AD3525">
        <v>9</v>
      </c>
      <c r="AE3525">
        <v>0</v>
      </c>
      <c r="AF3525">
        <v>3</v>
      </c>
      <c r="AG3525">
        <v>1</v>
      </c>
      <c r="AH3525">
        <v>0</v>
      </c>
      <c r="AI3525" t="s">
        <v>1154</v>
      </c>
      <c r="AJ3525">
        <v>34.082143000000002</v>
      </c>
      <c r="AK3525" t="s">
        <v>1155</v>
      </c>
      <c r="AL3525">
        <v>-117.02493</v>
      </c>
      <c r="AM3525">
        <v>100</v>
      </c>
      <c r="AN3525">
        <v>5400</v>
      </c>
      <c r="AO3525" t="s">
        <v>118</v>
      </c>
      <c r="AP3525">
        <v>85</v>
      </c>
      <c r="AQ3525">
        <v>-61</v>
      </c>
      <c r="AR3525">
        <v>-384</v>
      </c>
      <c r="AZ3525">
        <v>1200</v>
      </c>
      <c r="BA3525">
        <v>1</v>
      </c>
      <c r="BB3525" t="str">
        <f t="shared" ref="BB3525:BB3588" si="1960">"N9217B  "</f>
        <v xml:space="preserve">N9217B  </v>
      </c>
      <c r="BC3525">
        <v>1</v>
      </c>
      <c r="BE3525">
        <v>0</v>
      </c>
      <c r="BF3525">
        <v>0</v>
      </c>
      <c r="BG3525">
        <v>0</v>
      </c>
      <c r="BH3525">
        <v>5250</v>
      </c>
      <c r="BI3525">
        <v>1</v>
      </c>
      <c r="BJ3525">
        <v>0</v>
      </c>
      <c r="BK3525">
        <v>0</v>
      </c>
      <c r="BL3525">
        <v>0</v>
      </c>
      <c r="BO3525">
        <v>0</v>
      </c>
      <c r="BP3525">
        <v>0</v>
      </c>
      <c r="BW3525" t="str">
        <f t="shared" si="1959"/>
        <v>14:57:39.422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7</v>
      </c>
      <c r="CP3525" t="s">
        <v>119</v>
      </c>
      <c r="CQ3525">
        <v>285</v>
      </c>
      <c r="CR3525">
        <v>0</v>
      </c>
      <c r="CW3525">
        <v>8880247</v>
      </c>
      <c r="CY3525">
        <v>0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25">
      <c r="A3526" t="str">
        <f t="shared" si="1955"/>
        <v>06/05/2020 14:57:33.765</v>
      </c>
      <c r="C3526" t="str">
        <f t="shared" si="1941"/>
        <v>FFDFD3C0</v>
      </c>
      <c r="D3526" t="s">
        <v>141</v>
      </c>
      <c r="E3526">
        <v>20</v>
      </c>
      <c r="F3526">
        <v>1020</v>
      </c>
      <c r="G3526" t="s">
        <v>114</v>
      </c>
      <c r="J3526" t="s">
        <v>142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si="1956"/>
        <v>14:57:39.422</v>
      </c>
      <c r="T3526" t="str">
        <f t="shared" si="1957"/>
        <v>14:57:38.922</v>
      </c>
      <c r="U3526" t="str">
        <f t="shared" si="1958"/>
        <v>ACC530</v>
      </c>
      <c r="V3526">
        <v>0</v>
      </c>
      <c r="W3526">
        <v>0</v>
      </c>
      <c r="X3526">
        <v>1</v>
      </c>
      <c r="Z3526">
        <v>0</v>
      </c>
      <c r="AA3526">
        <v>9</v>
      </c>
      <c r="AB3526">
        <v>3</v>
      </c>
      <c r="AC3526">
        <v>0</v>
      </c>
      <c r="AD3526">
        <v>9</v>
      </c>
      <c r="AE3526">
        <v>0</v>
      </c>
      <c r="AF3526">
        <v>3</v>
      </c>
      <c r="AG3526">
        <v>1</v>
      </c>
      <c r="AH3526">
        <v>0</v>
      </c>
      <c r="AI3526" t="s">
        <v>1154</v>
      </c>
      <c r="AJ3526">
        <v>34.082143000000002</v>
      </c>
      <c r="AK3526" t="s">
        <v>1155</v>
      </c>
      <c r="AL3526">
        <v>-117.02493</v>
      </c>
      <c r="AM3526">
        <v>100</v>
      </c>
      <c r="AN3526">
        <v>5400</v>
      </c>
      <c r="AO3526" t="s">
        <v>118</v>
      </c>
      <c r="AP3526">
        <v>85</v>
      </c>
      <c r="AQ3526">
        <v>-61</v>
      </c>
      <c r="AR3526">
        <v>-384</v>
      </c>
      <c r="AZ3526">
        <v>1200</v>
      </c>
      <c r="BA3526">
        <v>1</v>
      </c>
      <c r="BB3526" t="str">
        <f t="shared" si="1960"/>
        <v xml:space="preserve">N9217B  </v>
      </c>
      <c r="BC3526">
        <v>1</v>
      </c>
      <c r="BE3526">
        <v>0</v>
      </c>
      <c r="BF3526">
        <v>0</v>
      </c>
      <c r="BG3526">
        <v>0</v>
      </c>
      <c r="BH3526">
        <v>5250</v>
      </c>
      <c r="BI3526">
        <v>1</v>
      </c>
      <c r="BJ3526">
        <v>0</v>
      </c>
      <c r="BK3526">
        <v>0</v>
      </c>
      <c r="BL3526">
        <v>0</v>
      </c>
      <c r="BO3526">
        <v>0</v>
      </c>
      <c r="BP3526">
        <v>0</v>
      </c>
      <c r="BW3526" t="str">
        <f t="shared" si="1959"/>
        <v>14:57:39.422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7</v>
      </c>
      <c r="CP3526" t="s">
        <v>119</v>
      </c>
      <c r="CQ3526">
        <v>285</v>
      </c>
      <c r="CR3526">
        <v>0</v>
      </c>
      <c r="CW3526">
        <v>8880247</v>
      </c>
      <c r="CY3526">
        <v>0</v>
      </c>
      <c r="CZ3526">
        <v>0</v>
      </c>
      <c r="DA3526">
        <v>1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25">
      <c r="A3527" t="str">
        <f t="shared" si="1955"/>
        <v>06/05/2020 14:57:33.765</v>
      </c>
      <c r="C3527" t="str">
        <f t="shared" si="1941"/>
        <v>FFDFD3C0</v>
      </c>
      <c r="D3527" t="s">
        <v>151</v>
      </c>
      <c r="E3527">
        <v>9</v>
      </c>
      <c r="H3527">
        <v>226</v>
      </c>
      <c r="I3527" t="s">
        <v>152</v>
      </c>
      <c r="J3527" t="s">
        <v>150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si="1956"/>
        <v>14:57:39.422</v>
      </c>
      <c r="T3527" t="str">
        <f t="shared" si="1957"/>
        <v>14:57:38.922</v>
      </c>
      <c r="U3527" t="str">
        <f t="shared" si="1958"/>
        <v>ACC530</v>
      </c>
      <c r="V3527">
        <v>0</v>
      </c>
      <c r="W3527">
        <v>0</v>
      </c>
      <c r="X3527">
        <v>1</v>
      </c>
      <c r="Z3527">
        <v>0</v>
      </c>
      <c r="AA3527">
        <v>9</v>
      </c>
      <c r="AB3527">
        <v>3</v>
      </c>
      <c r="AC3527">
        <v>0</v>
      </c>
      <c r="AD3527">
        <v>9</v>
      </c>
      <c r="AE3527">
        <v>0</v>
      </c>
      <c r="AF3527">
        <v>3</v>
      </c>
      <c r="AG3527">
        <v>1</v>
      </c>
      <c r="AH3527">
        <v>0</v>
      </c>
      <c r="AI3527" t="s">
        <v>1154</v>
      </c>
      <c r="AJ3527">
        <v>34.082143000000002</v>
      </c>
      <c r="AK3527" t="s">
        <v>1155</v>
      </c>
      <c r="AL3527">
        <v>-117.02493</v>
      </c>
      <c r="AM3527">
        <v>100</v>
      </c>
      <c r="AN3527">
        <v>5400</v>
      </c>
      <c r="AO3527" t="s">
        <v>118</v>
      </c>
      <c r="AP3527">
        <v>85</v>
      </c>
      <c r="AQ3527">
        <v>-61</v>
      </c>
      <c r="AR3527">
        <v>-384</v>
      </c>
      <c r="AZ3527">
        <v>1200</v>
      </c>
      <c r="BA3527">
        <v>1</v>
      </c>
      <c r="BB3527" t="str">
        <f t="shared" si="1960"/>
        <v xml:space="preserve">N9217B  </v>
      </c>
      <c r="BC3527">
        <v>1</v>
      </c>
      <c r="BE3527">
        <v>0</v>
      </c>
      <c r="BF3527">
        <v>0</v>
      </c>
      <c r="BG3527">
        <v>0</v>
      </c>
      <c r="BH3527">
        <v>5250</v>
      </c>
      <c r="BI3527">
        <v>1</v>
      </c>
      <c r="BJ3527">
        <v>0</v>
      </c>
      <c r="BK3527">
        <v>0</v>
      </c>
      <c r="BL3527">
        <v>0</v>
      </c>
      <c r="BO3527">
        <v>0</v>
      </c>
      <c r="BP3527">
        <v>0</v>
      </c>
      <c r="BW3527" t="str">
        <f t="shared" si="1959"/>
        <v>14:57:39.422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7</v>
      </c>
      <c r="CP3527" t="s">
        <v>119</v>
      </c>
      <c r="CQ3527">
        <v>285</v>
      </c>
      <c r="CR3527">
        <v>0</v>
      </c>
      <c r="CW3527">
        <v>8880247</v>
      </c>
      <c r="CY3527">
        <v>0</v>
      </c>
      <c r="CZ3527">
        <v>0</v>
      </c>
      <c r="DA3527">
        <v>1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25">
      <c r="A3528" t="str">
        <f t="shared" si="1955"/>
        <v>06/05/2020 14:57:33.765</v>
      </c>
      <c r="C3528" t="str">
        <f t="shared" si="1941"/>
        <v>FFDFD3C0</v>
      </c>
      <c r="D3528" t="s">
        <v>148</v>
      </c>
      <c r="E3528">
        <v>11</v>
      </c>
      <c r="H3528">
        <v>53</v>
      </c>
      <c r="I3528" t="s">
        <v>364</v>
      </c>
      <c r="J3528" t="s">
        <v>150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956"/>
        <v>14:57:39.422</v>
      </c>
      <c r="T3528" t="str">
        <f t="shared" si="1957"/>
        <v>14:57:38.922</v>
      </c>
      <c r="U3528" t="str">
        <f t="shared" si="1958"/>
        <v>ACC530</v>
      </c>
      <c r="V3528">
        <v>0</v>
      </c>
      <c r="W3528">
        <v>0</v>
      </c>
      <c r="X3528">
        <v>1</v>
      </c>
      <c r="Z3528">
        <v>0</v>
      </c>
      <c r="AA3528">
        <v>9</v>
      </c>
      <c r="AB3528">
        <v>3</v>
      </c>
      <c r="AC3528">
        <v>0</v>
      </c>
      <c r="AD3528">
        <v>9</v>
      </c>
      <c r="AE3528">
        <v>0</v>
      </c>
      <c r="AF3528">
        <v>3</v>
      </c>
      <c r="AG3528">
        <v>1</v>
      </c>
      <c r="AH3528">
        <v>0</v>
      </c>
      <c r="AI3528" t="s">
        <v>1154</v>
      </c>
      <c r="AJ3528">
        <v>34.082143000000002</v>
      </c>
      <c r="AK3528" t="s">
        <v>1155</v>
      </c>
      <c r="AL3528">
        <v>-117.02493</v>
      </c>
      <c r="AM3528">
        <v>100</v>
      </c>
      <c r="AN3528">
        <v>5400</v>
      </c>
      <c r="AO3528" t="s">
        <v>118</v>
      </c>
      <c r="AP3528">
        <v>85</v>
      </c>
      <c r="AQ3528">
        <v>-61</v>
      </c>
      <c r="AR3528">
        <v>-384</v>
      </c>
      <c r="AZ3528">
        <v>1200</v>
      </c>
      <c r="BA3528">
        <v>1</v>
      </c>
      <c r="BB3528" t="str">
        <f t="shared" si="1960"/>
        <v xml:space="preserve">N9217B  </v>
      </c>
      <c r="BC3528">
        <v>1</v>
      </c>
      <c r="BE3528">
        <v>0</v>
      </c>
      <c r="BF3528">
        <v>0</v>
      </c>
      <c r="BG3528">
        <v>0</v>
      </c>
      <c r="BH3528">
        <v>5250</v>
      </c>
      <c r="BI3528">
        <v>1</v>
      </c>
      <c r="BJ3528">
        <v>0</v>
      </c>
      <c r="BK3528">
        <v>0</v>
      </c>
      <c r="BL3528">
        <v>0</v>
      </c>
      <c r="BO3528">
        <v>0</v>
      </c>
      <c r="BP3528">
        <v>0</v>
      </c>
      <c r="BW3528" t="str">
        <f t="shared" si="1959"/>
        <v>14:57:39.422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7</v>
      </c>
      <c r="CP3528" t="s">
        <v>119</v>
      </c>
      <c r="CQ3528">
        <v>285</v>
      </c>
      <c r="CR3528">
        <v>0</v>
      </c>
      <c r="CW3528">
        <v>8880247</v>
      </c>
      <c r="CY3528">
        <v>0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25">
      <c r="A3529" t="str">
        <f t="shared" ref="A3529:A3535" si="1961">"06/05/2020 14:57:35.211"</f>
        <v>06/05/2020 14:57:35.211</v>
      </c>
      <c r="C3529" t="str">
        <f t="shared" si="1941"/>
        <v>FFDFD3C0</v>
      </c>
      <c r="D3529" t="s">
        <v>151</v>
      </c>
      <c r="E3529">
        <v>9</v>
      </c>
      <c r="H3529">
        <v>226</v>
      </c>
      <c r="I3529" t="s">
        <v>152</v>
      </c>
      <c r="J3529" t="s">
        <v>150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ref="S3529:T3535" si="1962">"14:57:40.844"</f>
        <v>14:57:40.844</v>
      </c>
      <c r="T3529" t="str">
        <f t="shared" si="1962"/>
        <v>14:57:40.844</v>
      </c>
      <c r="U3529" t="str">
        <f t="shared" si="1958"/>
        <v>ACC530</v>
      </c>
      <c r="V3529">
        <v>0</v>
      </c>
      <c r="W3529">
        <v>0</v>
      </c>
      <c r="X3529">
        <v>1</v>
      </c>
      <c r="Z3529">
        <v>0</v>
      </c>
      <c r="AA3529">
        <v>9</v>
      </c>
      <c r="AB3529">
        <v>3</v>
      </c>
      <c r="AC3529">
        <v>0</v>
      </c>
      <c r="AD3529">
        <v>9</v>
      </c>
      <c r="AE3529">
        <v>0</v>
      </c>
      <c r="AF3529">
        <v>3</v>
      </c>
      <c r="AG3529">
        <v>1</v>
      </c>
      <c r="AH3529">
        <v>0</v>
      </c>
      <c r="AI3529" t="s">
        <v>1156</v>
      </c>
      <c r="AJ3529">
        <v>34.081735999999999</v>
      </c>
      <c r="AK3529" t="s">
        <v>1157</v>
      </c>
      <c r="AL3529">
        <v>-117.024243</v>
      </c>
      <c r="AM3529">
        <v>100</v>
      </c>
      <c r="AN3529">
        <v>5400</v>
      </c>
      <c r="AO3529" t="s">
        <v>118</v>
      </c>
      <c r="AP3529">
        <v>85</v>
      </c>
      <c r="AQ3529">
        <v>-60</v>
      </c>
      <c r="AR3529">
        <v>-384</v>
      </c>
      <c r="AZ3529">
        <v>1200</v>
      </c>
      <c r="BA3529">
        <v>1</v>
      </c>
      <c r="BB3529" t="str">
        <f t="shared" si="1960"/>
        <v xml:space="preserve">N9217B  </v>
      </c>
      <c r="BC3529">
        <v>1</v>
      </c>
      <c r="BE3529">
        <v>0</v>
      </c>
      <c r="BF3529">
        <v>0</v>
      </c>
      <c r="BG3529">
        <v>0</v>
      </c>
      <c r="BH3529">
        <v>5225</v>
      </c>
      <c r="BI3529">
        <v>1</v>
      </c>
      <c r="BJ3529">
        <v>0</v>
      </c>
      <c r="BK3529">
        <v>0</v>
      </c>
      <c r="BL3529">
        <v>0</v>
      </c>
      <c r="BO3529">
        <v>0</v>
      </c>
      <c r="BP3529">
        <v>0</v>
      </c>
      <c r="BW3529" t="str">
        <f t="shared" ref="BW3529:BW3535" si="1963">"14:57:40.847"</f>
        <v>14:57:40.847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7</v>
      </c>
      <c r="CP3529" t="s">
        <v>119</v>
      </c>
      <c r="CQ3529">
        <v>285</v>
      </c>
      <c r="CR3529">
        <v>0</v>
      </c>
      <c r="CW3529">
        <v>8880368</v>
      </c>
      <c r="CY3529">
        <v>0</v>
      </c>
      <c r="CZ3529">
        <v>0</v>
      </c>
      <c r="DA3529">
        <v>0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25">
      <c r="A3530" t="str">
        <f t="shared" si="1961"/>
        <v>06/05/2020 14:57:35.211</v>
      </c>
      <c r="C3530" t="str">
        <f t="shared" si="1941"/>
        <v>FFDFD3C0</v>
      </c>
      <c r="D3530" t="s">
        <v>134</v>
      </c>
      <c r="E3530">
        <v>7</v>
      </c>
      <c r="F3530">
        <v>2007</v>
      </c>
      <c r="G3530" t="s">
        <v>135</v>
      </c>
      <c r="J3530" t="s">
        <v>136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962"/>
        <v>14:57:40.844</v>
      </c>
      <c r="T3530" t="str">
        <f t="shared" si="1962"/>
        <v>14:57:40.844</v>
      </c>
      <c r="U3530" t="str">
        <f t="shared" si="1958"/>
        <v>ACC530</v>
      </c>
      <c r="V3530">
        <v>0</v>
      </c>
      <c r="W3530">
        <v>0</v>
      </c>
      <c r="X3530">
        <v>1</v>
      </c>
      <c r="Z3530">
        <v>0</v>
      </c>
      <c r="AA3530">
        <v>9</v>
      </c>
      <c r="AB3530">
        <v>3</v>
      </c>
      <c r="AC3530">
        <v>0</v>
      </c>
      <c r="AD3530">
        <v>9</v>
      </c>
      <c r="AE3530">
        <v>0</v>
      </c>
      <c r="AF3530">
        <v>3</v>
      </c>
      <c r="AG3530">
        <v>1</v>
      </c>
      <c r="AH3530">
        <v>0</v>
      </c>
      <c r="AI3530" t="s">
        <v>1156</v>
      </c>
      <c r="AJ3530">
        <v>34.081735999999999</v>
      </c>
      <c r="AK3530" t="s">
        <v>1157</v>
      </c>
      <c r="AL3530">
        <v>-117.024243</v>
      </c>
      <c r="AM3530">
        <v>100</v>
      </c>
      <c r="AN3530">
        <v>5400</v>
      </c>
      <c r="AO3530" t="s">
        <v>118</v>
      </c>
      <c r="AP3530">
        <v>85</v>
      </c>
      <c r="AQ3530">
        <v>-60</v>
      </c>
      <c r="AR3530">
        <v>-384</v>
      </c>
      <c r="AZ3530">
        <v>1200</v>
      </c>
      <c r="BA3530">
        <v>1</v>
      </c>
      <c r="BB3530" t="str">
        <f t="shared" si="1960"/>
        <v xml:space="preserve">N9217B  </v>
      </c>
      <c r="BC3530">
        <v>1</v>
      </c>
      <c r="BE3530">
        <v>0</v>
      </c>
      <c r="BF3530">
        <v>0</v>
      </c>
      <c r="BG3530">
        <v>0</v>
      </c>
      <c r="BH3530">
        <v>5225</v>
      </c>
      <c r="BI3530">
        <v>1</v>
      </c>
      <c r="BJ3530">
        <v>0</v>
      </c>
      <c r="BK3530">
        <v>0</v>
      </c>
      <c r="BL3530">
        <v>0</v>
      </c>
      <c r="BO3530">
        <v>0</v>
      </c>
      <c r="BP3530">
        <v>0</v>
      </c>
      <c r="BW3530" t="str">
        <f t="shared" si="1963"/>
        <v>14:57:40.847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7</v>
      </c>
      <c r="CP3530" t="s">
        <v>119</v>
      </c>
      <c r="CQ3530">
        <v>285</v>
      </c>
      <c r="CR3530">
        <v>0</v>
      </c>
      <c r="CW3530">
        <v>8880368</v>
      </c>
      <c r="CY3530">
        <v>0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25">
      <c r="A3531" t="str">
        <f t="shared" si="1961"/>
        <v>06/05/2020 14:57:35.211</v>
      </c>
      <c r="C3531" t="str">
        <f t="shared" si="1941"/>
        <v>FFDFD3C0</v>
      </c>
      <c r="D3531" t="s">
        <v>148</v>
      </c>
      <c r="E3531">
        <v>11</v>
      </c>
      <c r="H3531">
        <v>53</v>
      </c>
      <c r="I3531" t="s">
        <v>364</v>
      </c>
      <c r="J3531" t="s">
        <v>150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962"/>
        <v>14:57:40.844</v>
      </c>
      <c r="T3531" t="str">
        <f t="shared" si="1962"/>
        <v>14:57:40.844</v>
      </c>
      <c r="U3531" t="str">
        <f t="shared" si="1958"/>
        <v>ACC530</v>
      </c>
      <c r="V3531">
        <v>0</v>
      </c>
      <c r="W3531">
        <v>0</v>
      </c>
      <c r="X3531">
        <v>1</v>
      </c>
      <c r="Z3531">
        <v>0</v>
      </c>
      <c r="AA3531">
        <v>9</v>
      </c>
      <c r="AB3531">
        <v>3</v>
      </c>
      <c r="AC3531">
        <v>0</v>
      </c>
      <c r="AD3531">
        <v>9</v>
      </c>
      <c r="AE3531">
        <v>0</v>
      </c>
      <c r="AF3531">
        <v>3</v>
      </c>
      <c r="AG3531">
        <v>1</v>
      </c>
      <c r="AH3531">
        <v>0</v>
      </c>
      <c r="AI3531" t="s">
        <v>1156</v>
      </c>
      <c r="AJ3531">
        <v>34.081735999999999</v>
      </c>
      <c r="AK3531" t="s">
        <v>1157</v>
      </c>
      <c r="AL3531">
        <v>-117.024243</v>
      </c>
      <c r="AM3531">
        <v>100</v>
      </c>
      <c r="AN3531">
        <v>5400</v>
      </c>
      <c r="AO3531" t="s">
        <v>118</v>
      </c>
      <c r="AP3531">
        <v>85</v>
      </c>
      <c r="AQ3531">
        <v>-60</v>
      </c>
      <c r="AR3531">
        <v>-384</v>
      </c>
      <c r="AZ3531">
        <v>1200</v>
      </c>
      <c r="BA3531">
        <v>1</v>
      </c>
      <c r="BB3531" t="str">
        <f t="shared" si="1960"/>
        <v xml:space="preserve">N9217B  </v>
      </c>
      <c r="BC3531">
        <v>1</v>
      </c>
      <c r="BE3531">
        <v>0</v>
      </c>
      <c r="BF3531">
        <v>0</v>
      </c>
      <c r="BG3531">
        <v>0</v>
      </c>
      <c r="BH3531">
        <v>5225</v>
      </c>
      <c r="BI3531">
        <v>1</v>
      </c>
      <c r="BJ3531">
        <v>0</v>
      </c>
      <c r="BK3531">
        <v>0</v>
      </c>
      <c r="BL3531">
        <v>0</v>
      </c>
      <c r="BO3531">
        <v>0</v>
      </c>
      <c r="BP3531">
        <v>0</v>
      </c>
      <c r="BW3531" t="str">
        <f t="shared" si="1963"/>
        <v>14:57:40.847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7</v>
      </c>
      <c r="CP3531" t="s">
        <v>119</v>
      </c>
      <c r="CQ3531">
        <v>285</v>
      </c>
      <c r="CR3531">
        <v>0</v>
      </c>
      <c r="CW3531">
        <v>8880368</v>
      </c>
      <c r="CY3531">
        <v>0</v>
      </c>
      <c r="CZ3531">
        <v>0</v>
      </c>
      <c r="DA3531">
        <v>1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25">
      <c r="A3532" t="str">
        <f t="shared" si="1961"/>
        <v>06/05/2020 14:57:35.211</v>
      </c>
      <c r="C3532" t="str">
        <f t="shared" si="1941"/>
        <v>FFDFD3C0</v>
      </c>
      <c r="D3532" t="s">
        <v>113</v>
      </c>
      <c r="E3532">
        <v>3</v>
      </c>
      <c r="H3532">
        <v>166</v>
      </c>
      <c r="I3532" t="s">
        <v>114</v>
      </c>
      <c r="J3532" t="s">
        <v>115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si="1962"/>
        <v>14:57:40.844</v>
      </c>
      <c r="T3532" t="str">
        <f t="shared" si="1962"/>
        <v>14:57:40.844</v>
      </c>
      <c r="U3532" t="str">
        <f t="shared" si="1958"/>
        <v>ACC530</v>
      </c>
      <c r="V3532">
        <v>0</v>
      </c>
      <c r="W3532">
        <v>0</v>
      </c>
      <c r="X3532">
        <v>1</v>
      </c>
      <c r="Z3532">
        <v>0</v>
      </c>
      <c r="AA3532">
        <v>9</v>
      </c>
      <c r="AB3532">
        <v>3</v>
      </c>
      <c r="AC3532">
        <v>0</v>
      </c>
      <c r="AD3532">
        <v>9</v>
      </c>
      <c r="AE3532">
        <v>0</v>
      </c>
      <c r="AF3532">
        <v>3</v>
      </c>
      <c r="AG3532">
        <v>1</v>
      </c>
      <c r="AH3532">
        <v>0</v>
      </c>
      <c r="AI3532" t="s">
        <v>1156</v>
      </c>
      <c r="AJ3532">
        <v>34.081735999999999</v>
      </c>
      <c r="AK3532" t="s">
        <v>1157</v>
      </c>
      <c r="AL3532">
        <v>-117.024243</v>
      </c>
      <c r="AM3532">
        <v>100</v>
      </c>
      <c r="AN3532">
        <v>5400</v>
      </c>
      <c r="AO3532" t="s">
        <v>118</v>
      </c>
      <c r="AP3532">
        <v>85</v>
      </c>
      <c r="AQ3532">
        <v>-60</v>
      </c>
      <c r="AR3532">
        <v>-384</v>
      </c>
      <c r="AZ3532">
        <v>1200</v>
      </c>
      <c r="BA3532">
        <v>1</v>
      </c>
      <c r="BB3532" t="str">
        <f t="shared" si="1960"/>
        <v xml:space="preserve">N9217B  </v>
      </c>
      <c r="BC3532">
        <v>1</v>
      </c>
      <c r="BE3532">
        <v>0</v>
      </c>
      <c r="BF3532">
        <v>0</v>
      </c>
      <c r="BG3532">
        <v>0</v>
      </c>
      <c r="BH3532">
        <v>5225</v>
      </c>
      <c r="BI3532">
        <v>1</v>
      </c>
      <c r="BJ3532">
        <v>0</v>
      </c>
      <c r="BK3532">
        <v>0</v>
      </c>
      <c r="BL3532">
        <v>0</v>
      </c>
      <c r="BO3532">
        <v>0</v>
      </c>
      <c r="BP3532">
        <v>0</v>
      </c>
      <c r="BW3532" t="str">
        <f t="shared" si="1963"/>
        <v>14:57:40.847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7</v>
      </c>
      <c r="CP3532" t="s">
        <v>119</v>
      </c>
      <c r="CQ3532">
        <v>285</v>
      </c>
      <c r="CR3532">
        <v>0</v>
      </c>
      <c r="CW3532">
        <v>8880368</v>
      </c>
      <c r="CY3532">
        <v>0</v>
      </c>
      <c r="CZ3532">
        <v>0</v>
      </c>
      <c r="DA3532">
        <v>1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25">
      <c r="A3533" t="str">
        <f t="shared" si="1961"/>
        <v>06/05/2020 14:57:35.211</v>
      </c>
      <c r="C3533" t="str">
        <f t="shared" si="1941"/>
        <v>FFDFD3C0</v>
      </c>
      <c r="D3533" t="s">
        <v>141</v>
      </c>
      <c r="E3533">
        <v>20</v>
      </c>
      <c r="F3533">
        <v>1020</v>
      </c>
      <c r="G3533" t="s">
        <v>114</v>
      </c>
      <c r="J3533" t="s">
        <v>142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962"/>
        <v>14:57:40.844</v>
      </c>
      <c r="T3533" t="str">
        <f t="shared" si="1962"/>
        <v>14:57:40.844</v>
      </c>
      <c r="U3533" t="str">
        <f t="shared" si="1958"/>
        <v>ACC530</v>
      </c>
      <c r="V3533">
        <v>0</v>
      </c>
      <c r="W3533">
        <v>0</v>
      </c>
      <c r="X3533">
        <v>1</v>
      </c>
      <c r="Z3533">
        <v>0</v>
      </c>
      <c r="AA3533">
        <v>9</v>
      </c>
      <c r="AB3533">
        <v>3</v>
      </c>
      <c r="AC3533">
        <v>0</v>
      </c>
      <c r="AD3533">
        <v>9</v>
      </c>
      <c r="AE3533">
        <v>0</v>
      </c>
      <c r="AF3533">
        <v>3</v>
      </c>
      <c r="AG3533">
        <v>1</v>
      </c>
      <c r="AH3533">
        <v>0</v>
      </c>
      <c r="AI3533" t="s">
        <v>1156</v>
      </c>
      <c r="AJ3533">
        <v>34.081735999999999</v>
      </c>
      <c r="AK3533" t="s">
        <v>1157</v>
      </c>
      <c r="AL3533">
        <v>-117.024243</v>
      </c>
      <c r="AM3533">
        <v>100</v>
      </c>
      <c r="AN3533">
        <v>5400</v>
      </c>
      <c r="AO3533" t="s">
        <v>118</v>
      </c>
      <c r="AP3533">
        <v>85</v>
      </c>
      <c r="AQ3533">
        <v>-60</v>
      </c>
      <c r="AR3533">
        <v>-384</v>
      </c>
      <c r="AZ3533">
        <v>1200</v>
      </c>
      <c r="BA3533">
        <v>1</v>
      </c>
      <c r="BB3533" t="str">
        <f t="shared" si="1960"/>
        <v xml:space="preserve">N9217B  </v>
      </c>
      <c r="BC3533">
        <v>1</v>
      </c>
      <c r="BE3533">
        <v>0</v>
      </c>
      <c r="BF3533">
        <v>0</v>
      </c>
      <c r="BG3533">
        <v>0</v>
      </c>
      <c r="BH3533">
        <v>5225</v>
      </c>
      <c r="BI3533">
        <v>1</v>
      </c>
      <c r="BJ3533">
        <v>0</v>
      </c>
      <c r="BK3533">
        <v>0</v>
      </c>
      <c r="BL3533">
        <v>0</v>
      </c>
      <c r="BO3533">
        <v>0</v>
      </c>
      <c r="BP3533">
        <v>0</v>
      </c>
      <c r="BW3533" t="str">
        <f t="shared" si="1963"/>
        <v>14:57:40.847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7</v>
      </c>
      <c r="CP3533" t="s">
        <v>119</v>
      </c>
      <c r="CQ3533">
        <v>285</v>
      </c>
      <c r="CR3533">
        <v>0</v>
      </c>
      <c r="CW3533">
        <v>8880368</v>
      </c>
      <c r="CY3533">
        <v>0</v>
      </c>
      <c r="CZ3533">
        <v>0</v>
      </c>
      <c r="DA3533">
        <v>1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25">
      <c r="A3534" t="str">
        <f t="shared" si="1961"/>
        <v>06/05/2020 14:57:35.211</v>
      </c>
      <c r="C3534" t="str">
        <f t="shared" si="1941"/>
        <v>FFDFD3C0</v>
      </c>
      <c r="D3534" t="s">
        <v>151</v>
      </c>
      <c r="E3534">
        <v>8</v>
      </c>
      <c r="H3534">
        <v>225</v>
      </c>
      <c r="I3534" t="s">
        <v>353</v>
      </c>
      <c r="J3534" t="s">
        <v>150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si="1962"/>
        <v>14:57:40.844</v>
      </c>
      <c r="T3534" t="str">
        <f t="shared" si="1962"/>
        <v>14:57:40.844</v>
      </c>
      <c r="U3534" t="str">
        <f t="shared" si="1958"/>
        <v>ACC530</v>
      </c>
      <c r="V3534">
        <v>0</v>
      </c>
      <c r="W3534">
        <v>0</v>
      </c>
      <c r="X3534">
        <v>1</v>
      </c>
      <c r="Z3534">
        <v>0</v>
      </c>
      <c r="AA3534">
        <v>9</v>
      </c>
      <c r="AB3534">
        <v>3</v>
      </c>
      <c r="AC3534">
        <v>0</v>
      </c>
      <c r="AD3534">
        <v>9</v>
      </c>
      <c r="AE3534">
        <v>0</v>
      </c>
      <c r="AF3534">
        <v>3</v>
      </c>
      <c r="AG3534">
        <v>1</v>
      </c>
      <c r="AH3534">
        <v>0</v>
      </c>
      <c r="AI3534" t="s">
        <v>1156</v>
      </c>
      <c r="AJ3534">
        <v>34.081735999999999</v>
      </c>
      <c r="AK3534" t="s">
        <v>1157</v>
      </c>
      <c r="AL3534">
        <v>-117.024243</v>
      </c>
      <c r="AM3534">
        <v>100</v>
      </c>
      <c r="AN3534">
        <v>5400</v>
      </c>
      <c r="AO3534" t="s">
        <v>118</v>
      </c>
      <c r="AP3534">
        <v>85</v>
      </c>
      <c r="AQ3534">
        <v>-60</v>
      </c>
      <c r="AR3534">
        <v>-384</v>
      </c>
      <c r="AZ3534">
        <v>1200</v>
      </c>
      <c r="BA3534">
        <v>1</v>
      </c>
      <c r="BB3534" t="str">
        <f t="shared" si="1960"/>
        <v xml:space="preserve">N9217B  </v>
      </c>
      <c r="BC3534">
        <v>1</v>
      </c>
      <c r="BE3534">
        <v>0</v>
      </c>
      <c r="BF3534">
        <v>0</v>
      </c>
      <c r="BG3534">
        <v>0</v>
      </c>
      <c r="BH3534">
        <v>5225</v>
      </c>
      <c r="BI3534">
        <v>1</v>
      </c>
      <c r="BJ3534">
        <v>0</v>
      </c>
      <c r="BK3534">
        <v>0</v>
      </c>
      <c r="BL3534">
        <v>0</v>
      </c>
      <c r="BO3534">
        <v>0</v>
      </c>
      <c r="BP3534">
        <v>0</v>
      </c>
      <c r="BW3534" t="str">
        <f t="shared" si="1963"/>
        <v>14:57:40.847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7</v>
      </c>
      <c r="CP3534" t="s">
        <v>119</v>
      </c>
      <c r="CQ3534">
        <v>285</v>
      </c>
      <c r="CR3534">
        <v>0</v>
      </c>
      <c r="CW3534">
        <v>8880368</v>
      </c>
      <c r="CY3534">
        <v>0</v>
      </c>
      <c r="CZ3534">
        <v>0</v>
      </c>
      <c r="DA3534">
        <v>1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25">
      <c r="A3535" t="str">
        <f t="shared" si="1961"/>
        <v>06/05/2020 14:57:35.211</v>
      </c>
      <c r="C3535" t="str">
        <f t="shared" si="1941"/>
        <v>FFDFD3C0</v>
      </c>
      <c r="D3535" t="s">
        <v>148</v>
      </c>
      <c r="E3535">
        <v>8</v>
      </c>
      <c r="H3535">
        <v>50</v>
      </c>
      <c r="I3535" t="s">
        <v>149</v>
      </c>
      <c r="J3535" t="s">
        <v>150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962"/>
        <v>14:57:40.844</v>
      </c>
      <c r="T3535" t="str">
        <f t="shared" si="1962"/>
        <v>14:57:40.844</v>
      </c>
      <c r="U3535" t="str">
        <f t="shared" si="1958"/>
        <v>ACC530</v>
      </c>
      <c r="V3535">
        <v>0</v>
      </c>
      <c r="W3535">
        <v>0</v>
      </c>
      <c r="X3535">
        <v>1</v>
      </c>
      <c r="Z3535">
        <v>0</v>
      </c>
      <c r="AA3535">
        <v>9</v>
      </c>
      <c r="AB3535">
        <v>3</v>
      </c>
      <c r="AC3535">
        <v>0</v>
      </c>
      <c r="AD3535">
        <v>9</v>
      </c>
      <c r="AE3535">
        <v>0</v>
      </c>
      <c r="AF3535">
        <v>3</v>
      </c>
      <c r="AG3535">
        <v>1</v>
      </c>
      <c r="AH3535">
        <v>0</v>
      </c>
      <c r="AI3535" t="s">
        <v>1156</v>
      </c>
      <c r="AJ3535">
        <v>34.081735999999999</v>
      </c>
      <c r="AK3535" t="s">
        <v>1157</v>
      </c>
      <c r="AL3535">
        <v>-117.024243</v>
      </c>
      <c r="AM3535">
        <v>100</v>
      </c>
      <c r="AN3535">
        <v>5400</v>
      </c>
      <c r="AO3535" t="s">
        <v>118</v>
      </c>
      <c r="AP3535">
        <v>85</v>
      </c>
      <c r="AQ3535">
        <v>-60</v>
      </c>
      <c r="AR3535">
        <v>-384</v>
      </c>
      <c r="AZ3535">
        <v>1200</v>
      </c>
      <c r="BA3535">
        <v>1</v>
      </c>
      <c r="BB3535" t="str">
        <f t="shared" si="1960"/>
        <v xml:space="preserve">N9217B  </v>
      </c>
      <c r="BC3535">
        <v>1</v>
      </c>
      <c r="BE3535">
        <v>0</v>
      </c>
      <c r="BF3535">
        <v>0</v>
      </c>
      <c r="BG3535">
        <v>0</v>
      </c>
      <c r="BH3535">
        <v>5225</v>
      </c>
      <c r="BI3535">
        <v>1</v>
      </c>
      <c r="BJ3535">
        <v>0</v>
      </c>
      <c r="BK3535">
        <v>0</v>
      </c>
      <c r="BL3535">
        <v>0</v>
      </c>
      <c r="BO3535">
        <v>0</v>
      </c>
      <c r="BP3535">
        <v>0</v>
      </c>
      <c r="BW3535" t="str">
        <f t="shared" si="1963"/>
        <v>14:57:40.847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7</v>
      </c>
      <c r="CP3535" t="s">
        <v>119</v>
      </c>
      <c r="CQ3535">
        <v>285</v>
      </c>
      <c r="CR3535">
        <v>0</v>
      </c>
      <c r="CW3535">
        <v>8880368</v>
      </c>
      <c r="CY3535">
        <v>0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25">
      <c r="A3536" t="str">
        <f t="shared" ref="A3536:A3542" si="1964">"06/05/2020 14:57:36.171"</f>
        <v>06/05/2020 14:57:36.171</v>
      </c>
      <c r="C3536" t="str">
        <f t="shared" si="1941"/>
        <v>FFDFD3C0</v>
      </c>
      <c r="D3536" t="s">
        <v>151</v>
      </c>
      <c r="E3536">
        <v>9</v>
      </c>
      <c r="H3536">
        <v>226</v>
      </c>
      <c r="I3536" t="s">
        <v>152</v>
      </c>
      <c r="J3536" t="s">
        <v>150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ref="S3536:S3542" si="1965">"14:57:41.820"</f>
        <v>14:57:41.820</v>
      </c>
      <c r="T3536" t="str">
        <f t="shared" ref="T3536:T3542" si="1966">"14:57:41.420"</f>
        <v>14:57:41.420</v>
      </c>
      <c r="U3536" t="str">
        <f t="shared" si="1958"/>
        <v>ACC530</v>
      </c>
      <c r="V3536">
        <v>0</v>
      </c>
      <c r="W3536">
        <v>0</v>
      </c>
      <c r="X3536">
        <v>1</v>
      </c>
      <c r="Z3536">
        <v>0</v>
      </c>
      <c r="AA3536">
        <v>9</v>
      </c>
      <c r="AB3536">
        <v>3</v>
      </c>
      <c r="AC3536">
        <v>0</v>
      </c>
      <c r="AD3536">
        <v>9</v>
      </c>
      <c r="AE3536">
        <v>0</v>
      </c>
      <c r="AF3536">
        <v>3</v>
      </c>
      <c r="AG3536">
        <v>1</v>
      </c>
      <c r="AH3536">
        <v>0</v>
      </c>
      <c r="AI3536" t="s">
        <v>1158</v>
      </c>
      <c r="AJ3536">
        <v>34.081457</v>
      </c>
      <c r="AK3536" t="s">
        <v>1159</v>
      </c>
      <c r="AL3536">
        <v>-117.023792</v>
      </c>
      <c r="AM3536">
        <v>100</v>
      </c>
      <c r="AN3536">
        <v>5400</v>
      </c>
      <c r="AO3536" t="s">
        <v>118</v>
      </c>
      <c r="AP3536">
        <v>85</v>
      </c>
      <c r="AQ3536">
        <v>-60</v>
      </c>
      <c r="AR3536">
        <v>-384</v>
      </c>
      <c r="AZ3536">
        <v>1200</v>
      </c>
      <c r="BA3536">
        <v>1</v>
      </c>
      <c r="BB3536" t="str">
        <f t="shared" si="1960"/>
        <v xml:space="preserve">N9217B  </v>
      </c>
      <c r="BC3536">
        <v>1</v>
      </c>
      <c r="BE3536">
        <v>0</v>
      </c>
      <c r="BF3536">
        <v>0</v>
      </c>
      <c r="BG3536">
        <v>0</v>
      </c>
      <c r="BH3536">
        <v>5225</v>
      </c>
      <c r="BI3536">
        <v>1</v>
      </c>
      <c r="BJ3536">
        <v>0</v>
      </c>
      <c r="BK3536">
        <v>0</v>
      </c>
      <c r="BL3536">
        <v>0</v>
      </c>
      <c r="BO3536">
        <v>0</v>
      </c>
      <c r="BP3536">
        <v>0</v>
      </c>
      <c r="BW3536" t="str">
        <f t="shared" ref="BW3536:BW3542" si="1967">"14:57:41.822"</f>
        <v>14:57:41.822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7</v>
      </c>
      <c r="CP3536" t="s">
        <v>119</v>
      </c>
      <c r="CQ3536">
        <v>285</v>
      </c>
      <c r="CR3536">
        <v>0</v>
      </c>
      <c r="CW3536">
        <v>8880459</v>
      </c>
      <c r="CY3536">
        <v>0</v>
      </c>
      <c r="CZ3536">
        <v>0</v>
      </c>
      <c r="DA3536">
        <v>0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25">
      <c r="A3537" t="str">
        <f t="shared" si="1964"/>
        <v>06/05/2020 14:57:36.171</v>
      </c>
      <c r="C3537" t="str">
        <f t="shared" si="1941"/>
        <v>FFDFD3C0</v>
      </c>
      <c r="D3537" t="s">
        <v>134</v>
      </c>
      <c r="E3537">
        <v>7</v>
      </c>
      <c r="F3537">
        <v>2007</v>
      </c>
      <c r="G3537" t="s">
        <v>135</v>
      </c>
      <c r="J3537" t="s">
        <v>136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si="1965"/>
        <v>14:57:41.820</v>
      </c>
      <c r="T3537" t="str">
        <f t="shared" si="1966"/>
        <v>14:57:41.420</v>
      </c>
      <c r="U3537" t="str">
        <f t="shared" si="1958"/>
        <v>ACC530</v>
      </c>
      <c r="V3537">
        <v>0</v>
      </c>
      <c r="W3537">
        <v>0</v>
      </c>
      <c r="X3537">
        <v>1</v>
      </c>
      <c r="Z3537">
        <v>0</v>
      </c>
      <c r="AA3537">
        <v>9</v>
      </c>
      <c r="AB3537">
        <v>3</v>
      </c>
      <c r="AC3537">
        <v>0</v>
      </c>
      <c r="AD3537">
        <v>9</v>
      </c>
      <c r="AE3537">
        <v>0</v>
      </c>
      <c r="AF3537">
        <v>3</v>
      </c>
      <c r="AG3537">
        <v>1</v>
      </c>
      <c r="AH3537">
        <v>0</v>
      </c>
      <c r="AI3537" t="s">
        <v>1158</v>
      </c>
      <c r="AJ3537">
        <v>34.081457</v>
      </c>
      <c r="AK3537" t="s">
        <v>1159</v>
      </c>
      <c r="AL3537">
        <v>-117.023792</v>
      </c>
      <c r="AM3537">
        <v>100</v>
      </c>
      <c r="AN3537">
        <v>5400</v>
      </c>
      <c r="AO3537" t="s">
        <v>118</v>
      </c>
      <c r="AP3537">
        <v>85</v>
      </c>
      <c r="AQ3537">
        <v>-60</v>
      </c>
      <c r="AR3537">
        <v>-384</v>
      </c>
      <c r="AZ3537">
        <v>1200</v>
      </c>
      <c r="BA3537">
        <v>1</v>
      </c>
      <c r="BB3537" t="str">
        <f t="shared" si="1960"/>
        <v xml:space="preserve">N9217B  </v>
      </c>
      <c r="BC3537">
        <v>1</v>
      </c>
      <c r="BE3537">
        <v>0</v>
      </c>
      <c r="BF3537">
        <v>0</v>
      </c>
      <c r="BG3537">
        <v>0</v>
      </c>
      <c r="BH3537">
        <v>5225</v>
      </c>
      <c r="BI3537">
        <v>1</v>
      </c>
      <c r="BJ3537">
        <v>0</v>
      </c>
      <c r="BK3537">
        <v>0</v>
      </c>
      <c r="BL3537">
        <v>0</v>
      </c>
      <c r="BO3537">
        <v>0</v>
      </c>
      <c r="BP3537">
        <v>0</v>
      </c>
      <c r="BW3537" t="str">
        <f t="shared" si="1967"/>
        <v>14:57:41.822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7</v>
      </c>
      <c r="CP3537" t="s">
        <v>119</v>
      </c>
      <c r="CQ3537">
        <v>285</v>
      </c>
      <c r="CR3537">
        <v>0</v>
      </c>
      <c r="CW3537">
        <v>8880459</v>
      </c>
      <c r="CY3537">
        <v>0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25">
      <c r="A3538" t="str">
        <f t="shared" si="1964"/>
        <v>06/05/2020 14:57:36.171</v>
      </c>
      <c r="C3538" t="str">
        <f t="shared" si="1941"/>
        <v>FFDFD3C0</v>
      </c>
      <c r="D3538" t="s">
        <v>148</v>
      </c>
      <c r="E3538">
        <v>11</v>
      </c>
      <c r="H3538">
        <v>53</v>
      </c>
      <c r="I3538" t="s">
        <v>364</v>
      </c>
      <c r="J3538" t="s">
        <v>150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si="1965"/>
        <v>14:57:41.820</v>
      </c>
      <c r="T3538" t="str">
        <f t="shared" si="1966"/>
        <v>14:57:41.420</v>
      </c>
      <c r="U3538" t="str">
        <f t="shared" si="1958"/>
        <v>ACC530</v>
      </c>
      <c r="V3538">
        <v>0</v>
      </c>
      <c r="W3538">
        <v>0</v>
      </c>
      <c r="X3538">
        <v>1</v>
      </c>
      <c r="Z3538">
        <v>0</v>
      </c>
      <c r="AA3538">
        <v>9</v>
      </c>
      <c r="AB3538">
        <v>3</v>
      </c>
      <c r="AC3538">
        <v>0</v>
      </c>
      <c r="AD3538">
        <v>9</v>
      </c>
      <c r="AE3538">
        <v>0</v>
      </c>
      <c r="AF3538">
        <v>3</v>
      </c>
      <c r="AG3538">
        <v>1</v>
      </c>
      <c r="AH3538">
        <v>0</v>
      </c>
      <c r="AI3538" t="s">
        <v>1158</v>
      </c>
      <c r="AJ3538">
        <v>34.081457</v>
      </c>
      <c r="AK3538" t="s">
        <v>1159</v>
      </c>
      <c r="AL3538">
        <v>-117.023792</v>
      </c>
      <c r="AM3538">
        <v>100</v>
      </c>
      <c r="AN3538">
        <v>5400</v>
      </c>
      <c r="AO3538" t="s">
        <v>118</v>
      </c>
      <c r="AP3538">
        <v>85</v>
      </c>
      <c r="AQ3538">
        <v>-60</v>
      </c>
      <c r="AR3538">
        <v>-384</v>
      </c>
      <c r="AZ3538">
        <v>1200</v>
      </c>
      <c r="BA3538">
        <v>1</v>
      </c>
      <c r="BB3538" t="str">
        <f t="shared" si="1960"/>
        <v xml:space="preserve">N9217B  </v>
      </c>
      <c r="BC3538">
        <v>1</v>
      </c>
      <c r="BE3538">
        <v>0</v>
      </c>
      <c r="BF3538">
        <v>0</v>
      </c>
      <c r="BG3538">
        <v>0</v>
      </c>
      <c r="BH3538">
        <v>5225</v>
      </c>
      <c r="BI3538">
        <v>1</v>
      </c>
      <c r="BJ3538">
        <v>0</v>
      </c>
      <c r="BK3538">
        <v>0</v>
      </c>
      <c r="BL3538">
        <v>0</v>
      </c>
      <c r="BO3538">
        <v>0</v>
      </c>
      <c r="BP3538">
        <v>0</v>
      </c>
      <c r="BW3538" t="str">
        <f t="shared" si="1967"/>
        <v>14:57:41.822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7</v>
      </c>
      <c r="CP3538" t="s">
        <v>119</v>
      </c>
      <c r="CQ3538">
        <v>285</v>
      </c>
      <c r="CR3538">
        <v>0</v>
      </c>
      <c r="CW3538">
        <v>8880459</v>
      </c>
      <c r="CY3538">
        <v>0</v>
      </c>
      <c r="CZ3538">
        <v>0</v>
      </c>
      <c r="DA3538">
        <v>1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25">
      <c r="A3539" t="str">
        <f t="shared" si="1964"/>
        <v>06/05/2020 14:57:36.171</v>
      </c>
      <c r="C3539" t="str">
        <f t="shared" si="1941"/>
        <v>FFDFD3C0</v>
      </c>
      <c r="D3539" t="s">
        <v>113</v>
      </c>
      <c r="E3539">
        <v>3</v>
      </c>
      <c r="H3539">
        <v>166</v>
      </c>
      <c r="I3539" t="s">
        <v>114</v>
      </c>
      <c r="J3539" t="s">
        <v>115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si="1965"/>
        <v>14:57:41.820</v>
      </c>
      <c r="T3539" t="str">
        <f t="shared" si="1966"/>
        <v>14:57:41.420</v>
      </c>
      <c r="U3539" t="str">
        <f t="shared" si="1958"/>
        <v>ACC530</v>
      </c>
      <c r="V3539">
        <v>0</v>
      </c>
      <c r="W3539">
        <v>0</v>
      </c>
      <c r="X3539">
        <v>1</v>
      </c>
      <c r="Z3539">
        <v>0</v>
      </c>
      <c r="AA3539">
        <v>9</v>
      </c>
      <c r="AB3539">
        <v>3</v>
      </c>
      <c r="AC3539">
        <v>0</v>
      </c>
      <c r="AD3539">
        <v>9</v>
      </c>
      <c r="AE3539">
        <v>0</v>
      </c>
      <c r="AF3539">
        <v>3</v>
      </c>
      <c r="AG3539">
        <v>1</v>
      </c>
      <c r="AH3539">
        <v>0</v>
      </c>
      <c r="AI3539" t="s">
        <v>1158</v>
      </c>
      <c r="AJ3539">
        <v>34.081457</v>
      </c>
      <c r="AK3539" t="s">
        <v>1159</v>
      </c>
      <c r="AL3539">
        <v>-117.023792</v>
      </c>
      <c r="AM3539">
        <v>100</v>
      </c>
      <c r="AN3539">
        <v>5400</v>
      </c>
      <c r="AO3539" t="s">
        <v>118</v>
      </c>
      <c r="AP3539">
        <v>85</v>
      </c>
      <c r="AQ3539">
        <v>-60</v>
      </c>
      <c r="AR3539">
        <v>-384</v>
      </c>
      <c r="AZ3539">
        <v>1200</v>
      </c>
      <c r="BA3539">
        <v>1</v>
      </c>
      <c r="BB3539" t="str">
        <f t="shared" si="1960"/>
        <v xml:space="preserve">N9217B  </v>
      </c>
      <c r="BC3539">
        <v>1</v>
      </c>
      <c r="BE3539">
        <v>0</v>
      </c>
      <c r="BF3539">
        <v>0</v>
      </c>
      <c r="BG3539">
        <v>0</v>
      </c>
      <c r="BH3539">
        <v>5225</v>
      </c>
      <c r="BI3539">
        <v>1</v>
      </c>
      <c r="BJ3539">
        <v>0</v>
      </c>
      <c r="BK3539">
        <v>0</v>
      </c>
      <c r="BL3539">
        <v>0</v>
      </c>
      <c r="BO3539">
        <v>0</v>
      </c>
      <c r="BP3539">
        <v>0</v>
      </c>
      <c r="BW3539" t="str">
        <f t="shared" si="1967"/>
        <v>14:57:41.822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7</v>
      </c>
      <c r="CP3539" t="s">
        <v>119</v>
      </c>
      <c r="CQ3539">
        <v>285</v>
      </c>
      <c r="CR3539">
        <v>0</v>
      </c>
      <c r="CW3539">
        <v>8880459</v>
      </c>
      <c r="CY3539">
        <v>0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25">
      <c r="A3540" t="str">
        <f t="shared" si="1964"/>
        <v>06/05/2020 14:57:36.171</v>
      </c>
      <c r="C3540" t="str">
        <f t="shared" si="1941"/>
        <v>FFDFD3C0</v>
      </c>
      <c r="D3540" t="s">
        <v>141</v>
      </c>
      <c r="E3540">
        <v>20</v>
      </c>
      <c r="F3540">
        <v>1020</v>
      </c>
      <c r="G3540" t="s">
        <v>114</v>
      </c>
      <c r="J3540" t="s">
        <v>142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965"/>
        <v>14:57:41.820</v>
      </c>
      <c r="T3540" t="str">
        <f t="shared" si="1966"/>
        <v>14:57:41.420</v>
      </c>
      <c r="U3540" t="str">
        <f t="shared" si="1958"/>
        <v>ACC530</v>
      </c>
      <c r="V3540">
        <v>0</v>
      </c>
      <c r="W3540">
        <v>0</v>
      </c>
      <c r="X3540">
        <v>1</v>
      </c>
      <c r="Z3540">
        <v>0</v>
      </c>
      <c r="AA3540">
        <v>9</v>
      </c>
      <c r="AB3540">
        <v>3</v>
      </c>
      <c r="AC3540">
        <v>0</v>
      </c>
      <c r="AD3540">
        <v>9</v>
      </c>
      <c r="AE3540">
        <v>0</v>
      </c>
      <c r="AF3540">
        <v>3</v>
      </c>
      <c r="AG3540">
        <v>1</v>
      </c>
      <c r="AH3540">
        <v>0</v>
      </c>
      <c r="AI3540" t="s">
        <v>1158</v>
      </c>
      <c r="AJ3540">
        <v>34.081457</v>
      </c>
      <c r="AK3540" t="s">
        <v>1159</v>
      </c>
      <c r="AL3540">
        <v>-117.023792</v>
      </c>
      <c r="AM3540">
        <v>100</v>
      </c>
      <c r="AN3540">
        <v>5400</v>
      </c>
      <c r="AO3540" t="s">
        <v>118</v>
      </c>
      <c r="AP3540">
        <v>85</v>
      </c>
      <c r="AQ3540">
        <v>-60</v>
      </c>
      <c r="AR3540">
        <v>-384</v>
      </c>
      <c r="AZ3540">
        <v>1200</v>
      </c>
      <c r="BA3540">
        <v>1</v>
      </c>
      <c r="BB3540" t="str">
        <f t="shared" si="1960"/>
        <v xml:space="preserve">N9217B  </v>
      </c>
      <c r="BC3540">
        <v>1</v>
      </c>
      <c r="BE3540">
        <v>0</v>
      </c>
      <c r="BF3540">
        <v>0</v>
      </c>
      <c r="BG3540">
        <v>0</v>
      </c>
      <c r="BH3540">
        <v>5225</v>
      </c>
      <c r="BI3540">
        <v>1</v>
      </c>
      <c r="BJ3540">
        <v>0</v>
      </c>
      <c r="BK3540">
        <v>0</v>
      </c>
      <c r="BL3540">
        <v>0</v>
      </c>
      <c r="BO3540">
        <v>0</v>
      </c>
      <c r="BP3540">
        <v>0</v>
      </c>
      <c r="BW3540" t="str">
        <f t="shared" si="1967"/>
        <v>14:57:41.822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7</v>
      </c>
      <c r="CP3540" t="s">
        <v>119</v>
      </c>
      <c r="CQ3540">
        <v>285</v>
      </c>
      <c r="CR3540">
        <v>0</v>
      </c>
      <c r="CW3540">
        <v>8880459</v>
      </c>
      <c r="CY3540">
        <v>0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25">
      <c r="A3541" t="str">
        <f t="shared" si="1964"/>
        <v>06/05/2020 14:57:36.171</v>
      </c>
      <c r="C3541" t="str">
        <f t="shared" si="1941"/>
        <v>FFDFD3C0</v>
      </c>
      <c r="D3541" t="s">
        <v>148</v>
      </c>
      <c r="E3541">
        <v>8</v>
      </c>
      <c r="H3541">
        <v>50</v>
      </c>
      <c r="I3541" t="s">
        <v>149</v>
      </c>
      <c r="J3541" t="s">
        <v>150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si="1965"/>
        <v>14:57:41.820</v>
      </c>
      <c r="T3541" t="str">
        <f t="shared" si="1966"/>
        <v>14:57:41.420</v>
      </c>
      <c r="U3541" t="str">
        <f t="shared" si="1958"/>
        <v>ACC530</v>
      </c>
      <c r="V3541">
        <v>0</v>
      </c>
      <c r="W3541">
        <v>0</v>
      </c>
      <c r="X3541">
        <v>1</v>
      </c>
      <c r="Z3541">
        <v>0</v>
      </c>
      <c r="AA3541">
        <v>9</v>
      </c>
      <c r="AB3541">
        <v>3</v>
      </c>
      <c r="AC3541">
        <v>0</v>
      </c>
      <c r="AD3541">
        <v>9</v>
      </c>
      <c r="AE3541">
        <v>0</v>
      </c>
      <c r="AF3541">
        <v>3</v>
      </c>
      <c r="AG3541">
        <v>1</v>
      </c>
      <c r="AH3541">
        <v>0</v>
      </c>
      <c r="AI3541" t="s">
        <v>1158</v>
      </c>
      <c r="AJ3541">
        <v>34.081457</v>
      </c>
      <c r="AK3541" t="s">
        <v>1159</v>
      </c>
      <c r="AL3541">
        <v>-117.023792</v>
      </c>
      <c r="AM3541">
        <v>100</v>
      </c>
      <c r="AN3541">
        <v>5400</v>
      </c>
      <c r="AO3541" t="s">
        <v>118</v>
      </c>
      <c r="AP3541">
        <v>85</v>
      </c>
      <c r="AQ3541">
        <v>-60</v>
      </c>
      <c r="AR3541">
        <v>-384</v>
      </c>
      <c r="AZ3541">
        <v>1200</v>
      </c>
      <c r="BA3541">
        <v>1</v>
      </c>
      <c r="BB3541" t="str">
        <f t="shared" si="1960"/>
        <v xml:space="preserve">N9217B  </v>
      </c>
      <c r="BC3541">
        <v>1</v>
      </c>
      <c r="BE3541">
        <v>0</v>
      </c>
      <c r="BF3541">
        <v>0</v>
      </c>
      <c r="BG3541">
        <v>0</v>
      </c>
      <c r="BH3541">
        <v>5225</v>
      </c>
      <c r="BI3541">
        <v>1</v>
      </c>
      <c r="BJ3541">
        <v>0</v>
      </c>
      <c r="BK3541">
        <v>0</v>
      </c>
      <c r="BL3541">
        <v>0</v>
      </c>
      <c r="BO3541">
        <v>0</v>
      </c>
      <c r="BP3541">
        <v>0</v>
      </c>
      <c r="BW3541" t="str">
        <f t="shared" si="1967"/>
        <v>14:57:41.822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7</v>
      </c>
      <c r="CP3541" t="s">
        <v>119</v>
      </c>
      <c r="CQ3541">
        <v>285</v>
      </c>
      <c r="CR3541">
        <v>0</v>
      </c>
      <c r="CW3541">
        <v>8880459</v>
      </c>
      <c r="CY3541">
        <v>0</v>
      </c>
      <c r="CZ3541">
        <v>0</v>
      </c>
      <c r="DA3541">
        <v>1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25">
      <c r="A3542" t="str">
        <f t="shared" si="1964"/>
        <v>06/05/2020 14:57:36.171</v>
      </c>
      <c r="C3542" t="str">
        <f t="shared" si="1941"/>
        <v>FFDFD3C0</v>
      </c>
      <c r="D3542" t="s">
        <v>151</v>
      </c>
      <c r="E3542">
        <v>8</v>
      </c>
      <c r="H3542">
        <v>225</v>
      </c>
      <c r="I3542" t="s">
        <v>353</v>
      </c>
      <c r="J3542" t="s">
        <v>150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965"/>
        <v>14:57:41.820</v>
      </c>
      <c r="T3542" t="str">
        <f t="shared" si="1966"/>
        <v>14:57:41.420</v>
      </c>
      <c r="U3542" t="str">
        <f t="shared" si="1958"/>
        <v>ACC530</v>
      </c>
      <c r="V3542">
        <v>0</v>
      </c>
      <c r="W3542">
        <v>0</v>
      </c>
      <c r="X3542">
        <v>1</v>
      </c>
      <c r="Z3542">
        <v>0</v>
      </c>
      <c r="AA3542">
        <v>9</v>
      </c>
      <c r="AB3542">
        <v>3</v>
      </c>
      <c r="AC3542">
        <v>0</v>
      </c>
      <c r="AD3542">
        <v>9</v>
      </c>
      <c r="AE3542">
        <v>0</v>
      </c>
      <c r="AF3542">
        <v>3</v>
      </c>
      <c r="AG3542">
        <v>1</v>
      </c>
      <c r="AH3542">
        <v>0</v>
      </c>
      <c r="AI3542" t="s">
        <v>1158</v>
      </c>
      <c r="AJ3542">
        <v>34.081457</v>
      </c>
      <c r="AK3542" t="s">
        <v>1159</v>
      </c>
      <c r="AL3542">
        <v>-117.023792</v>
      </c>
      <c r="AM3542">
        <v>100</v>
      </c>
      <c r="AN3542">
        <v>5400</v>
      </c>
      <c r="AO3542" t="s">
        <v>118</v>
      </c>
      <c r="AP3542">
        <v>85</v>
      </c>
      <c r="AQ3542">
        <v>-60</v>
      </c>
      <c r="AR3542">
        <v>-384</v>
      </c>
      <c r="AZ3542">
        <v>1200</v>
      </c>
      <c r="BA3542">
        <v>1</v>
      </c>
      <c r="BB3542" t="str">
        <f t="shared" si="1960"/>
        <v xml:space="preserve">N9217B  </v>
      </c>
      <c r="BC3542">
        <v>1</v>
      </c>
      <c r="BE3542">
        <v>0</v>
      </c>
      <c r="BF3542">
        <v>0</v>
      </c>
      <c r="BG3542">
        <v>0</v>
      </c>
      <c r="BH3542">
        <v>5225</v>
      </c>
      <c r="BI3542">
        <v>1</v>
      </c>
      <c r="BJ3542">
        <v>0</v>
      </c>
      <c r="BK3542">
        <v>0</v>
      </c>
      <c r="BL3542">
        <v>0</v>
      </c>
      <c r="BO3542">
        <v>0</v>
      </c>
      <c r="BP3542">
        <v>0</v>
      </c>
      <c r="BW3542" t="str">
        <f t="shared" si="1967"/>
        <v>14:57:41.822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7</v>
      </c>
      <c r="CP3542" t="s">
        <v>119</v>
      </c>
      <c r="CQ3542">
        <v>285</v>
      </c>
      <c r="CR3542">
        <v>0</v>
      </c>
      <c r="CW3542">
        <v>8880459</v>
      </c>
      <c r="CY3542">
        <v>0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25">
      <c r="A3543" t="str">
        <f t="shared" ref="A3543:A3549" si="1968">"06/05/2020 14:57:37.140"</f>
        <v>06/05/2020 14:57:37.140</v>
      </c>
      <c r="C3543" t="str">
        <f t="shared" si="1941"/>
        <v>FFDFD3C0</v>
      </c>
      <c r="D3543" t="s">
        <v>134</v>
      </c>
      <c r="E3543">
        <v>7</v>
      </c>
      <c r="F3543">
        <v>2007</v>
      </c>
      <c r="G3543" t="s">
        <v>135</v>
      </c>
      <c r="J3543" t="s">
        <v>136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ref="S3543:S3549" si="1969">"14:57:42.781"</f>
        <v>14:57:42.781</v>
      </c>
      <c r="T3543" t="str">
        <f t="shared" ref="T3543:T3549" si="1970">"14:57:42.381"</f>
        <v>14:57:42.381</v>
      </c>
      <c r="U3543" t="str">
        <f t="shared" si="1958"/>
        <v>ACC530</v>
      </c>
      <c r="V3543">
        <v>0</v>
      </c>
      <c r="W3543">
        <v>0</v>
      </c>
      <c r="X3543">
        <v>1</v>
      </c>
      <c r="Z3543">
        <v>0</v>
      </c>
      <c r="AA3543">
        <v>9</v>
      </c>
      <c r="AB3543">
        <v>3</v>
      </c>
      <c r="AC3543">
        <v>0</v>
      </c>
      <c r="AD3543">
        <v>9</v>
      </c>
      <c r="AE3543">
        <v>0</v>
      </c>
      <c r="AF3543">
        <v>3</v>
      </c>
      <c r="AG3543">
        <v>1</v>
      </c>
      <c r="AH3543">
        <v>0</v>
      </c>
      <c r="AI3543" t="s">
        <v>1160</v>
      </c>
      <c r="AJ3543">
        <v>34.081198999999998</v>
      </c>
      <c r="AK3543" t="s">
        <v>1161</v>
      </c>
      <c r="AL3543">
        <v>-117.02327699999999</v>
      </c>
      <c r="AM3543">
        <v>100</v>
      </c>
      <c r="AN3543">
        <v>5400</v>
      </c>
      <c r="AO3543" t="s">
        <v>118</v>
      </c>
      <c r="AP3543">
        <v>86</v>
      </c>
      <c r="AQ3543">
        <v>-59</v>
      </c>
      <c r="AR3543">
        <v>-448</v>
      </c>
      <c r="AZ3543">
        <v>1200</v>
      </c>
      <c r="BA3543">
        <v>1</v>
      </c>
      <c r="BB3543" t="str">
        <f t="shared" si="1960"/>
        <v xml:space="preserve">N9217B  </v>
      </c>
      <c r="BC3543">
        <v>1</v>
      </c>
      <c r="BE3543">
        <v>0</v>
      </c>
      <c r="BF3543">
        <v>0</v>
      </c>
      <c r="BG3543">
        <v>0</v>
      </c>
      <c r="BH3543">
        <v>5225</v>
      </c>
      <c r="BI3543">
        <v>1</v>
      </c>
      <c r="BJ3543">
        <v>0</v>
      </c>
      <c r="BK3543">
        <v>0</v>
      </c>
      <c r="BL3543">
        <v>0</v>
      </c>
      <c r="BO3543">
        <v>0</v>
      </c>
      <c r="BP3543">
        <v>0</v>
      </c>
      <c r="BW3543" t="str">
        <f t="shared" ref="BW3543:BW3549" si="1971">"14:57:42.782"</f>
        <v>14:57:42.782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7</v>
      </c>
      <c r="CP3543" t="s">
        <v>119</v>
      </c>
      <c r="CQ3543">
        <v>285</v>
      </c>
      <c r="CR3543">
        <v>0</v>
      </c>
      <c r="CW3543">
        <v>8880543</v>
      </c>
      <c r="CY3543">
        <v>0</v>
      </c>
      <c r="CZ3543">
        <v>0</v>
      </c>
      <c r="DA3543">
        <v>0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25">
      <c r="A3544" t="str">
        <f t="shared" si="1968"/>
        <v>06/05/2020 14:57:37.140</v>
      </c>
      <c r="C3544" t="str">
        <f t="shared" si="1941"/>
        <v>FFDFD3C0</v>
      </c>
      <c r="D3544" t="s">
        <v>148</v>
      </c>
      <c r="E3544">
        <v>11</v>
      </c>
      <c r="H3544">
        <v>53</v>
      </c>
      <c r="I3544" t="s">
        <v>364</v>
      </c>
      <c r="J3544" t="s">
        <v>150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si="1969"/>
        <v>14:57:42.781</v>
      </c>
      <c r="T3544" t="str">
        <f t="shared" si="1970"/>
        <v>14:57:42.381</v>
      </c>
      <c r="U3544" t="str">
        <f t="shared" si="1958"/>
        <v>ACC530</v>
      </c>
      <c r="V3544">
        <v>0</v>
      </c>
      <c r="W3544">
        <v>0</v>
      </c>
      <c r="X3544">
        <v>1</v>
      </c>
      <c r="Z3544">
        <v>0</v>
      </c>
      <c r="AA3544">
        <v>9</v>
      </c>
      <c r="AB3544">
        <v>3</v>
      </c>
      <c r="AC3544">
        <v>0</v>
      </c>
      <c r="AD3544">
        <v>9</v>
      </c>
      <c r="AE3544">
        <v>0</v>
      </c>
      <c r="AF3544">
        <v>3</v>
      </c>
      <c r="AG3544">
        <v>1</v>
      </c>
      <c r="AH3544">
        <v>0</v>
      </c>
      <c r="AI3544" t="s">
        <v>1160</v>
      </c>
      <c r="AJ3544">
        <v>34.081198999999998</v>
      </c>
      <c r="AK3544" t="s">
        <v>1161</v>
      </c>
      <c r="AL3544">
        <v>-117.02327699999999</v>
      </c>
      <c r="AM3544">
        <v>100</v>
      </c>
      <c r="AN3544">
        <v>5400</v>
      </c>
      <c r="AO3544" t="s">
        <v>118</v>
      </c>
      <c r="AP3544">
        <v>86</v>
      </c>
      <c r="AQ3544">
        <v>-59</v>
      </c>
      <c r="AR3544">
        <v>-448</v>
      </c>
      <c r="AZ3544">
        <v>1200</v>
      </c>
      <c r="BA3544">
        <v>1</v>
      </c>
      <c r="BB3544" t="str">
        <f t="shared" si="1960"/>
        <v xml:space="preserve">N9217B  </v>
      </c>
      <c r="BC3544">
        <v>1</v>
      </c>
      <c r="BE3544">
        <v>0</v>
      </c>
      <c r="BF3544">
        <v>0</v>
      </c>
      <c r="BG3544">
        <v>0</v>
      </c>
      <c r="BH3544">
        <v>5225</v>
      </c>
      <c r="BI3544">
        <v>1</v>
      </c>
      <c r="BJ3544">
        <v>0</v>
      </c>
      <c r="BK3544">
        <v>0</v>
      </c>
      <c r="BL3544">
        <v>0</v>
      </c>
      <c r="BO3544">
        <v>0</v>
      </c>
      <c r="BP3544">
        <v>0</v>
      </c>
      <c r="BW3544" t="str">
        <f t="shared" si="1971"/>
        <v>14:57:42.782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7</v>
      </c>
      <c r="CP3544" t="s">
        <v>119</v>
      </c>
      <c r="CQ3544">
        <v>285</v>
      </c>
      <c r="CR3544">
        <v>0</v>
      </c>
      <c r="CW3544">
        <v>8880543</v>
      </c>
      <c r="CY3544">
        <v>0</v>
      </c>
      <c r="CZ3544">
        <v>0</v>
      </c>
      <c r="DA3544">
        <v>1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25">
      <c r="A3545" t="str">
        <f t="shared" si="1968"/>
        <v>06/05/2020 14:57:37.140</v>
      </c>
      <c r="C3545" t="str">
        <f t="shared" si="1941"/>
        <v>FFDFD3C0</v>
      </c>
      <c r="D3545" t="s">
        <v>113</v>
      </c>
      <c r="E3545">
        <v>3</v>
      </c>
      <c r="H3545">
        <v>166</v>
      </c>
      <c r="I3545" t="s">
        <v>114</v>
      </c>
      <c r="J3545" t="s">
        <v>115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969"/>
        <v>14:57:42.781</v>
      </c>
      <c r="T3545" t="str">
        <f t="shared" si="1970"/>
        <v>14:57:42.381</v>
      </c>
      <c r="U3545" t="str">
        <f t="shared" si="1958"/>
        <v>ACC530</v>
      </c>
      <c r="V3545">
        <v>0</v>
      </c>
      <c r="W3545">
        <v>0</v>
      </c>
      <c r="X3545">
        <v>1</v>
      </c>
      <c r="Z3545">
        <v>0</v>
      </c>
      <c r="AA3545">
        <v>9</v>
      </c>
      <c r="AB3545">
        <v>3</v>
      </c>
      <c r="AC3545">
        <v>0</v>
      </c>
      <c r="AD3545">
        <v>9</v>
      </c>
      <c r="AE3545">
        <v>0</v>
      </c>
      <c r="AF3545">
        <v>3</v>
      </c>
      <c r="AG3545">
        <v>1</v>
      </c>
      <c r="AH3545">
        <v>0</v>
      </c>
      <c r="AI3545" t="s">
        <v>1160</v>
      </c>
      <c r="AJ3545">
        <v>34.081198999999998</v>
      </c>
      <c r="AK3545" t="s">
        <v>1161</v>
      </c>
      <c r="AL3545">
        <v>-117.02327699999999</v>
      </c>
      <c r="AM3545">
        <v>100</v>
      </c>
      <c r="AN3545">
        <v>5400</v>
      </c>
      <c r="AO3545" t="s">
        <v>118</v>
      </c>
      <c r="AP3545">
        <v>86</v>
      </c>
      <c r="AQ3545">
        <v>-59</v>
      </c>
      <c r="AR3545">
        <v>-448</v>
      </c>
      <c r="AZ3545">
        <v>1200</v>
      </c>
      <c r="BA3545">
        <v>1</v>
      </c>
      <c r="BB3545" t="str">
        <f t="shared" si="1960"/>
        <v xml:space="preserve">N9217B  </v>
      </c>
      <c r="BC3545">
        <v>1</v>
      </c>
      <c r="BE3545">
        <v>0</v>
      </c>
      <c r="BF3545">
        <v>0</v>
      </c>
      <c r="BG3545">
        <v>0</v>
      </c>
      <c r="BH3545">
        <v>5225</v>
      </c>
      <c r="BI3545">
        <v>1</v>
      </c>
      <c r="BJ3545">
        <v>0</v>
      </c>
      <c r="BK3545">
        <v>0</v>
      </c>
      <c r="BL3545">
        <v>0</v>
      </c>
      <c r="BO3545">
        <v>0</v>
      </c>
      <c r="BP3545">
        <v>0</v>
      </c>
      <c r="BW3545" t="str">
        <f t="shared" si="1971"/>
        <v>14:57:42.782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7</v>
      </c>
      <c r="CP3545" t="s">
        <v>119</v>
      </c>
      <c r="CQ3545">
        <v>285</v>
      </c>
      <c r="CR3545">
        <v>0</v>
      </c>
      <c r="CW3545">
        <v>8880543</v>
      </c>
      <c r="CY3545">
        <v>0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25">
      <c r="A3546" t="str">
        <f t="shared" si="1968"/>
        <v>06/05/2020 14:57:37.140</v>
      </c>
      <c r="C3546" t="str">
        <f t="shared" si="1941"/>
        <v>FFDFD3C0</v>
      </c>
      <c r="D3546" t="s">
        <v>141</v>
      </c>
      <c r="E3546">
        <v>20</v>
      </c>
      <c r="F3546">
        <v>1020</v>
      </c>
      <c r="G3546" t="s">
        <v>114</v>
      </c>
      <c r="J3546" t="s">
        <v>142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1969"/>
        <v>14:57:42.781</v>
      </c>
      <c r="T3546" t="str">
        <f t="shared" si="1970"/>
        <v>14:57:42.381</v>
      </c>
      <c r="U3546" t="str">
        <f t="shared" si="1958"/>
        <v>ACC530</v>
      </c>
      <c r="V3546">
        <v>0</v>
      </c>
      <c r="W3546">
        <v>0</v>
      </c>
      <c r="X3546">
        <v>1</v>
      </c>
      <c r="Z3546">
        <v>0</v>
      </c>
      <c r="AA3546">
        <v>9</v>
      </c>
      <c r="AB3546">
        <v>3</v>
      </c>
      <c r="AC3546">
        <v>0</v>
      </c>
      <c r="AD3546">
        <v>9</v>
      </c>
      <c r="AE3546">
        <v>0</v>
      </c>
      <c r="AF3546">
        <v>3</v>
      </c>
      <c r="AG3546">
        <v>1</v>
      </c>
      <c r="AH3546">
        <v>0</v>
      </c>
      <c r="AI3546" t="s">
        <v>1160</v>
      </c>
      <c r="AJ3546">
        <v>34.081198999999998</v>
      </c>
      <c r="AK3546" t="s">
        <v>1161</v>
      </c>
      <c r="AL3546">
        <v>-117.02327699999999</v>
      </c>
      <c r="AM3546">
        <v>100</v>
      </c>
      <c r="AN3546">
        <v>5400</v>
      </c>
      <c r="AO3546" t="s">
        <v>118</v>
      </c>
      <c r="AP3546">
        <v>86</v>
      </c>
      <c r="AQ3546">
        <v>-59</v>
      </c>
      <c r="AR3546">
        <v>-448</v>
      </c>
      <c r="AZ3546">
        <v>1200</v>
      </c>
      <c r="BA3546">
        <v>1</v>
      </c>
      <c r="BB3546" t="str">
        <f t="shared" si="1960"/>
        <v xml:space="preserve">N9217B  </v>
      </c>
      <c r="BC3546">
        <v>1</v>
      </c>
      <c r="BE3546">
        <v>0</v>
      </c>
      <c r="BF3546">
        <v>0</v>
      </c>
      <c r="BG3546">
        <v>0</v>
      </c>
      <c r="BH3546">
        <v>5225</v>
      </c>
      <c r="BI3546">
        <v>1</v>
      </c>
      <c r="BJ3546">
        <v>0</v>
      </c>
      <c r="BK3546">
        <v>0</v>
      </c>
      <c r="BL3546">
        <v>0</v>
      </c>
      <c r="BO3546">
        <v>0</v>
      </c>
      <c r="BP3546">
        <v>0</v>
      </c>
      <c r="BW3546" t="str">
        <f t="shared" si="1971"/>
        <v>14:57:42.782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7</v>
      </c>
      <c r="CP3546" t="s">
        <v>119</v>
      </c>
      <c r="CQ3546">
        <v>285</v>
      </c>
      <c r="CR3546">
        <v>0</v>
      </c>
      <c r="CW3546">
        <v>8880543</v>
      </c>
      <c r="CY3546">
        <v>0</v>
      </c>
      <c r="CZ3546">
        <v>0</v>
      </c>
      <c r="DA3546">
        <v>1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25">
      <c r="A3547" t="str">
        <f t="shared" si="1968"/>
        <v>06/05/2020 14:57:37.140</v>
      </c>
      <c r="C3547" t="str">
        <f t="shared" si="1941"/>
        <v>FFDFD3C0</v>
      </c>
      <c r="D3547" t="s">
        <v>148</v>
      </c>
      <c r="E3547">
        <v>8</v>
      </c>
      <c r="H3547">
        <v>50</v>
      </c>
      <c r="I3547" t="s">
        <v>149</v>
      </c>
      <c r="J3547" t="s">
        <v>150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969"/>
        <v>14:57:42.781</v>
      </c>
      <c r="T3547" t="str">
        <f t="shared" si="1970"/>
        <v>14:57:42.381</v>
      </c>
      <c r="U3547" t="str">
        <f t="shared" si="1958"/>
        <v>ACC530</v>
      </c>
      <c r="V3547">
        <v>0</v>
      </c>
      <c r="W3547">
        <v>0</v>
      </c>
      <c r="X3547">
        <v>1</v>
      </c>
      <c r="Z3547">
        <v>0</v>
      </c>
      <c r="AA3547">
        <v>9</v>
      </c>
      <c r="AB3547">
        <v>3</v>
      </c>
      <c r="AC3547">
        <v>0</v>
      </c>
      <c r="AD3547">
        <v>9</v>
      </c>
      <c r="AE3547">
        <v>0</v>
      </c>
      <c r="AF3547">
        <v>3</v>
      </c>
      <c r="AG3547">
        <v>1</v>
      </c>
      <c r="AH3547">
        <v>0</v>
      </c>
      <c r="AI3547" t="s">
        <v>1160</v>
      </c>
      <c r="AJ3547">
        <v>34.081198999999998</v>
      </c>
      <c r="AK3547" t="s">
        <v>1161</v>
      </c>
      <c r="AL3547">
        <v>-117.02327699999999</v>
      </c>
      <c r="AM3547">
        <v>100</v>
      </c>
      <c r="AN3547">
        <v>5400</v>
      </c>
      <c r="AO3547" t="s">
        <v>118</v>
      </c>
      <c r="AP3547">
        <v>86</v>
      </c>
      <c r="AQ3547">
        <v>-59</v>
      </c>
      <c r="AR3547">
        <v>-448</v>
      </c>
      <c r="AZ3547">
        <v>1200</v>
      </c>
      <c r="BA3547">
        <v>1</v>
      </c>
      <c r="BB3547" t="str">
        <f t="shared" si="1960"/>
        <v xml:space="preserve">N9217B  </v>
      </c>
      <c r="BC3547">
        <v>1</v>
      </c>
      <c r="BE3547">
        <v>0</v>
      </c>
      <c r="BF3547">
        <v>0</v>
      </c>
      <c r="BG3547">
        <v>0</v>
      </c>
      <c r="BH3547">
        <v>5225</v>
      </c>
      <c r="BI3547">
        <v>1</v>
      </c>
      <c r="BJ3547">
        <v>0</v>
      </c>
      <c r="BK3547">
        <v>0</v>
      </c>
      <c r="BL3547">
        <v>0</v>
      </c>
      <c r="BO3547">
        <v>0</v>
      </c>
      <c r="BP3547">
        <v>0</v>
      </c>
      <c r="BW3547" t="str">
        <f t="shared" si="1971"/>
        <v>14:57:42.782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7</v>
      </c>
      <c r="CP3547" t="s">
        <v>119</v>
      </c>
      <c r="CQ3547">
        <v>285</v>
      </c>
      <c r="CR3547">
        <v>0</v>
      </c>
      <c r="CW3547">
        <v>8880543</v>
      </c>
      <c r="CY3547">
        <v>0</v>
      </c>
      <c r="CZ3547">
        <v>0</v>
      </c>
      <c r="DA3547">
        <v>1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25">
      <c r="A3548" t="str">
        <f t="shared" si="1968"/>
        <v>06/05/2020 14:57:37.140</v>
      </c>
      <c r="C3548" t="str">
        <f t="shared" si="1941"/>
        <v>FFDFD3C0</v>
      </c>
      <c r="D3548" t="s">
        <v>151</v>
      </c>
      <c r="E3548">
        <v>8</v>
      </c>
      <c r="H3548">
        <v>225</v>
      </c>
      <c r="I3548" t="s">
        <v>353</v>
      </c>
      <c r="J3548" t="s">
        <v>150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1969"/>
        <v>14:57:42.781</v>
      </c>
      <c r="T3548" t="str">
        <f t="shared" si="1970"/>
        <v>14:57:42.381</v>
      </c>
      <c r="U3548" t="str">
        <f t="shared" si="1958"/>
        <v>ACC530</v>
      </c>
      <c r="V3548">
        <v>0</v>
      </c>
      <c r="W3548">
        <v>0</v>
      </c>
      <c r="X3548">
        <v>1</v>
      </c>
      <c r="Z3548">
        <v>0</v>
      </c>
      <c r="AA3548">
        <v>9</v>
      </c>
      <c r="AB3548">
        <v>3</v>
      </c>
      <c r="AC3548">
        <v>0</v>
      </c>
      <c r="AD3548">
        <v>9</v>
      </c>
      <c r="AE3548">
        <v>0</v>
      </c>
      <c r="AF3548">
        <v>3</v>
      </c>
      <c r="AG3548">
        <v>1</v>
      </c>
      <c r="AH3548">
        <v>0</v>
      </c>
      <c r="AI3548" t="s">
        <v>1160</v>
      </c>
      <c r="AJ3548">
        <v>34.081198999999998</v>
      </c>
      <c r="AK3548" t="s">
        <v>1161</v>
      </c>
      <c r="AL3548">
        <v>-117.02327699999999</v>
      </c>
      <c r="AM3548">
        <v>100</v>
      </c>
      <c r="AN3548">
        <v>5400</v>
      </c>
      <c r="AO3548" t="s">
        <v>118</v>
      </c>
      <c r="AP3548">
        <v>86</v>
      </c>
      <c r="AQ3548">
        <v>-59</v>
      </c>
      <c r="AR3548">
        <v>-448</v>
      </c>
      <c r="AZ3548">
        <v>1200</v>
      </c>
      <c r="BA3548">
        <v>1</v>
      </c>
      <c r="BB3548" t="str">
        <f t="shared" si="1960"/>
        <v xml:space="preserve">N9217B  </v>
      </c>
      <c r="BC3548">
        <v>1</v>
      </c>
      <c r="BE3548">
        <v>0</v>
      </c>
      <c r="BF3548">
        <v>0</v>
      </c>
      <c r="BG3548">
        <v>0</v>
      </c>
      <c r="BH3548">
        <v>5225</v>
      </c>
      <c r="BI3548">
        <v>1</v>
      </c>
      <c r="BJ3548">
        <v>0</v>
      </c>
      <c r="BK3548">
        <v>0</v>
      </c>
      <c r="BL3548">
        <v>0</v>
      </c>
      <c r="BO3548">
        <v>0</v>
      </c>
      <c r="BP3548">
        <v>0</v>
      </c>
      <c r="BW3548" t="str">
        <f t="shared" si="1971"/>
        <v>14:57:42.782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7</v>
      </c>
      <c r="CP3548" t="s">
        <v>119</v>
      </c>
      <c r="CQ3548">
        <v>285</v>
      </c>
      <c r="CR3548">
        <v>0</v>
      </c>
      <c r="CW3548">
        <v>8880543</v>
      </c>
      <c r="CY3548">
        <v>0</v>
      </c>
      <c r="CZ3548">
        <v>0</v>
      </c>
      <c r="DA3548">
        <v>1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25">
      <c r="A3549" t="str">
        <f t="shared" si="1968"/>
        <v>06/05/2020 14:57:37.140</v>
      </c>
      <c r="C3549" t="str">
        <f t="shared" si="1941"/>
        <v>FFDFD3C0</v>
      </c>
      <c r="D3549" t="s">
        <v>151</v>
      </c>
      <c r="E3549">
        <v>9</v>
      </c>
      <c r="H3549">
        <v>226</v>
      </c>
      <c r="I3549" t="s">
        <v>152</v>
      </c>
      <c r="J3549" t="s">
        <v>150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1969"/>
        <v>14:57:42.781</v>
      </c>
      <c r="T3549" t="str">
        <f t="shared" si="1970"/>
        <v>14:57:42.381</v>
      </c>
      <c r="U3549" t="str">
        <f t="shared" si="1958"/>
        <v>ACC530</v>
      </c>
      <c r="V3549">
        <v>0</v>
      </c>
      <c r="W3549">
        <v>0</v>
      </c>
      <c r="X3549">
        <v>1</v>
      </c>
      <c r="Z3549">
        <v>0</v>
      </c>
      <c r="AA3549">
        <v>9</v>
      </c>
      <c r="AB3549">
        <v>3</v>
      </c>
      <c r="AC3549">
        <v>0</v>
      </c>
      <c r="AD3549">
        <v>9</v>
      </c>
      <c r="AE3549">
        <v>0</v>
      </c>
      <c r="AF3549">
        <v>3</v>
      </c>
      <c r="AG3549">
        <v>1</v>
      </c>
      <c r="AH3549">
        <v>0</v>
      </c>
      <c r="AI3549" t="s">
        <v>1160</v>
      </c>
      <c r="AJ3549">
        <v>34.081198999999998</v>
      </c>
      <c r="AK3549" t="s">
        <v>1161</v>
      </c>
      <c r="AL3549">
        <v>-117.02327699999999</v>
      </c>
      <c r="AM3549">
        <v>100</v>
      </c>
      <c r="AN3549">
        <v>5400</v>
      </c>
      <c r="AO3549" t="s">
        <v>118</v>
      </c>
      <c r="AP3549">
        <v>86</v>
      </c>
      <c r="AQ3549">
        <v>-59</v>
      </c>
      <c r="AR3549">
        <v>-448</v>
      </c>
      <c r="AZ3549">
        <v>1200</v>
      </c>
      <c r="BA3549">
        <v>1</v>
      </c>
      <c r="BB3549" t="str">
        <f t="shared" si="1960"/>
        <v xml:space="preserve">N9217B  </v>
      </c>
      <c r="BC3549">
        <v>1</v>
      </c>
      <c r="BE3549">
        <v>0</v>
      </c>
      <c r="BF3549">
        <v>0</v>
      </c>
      <c r="BG3549">
        <v>0</v>
      </c>
      <c r="BH3549">
        <v>5225</v>
      </c>
      <c r="BI3549">
        <v>1</v>
      </c>
      <c r="BJ3549">
        <v>0</v>
      </c>
      <c r="BK3549">
        <v>0</v>
      </c>
      <c r="BL3549">
        <v>0</v>
      </c>
      <c r="BO3549">
        <v>0</v>
      </c>
      <c r="BP3549">
        <v>0</v>
      </c>
      <c r="BW3549" t="str">
        <f t="shared" si="1971"/>
        <v>14:57:42.782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7</v>
      </c>
      <c r="CP3549" t="s">
        <v>119</v>
      </c>
      <c r="CQ3549">
        <v>285</v>
      </c>
      <c r="CR3549">
        <v>0</v>
      </c>
      <c r="CW3549">
        <v>8880543</v>
      </c>
      <c r="CY3549">
        <v>0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25">
      <c r="A3550" t="str">
        <f t="shared" ref="A3550:A3556" si="1972">"06/05/2020 14:57:38.299"</f>
        <v>06/05/2020 14:57:38.299</v>
      </c>
      <c r="C3550" t="str">
        <f t="shared" si="1941"/>
        <v>FFDFD3C0</v>
      </c>
      <c r="D3550" t="s">
        <v>134</v>
      </c>
      <c r="E3550">
        <v>7</v>
      </c>
      <c r="F3550">
        <v>2007</v>
      </c>
      <c r="G3550" t="s">
        <v>135</v>
      </c>
      <c r="J3550" t="s">
        <v>136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ref="S3550:T3556" si="1973">"14:57:43.961"</f>
        <v>14:57:43.961</v>
      </c>
      <c r="T3550" t="str">
        <f t="shared" si="1973"/>
        <v>14:57:43.961</v>
      </c>
      <c r="U3550" t="str">
        <f t="shared" si="1958"/>
        <v>ACC530</v>
      </c>
      <c r="V3550">
        <v>0</v>
      </c>
      <c r="W3550">
        <v>0</v>
      </c>
      <c r="X3550">
        <v>1</v>
      </c>
      <c r="Z3550">
        <v>0</v>
      </c>
      <c r="AA3550">
        <v>9</v>
      </c>
      <c r="AB3550">
        <v>3</v>
      </c>
      <c r="AC3550">
        <v>0</v>
      </c>
      <c r="AD3550">
        <v>9</v>
      </c>
      <c r="AE3550">
        <v>0</v>
      </c>
      <c r="AF3550">
        <v>3</v>
      </c>
      <c r="AG3550">
        <v>1</v>
      </c>
      <c r="AH3550">
        <v>0</v>
      </c>
      <c r="AI3550" t="s">
        <v>1162</v>
      </c>
      <c r="AJ3550">
        <v>34.080877000000001</v>
      </c>
      <c r="AK3550" t="s">
        <v>1163</v>
      </c>
      <c r="AL3550">
        <v>-117.022784</v>
      </c>
      <c r="AM3550">
        <v>100</v>
      </c>
      <c r="AN3550">
        <v>5400</v>
      </c>
      <c r="AO3550" t="s">
        <v>118</v>
      </c>
      <c r="AP3550">
        <v>86</v>
      </c>
      <c r="AQ3550">
        <v>-58</v>
      </c>
      <c r="AR3550">
        <v>-384</v>
      </c>
      <c r="AZ3550">
        <v>1200</v>
      </c>
      <c r="BA3550">
        <v>1</v>
      </c>
      <c r="BB3550" t="str">
        <f t="shared" si="1960"/>
        <v xml:space="preserve">N9217B  </v>
      </c>
      <c r="BC3550">
        <v>1</v>
      </c>
      <c r="BE3550">
        <v>0</v>
      </c>
      <c r="BF3550">
        <v>0</v>
      </c>
      <c r="BG3550">
        <v>0</v>
      </c>
      <c r="BH3550">
        <v>5200</v>
      </c>
      <c r="BI3550">
        <v>1</v>
      </c>
      <c r="BJ3550">
        <v>0</v>
      </c>
      <c r="BK3550">
        <v>0</v>
      </c>
      <c r="BL3550">
        <v>0</v>
      </c>
      <c r="BO3550">
        <v>0</v>
      </c>
      <c r="BP3550">
        <v>0</v>
      </c>
      <c r="BW3550" t="str">
        <f t="shared" ref="BW3550:BW3556" si="1974">"14:57:43.967"</f>
        <v>14:57:43.967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7</v>
      </c>
      <c r="CP3550" t="s">
        <v>119</v>
      </c>
      <c r="CQ3550">
        <v>285</v>
      </c>
      <c r="CR3550">
        <v>0</v>
      </c>
      <c r="CW3550">
        <v>8880652</v>
      </c>
      <c r="CY3550">
        <v>0</v>
      </c>
      <c r="CZ3550">
        <v>0</v>
      </c>
      <c r="DA3550">
        <v>0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25">
      <c r="A3551" t="str">
        <f t="shared" si="1972"/>
        <v>06/05/2020 14:57:38.299</v>
      </c>
      <c r="C3551" t="str">
        <f t="shared" si="1941"/>
        <v>FFDFD3C0</v>
      </c>
      <c r="D3551" t="s">
        <v>148</v>
      </c>
      <c r="E3551">
        <v>11</v>
      </c>
      <c r="H3551">
        <v>53</v>
      </c>
      <c r="I3551" t="s">
        <v>364</v>
      </c>
      <c r="J3551" t="s">
        <v>150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973"/>
        <v>14:57:43.961</v>
      </c>
      <c r="T3551" t="str">
        <f t="shared" si="1973"/>
        <v>14:57:43.961</v>
      </c>
      <c r="U3551" t="str">
        <f t="shared" si="1958"/>
        <v>ACC530</v>
      </c>
      <c r="V3551">
        <v>0</v>
      </c>
      <c r="W3551">
        <v>0</v>
      </c>
      <c r="X3551">
        <v>1</v>
      </c>
      <c r="Z3551">
        <v>0</v>
      </c>
      <c r="AA3551">
        <v>9</v>
      </c>
      <c r="AB3551">
        <v>3</v>
      </c>
      <c r="AC3551">
        <v>0</v>
      </c>
      <c r="AD3551">
        <v>9</v>
      </c>
      <c r="AE3551">
        <v>0</v>
      </c>
      <c r="AF3551">
        <v>3</v>
      </c>
      <c r="AG3551">
        <v>1</v>
      </c>
      <c r="AH3551">
        <v>0</v>
      </c>
      <c r="AI3551" t="s">
        <v>1162</v>
      </c>
      <c r="AJ3551">
        <v>34.080877000000001</v>
      </c>
      <c r="AK3551" t="s">
        <v>1163</v>
      </c>
      <c r="AL3551">
        <v>-117.022784</v>
      </c>
      <c r="AM3551">
        <v>100</v>
      </c>
      <c r="AN3551">
        <v>5400</v>
      </c>
      <c r="AO3551" t="s">
        <v>118</v>
      </c>
      <c r="AP3551">
        <v>86</v>
      </c>
      <c r="AQ3551">
        <v>-58</v>
      </c>
      <c r="AR3551">
        <v>-384</v>
      </c>
      <c r="AZ3551">
        <v>1200</v>
      </c>
      <c r="BA3551">
        <v>1</v>
      </c>
      <c r="BB3551" t="str">
        <f t="shared" si="1960"/>
        <v xml:space="preserve">N9217B  </v>
      </c>
      <c r="BC3551">
        <v>1</v>
      </c>
      <c r="BE3551">
        <v>0</v>
      </c>
      <c r="BF3551">
        <v>0</v>
      </c>
      <c r="BG3551">
        <v>0</v>
      </c>
      <c r="BH3551">
        <v>5200</v>
      </c>
      <c r="BI3551">
        <v>1</v>
      </c>
      <c r="BJ3551">
        <v>0</v>
      </c>
      <c r="BK3551">
        <v>0</v>
      </c>
      <c r="BL3551">
        <v>0</v>
      </c>
      <c r="BO3551">
        <v>0</v>
      </c>
      <c r="BP3551">
        <v>0</v>
      </c>
      <c r="BW3551" t="str">
        <f t="shared" si="1974"/>
        <v>14:57:43.967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7</v>
      </c>
      <c r="CP3551" t="s">
        <v>119</v>
      </c>
      <c r="CQ3551">
        <v>285</v>
      </c>
      <c r="CR3551">
        <v>0</v>
      </c>
      <c r="CW3551">
        <v>8880652</v>
      </c>
      <c r="CY3551">
        <v>0</v>
      </c>
      <c r="CZ3551">
        <v>0</v>
      </c>
      <c r="DA3551">
        <v>1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25">
      <c r="A3552" t="str">
        <f t="shared" si="1972"/>
        <v>06/05/2020 14:57:38.299</v>
      </c>
      <c r="C3552" t="str">
        <f t="shared" si="1941"/>
        <v>FFDFD3C0</v>
      </c>
      <c r="D3552" t="s">
        <v>141</v>
      </c>
      <c r="E3552">
        <v>20</v>
      </c>
      <c r="F3552">
        <v>1020</v>
      </c>
      <c r="G3552" t="s">
        <v>114</v>
      </c>
      <c r="J3552" t="s">
        <v>142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1973"/>
        <v>14:57:43.961</v>
      </c>
      <c r="T3552" t="str">
        <f t="shared" si="1973"/>
        <v>14:57:43.961</v>
      </c>
      <c r="U3552" t="str">
        <f t="shared" si="1958"/>
        <v>ACC530</v>
      </c>
      <c r="V3552">
        <v>0</v>
      </c>
      <c r="W3552">
        <v>0</v>
      </c>
      <c r="X3552">
        <v>1</v>
      </c>
      <c r="Z3552">
        <v>0</v>
      </c>
      <c r="AA3552">
        <v>9</v>
      </c>
      <c r="AB3552">
        <v>3</v>
      </c>
      <c r="AC3552">
        <v>0</v>
      </c>
      <c r="AD3552">
        <v>9</v>
      </c>
      <c r="AE3552">
        <v>0</v>
      </c>
      <c r="AF3552">
        <v>3</v>
      </c>
      <c r="AG3552">
        <v>1</v>
      </c>
      <c r="AH3552">
        <v>0</v>
      </c>
      <c r="AI3552" t="s">
        <v>1162</v>
      </c>
      <c r="AJ3552">
        <v>34.080877000000001</v>
      </c>
      <c r="AK3552" t="s">
        <v>1163</v>
      </c>
      <c r="AL3552">
        <v>-117.022784</v>
      </c>
      <c r="AM3552">
        <v>100</v>
      </c>
      <c r="AN3552">
        <v>5400</v>
      </c>
      <c r="AO3552" t="s">
        <v>118</v>
      </c>
      <c r="AP3552">
        <v>86</v>
      </c>
      <c r="AQ3552">
        <v>-58</v>
      </c>
      <c r="AR3552">
        <v>-384</v>
      </c>
      <c r="AZ3552">
        <v>1200</v>
      </c>
      <c r="BA3552">
        <v>1</v>
      </c>
      <c r="BB3552" t="str">
        <f t="shared" si="1960"/>
        <v xml:space="preserve">N9217B  </v>
      </c>
      <c r="BC3552">
        <v>1</v>
      </c>
      <c r="BE3552">
        <v>0</v>
      </c>
      <c r="BF3552">
        <v>0</v>
      </c>
      <c r="BG3552">
        <v>0</v>
      </c>
      <c r="BH3552">
        <v>5200</v>
      </c>
      <c r="BI3552">
        <v>1</v>
      </c>
      <c r="BJ3552">
        <v>0</v>
      </c>
      <c r="BK3552">
        <v>0</v>
      </c>
      <c r="BL3552">
        <v>0</v>
      </c>
      <c r="BO3552">
        <v>0</v>
      </c>
      <c r="BP3552">
        <v>0</v>
      </c>
      <c r="BW3552" t="str">
        <f t="shared" si="1974"/>
        <v>14:57:43.967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7</v>
      </c>
      <c r="CP3552" t="s">
        <v>119</v>
      </c>
      <c r="CQ3552">
        <v>285</v>
      </c>
      <c r="CR3552">
        <v>0</v>
      </c>
      <c r="CW3552">
        <v>8880652</v>
      </c>
      <c r="CY3552">
        <v>0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25">
      <c r="A3553" t="str">
        <f t="shared" si="1972"/>
        <v>06/05/2020 14:57:38.299</v>
      </c>
      <c r="C3553" t="str">
        <f t="shared" si="1941"/>
        <v>FFDFD3C0</v>
      </c>
      <c r="D3553" t="s">
        <v>113</v>
      </c>
      <c r="E3553">
        <v>3</v>
      </c>
      <c r="H3553">
        <v>166</v>
      </c>
      <c r="I3553" t="s">
        <v>114</v>
      </c>
      <c r="J3553" t="s">
        <v>115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1973"/>
        <v>14:57:43.961</v>
      </c>
      <c r="T3553" t="str">
        <f t="shared" si="1973"/>
        <v>14:57:43.961</v>
      </c>
      <c r="U3553" t="str">
        <f t="shared" si="1958"/>
        <v>ACC530</v>
      </c>
      <c r="V3553">
        <v>0</v>
      </c>
      <c r="W3553">
        <v>0</v>
      </c>
      <c r="X3553">
        <v>1</v>
      </c>
      <c r="Z3553">
        <v>0</v>
      </c>
      <c r="AA3553">
        <v>9</v>
      </c>
      <c r="AB3553">
        <v>3</v>
      </c>
      <c r="AC3553">
        <v>0</v>
      </c>
      <c r="AD3553">
        <v>9</v>
      </c>
      <c r="AE3553">
        <v>0</v>
      </c>
      <c r="AF3553">
        <v>3</v>
      </c>
      <c r="AG3553">
        <v>1</v>
      </c>
      <c r="AH3553">
        <v>0</v>
      </c>
      <c r="AI3553" t="s">
        <v>1162</v>
      </c>
      <c r="AJ3553">
        <v>34.080877000000001</v>
      </c>
      <c r="AK3553" t="s">
        <v>1163</v>
      </c>
      <c r="AL3553">
        <v>-117.022784</v>
      </c>
      <c r="AM3553">
        <v>100</v>
      </c>
      <c r="AN3553">
        <v>5400</v>
      </c>
      <c r="AO3553" t="s">
        <v>118</v>
      </c>
      <c r="AP3553">
        <v>86</v>
      </c>
      <c r="AQ3553">
        <v>-58</v>
      </c>
      <c r="AR3553">
        <v>-384</v>
      </c>
      <c r="AZ3553">
        <v>1200</v>
      </c>
      <c r="BA3553">
        <v>1</v>
      </c>
      <c r="BB3553" t="str">
        <f t="shared" si="1960"/>
        <v xml:space="preserve">N9217B  </v>
      </c>
      <c r="BC3553">
        <v>1</v>
      </c>
      <c r="BE3553">
        <v>0</v>
      </c>
      <c r="BF3553">
        <v>0</v>
      </c>
      <c r="BG3553">
        <v>0</v>
      </c>
      <c r="BH3553">
        <v>5200</v>
      </c>
      <c r="BI3553">
        <v>1</v>
      </c>
      <c r="BJ3553">
        <v>0</v>
      </c>
      <c r="BK3553">
        <v>0</v>
      </c>
      <c r="BL3553">
        <v>0</v>
      </c>
      <c r="BO3553">
        <v>0</v>
      </c>
      <c r="BP3553">
        <v>0</v>
      </c>
      <c r="BW3553" t="str">
        <f t="shared" si="1974"/>
        <v>14:57:43.967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7</v>
      </c>
      <c r="CP3553" t="s">
        <v>119</v>
      </c>
      <c r="CQ3553">
        <v>285</v>
      </c>
      <c r="CR3553">
        <v>0</v>
      </c>
      <c r="CW3553">
        <v>8880652</v>
      </c>
      <c r="CY3553">
        <v>0</v>
      </c>
      <c r="CZ3553">
        <v>0</v>
      </c>
      <c r="DA3553">
        <v>1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25">
      <c r="A3554" t="str">
        <f t="shared" si="1972"/>
        <v>06/05/2020 14:57:38.299</v>
      </c>
      <c r="C3554" t="str">
        <f t="shared" si="1941"/>
        <v>FFDFD3C0</v>
      </c>
      <c r="D3554" t="s">
        <v>148</v>
      </c>
      <c r="E3554">
        <v>8</v>
      </c>
      <c r="H3554">
        <v>50</v>
      </c>
      <c r="I3554" t="s">
        <v>149</v>
      </c>
      <c r="J3554" t="s">
        <v>150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973"/>
        <v>14:57:43.961</v>
      </c>
      <c r="T3554" t="str">
        <f t="shared" si="1973"/>
        <v>14:57:43.961</v>
      </c>
      <c r="U3554" t="str">
        <f t="shared" si="1958"/>
        <v>ACC530</v>
      </c>
      <c r="V3554">
        <v>0</v>
      </c>
      <c r="W3554">
        <v>0</v>
      </c>
      <c r="X3554">
        <v>1</v>
      </c>
      <c r="Z3554">
        <v>0</v>
      </c>
      <c r="AA3554">
        <v>9</v>
      </c>
      <c r="AB3554">
        <v>3</v>
      </c>
      <c r="AC3554">
        <v>0</v>
      </c>
      <c r="AD3554">
        <v>9</v>
      </c>
      <c r="AE3554">
        <v>0</v>
      </c>
      <c r="AF3554">
        <v>3</v>
      </c>
      <c r="AG3554">
        <v>1</v>
      </c>
      <c r="AH3554">
        <v>0</v>
      </c>
      <c r="AI3554" t="s">
        <v>1162</v>
      </c>
      <c r="AJ3554">
        <v>34.080877000000001</v>
      </c>
      <c r="AK3554" t="s">
        <v>1163</v>
      </c>
      <c r="AL3554">
        <v>-117.022784</v>
      </c>
      <c r="AM3554">
        <v>100</v>
      </c>
      <c r="AN3554">
        <v>5400</v>
      </c>
      <c r="AO3554" t="s">
        <v>118</v>
      </c>
      <c r="AP3554">
        <v>86</v>
      </c>
      <c r="AQ3554">
        <v>-58</v>
      </c>
      <c r="AR3554">
        <v>-384</v>
      </c>
      <c r="AZ3554">
        <v>1200</v>
      </c>
      <c r="BA3554">
        <v>1</v>
      </c>
      <c r="BB3554" t="str">
        <f t="shared" si="1960"/>
        <v xml:space="preserve">N9217B  </v>
      </c>
      <c r="BC3554">
        <v>1</v>
      </c>
      <c r="BE3554">
        <v>0</v>
      </c>
      <c r="BF3554">
        <v>0</v>
      </c>
      <c r="BG3554">
        <v>0</v>
      </c>
      <c r="BH3554">
        <v>5200</v>
      </c>
      <c r="BI3554">
        <v>1</v>
      </c>
      <c r="BJ3554">
        <v>0</v>
      </c>
      <c r="BK3554">
        <v>0</v>
      </c>
      <c r="BL3554">
        <v>0</v>
      </c>
      <c r="BO3554">
        <v>0</v>
      </c>
      <c r="BP3554">
        <v>0</v>
      </c>
      <c r="BW3554" t="str">
        <f t="shared" si="1974"/>
        <v>14:57:43.967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7</v>
      </c>
      <c r="CP3554" t="s">
        <v>119</v>
      </c>
      <c r="CQ3554">
        <v>285</v>
      </c>
      <c r="CR3554">
        <v>0</v>
      </c>
      <c r="CW3554">
        <v>8880652</v>
      </c>
      <c r="CY3554">
        <v>0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25">
      <c r="A3555" t="str">
        <f t="shared" si="1972"/>
        <v>06/05/2020 14:57:38.299</v>
      </c>
      <c r="C3555" t="str">
        <f t="shared" ref="C3555:C3618" si="1975">"FFDFD3C0"</f>
        <v>FFDFD3C0</v>
      </c>
      <c r="D3555" t="s">
        <v>151</v>
      </c>
      <c r="E3555">
        <v>8</v>
      </c>
      <c r="H3555">
        <v>225</v>
      </c>
      <c r="I3555" t="s">
        <v>353</v>
      </c>
      <c r="J3555" t="s">
        <v>150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973"/>
        <v>14:57:43.961</v>
      </c>
      <c r="T3555" t="str">
        <f t="shared" si="1973"/>
        <v>14:57:43.961</v>
      </c>
      <c r="U3555" t="str">
        <f t="shared" si="1958"/>
        <v>ACC530</v>
      </c>
      <c r="V3555">
        <v>0</v>
      </c>
      <c r="W3555">
        <v>0</v>
      </c>
      <c r="X3555">
        <v>1</v>
      </c>
      <c r="Z3555">
        <v>0</v>
      </c>
      <c r="AA3555">
        <v>9</v>
      </c>
      <c r="AB3555">
        <v>3</v>
      </c>
      <c r="AC3555">
        <v>0</v>
      </c>
      <c r="AD3555">
        <v>9</v>
      </c>
      <c r="AE3555">
        <v>0</v>
      </c>
      <c r="AF3555">
        <v>3</v>
      </c>
      <c r="AG3555">
        <v>1</v>
      </c>
      <c r="AH3555">
        <v>0</v>
      </c>
      <c r="AI3555" t="s">
        <v>1162</v>
      </c>
      <c r="AJ3555">
        <v>34.080877000000001</v>
      </c>
      <c r="AK3555" t="s">
        <v>1163</v>
      </c>
      <c r="AL3555">
        <v>-117.022784</v>
      </c>
      <c r="AM3555">
        <v>100</v>
      </c>
      <c r="AN3555">
        <v>5400</v>
      </c>
      <c r="AO3555" t="s">
        <v>118</v>
      </c>
      <c r="AP3555">
        <v>86</v>
      </c>
      <c r="AQ3555">
        <v>-58</v>
      </c>
      <c r="AR3555">
        <v>-384</v>
      </c>
      <c r="AZ3555">
        <v>1200</v>
      </c>
      <c r="BA3555">
        <v>1</v>
      </c>
      <c r="BB3555" t="str">
        <f t="shared" si="1960"/>
        <v xml:space="preserve">N9217B  </v>
      </c>
      <c r="BC3555">
        <v>1</v>
      </c>
      <c r="BE3555">
        <v>0</v>
      </c>
      <c r="BF3555">
        <v>0</v>
      </c>
      <c r="BG3555">
        <v>0</v>
      </c>
      <c r="BH3555">
        <v>5200</v>
      </c>
      <c r="BI3555">
        <v>1</v>
      </c>
      <c r="BJ3555">
        <v>0</v>
      </c>
      <c r="BK3555">
        <v>0</v>
      </c>
      <c r="BL3555">
        <v>0</v>
      </c>
      <c r="BO3555">
        <v>0</v>
      </c>
      <c r="BP3555">
        <v>0</v>
      </c>
      <c r="BW3555" t="str">
        <f t="shared" si="1974"/>
        <v>14:57:43.967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7</v>
      </c>
      <c r="CP3555" t="s">
        <v>119</v>
      </c>
      <c r="CQ3555">
        <v>285</v>
      </c>
      <c r="CR3555">
        <v>0</v>
      </c>
      <c r="CW3555">
        <v>8880652</v>
      </c>
      <c r="CY3555">
        <v>0</v>
      </c>
      <c r="CZ3555">
        <v>0</v>
      </c>
      <c r="DA3555">
        <v>1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25">
      <c r="A3556" t="str">
        <f t="shared" si="1972"/>
        <v>06/05/2020 14:57:38.299</v>
      </c>
      <c r="C3556" t="str">
        <f t="shared" si="1975"/>
        <v>FFDFD3C0</v>
      </c>
      <c r="D3556" t="s">
        <v>151</v>
      </c>
      <c r="E3556">
        <v>9</v>
      </c>
      <c r="H3556">
        <v>226</v>
      </c>
      <c r="I3556" t="s">
        <v>152</v>
      </c>
      <c r="J3556" t="s">
        <v>150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973"/>
        <v>14:57:43.961</v>
      </c>
      <c r="T3556" t="str">
        <f t="shared" si="1973"/>
        <v>14:57:43.961</v>
      </c>
      <c r="U3556" t="str">
        <f t="shared" si="1958"/>
        <v>ACC530</v>
      </c>
      <c r="V3556">
        <v>0</v>
      </c>
      <c r="W3556">
        <v>0</v>
      </c>
      <c r="X3556">
        <v>1</v>
      </c>
      <c r="Z3556">
        <v>0</v>
      </c>
      <c r="AA3556">
        <v>9</v>
      </c>
      <c r="AB3556">
        <v>3</v>
      </c>
      <c r="AC3556">
        <v>0</v>
      </c>
      <c r="AD3556">
        <v>9</v>
      </c>
      <c r="AE3556">
        <v>0</v>
      </c>
      <c r="AF3556">
        <v>3</v>
      </c>
      <c r="AG3556">
        <v>1</v>
      </c>
      <c r="AH3556">
        <v>0</v>
      </c>
      <c r="AI3556" t="s">
        <v>1162</v>
      </c>
      <c r="AJ3556">
        <v>34.080877000000001</v>
      </c>
      <c r="AK3556" t="s">
        <v>1163</v>
      </c>
      <c r="AL3556">
        <v>-117.022784</v>
      </c>
      <c r="AM3556">
        <v>100</v>
      </c>
      <c r="AN3556">
        <v>5400</v>
      </c>
      <c r="AO3556" t="s">
        <v>118</v>
      </c>
      <c r="AP3556">
        <v>86</v>
      </c>
      <c r="AQ3556">
        <v>-58</v>
      </c>
      <c r="AR3556">
        <v>-384</v>
      </c>
      <c r="AZ3556">
        <v>1200</v>
      </c>
      <c r="BA3556">
        <v>1</v>
      </c>
      <c r="BB3556" t="str">
        <f t="shared" si="1960"/>
        <v xml:space="preserve">N9217B  </v>
      </c>
      <c r="BC3556">
        <v>1</v>
      </c>
      <c r="BE3556">
        <v>0</v>
      </c>
      <c r="BF3556">
        <v>0</v>
      </c>
      <c r="BG3556">
        <v>0</v>
      </c>
      <c r="BH3556">
        <v>5200</v>
      </c>
      <c r="BI3556">
        <v>1</v>
      </c>
      <c r="BJ3556">
        <v>0</v>
      </c>
      <c r="BK3556">
        <v>0</v>
      </c>
      <c r="BL3556">
        <v>0</v>
      </c>
      <c r="BO3556">
        <v>0</v>
      </c>
      <c r="BP3556">
        <v>0</v>
      </c>
      <c r="BW3556" t="str">
        <f t="shared" si="1974"/>
        <v>14:57:43.967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7</v>
      </c>
      <c r="CP3556" t="s">
        <v>119</v>
      </c>
      <c r="CQ3556">
        <v>285</v>
      </c>
      <c r="CR3556">
        <v>0</v>
      </c>
      <c r="CW3556">
        <v>8880652</v>
      </c>
      <c r="CY3556">
        <v>0</v>
      </c>
      <c r="CZ3556">
        <v>0</v>
      </c>
      <c r="DA3556">
        <v>1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25">
      <c r="A3557" t="str">
        <f t="shared" ref="A3557:A3563" si="1976">"06/05/2020 14:57:39.307"</f>
        <v>06/05/2020 14:57:39.307</v>
      </c>
      <c r="C3557" t="str">
        <f t="shared" si="1975"/>
        <v>FFDFD3C0</v>
      </c>
      <c r="D3557" t="s">
        <v>134</v>
      </c>
      <c r="E3557">
        <v>7</v>
      </c>
      <c r="F3557">
        <v>2007</v>
      </c>
      <c r="G3557" t="s">
        <v>135</v>
      </c>
      <c r="J3557" t="s">
        <v>136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ref="S3557:S3563" si="1977">"14:57:44.953"</f>
        <v>14:57:44.953</v>
      </c>
      <c r="T3557" t="str">
        <f t="shared" ref="T3557:T3563" si="1978">"14:57:44.553"</f>
        <v>14:57:44.553</v>
      </c>
      <c r="U3557" t="str">
        <f t="shared" si="1958"/>
        <v>ACC530</v>
      </c>
      <c r="V3557">
        <v>0</v>
      </c>
      <c r="W3557">
        <v>0</v>
      </c>
      <c r="X3557">
        <v>1</v>
      </c>
      <c r="Z3557">
        <v>0</v>
      </c>
      <c r="AA3557">
        <v>9</v>
      </c>
      <c r="AB3557">
        <v>3</v>
      </c>
      <c r="AC3557">
        <v>0</v>
      </c>
      <c r="AD3557">
        <v>9</v>
      </c>
      <c r="AE3557">
        <v>0</v>
      </c>
      <c r="AF3557">
        <v>3</v>
      </c>
      <c r="AG3557">
        <v>1</v>
      </c>
      <c r="AH3557">
        <v>0</v>
      </c>
      <c r="AI3557" t="s">
        <v>1164</v>
      </c>
      <c r="AJ3557">
        <v>34.080620000000003</v>
      </c>
      <c r="AK3557" t="s">
        <v>1165</v>
      </c>
      <c r="AL3557">
        <v>-117.022312</v>
      </c>
      <c r="AM3557">
        <v>100</v>
      </c>
      <c r="AN3557">
        <v>5400</v>
      </c>
      <c r="AO3557" t="s">
        <v>118</v>
      </c>
      <c r="AP3557">
        <v>87</v>
      </c>
      <c r="AQ3557">
        <v>-58</v>
      </c>
      <c r="AR3557">
        <v>-448</v>
      </c>
      <c r="AZ3557">
        <v>1200</v>
      </c>
      <c r="BA3557">
        <v>1</v>
      </c>
      <c r="BB3557" t="str">
        <f t="shared" si="1960"/>
        <v xml:space="preserve">N9217B  </v>
      </c>
      <c r="BC3557">
        <v>1</v>
      </c>
      <c r="BE3557">
        <v>0</v>
      </c>
      <c r="BF3557">
        <v>0</v>
      </c>
      <c r="BG3557">
        <v>0</v>
      </c>
      <c r="BH3557">
        <v>5200</v>
      </c>
      <c r="BI3557">
        <v>1</v>
      </c>
      <c r="BJ3557">
        <v>0</v>
      </c>
      <c r="BK3557">
        <v>0</v>
      </c>
      <c r="BL3557">
        <v>0</v>
      </c>
      <c r="BO3557">
        <v>0</v>
      </c>
      <c r="BP3557">
        <v>0</v>
      </c>
      <c r="BW3557" t="str">
        <f t="shared" ref="BW3557:BW3563" si="1979">"14:57:44.957"</f>
        <v>14:57:44.957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7</v>
      </c>
      <c r="CP3557" t="s">
        <v>119</v>
      </c>
      <c r="CQ3557">
        <v>285</v>
      </c>
      <c r="CR3557">
        <v>0</v>
      </c>
      <c r="CW3557">
        <v>8880738</v>
      </c>
      <c r="CY3557">
        <v>0</v>
      </c>
      <c r="CZ3557">
        <v>0</v>
      </c>
      <c r="DA3557">
        <v>0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25">
      <c r="A3558" t="str">
        <f t="shared" si="1976"/>
        <v>06/05/2020 14:57:39.307</v>
      </c>
      <c r="C3558" t="str">
        <f t="shared" si="1975"/>
        <v>FFDFD3C0</v>
      </c>
      <c r="D3558" t="s">
        <v>151</v>
      </c>
      <c r="E3558">
        <v>9</v>
      </c>
      <c r="H3558">
        <v>226</v>
      </c>
      <c r="I3558" t="s">
        <v>152</v>
      </c>
      <c r="J3558" t="s">
        <v>150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977"/>
        <v>14:57:44.953</v>
      </c>
      <c r="T3558" t="str">
        <f t="shared" si="1978"/>
        <v>14:57:44.553</v>
      </c>
      <c r="U3558" t="str">
        <f t="shared" si="1958"/>
        <v>ACC530</v>
      </c>
      <c r="V3558">
        <v>0</v>
      </c>
      <c r="W3558">
        <v>0</v>
      </c>
      <c r="X3558">
        <v>1</v>
      </c>
      <c r="Z3558">
        <v>0</v>
      </c>
      <c r="AA3558">
        <v>9</v>
      </c>
      <c r="AB3558">
        <v>3</v>
      </c>
      <c r="AC3558">
        <v>0</v>
      </c>
      <c r="AD3558">
        <v>9</v>
      </c>
      <c r="AE3558">
        <v>0</v>
      </c>
      <c r="AF3558">
        <v>3</v>
      </c>
      <c r="AG3558">
        <v>1</v>
      </c>
      <c r="AH3558">
        <v>0</v>
      </c>
      <c r="AI3558" t="s">
        <v>1164</v>
      </c>
      <c r="AJ3558">
        <v>34.080620000000003</v>
      </c>
      <c r="AK3558" t="s">
        <v>1165</v>
      </c>
      <c r="AL3558">
        <v>-117.022312</v>
      </c>
      <c r="AM3558">
        <v>100</v>
      </c>
      <c r="AN3558">
        <v>5400</v>
      </c>
      <c r="AO3558" t="s">
        <v>118</v>
      </c>
      <c r="AP3558">
        <v>87</v>
      </c>
      <c r="AQ3558">
        <v>-58</v>
      </c>
      <c r="AR3558">
        <v>-448</v>
      </c>
      <c r="AZ3558">
        <v>1200</v>
      </c>
      <c r="BA3558">
        <v>1</v>
      </c>
      <c r="BB3558" t="str">
        <f t="shared" si="1960"/>
        <v xml:space="preserve">N9217B  </v>
      </c>
      <c r="BC3558">
        <v>1</v>
      </c>
      <c r="BE3558">
        <v>0</v>
      </c>
      <c r="BF3558">
        <v>0</v>
      </c>
      <c r="BG3558">
        <v>0</v>
      </c>
      <c r="BH3558">
        <v>5200</v>
      </c>
      <c r="BI3558">
        <v>1</v>
      </c>
      <c r="BJ3558">
        <v>0</v>
      </c>
      <c r="BK3558">
        <v>0</v>
      </c>
      <c r="BL3558">
        <v>0</v>
      </c>
      <c r="BO3558">
        <v>0</v>
      </c>
      <c r="BP3558">
        <v>0</v>
      </c>
      <c r="BW3558" t="str">
        <f t="shared" si="1979"/>
        <v>14:57:44.957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7</v>
      </c>
      <c r="CP3558" t="s">
        <v>119</v>
      </c>
      <c r="CQ3558">
        <v>285</v>
      </c>
      <c r="CR3558">
        <v>0</v>
      </c>
      <c r="CW3558">
        <v>8880738</v>
      </c>
      <c r="CY3558">
        <v>0</v>
      </c>
      <c r="CZ3558">
        <v>0</v>
      </c>
      <c r="DA3558">
        <v>1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25">
      <c r="A3559" t="str">
        <f t="shared" si="1976"/>
        <v>06/05/2020 14:57:39.307</v>
      </c>
      <c r="C3559" t="str">
        <f t="shared" si="1975"/>
        <v>FFDFD3C0</v>
      </c>
      <c r="D3559" t="s">
        <v>141</v>
      </c>
      <c r="E3559">
        <v>20</v>
      </c>
      <c r="F3559">
        <v>1020</v>
      </c>
      <c r="G3559" t="s">
        <v>114</v>
      </c>
      <c r="J3559" t="s">
        <v>142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977"/>
        <v>14:57:44.953</v>
      </c>
      <c r="T3559" t="str">
        <f t="shared" si="1978"/>
        <v>14:57:44.553</v>
      </c>
      <c r="U3559" t="str">
        <f t="shared" si="1958"/>
        <v>ACC530</v>
      </c>
      <c r="V3559">
        <v>0</v>
      </c>
      <c r="W3559">
        <v>0</v>
      </c>
      <c r="X3559">
        <v>1</v>
      </c>
      <c r="Z3559">
        <v>0</v>
      </c>
      <c r="AA3559">
        <v>9</v>
      </c>
      <c r="AB3559">
        <v>3</v>
      </c>
      <c r="AC3559">
        <v>0</v>
      </c>
      <c r="AD3559">
        <v>9</v>
      </c>
      <c r="AE3559">
        <v>0</v>
      </c>
      <c r="AF3559">
        <v>3</v>
      </c>
      <c r="AG3559">
        <v>1</v>
      </c>
      <c r="AH3559">
        <v>0</v>
      </c>
      <c r="AI3559" t="s">
        <v>1164</v>
      </c>
      <c r="AJ3559">
        <v>34.080620000000003</v>
      </c>
      <c r="AK3559" t="s">
        <v>1165</v>
      </c>
      <c r="AL3559">
        <v>-117.022312</v>
      </c>
      <c r="AM3559">
        <v>100</v>
      </c>
      <c r="AN3559">
        <v>5400</v>
      </c>
      <c r="AO3559" t="s">
        <v>118</v>
      </c>
      <c r="AP3559">
        <v>87</v>
      </c>
      <c r="AQ3559">
        <v>-58</v>
      </c>
      <c r="AR3559">
        <v>-448</v>
      </c>
      <c r="AZ3559">
        <v>1200</v>
      </c>
      <c r="BA3559">
        <v>1</v>
      </c>
      <c r="BB3559" t="str">
        <f t="shared" si="1960"/>
        <v xml:space="preserve">N9217B  </v>
      </c>
      <c r="BC3559">
        <v>1</v>
      </c>
      <c r="BE3559">
        <v>0</v>
      </c>
      <c r="BF3559">
        <v>0</v>
      </c>
      <c r="BG3559">
        <v>0</v>
      </c>
      <c r="BH3559">
        <v>5200</v>
      </c>
      <c r="BI3559">
        <v>1</v>
      </c>
      <c r="BJ3559">
        <v>0</v>
      </c>
      <c r="BK3559">
        <v>0</v>
      </c>
      <c r="BL3559">
        <v>0</v>
      </c>
      <c r="BO3559">
        <v>0</v>
      </c>
      <c r="BP3559">
        <v>0</v>
      </c>
      <c r="BW3559" t="str">
        <f t="shared" si="1979"/>
        <v>14:57:44.957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7</v>
      </c>
      <c r="CP3559" t="s">
        <v>119</v>
      </c>
      <c r="CQ3559">
        <v>285</v>
      </c>
      <c r="CR3559">
        <v>0</v>
      </c>
      <c r="CW3559">
        <v>8880738</v>
      </c>
      <c r="CY3559">
        <v>0</v>
      </c>
      <c r="CZ3559">
        <v>0</v>
      </c>
      <c r="DA3559">
        <v>1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25">
      <c r="A3560" t="str">
        <f t="shared" si="1976"/>
        <v>06/05/2020 14:57:39.307</v>
      </c>
      <c r="C3560" t="str">
        <f t="shared" si="1975"/>
        <v>FFDFD3C0</v>
      </c>
      <c r="D3560" t="s">
        <v>148</v>
      </c>
      <c r="E3560">
        <v>11</v>
      </c>
      <c r="H3560">
        <v>53</v>
      </c>
      <c r="I3560" t="s">
        <v>364</v>
      </c>
      <c r="J3560" t="s">
        <v>150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si="1977"/>
        <v>14:57:44.953</v>
      </c>
      <c r="T3560" t="str">
        <f t="shared" si="1978"/>
        <v>14:57:44.553</v>
      </c>
      <c r="U3560" t="str">
        <f t="shared" si="1958"/>
        <v>ACC530</v>
      </c>
      <c r="V3560">
        <v>0</v>
      </c>
      <c r="W3560">
        <v>0</v>
      </c>
      <c r="X3560">
        <v>1</v>
      </c>
      <c r="Z3560">
        <v>0</v>
      </c>
      <c r="AA3560">
        <v>9</v>
      </c>
      <c r="AB3560">
        <v>3</v>
      </c>
      <c r="AC3560">
        <v>0</v>
      </c>
      <c r="AD3560">
        <v>9</v>
      </c>
      <c r="AE3560">
        <v>0</v>
      </c>
      <c r="AF3560">
        <v>3</v>
      </c>
      <c r="AG3560">
        <v>1</v>
      </c>
      <c r="AH3560">
        <v>0</v>
      </c>
      <c r="AI3560" t="s">
        <v>1164</v>
      </c>
      <c r="AJ3560">
        <v>34.080620000000003</v>
      </c>
      <c r="AK3560" t="s">
        <v>1165</v>
      </c>
      <c r="AL3560">
        <v>-117.022312</v>
      </c>
      <c r="AM3560">
        <v>100</v>
      </c>
      <c r="AN3560">
        <v>5400</v>
      </c>
      <c r="AO3560" t="s">
        <v>118</v>
      </c>
      <c r="AP3560">
        <v>87</v>
      </c>
      <c r="AQ3560">
        <v>-58</v>
      </c>
      <c r="AR3560">
        <v>-448</v>
      </c>
      <c r="AZ3560">
        <v>1200</v>
      </c>
      <c r="BA3560">
        <v>1</v>
      </c>
      <c r="BB3560" t="str">
        <f t="shared" si="1960"/>
        <v xml:space="preserve">N9217B  </v>
      </c>
      <c r="BC3560">
        <v>1</v>
      </c>
      <c r="BE3560">
        <v>0</v>
      </c>
      <c r="BF3560">
        <v>0</v>
      </c>
      <c r="BG3560">
        <v>0</v>
      </c>
      <c r="BH3560">
        <v>5200</v>
      </c>
      <c r="BI3560">
        <v>1</v>
      </c>
      <c r="BJ3560">
        <v>0</v>
      </c>
      <c r="BK3560">
        <v>0</v>
      </c>
      <c r="BL3560">
        <v>0</v>
      </c>
      <c r="BO3560">
        <v>0</v>
      </c>
      <c r="BP3560">
        <v>0</v>
      </c>
      <c r="BW3560" t="str">
        <f t="shared" si="1979"/>
        <v>14:57:44.957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7</v>
      </c>
      <c r="CP3560" t="s">
        <v>119</v>
      </c>
      <c r="CQ3560">
        <v>285</v>
      </c>
      <c r="CR3560">
        <v>0</v>
      </c>
      <c r="CW3560">
        <v>8880738</v>
      </c>
      <c r="CY3560">
        <v>0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25">
      <c r="A3561" t="str">
        <f t="shared" si="1976"/>
        <v>06/05/2020 14:57:39.307</v>
      </c>
      <c r="C3561" t="str">
        <f t="shared" si="1975"/>
        <v>FFDFD3C0</v>
      </c>
      <c r="D3561" t="s">
        <v>113</v>
      </c>
      <c r="E3561">
        <v>3</v>
      </c>
      <c r="H3561">
        <v>166</v>
      </c>
      <c r="I3561" t="s">
        <v>114</v>
      </c>
      <c r="J3561" t="s">
        <v>115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si="1977"/>
        <v>14:57:44.953</v>
      </c>
      <c r="T3561" t="str">
        <f t="shared" si="1978"/>
        <v>14:57:44.553</v>
      </c>
      <c r="U3561" t="str">
        <f t="shared" si="1958"/>
        <v>ACC530</v>
      </c>
      <c r="V3561">
        <v>0</v>
      </c>
      <c r="W3561">
        <v>0</v>
      </c>
      <c r="X3561">
        <v>1</v>
      </c>
      <c r="Z3561">
        <v>0</v>
      </c>
      <c r="AA3561">
        <v>9</v>
      </c>
      <c r="AB3561">
        <v>3</v>
      </c>
      <c r="AC3561">
        <v>0</v>
      </c>
      <c r="AD3561">
        <v>9</v>
      </c>
      <c r="AE3561">
        <v>0</v>
      </c>
      <c r="AF3561">
        <v>3</v>
      </c>
      <c r="AG3561">
        <v>1</v>
      </c>
      <c r="AH3561">
        <v>0</v>
      </c>
      <c r="AI3561" t="s">
        <v>1164</v>
      </c>
      <c r="AJ3561">
        <v>34.080620000000003</v>
      </c>
      <c r="AK3561" t="s">
        <v>1165</v>
      </c>
      <c r="AL3561">
        <v>-117.022312</v>
      </c>
      <c r="AM3561">
        <v>100</v>
      </c>
      <c r="AN3561">
        <v>5400</v>
      </c>
      <c r="AO3561" t="s">
        <v>118</v>
      </c>
      <c r="AP3561">
        <v>87</v>
      </c>
      <c r="AQ3561">
        <v>-58</v>
      </c>
      <c r="AR3561">
        <v>-448</v>
      </c>
      <c r="AZ3561">
        <v>1200</v>
      </c>
      <c r="BA3561">
        <v>1</v>
      </c>
      <c r="BB3561" t="str">
        <f t="shared" si="1960"/>
        <v xml:space="preserve">N9217B  </v>
      </c>
      <c r="BC3561">
        <v>1</v>
      </c>
      <c r="BE3561">
        <v>0</v>
      </c>
      <c r="BF3561">
        <v>0</v>
      </c>
      <c r="BG3561">
        <v>0</v>
      </c>
      <c r="BH3561">
        <v>5200</v>
      </c>
      <c r="BI3561">
        <v>1</v>
      </c>
      <c r="BJ3561">
        <v>0</v>
      </c>
      <c r="BK3561">
        <v>0</v>
      </c>
      <c r="BL3561">
        <v>0</v>
      </c>
      <c r="BO3561">
        <v>0</v>
      </c>
      <c r="BP3561">
        <v>0</v>
      </c>
      <c r="BW3561" t="str">
        <f t="shared" si="1979"/>
        <v>14:57:44.957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7</v>
      </c>
      <c r="CP3561" t="s">
        <v>119</v>
      </c>
      <c r="CQ3561">
        <v>285</v>
      </c>
      <c r="CR3561">
        <v>0</v>
      </c>
      <c r="CW3561">
        <v>8880738</v>
      </c>
      <c r="CY3561">
        <v>0</v>
      </c>
      <c r="CZ3561">
        <v>0</v>
      </c>
      <c r="DA3561">
        <v>1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25">
      <c r="A3562" t="str">
        <f t="shared" si="1976"/>
        <v>06/05/2020 14:57:39.307</v>
      </c>
      <c r="C3562" t="str">
        <f t="shared" si="1975"/>
        <v>FFDFD3C0</v>
      </c>
      <c r="D3562" t="s">
        <v>148</v>
      </c>
      <c r="E3562">
        <v>8</v>
      </c>
      <c r="H3562">
        <v>50</v>
      </c>
      <c r="I3562" t="s">
        <v>149</v>
      </c>
      <c r="J3562" t="s">
        <v>150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si="1977"/>
        <v>14:57:44.953</v>
      </c>
      <c r="T3562" t="str">
        <f t="shared" si="1978"/>
        <v>14:57:44.553</v>
      </c>
      <c r="U3562" t="str">
        <f t="shared" si="1958"/>
        <v>ACC530</v>
      </c>
      <c r="V3562">
        <v>0</v>
      </c>
      <c r="W3562">
        <v>0</v>
      </c>
      <c r="X3562">
        <v>1</v>
      </c>
      <c r="Z3562">
        <v>0</v>
      </c>
      <c r="AA3562">
        <v>9</v>
      </c>
      <c r="AB3562">
        <v>3</v>
      </c>
      <c r="AC3562">
        <v>0</v>
      </c>
      <c r="AD3562">
        <v>9</v>
      </c>
      <c r="AE3562">
        <v>0</v>
      </c>
      <c r="AF3562">
        <v>3</v>
      </c>
      <c r="AG3562">
        <v>1</v>
      </c>
      <c r="AH3562">
        <v>0</v>
      </c>
      <c r="AI3562" t="s">
        <v>1164</v>
      </c>
      <c r="AJ3562">
        <v>34.080620000000003</v>
      </c>
      <c r="AK3562" t="s">
        <v>1165</v>
      </c>
      <c r="AL3562">
        <v>-117.022312</v>
      </c>
      <c r="AM3562">
        <v>100</v>
      </c>
      <c r="AN3562">
        <v>5400</v>
      </c>
      <c r="AO3562" t="s">
        <v>118</v>
      </c>
      <c r="AP3562">
        <v>87</v>
      </c>
      <c r="AQ3562">
        <v>-58</v>
      </c>
      <c r="AR3562">
        <v>-448</v>
      </c>
      <c r="AZ3562">
        <v>1200</v>
      </c>
      <c r="BA3562">
        <v>1</v>
      </c>
      <c r="BB3562" t="str">
        <f t="shared" si="1960"/>
        <v xml:space="preserve">N9217B  </v>
      </c>
      <c r="BC3562">
        <v>1</v>
      </c>
      <c r="BE3562">
        <v>0</v>
      </c>
      <c r="BF3562">
        <v>0</v>
      </c>
      <c r="BG3562">
        <v>0</v>
      </c>
      <c r="BH3562">
        <v>5200</v>
      </c>
      <c r="BI3562">
        <v>1</v>
      </c>
      <c r="BJ3562">
        <v>0</v>
      </c>
      <c r="BK3562">
        <v>0</v>
      </c>
      <c r="BL3562">
        <v>0</v>
      </c>
      <c r="BO3562">
        <v>0</v>
      </c>
      <c r="BP3562">
        <v>0</v>
      </c>
      <c r="BW3562" t="str">
        <f t="shared" si="1979"/>
        <v>14:57:44.957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7</v>
      </c>
      <c r="CP3562" t="s">
        <v>119</v>
      </c>
      <c r="CQ3562">
        <v>285</v>
      </c>
      <c r="CR3562">
        <v>0</v>
      </c>
      <c r="CW3562">
        <v>8880738</v>
      </c>
      <c r="CY3562">
        <v>0</v>
      </c>
      <c r="CZ3562">
        <v>0</v>
      </c>
      <c r="DA3562">
        <v>1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25">
      <c r="A3563" t="str">
        <f t="shared" si="1976"/>
        <v>06/05/2020 14:57:39.307</v>
      </c>
      <c r="C3563" t="str">
        <f t="shared" si="1975"/>
        <v>FFDFD3C0</v>
      </c>
      <c r="D3563" t="s">
        <v>151</v>
      </c>
      <c r="E3563">
        <v>8</v>
      </c>
      <c r="H3563">
        <v>225</v>
      </c>
      <c r="I3563" t="s">
        <v>353</v>
      </c>
      <c r="J3563" t="s">
        <v>150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977"/>
        <v>14:57:44.953</v>
      </c>
      <c r="T3563" t="str">
        <f t="shared" si="1978"/>
        <v>14:57:44.553</v>
      </c>
      <c r="U3563" t="str">
        <f t="shared" si="1958"/>
        <v>ACC530</v>
      </c>
      <c r="V3563">
        <v>0</v>
      </c>
      <c r="W3563">
        <v>0</v>
      </c>
      <c r="X3563">
        <v>1</v>
      </c>
      <c r="Z3563">
        <v>0</v>
      </c>
      <c r="AA3563">
        <v>9</v>
      </c>
      <c r="AB3563">
        <v>3</v>
      </c>
      <c r="AC3563">
        <v>0</v>
      </c>
      <c r="AD3563">
        <v>9</v>
      </c>
      <c r="AE3563">
        <v>0</v>
      </c>
      <c r="AF3563">
        <v>3</v>
      </c>
      <c r="AG3563">
        <v>1</v>
      </c>
      <c r="AH3563">
        <v>0</v>
      </c>
      <c r="AI3563" t="s">
        <v>1164</v>
      </c>
      <c r="AJ3563">
        <v>34.080620000000003</v>
      </c>
      <c r="AK3563" t="s">
        <v>1165</v>
      </c>
      <c r="AL3563">
        <v>-117.022312</v>
      </c>
      <c r="AM3563">
        <v>100</v>
      </c>
      <c r="AN3563">
        <v>5400</v>
      </c>
      <c r="AO3563" t="s">
        <v>118</v>
      </c>
      <c r="AP3563">
        <v>87</v>
      </c>
      <c r="AQ3563">
        <v>-58</v>
      </c>
      <c r="AR3563">
        <v>-448</v>
      </c>
      <c r="AZ3563">
        <v>1200</v>
      </c>
      <c r="BA3563">
        <v>1</v>
      </c>
      <c r="BB3563" t="str">
        <f t="shared" si="1960"/>
        <v xml:space="preserve">N9217B  </v>
      </c>
      <c r="BC3563">
        <v>1</v>
      </c>
      <c r="BE3563">
        <v>0</v>
      </c>
      <c r="BF3563">
        <v>0</v>
      </c>
      <c r="BG3563">
        <v>0</v>
      </c>
      <c r="BH3563">
        <v>5200</v>
      </c>
      <c r="BI3563">
        <v>1</v>
      </c>
      <c r="BJ3563">
        <v>0</v>
      </c>
      <c r="BK3563">
        <v>0</v>
      </c>
      <c r="BL3563">
        <v>0</v>
      </c>
      <c r="BO3563">
        <v>0</v>
      </c>
      <c r="BP3563">
        <v>0</v>
      </c>
      <c r="BW3563" t="str">
        <f t="shared" si="1979"/>
        <v>14:57:44.957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7</v>
      </c>
      <c r="CP3563" t="s">
        <v>119</v>
      </c>
      <c r="CQ3563">
        <v>285</v>
      </c>
      <c r="CR3563">
        <v>0</v>
      </c>
      <c r="CW3563">
        <v>8880738</v>
      </c>
      <c r="CY3563">
        <v>0</v>
      </c>
      <c r="CZ3563">
        <v>0</v>
      </c>
      <c r="DA3563">
        <v>1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25">
      <c r="A3564" t="str">
        <f t="shared" ref="A3564:A3570" si="1980">"06/05/2020 14:57:40.397"</f>
        <v>06/05/2020 14:57:40.397</v>
      </c>
      <c r="C3564" t="str">
        <f t="shared" si="1975"/>
        <v>FFDFD3C0</v>
      </c>
      <c r="D3564" t="s">
        <v>148</v>
      </c>
      <c r="E3564">
        <v>8</v>
      </c>
      <c r="H3564">
        <v>50</v>
      </c>
      <c r="I3564" t="s">
        <v>149</v>
      </c>
      <c r="J3564" t="s">
        <v>150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ref="S3564:S3570" si="1981">"14:57:46.047"</f>
        <v>14:57:46.047</v>
      </c>
      <c r="T3564" t="str">
        <f t="shared" ref="T3564:T3570" si="1982">"14:57:45.547"</f>
        <v>14:57:45.547</v>
      </c>
      <c r="U3564" t="str">
        <f t="shared" si="1958"/>
        <v>ACC530</v>
      </c>
      <c r="V3564">
        <v>0</v>
      </c>
      <c r="W3564">
        <v>0</v>
      </c>
      <c r="X3564">
        <v>1</v>
      </c>
      <c r="Z3564">
        <v>0</v>
      </c>
      <c r="AA3564">
        <v>9</v>
      </c>
      <c r="AB3564">
        <v>3</v>
      </c>
      <c r="AC3564">
        <v>0</v>
      </c>
      <c r="AD3564">
        <v>9</v>
      </c>
      <c r="AE3564">
        <v>0</v>
      </c>
      <c r="AF3564">
        <v>3</v>
      </c>
      <c r="AG3564">
        <v>1</v>
      </c>
      <c r="AH3564">
        <v>0</v>
      </c>
      <c r="AI3564" t="s">
        <v>1166</v>
      </c>
      <c r="AJ3564">
        <v>34.080319000000003</v>
      </c>
      <c r="AK3564" t="s">
        <v>1167</v>
      </c>
      <c r="AL3564">
        <v>-117.02177500000001</v>
      </c>
      <c r="AM3564">
        <v>100</v>
      </c>
      <c r="AN3564">
        <v>5400</v>
      </c>
      <c r="AO3564" t="s">
        <v>118</v>
      </c>
      <c r="AP3564">
        <v>87</v>
      </c>
      <c r="AQ3564">
        <v>-58</v>
      </c>
      <c r="AR3564">
        <v>-448</v>
      </c>
      <c r="AZ3564">
        <v>1200</v>
      </c>
      <c r="BA3564">
        <v>1</v>
      </c>
      <c r="BB3564" t="str">
        <f t="shared" si="1960"/>
        <v xml:space="preserve">N9217B  </v>
      </c>
      <c r="BC3564">
        <v>1</v>
      </c>
      <c r="BE3564">
        <v>0</v>
      </c>
      <c r="BF3564">
        <v>0</v>
      </c>
      <c r="BG3564">
        <v>0</v>
      </c>
      <c r="BH3564">
        <v>5200</v>
      </c>
      <c r="BI3564">
        <v>1</v>
      </c>
      <c r="BJ3564">
        <v>0</v>
      </c>
      <c r="BK3564">
        <v>0</v>
      </c>
      <c r="BL3564">
        <v>0</v>
      </c>
      <c r="BO3564">
        <v>0</v>
      </c>
      <c r="BP3564">
        <v>0</v>
      </c>
      <c r="BW3564" t="str">
        <f t="shared" ref="BW3564:BW3570" si="1983">"14:57:46.051"</f>
        <v>14:57:46.051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6</v>
      </c>
      <c r="CP3564" t="s">
        <v>119</v>
      </c>
      <c r="CQ3564">
        <v>285</v>
      </c>
      <c r="CR3564">
        <v>0</v>
      </c>
      <c r="CW3564">
        <v>8880837</v>
      </c>
      <c r="CY3564">
        <v>0</v>
      </c>
      <c r="CZ3564">
        <v>0</v>
      </c>
      <c r="DA3564">
        <v>0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25">
      <c r="A3565" t="str">
        <f t="shared" si="1980"/>
        <v>06/05/2020 14:57:40.397</v>
      </c>
      <c r="C3565" t="str">
        <f t="shared" si="1975"/>
        <v>FFDFD3C0</v>
      </c>
      <c r="D3565" t="s">
        <v>151</v>
      </c>
      <c r="E3565">
        <v>8</v>
      </c>
      <c r="H3565">
        <v>225</v>
      </c>
      <c r="I3565" t="s">
        <v>353</v>
      </c>
      <c r="J3565" t="s">
        <v>150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981"/>
        <v>14:57:46.047</v>
      </c>
      <c r="T3565" t="str">
        <f t="shared" si="1982"/>
        <v>14:57:45.547</v>
      </c>
      <c r="U3565" t="str">
        <f t="shared" si="1958"/>
        <v>ACC530</v>
      </c>
      <c r="V3565">
        <v>0</v>
      </c>
      <c r="W3565">
        <v>0</v>
      </c>
      <c r="X3565">
        <v>1</v>
      </c>
      <c r="Z3565">
        <v>0</v>
      </c>
      <c r="AA3565">
        <v>9</v>
      </c>
      <c r="AB3565">
        <v>3</v>
      </c>
      <c r="AC3565">
        <v>0</v>
      </c>
      <c r="AD3565">
        <v>9</v>
      </c>
      <c r="AE3565">
        <v>0</v>
      </c>
      <c r="AF3565">
        <v>3</v>
      </c>
      <c r="AG3565">
        <v>1</v>
      </c>
      <c r="AH3565">
        <v>0</v>
      </c>
      <c r="AI3565" t="s">
        <v>1166</v>
      </c>
      <c r="AJ3565">
        <v>34.080319000000003</v>
      </c>
      <c r="AK3565" t="s">
        <v>1167</v>
      </c>
      <c r="AL3565">
        <v>-117.02177500000001</v>
      </c>
      <c r="AM3565">
        <v>100</v>
      </c>
      <c r="AN3565">
        <v>5400</v>
      </c>
      <c r="AO3565" t="s">
        <v>118</v>
      </c>
      <c r="AP3565">
        <v>87</v>
      </c>
      <c r="AQ3565">
        <v>-58</v>
      </c>
      <c r="AR3565">
        <v>-448</v>
      </c>
      <c r="AZ3565">
        <v>1200</v>
      </c>
      <c r="BA3565">
        <v>1</v>
      </c>
      <c r="BB3565" t="str">
        <f t="shared" si="1960"/>
        <v xml:space="preserve">N9217B  </v>
      </c>
      <c r="BC3565">
        <v>1</v>
      </c>
      <c r="BE3565">
        <v>0</v>
      </c>
      <c r="BF3565">
        <v>0</v>
      </c>
      <c r="BG3565">
        <v>0</v>
      </c>
      <c r="BH3565">
        <v>5200</v>
      </c>
      <c r="BI3565">
        <v>1</v>
      </c>
      <c r="BJ3565">
        <v>0</v>
      </c>
      <c r="BK3565">
        <v>0</v>
      </c>
      <c r="BL3565">
        <v>0</v>
      </c>
      <c r="BO3565">
        <v>0</v>
      </c>
      <c r="BP3565">
        <v>0</v>
      </c>
      <c r="BW3565" t="str">
        <f t="shared" si="1983"/>
        <v>14:57:46.051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6</v>
      </c>
      <c r="CP3565" t="s">
        <v>119</v>
      </c>
      <c r="CQ3565">
        <v>285</v>
      </c>
      <c r="CR3565">
        <v>0</v>
      </c>
      <c r="CW3565">
        <v>8880837</v>
      </c>
      <c r="CY3565">
        <v>0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25">
      <c r="A3566" t="str">
        <f t="shared" si="1980"/>
        <v>06/05/2020 14:57:40.397</v>
      </c>
      <c r="C3566" t="str">
        <f t="shared" si="1975"/>
        <v>FFDFD3C0</v>
      </c>
      <c r="D3566" t="s">
        <v>134</v>
      </c>
      <c r="E3566">
        <v>7</v>
      </c>
      <c r="F3566">
        <v>2007</v>
      </c>
      <c r="G3566" t="s">
        <v>135</v>
      </c>
      <c r="J3566" t="s">
        <v>136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981"/>
        <v>14:57:46.047</v>
      </c>
      <c r="T3566" t="str">
        <f t="shared" si="1982"/>
        <v>14:57:45.547</v>
      </c>
      <c r="U3566" t="str">
        <f t="shared" si="1958"/>
        <v>ACC530</v>
      </c>
      <c r="V3566">
        <v>0</v>
      </c>
      <c r="W3566">
        <v>0</v>
      </c>
      <c r="X3566">
        <v>1</v>
      </c>
      <c r="Z3566">
        <v>0</v>
      </c>
      <c r="AA3566">
        <v>9</v>
      </c>
      <c r="AB3566">
        <v>3</v>
      </c>
      <c r="AC3566">
        <v>0</v>
      </c>
      <c r="AD3566">
        <v>9</v>
      </c>
      <c r="AE3566">
        <v>0</v>
      </c>
      <c r="AF3566">
        <v>3</v>
      </c>
      <c r="AG3566">
        <v>1</v>
      </c>
      <c r="AH3566">
        <v>0</v>
      </c>
      <c r="AI3566" t="s">
        <v>1166</v>
      </c>
      <c r="AJ3566">
        <v>34.080319000000003</v>
      </c>
      <c r="AK3566" t="s">
        <v>1167</v>
      </c>
      <c r="AL3566">
        <v>-117.02177500000001</v>
      </c>
      <c r="AM3566">
        <v>100</v>
      </c>
      <c r="AN3566">
        <v>5400</v>
      </c>
      <c r="AO3566" t="s">
        <v>118</v>
      </c>
      <c r="AP3566">
        <v>87</v>
      </c>
      <c r="AQ3566">
        <v>-58</v>
      </c>
      <c r="AR3566">
        <v>-448</v>
      </c>
      <c r="AZ3566">
        <v>1200</v>
      </c>
      <c r="BA3566">
        <v>1</v>
      </c>
      <c r="BB3566" t="str">
        <f t="shared" si="1960"/>
        <v xml:space="preserve">N9217B  </v>
      </c>
      <c r="BC3566">
        <v>1</v>
      </c>
      <c r="BE3566">
        <v>0</v>
      </c>
      <c r="BF3566">
        <v>0</v>
      </c>
      <c r="BG3566">
        <v>0</v>
      </c>
      <c r="BH3566">
        <v>5200</v>
      </c>
      <c r="BI3566">
        <v>1</v>
      </c>
      <c r="BJ3566">
        <v>0</v>
      </c>
      <c r="BK3566">
        <v>0</v>
      </c>
      <c r="BL3566">
        <v>0</v>
      </c>
      <c r="BO3566">
        <v>0</v>
      </c>
      <c r="BP3566">
        <v>0</v>
      </c>
      <c r="BW3566" t="str">
        <f t="shared" si="1983"/>
        <v>14:57:46.051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6</v>
      </c>
      <c r="CP3566" t="s">
        <v>119</v>
      </c>
      <c r="CQ3566">
        <v>285</v>
      </c>
      <c r="CR3566">
        <v>0</v>
      </c>
      <c r="CW3566">
        <v>8880837</v>
      </c>
      <c r="CY3566">
        <v>0</v>
      </c>
      <c r="CZ3566">
        <v>0</v>
      </c>
      <c r="DA3566">
        <v>1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25">
      <c r="A3567" t="str">
        <f t="shared" si="1980"/>
        <v>06/05/2020 14:57:40.397</v>
      </c>
      <c r="C3567" t="str">
        <f t="shared" si="1975"/>
        <v>FFDFD3C0</v>
      </c>
      <c r="D3567" t="s">
        <v>151</v>
      </c>
      <c r="E3567">
        <v>9</v>
      </c>
      <c r="H3567">
        <v>226</v>
      </c>
      <c r="I3567" t="s">
        <v>152</v>
      </c>
      <c r="J3567" t="s">
        <v>150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981"/>
        <v>14:57:46.047</v>
      </c>
      <c r="T3567" t="str">
        <f t="shared" si="1982"/>
        <v>14:57:45.547</v>
      </c>
      <c r="U3567" t="str">
        <f t="shared" si="1958"/>
        <v>ACC530</v>
      </c>
      <c r="V3567">
        <v>0</v>
      </c>
      <c r="W3567">
        <v>0</v>
      </c>
      <c r="X3567">
        <v>1</v>
      </c>
      <c r="Z3567">
        <v>0</v>
      </c>
      <c r="AA3567">
        <v>9</v>
      </c>
      <c r="AB3567">
        <v>3</v>
      </c>
      <c r="AC3567">
        <v>0</v>
      </c>
      <c r="AD3567">
        <v>9</v>
      </c>
      <c r="AE3567">
        <v>0</v>
      </c>
      <c r="AF3567">
        <v>3</v>
      </c>
      <c r="AG3567">
        <v>1</v>
      </c>
      <c r="AH3567">
        <v>0</v>
      </c>
      <c r="AI3567" t="s">
        <v>1166</v>
      </c>
      <c r="AJ3567">
        <v>34.080319000000003</v>
      </c>
      <c r="AK3567" t="s">
        <v>1167</v>
      </c>
      <c r="AL3567">
        <v>-117.02177500000001</v>
      </c>
      <c r="AM3567">
        <v>100</v>
      </c>
      <c r="AN3567">
        <v>5400</v>
      </c>
      <c r="AO3567" t="s">
        <v>118</v>
      </c>
      <c r="AP3567">
        <v>87</v>
      </c>
      <c r="AQ3567">
        <v>-58</v>
      </c>
      <c r="AR3567">
        <v>-448</v>
      </c>
      <c r="AZ3567">
        <v>1200</v>
      </c>
      <c r="BA3567">
        <v>1</v>
      </c>
      <c r="BB3567" t="str">
        <f t="shared" si="1960"/>
        <v xml:space="preserve">N9217B  </v>
      </c>
      <c r="BC3567">
        <v>1</v>
      </c>
      <c r="BE3567">
        <v>0</v>
      </c>
      <c r="BF3567">
        <v>0</v>
      </c>
      <c r="BG3567">
        <v>0</v>
      </c>
      <c r="BH3567">
        <v>5200</v>
      </c>
      <c r="BI3567">
        <v>1</v>
      </c>
      <c r="BJ3567">
        <v>0</v>
      </c>
      <c r="BK3567">
        <v>0</v>
      </c>
      <c r="BL3567">
        <v>0</v>
      </c>
      <c r="BO3567">
        <v>0</v>
      </c>
      <c r="BP3567">
        <v>0</v>
      </c>
      <c r="BW3567" t="str">
        <f t="shared" si="1983"/>
        <v>14:57:46.051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6</v>
      </c>
      <c r="CP3567" t="s">
        <v>119</v>
      </c>
      <c r="CQ3567">
        <v>285</v>
      </c>
      <c r="CR3567">
        <v>0</v>
      </c>
      <c r="CW3567">
        <v>8880837</v>
      </c>
      <c r="CY3567">
        <v>0</v>
      </c>
      <c r="CZ3567">
        <v>0</v>
      </c>
      <c r="DA3567">
        <v>1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25">
      <c r="A3568" t="str">
        <f t="shared" si="1980"/>
        <v>06/05/2020 14:57:40.397</v>
      </c>
      <c r="C3568" t="str">
        <f t="shared" si="1975"/>
        <v>FFDFD3C0</v>
      </c>
      <c r="D3568" t="s">
        <v>141</v>
      </c>
      <c r="E3568">
        <v>20</v>
      </c>
      <c r="F3568">
        <v>1020</v>
      </c>
      <c r="G3568" t="s">
        <v>114</v>
      </c>
      <c r="J3568" t="s">
        <v>142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981"/>
        <v>14:57:46.047</v>
      </c>
      <c r="T3568" t="str">
        <f t="shared" si="1982"/>
        <v>14:57:45.547</v>
      </c>
      <c r="U3568" t="str">
        <f t="shared" si="1958"/>
        <v>ACC530</v>
      </c>
      <c r="V3568">
        <v>0</v>
      </c>
      <c r="W3568">
        <v>0</v>
      </c>
      <c r="X3568">
        <v>1</v>
      </c>
      <c r="Z3568">
        <v>0</v>
      </c>
      <c r="AA3568">
        <v>9</v>
      </c>
      <c r="AB3568">
        <v>3</v>
      </c>
      <c r="AC3568">
        <v>0</v>
      </c>
      <c r="AD3568">
        <v>9</v>
      </c>
      <c r="AE3568">
        <v>0</v>
      </c>
      <c r="AF3568">
        <v>3</v>
      </c>
      <c r="AG3568">
        <v>1</v>
      </c>
      <c r="AH3568">
        <v>0</v>
      </c>
      <c r="AI3568" t="s">
        <v>1166</v>
      </c>
      <c r="AJ3568">
        <v>34.080319000000003</v>
      </c>
      <c r="AK3568" t="s">
        <v>1167</v>
      </c>
      <c r="AL3568">
        <v>-117.02177500000001</v>
      </c>
      <c r="AM3568">
        <v>100</v>
      </c>
      <c r="AN3568">
        <v>5400</v>
      </c>
      <c r="AO3568" t="s">
        <v>118</v>
      </c>
      <c r="AP3568">
        <v>87</v>
      </c>
      <c r="AQ3568">
        <v>-58</v>
      </c>
      <c r="AR3568">
        <v>-448</v>
      </c>
      <c r="AZ3568">
        <v>1200</v>
      </c>
      <c r="BA3568">
        <v>1</v>
      </c>
      <c r="BB3568" t="str">
        <f t="shared" si="1960"/>
        <v xml:space="preserve">N9217B  </v>
      </c>
      <c r="BC3568">
        <v>1</v>
      </c>
      <c r="BE3568">
        <v>0</v>
      </c>
      <c r="BF3568">
        <v>0</v>
      </c>
      <c r="BG3568">
        <v>0</v>
      </c>
      <c r="BH3568">
        <v>5200</v>
      </c>
      <c r="BI3568">
        <v>1</v>
      </c>
      <c r="BJ3568">
        <v>0</v>
      </c>
      <c r="BK3568">
        <v>0</v>
      </c>
      <c r="BL3568">
        <v>0</v>
      </c>
      <c r="BO3568">
        <v>0</v>
      </c>
      <c r="BP3568">
        <v>0</v>
      </c>
      <c r="BW3568" t="str">
        <f t="shared" si="1983"/>
        <v>14:57:46.051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6</v>
      </c>
      <c r="CP3568" t="s">
        <v>119</v>
      </c>
      <c r="CQ3568">
        <v>285</v>
      </c>
      <c r="CR3568">
        <v>0</v>
      </c>
      <c r="CW3568">
        <v>8880837</v>
      </c>
      <c r="CY3568">
        <v>0</v>
      </c>
      <c r="CZ3568">
        <v>0</v>
      </c>
      <c r="DA3568">
        <v>1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25">
      <c r="A3569" t="str">
        <f t="shared" si="1980"/>
        <v>06/05/2020 14:57:40.397</v>
      </c>
      <c r="C3569" t="str">
        <f t="shared" si="1975"/>
        <v>FFDFD3C0</v>
      </c>
      <c r="D3569" t="s">
        <v>148</v>
      </c>
      <c r="E3569">
        <v>11</v>
      </c>
      <c r="H3569">
        <v>53</v>
      </c>
      <c r="I3569" t="s">
        <v>364</v>
      </c>
      <c r="J3569" t="s">
        <v>150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981"/>
        <v>14:57:46.047</v>
      </c>
      <c r="T3569" t="str">
        <f t="shared" si="1982"/>
        <v>14:57:45.547</v>
      </c>
      <c r="U3569" t="str">
        <f t="shared" si="1958"/>
        <v>ACC530</v>
      </c>
      <c r="V3569">
        <v>0</v>
      </c>
      <c r="W3569">
        <v>0</v>
      </c>
      <c r="X3569">
        <v>1</v>
      </c>
      <c r="Z3569">
        <v>0</v>
      </c>
      <c r="AA3569">
        <v>9</v>
      </c>
      <c r="AB3569">
        <v>3</v>
      </c>
      <c r="AC3569">
        <v>0</v>
      </c>
      <c r="AD3569">
        <v>9</v>
      </c>
      <c r="AE3569">
        <v>0</v>
      </c>
      <c r="AF3569">
        <v>3</v>
      </c>
      <c r="AG3569">
        <v>1</v>
      </c>
      <c r="AH3569">
        <v>0</v>
      </c>
      <c r="AI3569" t="s">
        <v>1166</v>
      </c>
      <c r="AJ3569">
        <v>34.080319000000003</v>
      </c>
      <c r="AK3569" t="s">
        <v>1167</v>
      </c>
      <c r="AL3569">
        <v>-117.02177500000001</v>
      </c>
      <c r="AM3569">
        <v>100</v>
      </c>
      <c r="AN3569">
        <v>5400</v>
      </c>
      <c r="AO3569" t="s">
        <v>118</v>
      </c>
      <c r="AP3569">
        <v>87</v>
      </c>
      <c r="AQ3569">
        <v>-58</v>
      </c>
      <c r="AR3569">
        <v>-448</v>
      </c>
      <c r="AZ3569">
        <v>1200</v>
      </c>
      <c r="BA3569">
        <v>1</v>
      </c>
      <c r="BB3569" t="str">
        <f t="shared" si="1960"/>
        <v xml:space="preserve">N9217B  </v>
      </c>
      <c r="BC3569">
        <v>1</v>
      </c>
      <c r="BE3569">
        <v>0</v>
      </c>
      <c r="BF3569">
        <v>0</v>
      </c>
      <c r="BG3569">
        <v>0</v>
      </c>
      <c r="BH3569">
        <v>5200</v>
      </c>
      <c r="BI3569">
        <v>1</v>
      </c>
      <c r="BJ3569">
        <v>0</v>
      </c>
      <c r="BK3569">
        <v>0</v>
      </c>
      <c r="BL3569">
        <v>0</v>
      </c>
      <c r="BO3569">
        <v>0</v>
      </c>
      <c r="BP3569">
        <v>0</v>
      </c>
      <c r="BW3569" t="str">
        <f t="shared" si="1983"/>
        <v>14:57:46.051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6</v>
      </c>
      <c r="CP3569" t="s">
        <v>119</v>
      </c>
      <c r="CQ3569">
        <v>285</v>
      </c>
      <c r="CR3569">
        <v>0</v>
      </c>
      <c r="CW3569">
        <v>8880837</v>
      </c>
      <c r="CY3569">
        <v>0</v>
      </c>
      <c r="CZ3569">
        <v>0</v>
      </c>
      <c r="DA3569">
        <v>1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25">
      <c r="A3570" t="str">
        <f t="shared" si="1980"/>
        <v>06/05/2020 14:57:40.397</v>
      </c>
      <c r="C3570" t="str">
        <f t="shared" si="1975"/>
        <v>FFDFD3C0</v>
      </c>
      <c r="D3570" t="s">
        <v>113</v>
      </c>
      <c r="E3570">
        <v>3</v>
      </c>
      <c r="H3570">
        <v>166</v>
      </c>
      <c r="I3570" t="s">
        <v>114</v>
      </c>
      <c r="J3570" t="s">
        <v>115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 t="shared" si="1981"/>
        <v>14:57:46.047</v>
      </c>
      <c r="T3570" t="str">
        <f t="shared" si="1982"/>
        <v>14:57:45.547</v>
      </c>
      <c r="U3570" t="str">
        <f t="shared" si="1958"/>
        <v>ACC530</v>
      </c>
      <c r="V3570">
        <v>0</v>
      </c>
      <c r="W3570">
        <v>0</v>
      </c>
      <c r="X3570">
        <v>1</v>
      </c>
      <c r="Z3570">
        <v>0</v>
      </c>
      <c r="AA3570">
        <v>9</v>
      </c>
      <c r="AB3570">
        <v>3</v>
      </c>
      <c r="AC3570">
        <v>0</v>
      </c>
      <c r="AD3570">
        <v>9</v>
      </c>
      <c r="AE3570">
        <v>0</v>
      </c>
      <c r="AF3570">
        <v>3</v>
      </c>
      <c r="AG3570">
        <v>1</v>
      </c>
      <c r="AH3570">
        <v>0</v>
      </c>
      <c r="AI3570" t="s">
        <v>1166</v>
      </c>
      <c r="AJ3570">
        <v>34.080319000000003</v>
      </c>
      <c r="AK3570" t="s">
        <v>1167</v>
      </c>
      <c r="AL3570">
        <v>-117.02177500000001</v>
      </c>
      <c r="AM3570">
        <v>100</v>
      </c>
      <c r="AN3570">
        <v>5400</v>
      </c>
      <c r="AO3570" t="s">
        <v>118</v>
      </c>
      <c r="AP3570">
        <v>87</v>
      </c>
      <c r="AQ3570">
        <v>-58</v>
      </c>
      <c r="AR3570">
        <v>-448</v>
      </c>
      <c r="AZ3570">
        <v>1200</v>
      </c>
      <c r="BA3570">
        <v>1</v>
      </c>
      <c r="BB3570" t="str">
        <f t="shared" si="1960"/>
        <v xml:space="preserve">N9217B  </v>
      </c>
      <c r="BC3570">
        <v>1</v>
      </c>
      <c r="BE3570">
        <v>0</v>
      </c>
      <c r="BF3570">
        <v>0</v>
      </c>
      <c r="BG3570">
        <v>0</v>
      </c>
      <c r="BH3570">
        <v>5200</v>
      </c>
      <c r="BI3570">
        <v>1</v>
      </c>
      <c r="BJ3570">
        <v>0</v>
      </c>
      <c r="BK3570">
        <v>0</v>
      </c>
      <c r="BL3570">
        <v>0</v>
      </c>
      <c r="BO3570">
        <v>0</v>
      </c>
      <c r="BP3570">
        <v>0</v>
      </c>
      <c r="BW3570" t="str">
        <f t="shared" si="1983"/>
        <v>14:57:46.051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6</v>
      </c>
      <c r="CP3570" t="s">
        <v>119</v>
      </c>
      <c r="CQ3570">
        <v>285</v>
      </c>
      <c r="CR3570">
        <v>0</v>
      </c>
      <c r="CW3570">
        <v>8880837</v>
      </c>
      <c r="CY3570">
        <v>0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25">
      <c r="A3571" t="str">
        <f t="shared" ref="A3571:A3577" si="1984">"06/05/2020 14:57:41.294"</f>
        <v>06/05/2020 14:57:41.294</v>
      </c>
      <c r="C3571" t="str">
        <f t="shared" si="1975"/>
        <v>FFDFD3C0</v>
      </c>
      <c r="D3571" t="s">
        <v>148</v>
      </c>
      <c r="E3571">
        <v>11</v>
      </c>
      <c r="H3571">
        <v>53</v>
      </c>
      <c r="I3571" t="s">
        <v>364</v>
      </c>
      <c r="J3571" t="s">
        <v>150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ref="S3571:S3577" si="1985">"14:57:46.914"</f>
        <v>14:57:46.914</v>
      </c>
      <c r="T3571" t="str">
        <f t="shared" ref="T3571:T3577" si="1986">"14:57:46.514"</f>
        <v>14:57:46.514</v>
      </c>
      <c r="U3571" t="str">
        <f t="shared" si="1958"/>
        <v>ACC530</v>
      </c>
      <c r="V3571">
        <v>0</v>
      </c>
      <c r="W3571">
        <v>0</v>
      </c>
      <c r="X3571">
        <v>1</v>
      </c>
      <c r="Z3571">
        <v>0</v>
      </c>
      <c r="AA3571">
        <v>9</v>
      </c>
      <c r="AB3571">
        <v>3</v>
      </c>
      <c r="AC3571">
        <v>0</v>
      </c>
      <c r="AD3571">
        <v>9</v>
      </c>
      <c r="AE3571">
        <v>0</v>
      </c>
      <c r="AF3571">
        <v>3</v>
      </c>
      <c r="AG3571">
        <v>1</v>
      </c>
      <c r="AH3571">
        <v>0</v>
      </c>
      <c r="AI3571" t="s">
        <v>1168</v>
      </c>
      <c r="AJ3571">
        <v>34.080083000000002</v>
      </c>
      <c r="AK3571" t="s">
        <v>739</v>
      </c>
      <c r="AL3571">
        <v>-117.021325</v>
      </c>
      <c r="AM3571">
        <v>100</v>
      </c>
      <c r="AN3571">
        <v>5300</v>
      </c>
      <c r="AO3571" t="s">
        <v>118</v>
      </c>
      <c r="AP3571">
        <v>86</v>
      </c>
      <c r="AQ3571">
        <v>-59</v>
      </c>
      <c r="AR3571">
        <v>-384</v>
      </c>
      <c r="AZ3571">
        <v>1200</v>
      </c>
      <c r="BA3571">
        <v>1</v>
      </c>
      <c r="BB3571" t="str">
        <f t="shared" si="1960"/>
        <v xml:space="preserve">N9217B  </v>
      </c>
      <c r="BC3571">
        <v>1</v>
      </c>
      <c r="BE3571">
        <v>0</v>
      </c>
      <c r="BF3571">
        <v>0</v>
      </c>
      <c r="BG3571">
        <v>0</v>
      </c>
      <c r="BH3571">
        <v>5200</v>
      </c>
      <c r="BI3571">
        <v>1</v>
      </c>
      <c r="BJ3571">
        <v>0</v>
      </c>
      <c r="BK3571">
        <v>0</v>
      </c>
      <c r="BL3571">
        <v>0</v>
      </c>
      <c r="BO3571">
        <v>0</v>
      </c>
      <c r="BP3571">
        <v>0</v>
      </c>
      <c r="BW3571" t="str">
        <f t="shared" ref="BW3571:BW3577" si="1987">"14:57:46.921"</f>
        <v>14:57:46.921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6</v>
      </c>
      <c r="CP3571" t="s">
        <v>119</v>
      </c>
      <c r="CQ3571">
        <v>285</v>
      </c>
      <c r="CR3571">
        <v>0</v>
      </c>
      <c r="CW3571">
        <v>8880916</v>
      </c>
      <c r="CY3571">
        <v>0</v>
      </c>
      <c r="CZ3571">
        <v>0</v>
      </c>
      <c r="DA3571">
        <v>0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25">
      <c r="A3572" t="str">
        <f t="shared" si="1984"/>
        <v>06/05/2020 14:57:41.294</v>
      </c>
      <c r="C3572" t="str">
        <f t="shared" si="1975"/>
        <v>FFDFD3C0</v>
      </c>
      <c r="D3572" t="s">
        <v>113</v>
      </c>
      <c r="E3572">
        <v>3</v>
      </c>
      <c r="H3572">
        <v>166</v>
      </c>
      <c r="I3572" t="s">
        <v>114</v>
      </c>
      <c r="J3572" t="s">
        <v>115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 t="shared" si="1985"/>
        <v>14:57:46.914</v>
      </c>
      <c r="T3572" t="str">
        <f t="shared" si="1986"/>
        <v>14:57:46.514</v>
      </c>
      <c r="U3572" t="str">
        <f t="shared" si="1958"/>
        <v>ACC530</v>
      </c>
      <c r="V3572">
        <v>0</v>
      </c>
      <c r="W3572">
        <v>0</v>
      </c>
      <c r="X3572">
        <v>1</v>
      </c>
      <c r="Z3572">
        <v>0</v>
      </c>
      <c r="AA3572">
        <v>9</v>
      </c>
      <c r="AB3572">
        <v>3</v>
      </c>
      <c r="AC3572">
        <v>0</v>
      </c>
      <c r="AD3572">
        <v>9</v>
      </c>
      <c r="AE3572">
        <v>0</v>
      </c>
      <c r="AF3572">
        <v>3</v>
      </c>
      <c r="AG3572">
        <v>1</v>
      </c>
      <c r="AH3572">
        <v>0</v>
      </c>
      <c r="AI3572" t="s">
        <v>1168</v>
      </c>
      <c r="AJ3572">
        <v>34.080083000000002</v>
      </c>
      <c r="AK3572" t="s">
        <v>739</v>
      </c>
      <c r="AL3572">
        <v>-117.021325</v>
      </c>
      <c r="AM3572">
        <v>100</v>
      </c>
      <c r="AN3572">
        <v>5300</v>
      </c>
      <c r="AO3572" t="s">
        <v>118</v>
      </c>
      <c r="AP3572">
        <v>86</v>
      </c>
      <c r="AQ3572">
        <v>-59</v>
      </c>
      <c r="AR3572">
        <v>-384</v>
      </c>
      <c r="AZ3572">
        <v>1200</v>
      </c>
      <c r="BA3572">
        <v>1</v>
      </c>
      <c r="BB3572" t="str">
        <f t="shared" si="1960"/>
        <v xml:space="preserve">N9217B  </v>
      </c>
      <c r="BC3572">
        <v>1</v>
      </c>
      <c r="BE3572">
        <v>0</v>
      </c>
      <c r="BF3572">
        <v>0</v>
      </c>
      <c r="BG3572">
        <v>0</v>
      </c>
      <c r="BH3572">
        <v>5200</v>
      </c>
      <c r="BI3572">
        <v>1</v>
      </c>
      <c r="BJ3572">
        <v>0</v>
      </c>
      <c r="BK3572">
        <v>0</v>
      </c>
      <c r="BL3572">
        <v>0</v>
      </c>
      <c r="BO3572">
        <v>0</v>
      </c>
      <c r="BP3572">
        <v>0</v>
      </c>
      <c r="BW3572" t="str">
        <f t="shared" si="1987"/>
        <v>14:57:46.921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6</v>
      </c>
      <c r="CP3572" t="s">
        <v>119</v>
      </c>
      <c r="CQ3572">
        <v>285</v>
      </c>
      <c r="CR3572">
        <v>0</v>
      </c>
      <c r="CW3572">
        <v>8880916</v>
      </c>
      <c r="CY3572">
        <v>0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25">
      <c r="A3573" t="str">
        <f t="shared" si="1984"/>
        <v>06/05/2020 14:57:41.294</v>
      </c>
      <c r="C3573" t="str">
        <f t="shared" si="1975"/>
        <v>FFDFD3C0</v>
      </c>
      <c r="D3573" t="s">
        <v>148</v>
      </c>
      <c r="E3573">
        <v>8</v>
      </c>
      <c r="H3573">
        <v>50</v>
      </c>
      <c r="I3573" t="s">
        <v>149</v>
      </c>
      <c r="J3573" t="s">
        <v>150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 t="shared" si="1985"/>
        <v>14:57:46.914</v>
      </c>
      <c r="T3573" t="str">
        <f t="shared" si="1986"/>
        <v>14:57:46.514</v>
      </c>
      <c r="U3573" t="str">
        <f t="shared" si="1958"/>
        <v>ACC530</v>
      </c>
      <c r="V3573">
        <v>0</v>
      </c>
      <c r="W3573">
        <v>0</v>
      </c>
      <c r="X3573">
        <v>1</v>
      </c>
      <c r="Z3573">
        <v>0</v>
      </c>
      <c r="AA3573">
        <v>9</v>
      </c>
      <c r="AB3573">
        <v>3</v>
      </c>
      <c r="AC3573">
        <v>0</v>
      </c>
      <c r="AD3573">
        <v>9</v>
      </c>
      <c r="AE3573">
        <v>0</v>
      </c>
      <c r="AF3573">
        <v>3</v>
      </c>
      <c r="AG3573">
        <v>1</v>
      </c>
      <c r="AH3573">
        <v>0</v>
      </c>
      <c r="AI3573" t="s">
        <v>1168</v>
      </c>
      <c r="AJ3573">
        <v>34.080083000000002</v>
      </c>
      <c r="AK3573" t="s">
        <v>739</v>
      </c>
      <c r="AL3573">
        <v>-117.021325</v>
      </c>
      <c r="AM3573">
        <v>100</v>
      </c>
      <c r="AN3573">
        <v>5300</v>
      </c>
      <c r="AO3573" t="s">
        <v>118</v>
      </c>
      <c r="AP3573">
        <v>86</v>
      </c>
      <c r="AQ3573">
        <v>-59</v>
      </c>
      <c r="AR3573">
        <v>-384</v>
      </c>
      <c r="AZ3573">
        <v>1200</v>
      </c>
      <c r="BA3573">
        <v>1</v>
      </c>
      <c r="BB3573" t="str">
        <f t="shared" si="1960"/>
        <v xml:space="preserve">N9217B  </v>
      </c>
      <c r="BC3573">
        <v>1</v>
      </c>
      <c r="BE3573">
        <v>0</v>
      </c>
      <c r="BF3573">
        <v>0</v>
      </c>
      <c r="BG3573">
        <v>0</v>
      </c>
      <c r="BH3573">
        <v>5200</v>
      </c>
      <c r="BI3573">
        <v>1</v>
      </c>
      <c r="BJ3573">
        <v>0</v>
      </c>
      <c r="BK3573">
        <v>0</v>
      </c>
      <c r="BL3573">
        <v>0</v>
      </c>
      <c r="BO3573">
        <v>0</v>
      </c>
      <c r="BP3573">
        <v>0</v>
      </c>
      <c r="BW3573" t="str">
        <f t="shared" si="1987"/>
        <v>14:57:46.921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6</v>
      </c>
      <c r="CP3573" t="s">
        <v>119</v>
      </c>
      <c r="CQ3573">
        <v>285</v>
      </c>
      <c r="CR3573">
        <v>0</v>
      </c>
      <c r="CW3573">
        <v>8880916</v>
      </c>
      <c r="CY3573">
        <v>0</v>
      </c>
      <c r="CZ3573">
        <v>0</v>
      </c>
      <c r="DA3573">
        <v>1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25">
      <c r="A3574" t="str">
        <f t="shared" si="1984"/>
        <v>06/05/2020 14:57:41.294</v>
      </c>
      <c r="C3574" t="str">
        <f t="shared" si="1975"/>
        <v>FFDFD3C0</v>
      </c>
      <c r="D3574" t="s">
        <v>151</v>
      </c>
      <c r="E3574">
        <v>8</v>
      </c>
      <c r="H3574">
        <v>225</v>
      </c>
      <c r="I3574" t="s">
        <v>353</v>
      </c>
      <c r="J3574" t="s">
        <v>150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 t="shared" si="1985"/>
        <v>14:57:46.914</v>
      </c>
      <c r="T3574" t="str">
        <f t="shared" si="1986"/>
        <v>14:57:46.514</v>
      </c>
      <c r="U3574" t="str">
        <f t="shared" si="1958"/>
        <v>ACC530</v>
      </c>
      <c r="V3574">
        <v>0</v>
      </c>
      <c r="W3574">
        <v>0</v>
      </c>
      <c r="X3574">
        <v>1</v>
      </c>
      <c r="Z3574">
        <v>0</v>
      </c>
      <c r="AA3574">
        <v>9</v>
      </c>
      <c r="AB3574">
        <v>3</v>
      </c>
      <c r="AC3574">
        <v>0</v>
      </c>
      <c r="AD3574">
        <v>9</v>
      </c>
      <c r="AE3574">
        <v>0</v>
      </c>
      <c r="AF3574">
        <v>3</v>
      </c>
      <c r="AG3574">
        <v>1</v>
      </c>
      <c r="AH3574">
        <v>0</v>
      </c>
      <c r="AI3574" t="s">
        <v>1168</v>
      </c>
      <c r="AJ3574">
        <v>34.080083000000002</v>
      </c>
      <c r="AK3574" t="s">
        <v>739</v>
      </c>
      <c r="AL3574">
        <v>-117.021325</v>
      </c>
      <c r="AM3574">
        <v>100</v>
      </c>
      <c r="AN3574">
        <v>5300</v>
      </c>
      <c r="AO3574" t="s">
        <v>118</v>
      </c>
      <c r="AP3574">
        <v>86</v>
      </c>
      <c r="AQ3574">
        <v>-59</v>
      </c>
      <c r="AR3574">
        <v>-384</v>
      </c>
      <c r="AZ3574">
        <v>1200</v>
      </c>
      <c r="BA3574">
        <v>1</v>
      </c>
      <c r="BB3574" t="str">
        <f t="shared" si="1960"/>
        <v xml:space="preserve">N9217B  </v>
      </c>
      <c r="BC3574">
        <v>1</v>
      </c>
      <c r="BE3574">
        <v>0</v>
      </c>
      <c r="BF3574">
        <v>0</v>
      </c>
      <c r="BG3574">
        <v>0</v>
      </c>
      <c r="BH3574">
        <v>5200</v>
      </c>
      <c r="BI3574">
        <v>1</v>
      </c>
      <c r="BJ3574">
        <v>0</v>
      </c>
      <c r="BK3574">
        <v>0</v>
      </c>
      <c r="BL3574">
        <v>0</v>
      </c>
      <c r="BO3574">
        <v>0</v>
      </c>
      <c r="BP3574">
        <v>0</v>
      </c>
      <c r="BW3574" t="str">
        <f t="shared" si="1987"/>
        <v>14:57:46.921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6</v>
      </c>
      <c r="CP3574" t="s">
        <v>119</v>
      </c>
      <c r="CQ3574">
        <v>285</v>
      </c>
      <c r="CR3574">
        <v>0</v>
      </c>
      <c r="CW3574">
        <v>8880916</v>
      </c>
      <c r="CY3574">
        <v>0</v>
      </c>
      <c r="CZ3574">
        <v>0</v>
      </c>
      <c r="DA3574">
        <v>1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25">
      <c r="A3575" t="str">
        <f t="shared" si="1984"/>
        <v>06/05/2020 14:57:41.294</v>
      </c>
      <c r="C3575" t="str">
        <f t="shared" si="1975"/>
        <v>FFDFD3C0</v>
      </c>
      <c r="D3575" t="s">
        <v>134</v>
      </c>
      <c r="E3575">
        <v>7</v>
      </c>
      <c r="F3575">
        <v>2007</v>
      </c>
      <c r="G3575" t="s">
        <v>135</v>
      </c>
      <c r="J3575" t="s">
        <v>136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 t="shared" si="1985"/>
        <v>14:57:46.914</v>
      </c>
      <c r="T3575" t="str">
        <f t="shared" si="1986"/>
        <v>14:57:46.514</v>
      </c>
      <c r="U3575" t="str">
        <f t="shared" si="1958"/>
        <v>ACC530</v>
      </c>
      <c r="V3575">
        <v>0</v>
      </c>
      <c r="W3575">
        <v>0</v>
      </c>
      <c r="X3575">
        <v>1</v>
      </c>
      <c r="Z3575">
        <v>0</v>
      </c>
      <c r="AA3575">
        <v>9</v>
      </c>
      <c r="AB3575">
        <v>3</v>
      </c>
      <c r="AC3575">
        <v>0</v>
      </c>
      <c r="AD3575">
        <v>9</v>
      </c>
      <c r="AE3575">
        <v>0</v>
      </c>
      <c r="AF3575">
        <v>3</v>
      </c>
      <c r="AG3575">
        <v>1</v>
      </c>
      <c r="AH3575">
        <v>0</v>
      </c>
      <c r="AI3575" t="s">
        <v>1168</v>
      </c>
      <c r="AJ3575">
        <v>34.080083000000002</v>
      </c>
      <c r="AK3575" t="s">
        <v>739</v>
      </c>
      <c r="AL3575">
        <v>-117.021325</v>
      </c>
      <c r="AM3575">
        <v>100</v>
      </c>
      <c r="AN3575">
        <v>5300</v>
      </c>
      <c r="AO3575" t="s">
        <v>118</v>
      </c>
      <c r="AP3575">
        <v>86</v>
      </c>
      <c r="AQ3575">
        <v>-59</v>
      </c>
      <c r="AR3575">
        <v>-384</v>
      </c>
      <c r="AZ3575">
        <v>1200</v>
      </c>
      <c r="BA3575">
        <v>1</v>
      </c>
      <c r="BB3575" t="str">
        <f t="shared" si="1960"/>
        <v xml:space="preserve">N9217B  </v>
      </c>
      <c r="BC3575">
        <v>1</v>
      </c>
      <c r="BE3575">
        <v>0</v>
      </c>
      <c r="BF3575">
        <v>0</v>
      </c>
      <c r="BG3575">
        <v>0</v>
      </c>
      <c r="BH3575">
        <v>5200</v>
      </c>
      <c r="BI3575">
        <v>1</v>
      </c>
      <c r="BJ3575">
        <v>0</v>
      </c>
      <c r="BK3575">
        <v>0</v>
      </c>
      <c r="BL3575">
        <v>0</v>
      </c>
      <c r="BO3575">
        <v>0</v>
      </c>
      <c r="BP3575">
        <v>0</v>
      </c>
      <c r="BW3575" t="str">
        <f t="shared" si="1987"/>
        <v>14:57:46.921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6</v>
      </c>
      <c r="CP3575" t="s">
        <v>119</v>
      </c>
      <c r="CQ3575">
        <v>285</v>
      </c>
      <c r="CR3575">
        <v>0</v>
      </c>
      <c r="CW3575">
        <v>8880916</v>
      </c>
      <c r="CY3575">
        <v>0</v>
      </c>
      <c r="CZ3575">
        <v>0</v>
      </c>
      <c r="DA3575">
        <v>1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25">
      <c r="A3576" t="str">
        <f t="shared" si="1984"/>
        <v>06/05/2020 14:57:41.294</v>
      </c>
      <c r="C3576" t="str">
        <f t="shared" si="1975"/>
        <v>FFDFD3C0</v>
      </c>
      <c r="D3576" t="s">
        <v>151</v>
      </c>
      <c r="E3576">
        <v>9</v>
      </c>
      <c r="H3576">
        <v>226</v>
      </c>
      <c r="I3576" t="s">
        <v>152</v>
      </c>
      <c r="J3576" t="s">
        <v>150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 t="shared" si="1985"/>
        <v>14:57:46.914</v>
      </c>
      <c r="T3576" t="str">
        <f t="shared" si="1986"/>
        <v>14:57:46.514</v>
      </c>
      <c r="U3576" t="str">
        <f t="shared" si="1958"/>
        <v>ACC530</v>
      </c>
      <c r="V3576">
        <v>0</v>
      </c>
      <c r="W3576">
        <v>0</v>
      </c>
      <c r="X3576">
        <v>1</v>
      </c>
      <c r="Z3576">
        <v>0</v>
      </c>
      <c r="AA3576">
        <v>9</v>
      </c>
      <c r="AB3576">
        <v>3</v>
      </c>
      <c r="AC3576">
        <v>0</v>
      </c>
      <c r="AD3576">
        <v>9</v>
      </c>
      <c r="AE3576">
        <v>0</v>
      </c>
      <c r="AF3576">
        <v>3</v>
      </c>
      <c r="AG3576">
        <v>1</v>
      </c>
      <c r="AH3576">
        <v>0</v>
      </c>
      <c r="AI3576" t="s">
        <v>1168</v>
      </c>
      <c r="AJ3576">
        <v>34.080083000000002</v>
      </c>
      <c r="AK3576" t="s">
        <v>739</v>
      </c>
      <c r="AL3576">
        <v>-117.021325</v>
      </c>
      <c r="AM3576">
        <v>100</v>
      </c>
      <c r="AN3576">
        <v>5300</v>
      </c>
      <c r="AO3576" t="s">
        <v>118</v>
      </c>
      <c r="AP3576">
        <v>86</v>
      </c>
      <c r="AQ3576">
        <v>-59</v>
      </c>
      <c r="AR3576">
        <v>-384</v>
      </c>
      <c r="AZ3576">
        <v>1200</v>
      </c>
      <c r="BA3576">
        <v>1</v>
      </c>
      <c r="BB3576" t="str">
        <f t="shared" si="1960"/>
        <v xml:space="preserve">N9217B  </v>
      </c>
      <c r="BC3576">
        <v>1</v>
      </c>
      <c r="BE3576">
        <v>0</v>
      </c>
      <c r="BF3576">
        <v>0</v>
      </c>
      <c r="BG3576">
        <v>0</v>
      </c>
      <c r="BH3576">
        <v>5200</v>
      </c>
      <c r="BI3576">
        <v>1</v>
      </c>
      <c r="BJ3576">
        <v>0</v>
      </c>
      <c r="BK3576">
        <v>0</v>
      </c>
      <c r="BL3576">
        <v>0</v>
      </c>
      <c r="BO3576">
        <v>0</v>
      </c>
      <c r="BP3576">
        <v>0</v>
      </c>
      <c r="BW3576" t="str">
        <f t="shared" si="1987"/>
        <v>14:57:46.921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6</v>
      </c>
      <c r="CP3576" t="s">
        <v>119</v>
      </c>
      <c r="CQ3576">
        <v>285</v>
      </c>
      <c r="CR3576">
        <v>0</v>
      </c>
      <c r="CW3576">
        <v>8880916</v>
      </c>
      <c r="CY3576">
        <v>0</v>
      </c>
      <c r="CZ3576">
        <v>0</v>
      </c>
      <c r="DA3576">
        <v>1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25">
      <c r="A3577" t="str">
        <f t="shared" si="1984"/>
        <v>06/05/2020 14:57:41.294</v>
      </c>
      <c r="C3577" t="str">
        <f t="shared" si="1975"/>
        <v>FFDFD3C0</v>
      </c>
      <c r="D3577" t="s">
        <v>141</v>
      </c>
      <c r="E3577">
        <v>20</v>
      </c>
      <c r="F3577">
        <v>1020</v>
      </c>
      <c r="G3577" t="s">
        <v>114</v>
      </c>
      <c r="J3577" t="s">
        <v>142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si="1985"/>
        <v>14:57:46.914</v>
      </c>
      <c r="T3577" t="str">
        <f t="shared" si="1986"/>
        <v>14:57:46.514</v>
      </c>
      <c r="U3577" t="str">
        <f t="shared" si="1958"/>
        <v>ACC530</v>
      </c>
      <c r="V3577">
        <v>0</v>
      </c>
      <c r="W3577">
        <v>0</v>
      </c>
      <c r="X3577">
        <v>1</v>
      </c>
      <c r="Z3577">
        <v>0</v>
      </c>
      <c r="AA3577">
        <v>9</v>
      </c>
      <c r="AB3577">
        <v>3</v>
      </c>
      <c r="AC3577">
        <v>0</v>
      </c>
      <c r="AD3577">
        <v>9</v>
      </c>
      <c r="AE3577">
        <v>0</v>
      </c>
      <c r="AF3577">
        <v>3</v>
      </c>
      <c r="AG3577">
        <v>1</v>
      </c>
      <c r="AH3577">
        <v>0</v>
      </c>
      <c r="AI3577" t="s">
        <v>1168</v>
      </c>
      <c r="AJ3577">
        <v>34.080083000000002</v>
      </c>
      <c r="AK3577" t="s">
        <v>739</v>
      </c>
      <c r="AL3577">
        <v>-117.021325</v>
      </c>
      <c r="AM3577">
        <v>100</v>
      </c>
      <c r="AN3577">
        <v>5300</v>
      </c>
      <c r="AO3577" t="s">
        <v>118</v>
      </c>
      <c r="AP3577">
        <v>86</v>
      </c>
      <c r="AQ3577">
        <v>-59</v>
      </c>
      <c r="AR3577">
        <v>-384</v>
      </c>
      <c r="AZ3577">
        <v>1200</v>
      </c>
      <c r="BA3577">
        <v>1</v>
      </c>
      <c r="BB3577" t="str">
        <f t="shared" si="1960"/>
        <v xml:space="preserve">N9217B  </v>
      </c>
      <c r="BC3577">
        <v>1</v>
      </c>
      <c r="BE3577">
        <v>0</v>
      </c>
      <c r="BF3577">
        <v>0</v>
      </c>
      <c r="BG3577">
        <v>0</v>
      </c>
      <c r="BH3577">
        <v>5200</v>
      </c>
      <c r="BI3577">
        <v>1</v>
      </c>
      <c r="BJ3577">
        <v>0</v>
      </c>
      <c r="BK3577">
        <v>0</v>
      </c>
      <c r="BL3577">
        <v>0</v>
      </c>
      <c r="BO3577">
        <v>0</v>
      </c>
      <c r="BP3577">
        <v>0</v>
      </c>
      <c r="BW3577" t="str">
        <f t="shared" si="1987"/>
        <v>14:57:46.921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6</v>
      </c>
      <c r="CP3577" t="s">
        <v>119</v>
      </c>
      <c r="CQ3577">
        <v>285</v>
      </c>
      <c r="CR3577">
        <v>0</v>
      </c>
      <c r="CW3577">
        <v>8880916</v>
      </c>
      <c r="CY3577">
        <v>0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25">
      <c r="A3578" t="str">
        <f t="shared" ref="A3578:A3584" si="1988">"06/05/2020 14:57:42.368"</f>
        <v>06/05/2020 14:57:42.368</v>
      </c>
      <c r="C3578" t="str">
        <f t="shared" si="1975"/>
        <v>FFDFD3C0</v>
      </c>
      <c r="D3578" t="s">
        <v>148</v>
      </c>
      <c r="E3578">
        <v>8</v>
      </c>
      <c r="H3578">
        <v>50</v>
      </c>
      <c r="I3578" t="s">
        <v>149</v>
      </c>
      <c r="J3578" t="s">
        <v>150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ref="S3578:S3584" si="1989">"14:57:47.984"</f>
        <v>14:57:47.984</v>
      </c>
      <c r="T3578" t="str">
        <f t="shared" ref="T3578:T3584" si="1990">"14:57:47.584"</f>
        <v>14:57:47.584</v>
      </c>
      <c r="U3578" t="str">
        <f t="shared" si="1958"/>
        <v>ACC530</v>
      </c>
      <c r="V3578">
        <v>0</v>
      </c>
      <c r="W3578">
        <v>0</v>
      </c>
      <c r="X3578">
        <v>1</v>
      </c>
      <c r="Z3578">
        <v>0</v>
      </c>
      <c r="AA3578">
        <v>9</v>
      </c>
      <c r="AB3578">
        <v>3</v>
      </c>
      <c r="AC3578">
        <v>0</v>
      </c>
      <c r="AD3578">
        <v>9</v>
      </c>
      <c r="AE3578">
        <v>0</v>
      </c>
      <c r="AF3578">
        <v>3</v>
      </c>
      <c r="AG3578">
        <v>1</v>
      </c>
      <c r="AH3578">
        <v>0</v>
      </c>
      <c r="AI3578" t="s">
        <v>1169</v>
      </c>
      <c r="AJ3578">
        <v>34.079782999999999</v>
      </c>
      <c r="AK3578" t="s">
        <v>1170</v>
      </c>
      <c r="AL3578">
        <v>-117.02081</v>
      </c>
      <c r="AM3578">
        <v>100</v>
      </c>
      <c r="AN3578">
        <v>5300</v>
      </c>
      <c r="AO3578" t="s">
        <v>118</v>
      </c>
      <c r="AP3578">
        <v>85</v>
      </c>
      <c r="AQ3578">
        <v>-60</v>
      </c>
      <c r="AR3578">
        <v>-256</v>
      </c>
      <c r="AZ3578">
        <v>1200</v>
      </c>
      <c r="BA3578">
        <v>1</v>
      </c>
      <c r="BB3578" t="str">
        <f t="shared" si="1960"/>
        <v xml:space="preserve">N9217B  </v>
      </c>
      <c r="BC3578">
        <v>1</v>
      </c>
      <c r="BE3578">
        <v>0</v>
      </c>
      <c r="BF3578">
        <v>0</v>
      </c>
      <c r="BG3578">
        <v>0</v>
      </c>
      <c r="BH3578">
        <v>5175</v>
      </c>
      <c r="BI3578">
        <v>1</v>
      </c>
      <c r="BJ3578">
        <v>0</v>
      </c>
      <c r="BK3578">
        <v>0</v>
      </c>
      <c r="BL3578">
        <v>0</v>
      </c>
      <c r="BO3578">
        <v>0</v>
      </c>
      <c r="BP3578">
        <v>0</v>
      </c>
      <c r="BW3578" t="str">
        <f t="shared" ref="BW3578:BW3584" si="1991">"14:57:47.986"</f>
        <v>14:57:47.986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6</v>
      </c>
      <c r="CP3578" t="s">
        <v>119</v>
      </c>
      <c r="CQ3578">
        <v>285</v>
      </c>
      <c r="CR3578">
        <v>0</v>
      </c>
      <c r="CW3578">
        <v>8881008</v>
      </c>
      <c r="CY3578">
        <v>0</v>
      </c>
      <c r="CZ3578">
        <v>0</v>
      </c>
      <c r="DA3578">
        <v>0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25">
      <c r="A3579" t="str">
        <f t="shared" si="1988"/>
        <v>06/05/2020 14:57:42.368</v>
      </c>
      <c r="C3579" t="str">
        <f t="shared" si="1975"/>
        <v>FFDFD3C0</v>
      </c>
      <c r="D3579" t="s">
        <v>151</v>
      </c>
      <c r="E3579">
        <v>8</v>
      </c>
      <c r="H3579">
        <v>225</v>
      </c>
      <c r="I3579" t="s">
        <v>353</v>
      </c>
      <c r="J3579" t="s">
        <v>150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 t="shared" si="1989"/>
        <v>14:57:47.984</v>
      </c>
      <c r="T3579" t="str">
        <f t="shared" si="1990"/>
        <v>14:57:47.584</v>
      </c>
      <c r="U3579" t="str">
        <f t="shared" si="1958"/>
        <v>ACC530</v>
      </c>
      <c r="V3579">
        <v>0</v>
      </c>
      <c r="W3579">
        <v>0</v>
      </c>
      <c r="X3579">
        <v>1</v>
      </c>
      <c r="Z3579">
        <v>0</v>
      </c>
      <c r="AA3579">
        <v>9</v>
      </c>
      <c r="AB3579">
        <v>3</v>
      </c>
      <c r="AC3579">
        <v>0</v>
      </c>
      <c r="AD3579">
        <v>9</v>
      </c>
      <c r="AE3579">
        <v>0</v>
      </c>
      <c r="AF3579">
        <v>3</v>
      </c>
      <c r="AG3579">
        <v>1</v>
      </c>
      <c r="AH3579">
        <v>0</v>
      </c>
      <c r="AI3579" t="s">
        <v>1169</v>
      </c>
      <c r="AJ3579">
        <v>34.079782999999999</v>
      </c>
      <c r="AK3579" t="s">
        <v>1170</v>
      </c>
      <c r="AL3579">
        <v>-117.02081</v>
      </c>
      <c r="AM3579">
        <v>100</v>
      </c>
      <c r="AN3579">
        <v>5300</v>
      </c>
      <c r="AO3579" t="s">
        <v>118</v>
      </c>
      <c r="AP3579">
        <v>85</v>
      </c>
      <c r="AQ3579">
        <v>-60</v>
      </c>
      <c r="AR3579">
        <v>-256</v>
      </c>
      <c r="AZ3579">
        <v>1200</v>
      </c>
      <c r="BA3579">
        <v>1</v>
      </c>
      <c r="BB3579" t="str">
        <f t="shared" si="1960"/>
        <v xml:space="preserve">N9217B  </v>
      </c>
      <c r="BC3579">
        <v>1</v>
      </c>
      <c r="BE3579">
        <v>0</v>
      </c>
      <c r="BF3579">
        <v>0</v>
      </c>
      <c r="BG3579">
        <v>0</v>
      </c>
      <c r="BH3579">
        <v>5175</v>
      </c>
      <c r="BI3579">
        <v>1</v>
      </c>
      <c r="BJ3579">
        <v>0</v>
      </c>
      <c r="BK3579">
        <v>0</v>
      </c>
      <c r="BL3579">
        <v>0</v>
      </c>
      <c r="BO3579">
        <v>0</v>
      </c>
      <c r="BP3579">
        <v>0</v>
      </c>
      <c r="BW3579" t="str">
        <f t="shared" si="1991"/>
        <v>14:57:47.986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6</v>
      </c>
      <c r="CP3579" t="s">
        <v>119</v>
      </c>
      <c r="CQ3579">
        <v>285</v>
      </c>
      <c r="CR3579">
        <v>0</v>
      </c>
      <c r="CW3579">
        <v>8881008</v>
      </c>
      <c r="CY3579">
        <v>0</v>
      </c>
      <c r="CZ3579">
        <v>0</v>
      </c>
      <c r="DA3579">
        <v>1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25">
      <c r="A3580" t="str">
        <f t="shared" si="1988"/>
        <v>06/05/2020 14:57:42.368</v>
      </c>
      <c r="C3580" t="str">
        <f t="shared" si="1975"/>
        <v>FFDFD3C0</v>
      </c>
      <c r="D3580" t="s">
        <v>134</v>
      </c>
      <c r="E3580">
        <v>7</v>
      </c>
      <c r="F3580">
        <v>2007</v>
      </c>
      <c r="G3580" t="s">
        <v>135</v>
      </c>
      <c r="J3580" t="s">
        <v>136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si="1989"/>
        <v>14:57:47.984</v>
      </c>
      <c r="T3580" t="str">
        <f t="shared" si="1990"/>
        <v>14:57:47.584</v>
      </c>
      <c r="U3580" t="str">
        <f t="shared" si="1958"/>
        <v>ACC530</v>
      </c>
      <c r="V3580">
        <v>0</v>
      </c>
      <c r="W3580">
        <v>0</v>
      </c>
      <c r="X3580">
        <v>1</v>
      </c>
      <c r="Z3580">
        <v>0</v>
      </c>
      <c r="AA3580">
        <v>9</v>
      </c>
      <c r="AB3580">
        <v>3</v>
      </c>
      <c r="AC3580">
        <v>0</v>
      </c>
      <c r="AD3580">
        <v>9</v>
      </c>
      <c r="AE3580">
        <v>0</v>
      </c>
      <c r="AF3580">
        <v>3</v>
      </c>
      <c r="AG3580">
        <v>1</v>
      </c>
      <c r="AH3580">
        <v>0</v>
      </c>
      <c r="AI3580" t="s">
        <v>1169</v>
      </c>
      <c r="AJ3580">
        <v>34.079782999999999</v>
      </c>
      <c r="AK3580" t="s">
        <v>1170</v>
      </c>
      <c r="AL3580">
        <v>-117.02081</v>
      </c>
      <c r="AM3580">
        <v>100</v>
      </c>
      <c r="AN3580">
        <v>5300</v>
      </c>
      <c r="AO3580" t="s">
        <v>118</v>
      </c>
      <c r="AP3580">
        <v>85</v>
      </c>
      <c r="AQ3580">
        <v>-60</v>
      </c>
      <c r="AR3580">
        <v>-256</v>
      </c>
      <c r="AZ3580">
        <v>1200</v>
      </c>
      <c r="BA3580">
        <v>1</v>
      </c>
      <c r="BB3580" t="str">
        <f t="shared" si="1960"/>
        <v xml:space="preserve">N9217B  </v>
      </c>
      <c r="BC3580">
        <v>1</v>
      </c>
      <c r="BE3580">
        <v>0</v>
      </c>
      <c r="BF3580">
        <v>0</v>
      </c>
      <c r="BG3580">
        <v>0</v>
      </c>
      <c r="BH3580">
        <v>5175</v>
      </c>
      <c r="BI3580">
        <v>1</v>
      </c>
      <c r="BJ3580">
        <v>0</v>
      </c>
      <c r="BK3580">
        <v>0</v>
      </c>
      <c r="BL3580">
        <v>0</v>
      </c>
      <c r="BO3580">
        <v>0</v>
      </c>
      <c r="BP3580">
        <v>0</v>
      </c>
      <c r="BW3580" t="str">
        <f t="shared" si="1991"/>
        <v>14:57:47.986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6</v>
      </c>
      <c r="CP3580" t="s">
        <v>119</v>
      </c>
      <c r="CQ3580">
        <v>285</v>
      </c>
      <c r="CR3580">
        <v>0</v>
      </c>
      <c r="CW3580">
        <v>8881008</v>
      </c>
      <c r="CY3580">
        <v>0</v>
      </c>
      <c r="CZ3580">
        <v>0</v>
      </c>
      <c r="DA3580">
        <v>1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25">
      <c r="A3581" t="str">
        <f t="shared" si="1988"/>
        <v>06/05/2020 14:57:42.368</v>
      </c>
      <c r="C3581" t="str">
        <f t="shared" si="1975"/>
        <v>FFDFD3C0</v>
      </c>
      <c r="D3581" t="s">
        <v>151</v>
      </c>
      <c r="E3581">
        <v>9</v>
      </c>
      <c r="H3581">
        <v>226</v>
      </c>
      <c r="I3581" t="s">
        <v>152</v>
      </c>
      <c r="J3581" t="s">
        <v>150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si="1989"/>
        <v>14:57:47.984</v>
      </c>
      <c r="T3581" t="str">
        <f t="shared" si="1990"/>
        <v>14:57:47.584</v>
      </c>
      <c r="U3581" t="str">
        <f t="shared" si="1958"/>
        <v>ACC530</v>
      </c>
      <c r="V3581">
        <v>0</v>
      </c>
      <c r="W3581">
        <v>0</v>
      </c>
      <c r="X3581">
        <v>1</v>
      </c>
      <c r="Z3581">
        <v>0</v>
      </c>
      <c r="AA3581">
        <v>9</v>
      </c>
      <c r="AB3581">
        <v>3</v>
      </c>
      <c r="AC3581">
        <v>0</v>
      </c>
      <c r="AD3581">
        <v>9</v>
      </c>
      <c r="AE3581">
        <v>0</v>
      </c>
      <c r="AF3581">
        <v>3</v>
      </c>
      <c r="AG3581">
        <v>1</v>
      </c>
      <c r="AH3581">
        <v>0</v>
      </c>
      <c r="AI3581" t="s">
        <v>1169</v>
      </c>
      <c r="AJ3581">
        <v>34.079782999999999</v>
      </c>
      <c r="AK3581" t="s">
        <v>1170</v>
      </c>
      <c r="AL3581">
        <v>-117.02081</v>
      </c>
      <c r="AM3581">
        <v>100</v>
      </c>
      <c r="AN3581">
        <v>5300</v>
      </c>
      <c r="AO3581" t="s">
        <v>118</v>
      </c>
      <c r="AP3581">
        <v>85</v>
      </c>
      <c r="AQ3581">
        <v>-60</v>
      </c>
      <c r="AR3581">
        <v>-256</v>
      </c>
      <c r="AZ3581">
        <v>1200</v>
      </c>
      <c r="BA3581">
        <v>1</v>
      </c>
      <c r="BB3581" t="str">
        <f t="shared" si="1960"/>
        <v xml:space="preserve">N9217B  </v>
      </c>
      <c r="BC3581">
        <v>1</v>
      </c>
      <c r="BE3581">
        <v>0</v>
      </c>
      <c r="BF3581">
        <v>0</v>
      </c>
      <c r="BG3581">
        <v>0</v>
      </c>
      <c r="BH3581">
        <v>5175</v>
      </c>
      <c r="BI3581">
        <v>1</v>
      </c>
      <c r="BJ3581">
        <v>0</v>
      </c>
      <c r="BK3581">
        <v>0</v>
      </c>
      <c r="BL3581">
        <v>0</v>
      </c>
      <c r="BO3581">
        <v>0</v>
      </c>
      <c r="BP3581">
        <v>0</v>
      </c>
      <c r="BW3581" t="str">
        <f t="shared" si="1991"/>
        <v>14:57:47.986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6</v>
      </c>
      <c r="CP3581" t="s">
        <v>119</v>
      </c>
      <c r="CQ3581">
        <v>285</v>
      </c>
      <c r="CR3581">
        <v>0</v>
      </c>
      <c r="CW3581">
        <v>8881008</v>
      </c>
      <c r="CY3581">
        <v>0</v>
      </c>
      <c r="CZ3581">
        <v>0</v>
      </c>
      <c r="DA3581">
        <v>1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25">
      <c r="A3582" t="str">
        <f t="shared" si="1988"/>
        <v>06/05/2020 14:57:42.368</v>
      </c>
      <c r="C3582" t="str">
        <f t="shared" si="1975"/>
        <v>FFDFD3C0</v>
      </c>
      <c r="D3582" t="s">
        <v>141</v>
      </c>
      <c r="E3582">
        <v>20</v>
      </c>
      <c r="F3582">
        <v>1020</v>
      </c>
      <c r="G3582" t="s">
        <v>114</v>
      </c>
      <c r="J3582" t="s">
        <v>142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1989"/>
        <v>14:57:47.984</v>
      </c>
      <c r="T3582" t="str">
        <f t="shared" si="1990"/>
        <v>14:57:47.584</v>
      </c>
      <c r="U3582" t="str">
        <f t="shared" si="1958"/>
        <v>ACC530</v>
      </c>
      <c r="V3582">
        <v>0</v>
      </c>
      <c r="W3582">
        <v>0</v>
      </c>
      <c r="X3582">
        <v>1</v>
      </c>
      <c r="Z3582">
        <v>0</v>
      </c>
      <c r="AA3582">
        <v>9</v>
      </c>
      <c r="AB3582">
        <v>3</v>
      </c>
      <c r="AC3582">
        <v>0</v>
      </c>
      <c r="AD3582">
        <v>9</v>
      </c>
      <c r="AE3582">
        <v>0</v>
      </c>
      <c r="AF3582">
        <v>3</v>
      </c>
      <c r="AG3582">
        <v>1</v>
      </c>
      <c r="AH3582">
        <v>0</v>
      </c>
      <c r="AI3582" t="s">
        <v>1169</v>
      </c>
      <c r="AJ3582">
        <v>34.079782999999999</v>
      </c>
      <c r="AK3582" t="s">
        <v>1170</v>
      </c>
      <c r="AL3582">
        <v>-117.02081</v>
      </c>
      <c r="AM3582">
        <v>100</v>
      </c>
      <c r="AN3582">
        <v>5300</v>
      </c>
      <c r="AO3582" t="s">
        <v>118</v>
      </c>
      <c r="AP3582">
        <v>85</v>
      </c>
      <c r="AQ3582">
        <v>-60</v>
      </c>
      <c r="AR3582">
        <v>-256</v>
      </c>
      <c r="AZ3582">
        <v>1200</v>
      </c>
      <c r="BA3582">
        <v>1</v>
      </c>
      <c r="BB3582" t="str">
        <f t="shared" si="1960"/>
        <v xml:space="preserve">N9217B  </v>
      </c>
      <c r="BC3582">
        <v>1</v>
      </c>
      <c r="BE3582">
        <v>0</v>
      </c>
      <c r="BF3582">
        <v>0</v>
      </c>
      <c r="BG3582">
        <v>0</v>
      </c>
      <c r="BH3582">
        <v>5175</v>
      </c>
      <c r="BI3582">
        <v>1</v>
      </c>
      <c r="BJ3582">
        <v>0</v>
      </c>
      <c r="BK3582">
        <v>0</v>
      </c>
      <c r="BL3582">
        <v>0</v>
      </c>
      <c r="BO3582">
        <v>0</v>
      </c>
      <c r="BP3582">
        <v>0</v>
      </c>
      <c r="BW3582" t="str">
        <f t="shared" si="1991"/>
        <v>14:57:47.986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6</v>
      </c>
      <c r="CP3582" t="s">
        <v>119</v>
      </c>
      <c r="CQ3582">
        <v>285</v>
      </c>
      <c r="CR3582">
        <v>0</v>
      </c>
      <c r="CW3582">
        <v>8881008</v>
      </c>
      <c r="CY3582">
        <v>0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25">
      <c r="A3583" t="str">
        <f t="shared" si="1988"/>
        <v>06/05/2020 14:57:42.368</v>
      </c>
      <c r="C3583" t="str">
        <f t="shared" si="1975"/>
        <v>FFDFD3C0</v>
      </c>
      <c r="D3583" t="s">
        <v>148</v>
      </c>
      <c r="E3583">
        <v>11</v>
      </c>
      <c r="H3583">
        <v>53</v>
      </c>
      <c r="I3583" t="s">
        <v>364</v>
      </c>
      <c r="J3583" t="s">
        <v>150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si="1989"/>
        <v>14:57:47.984</v>
      </c>
      <c r="T3583" t="str">
        <f t="shared" si="1990"/>
        <v>14:57:47.584</v>
      </c>
      <c r="U3583" t="str">
        <f t="shared" si="1958"/>
        <v>ACC530</v>
      </c>
      <c r="V3583">
        <v>0</v>
      </c>
      <c r="W3583">
        <v>0</v>
      </c>
      <c r="X3583">
        <v>1</v>
      </c>
      <c r="Z3583">
        <v>0</v>
      </c>
      <c r="AA3583">
        <v>9</v>
      </c>
      <c r="AB3583">
        <v>3</v>
      </c>
      <c r="AC3583">
        <v>0</v>
      </c>
      <c r="AD3583">
        <v>9</v>
      </c>
      <c r="AE3583">
        <v>0</v>
      </c>
      <c r="AF3583">
        <v>3</v>
      </c>
      <c r="AG3583">
        <v>1</v>
      </c>
      <c r="AH3583">
        <v>0</v>
      </c>
      <c r="AI3583" t="s">
        <v>1169</v>
      </c>
      <c r="AJ3583">
        <v>34.079782999999999</v>
      </c>
      <c r="AK3583" t="s">
        <v>1170</v>
      </c>
      <c r="AL3583">
        <v>-117.02081</v>
      </c>
      <c r="AM3583">
        <v>100</v>
      </c>
      <c r="AN3583">
        <v>5300</v>
      </c>
      <c r="AO3583" t="s">
        <v>118</v>
      </c>
      <c r="AP3583">
        <v>85</v>
      </c>
      <c r="AQ3583">
        <v>-60</v>
      </c>
      <c r="AR3583">
        <v>-256</v>
      </c>
      <c r="AZ3583">
        <v>1200</v>
      </c>
      <c r="BA3583">
        <v>1</v>
      </c>
      <c r="BB3583" t="str">
        <f t="shared" si="1960"/>
        <v xml:space="preserve">N9217B  </v>
      </c>
      <c r="BC3583">
        <v>1</v>
      </c>
      <c r="BE3583">
        <v>0</v>
      </c>
      <c r="BF3583">
        <v>0</v>
      </c>
      <c r="BG3583">
        <v>0</v>
      </c>
      <c r="BH3583">
        <v>5175</v>
      </c>
      <c r="BI3583">
        <v>1</v>
      </c>
      <c r="BJ3583">
        <v>0</v>
      </c>
      <c r="BK3583">
        <v>0</v>
      </c>
      <c r="BL3583">
        <v>0</v>
      </c>
      <c r="BO3583">
        <v>0</v>
      </c>
      <c r="BP3583">
        <v>0</v>
      </c>
      <c r="BW3583" t="str">
        <f t="shared" si="1991"/>
        <v>14:57:47.986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6</v>
      </c>
      <c r="CP3583" t="s">
        <v>119</v>
      </c>
      <c r="CQ3583">
        <v>285</v>
      </c>
      <c r="CR3583">
        <v>0</v>
      </c>
      <c r="CW3583">
        <v>8881008</v>
      </c>
      <c r="CY3583">
        <v>0</v>
      </c>
      <c r="CZ3583">
        <v>0</v>
      </c>
      <c r="DA3583">
        <v>1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25">
      <c r="A3584" t="str">
        <f t="shared" si="1988"/>
        <v>06/05/2020 14:57:42.368</v>
      </c>
      <c r="C3584" t="str">
        <f t="shared" si="1975"/>
        <v>FFDFD3C0</v>
      </c>
      <c r="D3584" t="s">
        <v>113</v>
      </c>
      <c r="E3584">
        <v>3</v>
      </c>
      <c r="H3584">
        <v>166</v>
      </c>
      <c r="I3584" t="s">
        <v>114</v>
      </c>
      <c r="J3584" t="s">
        <v>115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1989"/>
        <v>14:57:47.984</v>
      </c>
      <c r="T3584" t="str">
        <f t="shared" si="1990"/>
        <v>14:57:47.584</v>
      </c>
      <c r="U3584" t="str">
        <f t="shared" si="1958"/>
        <v>ACC530</v>
      </c>
      <c r="V3584">
        <v>0</v>
      </c>
      <c r="W3584">
        <v>0</v>
      </c>
      <c r="X3584">
        <v>1</v>
      </c>
      <c r="Z3584">
        <v>0</v>
      </c>
      <c r="AA3584">
        <v>9</v>
      </c>
      <c r="AB3584">
        <v>3</v>
      </c>
      <c r="AC3584">
        <v>0</v>
      </c>
      <c r="AD3584">
        <v>9</v>
      </c>
      <c r="AE3584">
        <v>0</v>
      </c>
      <c r="AF3584">
        <v>3</v>
      </c>
      <c r="AG3584">
        <v>1</v>
      </c>
      <c r="AH3584">
        <v>0</v>
      </c>
      <c r="AI3584" t="s">
        <v>1169</v>
      </c>
      <c r="AJ3584">
        <v>34.079782999999999</v>
      </c>
      <c r="AK3584" t="s">
        <v>1170</v>
      </c>
      <c r="AL3584">
        <v>-117.02081</v>
      </c>
      <c r="AM3584">
        <v>100</v>
      </c>
      <c r="AN3584">
        <v>5300</v>
      </c>
      <c r="AO3584" t="s">
        <v>118</v>
      </c>
      <c r="AP3584">
        <v>85</v>
      </c>
      <c r="AQ3584">
        <v>-60</v>
      </c>
      <c r="AR3584">
        <v>-256</v>
      </c>
      <c r="AZ3584">
        <v>1200</v>
      </c>
      <c r="BA3584">
        <v>1</v>
      </c>
      <c r="BB3584" t="str">
        <f t="shared" si="1960"/>
        <v xml:space="preserve">N9217B  </v>
      </c>
      <c r="BC3584">
        <v>1</v>
      </c>
      <c r="BE3584">
        <v>0</v>
      </c>
      <c r="BF3584">
        <v>0</v>
      </c>
      <c r="BG3584">
        <v>0</v>
      </c>
      <c r="BH3584">
        <v>5175</v>
      </c>
      <c r="BI3584">
        <v>1</v>
      </c>
      <c r="BJ3584">
        <v>0</v>
      </c>
      <c r="BK3584">
        <v>0</v>
      </c>
      <c r="BL3584">
        <v>0</v>
      </c>
      <c r="BO3584">
        <v>0</v>
      </c>
      <c r="BP3584">
        <v>0</v>
      </c>
      <c r="BW3584" t="str">
        <f t="shared" si="1991"/>
        <v>14:57:47.986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6</v>
      </c>
      <c r="CP3584" t="s">
        <v>119</v>
      </c>
      <c r="CQ3584">
        <v>285</v>
      </c>
      <c r="CR3584">
        <v>0</v>
      </c>
      <c r="CW3584">
        <v>8881008</v>
      </c>
      <c r="CY3584">
        <v>0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25">
      <c r="A3585" t="str">
        <f t="shared" ref="A3585:A3591" si="1992">"06/05/2020 14:57:43.405"</f>
        <v>06/05/2020 14:57:43.405</v>
      </c>
      <c r="C3585" t="str">
        <f t="shared" si="1975"/>
        <v>FFDFD3C0</v>
      </c>
      <c r="D3585" t="s">
        <v>151</v>
      </c>
      <c r="E3585">
        <v>9</v>
      </c>
      <c r="H3585">
        <v>226</v>
      </c>
      <c r="I3585" t="s">
        <v>152</v>
      </c>
      <c r="J3585" t="s">
        <v>150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 t="shared" ref="S3585:T3591" si="1993">"14:57:49.031"</f>
        <v>14:57:49.031</v>
      </c>
      <c r="T3585" t="str">
        <f t="shared" si="1993"/>
        <v>14:57:49.031</v>
      </c>
      <c r="U3585" t="str">
        <f t="shared" si="1958"/>
        <v>ACC530</v>
      </c>
      <c r="V3585">
        <v>0</v>
      </c>
      <c r="W3585">
        <v>0</v>
      </c>
      <c r="X3585">
        <v>1</v>
      </c>
      <c r="Z3585">
        <v>0</v>
      </c>
      <c r="AA3585">
        <v>9</v>
      </c>
      <c r="AB3585">
        <v>3</v>
      </c>
      <c r="AC3585">
        <v>0</v>
      </c>
      <c r="AD3585">
        <v>9</v>
      </c>
      <c r="AE3585">
        <v>0</v>
      </c>
      <c r="AF3585">
        <v>3</v>
      </c>
      <c r="AG3585">
        <v>1</v>
      </c>
      <c r="AH3585">
        <v>0</v>
      </c>
      <c r="AI3585" t="s">
        <v>1171</v>
      </c>
      <c r="AJ3585">
        <v>34.079504</v>
      </c>
      <c r="AK3585" t="s">
        <v>1172</v>
      </c>
      <c r="AL3585">
        <v>-117.020359</v>
      </c>
      <c r="AM3585">
        <v>100</v>
      </c>
      <c r="AN3585">
        <v>5300</v>
      </c>
      <c r="AO3585" t="s">
        <v>118</v>
      </c>
      <c r="AP3585">
        <v>81</v>
      </c>
      <c r="AQ3585">
        <v>-64</v>
      </c>
      <c r="AR3585">
        <v>-192</v>
      </c>
      <c r="AZ3585">
        <v>1200</v>
      </c>
      <c r="BA3585">
        <v>1</v>
      </c>
      <c r="BB3585" t="str">
        <f t="shared" si="1960"/>
        <v xml:space="preserve">N9217B  </v>
      </c>
      <c r="BC3585">
        <v>1</v>
      </c>
      <c r="BE3585">
        <v>0</v>
      </c>
      <c r="BF3585">
        <v>0</v>
      </c>
      <c r="BG3585">
        <v>0</v>
      </c>
      <c r="BH3585">
        <v>5175</v>
      </c>
      <c r="BI3585">
        <v>1</v>
      </c>
      <c r="BJ3585">
        <v>0</v>
      </c>
      <c r="BK3585">
        <v>0</v>
      </c>
      <c r="BL3585">
        <v>0</v>
      </c>
      <c r="BO3585">
        <v>0</v>
      </c>
      <c r="BP3585">
        <v>0</v>
      </c>
      <c r="BW3585" t="str">
        <f t="shared" ref="BW3585:BW3591" si="1994">"14:57:49.036"</f>
        <v>14:57:49.036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6</v>
      </c>
      <c r="CP3585" t="s">
        <v>119</v>
      </c>
      <c r="CQ3585">
        <v>285</v>
      </c>
      <c r="CR3585">
        <v>0</v>
      </c>
      <c r="CW3585">
        <v>8881102</v>
      </c>
      <c r="CY3585">
        <v>0</v>
      </c>
      <c r="CZ3585">
        <v>0</v>
      </c>
      <c r="DA3585">
        <v>0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25">
      <c r="A3586" t="str">
        <f t="shared" si="1992"/>
        <v>06/05/2020 14:57:43.405</v>
      </c>
      <c r="C3586" t="str">
        <f t="shared" si="1975"/>
        <v>FFDFD3C0</v>
      </c>
      <c r="D3586" t="s">
        <v>141</v>
      </c>
      <c r="E3586">
        <v>20</v>
      </c>
      <c r="F3586">
        <v>1020</v>
      </c>
      <c r="G3586" t="s">
        <v>114</v>
      </c>
      <c r="J3586" t="s">
        <v>142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si="1993"/>
        <v>14:57:49.031</v>
      </c>
      <c r="T3586" t="str">
        <f t="shared" si="1993"/>
        <v>14:57:49.031</v>
      </c>
      <c r="U3586" t="str">
        <f t="shared" ref="U3586:U3649" si="1995">"ACC530"</f>
        <v>ACC530</v>
      </c>
      <c r="V3586">
        <v>0</v>
      </c>
      <c r="W3586">
        <v>0</v>
      </c>
      <c r="X3586">
        <v>1</v>
      </c>
      <c r="Z3586">
        <v>0</v>
      </c>
      <c r="AA3586">
        <v>9</v>
      </c>
      <c r="AB3586">
        <v>3</v>
      </c>
      <c r="AC3586">
        <v>0</v>
      </c>
      <c r="AD3586">
        <v>9</v>
      </c>
      <c r="AE3586">
        <v>0</v>
      </c>
      <c r="AF3586">
        <v>3</v>
      </c>
      <c r="AG3586">
        <v>1</v>
      </c>
      <c r="AH3586">
        <v>0</v>
      </c>
      <c r="AI3586" t="s">
        <v>1171</v>
      </c>
      <c r="AJ3586">
        <v>34.079504</v>
      </c>
      <c r="AK3586" t="s">
        <v>1172</v>
      </c>
      <c r="AL3586">
        <v>-117.020359</v>
      </c>
      <c r="AM3586">
        <v>100</v>
      </c>
      <c r="AN3586">
        <v>5300</v>
      </c>
      <c r="AO3586" t="s">
        <v>118</v>
      </c>
      <c r="AP3586">
        <v>81</v>
      </c>
      <c r="AQ3586">
        <v>-64</v>
      </c>
      <c r="AR3586">
        <v>-192</v>
      </c>
      <c r="AZ3586">
        <v>1200</v>
      </c>
      <c r="BA3586">
        <v>1</v>
      </c>
      <c r="BB3586" t="str">
        <f t="shared" si="1960"/>
        <v xml:space="preserve">N9217B  </v>
      </c>
      <c r="BC3586">
        <v>1</v>
      </c>
      <c r="BE3586">
        <v>0</v>
      </c>
      <c r="BF3586">
        <v>0</v>
      </c>
      <c r="BG3586">
        <v>0</v>
      </c>
      <c r="BH3586">
        <v>5175</v>
      </c>
      <c r="BI3586">
        <v>1</v>
      </c>
      <c r="BJ3586">
        <v>0</v>
      </c>
      <c r="BK3586">
        <v>0</v>
      </c>
      <c r="BL3586">
        <v>0</v>
      </c>
      <c r="BO3586">
        <v>0</v>
      </c>
      <c r="BP3586">
        <v>0</v>
      </c>
      <c r="BW3586" t="str">
        <f t="shared" si="1994"/>
        <v>14:57:49.036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6</v>
      </c>
      <c r="CP3586" t="s">
        <v>119</v>
      </c>
      <c r="CQ3586">
        <v>285</v>
      </c>
      <c r="CR3586">
        <v>0</v>
      </c>
      <c r="CW3586">
        <v>8881102</v>
      </c>
      <c r="CY3586">
        <v>0</v>
      </c>
      <c r="CZ3586">
        <v>0</v>
      </c>
      <c r="DA3586">
        <v>1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25">
      <c r="A3587" t="str">
        <f t="shared" si="1992"/>
        <v>06/05/2020 14:57:43.405</v>
      </c>
      <c r="C3587" t="str">
        <f t="shared" si="1975"/>
        <v>FFDFD3C0</v>
      </c>
      <c r="D3587" t="s">
        <v>113</v>
      </c>
      <c r="E3587">
        <v>3</v>
      </c>
      <c r="H3587">
        <v>166</v>
      </c>
      <c r="I3587" t="s">
        <v>114</v>
      </c>
      <c r="J3587" t="s">
        <v>115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993"/>
        <v>14:57:49.031</v>
      </c>
      <c r="T3587" t="str">
        <f t="shared" si="1993"/>
        <v>14:57:49.031</v>
      </c>
      <c r="U3587" t="str">
        <f t="shared" si="1995"/>
        <v>ACC530</v>
      </c>
      <c r="V3587">
        <v>0</v>
      </c>
      <c r="W3587">
        <v>0</v>
      </c>
      <c r="X3587">
        <v>1</v>
      </c>
      <c r="Z3587">
        <v>0</v>
      </c>
      <c r="AA3587">
        <v>9</v>
      </c>
      <c r="AB3587">
        <v>3</v>
      </c>
      <c r="AC3587">
        <v>0</v>
      </c>
      <c r="AD3587">
        <v>9</v>
      </c>
      <c r="AE3587">
        <v>0</v>
      </c>
      <c r="AF3587">
        <v>3</v>
      </c>
      <c r="AG3587">
        <v>1</v>
      </c>
      <c r="AH3587">
        <v>0</v>
      </c>
      <c r="AI3587" t="s">
        <v>1171</v>
      </c>
      <c r="AJ3587">
        <v>34.079504</v>
      </c>
      <c r="AK3587" t="s">
        <v>1172</v>
      </c>
      <c r="AL3587">
        <v>-117.020359</v>
      </c>
      <c r="AM3587">
        <v>100</v>
      </c>
      <c r="AN3587">
        <v>5300</v>
      </c>
      <c r="AO3587" t="s">
        <v>118</v>
      </c>
      <c r="AP3587">
        <v>81</v>
      </c>
      <c r="AQ3587">
        <v>-64</v>
      </c>
      <c r="AR3587">
        <v>-192</v>
      </c>
      <c r="AZ3587">
        <v>1200</v>
      </c>
      <c r="BA3587">
        <v>1</v>
      </c>
      <c r="BB3587" t="str">
        <f t="shared" si="1960"/>
        <v xml:space="preserve">N9217B  </v>
      </c>
      <c r="BC3587">
        <v>1</v>
      </c>
      <c r="BE3587">
        <v>0</v>
      </c>
      <c r="BF3587">
        <v>0</v>
      </c>
      <c r="BG3587">
        <v>0</v>
      </c>
      <c r="BH3587">
        <v>5175</v>
      </c>
      <c r="BI3587">
        <v>1</v>
      </c>
      <c r="BJ3587">
        <v>0</v>
      </c>
      <c r="BK3587">
        <v>0</v>
      </c>
      <c r="BL3587">
        <v>0</v>
      </c>
      <c r="BO3587">
        <v>0</v>
      </c>
      <c r="BP3587">
        <v>0</v>
      </c>
      <c r="BW3587" t="str">
        <f t="shared" si="1994"/>
        <v>14:57:49.036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6</v>
      </c>
      <c r="CP3587" t="s">
        <v>119</v>
      </c>
      <c r="CQ3587">
        <v>285</v>
      </c>
      <c r="CR3587">
        <v>0</v>
      </c>
      <c r="CW3587">
        <v>8881102</v>
      </c>
      <c r="CY3587">
        <v>0</v>
      </c>
      <c r="CZ3587">
        <v>0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25">
      <c r="A3588" t="str">
        <f t="shared" si="1992"/>
        <v>06/05/2020 14:57:43.405</v>
      </c>
      <c r="C3588" t="str">
        <f t="shared" si="1975"/>
        <v>FFDFD3C0</v>
      </c>
      <c r="D3588" t="s">
        <v>148</v>
      </c>
      <c r="E3588">
        <v>11</v>
      </c>
      <c r="H3588">
        <v>53</v>
      </c>
      <c r="I3588" t="s">
        <v>364</v>
      </c>
      <c r="J3588" t="s">
        <v>150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si="1993"/>
        <v>14:57:49.031</v>
      </c>
      <c r="T3588" t="str">
        <f t="shared" si="1993"/>
        <v>14:57:49.031</v>
      </c>
      <c r="U3588" t="str">
        <f t="shared" si="1995"/>
        <v>ACC530</v>
      </c>
      <c r="V3588">
        <v>0</v>
      </c>
      <c r="W3588">
        <v>0</v>
      </c>
      <c r="X3588">
        <v>1</v>
      </c>
      <c r="Z3588">
        <v>0</v>
      </c>
      <c r="AA3588">
        <v>9</v>
      </c>
      <c r="AB3588">
        <v>3</v>
      </c>
      <c r="AC3588">
        <v>0</v>
      </c>
      <c r="AD3588">
        <v>9</v>
      </c>
      <c r="AE3588">
        <v>0</v>
      </c>
      <c r="AF3588">
        <v>3</v>
      </c>
      <c r="AG3588">
        <v>1</v>
      </c>
      <c r="AH3588">
        <v>0</v>
      </c>
      <c r="AI3588" t="s">
        <v>1171</v>
      </c>
      <c r="AJ3588">
        <v>34.079504</v>
      </c>
      <c r="AK3588" t="s">
        <v>1172</v>
      </c>
      <c r="AL3588">
        <v>-117.020359</v>
      </c>
      <c r="AM3588">
        <v>100</v>
      </c>
      <c r="AN3588">
        <v>5300</v>
      </c>
      <c r="AO3588" t="s">
        <v>118</v>
      </c>
      <c r="AP3588">
        <v>81</v>
      </c>
      <c r="AQ3588">
        <v>-64</v>
      </c>
      <c r="AR3588">
        <v>-192</v>
      </c>
      <c r="AZ3588">
        <v>1200</v>
      </c>
      <c r="BA3588">
        <v>1</v>
      </c>
      <c r="BB3588" t="str">
        <f t="shared" si="1960"/>
        <v xml:space="preserve">N9217B  </v>
      </c>
      <c r="BC3588">
        <v>1</v>
      </c>
      <c r="BE3588">
        <v>0</v>
      </c>
      <c r="BF3588">
        <v>0</v>
      </c>
      <c r="BG3588">
        <v>0</v>
      </c>
      <c r="BH3588">
        <v>5175</v>
      </c>
      <c r="BI3588">
        <v>1</v>
      </c>
      <c r="BJ3588">
        <v>0</v>
      </c>
      <c r="BK3588">
        <v>0</v>
      </c>
      <c r="BL3588">
        <v>0</v>
      </c>
      <c r="BO3588">
        <v>0</v>
      </c>
      <c r="BP3588">
        <v>0</v>
      </c>
      <c r="BW3588" t="str">
        <f t="shared" si="1994"/>
        <v>14:57:49.036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6</v>
      </c>
      <c r="CP3588" t="s">
        <v>119</v>
      </c>
      <c r="CQ3588">
        <v>285</v>
      </c>
      <c r="CR3588">
        <v>0</v>
      </c>
      <c r="CW3588">
        <v>8881102</v>
      </c>
      <c r="CY3588">
        <v>0</v>
      </c>
      <c r="CZ3588">
        <v>0</v>
      </c>
      <c r="DA3588">
        <v>1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25">
      <c r="A3589" t="str">
        <f t="shared" si="1992"/>
        <v>06/05/2020 14:57:43.405</v>
      </c>
      <c r="C3589" t="str">
        <f t="shared" si="1975"/>
        <v>FFDFD3C0</v>
      </c>
      <c r="D3589" t="s">
        <v>148</v>
      </c>
      <c r="E3589">
        <v>8</v>
      </c>
      <c r="H3589">
        <v>50</v>
      </c>
      <c r="I3589" t="s">
        <v>149</v>
      </c>
      <c r="J3589" t="s">
        <v>150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si="1993"/>
        <v>14:57:49.031</v>
      </c>
      <c r="T3589" t="str">
        <f t="shared" si="1993"/>
        <v>14:57:49.031</v>
      </c>
      <c r="U3589" t="str">
        <f t="shared" si="1995"/>
        <v>ACC530</v>
      </c>
      <c r="V3589">
        <v>0</v>
      </c>
      <c r="W3589">
        <v>0</v>
      </c>
      <c r="X3589">
        <v>1</v>
      </c>
      <c r="Z3589">
        <v>0</v>
      </c>
      <c r="AA3589">
        <v>9</v>
      </c>
      <c r="AB3589">
        <v>3</v>
      </c>
      <c r="AC3589">
        <v>0</v>
      </c>
      <c r="AD3589">
        <v>9</v>
      </c>
      <c r="AE3589">
        <v>0</v>
      </c>
      <c r="AF3589">
        <v>3</v>
      </c>
      <c r="AG3589">
        <v>1</v>
      </c>
      <c r="AH3589">
        <v>0</v>
      </c>
      <c r="AI3589" t="s">
        <v>1171</v>
      </c>
      <c r="AJ3589">
        <v>34.079504</v>
      </c>
      <c r="AK3589" t="s">
        <v>1172</v>
      </c>
      <c r="AL3589">
        <v>-117.020359</v>
      </c>
      <c r="AM3589">
        <v>100</v>
      </c>
      <c r="AN3589">
        <v>5300</v>
      </c>
      <c r="AO3589" t="s">
        <v>118</v>
      </c>
      <c r="AP3589">
        <v>81</v>
      </c>
      <c r="AQ3589">
        <v>-64</v>
      </c>
      <c r="AR3589">
        <v>-192</v>
      </c>
      <c r="AZ3589">
        <v>1200</v>
      </c>
      <c r="BA3589">
        <v>1</v>
      </c>
      <c r="BB3589" t="str">
        <f t="shared" ref="BB3589:BB3652" si="1996">"N9217B  "</f>
        <v xml:space="preserve">N9217B  </v>
      </c>
      <c r="BC3589">
        <v>1</v>
      </c>
      <c r="BE3589">
        <v>0</v>
      </c>
      <c r="BF3589">
        <v>0</v>
      </c>
      <c r="BG3589">
        <v>0</v>
      </c>
      <c r="BH3589">
        <v>5175</v>
      </c>
      <c r="BI3589">
        <v>1</v>
      </c>
      <c r="BJ3589">
        <v>0</v>
      </c>
      <c r="BK3589">
        <v>0</v>
      </c>
      <c r="BL3589">
        <v>0</v>
      </c>
      <c r="BO3589">
        <v>0</v>
      </c>
      <c r="BP3589">
        <v>0</v>
      </c>
      <c r="BW3589" t="str">
        <f t="shared" si="1994"/>
        <v>14:57:49.036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6</v>
      </c>
      <c r="CP3589" t="s">
        <v>119</v>
      </c>
      <c r="CQ3589">
        <v>285</v>
      </c>
      <c r="CR3589">
        <v>0</v>
      </c>
      <c r="CW3589">
        <v>8881102</v>
      </c>
      <c r="CY3589">
        <v>0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25">
      <c r="A3590" t="str">
        <f t="shared" si="1992"/>
        <v>06/05/2020 14:57:43.405</v>
      </c>
      <c r="C3590" t="str">
        <f t="shared" si="1975"/>
        <v>FFDFD3C0</v>
      </c>
      <c r="D3590" t="s">
        <v>134</v>
      </c>
      <c r="E3590">
        <v>7</v>
      </c>
      <c r="F3590">
        <v>2007</v>
      </c>
      <c r="G3590" t="s">
        <v>135</v>
      </c>
      <c r="J3590" t="s">
        <v>136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si="1993"/>
        <v>14:57:49.031</v>
      </c>
      <c r="T3590" t="str">
        <f t="shared" si="1993"/>
        <v>14:57:49.031</v>
      </c>
      <c r="U3590" t="str">
        <f t="shared" si="1995"/>
        <v>ACC530</v>
      </c>
      <c r="V3590">
        <v>0</v>
      </c>
      <c r="W3590">
        <v>0</v>
      </c>
      <c r="X3590">
        <v>1</v>
      </c>
      <c r="Z3590">
        <v>0</v>
      </c>
      <c r="AA3590">
        <v>9</v>
      </c>
      <c r="AB3590">
        <v>3</v>
      </c>
      <c r="AC3590">
        <v>0</v>
      </c>
      <c r="AD3590">
        <v>9</v>
      </c>
      <c r="AE3590">
        <v>0</v>
      </c>
      <c r="AF3590">
        <v>3</v>
      </c>
      <c r="AG3590">
        <v>1</v>
      </c>
      <c r="AH3590">
        <v>0</v>
      </c>
      <c r="AI3590" t="s">
        <v>1171</v>
      </c>
      <c r="AJ3590">
        <v>34.079504</v>
      </c>
      <c r="AK3590" t="s">
        <v>1172</v>
      </c>
      <c r="AL3590">
        <v>-117.020359</v>
      </c>
      <c r="AM3590">
        <v>100</v>
      </c>
      <c r="AN3590">
        <v>5300</v>
      </c>
      <c r="AO3590" t="s">
        <v>118</v>
      </c>
      <c r="AP3590">
        <v>81</v>
      </c>
      <c r="AQ3590">
        <v>-64</v>
      </c>
      <c r="AR3590">
        <v>-192</v>
      </c>
      <c r="AZ3590">
        <v>1200</v>
      </c>
      <c r="BA3590">
        <v>1</v>
      </c>
      <c r="BB3590" t="str">
        <f t="shared" si="1996"/>
        <v xml:space="preserve">N9217B  </v>
      </c>
      <c r="BC3590">
        <v>1</v>
      </c>
      <c r="BE3590">
        <v>0</v>
      </c>
      <c r="BF3590">
        <v>0</v>
      </c>
      <c r="BG3590">
        <v>0</v>
      </c>
      <c r="BH3590">
        <v>5175</v>
      </c>
      <c r="BI3590">
        <v>1</v>
      </c>
      <c r="BJ3590">
        <v>0</v>
      </c>
      <c r="BK3590">
        <v>0</v>
      </c>
      <c r="BL3590">
        <v>0</v>
      </c>
      <c r="BO3590">
        <v>0</v>
      </c>
      <c r="BP3590">
        <v>0</v>
      </c>
      <c r="BW3590" t="str">
        <f t="shared" si="1994"/>
        <v>14:57:49.036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6</v>
      </c>
      <c r="CP3590" t="s">
        <v>119</v>
      </c>
      <c r="CQ3590">
        <v>285</v>
      </c>
      <c r="CR3590">
        <v>0</v>
      </c>
      <c r="CW3590">
        <v>8881102</v>
      </c>
      <c r="CY3590">
        <v>0</v>
      </c>
      <c r="CZ3590">
        <v>0</v>
      </c>
      <c r="DA3590">
        <v>1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25">
      <c r="A3591" t="str">
        <f t="shared" si="1992"/>
        <v>06/05/2020 14:57:43.405</v>
      </c>
      <c r="C3591" t="str">
        <f t="shared" si="1975"/>
        <v>FFDFD3C0</v>
      </c>
      <c r="D3591" t="s">
        <v>151</v>
      </c>
      <c r="E3591">
        <v>8</v>
      </c>
      <c r="H3591">
        <v>225</v>
      </c>
      <c r="I3591" t="s">
        <v>353</v>
      </c>
      <c r="J3591" t="s">
        <v>150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993"/>
        <v>14:57:49.031</v>
      </c>
      <c r="T3591" t="str">
        <f t="shared" si="1993"/>
        <v>14:57:49.031</v>
      </c>
      <c r="U3591" t="str">
        <f t="shared" si="1995"/>
        <v>ACC530</v>
      </c>
      <c r="V3591">
        <v>0</v>
      </c>
      <c r="W3591">
        <v>0</v>
      </c>
      <c r="X3591">
        <v>1</v>
      </c>
      <c r="Z3591">
        <v>0</v>
      </c>
      <c r="AA3591">
        <v>9</v>
      </c>
      <c r="AB3591">
        <v>3</v>
      </c>
      <c r="AC3591">
        <v>0</v>
      </c>
      <c r="AD3591">
        <v>9</v>
      </c>
      <c r="AE3591">
        <v>0</v>
      </c>
      <c r="AF3591">
        <v>3</v>
      </c>
      <c r="AG3591">
        <v>1</v>
      </c>
      <c r="AH3591">
        <v>0</v>
      </c>
      <c r="AI3591" t="s">
        <v>1171</v>
      </c>
      <c r="AJ3591">
        <v>34.079504</v>
      </c>
      <c r="AK3591" t="s">
        <v>1172</v>
      </c>
      <c r="AL3591">
        <v>-117.020359</v>
      </c>
      <c r="AM3591">
        <v>100</v>
      </c>
      <c r="AN3591">
        <v>5300</v>
      </c>
      <c r="AO3591" t="s">
        <v>118</v>
      </c>
      <c r="AP3591">
        <v>81</v>
      </c>
      <c r="AQ3591">
        <v>-64</v>
      </c>
      <c r="AR3591">
        <v>-192</v>
      </c>
      <c r="AZ3591">
        <v>1200</v>
      </c>
      <c r="BA3591">
        <v>1</v>
      </c>
      <c r="BB3591" t="str">
        <f t="shared" si="1996"/>
        <v xml:space="preserve">N9217B  </v>
      </c>
      <c r="BC3591">
        <v>1</v>
      </c>
      <c r="BE3591">
        <v>0</v>
      </c>
      <c r="BF3591">
        <v>0</v>
      </c>
      <c r="BG3591">
        <v>0</v>
      </c>
      <c r="BH3591">
        <v>5175</v>
      </c>
      <c r="BI3591">
        <v>1</v>
      </c>
      <c r="BJ3591">
        <v>0</v>
      </c>
      <c r="BK3591">
        <v>0</v>
      </c>
      <c r="BL3591">
        <v>0</v>
      </c>
      <c r="BO3591">
        <v>0</v>
      </c>
      <c r="BP3591">
        <v>0</v>
      </c>
      <c r="BW3591" t="str">
        <f t="shared" si="1994"/>
        <v>14:57:49.036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6</v>
      </c>
      <c r="CP3591" t="s">
        <v>119</v>
      </c>
      <c r="CQ3591">
        <v>285</v>
      </c>
      <c r="CR3591">
        <v>0</v>
      </c>
      <c r="CW3591">
        <v>8881102</v>
      </c>
      <c r="CY3591">
        <v>0</v>
      </c>
      <c r="CZ3591">
        <v>0</v>
      </c>
      <c r="DA3591">
        <v>1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25">
      <c r="A3592" t="str">
        <f t="shared" ref="A3592:A3598" si="1997">"06/05/2020 14:57:44.291"</f>
        <v>06/05/2020 14:57:44.291</v>
      </c>
      <c r="C3592" t="str">
        <f t="shared" si="1975"/>
        <v>FFDFD3C0</v>
      </c>
      <c r="D3592" t="s">
        <v>148</v>
      </c>
      <c r="E3592">
        <v>8</v>
      </c>
      <c r="H3592">
        <v>50</v>
      </c>
      <c r="I3592" t="s">
        <v>149</v>
      </c>
      <c r="J3592" t="s">
        <v>150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ref="S3592:S3598" si="1998">"14:57:49.945"</f>
        <v>14:57:49.945</v>
      </c>
      <c r="T3592" t="str">
        <f t="shared" ref="T3592:T3598" si="1999">"14:57:49.445"</f>
        <v>14:57:49.445</v>
      </c>
      <c r="U3592" t="str">
        <f t="shared" si="1995"/>
        <v>ACC530</v>
      </c>
      <c r="V3592">
        <v>0</v>
      </c>
      <c r="W3592">
        <v>0</v>
      </c>
      <c r="X3592">
        <v>1</v>
      </c>
      <c r="Z3592">
        <v>0</v>
      </c>
      <c r="AA3592">
        <v>9</v>
      </c>
      <c r="AB3592">
        <v>3</v>
      </c>
      <c r="AC3592">
        <v>0</v>
      </c>
      <c r="AD3592">
        <v>9</v>
      </c>
      <c r="AE3592">
        <v>0</v>
      </c>
      <c r="AF3592">
        <v>3</v>
      </c>
      <c r="AG3592">
        <v>1</v>
      </c>
      <c r="AH3592">
        <v>0</v>
      </c>
      <c r="AI3592" t="s">
        <v>1173</v>
      </c>
      <c r="AJ3592">
        <v>34.079225000000001</v>
      </c>
      <c r="AK3592" t="s">
        <v>1174</v>
      </c>
      <c r="AL3592">
        <v>-117.01993</v>
      </c>
      <c r="AM3592">
        <v>100</v>
      </c>
      <c r="AN3592">
        <v>5300</v>
      </c>
      <c r="AO3592" t="s">
        <v>118</v>
      </c>
      <c r="AP3592">
        <v>80</v>
      </c>
      <c r="AQ3592">
        <v>-65</v>
      </c>
      <c r="AR3592">
        <v>-192</v>
      </c>
      <c r="AZ3592">
        <v>1200</v>
      </c>
      <c r="BA3592">
        <v>1</v>
      </c>
      <c r="BB3592" t="str">
        <f t="shared" si="1996"/>
        <v xml:space="preserve">N9217B  </v>
      </c>
      <c r="BC3592">
        <v>1</v>
      </c>
      <c r="BE3592">
        <v>0</v>
      </c>
      <c r="BF3592">
        <v>0</v>
      </c>
      <c r="BG3592">
        <v>0</v>
      </c>
      <c r="BH3592">
        <v>5175</v>
      </c>
      <c r="BI3592">
        <v>1</v>
      </c>
      <c r="BJ3592">
        <v>0</v>
      </c>
      <c r="BK3592">
        <v>0</v>
      </c>
      <c r="BL3592">
        <v>0</v>
      </c>
      <c r="BO3592">
        <v>0</v>
      </c>
      <c r="BP3592">
        <v>0</v>
      </c>
      <c r="BW3592" t="str">
        <f t="shared" ref="BW3592:BW3598" si="2000">"14:57:49.951"</f>
        <v>14:57:49.951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6</v>
      </c>
      <c r="CP3592" t="s">
        <v>119</v>
      </c>
      <c r="CQ3592">
        <v>285</v>
      </c>
      <c r="CR3592">
        <v>0</v>
      </c>
      <c r="CW3592">
        <v>8881187</v>
      </c>
      <c r="CY3592">
        <v>0</v>
      </c>
      <c r="CZ3592">
        <v>0</v>
      </c>
      <c r="DA3592">
        <v>0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25">
      <c r="A3593" t="str">
        <f t="shared" si="1997"/>
        <v>06/05/2020 14:57:44.291</v>
      </c>
      <c r="C3593" t="str">
        <f t="shared" si="1975"/>
        <v>FFDFD3C0</v>
      </c>
      <c r="D3593" t="s">
        <v>134</v>
      </c>
      <c r="E3593">
        <v>7</v>
      </c>
      <c r="F3593">
        <v>2007</v>
      </c>
      <c r="G3593" t="s">
        <v>135</v>
      </c>
      <c r="J3593" t="s">
        <v>136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si="1998"/>
        <v>14:57:49.945</v>
      </c>
      <c r="T3593" t="str">
        <f t="shared" si="1999"/>
        <v>14:57:49.445</v>
      </c>
      <c r="U3593" t="str">
        <f t="shared" si="1995"/>
        <v>ACC530</v>
      </c>
      <c r="V3593">
        <v>0</v>
      </c>
      <c r="W3593">
        <v>0</v>
      </c>
      <c r="X3593">
        <v>1</v>
      </c>
      <c r="Z3593">
        <v>0</v>
      </c>
      <c r="AA3593">
        <v>9</v>
      </c>
      <c r="AB3593">
        <v>3</v>
      </c>
      <c r="AC3593">
        <v>0</v>
      </c>
      <c r="AD3593">
        <v>9</v>
      </c>
      <c r="AE3593">
        <v>0</v>
      </c>
      <c r="AF3593">
        <v>3</v>
      </c>
      <c r="AG3593">
        <v>1</v>
      </c>
      <c r="AH3593">
        <v>0</v>
      </c>
      <c r="AI3593" t="s">
        <v>1173</v>
      </c>
      <c r="AJ3593">
        <v>34.079225000000001</v>
      </c>
      <c r="AK3593" t="s">
        <v>1174</v>
      </c>
      <c r="AL3593">
        <v>-117.01993</v>
      </c>
      <c r="AM3593">
        <v>100</v>
      </c>
      <c r="AN3593">
        <v>5300</v>
      </c>
      <c r="AO3593" t="s">
        <v>118</v>
      </c>
      <c r="AP3593">
        <v>80</v>
      </c>
      <c r="AQ3593">
        <v>-65</v>
      </c>
      <c r="AR3593">
        <v>-192</v>
      </c>
      <c r="AZ3593">
        <v>1200</v>
      </c>
      <c r="BA3593">
        <v>1</v>
      </c>
      <c r="BB3593" t="str">
        <f t="shared" si="1996"/>
        <v xml:space="preserve">N9217B  </v>
      </c>
      <c r="BC3593">
        <v>1</v>
      </c>
      <c r="BE3593">
        <v>0</v>
      </c>
      <c r="BF3593">
        <v>0</v>
      </c>
      <c r="BG3593">
        <v>0</v>
      </c>
      <c r="BH3593">
        <v>5175</v>
      </c>
      <c r="BI3593">
        <v>1</v>
      </c>
      <c r="BJ3593">
        <v>0</v>
      </c>
      <c r="BK3593">
        <v>0</v>
      </c>
      <c r="BL3593">
        <v>0</v>
      </c>
      <c r="BO3593">
        <v>0</v>
      </c>
      <c r="BP3593">
        <v>0</v>
      </c>
      <c r="BW3593" t="str">
        <f t="shared" si="2000"/>
        <v>14:57:49.951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6</v>
      </c>
      <c r="CP3593" t="s">
        <v>119</v>
      </c>
      <c r="CQ3593">
        <v>285</v>
      </c>
      <c r="CR3593">
        <v>0</v>
      </c>
      <c r="CW3593">
        <v>8881187</v>
      </c>
      <c r="CY3593">
        <v>0</v>
      </c>
      <c r="CZ3593">
        <v>0</v>
      </c>
      <c r="DA3593">
        <v>1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25">
      <c r="A3594" t="str">
        <f t="shared" si="1997"/>
        <v>06/05/2020 14:57:44.291</v>
      </c>
      <c r="C3594" t="str">
        <f t="shared" si="1975"/>
        <v>FFDFD3C0</v>
      </c>
      <c r="D3594" t="s">
        <v>151</v>
      </c>
      <c r="E3594">
        <v>8</v>
      </c>
      <c r="H3594">
        <v>225</v>
      </c>
      <c r="I3594" t="s">
        <v>353</v>
      </c>
      <c r="J3594" t="s">
        <v>150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998"/>
        <v>14:57:49.945</v>
      </c>
      <c r="T3594" t="str">
        <f t="shared" si="1999"/>
        <v>14:57:49.445</v>
      </c>
      <c r="U3594" t="str">
        <f t="shared" si="1995"/>
        <v>ACC530</v>
      </c>
      <c r="V3594">
        <v>0</v>
      </c>
      <c r="W3594">
        <v>0</v>
      </c>
      <c r="X3594">
        <v>1</v>
      </c>
      <c r="Z3594">
        <v>0</v>
      </c>
      <c r="AA3594">
        <v>9</v>
      </c>
      <c r="AB3594">
        <v>3</v>
      </c>
      <c r="AC3594">
        <v>0</v>
      </c>
      <c r="AD3594">
        <v>9</v>
      </c>
      <c r="AE3594">
        <v>0</v>
      </c>
      <c r="AF3594">
        <v>3</v>
      </c>
      <c r="AG3594">
        <v>1</v>
      </c>
      <c r="AH3594">
        <v>0</v>
      </c>
      <c r="AI3594" t="s">
        <v>1173</v>
      </c>
      <c r="AJ3594">
        <v>34.079225000000001</v>
      </c>
      <c r="AK3594" t="s">
        <v>1174</v>
      </c>
      <c r="AL3594">
        <v>-117.01993</v>
      </c>
      <c r="AM3594">
        <v>100</v>
      </c>
      <c r="AN3594">
        <v>5300</v>
      </c>
      <c r="AO3594" t="s">
        <v>118</v>
      </c>
      <c r="AP3594">
        <v>80</v>
      </c>
      <c r="AQ3594">
        <v>-65</v>
      </c>
      <c r="AR3594">
        <v>-192</v>
      </c>
      <c r="AZ3594">
        <v>1200</v>
      </c>
      <c r="BA3594">
        <v>1</v>
      </c>
      <c r="BB3594" t="str">
        <f t="shared" si="1996"/>
        <v xml:space="preserve">N9217B  </v>
      </c>
      <c r="BC3594">
        <v>1</v>
      </c>
      <c r="BE3594">
        <v>0</v>
      </c>
      <c r="BF3594">
        <v>0</v>
      </c>
      <c r="BG3594">
        <v>0</v>
      </c>
      <c r="BH3594">
        <v>5175</v>
      </c>
      <c r="BI3594">
        <v>1</v>
      </c>
      <c r="BJ3594">
        <v>0</v>
      </c>
      <c r="BK3594">
        <v>0</v>
      </c>
      <c r="BL3594">
        <v>0</v>
      </c>
      <c r="BO3594">
        <v>0</v>
      </c>
      <c r="BP3594">
        <v>0</v>
      </c>
      <c r="BW3594" t="str">
        <f t="shared" si="2000"/>
        <v>14:57:49.951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6</v>
      </c>
      <c r="CP3594" t="s">
        <v>119</v>
      </c>
      <c r="CQ3594">
        <v>285</v>
      </c>
      <c r="CR3594">
        <v>0</v>
      </c>
      <c r="CW3594">
        <v>8881187</v>
      </c>
      <c r="CY3594">
        <v>0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25">
      <c r="A3595" t="str">
        <f t="shared" si="1997"/>
        <v>06/05/2020 14:57:44.291</v>
      </c>
      <c r="C3595" t="str">
        <f t="shared" si="1975"/>
        <v>FFDFD3C0</v>
      </c>
      <c r="D3595" t="s">
        <v>141</v>
      </c>
      <c r="E3595">
        <v>20</v>
      </c>
      <c r="F3595">
        <v>1020</v>
      </c>
      <c r="G3595" t="s">
        <v>114</v>
      </c>
      <c r="J3595" t="s">
        <v>142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si="1998"/>
        <v>14:57:49.945</v>
      </c>
      <c r="T3595" t="str">
        <f t="shared" si="1999"/>
        <v>14:57:49.445</v>
      </c>
      <c r="U3595" t="str">
        <f t="shared" si="1995"/>
        <v>ACC530</v>
      </c>
      <c r="V3595">
        <v>0</v>
      </c>
      <c r="W3595">
        <v>0</v>
      </c>
      <c r="X3595">
        <v>1</v>
      </c>
      <c r="Z3595">
        <v>0</v>
      </c>
      <c r="AA3595">
        <v>9</v>
      </c>
      <c r="AB3595">
        <v>3</v>
      </c>
      <c r="AC3595">
        <v>0</v>
      </c>
      <c r="AD3595">
        <v>9</v>
      </c>
      <c r="AE3595">
        <v>0</v>
      </c>
      <c r="AF3595">
        <v>3</v>
      </c>
      <c r="AG3595">
        <v>1</v>
      </c>
      <c r="AH3595">
        <v>0</v>
      </c>
      <c r="AI3595" t="s">
        <v>1173</v>
      </c>
      <c r="AJ3595">
        <v>34.079225000000001</v>
      </c>
      <c r="AK3595" t="s">
        <v>1174</v>
      </c>
      <c r="AL3595">
        <v>-117.01993</v>
      </c>
      <c r="AM3595">
        <v>100</v>
      </c>
      <c r="AN3595">
        <v>5300</v>
      </c>
      <c r="AO3595" t="s">
        <v>118</v>
      </c>
      <c r="AP3595">
        <v>80</v>
      </c>
      <c r="AQ3595">
        <v>-65</v>
      </c>
      <c r="AR3595">
        <v>-192</v>
      </c>
      <c r="AZ3595">
        <v>1200</v>
      </c>
      <c r="BA3595">
        <v>1</v>
      </c>
      <c r="BB3595" t="str">
        <f t="shared" si="1996"/>
        <v xml:space="preserve">N9217B  </v>
      </c>
      <c r="BC3595">
        <v>1</v>
      </c>
      <c r="BE3595">
        <v>0</v>
      </c>
      <c r="BF3595">
        <v>0</v>
      </c>
      <c r="BG3595">
        <v>0</v>
      </c>
      <c r="BH3595">
        <v>5175</v>
      </c>
      <c r="BI3595">
        <v>1</v>
      </c>
      <c r="BJ3595">
        <v>0</v>
      </c>
      <c r="BK3595">
        <v>0</v>
      </c>
      <c r="BL3595">
        <v>0</v>
      </c>
      <c r="BO3595">
        <v>0</v>
      </c>
      <c r="BP3595">
        <v>0</v>
      </c>
      <c r="BW3595" t="str">
        <f t="shared" si="2000"/>
        <v>14:57:49.951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6</v>
      </c>
      <c r="CP3595" t="s">
        <v>119</v>
      </c>
      <c r="CQ3595">
        <v>285</v>
      </c>
      <c r="CR3595">
        <v>0</v>
      </c>
      <c r="CW3595">
        <v>8881187</v>
      </c>
      <c r="CY3595">
        <v>0</v>
      </c>
      <c r="CZ3595">
        <v>0</v>
      </c>
      <c r="DA3595">
        <v>1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25">
      <c r="A3596" t="str">
        <f t="shared" si="1997"/>
        <v>06/05/2020 14:57:44.291</v>
      </c>
      <c r="C3596" t="str">
        <f t="shared" si="1975"/>
        <v>FFDFD3C0</v>
      </c>
      <c r="D3596" t="s">
        <v>151</v>
      </c>
      <c r="E3596">
        <v>9</v>
      </c>
      <c r="H3596">
        <v>226</v>
      </c>
      <c r="I3596" t="s">
        <v>152</v>
      </c>
      <c r="J3596" t="s">
        <v>150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998"/>
        <v>14:57:49.945</v>
      </c>
      <c r="T3596" t="str">
        <f t="shared" si="1999"/>
        <v>14:57:49.445</v>
      </c>
      <c r="U3596" t="str">
        <f t="shared" si="1995"/>
        <v>ACC530</v>
      </c>
      <c r="V3596">
        <v>0</v>
      </c>
      <c r="W3596">
        <v>0</v>
      </c>
      <c r="X3596">
        <v>1</v>
      </c>
      <c r="Z3596">
        <v>0</v>
      </c>
      <c r="AA3596">
        <v>9</v>
      </c>
      <c r="AB3596">
        <v>3</v>
      </c>
      <c r="AC3596">
        <v>0</v>
      </c>
      <c r="AD3596">
        <v>9</v>
      </c>
      <c r="AE3596">
        <v>0</v>
      </c>
      <c r="AF3596">
        <v>3</v>
      </c>
      <c r="AG3596">
        <v>1</v>
      </c>
      <c r="AH3596">
        <v>0</v>
      </c>
      <c r="AI3596" t="s">
        <v>1173</v>
      </c>
      <c r="AJ3596">
        <v>34.079225000000001</v>
      </c>
      <c r="AK3596" t="s">
        <v>1174</v>
      </c>
      <c r="AL3596">
        <v>-117.01993</v>
      </c>
      <c r="AM3596">
        <v>100</v>
      </c>
      <c r="AN3596">
        <v>5300</v>
      </c>
      <c r="AO3596" t="s">
        <v>118</v>
      </c>
      <c r="AP3596">
        <v>80</v>
      </c>
      <c r="AQ3596">
        <v>-65</v>
      </c>
      <c r="AR3596">
        <v>-192</v>
      </c>
      <c r="AZ3596">
        <v>1200</v>
      </c>
      <c r="BA3596">
        <v>1</v>
      </c>
      <c r="BB3596" t="str">
        <f t="shared" si="1996"/>
        <v xml:space="preserve">N9217B  </v>
      </c>
      <c r="BC3596">
        <v>1</v>
      </c>
      <c r="BE3596">
        <v>0</v>
      </c>
      <c r="BF3596">
        <v>0</v>
      </c>
      <c r="BG3596">
        <v>0</v>
      </c>
      <c r="BH3596">
        <v>5175</v>
      </c>
      <c r="BI3596">
        <v>1</v>
      </c>
      <c r="BJ3596">
        <v>0</v>
      </c>
      <c r="BK3596">
        <v>0</v>
      </c>
      <c r="BL3596">
        <v>0</v>
      </c>
      <c r="BO3596">
        <v>0</v>
      </c>
      <c r="BP3596">
        <v>0</v>
      </c>
      <c r="BW3596" t="str">
        <f t="shared" si="2000"/>
        <v>14:57:49.951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6</v>
      </c>
      <c r="CP3596" t="s">
        <v>119</v>
      </c>
      <c r="CQ3596">
        <v>285</v>
      </c>
      <c r="CR3596">
        <v>0</v>
      </c>
      <c r="CW3596">
        <v>8881187</v>
      </c>
      <c r="CY3596">
        <v>0</v>
      </c>
      <c r="CZ3596">
        <v>0</v>
      </c>
      <c r="DA3596">
        <v>1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25">
      <c r="A3597" t="str">
        <f t="shared" si="1997"/>
        <v>06/05/2020 14:57:44.291</v>
      </c>
      <c r="C3597" t="str">
        <f t="shared" si="1975"/>
        <v>FFDFD3C0</v>
      </c>
      <c r="D3597" t="s">
        <v>113</v>
      </c>
      <c r="E3597">
        <v>3</v>
      </c>
      <c r="H3597">
        <v>166</v>
      </c>
      <c r="I3597" t="s">
        <v>114</v>
      </c>
      <c r="J3597" t="s">
        <v>115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si="1998"/>
        <v>14:57:49.945</v>
      </c>
      <c r="T3597" t="str">
        <f t="shared" si="1999"/>
        <v>14:57:49.445</v>
      </c>
      <c r="U3597" t="str">
        <f t="shared" si="1995"/>
        <v>ACC530</v>
      </c>
      <c r="V3597">
        <v>0</v>
      </c>
      <c r="W3597">
        <v>0</v>
      </c>
      <c r="X3597">
        <v>1</v>
      </c>
      <c r="Z3597">
        <v>0</v>
      </c>
      <c r="AA3597">
        <v>9</v>
      </c>
      <c r="AB3597">
        <v>3</v>
      </c>
      <c r="AC3597">
        <v>0</v>
      </c>
      <c r="AD3597">
        <v>9</v>
      </c>
      <c r="AE3597">
        <v>0</v>
      </c>
      <c r="AF3597">
        <v>3</v>
      </c>
      <c r="AG3597">
        <v>1</v>
      </c>
      <c r="AH3597">
        <v>0</v>
      </c>
      <c r="AI3597" t="s">
        <v>1173</v>
      </c>
      <c r="AJ3597">
        <v>34.079225000000001</v>
      </c>
      <c r="AK3597" t="s">
        <v>1174</v>
      </c>
      <c r="AL3597">
        <v>-117.01993</v>
      </c>
      <c r="AM3597">
        <v>100</v>
      </c>
      <c r="AN3597">
        <v>5300</v>
      </c>
      <c r="AO3597" t="s">
        <v>118</v>
      </c>
      <c r="AP3597">
        <v>80</v>
      </c>
      <c r="AQ3597">
        <v>-65</v>
      </c>
      <c r="AR3597">
        <v>-192</v>
      </c>
      <c r="AZ3597">
        <v>1200</v>
      </c>
      <c r="BA3597">
        <v>1</v>
      </c>
      <c r="BB3597" t="str">
        <f t="shared" si="1996"/>
        <v xml:space="preserve">N9217B  </v>
      </c>
      <c r="BC3597">
        <v>1</v>
      </c>
      <c r="BE3597">
        <v>0</v>
      </c>
      <c r="BF3597">
        <v>0</v>
      </c>
      <c r="BG3597">
        <v>0</v>
      </c>
      <c r="BH3597">
        <v>5175</v>
      </c>
      <c r="BI3597">
        <v>1</v>
      </c>
      <c r="BJ3597">
        <v>0</v>
      </c>
      <c r="BK3597">
        <v>0</v>
      </c>
      <c r="BL3597">
        <v>0</v>
      </c>
      <c r="BO3597">
        <v>0</v>
      </c>
      <c r="BP3597">
        <v>0</v>
      </c>
      <c r="BW3597" t="str">
        <f t="shared" si="2000"/>
        <v>14:57:49.951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6</v>
      </c>
      <c r="CP3597" t="s">
        <v>119</v>
      </c>
      <c r="CQ3597">
        <v>285</v>
      </c>
      <c r="CR3597">
        <v>0</v>
      </c>
      <c r="CW3597">
        <v>8881187</v>
      </c>
      <c r="CY3597">
        <v>0</v>
      </c>
      <c r="CZ3597">
        <v>0</v>
      </c>
      <c r="DA3597">
        <v>1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25">
      <c r="A3598" t="str">
        <f t="shared" si="1997"/>
        <v>06/05/2020 14:57:44.291</v>
      </c>
      <c r="C3598" t="str">
        <f t="shared" si="1975"/>
        <v>FFDFD3C0</v>
      </c>
      <c r="D3598" t="s">
        <v>148</v>
      </c>
      <c r="E3598">
        <v>11</v>
      </c>
      <c r="H3598">
        <v>53</v>
      </c>
      <c r="I3598" t="s">
        <v>364</v>
      </c>
      <c r="J3598" t="s">
        <v>150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si="1998"/>
        <v>14:57:49.945</v>
      </c>
      <c r="T3598" t="str">
        <f t="shared" si="1999"/>
        <v>14:57:49.445</v>
      </c>
      <c r="U3598" t="str">
        <f t="shared" si="1995"/>
        <v>ACC530</v>
      </c>
      <c r="V3598">
        <v>0</v>
      </c>
      <c r="W3598">
        <v>0</v>
      </c>
      <c r="X3598">
        <v>1</v>
      </c>
      <c r="Z3598">
        <v>0</v>
      </c>
      <c r="AA3598">
        <v>9</v>
      </c>
      <c r="AB3598">
        <v>3</v>
      </c>
      <c r="AC3598">
        <v>0</v>
      </c>
      <c r="AD3598">
        <v>9</v>
      </c>
      <c r="AE3598">
        <v>0</v>
      </c>
      <c r="AF3598">
        <v>3</v>
      </c>
      <c r="AG3598">
        <v>1</v>
      </c>
      <c r="AH3598">
        <v>0</v>
      </c>
      <c r="AI3598" t="s">
        <v>1173</v>
      </c>
      <c r="AJ3598">
        <v>34.079225000000001</v>
      </c>
      <c r="AK3598" t="s">
        <v>1174</v>
      </c>
      <c r="AL3598">
        <v>-117.01993</v>
      </c>
      <c r="AM3598">
        <v>100</v>
      </c>
      <c r="AN3598">
        <v>5300</v>
      </c>
      <c r="AO3598" t="s">
        <v>118</v>
      </c>
      <c r="AP3598">
        <v>80</v>
      </c>
      <c r="AQ3598">
        <v>-65</v>
      </c>
      <c r="AR3598">
        <v>-192</v>
      </c>
      <c r="AZ3598">
        <v>1200</v>
      </c>
      <c r="BA3598">
        <v>1</v>
      </c>
      <c r="BB3598" t="str">
        <f t="shared" si="1996"/>
        <v xml:space="preserve">N9217B  </v>
      </c>
      <c r="BC3598">
        <v>1</v>
      </c>
      <c r="BE3598">
        <v>0</v>
      </c>
      <c r="BF3598">
        <v>0</v>
      </c>
      <c r="BG3598">
        <v>0</v>
      </c>
      <c r="BH3598">
        <v>5175</v>
      </c>
      <c r="BI3598">
        <v>1</v>
      </c>
      <c r="BJ3598">
        <v>0</v>
      </c>
      <c r="BK3598">
        <v>0</v>
      </c>
      <c r="BL3598">
        <v>0</v>
      </c>
      <c r="BO3598">
        <v>0</v>
      </c>
      <c r="BP3598">
        <v>0</v>
      </c>
      <c r="BW3598" t="str">
        <f t="shared" si="2000"/>
        <v>14:57:49.951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6</v>
      </c>
      <c r="CP3598" t="s">
        <v>119</v>
      </c>
      <c r="CQ3598">
        <v>285</v>
      </c>
      <c r="CR3598">
        <v>0</v>
      </c>
      <c r="CW3598">
        <v>8881187</v>
      </c>
      <c r="CY3598">
        <v>0</v>
      </c>
      <c r="CZ3598">
        <v>0</v>
      </c>
      <c r="DA3598">
        <v>1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25">
      <c r="A3599" t="str">
        <f t="shared" ref="A3599:A3605" si="2001">"06/05/2020 14:57:45.434"</f>
        <v>06/05/2020 14:57:45.434</v>
      </c>
      <c r="C3599" t="str">
        <f t="shared" si="1975"/>
        <v>FFDFD3C0</v>
      </c>
      <c r="D3599" t="s">
        <v>113</v>
      </c>
      <c r="E3599">
        <v>3</v>
      </c>
      <c r="H3599">
        <v>166</v>
      </c>
      <c r="I3599" t="s">
        <v>114</v>
      </c>
      <c r="J3599" t="s">
        <v>115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ref="S3599:T3605" si="2002">"14:57:51.086"</f>
        <v>14:57:51.086</v>
      </c>
      <c r="T3599" t="str">
        <f t="shared" si="2002"/>
        <v>14:57:51.086</v>
      </c>
      <c r="U3599" t="str">
        <f t="shared" si="1995"/>
        <v>ACC530</v>
      </c>
      <c r="V3599">
        <v>0</v>
      </c>
      <c r="W3599">
        <v>0</v>
      </c>
      <c r="X3599">
        <v>1</v>
      </c>
      <c r="Z3599">
        <v>0</v>
      </c>
      <c r="AA3599">
        <v>9</v>
      </c>
      <c r="AB3599">
        <v>3</v>
      </c>
      <c r="AC3599">
        <v>0</v>
      </c>
      <c r="AD3599">
        <v>9</v>
      </c>
      <c r="AE3599">
        <v>0</v>
      </c>
      <c r="AF3599">
        <v>3</v>
      </c>
      <c r="AG3599">
        <v>1</v>
      </c>
      <c r="AH3599">
        <v>0</v>
      </c>
      <c r="AI3599" t="s">
        <v>1175</v>
      </c>
      <c r="AJ3599">
        <v>34.078839000000002</v>
      </c>
      <c r="AK3599" t="s">
        <v>1176</v>
      </c>
      <c r="AL3599">
        <v>-117.019436</v>
      </c>
      <c r="AM3599">
        <v>100</v>
      </c>
      <c r="AN3599">
        <v>5300</v>
      </c>
      <c r="AO3599" t="s">
        <v>118</v>
      </c>
      <c r="AP3599">
        <v>75</v>
      </c>
      <c r="AQ3599">
        <v>-70</v>
      </c>
      <c r="AR3599">
        <v>-128</v>
      </c>
      <c r="AZ3599">
        <v>1200</v>
      </c>
      <c r="BA3599">
        <v>1</v>
      </c>
      <c r="BB3599" t="str">
        <f t="shared" si="1996"/>
        <v xml:space="preserve">N9217B  </v>
      </c>
      <c r="BC3599">
        <v>1</v>
      </c>
      <c r="BE3599">
        <v>0</v>
      </c>
      <c r="BF3599">
        <v>0</v>
      </c>
      <c r="BG3599">
        <v>0</v>
      </c>
      <c r="BH3599">
        <v>5175</v>
      </c>
      <c r="BI3599">
        <v>1</v>
      </c>
      <c r="BJ3599">
        <v>0</v>
      </c>
      <c r="BK3599">
        <v>0</v>
      </c>
      <c r="BL3599">
        <v>0</v>
      </c>
      <c r="BO3599">
        <v>0</v>
      </c>
      <c r="BP3599">
        <v>0</v>
      </c>
      <c r="BW3599" t="str">
        <f t="shared" ref="BW3599:BW3605" si="2003">"14:57:51.091"</f>
        <v>14:57:51.091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6</v>
      </c>
      <c r="CP3599" t="s">
        <v>119</v>
      </c>
      <c r="CQ3599">
        <v>285</v>
      </c>
      <c r="CR3599">
        <v>0</v>
      </c>
      <c r="CW3599">
        <v>8881283</v>
      </c>
      <c r="CY3599">
        <v>0</v>
      </c>
      <c r="CZ3599">
        <v>0</v>
      </c>
      <c r="DA3599">
        <v>0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25">
      <c r="A3600" t="str">
        <f t="shared" si="2001"/>
        <v>06/05/2020 14:57:45.434</v>
      </c>
      <c r="C3600" t="str">
        <f t="shared" si="1975"/>
        <v>FFDFD3C0</v>
      </c>
      <c r="D3600" t="s">
        <v>148</v>
      </c>
      <c r="E3600">
        <v>11</v>
      </c>
      <c r="H3600">
        <v>53</v>
      </c>
      <c r="I3600" t="s">
        <v>364</v>
      </c>
      <c r="J3600" t="s">
        <v>150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2002"/>
        <v>14:57:51.086</v>
      </c>
      <c r="T3600" t="str">
        <f t="shared" si="2002"/>
        <v>14:57:51.086</v>
      </c>
      <c r="U3600" t="str">
        <f t="shared" si="1995"/>
        <v>ACC530</v>
      </c>
      <c r="V3600">
        <v>0</v>
      </c>
      <c r="W3600">
        <v>0</v>
      </c>
      <c r="X3600">
        <v>1</v>
      </c>
      <c r="Z3600">
        <v>0</v>
      </c>
      <c r="AA3600">
        <v>9</v>
      </c>
      <c r="AB3600">
        <v>3</v>
      </c>
      <c r="AC3600">
        <v>0</v>
      </c>
      <c r="AD3600">
        <v>9</v>
      </c>
      <c r="AE3600">
        <v>0</v>
      </c>
      <c r="AF3600">
        <v>3</v>
      </c>
      <c r="AG3600">
        <v>1</v>
      </c>
      <c r="AH3600">
        <v>0</v>
      </c>
      <c r="AI3600" t="s">
        <v>1175</v>
      </c>
      <c r="AJ3600">
        <v>34.078839000000002</v>
      </c>
      <c r="AK3600" t="s">
        <v>1176</v>
      </c>
      <c r="AL3600">
        <v>-117.019436</v>
      </c>
      <c r="AM3600">
        <v>100</v>
      </c>
      <c r="AN3600">
        <v>5300</v>
      </c>
      <c r="AO3600" t="s">
        <v>118</v>
      </c>
      <c r="AP3600">
        <v>75</v>
      </c>
      <c r="AQ3600">
        <v>-70</v>
      </c>
      <c r="AR3600">
        <v>-128</v>
      </c>
      <c r="AZ3600">
        <v>1200</v>
      </c>
      <c r="BA3600">
        <v>1</v>
      </c>
      <c r="BB3600" t="str">
        <f t="shared" si="1996"/>
        <v xml:space="preserve">N9217B  </v>
      </c>
      <c r="BC3600">
        <v>1</v>
      </c>
      <c r="BE3600">
        <v>0</v>
      </c>
      <c r="BF3600">
        <v>0</v>
      </c>
      <c r="BG3600">
        <v>0</v>
      </c>
      <c r="BH3600">
        <v>5175</v>
      </c>
      <c r="BI3600">
        <v>1</v>
      </c>
      <c r="BJ3600">
        <v>0</v>
      </c>
      <c r="BK3600">
        <v>0</v>
      </c>
      <c r="BL3600">
        <v>0</v>
      </c>
      <c r="BO3600">
        <v>0</v>
      </c>
      <c r="BP3600">
        <v>0</v>
      </c>
      <c r="BW3600" t="str">
        <f t="shared" si="2003"/>
        <v>14:57:51.091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6</v>
      </c>
      <c r="CP3600" t="s">
        <v>119</v>
      </c>
      <c r="CQ3600">
        <v>285</v>
      </c>
      <c r="CR3600">
        <v>0</v>
      </c>
      <c r="CW3600">
        <v>8881283</v>
      </c>
      <c r="CY3600">
        <v>0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25">
      <c r="A3601" t="str">
        <f t="shared" si="2001"/>
        <v>06/05/2020 14:57:45.434</v>
      </c>
      <c r="C3601" t="str">
        <f t="shared" si="1975"/>
        <v>FFDFD3C0</v>
      </c>
      <c r="D3601" t="s">
        <v>148</v>
      </c>
      <c r="E3601">
        <v>8</v>
      </c>
      <c r="H3601">
        <v>50</v>
      </c>
      <c r="I3601" t="s">
        <v>149</v>
      </c>
      <c r="J3601" t="s">
        <v>150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si="2002"/>
        <v>14:57:51.086</v>
      </c>
      <c r="T3601" t="str">
        <f t="shared" si="2002"/>
        <v>14:57:51.086</v>
      </c>
      <c r="U3601" t="str">
        <f t="shared" si="1995"/>
        <v>ACC530</v>
      </c>
      <c r="V3601">
        <v>0</v>
      </c>
      <c r="W3601">
        <v>0</v>
      </c>
      <c r="X3601">
        <v>1</v>
      </c>
      <c r="Z3601">
        <v>0</v>
      </c>
      <c r="AA3601">
        <v>9</v>
      </c>
      <c r="AB3601">
        <v>3</v>
      </c>
      <c r="AC3601">
        <v>0</v>
      </c>
      <c r="AD3601">
        <v>9</v>
      </c>
      <c r="AE3601">
        <v>0</v>
      </c>
      <c r="AF3601">
        <v>3</v>
      </c>
      <c r="AG3601">
        <v>1</v>
      </c>
      <c r="AH3601">
        <v>0</v>
      </c>
      <c r="AI3601" t="s">
        <v>1175</v>
      </c>
      <c r="AJ3601">
        <v>34.078839000000002</v>
      </c>
      <c r="AK3601" t="s">
        <v>1176</v>
      </c>
      <c r="AL3601">
        <v>-117.019436</v>
      </c>
      <c r="AM3601">
        <v>100</v>
      </c>
      <c r="AN3601">
        <v>5300</v>
      </c>
      <c r="AO3601" t="s">
        <v>118</v>
      </c>
      <c r="AP3601">
        <v>75</v>
      </c>
      <c r="AQ3601">
        <v>-70</v>
      </c>
      <c r="AR3601">
        <v>-128</v>
      </c>
      <c r="AZ3601">
        <v>1200</v>
      </c>
      <c r="BA3601">
        <v>1</v>
      </c>
      <c r="BB3601" t="str">
        <f t="shared" si="1996"/>
        <v xml:space="preserve">N9217B  </v>
      </c>
      <c r="BC3601">
        <v>1</v>
      </c>
      <c r="BE3601">
        <v>0</v>
      </c>
      <c r="BF3601">
        <v>0</v>
      </c>
      <c r="BG3601">
        <v>0</v>
      </c>
      <c r="BH3601">
        <v>5175</v>
      </c>
      <c r="BI3601">
        <v>1</v>
      </c>
      <c r="BJ3601">
        <v>0</v>
      </c>
      <c r="BK3601">
        <v>0</v>
      </c>
      <c r="BL3601">
        <v>0</v>
      </c>
      <c r="BO3601">
        <v>0</v>
      </c>
      <c r="BP3601">
        <v>0</v>
      </c>
      <c r="BW3601" t="str">
        <f t="shared" si="2003"/>
        <v>14:57:51.091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6</v>
      </c>
      <c r="CP3601" t="s">
        <v>119</v>
      </c>
      <c r="CQ3601">
        <v>285</v>
      </c>
      <c r="CR3601">
        <v>0</v>
      </c>
      <c r="CW3601">
        <v>8881283</v>
      </c>
      <c r="CY3601">
        <v>0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25">
      <c r="A3602" t="str">
        <f t="shared" si="2001"/>
        <v>06/05/2020 14:57:45.434</v>
      </c>
      <c r="C3602" t="str">
        <f t="shared" si="1975"/>
        <v>FFDFD3C0</v>
      </c>
      <c r="D3602" t="s">
        <v>134</v>
      </c>
      <c r="E3602">
        <v>7</v>
      </c>
      <c r="F3602">
        <v>2007</v>
      </c>
      <c r="G3602" t="s">
        <v>135</v>
      </c>
      <c r="J3602" t="s">
        <v>136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si="2002"/>
        <v>14:57:51.086</v>
      </c>
      <c r="T3602" t="str">
        <f t="shared" si="2002"/>
        <v>14:57:51.086</v>
      </c>
      <c r="U3602" t="str">
        <f t="shared" si="1995"/>
        <v>ACC530</v>
      </c>
      <c r="V3602">
        <v>0</v>
      </c>
      <c r="W3602">
        <v>0</v>
      </c>
      <c r="X3602">
        <v>1</v>
      </c>
      <c r="Z3602">
        <v>0</v>
      </c>
      <c r="AA3602">
        <v>9</v>
      </c>
      <c r="AB3602">
        <v>3</v>
      </c>
      <c r="AC3602">
        <v>0</v>
      </c>
      <c r="AD3602">
        <v>9</v>
      </c>
      <c r="AE3602">
        <v>0</v>
      </c>
      <c r="AF3602">
        <v>3</v>
      </c>
      <c r="AG3602">
        <v>1</v>
      </c>
      <c r="AH3602">
        <v>0</v>
      </c>
      <c r="AI3602" t="s">
        <v>1175</v>
      </c>
      <c r="AJ3602">
        <v>34.078839000000002</v>
      </c>
      <c r="AK3602" t="s">
        <v>1176</v>
      </c>
      <c r="AL3602">
        <v>-117.019436</v>
      </c>
      <c r="AM3602">
        <v>100</v>
      </c>
      <c r="AN3602">
        <v>5300</v>
      </c>
      <c r="AO3602" t="s">
        <v>118</v>
      </c>
      <c r="AP3602">
        <v>75</v>
      </c>
      <c r="AQ3602">
        <v>-70</v>
      </c>
      <c r="AR3602">
        <v>-128</v>
      </c>
      <c r="AZ3602">
        <v>1200</v>
      </c>
      <c r="BA3602">
        <v>1</v>
      </c>
      <c r="BB3602" t="str">
        <f t="shared" si="1996"/>
        <v xml:space="preserve">N9217B  </v>
      </c>
      <c r="BC3602">
        <v>1</v>
      </c>
      <c r="BE3602">
        <v>0</v>
      </c>
      <c r="BF3602">
        <v>0</v>
      </c>
      <c r="BG3602">
        <v>0</v>
      </c>
      <c r="BH3602">
        <v>5175</v>
      </c>
      <c r="BI3602">
        <v>1</v>
      </c>
      <c r="BJ3602">
        <v>0</v>
      </c>
      <c r="BK3602">
        <v>0</v>
      </c>
      <c r="BL3602">
        <v>0</v>
      </c>
      <c r="BO3602">
        <v>0</v>
      </c>
      <c r="BP3602">
        <v>0</v>
      </c>
      <c r="BW3602" t="str">
        <f t="shared" si="2003"/>
        <v>14:57:51.091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6</v>
      </c>
      <c r="CP3602" t="s">
        <v>119</v>
      </c>
      <c r="CQ3602">
        <v>285</v>
      </c>
      <c r="CR3602">
        <v>0</v>
      </c>
      <c r="CW3602">
        <v>8881283</v>
      </c>
      <c r="CY3602">
        <v>0</v>
      </c>
      <c r="CZ3602">
        <v>0</v>
      </c>
      <c r="DA3602">
        <v>1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25">
      <c r="A3603" t="str">
        <f t="shared" si="2001"/>
        <v>06/05/2020 14:57:45.434</v>
      </c>
      <c r="C3603" t="str">
        <f t="shared" si="1975"/>
        <v>FFDFD3C0</v>
      </c>
      <c r="D3603" t="s">
        <v>151</v>
      </c>
      <c r="E3603">
        <v>8</v>
      </c>
      <c r="H3603">
        <v>225</v>
      </c>
      <c r="I3603" t="s">
        <v>353</v>
      </c>
      <c r="J3603" t="s">
        <v>150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2002"/>
        <v>14:57:51.086</v>
      </c>
      <c r="T3603" t="str">
        <f t="shared" si="2002"/>
        <v>14:57:51.086</v>
      </c>
      <c r="U3603" t="str">
        <f t="shared" si="1995"/>
        <v>ACC530</v>
      </c>
      <c r="V3603">
        <v>0</v>
      </c>
      <c r="W3603">
        <v>0</v>
      </c>
      <c r="X3603">
        <v>1</v>
      </c>
      <c r="Z3603">
        <v>0</v>
      </c>
      <c r="AA3603">
        <v>9</v>
      </c>
      <c r="AB3603">
        <v>3</v>
      </c>
      <c r="AC3603">
        <v>0</v>
      </c>
      <c r="AD3603">
        <v>9</v>
      </c>
      <c r="AE3603">
        <v>0</v>
      </c>
      <c r="AF3603">
        <v>3</v>
      </c>
      <c r="AG3603">
        <v>1</v>
      </c>
      <c r="AH3603">
        <v>0</v>
      </c>
      <c r="AI3603" t="s">
        <v>1175</v>
      </c>
      <c r="AJ3603">
        <v>34.078839000000002</v>
      </c>
      <c r="AK3603" t="s">
        <v>1176</v>
      </c>
      <c r="AL3603">
        <v>-117.019436</v>
      </c>
      <c r="AM3603">
        <v>100</v>
      </c>
      <c r="AN3603">
        <v>5300</v>
      </c>
      <c r="AO3603" t="s">
        <v>118</v>
      </c>
      <c r="AP3603">
        <v>75</v>
      </c>
      <c r="AQ3603">
        <v>-70</v>
      </c>
      <c r="AR3603">
        <v>-128</v>
      </c>
      <c r="AZ3603">
        <v>1200</v>
      </c>
      <c r="BA3603">
        <v>1</v>
      </c>
      <c r="BB3603" t="str">
        <f t="shared" si="1996"/>
        <v xml:space="preserve">N9217B  </v>
      </c>
      <c r="BC3603">
        <v>1</v>
      </c>
      <c r="BE3603">
        <v>0</v>
      </c>
      <c r="BF3603">
        <v>0</v>
      </c>
      <c r="BG3603">
        <v>0</v>
      </c>
      <c r="BH3603">
        <v>5175</v>
      </c>
      <c r="BI3603">
        <v>1</v>
      </c>
      <c r="BJ3603">
        <v>0</v>
      </c>
      <c r="BK3603">
        <v>0</v>
      </c>
      <c r="BL3603">
        <v>0</v>
      </c>
      <c r="BO3603">
        <v>0</v>
      </c>
      <c r="BP3603">
        <v>0</v>
      </c>
      <c r="BW3603" t="str">
        <f t="shared" si="2003"/>
        <v>14:57:51.091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6</v>
      </c>
      <c r="CP3603" t="s">
        <v>119</v>
      </c>
      <c r="CQ3603">
        <v>285</v>
      </c>
      <c r="CR3603">
        <v>0</v>
      </c>
      <c r="CW3603">
        <v>8881283</v>
      </c>
      <c r="CY3603">
        <v>0</v>
      </c>
      <c r="CZ3603">
        <v>0</v>
      </c>
      <c r="DA3603">
        <v>1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25">
      <c r="A3604" t="str">
        <f t="shared" si="2001"/>
        <v>06/05/2020 14:57:45.434</v>
      </c>
      <c r="C3604" t="str">
        <f t="shared" si="1975"/>
        <v>FFDFD3C0</v>
      </c>
      <c r="D3604" t="s">
        <v>141</v>
      </c>
      <c r="E3604">
        <v>20</v>
      </c>
      <c r="F3604">
        <v>1020</v>
      </c>
      <c r="G3604" t="s">
        <v>114</v>
      </c>
      <c r="J3604" t="s">
        <v>142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si="2002"/>
        <v>14:57:51.086</v>
      </c>
      <c r="T3604" t="str">
        <f t="shared" si="2002"/>
        <v>14:57:51.086</v>
      </c>
      <c r="U3604" t="str">
        <f t="shared" si="1995"/>
        <v>ACC530</v>
      </c>
      <c r="V3604">
        <v>0</v>
      </c>
      <c r="W3604">
        <v>0</v>
      </c>
      <c r="X3604">
        <v>1</v>
      </c>
      <c r="Z3604">
        <v>0</v>
      </c>
      <c r="AA3604">
        <v>9</v>
      </c>
      <c r="AB3604">
        <v>3</v>
      </c>
      <c r="AC3604">
        <v>0</v>
      </c>
      <c r="AD3604">
        <v>9</v>
      </c>
      <c r="AE3604">
        <v>0</v>
      </c>
      <c r="AF3604">
        <v>3</v>
      </c>
      <c r="AG3604">
        <v>1</v>
      </c>
      <c r="AH3604">
        <v>0</v>
      </c>
      <c r="AI3604" t="s">
        <v>1175</v>
      </c>
      <c r="AJ3604">
        <v>34.078839000000002</v>
      </c>
      <c r="AK3604" t="s">
        <v>1176</v>
      </c>
      <c r="AL3604">
        <v>-117.019436</v>
      </c>
      <c r="AM3604">
        <v>100</v>
      </c>
      <c r="AN3604">
        <v>5300</v>
      </c>
      <c r="AO3604" t="s">
        <v>118</v>
      </c>
      <c r="AP3604">
        <v>75</v>
      </c>
      <c r="AQ3604">
        <v>-70</v>
      </c>
      <c r="AR3604">
        <v>-128</v>
      </c>
      <c r="AZ3604">
        <v>1200</v>
      </c>
      <c r="BA3604">
        <v>1</v>
      </c>
      <c r="BB3604" t="str">
        <f t="shared" si="1996"/>
        <v xml:space="preserve">N9217B  </v>
      </c>
      <c r="BC3604">
        <v>1</v>
      </c>
      <c r="BE3604">
        <v>0</v>
      </c>
      <c r="BF3604">
        <v>0</v>
      </c>
      <c r="BG3604">
        <v>0</v>
      </c>
      <c r="BH3604">
        <v>5175</v>
      </c>
      <c r="BI3604">
        <v>1</v>
      </c>
      <c r="BJ3604">
        <v>0</v>
      </c>
      <c r="BK3604">
        <v>0</v>
      </c>
      <c r="BL3604">
        <v>0</v>
      </c>
      <c r="BO3604">
        <v>0</v>
      </c>
      <c r="BP3604">
        <v>0</v>
      </c>
      <c r="BW3604" t="str">
        <f t="shared" si="2003"/>
        <v>14:57:51.091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6</v>
      </c>
      <c r="CP3604" t="s">
        <v>119</v>
      </c>
      <c r="CQ3604">
        <v>285</v>
      </c>
      <c r="CR3604">
        <v>0</v>
      </c>
      <c r="CW3604">
        <v>8881283</v>
      </c>
      <c r="CY3604">
        <v>0</v>
      </c>
      <c r="CZ3604">
        <v>0</v>
      </c>
      <c r="DA3604">
        <v>1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25">
      <c r="A3605" t="str">
        <f t="shared" si="2001"/>
        <v>06/05/2020 14:57:45.434</v>
      </c>
      <c r="C3605" t="str">
        <f t="shared" si="1975"/>
        <v>FFDFD3C0</v>
      </c>
      <c r="D3605" t="s">
        <v>151</v>
      </c>
      <c r="E3605">
        <v>9</v>
      </c>
      <c r="H3605">
        <v>226</v>
      </c>
      <c r="I3605" t="s">
        <v>152</v>
      </c>
      <c r="J3605" t="s">
        <v>150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2002"/>
        <v>14:57:51.086</v>
      </c>
      <c r="T3605" t="str">
        <f t="shared" si="2002"/>
        <v>14:57:51.086</v>
      </c>
      <c r="U3605" t="str">
        <f t="shared" si="1995"/>
        <v>ACC530</v>
      </c>
      <c r="V3605">
        <v>0</v>
      </c>
      <c r="W3605">
        <v>0</v>
      </c>
      <c r="X3605">
        <v>1</v>
      </c>
      <c r="Z3605">
        <v>0</v>
      </c>
      <c r="AA3605">
        <v>9</v>
      </c>
      <c r="AB3605">
        <v>3</v>
      </c>
      <c r="AC3605">
        <v>0</v>
      </c>
      <c r="AD3605">
        <v>9</v>
      </c>
      <c r="AE3605">
        <v>0</v>
      </c>
      <c r="AF3605">
        <v>3</v>
      </c>
      <c r="AG3605">
        <v>1</v>
      </c>
      <c r="AH3605">
        <v>0</v>
      </c>
      <c r="AI3605" t="s">
        <v>1175</v>
      </c>
      <c r="AJ3605">
        <v>34.078839000000002</v>
      </c>
      <c r="AK3605" t="s">
        <v>1176</v>
      </c>
      <c r="AL3605">
        <v>-117.019436</v>
      </c>
      <c r="AM3605">
        <v>100</v>
      </c>
      <c r="AN3605">
        <v>5300</v>
      </c>
      <c r="AO3605" t="s">
        <v>118</v>
      </c>
      <c r="AP3605">
        <v>75</v>
      </c>
      <c r="AQ3605">
        <v>-70</v>
      </c>
      <c r="AR3605">
        <v>-128</v>
      </c>
      <c r="AZ3605">
        <v>1200</v>
      </c>
      <c r="BA3605">
        <v>1</v>
      </c>
      <c r="BB3605" t="str">
        <f t="shared" si="1996"/>
        <v xml:space="preserve">N9217B  </v>
      </c>
      <c r="BC3605">
        <v>1</v>
      </c>
      <c r="BE3605">
        <v>0</v>
      </c>
      <c r="BF3605">
        <v>0</v>
      </c>
      <c r="BG3605">
        <v>0</v>
      </c>
      <c r="BH3605">
        <v>5175</v>
      </c>
      <c r="BI3605">
        <v>1</v>
      </c>
      <c r="BJ3605">
        <v>0</v>
      </c>
      <c r="BK3605">
        <v>0</v>
      </c>
      <c r="BL3605">
        <v>0</v>
      </c>
      <c r="BO3605">
        <v>0</v>
      </c>
      <c r="BP3605">
        <v>0</v>
      </c>
      <c r="BW3605" t="str">
        <f t="shared" si="2003"/>
        <v>14:57:51.091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6</v>
      </c>
      <c r="CP3605" t="s">
        <v>119</v>
      </c>
      <c r="CQ3605">
        <v>285</v>
      </c>
      <c r="CR3605">
        <v>0</v>
      </c>
      <c r="CW3605">
        <v>8881283</v>
      </c>
      <c r="CY3605">
        <v>0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25">
      <c r="A3606" t="str">
        <f t="shared" ref="A3606:A3612" si="2004">"06/05/2020 14:57:46.501"</f>
        <v>06/05/2020 14:57:46.501</v>
      </c>
      <c r="C3606" t="str">
        <f t="shared" si="1975"/>
        <v>FFDFD3C0</v>
      </c>
      <c r="D3606" t="s">
        <v>148</v>
      </c>
      <c r="E3606">
        <v>11</v>
      </c>
      <c r="H3606">
        <v>53</v>
      </c>
      <c r="I3606" t="s">
        <v>364</v>
      </c>
      <c r="J3606" t="s">
        <v>150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ref="S3606:S3612" si="2005">"14:57:52.125"</f>
        <v>14:57:52.125</v>
      </c>
      <c r="T3606" t="str">
        <f t="shared" ref="T3606:T3612" si="2006">"14:57:52.025"</f>
        <v>14:57:52.025</v>
      </c>
      <c r="U3606" t="str">
        <f t="shared" si="1995"/>
        <v>ACC530</v>
      </c>
      <c r="V3606">
        <v>0</v>
      </c>
      <c r="W3606">
        <v>0</v>
      </c>
      <c r="X3606">
        <v>1</v>
      </c>
      <c r="Z3606">
        <v>0</v>
      </c>
      <c r="AA3606">
        <v>9</v>
      </c>
      <c r="AB3606">
        <v>3</v>
      </c>
      <c r="AC3606">
        <v>0</v>
      </c>
      <c r="AD3606">
        <v>9</v>
      </c>
      <c r="AE3606">
        <v>0</v>
      </c>
      <c r="AF3606">
        <v>3</v>
      </c>
      <c r="AG3606">
        <v>1</v>
      </c>
      <c r="AH3606">
        <v>0</v>
      </c>
      <c r="AI3606" t="s">
        <v>1177</v>
      </c>
      <c r="AJ3606">
        <v>34.078496000000001</v>
      </c>
      <c r="AK3606" t="s">
        <v>1178</v>
      </c>
      <c r="AL3606">
        <v>-117.019029</v>
      </c>
      <c r="AM3606">
        <v>100</v>
      </c>
      <c r="AN3606">
        <v>5300</v>
      </c>
      <c r="AO3606" t="s">
        <v>118</v>
      </c>
      <c r="AP3606">
        <v>72</v>
      </c>
      <c r="AQ3606">
        <v>-73</v>
      </c>
      <c r="AR3606">
        <v>-128</v>
      </c>
      <c r="AZ3606">
        <v>1200</v>
      </c>
      <c r="BA3606">
        <v>1</v>
      </c>
      <c r="BB3606" t="str">
        <f t="shared" si="1996"/>
        <v xml:space="preserve">N9217B  </v>
      </c>
      <c r="BC3606">
        <v>1</v>
      </c>
      <c r="BE3606">
        <v>0</v>
      </c>
      <c r="BF3606">
        <v>0</v>
      </c>
      <c r="BG3606">
        <v>0</v>
      </c>
      <c r="BH3606">
        <v>5175</v>
      </c>
      <c r="BI3606">
        <v>1</v>
      </c>
      <c r="BJ3606">
        <v>0</v>
      </c>
      <c r="BK3606">
        <v>0</v>
      </c>
      <c r="BL3606">
        <v>0</v>
      </c>
      <c r="BO3606">
        <v>0</v>
      </c>
      <c r="BP3606">
        <v>0</v>
      </c>
      <c r="BW3606" t="str">
        <f t="shared" ref="BW3606:BW3612" si="2007">"14:57:52.126"</f>
        <v>14:57:52.126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6</v>
      </c>
      <c r="CP3606" t="s">
        <v>119</v>
      </c>
      <c r="CQ3606">
        <v>285</v>
      </c>
      <c r="CR3606">
        <v>0</v>
      </c>
      <c r="CW3606">
        <v>8881370</v>
      </c>
      <c r="CY3606">
        <v>0</v>
      </c>
      <c r="CZ3606">
        <v>0</v>
      </c>
      <c r="DA3606">
        <v>0</v>
      </c>
      <c r="DB3606">
        <v>0</v>
      </c>
      <c r="DC3606">
        <v>0</v>
      </c>
      <c r="DD3606">
        <v>0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25">
      <c r="A3607" t="str">
        <f t="shared" si="2004"/>
        <v>06/05/2020 14:57:46.501</v>
      </c>
      <c r="C3607" t="str">
        <f t="shared" si="1975"/>
        <v>FFDFD3C0</v>
      </c>
      <c r="D3607" t="s">
        <v>148</v>
      </c>
      <c r="E3607">
        <v>8</v>
      </c>
      <c r="H3607">
        <v>50</v>
      </c>
      <c r="I3607" t="s">
        <v>149</v>
      </c>
      <c r="J3607" t="s">
        <v>150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2005"/>
        <v>14:57:52.125</v>
      </c>
      <c r="T3607" t="str">
        <f t="shared" si="2006"/>
        <v>14:57:52.025</v>
      </c>
      <c r="U3607" t="str">
        <f t="shared" si="1995"/>
        <v>ACC530</v>
      </c>
      <c r="V3607">
        <v>0</v>
      </c>
      <c r="W3607">
        <v>0</v>
      </c>
      <c r="X3607">
        <v>1</v>
      </c>
      <c r="Z3607">
        <v>0</v>
      </c>
      <c r="AA3607">
        <v>9</v>
      </c>
      <c r="AB3607">
        <v>3</v>
      </c>
      <c r="AC3607">
        <v>0</v>
      </c>
      <c r="AD3607">
        <v>9</v>
      </c>
      <c r="AE3607">
        <v>0</v>
      </c>
      <c r="AF3607">
        <v>3</v>
      </c>
      <c r="AG3607">
        <v>1</v>
      </c>
      <c r="AH3607">
        <v>0</v>
      </c>
      <c r="AI3607" t="s">
        <v>1177</v>
      </c>
      <c r="AJ3607">
        <v>34.078496000000001</v>
      </c>
      <c r="AK3607" t="s">
        <v>1178</v>
      </c>
      <c r="AL3607">
        <v>-117.019029</v>
      </c>
      <c r="AM3607">
        <v>100</v>
      </c>
      <c r="AN3607">
        <v>5300</v>
      </c>
      <c r="AO3607" t="s">
        <v>118</v>
      </c>
      <c r="AP3607">
        <v>72</v>
      </c>
      <c r="AQ3607">
        <v>-73</v>
      </c>
      <c r="AR3607">
        <v>-128</v>
      </c>
      <c r="AZ3607">
        <v>1200</v>
      </c>
      <c r="BA3607">
        <v>1</v>
      </c>
      <c r="BB3607" t="str">
        <f t="shared" si="1996"/>
        <v xml:space="preserve">N9217B  </v>
      </c>
      <c r="BC3607">
        <v>1</v>
      </c>
      <c r="BE3607">
        <v>0</v>
      </c>
      <c r="BF3607">
        <v>0</v>
      </c>
      <c r="BG3607">
        <v>0</v>
      </c>
      <c r="BH3607">
        <v>5175</v>
      </c>
      <c r="BI3607">
        <v>1</v>
      </c>
      <c r="BJ3607">
        <v>0</v>
      </c>
      <c r="BK3607">
        <v>0</v>
      </c>
      <c r="BL3607">
        <v>0</v>
      </c>
      <c r="BO3607">
        <v>0</v>
      </c>
      <c r="BP3607">
        <v>0</v>
      </c>
      <c r="BW3607" t="str">
        <f t="shared" si="2007"/>
        <v>14:57:52.126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6</v>
      </c>
      <c r="CP3607" t="s">
        <v>119</v>
      </c>
      <c r="CQ3607">
        <v>285</v>
      </c>
      <c r="CR3607">
        <v>0</v>
      </c>
      <c r="CW3607">
        <v>8881370</v>
      </c>
      <c r="CY3607">
        <v>0</v>
      </c>
      <c r="CZ3607">
        <v>0</v>
      </c>
      <c r="DA3607">
        <v>1</v>
      </c>
      <c r="DB3607">
        <v>0</v>
      </c>
      <c r="DC3607">
        <v>0</v>
      </c>
      <c r="DD3607">
        <v>0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25">
      <c r="A3608" t="str">
        <f t="shared" si="2004"/>
        <v>06/05/2020 14:57:46.501</v>
      </c>
      <c r="C3608" t="str">
        <f t="shared" si="1975"/>
        <v>FFDFD3C0</v>
      </c>
      <c r="D3608" t="s">
        <v>134</v>
      </c>
      <c r="E3608">
        <v>7</v>
      </c>
      <c r="F3608">
        <v>2007</v>
      </c>
      <c r="G3608" t="s">
        <v>135</v>
      </c>
      <c r="J3608" t="s">
        <v>136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2005"/>
        <v>14:57:52.125</v>
      </c>
      <c r="T3608" t="str">
        <f t="shared" si="2006"/>
        <v>14:57:52.025</v>
      </c>
      <c r="U3608" t="str">
        <f t="shared" si="1995"/>
        <v>ACC530</v>
      </c>
      <c r="V3608">
        <v>0</v>
      </c>
      <c r="W3608">
        <v>0</v>
      </c>
      <c r="X3608">
        <v>1</v>
      </c>
      <c r="Z3608">
        <v>0</v>
      </c>
      <c r="AA3608">
        <v>9</v>
      </c>
      <c r="AB3608">
        <v>3</v>
      </c>
      <c r="AC3608">
        <v>0</v>
      </c>
      <c r="AD3608">
        <v>9</v>
      </c>
      <c r="AE3608">
        <v>0</v>
      </c>
      <c r="AF3608">
        <v>3</v>
      </c>
      <c r="AG3608">
        <v>1</v>
      </c>
      <c r="AH3608">
        <v>0</v>
      </c>
      <c r="AI3608" t="s">
        <v>1177</v>
      </c>
      <c r="AJ3608">
        <v>34.078496000000001</v>
      </c>
      <c r="AK3608" t="s">
        <v>1178</v>
      </c>
      <c r="AL3608">
        <v>-117.019029</v>
      </c>
      <c r="AM3608">
        <v>100</v>
      </c>
      <c r="AN3608">
        <v>5300</v>
      </c>
      <c r="AO3608" t="s">
        <v>118</v>
      </c>
      <c r="AP3608">
        <v>72</v>
      </c>
      <c r="AQ3608">
        <v>-73</v>
      </c>
      <c r="AR3608">
        <v>-128</v>
      </c>
      <c r="AZ3608">
        <v>1200</v>
      </c>
      <c r="BA3608">
        <v>1</v>
      </c>
      <c r="BB3608" t="str">
        <f t="shared" si="1996"/>
        <v xml:space="preserve">N9217B  </v>
      </c>
      <c r="BC3608">
        <v>1</v>
      </c>
      <c r="BE3608">
        <v>0</v>
      </c>
      <c r="BF3608">
        <v>0</v>
      </c>
      <c r="BG3608">
        <v>0</v>
      </c>
      <c r="BH3608">
        <v>5175</v>
      </c>
      <c r="BI3608">
        <v>1</v>
      </c>
      <c r="BJ3608">
        <v>0</v>
      </c>
      <c r="BK3608">
        <v>0</v>
      </c>
      <c r="BL3608">
        <v>0</v>
      </c>
      <c r="BO3608">
        <v>0</v>
      </c>
      <c r="BP3608">
        <v>0</v>
      </c>
      <c r="BW3608" t="str">
        <f t="shared" si="2007"/>
        <v>14:57:52.126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6</v>
      </c>
      <c r="CP3608" t="s">
        <v>119</v>
      </c>
      <c r="CQ3608">
        <v>285</v>
      </c>
      <c r="CR3608">
        <v>0</v>
      </c>
      <c r="CW3608">
        <v>8881370</v>
      </c>
      <c r="CY3608">
        <v>0</v>
      </c>
      <c r="CZ3608">
        <v>0</v>
      </c>
      <c r="DA3608">
        <v>1</v>
      </c>
      <c r="DB3608">
        <v>0</v>
      </c>
      <c r="DC3608">
        <v>0</v>
      </c>
      <c r="DD3608">
        <v>0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25">
      <c r="A3609" t="str">
        <f t="shared" si="2004"/>
        <v>06/05/2020 14:57:46.501</v>
      </c>
      <c r="C3609" t="str">
        <f t="shared" si="1975"/>
        <v>FFDFD3C0</v>
      </c>
      <c r="D3609" t="s">
        <v>141</v>
      </c>
      <c r="E3609">
        <v>20</v>
      </c>
      <c r="F3609">
        <v>1020</v>
      </c>
      <c r="G3609" t="s">
        <v>114</v>
      </c>
      <c r="J3609" t="s">
        <v>142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si="2005"/>
        <v>14:57:52.125</v>
      </c>
      <c r="T3609" t="str">
        <f t="shared" si="2006"/>
        <v>14:57:52.025</v>
      </c>
      <c r="U3609" t="str">
        <f t="shared" si="1995"/>
        <v>ACC530</v>
      </c>
      <c r="V3609">
        <v>0</v>
      </c>
      <c r="W3609">
        <v>0</v>
      </c>
      <c r="X3609">
        <v>1</v>
      </c>
      <c r="Z3609">
        <v>0</v>
      </c>
      <c r="AA3609">
        <v>9</v>
      </c>
      <c r="AB3609">
        <v>3</v>
      </c>
      <c r="AC3609">
        <v>0</v>
      </c>
      <c r="AD3609">
        <v>9</v>
      </c>
      <c r="AE3609">
        <v>0</v>
      </c>
      <c r="AF3609">
        <v>3</v>
      </c>
      <c r="AG3609">
        <v>1</v>
      </c>
      <c r="AH3609">
        <v>0</v>
      </c>
      <c r="AI3609" t="s">
        <v>1177</v>
      </c>
      <c r="AJ3609">
        <v>34.078496000000001</v>
      </c>
      <c r="AK3609" t="s">
        <v>1178</v>
      </c>
      <c r="AL3609">
        <v>-117.019029</v>
      </c>
      <c r="AM3609">
        <v>100</v>
      </c>
      <c r="AN3609">
        <v>5300</v>
      </c>
      <c r="AO3609" t="s">
        <v>118</v>
      </c>
      <c r="AP3609">
        <v>72</v>
      </c>
      <c r="AQ3609">
        <v>-73</v>
      </c>
      <c r="AR3609">
        <v>-128</v>
      </c>
      <c r="AZ3609">
        <v>1200</v>
      </c>
      <c r="BA3609">
        <v>1</v>
      </c>
      <c r="BB3609" t="str">
        <f t="shared" si="1996"/>
        <v xml:space="preserve">N9217B  </v>
      </c>
      <c r="BC3609">
        <v>1</v>
      </c>
      <c r="BE3609">
        <v>0</v>
      </c>
      <c r="BF3609">
        <v>0</v>
      </c>
      <c r="BG3609">
        <v>0</v>
      </c>
      <c r="BH3609">
        <v>5175</v>
      </c>
      <c r="BI3609">
        <v>1</v>
      </c>
      <c r="BJ3609">
        <v>0</v>
      </c>
      <c r="BK3609">
        <v>0</v>
      </c>
      <c r="BL3609">
        <v>0</v>
      </c>
      <c r="BO3609">
        <v>0</v>
      </c>
      <c r="BP3609">
        <v>0</v>
      </c>
      <c r="BW3609" t="str">
        <f t="shared" si="2007"/>
        <v>14:57:52.126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6</v>
      </c>
      <c r="CP3609" t="s">
        <v>119</v>
      </c>
      <c r="CQ3609">
        <v>285</v>
      </c>
      <c r="CR3609">
        <v>0</v>
      </c>
      <c r="CW3609">
        <v>8881370</v>
      </c>
      <c r="CY3609">
        <v>0</v>
      </c>
      <c r="CZ3609">
        <v>0</v>
      </c>
      <c r="DA3609">
        <v>1</v>
      </c>
      <c r="DB3609">
        <v>0</v>
      </c>
      <c r="DC3609">
        <v>0</v>
      </c>
      <c r="DD3609">
        <v>0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25">
      <c r="A3610" t="str">
        <f t="shared" si="2004"/>
        <v>06/05/2020 14:57:46.501</v>
      </c>
      <c r="C3610" t="str">
        <f t="shared" si="1975"/>
        <v>FFDFD3C0</v>
      </c>
      <c r="D3610" t="s">
        <v>151</v>
      </c>
      <c r="E3610">
        <v>8</v>
      </c>
      <c r="H3610">
        <v>225</v>
      </c>
      <c r="I3610" t="s">
        <v>353</v>
      </c>
      <c r="J3610" t="s">
        <v>150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si="2005"/>
        <v>14:57:52.125</v>
      </c>
      <c r="T3610" t="str">
        <f t="shared" si="2006"/>
        <v>14:57:52.025</v>
      </c>
      <c r="U3610" t="str">
        <f t="shared" si="1995"/>
        <v>ACC530</v>
      </c>
      <c r="V3610">
        <v>0</v>
      </c>
      <c r="W3610">
        <v>0</v>
      </c>
      <c r="X3610">
        <v>1</v>
      </c>
      <c r="Z3610">
        <v>0</v>
      </c>
      <c r="AA3610">
        <v>9</v>
      </c>
      <c r="AB3610">
        <v>3</v>
      </c>
      <c r="AC3610">
        <v>0</v>
      </c>
      <c r="AD3610">
        <v>9</v>
      </c>
      <c r="AE3610">
        <v>0</v>
      </c>
      <c r="AF3610">
        <v>3</v>
      </c>
      <c r="AG3610">
        <v>1</v>
      </c>
      <c r="AH3610">
        <v>0</v>
      </c>
      <c r="AI3610" t="s">
        <v>1177</v>
      </c>
      <c r="AJ3610">
        <v>34.078496000000001</v>
      </c>
      <c r="AK3610" t="s">
        <v>1178</v>
      </c>
      <c r="AL3610">
        <v>-117.019029</v>
      </c>
      <c r="AM3610">
        <v>100</v>
      </c>
      <c r="AN3610">
        <v>5300</v>
      </c>
      <c r="AO3610" t="s">
        <v>118</v>
      </c>
      <c r="AP3610">
        <v>72</v>
      </c>
      <c r="AQ3610">
        <v>-73</v>
      </c>
      <c r="AR3610">
        <v>-128</v>
      </c>
      <c r="AZ3610">
        <v>1200</v>
      </c>
      <c r="BA3610">
        <v>1</v>
      </c>
      <c r="BB3610" t="str">
        <f t="shared" si="1996"/>
        <v xml:space="preserve">N9217B  </v>
      </c>
      <c r="BC3610">
        <v>1</v>
      </c>
      <c r="BE3610">
        <v>0</v>
      </c>
      <c r="BF3610">
        <v>0</v>
      </c>
      <c r="BG3610">
        <v>0</v>
      </c>
      <c r="BH3610">
        <v>5175</v>
      </c>
      <c r="BI3610">
        <v>1</v>
      </c>
      <c r="BJ3610">
        <v>0</v>
      </c>
      <c r="BK3610">
        <v>0</v>
      </c>
      <c r="BL3610">
        <v>0</v>
      </c>
      <c r="BO3610">
        <v>0</v>
      </c>
      <c r="BP3610">
        <v>0</v>
      </c>
      <c r="BW3610" t="str">
        <f t="shared" si="2007"/>
        <v>14:57:52.126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6</v>
      </c>
      <c r="CP3610" t="s">
        <v>119</v>
      </c>
      <c r="CQ3610">
        <v>285</v>
      </c>
      <c r="CR3610">
        <v>0</v>
      </c>
      <c r="CW3610">
        <v>8881370</v>
      </c>
      <c r="CY3610">
        <v>0</v>
      </c>
      <c r="CZ3610">
        <v>0</v>
      </c>
      <c r="DA3610">
        <v>1</v>
      </c>
      <c r="DB3610">
        <v>0</v>
      </c>
      <c r="DC3610">
        <v>0</v>
      </c>
      <c r="DD3610">
        <v>0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25">
      <c r="A3611" t="str">
        <f t="shared" si="2004"/>
        <v>06/05/2020 14:57:46.501</v>
      </c>
      <c r="C3611" t="str">
        <f t="shared" si="1975"/>
        <v>FFDFD3C0</v>
      </c>
      <c r="D3611" t="s">
        <v>151</v>
      </c>
      <c r="E3611">
        <v>9</v>
      </c>
      <c r="H3611">
        <v>226</v>
      </c>
      <c r="I3611" t="s">
        <v>152</v>
      </c>
      <c r="J3611" t="s">
        <v>150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 t="shared" si="2005"/>
        <v>14:57:52.125</v>
      </c>
      <c r="T3611" t="str">
        <f t="shared" si="2006"/>
        <v>14:57:52.025</v>
      </c>
      <c r="U3611" t="str">
        <f t="shared" si="1995"/>
        <v>ACC530</v>
      </c>
      <c r="V3611">
        <v>0</v>
      </c>
      <c r="W3611">
        <v>0</v>
      </c>
      <c r="X3611">
        <v>1</v>
      </c>
      <c r="Z3611">
        <v>0</v>
      </c>
      <c r="AA3611">
        <v>9</v>
      </c>
      <c r="AB3611">
        <v>3</v>
      </c>
      <c r="AC3611">
        <v>0</v>
      </c>
      <c r="AD3611">
        <v>9</v>
      </c>
      <c r="AE3611">
        <v>0</v>
      </c>
      <c r="AF3611">
        <v>3</v>
      </c>
      <c r="AG3611">
        <v>1</v>
      </c>
      <c r="AH3611">
        <v>0</v>
      </c>
      <c r="AI3611" t="s">
        <v>1177</v>
      </c>
      <c r="AJ3611">
        <v>34.078496000000001</v>
      </c>
      <c r="AK3611" t="s">
        <v>1178</v>
      </c>
      <c r="AL3611">
        <v>-117.019029</v>
      </c>
      <c r="AM3611">
        <v>100</v>
      </c>
      <c r="AN3611">
        <v>5300</v>
      </c>
      <c r="AO3611" t="s">
        <v>118</v>
      </c>
      <c r="AP3611">
        <v>72</v>
      </c>
      <c r="AQ3611">
        <v>-73</v>
      </c>
      <c r="AR3611">
        <v>-128</v>
      </c>
      <c r="AZ3611">
        <v>1200</v>
      </c>
      <c r="BA3611">
        <v>1</v>
      </c>
      <c r="BB3611" t="str">
        <f t="shared" si="1996"/>
        <v xml:space="preserve">N9217B  </v>
      </c>
      <c r="BC3611">
        <v>1</v>
      </c>
      <c r="BE3611">
        <v>0</v>
      </c>
      <c r="BF3611">
        <v>0</v>
      </c>
      <c r="BG3611">
        <v>0</v>
      </c>
      <c r="BH3611">
        <v>5175</v>
      </c>
      <c r="BI3611">
        <v>1</v>
      </c>
      <c r="BJ3611">
        <v>0</v>
      </c>
      <c r="BK3611">
        <v>0</v>
      </c>
      <c r="BL3611">
        <v>0</v>
      </c>
      <c r="BO3611">
        <v>0</v>
      </c>
      <c r="BP3611">
        <v>0</v>
      </c>
      <c r="BW3611" t="str">
        <f t="shared" si="2007"/>
        <v>14:57:52.126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6</v>
      </c>
      <c r="CP3611" t="s">
        <v>119</v>
      </c>
      <c r="CQ3611">
        <v>285</v>
      </c>
      <c r="CR3611">
        <v>0</v>
      </c>
      <c r="CW3611">
        <v>8881370</v>
      </c>
      <c r="CY3611">
        <v>0</v>
      </c>
      <c r="CZ3611">
        <v>0</v>
      </c>
      <c r="DA3611">
        <v>1</v>
      </c>
      <c r="DB3611">
        <v>0</v>
      </c>
      <c r="DC3611">
        <v>0</v>
      </c>
      <c r="DD3611">
        <v>0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25">
      <c r="A3612" t="str">
        <f t="shared" si="2004"/>
        <v>06/05/2020 14:57:46.501</v>
      </c>
      <c r="C3612" t="str">
        <f t="shared" si="1975"/>
        <v>FFDFD3C0</v>
      </c>
      <c r="D3612" t="s">
        <v>113</v>
      </c>
      <c r="E3612">
        <v>3</v>
      </c>
      <c r="H3612">
        <v>166</v>
      </c>
      <c r="I3612" t="s">
        <v>114</v>
      </c>
      <c r="J3612" t="s">
        <v>115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 t="shared" si="2005"/>
        <v>14:57:52.125</v>
      </c>
      <c r="T3612" t="str">
        <f t="shared" si="2006"/>
        <v>14:57:52.025</v>
      </c>
      <c r="U3612" t="str">
        <f t="shared" si="1995"/>
        <v>ACC530</v>
      </c>
      <c r="V3612">
        <v>0</v>
      </c>
      <c r="W3612">
        <v>0</v>
      </c>
      <c r="X3612">
        <v>1</v>
      </c>
      <c r="Z3612">
        <v>0</v>
      </c>
      <c r="AA3612">
        <v>9</v>
      </c>
      <c r="AB3612">
        <v>3</v>
      </c>
      <c r="AC3612">
        <v>0</v>
      </c>
      <c r="AD3612">
        <v>9</v>
      </c>
      <c r="AE3612">
        <v>0</v>
      </c>
      <c r="AF3612">
        <v>3</v>
      </c>
      <c r="AG3612">
        <v>1</v>
      </c>
      <c r="AH3612">
        <v>0</v>
      </c>
      <c r="AI3612" t="s">
        <v>1177</v>
      </c>
      <c r="AJ3612">
        <v>34.078496000000001</v>
      </c>
      <c r="AK3612" t="s">
        <v>1178</v>
      </c>
      <c r="AL3612">
        <v>-117.019029</v>
      </c>
      <c r="AM3612">
        <v>100</v>
      </c>
      <c r="AN3612">
        <v>5300</v>
      </c>
      <c r="AO3612" t="s">
        <v>118</v>
      </c>
      <c r="AP3612">
        <v>72</v>
      </c>
      <c r="AQ3612">
        <v>-73</v>
      </c>
      <c r="AR3612">
        <v>-128</v>
      </c>
      <c r="AZ3612">
        <v>1200</v>
      </c>
      <c r="BA3612">
        <v>1</v>
      </c>
      <c r="BB3612" t="str">
        <f t="shared" si="1996"/>
        <v xml:space="preserve">N9217B  </v>
      </c>
      <c r="BC3612">
        <v>1</v>
      </c>
      <c r="BE3612">
        <v>0</v>
      </c>
      <c r="BF3612">
        <v>0</v>
      </c>
      <c r="BG3612">
        <v>0</v>
      </c>
      <c r="BH3612">
        <v>5175</v>
      </c>
      <c r="BI3612">
        <v>1</v>
      </c>
      <c r="BJ3612">
        <v>0</v>
      </c>
      <c r="BK3612">
        <v>0</v>
      </c>
      <c r="BL3612">
        <v>0</v>
      </c>
      <c r="BO3612">
        <v>0</v>
      </c>
      <c r="BP3612">
        <v>0</v>
      </c>
      <c r="BW3612" t="str">
        <f t="shared" si="2007"/>
        <v>14:57:52.126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6</v>
      </c>
      <c r="CP3612" t="s">
        <v>119</v>
      </c>
      <c r="CQ3612">
        <v>285</v>
      </c>
      <c r="CR3612">
        <v>0</v>
      </c>
      <c r="CW3612">
        <v>8881370</v>
      </c>
      <c r="CY3612">
        <v>0</v>
      </c>
      <c r="CZ3612">
        <v>0</v>
      </c>
      <c r="DA3612">
        <v>1</v>
      </c>
      <c r="DB3612">
        <v>0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25">
      <c r="A3613" t="str">
        <f t="shared" ref="A3613:A3619" si="2008">"06/05/2020 14:57:48.362"</f>
        <v>06/05/2020 14:57:48.362</v>
      </c>
      <c r="C3613" t="str">
        <f t="shared" si="1975"/>
        <v>FFDFD3C0</v>
      </c>
      <c r="D3613" t="s">
        <v>113</v>
      </c>
      <c r="E3613">
        <v>3</v>
      </c>
      <c r="H3613">
        <v>166</v>
      </c>
      <c r="I3613" t="s">
        <v>114</v>
      </c>
      <c r="J3613" t="s">
        <v>115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 t="shared" ref="S3613:S3619" si="2009">"14:57:54.016"</f>
        <v>14:57:54.016</v>
      </c>
      <c r="T3613" t="str">
        <f t="shared" ref="T3613:T3619" si="2010">"14:57:53.616"</f>
        <v>14:57:53.616</v>
      </c>
      <c r="U3613" t="str">
        <f t="shared" si="1995"/>
        <v>ACC530</v>
      </c>
      <c r="V3613">
        <v>0</v>
      </c>
      <c r="W3613">
        <v>0</v>
      </c>
      <c r="X3613">
        <v>1</v>
      </c>
      <c r="Z3613">
        <v>0</v>
      </c>
      <c r="AA3613">
        <v>9</v>
      </c>
      <c r="AB3613">
        <v>3</v>
      </c>
      <c r="AC3613">
        <v>0</v>
      </c>
      <c r="AD3613">
        <v>9</v>
      </c>
      <c r="AE3613">
        <v>0</v>
      </c>
      <c r="AF3613">
        <v>3</v>
      </c>
      <c r="AG3613">
        <v>1</v>
      </c>
      <c r="AH3613">
        <v>0</v>
      </c>
      <c r="AI3613" t="s">
        <v>1179</v>
      </c>
      <c r="AJ3613">
        <v>34.077852</v>
      </c>
      <c r="AK3613" t="s">
        <v>1180</v>
      </c>
      <c r="AL3613">
        <v>-117.018342</v>
      </c>
      <c r="AM3613">
        <v>100</v>
      </c>
      <c r="AN3613">
        <v>5300</v>
      </c>
      <c r="AO3613" t="s">
        <v>118</v>
      </c>
      <c r="AP3613">
        <v>66</v>
      </c>
      <c r="AQ3613">
        <v>-77</v>
      </c>
      <c r="AR3613">
        <v>-128</v>
      </c>
      <c r="AZ3613">
        <v>1200</v>
      </c>
      <c r="BA3613">
        <v>1</v>
      </c>
      <c r="BB3613" t="str">
        <f t="shared" si="1996"/>
        <v xml:space="preserve">N9217B  </v>
      </c>
      <c r="BC3613">
        <v>1</v>
      </c>
      <c r="BE3613">
        <v>0</v>
      </c>
      <c r="BF3613">
        <v>0</v>
      </c>
      <c r="BG3613">
        <v>0</v>
      </c>
      <c r="BH3613">
        <v>5175</v>
      </c>
      <c r="BI3613">
        <v>1</v>
      </c>
      <c r="BJ3613">
        <v>0</v>
      </c>
      <c r="BK3613">
        <v>0</v>
      </c>
      <c r="BL3613">
        <v>0</v>
      </c>
      <c r="BO3613">
        <v>0</v>
      </c>
      <c r="BP3613">
        <v>0</v>
      </c>
      <c r="BW3613" t="str">
        <f t="shared" ref="BW3613:BW3619" si="2011">"14:57:54.016"</f>
        <v>14:57:54.016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5</v>
      </c>
      <c r="CP3613" t="s">
        <v>119</v>
      </c>
      <c r="CQ3613">
        <v>285</v>
      </c>
      <c r="CR3613">
        <v>0</v>
      </c>
      <c r="CW3613">
        <v>8881534</v>
      </c>
      <c r="CY3613">
        <v>0</v>
      </c>
      <c r="CZ3613">
        <v>0</v>
      </c>
      <c r="DA3613">
        <v>0</v>
      </c>
      <c r="DB3613">
        <v>0</v>
      </c>
      <c r="DC3613">
        <v>0</v>
      </c>
      <c r="DD3613">
        <v>0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25">
      <c r="A3614" t="str">
        <f t="shared" si="2008"/>
        <v>06/05/2020 14:57:48.362</v>
      </c>
      <c r="C3614" t="str">
        <f t="shared" si="1975"/>
        <v>FFDFD3C0</v>
      </c>
      <c r="D3614" t="s">
        <v>151</v>
      </c>
      <c r="E3614">
        <v>9</v>
      </c>
      <c r="H3614">
        <v>226</v>
      </c>
      <c r="I3614" t="s">
        <v>152</v>
      </c>
      <c r="J3614" t="s">
        <v>150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 t="shared" si="2009"/>
        <v>14:57:54.016</v>
      </c>
      <c r="T3614" t="str">
        <f t="shared" si="2010"/>
        <v>14:57:53.616</v>
      </c>
      <c r="U3614" t="str">
        <f t="shared" si="1995"/>
        <v>ACC530</v>
      </c>
      <c r="V3614">
        <v>0</v>
      </c>
      <c r="W3614">
        <v>0</v>
      </c>
      <c r="X3614">
        <v>1</v>
      </c>
      <c r="Z3614">
        <v>0</v>
      </c>
      <c r="AA3614">
        <v>9</v>
      </c>
      <c r="AB3614">
        <v>3</v>
      </c>
      <c r="AC3614">
        <v>0</v>
      </c>
      <c r="AD3614">
        <v>9</v>
      </c>
      <c r="AE3614">
        <v>0</v>
      </c>
      <c r="AF3614">
        <v>3</v>
      </c>
      <c r="AG3614">
        <v>1</v>
      </c>
      <c r="AH3614">
        <v>0</v>
      </c>
      <c r="AI3614" t="s">
        <v>1179</v>
      </c>
      <c r="AJ3614">
        <v>34.077852</v>
      </c>
      <c r="AK3614" t="s">
        <v>1180</v>
      </c>
      <c r="AL3614">
        <v>-117.018342</v>
      </c>
      <c r="AM3614">
        <v>100</v>
      </c>
      <c r="AN3614">
        <v>5300</v>
      </c>
      <c r="AO3614" t="s">
        <v>118</v>
      </c>
      <c r="AP3614">
        <v>66</v>
      </c>
      <c r="AQ3614">
        <v>-77</v>
      </c>
      <c r="AR3614">
        <v>-128</v>
      </c>
      <c r="AZ3614">
        <v>1200</v>
      </c>
      <c r="BA3614">
        <v>1</v>
      </c>
      <c r="BB3614" t="str">
        <f t="shared" si="1996"/>
        <v xml:space="preserve">N9217B  </v>
      </c>
      <c r="BC3614">
        <v>1</v>
      </c>
      <c r="BE3614">
        <v>0</v>
      </c>
      <c r="BF3614">
        <v>0</v>
      </c>
      <c r="BG3614">
        <v>0</v>
      </c>
      <c r="BH3614">
        <v>5175</v>
      </c>
      <c r="BI3614">
        <v>1</v>
      </c>
      <c r="BJ3614">
        <v>0</v>
      </c>
      <c r="BK3614">
        <v>0</v>
      </c>
      <c r="BL3614">
        <v>0</v>
      </c>
      <c r="BO3614">
        <v>0</v>
      </c>
      <c r="BP3614">
        <v>0</v>
      </c>
      <c r="BW3614" t="str">
        <f t="shared" si="2011"/>
        <v>14:57:54.016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5</v>
      </c>
      <c r="CP3614" t="s">
        <v>119</v>
      </c>
      <c r="CQ3614">
        <v>285</v>
      </c>
      <c r="CR3614">
        <v>0</v>
      </c>
      <c r="CW3614">
        <v>8881534</v>
      </c>
      <c r="CY3614">
        <v>0</v>
      </c>
      <c r="CZ3614">
        <v>0</v>
      </c>
      <c r="DA3614">
        <v>1</v>
      </c>
      <c r="DB3614">
        <v>0</v>
      </c>
      <c r="DC3614">
        <v>0</v>
      </c>
      <c r="DD3614">
        <v>0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25">
      <c r="A3615" t="str">
        <f t="shared" si="2008"/>
        <v>06/05/2020 14:57:48.362</v>
      </c>
      <c r="C3615" t="str">
        <f t="shared" si="1975"/>
        <v>FFDFD3C0</v>
      </c>
      <c r="D3615" t="s">
        <v>148</v>
      </c>
      <c r="E3615">
        <v>11</v>
      </c>
      <c r="H3615">
        <v>53</v>
      </c>
      <c r="I3615" t="s">
        <v>364</v>
      </c>
      <c r="J3615" t="s">
        <v>150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 t="shared" si="2009"/>
        <v>14:57:54.016</v>
      </c>
      <c r="T3615" t="str">
        <f t="shared" si="2010"/>
        <v>14:57:53.616</v>
      </c>
      <c r="U3615" t="str">
        <f t="shared" si="1995"/>
        <v>ACC530</v>
      </c>
      <c r="V3615">
        <v>0</v>
      </c>
      <c r="W3615">
        <v>0</v>
      </c>
      <c r="X3615">
        <v>1</v>
      </c>
      <c r="Z3615">
        <v>0</v>
      </c>
      <c r="AA3615">
        <v>9</v>
      </c>
      <c r="AB3615">
        <v>3</v>
      </c>
      <c r="AC3615">
        <v>0</v>
      </c>
      <c r="AD3615">
        <v>9</v>
      </c>
      <c r="AE3615">
        <v>0</v>
      </c>
      <c r="AF3615">
        <v>3</v>
      </c>
      <c r="AG3615">
        <v>1</v>
      </c>
      <c r="AH3615">
        <v>0</v>
      </c>
      <c r="AI3615" t="s">
        <v>1179</v>
      </c>
      <c r="AJ3615">
        <v>34.077852</v>
      </c>
      <c r="AK3615" t="s">
        <v>1180</v>
      </c>
      <c r="AL3615">
        <v>-117.018342</v>
      </c>
      <c r="AM3615">
        <v>100</v>
      </c>
      <c r="AN3615">
        <v>5300</v>
      </c>
      <c r="AO3615" t="s">
        <v>118</v>
      </c>
      <c r="AP3615">
        <v>66</v>
      </c>
      <c r="AQ3615">
        <v>-77</v>
      </c>
      <c r="AR3615">
        <v>-128</v>
      </c>
      <c r="AZ3615">
        <v>1200</v>
      </c>
      <c r="BA3615">
        <v>1</v>
      </c>
      <c r="BB3615" t="str">
        <f t="shared" si="1996"/>
        <v xml:space="preserve">N9217B  </v>
      </c>
      <c r="BC3615">
        <v>1</v>
      </c>
      <c r="BE3615">
        <v>0</v>
      </c>
      <c r="BF3615">
        <v>0</v>
      </c>
      <c r="BG3615">
        <v>0</v>
      </c>
      <c r="BH3615">
        <v>5175</v>
      </c>
      <c r="BI3615">
        <v>1</v>
      </c>
      <c r="BJ3615">
        <v>0</v>
      </c>
      <c r="BK3615">
        <v>0</v>
      </c>
      <c r="BL3615">
        <v>0</v>
      </c>
      <c r="BO3615">
        <v>0</v>
      </c>
      <c r="BP3615">
        <v>0</v>
      </c>
      <c r="BW3615" t="str">
        <f t="shared" si="2011"/>
        <v>14:57:54.016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5</v>
      </c>
      <c r="CP3615" t="s">
        <v>119</v>
      </c>
      <c r="CQ3615">
        <v>285</v>
      </c>
      <c r="CR3615">
        <v>0</v>
      </c>
      <c r="CW3615">
        <v>8881534</v>
      </c>
      <c r="CY3615">
        <v>0</v>
      </c>
      <c r="CZ3615">
        <v>0</v>
      </c>
      <c r="DA3615">
        <v>1</v>
      </c>
      <c r="DB3615">
        <v>0</v>
      </c>
      <c r="DC3615">
        <v>0</v>
      </c>
      <c r="DD3615">
        <v>0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25">
      <c r="A3616" t="str">
        <f t="shared" si="2008"/>
        <v>06/05/2020 14:57:48.362</v>
      </c>
      <c r="C3616" t="str">
        <f t="shared" si="1975"/>
        <v>FFDFD3C0</v>
      </c>
      <c r="D3616" t="s">
        <v>134</v>
      </c>
      <c r="E3616">
        <v>7</v>
      </c>
      <c r="F3616">
        <v>2007</v>
      </c>
      <c r="G3616" t="s">
        <v>135</v>
      </c>
      <c r="J3616" t="s">
        <v>136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 t="shared" si="2009"/>
        <v>14:57:54.016</v>
      </c>
      <c r="T3616" t="str">
        <f t="shared" si="2010"/>
        <v>14:57:53.616</v>
      </c>
      <c r="U3616" t="str">
        <f t="shared" si="1995"/>
        <v>ACC530</v>
      </c>
      <c r="V3616">
        <v>0</v>
      </c>
      <c r="W3616">
        <v>0</v>
      </c>
      <c r="X3616">
        <v>1</v>
      </c>
      <c r="Z3616">
        <v>0</v>
      </c>
      <c r="AA3616">
        <v>9</v>
      </c>
      <c r="AB3616">
        <v>3</v>
      </c>
      <c r="AC3616">
        <v>0</v>
      </c>
      <c r="AD3616">
        <v>9</v>
      </c>
      <c r="AE3616">
        <v>0</v>
      </c>
      <c r="AF3616">
        <v>3</v>
      </c>
      <c r="AG3616">
        <v>1</v>
      </c>
      <c r="AH3616">
        <v>0</v>
      </c>
      <c r="AI3616" t="s">
        <v>1179</v>
      </c>
      <c r="AJ3616">
        <v>34.077852</v>
      </c>
      <c r="AK3616" t="s">
        <v>1180</v>
      </c>
      <c r="AL3616">
        <v>-117.018342</v>
      </c>
      <c r="AM3616">
        <v>100</v>
      </c>
      <c r="AN3616">
        <v>5300</v>
      </c>
      <c r="AO3616" t="s">
        <v>118</v>
      </c>
      <c r="AP3616">
        <v>66</v>
      </c>
      <c r="AQ3616">
        <v>-77</v>
      </c>
      <c r="AR3616">
        <v>-128</v>
      </c>
      <c r="AZ3616">
        <v>1200</v>
      </c>
      <c r="BA3616">
        <v>1</v>
      </c>
      <c r="BB3616" t="str">
        <f t="shared" si="1996"/>
        <v xml:space="preserve">N9217B  </v>
      </c>
      <c r="BC3616">
        <v>1</v>
      </c>
      <c r="BE3616">
        <v>0</v>
      </c>
      <c r="BF3616">
        <v>0</v>
      </c>
      <c r="BG3616">
        <v>0</v>
      </c>
      <c r="BH3616">
        <v>5175</v>
      </c>
      <c r="BI3616">
        <v>1</v>
      </c>
      <c r="BJ3616">
        <v>0</v>
      </c>
      <c r="BK3616">
        <v>0</v>
      </c>
      <c r="BL3616">
        <v>0</v>
      </c>
      <c r="BO3616">
        <v>0</v>
      </c>
      <c r="BP3616">
        <v>0</v>
      </c>
      <c r="BW3616" t="str">
        <f t="shared" si="2011"/>
        <v>14:57:54.016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5</v>
      </c>
      <c r="CP3616" t="s">
        <v>119</v>
      </c>
      <c r="CQ3616">
        <v>285</v>
      </c>
      <c r="CR3616">
        <v>0</v>
      </c>
      <c r="CW3616">
        <v>8881534</v>
      </c>
      <c r="CY3616">
        <v>0</v>
      </c>
      <c r="CZ3616">
        <v>0</v>
      </c>
      <c r="DA3616">
        <v>1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25">
      <c r="A3617" t="str">
        <f t="shared" si="2008"/>
        <v>06/05/2020 14:57:48.362</v>
      </c>
      <c r="C3617" t="str">
        <f t="shared" si="1975"/>
        <v>FFDFD3C0</v>
      </c>
      <c r="D3617" t="s">
        <v>148</v>
      </c>
      <c r="E3617">
        <v>8</v>
      </c>
      <c r="H3617">
        <v>50</v>
      </c>
      <c r="I3617" t="s">
        <v>149</v>
      </c>
      <c r="J3617" t="s">
        <v>150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 t="shared" si="2009"/>
        <v>14:57:54.016</v>
      </c>
      <c r="T3617" t="str">
        <f t="shared" si="2010"/>
        <v>14:57:53.616</v>
      </c>
      <c r="U3617" t="str">
        <f t="shared" si="1995"/>
        <v>ACC530</v>
      </c>
      <c r="V3617">
        <v>0</v>
      </c>
      <c r="W3617">
        <v>0</v>
      </c>
      <c r="X3617">
        <v>1</v>
      </c>
      <c r="Z3617">
        <v>0</v>
      </c>
      <c r="AA3617">
        <v>9</v>
      </c>
      <c r="AB3617">
        <v>3</v>
      </c>
      <c r="AC3617">
        <v>0</v>
      </c>
      <c r="AD3617">
        <v>9</v>
      </c>
      <c r="AE3617">
        <v>0</v>
      </c>
      <c r="AF3617">
        <v>3</v>
      </c>
      <c r="AG3617">
        <v>1</v>
      </c>
      <c r="AH3617">
        <v>0</v>
      </c>
      <c r="AI3617" t="s">
        <v>1179</v>
      </c>
      <c r="AJ3617">
        <v>34.077852</v>
      </c>
      <c r="AK3617" t="s">
        <v>1180</v>
      </c>
      <c r="AL3617">
        <v>-117.018342</v>
      </c>
      <c r="AM3617">
        <v>100</v>
      </c>
      <c r="AN3617">
        <v>5300</v>
      </c>
      <c r="AO3617" t="s">
        <v>118</v>
      </c>
      <c r="AP3617">
        <v>66</v>
      </c>
      <c r="AQ3617">
        <v>-77</v>
      </c>
      <c r="AR3617">
        <v>-128</v>
      </c>
      <c r="AZ3617">
        <v>1200</v>
      </c>
      <c r="BA3617">
        <v>1</v>
      </c>
      <c r="BB3617" t="str">
        <f t="shared" si="1996"/>
        <v xml:space="preserve">N9217B  </v>
      </c>
      <c r="BC3617">
        <v>1</v>
      </c>
      <c r="BE3617">
        <v>0</v>
      </c>
      <c r="BF3617">
        <v>0</v>
      </c>
      <c r="BG3617">
        <v>0</v>
      </c>
      <c r="BH3617">
        <v>5175</v>
      </c>
      <c r="BI3617">
        <v>1</v>
      </c>
      <c r="BJ3617">
        <v>0</v>
      </c>
      <c r="BK3617">
        <v>0</v>
      </c>
      <c r="BL3617">
        <v>0</v>
      </c>
      <c r="BO3617">
        <v>0</v>
      </c>
      <c r="BP3617">
        <v>0</v>
      </c>
      <c r="BW3617" t="str">
        <f t="shared" si="2011"/>
        <v>14:57:54.016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5</v>
      </c>
      <c r="CP3617" t="s">
        <v>119</v>
      </c>
      <c r="CQ3617">
        <v>285</v>
      </c>
      <c r="CR3617">
        <v>0</v>
      </c>
      <c r="CW3617">
        <v>8881534</v>
      </c>
      <c r="CY3617">
        <v>0</v>
      </c>
      <c r="CZ3617">
        <v>0</v>
      </c>
      <c r="DA3617">
        <v>1</v>
      </c>
      <c r="DB3617">
        <v>0</v>
      </c>
      <c r="DC3617">
        <v>0</v>
      </c>
      <c r="DD3617">
        <v>0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25">
      <c r="A3618" t="str">
        <f t="shared" si="2008"/>
        <v>06/05/2020 14:57:48.362</v>
      </c>
      <c r="C3618" t="str">
        <f t="shared" si="1975"/>
        <v>FFDFD3C0</v>
      </c>
      <c r="D3618" t="s">
        <v>141</v>
      </c>
      <c r="E3618">
        <v>20</v>
      </c>
      <c r="F3618">
        <v>1020</v>
      </c>
      <c r="G3618" t="s">
        <v>114</v>
      </c>
      <c r="J3618" t="s">
        <v>142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 t="shared" si="2009"/>
        <v>14:57:54.016</v>
      </c>
      <c r="T3618" t="str">
        <f t="shared" si="2010"/>
        <v>14:57:53.616</v>
      </c>
      <c r="U3618" t="str">
        <f t="shared" si="1995"/>
        <v>ACC530</v>
      </c>
      <c r="V3618">
        <v>0</v>
      </c>
      <c r="W3618">
        <v>0</v>
      </c>
      <c r="X3618">
        <v>1</v>
      </c>
      <c r="Z3618">
        <v>0</v>
      </c>
      <c r="AA3618">
        <v>9</v>
      </c>
      <c r="AB3618">
        <v>3</v>
      </c>
      <c r="AC3618">
        <v>0</v>
      </c>
      <c r="AD3618">
        <v>9</v>
      </c>
      <c r="AE3618">
        <v>0</v>
      </c>
      <c r="AF3618">
        <v>3</v>
      </c>
      <c r="AG3618">
        <v>1</v>
      </c>
      <c r="AH3618">
        <v>0</v>
      </c>
      <c r="AI3618" t="s">
        <v>1179</v>
      </c>
      <c r="AJ3618">
        <v>34.077852</v>
      </c>
      <c r="AK3618" t="s">
        <v>1180</v>
      </c>
      <c r="AL3618">
        <v>-117.018342</v>
      </c>
      <c r="AM3618">
        <v>100</v>
      </c>
      <c r="AN3618">
        <v>5300</v>
      </c>
      <c r="AO3618" t="s">
        <v>118</v>
      </c>
      <c r="AP3618">
        <v>66</v>
      </c>
      <c r="AQ3618">
        <v>-77</v>
      </c>
      <c r="AR3618">
        <v>-128</v>
      </c>
      <c r="AZ3618">
        <v>1200</v>
      </c>
      <c r="BA3618">
        <v>1</v>
      </c>
      <c r="BB3618" t="str">
        <f t="shared" si="1996"/>
        <v xml:space="preserve">N9217B  </v>
      </c>
      <c r="BC3618">
        <v>1</v>
      </c>
      <c r="BE3618">
        <v>0</v>
      </c>
      <c r="BF3618">
        <v>0</v>
      </c>
      <c r="BG3618">
        <v>0</v>
      </c>
      <c r="BH3618">
        <v>5175</v>
      </c>
      <c r="BI3618">
        <v>1</v>
      </c>
      <c r="BJ3618">
        <v>0</v>
      </c>
      <c r="BK3618">
        <v>0</v>
      </c>
      <c r="BL3618">
        <v>0</v>
      </c>
      <c r="BO3618">
        <v>0</v>
      </c>
      <c r="BP3618">
        <v>0</v>
      </c>
      <c r="BW3618" t="str">
        <f t="shared" si="2011"/>
        <v>14:57:54.016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5</v>
      </c>
      <c r="CP3618" t="s">
        <v>119</v>
      </c>
      <c r="CQ3618">
        <v>285</v>
      </c>
      <c r="CR3618">
        <v>0</v>
      </c>
      <c r="CW3618">
        <v>8881534</v>
      </c>
      <c r="CY3618">
        <v>0</v>
      </c>
      <c r="CZ3618">
        <v>0</v>
      </c>
      <c r="DA3618">
        <v>1</v>
      </c>
      <c r="DB3618">
        <v>0</v>
      </c>
      <c r="DC3618">
        <v>0</v>
      </c>
      <c r="DD3618">
        <v>0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25">
      <c r="A3619" t="str">
        <f t="shared" si="2008"/>
        <v>06/05/2020 14:57:48.362</v>
      </c>
      <c r="C3619" t="str">
        <f t="shared" ref="C3619:C3682" si="2012">"FFDFD3C0"</f>
        <v>FFDFD3C0</v>
      </c>
      <c r="D3619" t="s">
        <v>151</v>
      </c>
      <c r="E3619">
        <v>8</v>
      </c>
      <c r="H3619">
        <v>225</v>
      </c>
      <c r="I3619" t="s">
        <v>353</v>
      </c>
      <c r="J3619" t="s">
        <v>150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 t="shared" si="2009"/>
        <v>14:57:54.016</v>
      </c>
      <c r="T3619" t="str">
        <f t="shared" si="2010"/>
        <v>14:57:53.616</v>
      </c>
      <c r="U3619" t="str">
        <f t="shared" si="1995"/>
        <v>ACC530</v>
      </c>
      <c r="V3619">
        <v>0</v>
      </c>
      <c r="W3619">
        <v>0</v>
      </c>
      <c r="X3619">
        <v>1</v>
      </c>
      <c r="Z3619">
        <v>0</v>
      </c>
      <c r="AA3619">
        <v>9</v>
      </c>
      <c r="AB3619">
        <v>3</v>
      </c>
      <c r="AC3619">
        <v>0</v>
      </c>
      <c r="AD3619">
        <v>9</v>
      </c>
      <c r="AE3619">
        <v>0</v>
      </c>
      <c r="AF3619">
        <v>3</v>
      </c>
      <c r="AG3619">
        <v>1</v>
      </c>
      <c r="AH3619">
        <v>0</v>
      </c>
      <c r="AI3619" t="s">
        <v>1179</v>
      </c>
      <c r="AJ3619">
        <v>34.077852</v>
      </c>
      <c r="AK3619" t="s">
        <v>1180</v>
      </c>
      <c r="AL3619">
        <v>-117.018342</v>
      </c>
      <c r="AM3619">
        <v>100</v>
      </c>
      <c r="AN3619">
        <v>5300</v>
      </c>
      <c r="AO3619" t="s">
        <v>118</v>
      </c>
      <c r="AP3619">
        <v>66</v>
      </c>
      <c r="AQ3619">
        <v>-77</v>
      </c>
      <c r="AR3619">
        <v>-128</v>
      </c>
      <c r="AZ3619">
        <v>1200</v>
      </c>
      <c r="BA3619">
        <v>1</v>
      </c>
      <c r="BB3619" t="str">
        <f t="shared" si="1996"/>
        <v xml:space="preserve">N9217B  </v>
      </c>
      <c r="BC3619">
        <v>1</v>
      </c>
      <c r="BE3619">
        <v>0</v>
      </c>
      <c r="BF3619">
        <v>0</v>
      </c>
      <c r="BG3619">
        <v>0</v>
      </c>
      <c r="BH3619">
        <v>5175</v>
      </c>
      <c r="BI3619">
        <v>1</v>
      </c>
      <c r="BJ3619">
        <v>0</v>
      </c>
      <c r="BK3619">
        <v>0</v>
      </c>
      <c r="BL3619">
        <v>0</v>
      </c>
      <c r="BO3619">
        <v>0</v>
      </c>
      <c r="BP3619">
        <v>0</v>
      </c>
      <c r="BW3619" t="str">
        <f t="shared" si="2011"/>
        <v>14:57:54.016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5</v>
      </c>
      <c r="CP3619" t="s">
        <v>119</v>
      </c>
      <c r="CQ3619">
        <v>285</v>
      </c>
      <c r="CR3619">
        <v>0</v>
      </c>
      <c r="CW3619">
        <v>8881534</v>
      </c>
      <c r="CY3619">
        <v>0</v>
      </c>
      <c r="CZ3619">
        <v>0</v>
      </c>
      <c r="DA3619">
        <v>1</v>
      </c>
      <c r="DB3619">
        <v>0</v>
      </c>
      <c r="DC3619">
        <v>0</v>
      </c>
      <c r="DD3619">
        <v>0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25">
      <c r="A3620" t="str">
        <f t="shared" ref="A3620:A3626" si="2013">"06/05/2020 14:57:49.499"</f>
        <v>06/05/2020 14:57:49.499</v>
      </c>
      <c r="C3620" t="str">
        <f t="shared" si="2012"/>
        <v>FFDFD3C0</v>
      </c>
      <c r="D3620" t="s">
        <v>141</v>
      </c>
      <c r="E3620">
        <v>20</v>
      </c>
      <c r="F3620">
        <v>1020</v>
      </c>
      <c r="G3620" t="s">
        <v>114</v>
      </c>
      <c r="J3620" t="s">
        <v>142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 t="shared" ref="S3620:S3626" si="2014">"14:57:55.133"</f>
        <v>14:57:55.133</v>
      </c>
      <c r="T3620" t="str">
        <f t="shared" ref="T3620:T3626" si="2015">"14:57:54.933"</f>
        <v>14:57:54.933</v>
      </c>
      <c r="U3620" t="str">
        <f t="shared" si="1995"/>
        <v>ACC530</v>
      </c>
      <c r="V3620">
        <v>0</v>
      </c>
      <c r="W3620">
        <v>0</v>
      </c>
      <c r="X3620">
        <v>1</v>
      </c>
      <c r="Z3620">
        <v>0</v>
      </c>
      <c r="AA3620">
        <v>9</v>
      </c>
      <c r="AB3620">
        <v>3</v>
      </c>
      <c r="AC3620">
        <v>0</v>
      </c>
      <c r="AD3620">
        <v>9</v>
      </c>
      <c r="AE3620">
        <v>0</v>
      </c>
      <c r="AF3620">
        <v>3</v>
      </c>
      <c r="AG3620">
        <v>1</v>
      </c>
      <c r="AH3620">
        <v>0</v>
      </c>
      <c r="AI3620" t="s">
        <v>1181</v>
      </c>
      <c r="AJ3620">
        <v>34.077401000000002</v>
      </c>
      <c r="AK3620" t="s">
        <v>1182</v>
      </c>
      <c r="AL3620">
        <v>-117.017956</v>
      </c>
      <c r="AM3620">
        <v>100</v>
      </c>
      <c r="AN3620">
        <v>5300</v>
      </c>
      <c r="AO3620" t="s">
        <v>118</v>
      </c>
      <c r="AP3620">
        <v>60</v>
      </c>
      <c r="AQ3620">
        <v>-81</v>
      </c>
      <c r="AR3620">
        <v>-128</v>
      </c>
      <c r="AZ3620">
        <v>1200</v>
      </c>
      <c r="BA3620">
        <v>1</v>
      </c>
      <c r="BB3620" t="str">
        <f t="shared" si="1996"/>
        <v xml:space="preserve">N9217B  </v>
      </c>
      <c r="BC3620">
        <v>1</v>
      </c>
      <c r="BE3620">
        <v>0</v>
      </c>
      <c r="BF3620">
        <v>0</v>
      </c>
      <c r="BG3620">
        <v>0</v>
      </c>
      <c r="BH3620">
        <v>5150</v>
      </c>
      <c r="BI3620">
        <v>1</v>
      </c>
      <c r="BJ3620">
        <v>0</v>
      </c>
      <c r="BK3620">
        <v>0</v>
      </c>
      <c r="BL3620">
        <v>0</v>
      </c>
      <c r="BO3620">
        <v>0</v>
      </c>
      <c r="BP3620">
        <v>0</v>
      </c>
      <c r="BW3620" t="str">
        <f t="shared" ref="BW3620:BW3626" si="2016">"14:57:55.141"</f>
        <v>14:57:55.141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5</v>
      </c>
      <c r="CP3620" t="s">
        <v>119</v>
      </c>
      <c r="CQ3620">
        <v>285</v>
      </c>
      <c r="CR3620">
        <v>0</v>
      </c>
      <c r="CW3620">
        <v>8881634</v>
      </c>
      <c r="CY3620">
        <v>0</v>
      </c>
      <c r="CZ3620">
        <v>0</v>
      </c>
      <c r="DA3620">
        <v>0</v>
      </c>
      <c r="DB3620">
        <v>0</v>
      </c>
      <c r="DC3620">
        <v>0</v>
      </c>
      <c r="DD3620">
        <v>0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25">
      <c r="A3621" t="str">
        <f t="shared" si="2013"/>
        <v>06/05/2020 14:57:49.499</v>
      </c>
      <c r="C3621" t="str">
        <f t="shared" si="2012"/>
        <v>FFDFD3C0</v>
      </c>
      <c r="D3621" t="s">
        <v>148</v>
      </c>
      <c r="E3621">
        <v>8</v>
      </c>
      <c r="H3621">
        <v>50</v>
      </c>
      <c r="I3621" t="s">
        <v>149</v>
      </c>
      <c r="J3621" t="s">
        <v>150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 t="shared" si="2014"/>
        <v>14:57:55.133</v>
      </c>
      <c r="T3621" t="str">
        <f t="shared" si="2015"/>
        <v>14:57:54.933</v>
      </c>
      <c r="U3621" t="str">
        <f t="shared" si="1995"/>
        <v>ACC530</v>
      </c>
      <c r="V3621">
        <v>0</v>
      </c>
      <c r="W3621">
        <v>0</v>
      </c>
      <c r="X3621">
        <v>1</v>
      </c>
      <c r="Z3621">
        <v>0</v>
      </c>
      <c r="AA3621">
        <v>9</v>
      </c>
      <c r="AB3621">
        <v>3</v>
      </c>
      <c r="AC3621">
        <v>0</v>
      </c>
      <c r="AD3621">
        <v>9</v>
      </c>
      <c r="AE3621">
        <v>0</v>
      </c>
      <c r="AF3621">
        <v>3</v>
      </c>
      <c r="AG3621">
        <v>1</v>
      </c>
      <c r="AH3621">
        <v>0</v>
      </c>
      <c r="AI3621" t="s">
        <v>1181</v>
      </c>
      <c r="AJ3621">
        <v>34.077401000000002</v>
      </c>
      <c r="AK3621" t="s">
        <v>1182</v>
      </c>
      <c r="AL3621">
        <v>-117.017956</v>
      </c>
      <c r="AM3621">
        <v>100</v>
      </c>
      <c r="AN3621">
        <v>5300</v>
      </c>
      <c r="AO3621" t="s">
        <v>118</v>
      </c>
      <c r="AP3621">
        <v>60</v>
      </c>
      <c r="AQ3621">
        <v>-81</v>
      </c>
      <c r="AR3621">
        <v>-128</v>
      </c>
      <c r="AZ3621">
        <v>1200</v>
      </c>
      <c r="BA3621">
        <v>1</v>
      </c>
      <c r="BB3621" t="str">
        <f t="shared" si="1996"/>
        <v xml:space="preserve">N9217B  </v>
      </c>
      <c r="BC3621">
        <v>1</v>
      </c>
      <c r="BE3621">
        <v>0</v>
      </c>
      <c r="BF3621">
        <v>0</v>
      </c>
      <c r="BG3621">
        <v>0</v>
      </c>
      <c r="BH3621">
        <v>5150</v>
      </c>
      <c r="BI3621">
        <v>1</v>
      </c>
      <c r="BJ3621">
        <v>0</v>
      </c>
      <c r="BK3621">
        <v>0</v>
      </c>
      <c r="BL3621">
        <v>0</v>
      </c>
      <c r="BO3621">
        <v>0</v>
      </c>
      <c r="BP3621">
        <v>0</v>
      </c>
      <c r="BW3621" t="str">
        <f t="shared" si="2016"/>
        <v>14:57:55.141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5</v>
      </c>
      <c r="CP3621" t="s">
        <v>119</v>
      </c>
      <c r="CQ3621">
        <v>285</v>
      </c>
      <c r="CR3621">
        <v>0</v>
      </c>
      <c r="CW3621">
        <v>8881634</v>
      </c>
      <c r="CY3621">
        <v>0</v>
      </c>
      <c r="CZ3621">
        <v>0</v>
      </c>
      <c r="DA3621">
        <v>1</v>
      </c>
      <c r="DB3621">
        <v>0</v>
      </c>
      <c r="DC3621">
        <v>0</v>
      </c>
      <c r="DD3621">
        <v>0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25">
      <c r="A3622" t="str">
        <f t="shared" si="2013"/>
        <v>06/05/2020 14:57:49.499</v>
      </c>
      <c r="C3622" t="str">
        <f t="shared" si="2012"/>
        <v>FFDFD3C0</v>
      </c>
      <c r="D3622" t="s">
        <v>151</v>
      </c>
      <c r="E3622">
        <v>8</v>
      </c>
      <c r="H3622">
        <v>225</v>
      </c>
      <c r="I3622" t="s">
        <v>353</v>
      </c>
      <c r="J3622" t="s">
        <v>150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si="2014"/>
        <v>14:57:55.133</v>
      </c>
      <c r="T3622" t="str">
        <f t="shared" si="2015"/>
        <v>14:57:54.933</v>
      </c>
      <c r="U3622" t="str">
        <f t="shared" si="1995"/>
        <v>ACC530</v>
      </c>
      <c r="V3622">
        <v>0</v>
      </c>
      <c r="W3622">
        <v>0</v>
      </c>
      <c r="X3622">
        <v>1</v>
      </c>
      <c r="Z3622">
        <v>0</v>
      </c>
      <c r="AA3622">
        <v>9</v>
      </c>
      <c r="AB3622">
        <v>3</v>
      </c>
      <c r="AC3622">
        <v>0</v>
      </c>
      <c r="AD3622">
        <v>9</v>
      </c>
      <c r="AE3622">
        <v>0</v>
      </c>
      <c r="AF3622">
        <v>3</v>
      </c>
      <c r="AG3622">
        <v>1</v>
      </c>
      <c r="AH3622">
        <v>0</v>
      </c>
      <c r="AI3622" t="s">
        <v>1181</v>
      </c>
      <c r="AJ3622">
        <v>34.077401000000002</v>
      </c>
      <c r="AK3622" t="s">
        <v>1182</v>
      </c>
      <c r="AL3622">
        <v>-117.017956</v>
      </c>
      <c r="AM3622">
        <v>100</v>
      </c>
      <c r="AN3622">
        <v>5300</v>
      </c>
      <c r="AO3622" t="s">
        <v>118</v>
      </c>
      <c r="AP3622">
        <v>60</v>
      </c>
      <c r="AQ3622">
        <v>-81</v>
      </c>
      <c r="AR3622">
        <v>-128</v>
      </c>
      <c r="AZ3622">
        <v>1200</v>
      </c>
      <c r="BA3622">
        <v>1</v>
      </c>
      <c r="BB3622" t="str">
        <f t="shared" si="1996"/>
        <v xml:space="preserve">N9217B  </v>
      </c>
      <c r="BC3622">
        <v>1</v>
      </c>
      <c r="BE3622">
        <v>0</v>
      </c>
      <c r="BF3622">
        <v>0</v>
      </c>
      <c r="BG3622">
        <v>0</v>
      </c>
      <c r="BH3622">
        <v>5150</v>
      </c>
      <c r="BI3622">
        <v>1</v>
      </c>
      <c r="BJ3622">
        <v>0</v>
      </c>
      <c r="BK3622">
        <v>0</v>
      </c>
      <c r="BL3622">
        <v>0</v>
      </c>
      <c r="BO3622">
        <v>0</v>
      </c>
      <c r="BP3622">
        <v>0</v>
      </c>
      <c r="BW3622" t="str">
        <f t="shared" si="2016"/>
        <v>14:57:55.141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5</v>
      </c>
      <c r="CP3622" t="s">
        <v>119</v>
      </c>
      <c r="CQ3622">
        <v>285</v>
      </c>
      <c r="CR3622">
        <v>0</v>
      </c>
      <c r="CW3622">
        <v>8881634</v>
      </c>
      <c r="CY3622">
        <v>0</v>
      </c>
      <c r="CZ3622">
        <v>0</v>
      </c>
      <c r="DA3622">
        <v>1</v>
      </c>
      <c r="DB3622">
        <v>0</v>
      </c>
      <c r="DC3622">
        <v>0</v>
      </c>
      <c r="DD3622">
        <v>0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25">
      <c r="A3623" t="str">
        <f t="shared" si="2013"/>
        <v>06/05/2020 14:57:49.499</v>
      </c>
      <c r="C3623" t="str">
        <f t="shared" si="2012"/>
        <v>FFDFD3C0</v>
      </c>
      <c r="D3623" t="s">
        <v>113</v>
      </c>
      <c r="E3623">
        <v>3</v>
      </c>
      <c r="H3623">
        <v>166</v>
      </c>
      <c r="I3623" t="s">
        <v>114</v>
      </c>
      <c r="J3623" t="s">
        <v>115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2014"/>
        <v>14:57:55.133</v>
      </c>
      <c r="T3623" t="str">
        <f t="shared" si="2015"/>
        <v>14:57:54.933</v>
      </c>
      <c r="U3623" t="str">
        <f t="shared" si="1995"/>
        <v>ACC530</v>
      </c>
      <c r="V3623">
        <v>0</v>
      </c>
      <c r="W3623">
        <v>0</v>
      </c>
      <c r="X3623">
        <v>1</v>
      </c>
      <c r="Z3623">
        <v>0</v>
      </c>
      <c r="AA3623">
        <v>9</v>
      </c>
      <c r="AB3623">
        <v>3</v>
      </c>
      <c r="AC3623">
        <v>0</v>
      </c>
      <c r="AD3623">
        <v>9</v>
      </c>
      <c r="AE3623">
        <v>0</v>
      </c>
      <c r="AF3623">
        <v>3</v>
      </c>
      <c r="AG3623">
        <v>1</v>
      </c>
      <c r="AH3623">
        <v>0</v>
      </c>
      <c r="AI3623" t="s">
        <v>1181</v>
      </c>
      <c r="AJ3623">
        <v>34.077401000000002</v>
      </c>
      <c r="AK3623" t="s">
        <v>1182</v>
      </c>
      <c r="AL3623">
        <v>-117.017956</v>
      </c>
      <c r="AM3623">
        <v>100</v>
      </c>
      <c r="AN3623">
        <v>5300</v>
      </c>
      <c r="AO3623" t="s">
        <v>118</v>
      </c>
      <c r="AP3623">
        <v>60</v>
      </c>
      <c r="AQ3623">
        <v>-81</v>
      </c>
      <c r="AR3623">
        <v>-128</v>
      </c>
      <c r="AZ3623">
        <v>1200</v>
      </c>
      <c r="BA3623">
        <v>1</v>
      </c>
      <c r="BB3623" t="str">
        <f t="shared" si="1996"/>
        <v xml:space="preserve">N9217B  </v>
      </c>
      <c r="BC3623">
        <v>1</v>
      </c>
      <c r="BE3623">
        <v>0</v>
      </c>
      <c r="BF3623">
        <v>0</v>
      </c>
      <c r="BG3623">
        <v>0</v>
      </c>
      <c r="BH3623">
        <v>5150</v>
      </c>
      <c r="BI3623">
        <v>1</v>
      </c>
      <c r="BJ3623">
        <v>0</v>
      </c>
      <c r="BK3623">
        <v>0</v>
      </c>
      <c r="BL3623">
        <v>0</v>
      </c>
      <c r="BO3623">
        <v>0</v>
      </c>
      <c r="BP3623">
        <v>0</v>
      </c>
      <c r="BW3623" t="str">
        <f t="shared" si="2016"/>
        <v>14:57:55.141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5</v>
      </c>
      <c r="CP3623" t="s">
        <v>119</v>
      </c>
      <c r="CQ3623">
        <v>285</v>
      </c>
      <c r="CR3623">
        <v>0</v>
      </c>
      <c r="CW3623">
        <v>8881634</v>
      </c>
      <c r="CY3623">
        <v>0</v>
      </c>
      <c r="CZ3623">
        <v>0</v>
      </c>
      <c r="DA3623">
        <v>1</v>
      </c>
      <c r="DB3623">
        <v>0</v>
      </c>
      <c r="DC3623">
        <v>0</v>
      </c>
      <c r="DD3623">
        <v>0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25">
      <c r="A3624" t="str">
        <f t="shared" si="2013"/>
        <v>06/05/2020 14:57:49.499</v>
      </c>
      <c r="C3624" t="str">
        <f t="shared" si="2012"/>
        <v>FFDFD3C0</v>
      </c>
      <c r="D3624" t="s">
        <v>151</v>
      </c>
      <c r="E3624">
        <v>9</v>
      </c>
      <c r="H3624">
        <v>226</v>
      </c>
      <c r="I3624" t="s">
        <v>152</v>
      </c>
      <c r="J3624" t="s">
        <v>150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si="2014"/>
        <v>14:57:55.133</v>
      </c>
      <c r="T3624" t="str">
        <f t="shared" si="2015"/>
        <v>14:57:54.933</v>
      </c>
      <c r="U3624" t="str">
        <f t="shared" si="1995"/>
        <v>ACC530</v>
      </c>
      <c r="V3624">
        <v>0</v>
      </c>
      <c r="W3624">
        <v>0</v>
      </c>
      <c r="X3624">
        <v>1</v>
      </c>
      <c r="Z3624">
        <v>0</v>
      </c>
      <c r="AA3624">
        <v>9</v>
      </c>
      <c r="AB3624">
        <v>3</v>
      </c>
      <c r="AC3624">
        <v>0</v>
      </c>
      <c r="AD3624">
        <v>9</v>
      </c>
      <c r="AE3624">
        <v>0</v>
      </c>
      <c r="AF3624">
        <v>3</v>
      </c>
      <c r="AG3624">
        <v>1</v>
      </c>
      <c r="AH3624">
        <v>0</v>
      </c>
      <c r="AI3624" t="s">
        <v>1181</v>
      </c>
      <c r="AJ3624">
        <v>34.077401000000002</v>
      </c>
      <c r="AK3624" t="s">
        <v>1182</v>
      </c>
      <c r="AL3624">
        <v>-117.017956</v>
      </c>
      <c r="AM3624">
        <v>100</v>
      </c>
      <c r="AN3624">
        <v>5300</v>
      </c>
      <c r="AO3624" t="s">
        <v>118</v>
      </c>
      <c r="AP3624">
        <v>60</v>
      </c>
      <c r="AQ3624">
        <v>-81</v>
      </c>
      <c r="AR3624">
        <v>-128</v>
      </c>
      <c r="AZ3624">
        <v>1200</v>
      </c>
      <c r="BA3624">
        <v>1</v>
      </c>
      <c r="BB3624" t="str">
        <f t="shared" si="1996"/>
        <v xml:space="preserve">N9217B  </v>
      </c>
      <c r="BC3624">
        <v>1</v>
      </c>
      <c r="BE3624">
        <v>0</v>
      </c>
      <c r="BF3624">
        <v>0</v>
      </c>
      <c r="BG3624">
        <v>0</v>
      </c>
      <c r="BH3624">
        <v>5150</v>
      </c>
      <c r="BI3624">
        <v>1</v>
      </c>
      <c r="BJ3624">
        <v>0</v>
      </c>
      <c r="BK3624">
        <v>0</v>
      </c>
      <c r="BL3624">
        <v>0</v>
      </c>
      <c r="BO3624">
        <v>0</v>
      </c>
      <c r="BP3624">
        <v>0</v>
      </c>
      <c r="BW3624" t="str">
        <f t="shared" si="2016"/>
        <v>14:57:55.141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5</v>
      </c>
      <c r="CP3624" t="s">
        <v>119</v>
      </c>
      <c r="CQ3624">
        <v>285</v>
      </c>
      <c r="CR3624">
        <v>0</v>
      </c>
      <c r="CW3624">
        <v>8881634</v>
      </c>
      <c r="CY3624">
        <v>0</v>
      </c>
      <c r="CZ3624">
        <v>0</v>
      </c>
      <c r="DA3624">
        <v>1</v>
      </c>
      <c r="DB3624">
        <v>0</v>
      </c>
      <c r="DC3624">
        <v>0</v>
      </c>
      <c r="DD3624">
        <v>0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25">
      <c r="A3625" t="str">
        <f t="shared" si="2013"/>
        <v>06/05/2020 14:57:49.499</v>
      </c>
      <c r="C3625" t="str">
        <f t="shared" si="2012"/>
        <v>FFDFD3C0</v>
      </c>
      <c r="D3625" t="s">
        <v>148</v>
      </c>
      <c r="E3625">
        <v>11</v>
      </c>
      <c r="H3625">
        <v>53</v>
      </c>
      <c r="I3625" t="s">
        <v>364</v>
      </c>
      <c r="J3625" t="s">
        <v>150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si="2014"/>
        <v>14:57:55.133</v>
      </c>
      <c r="T3625" t="str">
        <f t="shared" si="2015"/>
        <v>14:57:54.933</v>
      </c>
      <c r="U3625" t="str">
        <f t="shared" si="1995"/>
        <v>ACC530</v>
      </c>
      <c r="V3625">
        <v>0</v>
      </c>
      <c r="W3625">
        <v>0</v>
      </c>
      <c r="X3625">
        <v>1</v>
      </c>
      <c r="Z3625">
        <v>0</v>
      </c>
      <c r="AA3625">
        <v>9</v>
      </c>
      <c r="AB3625">
        <v>3</v>
      </c>
      <c r="AC3625">
        <v>0</v>
      </c>
      <c r="AD3625">
        <v>9</v>
      </c>
      <c r="AE3625">
        <v>0</v>
      </c>
      <c r="AF3625">
        <v>3</v>
      </c>
      <c r="AG3625">
        <v>1</v>
      </c>
      <c r="AH3625">
        <v>0</v>
      </c>
      <c r="AI3625" t="s">
        <v>1181</v>
      </c>
      <c r="AJ3625">
        <v>34.077401000000002</v>
      </c>
      <c r="AK3625" t="s">
        <v>1182</v>
      </c>
      <c r="AL3625">
        <v>-117.017956</v>
      </c>
      <c r="AM3625">
        <v>100</v>
      </c>
      <c r="AN3625">
        <v>5300</v>
      </c>
      <c r="AO3625" t="s">
        <v>118</v>
      </c>
      <c r="AP3625">
        <v>60</v>
      </c>
      <c r="AQ3625">
        <v>-81</v>
      </c>
      <c r="AR3625">
        <v>-128</v>
      </c>
      <c r="AZ3625">
        <v>1200</v>
      </c>
      <c r="BA3625">
        <v>1</v>
      </c>
      <c r="BB3625" t="str">
        <f t="shared" si="1996"/>
        <v xml:space="preserve">N9217B  </v>
      </c>
      <c r="BC3625">
        <v>1</v>
      </c>
      <c r="BE3625">
        <v>0</v>
      </c>
      <c r="BF3625">
        <v>0</v>
      </c>
      <c r="BG3625">
        <v>0</v>
      </c>
      <c r="BH3625">
        <v>5150</v>
      </c>
      <c r="BI3625">
        <v>1</v>
      </c>
      <c r="BJ3625">
        <v>0</v>
      </c>
      <c r="BK3625">
        <v>0</v>
      </c>
      <c r="BL3625">
        <v>0</v>
      </c>
      <c r="BO3625">
        <v>0</v>
      </c>
      <c r="BP3625">
        <v>0</v>
      </c>
      <c r="BW3625" t="str">
        <f t="shared" si="2016"/>
        <v>14:57:55.141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5</v>
      </c>
      <c r="CP3625" t="s">
        <v>119</v>
      </c>
      <c r="CQ3625">
        <v>285</v>
      </c>
      <c r="CR3625">
        <v>0</v>
      </c>
      <c r="CW3625">
        <v>8881634</v>
      </c>
      <c r="CY3625">
        <v>0</v>
      </c>
      <c r="CZ3625">
        <v>0</v>
      </c>
      <c r="DA3625">
        <v>1</v>
      </c>
      <c r="DB3625">
        <v>0</v>
      </c>
      <c r="DC3625">
        <v>0</v>
      </c>
      <c r="DD3625">
        <v>0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25">
      <c r="A3626" t="str">
        <f t="shared" si="2013"/>
        <v>06/05/2020 14:57:49.499</v>
      </c>
      <c r="C3626" t="str">
        <f t="shared" si="2012"/>
        <v>FFDFD3C0</v>
      </c>
      <c r="D3626" t="s">
        <v>134</v>
      </c>
      <c r="E3626">
        <v>7</v>
      </c>
      <c r="F3626">
        <v>2007</v>
      </c>
      <c r="G3626" t="s">
        <v>135</v>
      </c>
      <c r="J3626" t="s">
        <v>136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2014"/>
        <v>14:57:55.133</v>
      </c>
      <c r="T3626" t="str">
        <f t="shared" si="2015"/>
        <v>14:57:54.933</v>
      </c>
      <c r="U3626" t="str">
        <f t="shared" si="1995"/>
        <v>ACC530</v>
      </c>
      <c r="V3626">
        <v>0</v>
      </c>
      <c r="W3626">
        <v>0</v>
      </c>
      <c r="X3626">
        <v>1</v>
      </c>
      <c r="Z3626">
        <v>0</v>
      </c>
      <c r="AA3626">
        <v>9</v>
      </c>
      <c r="AB3626">
        <v>3</v>
      </c>
      <c r="AC3626">
        <v>0</v>
      </c>
      <c r="AD3626">
        <v>9</v>
      </c>
      <c r="AE3626">
        <v>0</v>
      </c>
      <c r="AF3626">
        <v>3</v>
      </c>
      <c r="AG3626">
        <v>1</v>
      </c>
      <c r="AH3626">
        <v>0</v>
      </c>
      <c r="AI3626" t="s">
        <v>1181</v>
      </c>
      <c r="AJ3626">
        <v>34.077401000000002</v>
      </c>
      <c r="AK3626" t="s">
        <v>1182</v>
      </c>
      <c r="AL3626">
        <v>-117.017956</v>
      </c>
      <c r="AM3626">
        <v>100</v>
      </c>
      <c r="AN3626">
        <v>5300</v>
      </c>
      <c r="AO3626" t="s">
        <v>118</v>
      </c>
      <c r="AP3626">
        <v>60</v>
      </c>
      <c r="AQ3626">
        <v>-81</v>
      </c>
      <c r="AR3626">
        <v>-128</v>
      </c>
      <c r="AZ3626">
        <v>1200</v>
      </c>
      <c r="BA3626">
        <v>1</v>
      </c>
      <c r="BB3626" t="str">
        <f t="shared" si="1996"/>
        <v xml:space="preserve">N9217B  </v>
      </c>
      <c r="BC3626">
        <v>1</v>
      </c>
      <c r="BE3626">
        <v>0</v>
      </c>
      <c r="BF3626">
        <v>0</v>
      </c>
      <c r="BG3626">
        <v>0</v>
      </c>
      <c r="BH3626">
        <v>5150</v>
      </c>
      <c r="BI3626">
        <v>1</v>
      </c>
      <c r="BJ3626">
        <v>0</v>
      </c>
      <c r="BK3626">
        <v>0</v>
      </c>
      <c r="BL3626">
        <v>0</v>
      </c>
      <c r="BO3626">
        <v>0</v>
      </c>
      <c r="BP3626">
        <v>0</v>
      </c>
      <c r="BW3626" t="str">
        <f t="shared" si="2016"/>
        <v>14:57:55.141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5</v>
      </c>
      <c r="CP3626" t="s">
        <v>119</v>
      </c>
      <c r="CQ3626">
        <v>285</v>
      </c>
      <c r="CR3626">
        <v>0</v>
      </c>
      <c r="CW3626">
        <v>8881634</v>
      </c>
      <c r="CY3626">
        <v>0</v>
      </c>
      <c r="CZ3626">
        <v>0</v>
      </c>
      <c r="DA3626">
        <v>1</v>
      </c>
      <c r="DB3626">
        <v>0</v>
      </c>
      <c r="DC3626">
        <v>0</v>
      </c>
      <c r="DD3626">
        <v>0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25">
      <c r="A3627" t="str">
        <f t="shared" ref="A3627:A3633" si="2017">"06/05/2020 14:57:50.527"</f>
        <v>06/05/2020 14:57:50.527</v>
      </c>
      <c r="C3627" t="str">
        <f t="shared" si="2012"/>
        <v>FFDFD3C0</v>
      </c>
      <c r="D3627" t="s">
        <v>151</v>
      </c>
      <c r="E3627">
        <v>8</v>
      </c>
      <c r="H3627">
        <v>225</v>
      </c>
      <c r="I3627" t="s">
        <v>353</v>
      </c>
      <c r="J3627" t="s">
        <v>150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ref="S3627:S3633" si="2018">"14:57:56.156"</f>
        <v>14:57:56.156</v>
      </c>
      <c r="T3627" t="str">
        <f t="shared" ref="T3627:T3633" si="2019">"14:57:56.056"</f>
        <v>14:57:56.056</v>
      </c>
      <c r="U3627" t="str">
        <f t="shared" si="1995"/>
        <v>ACC530</v>
      </c>
      <c r="V3627">
        <v>0</v>
      </c>
      <c r="W3627">
        <v>0</v>
      </c>
      <c r="X3627">
        <v>1</v>
      </c>
      <c r="Z3627">
        <v>0</v>
      </c>
      <c r="AA3627">
        <v>9</v>
      </c>
      <c r="AB3627">
        <v>3</v>
      </c>
      <c r="AC3627">
        <v>0</v>
      </c>
      <c r="AD3627">
        <v>9</v>
      </c>
      <c r="AE3627">
        <v>0</v>
      </c>
      <c r="AF3627">
        <v>3</v>
      </c>
      <c r="AG3627">
        <v>1</v>
      </c>
      <c r="AH3627">
        <v>0</v>
      </c>
      <c r="AI3627" t="s">
        <v>1183</v>
      </c>
      <c r="AJ3627">
        <v>34.077036</v>
      </c>
      <c r="AK3627" t="s">
        <v>1184</v>
      </c>
      <c r="AL3627">
        <v>-117.01767700000001</v>
      </c>
      <c r="AM3627">
        <v>100</v>
      </c>
      <c r="AN3627">
        <v>5300</v>
      </c>
      <c r="AO3627" t="s">
        <v>118</v>
      </c>
      <c r="AP3627">
        <v>54</v>
      </c>
      <c r="AQ3627">
        <v>-84</v>
      </c>
      <c r="AR3627">
        <v>-128</v>
      </c>
      <c r="AZ3627">
        <v>1200</v>
      </c>
      <c r="BA3627">
        <v>1</v>
      </c>
      <c r="BB3627" t="str">
        <f t="shared" si="1996"/>
        <v xml:space="preserve">N9217B  </v>
      </c>
      <c r="BC3627">
        <v>1</v>
      </c>
      <c r="BE3627">
        <v>0</v>
      </c>
      <c r="BF3627">
        <v>0</v>
      </c>
      <c r="BG3627">
        <v>0</v>
      </c>
      <c r="BH3627">
        <v>5150</v>
      </c>
      <c r="BI3627">
        <v>1</v>
      </c>
      <c r="BJ3627">
        <v>0</v>
      </c>
      <c r="BK3627">
        <v>0</v>
      </c>
      <c r="BL3627">
        <v>0</v>
      </c>
      <c r="BO3627">
        <v>0</v>
      </c>
      <c r="BP3627">
        <v>0</v>
      </c>
      <c r="BW3627" t="str">
        <f t="shared" ref="BW3627:BW3633" si="2020">"14:57:56.160"</f>
        <v>14:57:56.160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5</v>
      </c>
      <c r="CP3627" t="s">
        <v>119</v>
      </c>
      <c r="CQ3627">
        <v>285</v>
      </c>
      <c r="CR3627">
        <v>0</v>
      </c>
      <c r="CW3627">
        <v>8881728</v>
      </c>
      <c r="CY3627">
        <v>0</v>
      </c>
      <c r="CZ3627">
        <v>0</v>
      </c>
      <c r="DA3627">
        <v>0</v>
      </c>
      <c r="DB3627">
        <v>0</v>
      </c>
      <c r="DC3627">
        <v>0</v>
      </c>
      <c r="DD3627">
        <v>0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25">
      <c r="A3628" t="str">
        <f t="shared" si="2017"/>
        <v>06/05/2020 14:57:50.527</v>
      </c>
      <c r="C3628" t="str">
        <f t="shared" si="2012"/>
        <v>FFDFD3C0</v>
      </c>
      <c r="D3628" t="s">
        <v>113</v>
      </c>
      <c r="E3628">
        <v>3</v>
      </c>
      <c r="H3628">
        <v>166</v>
      </c>
      <c r="I3628" t="s">
        <v>114</v>
      </c>
      <c r="J3628" t="s">
        <v>115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si="2018"/>
        <v>14:57:56.156</v>
      </c>
      <c r="T3628" t="str">
        <f t="shared" si="2019"/>
        <v>14:57:56.056</v>
      </c>
      <c r="U3628" t="str">
        <f t="shared" si="1995"/>
        <v>ACC530</v>
      </c>
      <c r="V3628">
        <v>0</v>
      </c>
      <c r="W3628">
        <v>0</v>
      </c>
      <c r="X3628">
        <v>1</v>
      </c>
      <c r="Z3628">
        <v>0</v>
      </c>
      <c r="AA3628">
        <v>9</v>
      </c>
      <c r="AB3628">
        <v>3</v>
      </c>
      <c r="AC3628">
        <v>0</v>
      </c>
      <c r="AD3628">
        <v>9</v>
      </c>
      <c r="AE3628">
        <v>0</v>
      </c>
      <c r="AF3628">
        <v>3</v>
      </c>
      <c r="AG3628">
        <v>1</v>
      </c>
      <c r="AH3628">
        <v>0</v>
      </c>
      <c r="AI3628" t="s">
        <v>1183</v>
      </c>
      <c r="AJ3628">
        <v>34.077036</v>
      </c>
      <c r="AK3628" t="s">
        <v>1184</v>
      </c>
      <c r="AL3628">
        <v>-117.01767700000001</v>
      </c>
      <c r="AM3628">
        <v>100</v>
      </c>
      <c r="AN3628">
        <v>5300</v>
      </c>
      <c r="AO3628" t="s">
        <v>118</v>
      </c>
      <c r="AP3628">
        <v>54</v>
      </c>
      <c r="AQ3628">
        <v>-84</v>
      </c>
      <c r="AR3628">
        <v>-128</v>
      </c>
      <c r="AZ3628">
        <v>1200</v>
      </c>
      <c r="BA3628">
        <v>1</v>
      </c>
      <c r="BB3628" t="str">
        <f t="shared" si="1996"/>
        <v xml:space="preserve">N9217B  </v>
      </c>
      <c r="BC3628">
        <v>1</v>
      </c>
      <c r="BE3628">
        <v>0</v>
      </c>
      <c r="BF3628">
        <v>0</v>
      </c>
      <c r="BG3628">
        <v>0</v>
      </c>
      <c r="BH3628">
        <v>5150</v>
      </c>
      <c r="BI3628">
        <v>1</v>
      </c>
      <c r="BJ3628">
        <v>0</v>
      </c>
      <c r="BK3628">
        <v>0</v>
      </c>
      <c r="BL3628">
        <v>0</v>
      </c>
      <c r="BO3628">
        <v>0</v>
      </c>
      <c r="BP3628">
        <v>0</v>
      </c>
      <c r="BW3628" t="str">
        <f t="shared" si="2020"/>
        <v>14:57:56.160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5</v>
      </c>
      <c r="CP3628" t="s">
        <v>119</v>
      </c>
      <c r="CQ3628">
        <v>285</v>
      </c>
      <c r="CR3628">
        <v>0</v>
      </c>
      <c r="CW3628">
        <v>8881728</v>
      </c>
      <c r="CY3628">
        <v>0</v>
      </c>
      <c r="CZ3628">
        <v>0</v>
      </c>
      <c r="DA3628">
        <v>1</v>
      </c>
      <c r="DB3628">
        <v>0</v>
      </c>
      <c r="DC3628">
        <v>0</v>
      </c>
      <c r="DD3628">
        <v>0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25">
      <c r="A3629" t="str">
        <f t="shared" si="2017"/>
        <v>06/05/2020 14:57:50.527</v>
      </c>
      <c r="C3629" t="str">
        <f t="shared" si="2012"/>
        <v>FFDFD3C0</v>
      </c>
      <c r="D3629" t="s">
        <v>151</v>
      </c>
      <c r="E3629">
        <v>9</v>
      </c>
      <c r="H3629">
        <v>226</v>
      </c>
      <c r="I3629" t="s">
        <v>152</v>
      </c>
      <c r="J3629" t="s">
        <v>150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2018"/>
        <v>14:57:56.156</v>
      </c>
      <c r="T3629" t="str">
        <f t="shared" si="2019"/>
        <v>14:57:56.056</v>
      </c>
      <c r="U3629" t="str">
        <f t="shared" si="1995"/>
        <v>ACC530</v>
      </c>
      <c r="V3629">
        <v>0</v>
      </c>
      <c r="W3629">
        <v>0</v>
      </c>
      <c r="X3629">
        <v>1</v>
      </c>
      <c r="Z3629">
        <v>0</v>
      </c>
      <c r="AA3629">
        <v>9</v>
      </c>
      <c r="AB3629">
        <v>3</v>
      </c>
      <c r="AC3629">
        <v>0</v>
      </c>
      <c r="AD3629">
        <v>9</v>
      </c>
      <c r="AE3629">
        <v>0</v>
      </c>
      <c r="AF3629">
        <v>3</v>
      </c>
      <c r="AG3629">
        <v>1</v>
      </c>
      <c r="AH3629">
        <v>0</v>
      </c>
      <c r="AI3629" t="s">
        <v>1183</v>
      </c>
      <c r="AJ3629">
        <v>34.077036</v>
      </c>
      <c r="AK3629" t="s">
        <v>1184</v>
      </c>
      <c r="AL3629">
        <v>-117.01767700000001</v>
      </c>
      <c r="AM3629">
        <v>100</v>
      </c>
      <c r="AN3629">
        <v>5300</v>
      </c>
      <c r="AO3629" t="s">
        <v>118</v>
      </c>
      <c r="AP3629">
        <v>54</v>
      </c>
      <c r="AQ3629">
        <v>-84</v>
      </c>
      <c r="AR3629">
        <v>-128</v>
      </c>
      <c r="AZ3629">
        <v>1200</v>
      </c>
      <c r="BA3629">
        <v>1</v>
      </c>
      <c r="BB3629" t="str">
        <f t="shared" si="1996"/>
        <v xml:space="preserve">N9217B  </v>
      </c>
      <c r="BC3629">
        <v>1</v>
      </c>
      <c r="BE3629">
        <v>0</v>
      </c>
      <c r="BF3629">
        <v>0</v>
      </c>
      <c r="BG3629">
        <v>0</v>
      </c>
      <c r="BH3629">
        <v>5150</v>
      </c>
      <c r="BI3629">
        <v>1</v>
      </c>
      <c r="BJ3629">
        <v>0</v>
      </c>
      <c r="BK3629">
        <v>0</v>
      </c>
      <c r="BL3629">
        <v>0</v>
      </c>
      <c r="BO3629">
        <v>0</v>
      </c>
      <c r="BP3629">
        <v>0</v>
      </c>
      <c r="BW3629" t="str">
        <f t="shared" si="2020"/>
        <v>14:57:56.160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5</v>
      </c>
      <c r="CP3629" t="s">
        <v>119</v>
      </c>
      <c r="CQ3629">
        <v>285</v>
      </c>
      <c r="CR3629">
        <v>0</v>
      </c>
      <c r="CW3629">
        <v>8881728</v>
      </c>
      <c r="CY3629">
        <v>0</v>
      </c>
      <c r="CZ3629">
        <v>0</v>
      </c>
      <c r="DA3629">
        <v>1</v>
      </c>
      <c r="DB3629">
        <v>0</v>
      </c>
      <c r="DC3629">
        <v>0</v>
      </c>
      <c r="DD3629">
        <v>0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25">
      <c r="A3630" t="str">
        <f t="shared" si="2017"/>
        <v>06/05/2020 14:57:50.527</v>
      </c>
      <c r="C3630" t="str">
        <f t="shared" si="2012"/>
        <v>FFDFD3C0</v>
      </c>
      <c r="D3630" t="s">
        <v>134</v>
      </c>
      <c r="E3630">
        <v>7</v>
      </c>
      <c r="F3630">
        <v>2007</v>
      </c>
      <c r="G3630" t="s">
        <v>135</v>
      </c>
      <c r="J3630" t="s">
        <v>136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2018"/>
        <v>14:57:56.156</v>
      </c>
      <c r="T3630" t="str">
        <f t="shared" si="2019"/>
        <v>14:57:56.056</v>
      </c>
      <c r="U3630" t="str">
        <f t="shared" si="1995"/>
        <v>ACC530</v>
      </c>
      <c r="V3630">
        <v>0</v>
      </c>
      <c r="W3630">
        <v>0</v>
      </c>
      <c r="X3630">
        <v>1</v>
      </c>
      <c r="Z3630">
        <v>0</v>
      </c>
      <c r="AA3630">
        <v>9</v>
      </c>
      <c r="AB3630">
        <v>3</v>
      </c>
      <c r="AC3630">
        <v>0</v>
      </c>
      <c r="AD3630">
        <v>9</v>
      </c>
      <c r="AE3630">
        <v>0</v>
      </c>
      <c r="AF3630">
        <v>3</v>
      </c>
      <c r="AG3630">
        <v>1</v>
      </c>
      <c r="AH3630">
        <v>0</v>
      </c>
      <c r="AI3630" t="s">
        <v>1183</v>
      </c>
      <c r="AJ3630">
        <v>34.077036</v>
      </c>
      <c r="AK3630" t="s">
        <v>1184</v>
      </c>
      <c r="AL3630">
        <v>-117.01767700000001</v>
      </c>
      <c r="AM3630">
        <v>100</v>
      </c>
      <c r="AN3630">
        <v>5300</v>
      </c>
      <c r="AO3630" t="s">
        <v>118</v>
      </c>
      <c r="AP3630">
        <v>54</v>
      </c>
      <c r="AQ3630">
        <v>-84</v>
      </c>
      <c r="AR3630">
        <v>-128</v>
      </c>
      <c r="AZ3630">
        <v>1200</v>
      </c>
      <c r="BA3630">
        <v>1</v>
      </c>
      <c r="BB3630" t="str">
        <f t="shared" si="1996"/>
        <v xml:space="preserve">N9217B  </v>
      </c>
      <c r="BC3630">
        <v>1</v>
      </c>
      <c r="BE3630">
        <v>0</v>
      </c>
      <c r="BF3630">
        <v>0</v>
      </c>
      <c r="BG3630">
        <v>0</v>
      </c>
      <c r="BH3630">
        <v>5150</v>
      </c>
      <c r="BI3630">
        <v>1</v>
      </c>
      <c r="BJ3630">
        <v>0</v>
      </c>
      <c r="BK3630">
        <v>0</v>
      </c>
      <c r="BL3630">
        <v>0</v>
      </c>
      <c r="BO3630">
        <v>0</v>
      </c>
      <c r="BP3630">
        <v>0</v>
      </c>
      <c r="BW3630" t="str">
        <f t="shared" si="2020"/>
        <v>14:57:56.160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5</v>
      </c>
      <c r="CP3630" t="s">
        <v>119</v>
      </c>
      <c r="CQ3630">
        <v>285</v>
      </c>
      <c r="CR3630">
        <v>0</v>
      </c>
      <c r="CW3630">
        <v>8881728</v>
      </c>
      <c r="CY3630">
        <v>0</v>
      </c>
      <c r="CZ3630">
        <v>0</v>
      </c>
      <c r="DA3630">
        <v>1</v>
      </c>
      <c r="DB3630">
        <v>0</v>
      </c>
      <c r="DC3630">
        <v>0</v>
      </c>
      <c r="DD3630">
        <v>0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25">
      <c r="A3631" t="str">
        <f t="shared" si="2017"/>
        <v>06/05/2020 14:57:50.527</v>
      </c>
      <c r="C3631" t="str">
        <f t="shared" si="2012"/>
        <v>FFDFD3C0</v>
      </c>
      <c r="D3631" t="s">
        <v>148</v>
      </c>
      <c r="E3631">
        <v>11</v>
      </c>
      <c r="H3631">
        <v>53</v>
      </c>
      <c r="I3631" t="s">
        <v>364</v>
      </c>
      <c r="J3631" t="s">
        <v>150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si="2018"/>
        <v>14:57:56.156</v>
      </c>
      <c r="T3631" t="str">
        <f t="shared" si="2019"/>
        <v>14:57:56.056</v>
      </c>
      <c r="U3631" t="str">
        <f t="shared" si="1995"/>
        <v>ACC530</v>
      </c>
      <c r="V3631">
        <v>0</v>
      </c>
      <c r="W3631">
        <v>0</v>
      </c>
      <c r="X3631">
        <v>1</v>
      </c>
      <c r="Z3631">
        <v>0</v>
      </c>
      <c r="AA3631">
        <v>9</v>
      </c>
      <c r="AB3631">
        <v>3</v>
      </c>
      <c r="AC3631">
        <v>0</v>
      </c>
      <c r="AD3631">
        <v>9</v>
      </c>
      <c r="AE3631">
        <v>0</v>
      </c>
      <c r="AF3631">
        <v>3</v>
      </c>
      <c r="AG3631">
        <v>1</v>
      </c>
      <c r="AH3631">
        <v>0</v>
      </c>
      <c r="AI3631" t="s">
        <v>1183</v>
      </c>
      <c r="AJ3631">
        <v>34.077036</v>
      </c>
      <c r="AK3631" t="s">
        <v>1184</v>
      </c>
      <c r="AL3631">
        <v>-117.01767700000001</v>
      </c>
      <c r="AM3631">
        <v>100</v>
      </c>
      <c r="AN3631">
        <v>5300</v>
      </c>
      <c r="AO3631" t="s">
        <v>118</v>
      </c>
      <c r="AP3631">
        <v>54</v>
      </c>
      <c r="AQ3631">
        <v>-84</v>
      </c>
      <c r="AR3631">
        <v>-128</v>
      </c>
      <c r="AZ3631">
        <v>1200</v>
      </c>
      <c r="BA3631">
        <v>1</v>
      </c>
      <c r="BB3631" t="str">
        <f t="shared" si="1996"/>
        <v xml:space="preserve">N9217B  </v>
      </c>
      <c r="BC3631">
        <v>1</v>
      </c>
      <c r="BE3631">
        <v>0</v>
      </c>
      <c r="BF3631">
        <v>0</v>
      </c>
      <c r="BG3631">
        <v>0</v>
      </c>
      <c r="BH3631">
        <v>5150</v>
      </c>
      <c r="BI3631">
        <v>1</v>
      </c>
      <c r="BJ3631">
        <v>0</v>
      </c>
      <c r="BK3631">
        <v>0</v>
      </c>
      <c r="BL3631">
        <v>0</v>
      </c>
      <c r="BO3631">
        <v>0</v>
      </c>
      <c r="BP3631">
        <v>0</v>
      </c>
      <c r="BW3631" t="str">
        <f t="shared" si="2020"/>
        <v>14:57:56.160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5</v>
      </c>
      <c r="CP3631" t="s">
        <v>119</v>
      </c>
      <c r="CQ3631">
        <v>285</v>
      </c>
      <c r="CR3631">
        <v>0</v>
      </c>
      <c r="CW3631">
        <v>8881728</v>
      </c>
      <c r="CY3631">
        <v>0</v>
      </c>
      <c r="CZ3631">
        <v>0</v>
      </c>
      <c r="DA3631">
        <v>1</v>
      </c>
      <c r="DB3631">
        <v>0</v>
      </c>
      <c r="DC3631">
        <v>0</v>
      </c>
      <c r="DD3631">
        <v>0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25">
      <c r="A3632" t="str">
        <f t="shared" si="2017"/>
        <v>06/05/2020 14:57:50.527</v>
      </c>
      <c r="C3632" t="str">
        <f t="shared" si="2012"/>
        <v>FFDFD3C0</v>
      </c>
      <c r="D3632" t="s">
        <v>141</v>
      </c>
      <c r="E3632">
        <v>20</v>
      </c>
      <c r="F3632">
        <v>1020</v>
      </c>
      <c r="G3632" t="s">
        <v>114</v>
      </c>
      <c r="J3632" t="s">
        <v>142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si="2018"/>
        <v>14:57:56.156</v>
      </c>
      <c r="T3632" t="str">
        <f t="shared" si="2019"/>
        <v>14:57:56.056</v>
      </c>
      <c r="U3632" t="str">
        <f t="shared" si="1995"/>
        <v>ACC530</v>
      </c>
      <c r="V3632">
        <v>0</v>
      </c>
      <c r="W3632">
        <v>0</v>
      </c>
      <c r="X3632">
        <v>1</v>
      </c>
      <c r="Z3632">
        <v>0</v>
      </c>
      <c r="AA3632">
        <v>9</v>
      </c>
      <c r="AB3632">
        <v>3</v>
      </c>
      <c r="AC3632">
        <v>0</v>
      </c>
      <c r="AD3632">
        <v>9</v>
      </c>
      <c r="AE3632">
        <v>0</v>
      </c>
      <c r="AF3632">
        <v>3</v>
      </c>
      <c r="AG3632">
        <v>1</v>
      </c>
      <c r="AH3632">
        <v>0</v>
      </c>
      <c r="AI3632" t="s">
        <v>1183</v>
      </c>
      <c r="AJ3632">
        <v>34.077036</v>
      </c>
      <c r="AK3632" t="s">
        <v>1184</v>
      </c>
      <c r="AL3632">
        <v>-117.01767700000001</v>
      </c>
      <c r="AM3632">
        <v>100</v>
      </c>
      <c r="AN3632">
        <v>5300</v>
      </c>
      <c r="AO3632" t="s">
        <v>118</v>
      </c>
      <c r="AP3632">
        <v>54</v>
      </c>
      <c r="AQ3632">
        <v>-84</v>
      </c>
      <c r="AR3632">
        <v>-128</v>
      </c>
      <c r="AZ3632">
        <v>1200</v>
      </c>
      <c r="BA3632">
        <v>1</v>
      </c>
      <c r="BB3632" t="str">
        <f t="shared" si="1996"/>
        <v xml:space="preserve">N9217B  </v>
      </c>
      <c r="BC3632">
        <v>1</v>
      </c>
      <c r="BE3632">
        <v>0</v>
      </c>
      <c r="BF3632">
        <v>0</v>
      </c>
      <c r="BG3632">
        <v>0</v>
      </c>
      <c r="BH3632">
        <v>5150</v>
      </c>
      <c r="BI3632">
        <v>1</v>
      </c>
      <c r="BJ3632">
        <v>0</v>
      </c>
      <c r="BK3632">
        <v>0</v>
      </c>
      <c r="BL3632">
        <v>0</v>
      </c>
      <c r="BO3632">
        <v>0</v>
      </c>
      <c r="BP3632">
        <v>0</v>
      </c>
      <c r="BW3632" t="str">
        <f t="shared" si="2020"/>
        <v>14:57:56.160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5</v>
      </c>
      <c r="CP3632" t="s">
        <v>119</v>
      </c>
      <c r="CQ3632">
        <v>285</v>
      </c>
      <c r="CR3632">
        <v>0</v>
      </c>
      <c r="CW3632">
        <v>8881728</v>
      </c>
      <c r="CY3632">
        <v>0</v>
      </c>
      <c r="CZ3632">
        <v>0</v>
      </c>
      <c r="DA3632">
        <v>1</v>
      </c>
      <c r="DB3632">
        <v>0</v>
      </c>
      <c r="DC3632">
        <v>0</v>
      </c>
      <c r="DD3632">
        <v>0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25">
      <c r="A3633" t="str">
        <f t="shared" si="2017"/>
        <v>06/05/2020 14:57:50.527</v>
      </c>
      <c r="C3633" t="str">
        <f t="shared" si="2012"/>
        <v>FFDFD3C0</v>
      </c>
      <c r="D3633" t="s">
        <v>148</v>
      </c>
      <c r="E3633">
        <v>8</v>
      </c>
      <c r="H3633">
        <v>50</v>
      </c>
      <c r="I3633" t="s">
        <v>149</v>
      </c>
      <c r="J3633" t="s">
        <v>150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si="2018"/>
        <v>14:57:56.156</v>
      </c>
      <c r="T3633" t="str">
        <f t="shared" si="2019"/>
        <v>14:57:56.056</v>
      </c>
      <c r="U3633" t="str">
        <f t="shared" si="1995"/>
        <v>ACC530</v>
      </c>
      <c r="V3633">
        <v>0</v>
      </c>
      <c r="W3633">
        <v>0</v>
      </c>
      <c r="X3633">
        <v>1</v>
      </c>
      <c r="Z3633">
        <v>0</v>
      </c>
      <c r="AA3633">
        <v>9</v>
      </c>
      <c r="AB3633">
        <v>3</v>
      </c>
      <c r="AC3633">
        <v>0</v>
      </c>
      <c r="AD3633">
        <v>9</v>
      </c>
      <c r="AE3633">
        <v>0</v>
      </c>
      <c r="AF3633">
        <v>3</v>
      </c>
      <c r="AG3633">
        <v>1</v>
      </c>
      <c r="AH3633">
        <v>0</v>
      </c>
      <c r="AI3633" t="s">
        <v>1183</v>
      </c>
      <c r="AJ3633">
        <v>34.077036</v>
      </c>
      <c r="AK3633" t="s">
        <v>1184</v>
      </c>
      <c r="AL3633">
        <v>-117.01767700000001</v>
      </c>
      <c r="AM3633">
        <v>100</v>
      </c>
      <c r="AN3633">
        <v>5300</v>
      </c>
      <c r="AO3633" t="s">
        <v>118</v>
      </c>
      <c r="AP3633">
        <v>54</v>
      </c>
      <c r="AQ3633">
        <v>-84</v>
      </c>
      <c r="AR3633">
        <v>-128</v>
      </c>
      <c r="AZ3633">
        <v>1200</v>
      </c>
      <c r="BA3633">
        <v>1</v>
      </c>
      <c r="BB3633" t="str">
        <f t="shared" si="1996"/>
        <v xml:space="preserve">N9217B  </v>
      </c>
      <c r="BC3633">
        <v>1</v>
      </c>
      <c r="BE3633">
        <v>0</v>
      </c>
      <c r="BF3633">
        <v>0</v>
      </c>
      <c r="BG3633">
        <v>0</v>
      </c>
      <c r="BH3633">
        <v>5150</v>
      </c>
      <c r="BI3633">
        <v>1</v>
      </c>
      <c r="BJ3633">
        <v>0</v>
      </c>
      <c r="BK3633">
        <v>0</v>
      </c>
      <c r="BL3633">
        <v>0</v>
      </c>
      <c r="BO3633">
        <v>0</v>
      </c>
      <c r="BP3633">
        <v>0</v>
      </c>
      <c r="BW3633" t="str">
        <f t="shared" si="2020"/>
        <v>14:57:56.160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5</v>
      </c>
      <c r="CP3633" t="s">
        <v>119</v>
      </c>
      <c r="CQ3633">
        <v>285</v>
      </c>
      <c r="CR3633">
        <v>0</v>
      </c>
      <c r="CW3633">
        <v>8881728</v>
      </c>
      <c r="CY3633">
        <v>0</v>
      </c>
      <c r="CZ3633">
        <v>0</v>
      </c>
      <c r="DA3633">
        <v>1</v>
      </c>
      <c r="DB3633">
        <v>0</v>
      </c>
      <c r="DC3633">
        <v>0</v>
      </c>
      <c r="DD3633">
        <v>0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25">
      <c r="A3634" t="str">
        <f t="shared" ref="A3634:A3640" si="2021">"06/05/2020 14:57:51.538"</f>
        <v>06/05/2020 14:57:51.538</v>
      </c>
      <c r="C3634" t="str">
        <f t="shared" si="2012"/>
        <v>FFDFD3C0</v>
      </c>
      <c r="D3634" t="s">
        <v>151</v>
      </c>
      <c r="E3634">
        <v>8</v>
      </c>
      <c r="H3634">
        <v>225</v>
      </c>
      <c r="I3634" t="s">
        <v>353</v>
      </c>
      <c r="J3634" t="s">
        <v>150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ref="S3634:S3640" si="2022">"14:57:57.164"</f>
        <v>14:57:57.164</v>
      </c>
      <c r="T3634" t="str">
        <f t="shared" ref="T3634:T3640" si="2023">"14:57:57.064"</f>
        <v>14:57:57.064</v>
      </c>
      <c r="U3634" t="str">
        <f t="shared" si="1995"/>
        <v>ACC530</v>
      </c>
      <c r="V3634">
        <v>0</v>
      </c>
      <c r="W3634">
        <v>0</v>
      </c>
      <c r="X3634">
        <v>1</v>
      </c>
      <c r="Z3634">
        <v>0</v>
      </c>
      <c r="AA3634">
        <v>9</v>
      </c>
      <c r="AB3634">
        <v>3</v>
      </c>
      <c r="AC3634">
        <v>0</v>
      </c>
      <c r="AD3634">
        <v>9</v>
      </c>
      <c r="AE3634">
        <v>0</v>
      </c>
      <c r="AF3634">
        <v>3</v>
      </c>
      <c r="AG3634">
        <v>1</v>
      </c>
      <c r="AH3634">
        <v>0</v>
      </c>
      <c r="AI3634" t="s">
        <v>1185</v>
      </c>
      <c r="AJ3634">
        <v>34.076607000000003</v>
      </c>
      <c r="AK3634" t="s">
        <v>1186</v>
      </c>
      <c r="AL3634">
        <v>-117.01733400000001</v>
      </c>
      <c r="AM3634">
        <v>100</v>
      </c>
      <c r="AN3634">
        <v>5300</v>
      </c>
      <c r="AO3634" t="s">
        <v>118</v>
      </c>
      <c r="AP3634">
        <v>49</v>
      </c>
      <c r="AQ3634">
        <v>-87</v>
      </c>
      <c r="AR3634">
        <v>-256</v>
      </c>
      <c r="AZ3634">
        <v>1200</v>
      </c>
      <c r="BA3634">
        <v>1</v>
      </c>
      <c r="BB3634" t="str">
        <f t="shared" si="1996"/>
        <v xml:space="preserve">N9217B  </v>
      </c>
      <c r="BC3634">
        <v>1</v>
      </c>
      <c r="BE3634">
        <v>0</v>
      </c>
      <c r="BF3634">
        <v>0</v>
      </c>
      <c r="BG3634">
        <v>0</v>
      </c>
      <c r="BH3634">
        <v>5150</v>
      </c>
      <c r="BI3634">
        <v>1</v>
      </c>
      <c r="BJ3634">
        <v>0</v>
      </c>
      <c r="BK3634">
        <v>0</v>
      </c>
      <c r="BL3634">
        <v>0</v>
      </c>
      <c r="BO3634">
        <v>0</v>
      </c>
      <c r="BP3634">
        <v>0</v>
      </c>
      <c r="BW3634" t="str">
        <f t="shared" ref="BW3634:BW3640" si="2024">"14:57:57.165"</f>
        <v>14:57:57.165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5</v>
      </c>
      <c r="CP3634" t="s">
        <v>119</v>
      </c>
      <c r="CQ3634">
        <v>285</v>
      </c>
      <c r="CR3634">
        <v>0</v>
      </c>
      <c r="CW3634">
        <v>8881818</v>
      </c>
      <c r="CY3634">
        <v>0</v>
      </c>
      <c r="CZ3634">
        <v>0</v>
      </c>
      <c r="DA3634">
        <v>0</v>
      </c>
      <c r="DB3634">
        <v>0</v>
      </c>
      <c r="DC3634">
        <v>0</v>
      </c>
      <c r="DD3634">
        <v>0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25">
      <c r="A3635" t="str">
        <f t="shared" si="2021"/>
        <v>06/05/2020 14:57:51.538</v>
      </c>
      <c r="C3635" t="str">
        <f t="shared" si="2012"/>
        <v>FFDFD3C0</v>
      </c>
      <c r="D3635" t="s">
        <v>113</v>
      </c>
      <c r="E3635">
        <v>3</v>
      </c>
      <c r="H3635">
        <v>166</v>
      </c>
      <c r="I3635" t="s">
        <v>114</v>
      </c>
      <c r="J3635" t="s">
        <v>115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 t="shared" si="2022"/>
        <v>14:57:57.164</v>
      </c>
      <c r="T3635" t="str">
        <f t="shared" si="2023"/>
        <v>14:57:57.064</v>
      </c>
      <c r="U3635" t="str">
        <f t="shared" si="1995"/>
        <v>ACC530</v>
      </c>
      <c r="V3635">
        <v>0</v>
      </c>
      <c r="W3635">
        <v>0</v>
      </c>
      <c r="X3635">
        <v>1</v>
      </c>
      <c r="Z3635">
        <v>0</v>
      </c>
      <c r="AA3635">
        <v>9</v>
      </c>
      <c r="AB3635">
        <v>3</v>
      </c>
      <c r="AC3635">
        <v>0</v>
      </c>
      <c r="AD3635">
        <v>9</v>
      </c>
      <c r="AE3635">
        <v>0</v>
      </c>
      <c r="AF3635">
        <v>3</v>
      </c>
      <c r="AG3635">
        <v>1</v>
      </c>
      <c r="AH3635">
        <v>0</v>
      </c>
      <c r="AI3635" t="s">
        <v>1185</v>
      </c>
      <c r="AJ3635">
        <v>34.076607000000003</v>
      </c>
      <c r="AK3635" t="s">
        <v>1186</v>
      </c>
      <c r="AL3635">
        <v>-117.01733400000001</v>
      </c>
      <c r="AM3635">
        <v>100</v>
      </c>
      <c r="AN3635">
        <v>5300</v>
      </c>
      <c r="AO3635" t="s">
        <v>118</v>
      </c>
      <c r="AP3635">
        <v>49</v>
      </c>
      <c r="AQ3635">
        <v>-87</v>
      </c>
      <c r="AR3635">
        <v>-256</v>
      </c>
      <c r="AZ3635">
        <v>1200</v>
      </c>
      <c r="BA3635">
        <v>1</v>
      </c>
      <c r="BB3635" t="str">
        <f t="shared" si="1996"/>
        <v xml:space="preserve">N9217B  </v>
      </c>
      <c r="BC3635">
        <v>1</v>
      </c>
      <c r="BE3635">
        <v>0</v>
      </c>
      <c r="BF3635">
        <v>0</v>
      </c>
      <c r="BG3635">
        <v>0</v>
      </c>
      <c r="BH3635">
        <v>5150</v>
      </c>
      <c r="BI3635">
        <v>1</v>
      </c>
      <c r="BJ3635">
        <v>0</v>
      </c>
      <c r="BK3635">
        <v>0</v>
      </c>
      <c r="BL3635">
        <v>0</v>
      </c>
      <c r="BO3635">
        <v>0</v>
      </c>
      <c r="BP3635">
        <v>0</v>
      </c>
      <c r="BW3635" t="str">
        <f t="shared" si="2024"/>
        <v>14:57:57.165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5</v>
      </c>
      <c r="CP3635" t="s">
        <v>119</v>
      </c>
      <c r="CQ3635">
        <v>285</v>
      </c>
      <c r="CR3635">
        <v>0</v>
      </c>
      <c r="CW3635">
        <v>8881818</v>
      </c>
      <c r="CY3635">
        <v>0</v>
      </c>
      <c r="CZ3635">
        <v>0</v>
      </c>
      <c r="DA3635">
        <v>1</v>
      </c>
      <c r="DB3635">
        <v>0</v>
      </c>
      <c r="DC3635">
        <v>0</v>
      </c>
      <c r="DD3635">
        <v>0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25">
      <c r="A3636" t="str">
        <f t="shared" si="2021"/>
        <v>06/05/2020 14:57:51.538</v>
      </c>
      <c r="C3636" t="str">
        <f t="shared" si="2012"/>
        <v>FFDFD3C0</v>
      </c>
      <c r="D3636" t="s">
        <v>151</v>
      </c>
      <c r="E3636">
        <v>9</v>
      </c>
      <c r="H3636">
        <v>226</v>
      </c>
      <c r="I3636" t="s">
        <v>152</v>
      </c>
      <c r="J3636" t="s">
        <v>150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 t="shared" si="2022"/>
        <v>14:57:57.164</v>
      </c>
      <c r="T3636" t="str">
        <f t="shared" si="2023"/>
        <v>14:57:57.064</v>
      </c>
      <c r="U3636" t="str">
        <f t="shared" si="1995"/>
        <v>ACC530</v>
      </c>
      <c r="V3636">
        <v>0</v>
      </c>
      <c r="W3636">
        <v>0</v>
      </c>
      <c r="X3636">
        <v>1</v>
      </c>
      <c r="Z3636">
        <v>0</v>
      </c>
      <c r="AA3636">
        <v>9</v>
      </c>
      <c r="AB3636">
        <v>3</v>
      </c>
      <c r="AC3636">
        <v>0</v>
      </c>
      <c r="AD3636">
        <v>9</v>
      </c>
      <c r="AE3636">
        <v>0</v>
      </c>
      <c r="AF3636">
        <v>3</v>
      </c>
      <c r="AG3636">
        <v>1</v>
      </c>
      <c r="AH3636">
        <v>0</v>
      </c>
      <c r="AI3636" t="s">
        <v>1185</v>
      </c>
      <c r="AJ3636">
        <v>34.076607000000003</v>
      </c>
      <c r="AK3636" t="s">
        <v>1186</v>
      </c>
      <c r="AL3636">
        <v>-117.01733400000001</v>
      </c>
      <c r="AM3636">
        <v>100</v>
      </c>
      <c r="AN3636">
        <v>5300</v>
      </c>
      <c r="AO3636" t="s">
        <v>118</v>
      </c>
      <c r="AP3636">
        <v>49</v>
      </c>
      <c r="AQ3636">
        <v>-87</v>
      </c>
      <c r="AR3636">
        <v>-256</v>
      </c>
      <c r="AZ3636">
        <v>1200</v>
      </c>
      <c r="BA3636">
        <v>1</v>
      </c>
      <c r="BB3636" t="str">
        <f t="shared" si="1996"/>
        <v xml:space="preserve">N9217B  </v>
      </c>
      <c r="BC3636">
        <v>1</v>
      </c>
      <c r="BE3636">
        <v>0</v>
      </c>
      <c r="BF3636">
        <v>0</v>
      </c>
      <c r="BG3636">
        <v>0</v>
      </c>
      <c r="BH3636">
        <v>5150</v>
      </c>
      <c r="BI3636">
        <v>1</v>
      </c>
      <c r="BJ3636">
        <v>0</v>
      </c>
      <c r="BK3636">
        <v>0</v>
      </c>
      <c r="BL3636">
        <v>0</v>
      </c>
      <c r="BO3636">
        <v>0</v>
      </c>
      <c r="BP3636">
        <v>0</v>
      </c>
      <c r="BW3636" t="str">
        <f t="shared" si="2024"/>
        <v>14:57:57.165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5</v>
      </c>
      <c r="CP3636" t="s">
        <v>119</v>
      </c>
      <c r="CQ3636">
        <v>285</v>
      </c>
      <c r="CR3636">
        <v>0</v>
      </c>
      <c r="CW3636">
        <v>8881818</v>
      </c>
      <c r="CY3636">
        <v>0</v>
      </c>
      <c r="CZ3636">
        <v>0</v>
      </c>
      <c r="DA3636">
        <v>1</v>
      </c>
      <c r="DB3636">
        <v>0</v>
      </c>
      <c r="DC3636">
        <v>0</v>
      </c>
      <c r="DD3636">
        <v>0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25">
      <c r="A3637" t="str">
        <f t="shared" si="2021"/>
        <v>06/05/2020 14:57:51.538</v>
      </c>
      <c r="C3637" t="str">
        <f t="shared" si="2012"/>
        <v>FFDFD3C0</v>
      </c>
      <c r="D3637" t="s">
        <v>134</v>
      </c>
      <c r="E3637">
        <v>7</v>
      </c>
      <c r="F3637">
        <v>2007</v>
      </c>
      <c r="G3637" t="s">
        <v>135</v>
      </c>
      <c r="J3637" t="s">
        <v>136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 t="shared" si="2022"/>
        <v>14:57:57.164</v>
      </c>
      <c r="T3637" t="str">
        <f t="shared" si="2023"/>
        <v>14:57:57.064</v>
      </c>
      <c r="U3637" t="str">
        <f t="shared" si="1995"/>
        <v>ACC530</v>
      </c>
      <c r="V3637">
        <v>0</v>
      </c>
      <c r="W3637">
        <v>0</v>
      </c>
      <c r="X3637">
        <v>1</v>
      </c>
      <c r="Z3637">
        <v>0</v>
      </c>
      <c r="AA3637">
        <v>9</v>
      </c>
      <c r="AB3637">
        <v>3</v>
      </c>
      <c r="AC3637">
        <v>0</v>
      </c>
      <c r="AD3637">
        <v>9</v>
      </c>
      <c r="AE3637">
        <v>0</v>
      </c>
      <c r="AF3637">
        <v>3</v>
      </c>
      <c r="AG3637">
        <v>1</v>
      </c>
      <c r="AH3637">
        <v>0</v>
      </c>
      <c r="AI3637" t="s">
        <v>1185</v>
      </c>
      <c r="AJ3637">
        <v>34.076607000000003</v>
      </c>
      <c r="AK3637" t="s">
        <v>1186</v>
      </c>
      <c r="AL3637">
        <v>-117.01733400000001</v>
      </c>
      <c r="AM3637">
        <v>100</v>
      </c>
      <c r="AN3637">
        <v>5300</v>
      </c>
      <c r="AO3637" t="s">
        <v>118</v>
      </c>
      <c r="AP3637">
        <v>49</v>
      </c>
      <c r="AQ3637">
        <v>-87</v>
      </c>
      <c r="AR3637">
        <v>-256</v>
      </c>
      <c r="AZ3637">
        <v>1200</v>
      </c>
      <c r="BA3637">
        <v>1</v>
      </c>
      <c r="BB3637" t="str">
        <f t="shared" si="1996"/>
        <v xml:space="preserve">N9217B  </v>
      </c>
      <c r="BC3637">
        <v>1</v>
      </c>
      <c r="BE3637">
        <v>0</v>
      </c>
      <c r="BF3637">
        <v>0</v>
      </c>
      <c r="BG3637">
        <v>0</v>
      </c>
      <c r="BH3637">
        <v>5150</v>
      </c>
      <c r="BI3637">
        <v>1</v>
      </c>
      <c r="BJ3637">
        <v>0</v>
      </c>
      <c r="BK3637">
        <v>0</v>
      </c>
      <c r="BL3637">
        <v>0</v>
      </c>
      <c r="BO3637">
        <v>0</v>
      </c>
      <c r="BP3637">
        <v>0</v>
      </c>
      <c r="BW3637" t="str">
        <f t="shared" si="2024"/>
        <v>14:57:57.165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5</v>
      </c>
      <c r="CP3637" t="s">
        <v>119</v>
      </c>
      <c r="CQ3637">
        <v>285</v>
      </c>
      <c r="CR3637">
        <v>0</v>
      </c>
      <c r="CW3637">
        <v>8881818</v>
      </c>
      <c r="CY3637">
        <v>0</v>
      </c>
      <c r="CZ3637">
        <v>0</v>
      </c>
      <c r="DA3637">
        <v>1</v>
      </c>
      <c r="DB3637">
        <v>0</v>
      </c>
      <c r="DC3637">
        <v>0</v>
      </c>
      <c r="DD3637">
        <v>0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25">
      <c r="A3638" t="str">
        <f t="shared" si="2021"/>
        <v>06/05/2020 14:57:51.538</v>
      </c>
      <c r="C3638" t="str">
        <f t="shared" si="2012"/>
        <v>FFDFD3C0</v>
      </c>
      <c r="D3638" t="s">
        <v>148</v>
      </c>
      <c r="E3638">
        <v>11</v>
      </c>
      <c r="H3638">
        <v>53</v>
      </c>
      <c r="I3638" t="s">
        <v>364</v>
      </c>
      <c r="J3638" t="s">
        <v>150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 t="shared" si="2022"/>
        <v>14:57:57.164</v>
      </c>
      <c r="T3638" t="str">
        <f t="shared" si="2023"/>
        <v>14:57:57.064</v>
      </c>
      <c r="U3638" t="str">
        <f t="shared" si="1995"/>
        <v>ACC530</v>
      </c>
      <c r="V3638">
        <v>0</v>
      </c>
      <c r="W3638">
        <v>0</v>
      </c>
      <c r="X3638">
        <v>1</v>
      </c>
      <c r="Z3638">
        <v>0</v>
      </c>
      <c r="AA3638">
        <v>9</v>
      </c>
      <c r="AB3638">
        <v>3</v>
      </c>
      <c r="AC3638">
        <v>0</v>
      </c>
      <c r="AD3638">
        <v>9</v>
      </c>
      <c r="AE3638">
        <v>0</v>
      </c>
      <c r="AF3638">
        <v>3</v>
      </c>
      <c r="AG3638">
        <v>1</v>
      </c>
      <c r="AH3638">
        <v>0</v>
      </c>
      <c r="AI3638" t="s">
        <v>1185</v>
      </c>
      <c r="AJ3638">
        <v>34.076607000000003</v>
      </c>
      <c r="AK3638" t="s">
        <v>1186</v>
      </c>
      <c r="AL3638">
        <v>-117.01733400000001</v>
      </c>
      <c r="AM3638">
        <v>100</v>
      </c>
      <c r="AN3638">
        <v>5300</v>
      </c>
      <c r="AO3638" t="s">
        <v>118</v>
      </c>
      <c r="AP3638">
        <v>49</v>
      </c>
      <c r="AQ3638">
        <v>-87</v>
      </c>
      <c r="AR3638">
        <v>-256</v>
      </c>
      <c r="AZ3638">
        <v>1200</v>
      </c>
      <c r="BA3638">
        <v>1</v>
      </c>
      <c r="BB3638" t="str">
        <f t="shared" si="1996"/>
        <v xml:space="preserve">N9217B  </v>
      </c>
      <c r="BC3638">
        <v>1</v>
      </c>
      <c r="BE3638">
        <v>0</v>
      </c>
      <c r="BF3638">
        <v>0</v>
      </c>
      <c r="BG3638">
        <v>0</v>
      </c>
      <c r="BH3638">
        <v>5150</v>
      </c>
      <c r="BI3638">
        <v>1</v>
      </c>
      <c r="BJ3638">
        <v>0</v>
      </c>
      <c r="BK3638">
        <v>0</v>
      </c>
      <c r="BL3638">
        <v>0</v>
      </c>
      <c r="BO3638">
        <v>0</v>
      </c>
      <c r="BP3638">
        <v>0</v>
      </c>
      <c r="BW3638" t="str">
        <f t="shared" si="2024"/>
        <v>14:57:57.165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5</v>
      </c>
      <c r="CP3638" t="s">
        <v>119</v>
      </c>
      <c r="CQ3638">
        <v>285</v>
      </c>
      <c r="CR3638">
        <v>0</v>
      </c>
      <c r="CW3638">
        <v>8881818</v>
      </c>
      <c r="CY3638">
        <v>0</v>
      </c>
      <c r="CZ3638">
        <v>0</v>
      </c>
      <c r="DA3638">
        <v>1</v>
      </c>
      <c r="DB3638">
        <v>0</v>
      </c>
      <c r="DC3638">
        <v>0</v>
      </c>
      <c r="DD3638">
        <v>0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25">
      <c r="A3639" t="str">
        <f t="shared" si="2021"/>
        <v>06/05/2020 14:57:51.538</v>
      </c>
      <c r="C3639" t="str">
        <f t="shared" si="2012"/>
        <v>FFDFD3C0</v>
      </c>
      <c r="D3639" t="s">
        <v>141</v>
      </c>
      <c r="E3639">
        <v>20</v>
      </c>
      <c r="F3639">
        <v>1020</v>
      </c>
      <c r="G3639" t="s">
        <v>114</v>
      </c>
      <c r="J3639" t="s">
        <v>142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 t="shared" si="2022"/>
        <v>14:57:57.164</v>
      </c>
      <c r="T3639" t="str">
        <f t="shared" si="2023"/>
        <v>14:57:57.064</v>
      </c>
      <c r="U3639" t="str">
        <f t="shared" si="1995"/>
        <v>ACC530</v>
      </c>
      <c r="V3639">
        <v>0</v>
      </c>
      <c r="W3639">
        <v>0</v>
      </c>
      <c r="X3639">
        <v>1</v>
      </c>
      <c r="Z3639">
        <v>0</v>
      </c>
      <c r="AA3639">
        <v>9</v>
      </c>
      <c r="AB3639">
        <v>3</v>
      </c>
      <c r="AC3639">
        <v>0</v>
      </c>
      <c r="AD3639">
        <v>9</v>
      </c>
      <c r="AE3639">
        <v>0</v>
      </c>
      <c r="AF3639">
        <v>3</v>
      </c>
      <c r="AG3639">
        <v>1</v>
      </c>
      <c r="AH3639">
        <v>0</v>
      </c>
      <c r="AI3639" t="s">
        <v>1185</v>
      </c>
      <c r="AJ3639">
        <v>34.076607000000003</v>
      </c>
      <c r="AK3639" t="s">
        <v>1186</v>
      </c>
      <c r="AL3639">
        <v>-117.01733400000001</v>
      </c>
      <c r="AM3639">
        <v>100</v>
      </c>
      <c r="AN3639">
        <v>5300</v>
      </c>
      <c r="AO3639" t="s">
        <v>118</v>
      </c>
      <c r="AP3639">
        <v>49</v>
      </c>
      <c r="AQ3639">
        <v>-87</v>
      </c>
      <c r="AR3639">
        <v>-256</v>
      </c>
      <c r="AZ3639">
        <v>1200</v>
      </c>
      <c r="BA3639">
        <v>1</v>
      </c>
      <c r="BB3639" t="str">
        <f t="shared" si="1996"/>
        <v xml:space="preserve">N9217B  </v>
      </c>
      <c r="BC3639">
        <v>1</v>
      </c>
      <c r="BE3639">
        <v>0</v>
      </c>
      <c r="BF3639">
        <v>0</v>
      </c>
      <c r="BG3639">
        <v>0</v>
      </c>
      <c r="BH3639">
        <v>5150</v>
      </c>
      <c r="BI3639">
        <v>1</v>
      </c>
      <c r="BJ3639">
        <v>0</v>
      </c>
      <c r="BK3639">
        <v>0</v>
      </c>
      <c r="BL3639">
        <v>0</v>
      </c>
      <c r="BO3639">
        <v>0</v>
      </c>
      <c r="BP3639">
        <v>0</v>
      </c>
      <c r="BW3639" t="str">
        <f t="shared" si="2024"/>
        <v>14:57:57.165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5</v>
      </c>
      <c r="CP3639" t="s">
        <v>119</v>
      </c>
      <c r="CQ3639">
        <v>285</v>
      </c>
      <c r="CR3639">
        <v>0</v>
      </c>
      <c r="CW3639">
        <v>8881818</v>
      </c>
      <c r="CY3639">
        <v>0</v>
      </c>
      <c r="CZ3639">
        <v>0</v>
      </c>
      <c r="DA3639">
        <v>1</v>
      </c>
      <c r="DB3639">
        <v>0</v>
      </c>
      <c r="DC3639">
        <v>0</v>
      </c>
      <c r="DD3639">
        <v>0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25">
      <c r="A3640" t="str">
        <f t="shared" si="2021"/>
        <v>06/05/2020 14:57:51.538</v>
      </c>
      <c r="C3640" t="str">
        <f t="shared" si="2012"/>
        <v>FFDFD3C0</v>
      </c>
      <c r="D3640" t="s">
        <v>148</v>
      </c>
      <c r="E3640">
        <v>8</v>
      </c>
      <c r="H3640">
        <v>50</v>
      </c>
      <c r="I3640" t="s">
        <v>149</v>
      </c>
      <c r="J3640" t="s">
        <v>150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 t="shared" si="2022"/>
        <v>14:57:57.164</v>
      </c>
      <c r="T3640" t="str">
        <f t="shared" si="2023"/>
        <v>14:57:57.064</v>
      </c>
      <c r="U3640" t="str">
        <f t="shared" si="1995"/>
        <v>ACC530</v>
      </c>
      <c r="V3640">
        <v>0</v>
      </c>
      <c r="W3640">
        <v>0</v>
      </c>
      <c r="X3640">
        <v>1</v>
      </c>
      <c r="Z3640">
        <v>0</v>
      </c>
      <c r="AA3640">
        <v>9</v>
      </c>
      <c r="AB3640">
        <v>3</v>
      </c>
      <c r="AC3640">
        <v>0</v>
      </c>
      <c r="AD3640">
        <v>9</v>
      </c>
      <c r="AE3640">
        <v>0</v>
      </c>
      <c r="AF3640">
        <v>3</v>
      </c>
      <c r="AG3640">
        <v>1</v>
      </c>
      <c r="AH3640">
        <v>0</v>
      </c>
      <c r="AI3640" t="s">
        <v>1185</v>
      </c>
      <c r="AJ3640">
        <v>34.076607000000003</v>
      </c>
      <c r="AK3640" t="s">
        <v>1186</v>
      </c>
      <c r="AL3640">
        <v>-117.01733400000001</v>
      </c>
      <c r="AM3640">
        <v>100</v>
      </c>
      <c r="AN3640">
        <v>5300</v>
      </c>
      <c r="AO3640" t="s">
        <v>118</v>
      </c>
      <c r="AP3640">
        <v>49</v>
      </c>
      <c r="AQ3640">
        <v>-87</v>
      </c>
      <c r="AR3640">
        <v>-256</v>
      </c>
      <c r="AZ3640">
        <v>1200</v>
      </c>
      <c r="BA3640">
        <v>1</v>
      </c>
      <c r="BB3640" t="str">
        <f t="shared" si="1996"/>
        <v xml:space="preserve">N9217B  </v>
      </c>
      <c r="BC3640">
        <v>1</v>
      </c>
      <c r="BE3640">
        <v>0</v>
      </c>
      <c r="BF3640">
        <v>0</v>
      </c>
      <c r="BG3640">
        <v>0</v>
      </c>
      <c r="BH3640">
        <v>5150</v>
      </c>
      <c r="BI3640">
        <v>1</v>
      </c>
      <c r="BJ3640">
        <v>0</v>
      </c>
      <c r="BK3640">
        <v>0</v>
      </c>
      <c r="BL3640">
        <v>0</v>
      </c>
      <c r="BO3640">
        <v>0</v>
      </c>
      <c r="BP3640">
        <v>0</v>
      </c>
      <c r="BW3640" t="str">
        <f t="shared" si="2024"/>
        <v>14:57:57.165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5</v>
      </c>
      <c r="CP3640" t="s">
        <v>119</v>
      </c>
      <c r="CQ3640">
        <v>285</v>
      </c>
      <c r="CR3640">
        <v>0</v>
      </c>
      <c r="CW3640">
        <v>8881818</v>
      </c>
      <c r="CY3640">
        <v>0</v>
      </c>
      <c r="CZ3640">
        <v>0</v>
      </c>
      <c r="DA3640">
        <v>1</v>
      </c>
      <c r="DB3640">
        <v>0</v>
      </c>
      <c r="DC3640">
        <v>0</v>
      </c>
      <c r="DD3640">
        <v>0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25">
      <c r="A3641" t="str">
        <f t="shared" ref="A3641:A3647" si="2025">"06/05/2020 14:57:52.412"</f>
        <v>06/05/2020 14:57:52.412</v>
      </c>
      <c r="C3641" t="str">
        <f t="shared" si="2012"/>
        <v>FFDFD3C0</v>
      </c>
      <c r="D3641" t="s">
        <v>134</v>
      </c>
      <c r="E3641">
        <v>7</v>
      </c>
      <c r="F3641">
        <v>2007</v>
      </c>
      <c r="G3641" t="s">
        <v>135</v>
      </c>
      <c r="J3641" t="s">
        <v>136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 t="shared" ref="S3641:S3647" si="2026">"14:57:58.047"</f>
        <v>14:57:58.047</v>
      </c>
      <c r="T3641" t="str">
        <f t="shared" ref="T3641:T3647" si="2027">"14:57:57.647"</f>
        <v>14:57:57.647</v>
      </c>
      <c r="U3641" t="str">
        <f t="shared" si="1995"/>
        <v>ACC530</v>
      </c>
      <c r="V3641">
        <v>0</v>
      </c>
      <c r="W3641">
        <v>0</v>
      </c>
      <c r="X3641">
        <v>1</v>
      </c>
      <c r="Z3641">
        <v>0</v>
      </c>
      <c r="AA3641">
        <v>9</v>
      </c>
      <c r="AB3641">
        <v>3</v>
      </c>
      <c r="AC3641">
        <v>0</v>
      </c>
      <c r="AD3641">
        <v>9</v>
      </c>
      <c r="AE3641">
        <v>0</v>
      </c>
      <c r="AF3641">
        <v>3</v>
      </c>
      <c r="AG3641">
        <v>1</v>
      </c>
      <c r="AH3641">
        <v>0</v>
      </c>
      <c r="AI3641" t="s">
        <v>1187</v>
      </c>
      <c r="AJ3641">
        <v>34.076242000000001</v>
      </c>
      <c r="AK3641" t="s">
        <v>1188</v>
      </c>
      <c r="AL3641">
        <v>-117.01711899999999</v>
      </c>
      <c r="AM3641">
        <v>100</v>
      </c>
      <c r="AN3641">
        <v>5300</v>
      </c>
      <c r="AO3641" t="s">
        <v>118</v>
      </c>
      <c r="AP3641">
        <v>46</v>
      </c>
      <c r="AQ3641">
        <v>-88</v>
      </c>
      <c r="AR3641">
        <v>-320</v>
      </c>
      <c r="AZ3641">
        <v>1200</v>
      </c>
      <c r="BA3641">
        <v>1</v>
      </c>
      <c r="BB3641" t="str">
        <f t="shared" si="1996"/>
        <v xml:space="preserve">N9217B  </v>
      </c>
      <c r="BC3641">
        <v>1</v>
      </c>
      <c r="BE3641">
        <v>0</v>
      </c>
      <c r="BF3641">
        <v>0</v>
      </c>
      <c r="BG3641">
        <v>0</v>
      </c>
      <c r="BH3641">
        <v>5150</v>
      </c>
      <c r="BI3641">
        <v>1</v>
      </c>
      <c r="BJ3641">
        <v>0</v>
      </c>
      <c r="BK3641">
        <v>0</v>
      </c>
      <c r="BL3641">
        <v>0</v>
      </c>
      <c r="BO3641">
        <v>0</v>
      </c>
      <c r="BP3641">
        <v>0</v>
      </c>
      <c r="BW3641" t="str">
        <f t="shared" ref="BW3641:BW3647" si="2028">"14:57:58.050"</f>
        <v>14:57:58.050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5</v>
      </c>
      <c r="CP3641" t="s">
        <v>119</v>
      </c>
      <c r="CQ3641">
        <v>285</v>
      </c>
      <c r="CR3641">
        <v>0</v>
      </c>
      <c r="CW3641">
        <v>8881897</v>
      </c>
      <c r="CY3641">
        <v>0</v>
      </c>
      <c r="CZ3641">
        <v>0</v>
      </c>
      <c r="DA3641">
        <v>0</v>
      </c>
      <c r="DB3641">
        <v>0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25">
      <c r="A3642" t="str">
        <f t="shared" si="2025"/>
        <v>06/05/2020 14:57:52.412</v>
      </c>
      <c r="C3642" t="str">
        <f t="shared" si="2012"/>
        <v>FFDFD3C0</v>
      </c>
      <c r="D3642" t="s">
        <v>151</v>
      </c>
      <c r="E3642">
        <v>9</v>
      </c>
      <c r="H3642">
        <v>226</v>
      </c>
      <c r="I3642" t="s">
        <v>152</v>
      </c>
      <c r="J3642" t="s">
        <v>150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 t="shared" si="2026"/>
        <v>14:57:58.047</v>
      </c>
      <c r="T3642" t="str">
        <f t="shared" si="2027"/>
        <v>14:57:57.647</v>
      </c>
      <c r="U3642" t="str">
        <f t="shared" si="1995"/>
        <v>ACC530</v>
      </c>
      <c r="V3642">
        <v>0</v>
      </c>
      <c r="W3642">
        <v>0</v>
      </c>
      <c r="X3642">
        <v>1</v>
      </c>
      <c r="Z3642">
        <v>0</v>
      </c>
      <c r="AA3642">
        <v>9</v>
      </c>
      <c r="AB3642">
        <v>3</v>
      </c>
      <c r="AC3642">
        <v>0</v>
      </c>
      <c r="AD3642">
        <v>9</v>
      </c>
      <c r="AE3642">
        <v>0</v>
      </c>
      <c r="AF3642">
        <v>3</v>
      </c>
      <c r="AG3642">
        <v>1</v>
      </c>
      <c r="AH3642">
        <v>0</v>
      </c>
      <c r="AI3642" t="s">
        <v>1187</v>
      </c>
      <c r="AJ3642">
        <v>34.076242000000001</v>
      </c>
      <c r="AK3642" t="s">
        <v>1188</v>
      </c>
      <c r="AL3642">
        <v>-117.01711899999999</v>
      </c>
      <c r="AM3642">
        <v>100</v>
      </c>
      <c r="AN3642">
        <v>5300</v>
      </c>
      <c r="AO3642" t="s">
        <v>118</v>
      </c>
      <c r="AP3642">
        <v>46</v>
      </c>
      <c r="AQ3642">
        <v>-88</v>
      </c>
      <c r="AR3642">
        <v>-320</v>
      </c>
      <c r="AZ3642">
        <v>1200</v>
      </c>
      <c r="BA3642">
        <v>1</v>
      </c>
      <c r="BB3642" t="str">
        <f t="shared" si="1996"/>
        <v xml:space="preserve">N9217B  </v>
      </c>
      <c r="BC3642">
        <v>1</v>
      </c>
      <c r="BE3642">
        <v>0</v>
      </c>
      <c r="BF3642">
        <v>0</v>
      </c>
      <c r="BG3642">
        <v>0</v>
      </c>
      <c r="BH3642">
        <v>5150</v>
      </c>
      <c r="BI3642">
        <v>1</v>
      </c>
      <c r="BJ3642">
        <v>0</v>
      </c>
      <c r="BK3642">
        <v>0</v>
      </c>
      <c r="BL3642">
        <v>0</v>
      </c>
      <c r="BO3642">
        <v>0</v>
      </c>
      <c r="BP3642">
        <v>0</v>
      </c>
      <c r="BW3642" t="str">
        <f t="shared" si="2028"/>
        <v>14:57:58.050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5</v>
      </c>
      <c r="CP3642" t="s">
        <v>119</v>
      </c>
      <c r="CQ3642">
        <v>285</v>
      </c>
      <c r="CR3642">
        <v>0</v>
      </c>
      <c r="CW3642">
        <v>8881897</v>
      </c>
      <c r="CY3642">
        <v>0</v>
      </c>
      <c r="CZ3642">
        <v>0</v>
      </c>
      <c r="DA3642">
        <v>1</v>
      </c>
      <c r="DB3642">
        <v>0</v>
      </c>
      <c r="DC3642">
        <v>0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25">
      <c r="A3643" t="str">
        <f t="shared" si="2025"/>
        <v>06/05/2020 14:57:52.412</v>
      </c>
      <c r="C3643" t="str">
        <f t="shared" si="2012"/>
        <v>FFDFD3C0</v>
      </c>
      <c r="D3643" t="s">
        <v>148</v>
      </c>
      <c r="E3643">
        <v>11</v>
      </c>
      <c r="H3643">
        <v>53</v>
      </c>
      <c r="I3643" t="s">
        <v>364</v>
      </c>
      <c r="J3643" t="s">
        <v>150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 t="shared" si="2026"/>
        <v>14:57:58.047</v>
      </c>
      <c r="T3643" t="str">
        <f t="shared" si="2027"/>
        <v>14:57:57.647</v>
      </c>
      <c r="U3643" t="str">
        <f t="shared" si="1995"/>
        <v>ACC530</v>
      </c>
      <c r="V3643">
        <v>0</v>
      </c>
      <c r="W3643">
        <v>0</v>
      </c>
      <c r="X3643">
        <v>1</v>
      </c>
      <c r="Z3643">
        <v>0</v>
      </c>
      <c r="AA3643">
        <v>9</v>
      </c>
      <c r="AB3643">
        <v>3</v>
      </c>
      <c r="AC3643">
        <v>0</v>
      </c>
      <c r="AD3643">
        <v>9</v>
      </c>
      <c r="AE3643">
        <v>0</v>
      </c>
      <c r="AF3643">
        <v>3</v>
      </c>
      <c r="AG3643">
        <v>1</v>
      </c>
      <c r="AH3643">
        <v>0</v>
      </c>
      <c r="AI3643" t="s">
        <v>1187</v>
      </c>
      <c r="AJ3643">
        <v>34.076242000000001</v>
      </c>
      <c r="AK3643" t="s">
        <v>1188</v>
      </c>
      <c r="AL3643">
        <v>-117.01711899999999</v>
      </c>
      <c r="AM3643">
        <v>100</v>
      </c>
      <c r="AN3643">
        <v>5300</v>
      </c>
      <c r="AO3643" t="s">
        <v>118</v>
      </c>
      <c r="AP3643">
        <v>46</v>
      </c>
      <c r="AQ3643">
        <v>-88</v>
      </c>
      <c r="AR3643">
        <v>-320</v>
      </c>
      <c r="AZ3643">
        <v>1200</v>
      </c>
      <c r="BA3643">
        <v>1</v>
      </c>
      <c r="BB3643" t="str">
        <f t="shared" si="1996"/>
        <v xml:space="preserve">N9217B  </v>
      </c>
      <c r="BC3643">
        <v>1</v>
      </c>
      <c r="BE3643">
        <v>0</v>
      </c>
      <c r="BF3643">
        <v>0</v>
      </c>
      <c r="BG3643">
        <v>0</v>
      </c>
      <c r="BH3643">
        <v>5150</v>
      </c>
      <c r="BI3643">
        <v>1</v>
      </c>
      <c r="BJ3643">
        <v>0</v>
      </c>
      <c r="BK3643">
        <v>0</v>
      </c>
      <c r="BL3643">
        <v>0</v>
      </c>
      <c r="BO3643">
        <v>0</v>
      </c>
      <c r="BP3643">
        <v>0</v>
      </c>
      <c r="BW3643" t="str">
        <f t="shared" si="2028"/>
        <v>14:57:58.050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5</v>
      </c>
      <c r="CP3643" t="s">
        <v>119</v>
      </c>
      <c r="CQ3643">
        <v>285</v>
      </c>
      <c r="CR3643">
        <v>0</v>
      </c>
      <c r="CW3643">
        <v>8881897</v>
      </c>
      <c r="CY3643">
        <v>0</v>
      </c>
      <c r="CZ3643">
        <v>0</v>
      </c>
      <c r="DA3643">
        <v>1</v>
      </c>
      <c r="DB3643">
        <v>0</v>
      </c>
      <c r="DC3643">
        <v>0</v>
      </c>
      <c r="DD3643">
        <v>0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25">
      <c r="A3644" t="str">
        <f t="shared" si="2025"/>
        <v>06/05/2020 14:57:52.412</v>
      </c>
      <c r="C3644" t="str">
        <f t="shared" si="2012"/>
        <v>FFDFD3C0</v>
      </c>
      <c r="D3644" t="s">
        <v>141</v>
      </c>
      <c r="E3644">
        <v>20</v>
      </c>
      <c r="F3644">
        <v>1020</v>
      </c>
      <c r="G3644" t="s">
        <v>114</v>
      </c>
      <c r="J3644" t="s">
        <v>142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 t="shared" si="2026"/>
        <v>14:57:58.047</v>
      </c>
      <c r="T3644" t="str">
        <f t="shared" si="2027"/>
        <v>14:57:57.647</v>
      </c>
      <c r="U3644" t="str">
        <f t="shared" si="1995"/>
        <v>ACC530</v>
      </c>
      <c r="V3644">
        <v>0</v>
      </c>
      <c r="W3644">
        <v>0</v>
      </c>
      <c r="X3644">
        <v>1</v>
      </c>
      <c r="Z3644">
        <v>0</v>
      </c>
      <c r="AA3644">
        <v>9</v>
      </c>
      <c r="AB3644">
        <v>3</v>
      </c>
      <c r="AC3644">
        <v>0</v>
      </c>
      <c r="AD3644">
        <v>9</v>
      </c>
      <c r="AE3644">
        <v>0</v>
      </c>
      <c r="AF3644">
        <v>3</v>
      </c>
      <c r="AG3644">
        <v>1</v>
      </c>
      <c r="AH3644">
        <v>0</v>
      </c>
      <c r="AI3644" t="s">
        <v>1187</v>
      </c>
      <c r="AJ3644">
        <v>34.076242000000001</v>
      </c>
      <c r="AK3644" t="s">
        <v>1188</v>
      </c>
      <c r="AL3644">
        <v>-117.01711899999999</v>
      </c>
      <c r="AM3644">
        <v>100</v>
      </c>
      <c r="AN3644">
        <v>5300</v>
      </c>
      <c r="AO3644" t="s">
        <v>118</v>
      </c>
      <c r="AP3644">
        <v>46</v>
      </c>
      <c r="AQ3644">
        <v>-88</v>
      </c>
      <c r="AR3644">
        <v>-320</v>
      </c>
      <c r="AZ3644">
        <v>1200</v>
      </c>
      <c r="BA3644">
        <v>1</v>
      </c>
      <c r="BB3644" t="str">
        <f t="shared" si="1996"/>
        <v xml:space="preserve">N9217B  </v>
      </c>
      <c r="BC3644">
        <v>1</v>
      </c>
      <c r="BE3644">
        <v>0</v>
      </c>
      <c r="BF3644">
        <v>0</v>
      </c>
      <c r="BG3644">
        <v>0</v>
      </c>
      <c r="BH3644">
        <v>5150</v>
      </c>
      <c r="BI3644">
        <v>1</v>
      </c>
      <c r="BJ3644">
        <v>0</v>
      </c>
      <c r="BK3644">
        <v>0</v>
      </c>
      <c r="BL3644">
        <v>0</v>
      </c>
      <c r="BO3644">
        <v>0</v>
      </c>
      <c r="BP3644">
        <v>0</v>
      </c>
      <c r="BW3644" t="str">
        <f t="shared" si="2028"/>
        <v>14:57:58.050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5</v>
      </c>
      <c r="CP3644" t="s">
        <v>119</v>
      </c>
      <c r="CQ3644">
        <v>285</v>
      </c>
      <c r="CR3644">
        <v>0</v>
      </c>
      <c r="CW3644">
        <v>8881897</v>
      </c>
      <c r="CY3644">
        <v>0</v>
      </c>
      <c r="CZ3644">
        <v>0</v>
      </c>
      <c r="DA3644">
        <v>1</v>
      </c>
      <c r="DB3644">
        <v>0</v>
      </c>
      <c r="DC3644">
        <v>0</v>
      </c>
      <c r="DD3644">
        <v>0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25">
      <c r="A3645" t="str">
        <f t="shared" si="2025"/>
        <v>06/05/2020 14:57:52.412</v>
      </c>
      <c r="C3645" t="str">
        <f t="shared" si="2012"/>
        <v>FFDFD3C0</v>
      </c>
      <c r="D3645" t="s">
        <v>148</v>
      </c>
      <c r="E3645">
        <v>8</v>
      </c>
      <c r="H3645">
        <v>50</v>
      </c>
      <c r="I3645" t="s">
        <v>149</v>
      </c>
      <c r="J3645" t="s">
        <v>150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 t="shared" si="2026"/>
        <v>14:57:58.047</v>
      </c>
      <c r="T3645" t="str">
        <f t="shared" si="2027"/>
        <v>14:57:57.647</v>
      </c>
      <c r="U3645" t="str">
        <f t="shared" si="1995"/>
        <v>ACC530</v>
      </c>
      <c r="V3645">
        <v>0</v>
      </c>
      <c r="W3645">
        <v>0</v>
      </c>
      <c r="X3645">
        <v>1</v>
      </c>
      <c r="Z3645">
        <v>0</v>
      </c>
      <c r="AA3645">
        <v>9</v>
      </c>
      <c r="AB3645">
        <v>3</v>
      </c>
      <c r="AC3645">
        <v>0</v>
      </c>
      <c r="AD3645">
        <v>9</v>
      </c>
      <c r="AE3645">
        <v>0</v>
      </c>
      <c r="AF3645">
        <v>3</v>
      </c>
      <c r="AG3645">
        <v>1</v>
      </c>
      <c r="AH3645">
        <v>0</v>
      </c>
      <c r="AI3645" t="s">
        <v>1187</v>
      </c>
      <c r="AJ3645">
        <v>34.076242000000001</v>
      </c>
      <c r="AK3645" t="s">
        <v>1188</v>
      </c>
      <c r="AL3645">
        <v>-117.01711899999999</v>
      </c>
      <c r="AM3645">
        <v>100</v>
      </c>
      <c r="AN3645">
        <v>5300</v>
      </c>
      <c r="AO3645" t="s">
        <v>118</v>
      </c>
      <c r="AP3645">
        <v>46</v>
      </c>
      <c r="AQ3645">
        <v>-88</v>
      </c>
      <c r="AR3645">
        <v>-320</v>
      </c>
      <c r="AZ3645">
        <v>1200</v>
      </c>
      <c r="BA3645">
        <v>1</v>
      </c>
      <c r="BB3645" t="str">
        <f t="shared" si="1996"/>
        <v xml:space="preserve">N9217B  </v>
      </c>
      <c r="BC3645">
        <v>1</v>
      </c>
      <c r="BE3645">
        <v>0</v>
      </c>
      <c r="BF3645">
        <v>0</v>
      </c>
      <c r="BG3645">
        <v>0</v>
      </c>
      <c r="BH3645">
        <v>5150</v>
      </c>
      <c r="BI3645">
        <v>1</v>
      </c>
      <c r="BJ3645">
        <v>0</v>
      </c>
      <c r="BK3645">
        <v>0</v>
      </c>
      <c r="BL3645">
        <v>0</v>
      </c>
      <c r="BO3645">
        <v>0</v>
      </c>
      <c r="BP3645">
        <v>0</v>
      </c>
      <c r="BW3645" t="str">
        <f t="shared" si="2028"/>
        <v>14:57:58.050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5</v>
      </c>
      <c r="CP3645" t="s">
        <v>119</v>
      </c>
      <c r="CQ3645">
        <v>285</v>
      </c>
      <c r="CR3645">
        <v>0</v>
      </c>
      <c r="CW3645">
        <v>8881897</v>
      </c>
      <c r="CY3645">
        <v>0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25">
      <c r="A3646" t="str">
        <f t="shared" si="2025"/>
        <v>06/05/2020 14:57:52.412</v>
      </c>
      <c r="C3646" t="str">
        <f t="shared" si="2012"/>
        <v>FFDFD3C0</v>
      </c>
      <c r="D3646" t="s">
        <v>151</v>
      </c>
      <c r="E3646">
        <v>8</v>
      </c>
      <c r="H3646">
        <v>225</v>
      </c>
      <c r="I3646" t="s">
        <v>353</v>
      </c>
      <c r="J3646" t="s">
        <v>150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 t="shared" si="2026"/>
        <v>14:57:58.047</v>
      </c>
      <c r="T3646" t="str">
        <f t="shared" si="2027"/>
        <v>14:57:57.647</v>
      </c>
      <c r="U3646" t="str">
        <f t="shared" si="1995"/>
        <v>ACC530</v>
      </c>
      <c r="V3646">
        <v>0</v>
      </c>
      <c r="W3646">
        <v>0</v>
      </c>
      <c r="X3646">
        <v>1</v>
      </c>
      <c r="Z3646">
        <v>0</v>
      </c>
      <c r="AA3646">
        <v>9</v>
      </c>
      <c r="AB3646">
        <v>3</v>
      </c>
      <c r="AC3646">
        <v>0</v>
      </c>
      <c r="AD3646">
        <v>9</v>
      </c>
      <c r="AE3646">
        <v>0</v>
      </c>
      <c r="AF3646">
        <v>3</v>
      </c>
      <c r="AG3646">
        <v>1</v>
      </c>
      <c r="AH3646">
        <v>0</v>
      </c>
      <c r="AI3646" t="s">
        <v>1187</v>
      </c>
      <c r="AJ3646">
        <v>34.076242000000001</v>
      </c>
      <c r="AK3646" t="s">
        <v>1188</v>
      </c>
      <c r="AL3646">
        <v>-117.01711899999999</v>
      </c>
      <c r="AM3646">
        <v>100</v>
      </c>
      <c r="AN3646">
        <v>5300</v>
      </c>
      <c r="AO3646" t="s">
        <v>118</v>
      </c>
      <c r="AP3646">
        <v>46</v>
      </c>
      <c r="AQ3646">
        <v>-88</v>
      </c>
      <c r="AR3646">
        <v>-320</v>
      </c>
      <c r="AZ3646">
        <v>1200</v>
      </c>
      <c r="BA3646">
        <v>1</v>
      </c>
      <c r="BB3646" t="str">
        <f t="shared" si="1996"/>
        <v xml:space="preserve">N9217B  </v>
      </c>
      <c r="BC3646">
        <v>1</v>
      </c>
      <c r="BE3646">
        <v>0</v>
      </c>
      <c r="BF3646">
        <v>0</v>
      </c>
      <c r="BG3646">
        <v>0</v>
      </c>
      <c r="BH3646">
        <v>5150</v>
      </c>
      <c r="BI3646">
        <v>1</v>
      </c>
      <c r="BJ3646">
        <v>0</v>
      </c>
      <c r="BK3646">
        <v>0</v>
      </c>
      <c r="BL3646">
        <v>0</v>
      </c>
      <c r="BO3646">
        <v>0</v>
      </c>
      <c r="BP3646">
        <v>0</v>
      </c>
      <c r="BW3646" t="str">
        <f t="shared" si="2028"/>
        <v>14:57:58.050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5</v>
      </c>
      <c r="CP3646" t="s">
        <v>119</v>
      </c>
      <c r="CQ3646">
        <v>285</v>
      </c>
      <c r="CR3646">
        <v>0</v>
      </c>
      <c r="CW3646">
        <v>8881897</v>
      </c>
      <c r="CY3646">
        <v>0</v>
      </c>
      <c r="CZ3646">
        <v>0</v>
      </c>
      <c r="DA3646">
        <v>1</v>
      </c>
      <c r="DB3646">
        <v>0</v>
      </c>
      <c r="DC3646">
        <v>0</v>
      </c>
      <c r="DD3646">
        <v>0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25">
      <c r="A3647" t="str">
        <f t="shared" si="2025"/>
        <v>06/05/2020 14:57:52.412</v>
      </c>
      <c r="C3647" t="str">
        <f t="shared" si="2012"/>
        <v>FFDFD3C0</v>
      </c>
      <c r="D3647" t="s">
        <v>113</v>
      </c>
      <c r="E3647">
        <v>3</v>
      </c>
      <c r="H3647">
        <v>166</v>
      </c>
      <c r="I3647" t="s">
        <v>114</v>
      </c>
      <c r="J3647" t="s">
        <v>115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 t="shared" si="2026"/>
        <v>14:57:58.047</v>
      </c>
      <c r="T3647" t="str">
        <f t="shared" si="2027"/>
        <v>14:57:57.647</v>
      </c>
      <c r="U3647" t="str">
        <f t="shared" si="1995"/>
        <v>ACC530</v>
      </c>
      <c r="V3647">
        <v>0</v>
      </c>
      <c r="W3647">
        <v>0</v>
      </c>
      <c r="X3647">
        <v>1</v>
      </c>
      <c r="Z3647">
        <v>0</v>
      </c>
      <c r="AA3647">
        <v>9</v>
      </c>
      <c r="AB3647">
        <v>3</v>
      </c>
      <c r="AC3647">
        <v>0</v>
      </c>
      <c r="AD3647">
        <v>9</v>
      </c>
      <c r="AE3647">
        <v>0</v>
      </c>
      <c r="AF3647">
        <v>3</v>
      </c>
      <c r="AG3647">
        <v>1</v>
      </c>
      <c r="AH3647">
        <v>0</v>
      </c>
      <c r="AI3647" t="s">
        <v>1187</v>
      </c>
      <c r="AJ3647">
        <v>34.076242000000001</v>
      </c>
      <c r="AK3647" t="s">
        <v>1188</v>
      </c>
      <c r="AL3647">
        <v>-117.01711899999999</v>
      </c>
      <c r="AM3647">
        <v>100</v>
      </c>
      <c r="AN3647">
        <v>5300</v>
      </c>
      <c r="AO3647" t="s">
        <v>118</v>
      </c>
      <c r="AP3647">
        <v>46</v>
      </c>
      <c r="AQ3647">
        <v>-88</v>
      </c>
      <c r="AR3647">
        <v>-320</v>
      </c>
      <c r="AZ3647">
        <v>1200</v>
      </c>
      <c r="BA3647">
        <v>1</v>
      </c>
      <c r="BB3647" t="str">
        <f t="shared" si="1996"/>
        <v xml:space="preserve">N9217B  </v>
      </c>
      <c r="BC3647">
        <v>1</v>
      </c>
      <c r="BE3647">
        <v>0</v>
      </c>
      <c r="BF3647">
        <v>0</v>
      </c>
      <c r="BG3647">
        <v>0</v>
      </c>
      <c r="BH3647">
        <v>5150</v>
      </c>
      <c r="BI3647">
        <v>1</v>
      </c>
      <c r="BJ3647">
        <v>0</v>
      </c>
      <c r="BK3647">
        <v>0</v>
      </c>
      <c r="BL3647">
        <v>0</v>
      </c>
      <c r="BO3647">
        <v>0</v>
      </c>
      <c r="BP3647">
        <v>0</v>
      </c>
      <c r="BW3647" t="str">
        <f t="shared" si="2028"/>
        <v>14:57:58.050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5</v>
      </c>
      <c r="CP3647" t="s">
        <v>119</v>
      </c>
      <c r="CQ3647">
        <v>285</v>
      </c>
      <c r="CR3647">
        <v>0</v>
      </c>
      <c r="CW3647">
        <v>8881897</v>
      </c>
      <c r="CY3647">
        <v>0</v>
      </c>
      <c r="CZ3647">
        <v>0</v>
      </c>
      <c r="DA3647">
        <v>1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25">
      <c r="A3648" t="str">
        <f t="shared" ref="A3648:A3654" si="2029">"06/05/2020 14:57:53.357"</f>
        <v>06/05/2020 14:57:53.357</v>
      </c>
      <c r="C3648" t="str">
        <f t="shared" si="2012"/>
        <v>FFDFD3C0</v>
      </c>
      <c r="D3648" t="s">
        <v>151</v>
      </c>
      <c r="E3648">
        <v>8</v>
      </c>
      <c r="H3648">
        <v>225</v>
      </c>
      <c r="I3648" t="s">
        <v>353</v>
      </c>
      <c r="J3648" t="s">
        <v>150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 t="shared" ref="S3648:S3654" si="2030">"14:57:59.008"</f>
        <v>14:57:59.008</v>
      </c>
      <c r="T3648" t="str">
        <f t="shared" ref="T3648:T3654" si="2031">"14:57:58.808"</f>
        <v>14:57:58.808</v>
      </c>
      <c r="U3648" t="str">
        <f t="shared" si="1995"/>
        <v>ACC530</v>
      </c>
      <c r="V3648">
        <v>0</v>
      </c>
      <c r="W3648">
        <v>0</v>
      </c>
      <c r="X3648">
        <v>1</v>
      </c>
      <c r="Z3648">
        <v>0</v>
      </c>
      <c r="AA3648">
        <v>9</v>
      </c>
      <c r="AB3648">
        <v>3</v>
      </c>
      <c r="AC3648">
        <v>0</v>
      </c>
      <c r="AD3648">
        <v>9</v>
      </c>
      <c r="AE3648">
        <v>0</v>
      </c>
      <c r="AF3648">
        <v>3</v>
      </c>
      <c r="AG3648">
        <v>1</v>
      </c>
      <c r="AH3648">
        <v>0</v>
      </c>
      <c r="AI3648" t="s">
        <v>1189</v>
      </c>
      <c r="AJ3648">
        <v>34.075856000000002</v>
      </c>
      <c r="AK3648" t="s">
        <v>1190</v>
      </c>
      <c r="AL3648">
        <v>-117.016926</v>
      </c>
      <c r="AM3648">
        <v>100</v>
      </c>
      <c r="AN3648">
        <v>5300</v>
      </c>
      <c r="AO3648" t="s">
        <v>118</v>
      </c>
      <c r="AP3648">
        <v>40</v>
      </c>
      <c r="AQ3648">
        <v>-91</v>
      </c>
      <c r="AR3648">
        <v>-384</v>
      </c>
      <c r="AZ3648">
        <v>1200</v>
      </c>
      <c r="BA3648">
        <v>1</v>
      </c>
      <c r="BB3648" t="str">
        <f t="shared" si="1996"/>
        <v xml:space="preserve">N9217B  </v>
      </c>
      <c r="BC3648">
        <v>1</v>
      </c>
      <c r="BE3648">
        <v>0</v>
      </c>
      <c r="BF3648">
        <v>0</v>
      </c>
      <c r="BG3648">
        <v>0</v>
      </c>
      <c r="BH3648">
        <v>5150</v>
      </c>
      <c r="BI3648">
        <v>1</v>
      </c>
      <c r="BJ3648">
        <v>0</v>
      </c>
      <c r="BK3648">
        <v>0</v>
      </c>
      <c r="BL3648">
        <v>0</v>
      </c>
      <c r="BO3648">
        <v>0</v>
      </c>
      <c r="BP3648">
        <v>0</v>
      </c>
      <c r="BW3648" t="str">
        <f t="shared" ref="BW3648:BW3654" si="2032">"14:57:59.010"</f>
        <v>14:57:59.010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5</v>
      </c>
      <c r="CP3648" t="s">
        <v>119</v>
      </c>
      <c r="CQ3648">
        <v>285</v>
      </c>
      <c r="CR3648">
        <v>0</v>
      </c>
      <c r="CW3648">
        <v>8881985</v>
      </c>
      <c r="CY3648">
        <v>0</v>
      </c>
      <c r="CZ3648">
        <v>0</v>
      </c>
      <c r="DA3648">
        <v>0</v>
      </c>
      <c r="DB3648">
        <v>0</v>
      </c>
      <c r="DC3648">
        <v>0</v>
      </c>
      <c r="DD3648">
        <v>0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25">
      <c r="A3649" t="str">
        <f t="shared" si="2029"/>
        <v>06/05/2020 14:57:53.357</v>
      </c>
      <c r="C3649" t="str">
        <f t="shared" si="2012"/>
        <v>FFDFD3C0</v>
      </c>
      <c r="D3649" t="s">
        <v>113</v>
      </c>
      <c r="E3649">
        <v>3</v>
      </c>
      <c r="H3649">
        <v>166</v>
      </c>
      <c r="I3649" t="s">
        <v>114</v>
      </c>
      <c r="J3649" t="s">
        <v>115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 t="shared" si="2030"/>
        <v>14:57:59.008</v>
      </c>
      <c r="T3649" t="str">
        <f t="shared" si="2031"/>
        <v>14:57:58.808</v>
      </c>
      <c r="U3649" t="str">
        <f t="shared" si="1995"/>
        <v>ACC530</v>
      </c>
      <c r="V3649">
        <v>0</v>
      </c>
      <c r="W3649">
        <v>0</v>
      </c>
      <c r="X3649">
        <v>1</v>
      </c>
      <c r="Z3649">
        <v>0</v>
      </c>
      <c r="AA3649">
        <v>9</v>
      </c>
      <c r="AB3649">
        <v>3</v>
      </c>
      <c r="AC3649">
        <v>0</v>
      </c>
      <c r="AD3649">
        <v>9</v>
      </c>
      <c r="AE3649">
        <v>0</v>
      </c>
      <c r="AF3649">
        <v>3</v>
      </c>
      <c r="AG3649">
        <v>1</v>
      </c>
      <c r="AH3649">
        <v>0</v>
      </c>
      <c r="AI3649" t="s">
        <v>1189</v>
      </c>
      <c r="AJ3649">
        <v>34.075856000000002</v>
      </c>
      <c r="AK3649" t="s">
        <v>1190</v>
      </c>
      <c r="AL3649">
        <v>-117.016926</v>
      </c>
      <c r="AM3649">
        <v>100</v>
      </c>
      <c r="AN3649">
        <v>5300</v>
      </c>
      <c r="AO3649" t="s">
        <v>118</v>
      </c>
      <c r="AP3649">
        <v>40</v>
      </c>
      <c r="AQ3649">
        <v>-91</v>
      </c>
      <c r="AR3649">
        <v>-384</v>
      </c>
      <c r="AZ3649">
        <v>1200</v>
      </c>
      <c r="BA3649">
        <v>1</v>
      </c>
      <c r="BB3649" t="str">
        <f t="shared" si="1996"/>
        <v xml:space="preserve">N9217B  </v>
      </c>
      <c r="BC3649">
        <v>1</v>
      </c>
      <c r="BE3649">
        <v>0</v>
      </c>
      <c r="BF3649">
        <v>0</v>
      </c>
      <c r="BG3649">
        <v>0</v>
      </c>
      <c r="BH3649">
        <v>5150</v>
      </c>
      <c r="BI3649">
        <v>1</v>
      </c>
      <c r="BJ3649">
        <v>0</v>
      </c>
      <c r="BK3649">
        <v>0</v>
      </c>
      <c r="BL3649">
        <v>0</v>
      </c>
      <c r="BO3649">
        <v>0</v>
      </c>
      <c r="BP3649">
        <v>0</v>
      </c>
      <c r="BW3649" t="str">
        <f t="shared" si="2032"/>
        <v>14:57:59.010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5</v>
      </c>
      <c r="CP3649" t="s">
        <v>119</v>
      </c>
      <c r="CQ3649">
        <v>285</v>
      </c>
      <c r="CR3649">
        <v>0</v>
      </c>
      <c r="CW3649">
        <v>8881985</v>
      </c>
      <c r="CY3649">
        <v>0</v>
      </c>
      <c r="CZ3649">
        <v>0</v>
      </c>
      <c r="DA3649">
        <v>1</v>
      </c>
      <c r="DB3649">
        <v>0</v>
      </c>
      <c r="DC3649">
        <v>0</v>
      </c>
      <c r="DD3649">
        <v>0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25">
      <c r="A3650" t="str">
        <f t="shared" si="2029"/>
        <v>06/05/2020 14:57:53.357</v>
      </c>
      <c r="C3650" t="str">
        <f t="shared" si="2012"/>
        <v>FFDFD3C0</v>
      </c>
      <c r="D3650" t="s">
        <v>134</v>
      </c>
      <c r="E3650">
        <v>7</v>
      </c>
      <c r="F3650">
        <v>2007</v>
      </c>
      <c r="G3650" t="s">
        <v>135</v>
      </c>
      <c r="J3650" t="s">
        <v>136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 t="shared" si="2030"/>
        <v>14:57:59.008</v>
      </c>
      <c r="T3650" t="str">
        <f t="shared" si="2031"/>
        <v>14:57:58.808</v>
      </c>
      <c r="U3650" t="str">
        <f t="shared" ref="U3650:U3713" si="2033">"ACC530"</f>
        <v>ACC530</v>
      </c>
      <c r="V3650">
        <v>0</v>
      </c>
      <c r="W3650">
        <v>0</v>
      </c>
      <c r="X3650">
        <v>1</v>
      </c>
      <c r="Z3650">
        <v>0</v>
      </c>
      <c r="AA3650">
        <v>9</v>
      </c>
      <c r="AB3650">
        <v>3</v>
      </c>
      <c r="AC3650">
        <v>0</v>
      </c>
      <c r="AD3650">
        <v>9</v>
      </c>
      <c r="AE3650">
        <v>0</v>
      </c>
      <c r="AF3650">
        <v>3</v>
      </c>
      <c r="AG3650">
        <v>1</v>
      </c>
      <c r="AH3650">
        <v>0</v>
      </c>
      <c r="AI3650" t="s">
        <v>1189</v>
      </c>
      <c r="AJ3650">
        <v>34.075856000000002</v>
      </c>
      <c r="AK3650" t="s">
        <v>1190</v>
      </c>
      <c r="AL3650">
        <v>-117.016926</v>
      </c>
      <c r="AM3650">
        <v>100</v>
      </c>
      <c r="AN3650">
        <v>5300</v>
      </c>
      <c r="AO3650" t="s">
        <v>118</v>
      </c>
      <c r="AP3650">
        <v>40</v>
      </c>
      <c r="AQ3650">
        <v>-91</v>
      </c>
      <c r="AR3650">
        <v>-384</v>
      </c>
      <c r="AZ3650">
        <v>1200</v>
      </c>
      <c r="BA3650">
        <v>1</v>
      </c>
      <c r="BB3650" t="str">
        <f t="shared" si="1996"/>
        <v xml:space="preserve">N9217B  </v>
      </c>
      <c r="BC3650">
        <v>1</v>
      </c>
      <c r="BE3650">
        <v>0</v>
      </c>
      <c r="BF3650">
        <v>0</v>
      </c>
      <c r="BG3650">
        <v>0</v>
      </c>
      <c r="BH3650">
        <v>5150</v>
      </c>
      <c r="BI3650">
        <v>1</v>
      </c>
      <c r="BJ3650">
        <v>0</v>
      </c>
      <c r="BK3650">
        <v>0</v>
      </c>
      <c r="BL3650">
        <v>0</v>
      </c>
      <c r="BO3650">
        <v>0</v>
      </c>
      <c r="BP3650">
        <v>0</v>
      </c>
      <c r="BW3650" t="str">
        <f t="shared" si="2032"/>
        <v>14:57:59.010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5</v>
      </c>
      <c r="CP3650" t="s">
        <v>119</v>
      </c>
      <c r="CQ3650">
        <v>285</v>
      </c>
      <c r="CR3650">
        <v>0</v>
      </c>
      <c r="CW3650">
        <v>8881985</v>
      </c>
      <c r="CY3650">
        <v>0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25">
      <c r="A3651" t="str">
        <f t="shared" si="2029"/>
        <v>06/05/2020 14:57:53.357</v>
      </c>
      <c r="C3651" t="str">
        <f t="shared" si="2012"/>
        <v>FFDFD3C0</v>
      </c>
      <c r="D3651" t="s">
        <v>151</v>
      </c>
      <c r="E3651">
        <v>9</v>
      </c>
      <c r="H3651">
        <v>226</v>
      </c>
      <c r="I3651" t="s">
        <v>152</v>
      </c>
      <c r="J3651" t="s">
        <v>150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 t="shared" si="2030"/>
        <v>14:57:59.008</v>
      </c>
      <c r="T3651" t="str">
        <f t="shared" si="2031"/>
        <v>14:57:58.808</v>
      </c>
      <c r="U3651" t="str">
        <f t="shared" si="2033"/>
        <v>ACC530</v>
      </c>
      <c r="V3651">
        <v>0</v>
      </c>
      <c r="W3651">
        <v>0</v>
      </c>
      <c r="X3651">
        <v>1</v>
      </c>
      <c r="Z3651">
        <v>0</v>
      </c>
      <c r="AA3651">
        <v>9</v>
      </c>
      <c r="AB3651">
        <v>3</v>
      </c>
      <c r="AC3651">
        <v>0</v>
      </c>
      <c r="AD3651">
        <v>9</v>
      </c>
      <c r="AE3651">
        <v>0</v>
      </c>
      <c r="AF3651">
        <v>3</v>
      </c>
      <c r="AG3651">
        <v>1</v>
      </c>
      <c r="AH3651">
        <v>0</v>
      </c>
      <c r="AI3651" t="s">
        <v>1189</v>
      </c>
      <c r="AJ3651">
        <v>34.075856000000002</v>
      </c>
      <c r="AK3651" t="s">
        <v>1190</v>
      </c>
      <c r="AL3651">
        <v>-117.016926</v>
      </c>
      <c r="AM3651">
        <v>100</v>
      </c>
      <c r="AN3651">
        <v>5300</v>
      </c>
      <c r="AO3651" t="s">
        <v>118</v>
      </c>
      <c r="AP3651">
        <v>40</v>
      </c>
      <c r="AQ3651">
        <v>-91</v>
      </c>
      <c r="AR3651">
        <v>-384</v>
      </c>
      <c r="AZ3651">
        <v>1200</v>
      </c>
      <c r="BA3651">
        <v>1</v>
      </c>
      <c r="BB3651" t="str">
        <f t="shared" si="1996"/>
        <v xml:space="preserve">N9217B  </v>
      </c>
      <c r="BC3651">
        <v>1</v>
      </c>
      <c r="BE3651">
        <v>0</v>
      </c>
      <c r="BF3651">
        <v>0</v>
      </c>
      <c r="BG3651">
        <v>0</v>
      </c>
      <c r="BH3651">
        <v>5150</v>
      </c>
      <c r="BI3651">
        <v>1</v>
      </c>
      <c r="BJ3651">
        <v>0</v>
      </c>
      <c r="BK3651">
        <v>0</v>
      </c>
      <c r="BL3651">
        <v>0</v>
      </c>
      <c r="BO3651">
        <v>0</v>
      </c>
      <c r="BP3651">
        <v>0</v>
      </c>
      <c r="BW3651" t="str">
        <f t="shared" si="2032"/>
        <v>14:57:59.010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5</v>
      </c>
      <c r="CP3651" t="s">
        <v>119</v>
      </c>
      <c r="CQ3651">
        <v>285</v>
      </c>
      <c r="CR3651">
        <v>0</v>
      </c>
      <c r="CW3651">
        <v>8881985</v>
      </c>
      <c r="CY3651">
        <v>0</v>
      </c>
      <c r="CZ3651">
        <v>0</v>
      </c>
      <c r="DA3651">
        <v>1</v>
      </c>
      <c r="DB3651">
        <v>0</v>
      </c>
      <c r="DC3651">
        <v>0</v>
      </c>
      <c r="DD3651">
        <v>0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25">
      <c r="A3652" t="str">
        <f t="shared" si="2029"/>
        <v>06/05/2020 14:57:53.357</v>
      </c>
      <c r="C3652" t="str">
        <f t="shared" si="2012"/>
        <v>FFDFD3C0</v>
      </c>
      <c r="D3652" t="s">
        <v>141</v>
      </c>
      <c r="E3652">
        <v>20</v>
      </c>
      <c r="F3652">
        <v>1020</v>
      </c>
      <c r="G3652" t="s">
        <v>114</v>
      </c>
      <c r="J3652" t="s">
        <v>142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 t="shared" si="2030"/>
        <v>14:57:59.008</v>
      </c>
      <c r="T3652" t="str">
        <f t="shared" si="2031"/>
        <v>14:57:58.808</v>
      </c>
      <c r="U3652" t="str">
        <f t="shared" si="2033"/>
        <v>ACC530</v>
      </c>
      <c r="V3652">
        <v>0</v>
      </c>
      <c r="W3652">
        <v>0</v>
      </c>
      <c r="X3652">
        <v>1</v>
      </c>
      <c r="Z3652">
        <v>0</v>
      </c>
      <c r="AA3652">
        <v>9</v>
      </c>
      <c r="AB3652">
        <v>3</v>
      </c>
      <c r="AC3652">
        <v>0</v>
      </c>
      <c r="AD3652">
        <v>9</v>
      </c>
      <c r="AE3652">
        <v>0</v>
      </c>
      <c r="AF3652">
        <v>3</v>
      </c>
      <c r="AG3652">
        <v>1</v>
      </c>
      <c r="AH3652">
        <v>0</v>
      </c>
      <c r="AI3652" t="s">
        <v>1189</v>
      </c>
      <c r="AJ3652">
        <v>34.075856000000002</v>
      </c>
      <c r="AK3652" t="s">
        <v>1190</v>
      </c>
      <c r="AL3652">
        <v>-117.016926</v>
      </c>
      <c r="AM3652">
        <v>100</v>
      </c>
      <c r="AN3652">
        <v>5300</v>
      </c>
      <c r="AO3652" t="s">
        <v>118</v>
      </c>
      <c r="AP3652">
        <v>40</v>
      </c>
      <c r="AQ3652">
        <v>-91</v>
      </c>
      <c r="AR3652">
        <v>-384</v>
      </c>
      <c r="AZ3652">
        <v>1200</v>
      </c>
      <c r="BA3652">
        <v>1</v>
      </c>
      <c r="BB3652" t="str">
        <f t="shared" si="1996"/>
        <v xml:space="preserve">N9217B  </v>
      </c>
      <c r="BC3652">
        <v>1</v>
      </c>
      <c r="BE3652">
        <v>0</v>
      </c>
      <c r="BF3652">
        <v>0</v>
      </c>
      <c r="BG3652">
        <v>0</v>
      </c>
      <c r="BH3652">
        <v>5150</v>
      </c>
      <c r="BI3652">
        <v>1</v>
      </c>
      <c r="BJ3652">
        <v>0</v>
      </c>
      <c r="BK3652">
        <v>0</v>
      </c>
      <c r="BL3652">
        <v>0</v>
      </c>
      <c r="BO3652">
        <v>0</v>
      </c>
      <c r="BP3652">
        <v>0</v>
      </c>
      <c r="BW3652" t="str">
        <f t="shared" si="2032"/>
        <v>14:57:59.010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5</v>
      </c>
      <c r="CP3652" t="s">
        <v>119</v>
      </c>
      <c r="CQ3652">
        <v>285</v>
      </c>
      <c r="CR3652">
        <v>0</v>
      </c>
      <c r="CW3652">
        <v>8881985</v>
      </c>
      <c r="CY3652">
        <v>0</v>
      </c>
      <c r="CZ3652">
        <v>0</v>
      </c>
      <c r="DA3652">
        <v>1</v>
      </c>
      <c r="DB3652">
        <v>0</v>
      </c>
      <c r="DC3652">
        <v>0</v>
      </c>
      <c r="DD3652">
        <v>0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25">
      <c r="A3653" t="str">
        <f t="shared" si="2029"/>
        <v>06/05/2020 14:57:53.357</v>
      </c>
      <c r="C3653" t="str">
        <f t="shared" si="2012"/>
        <v>FFDFD3C0</v>
      </c>
      <c r="D3653" t="s">
        <v>148</v>
      </c>
      <c r="E3653">
        <v>11</v>
      </c>
      <c r="H3653">
        <v>53</v>
      </c>
      <c r="I3653" t="s">
        <v>364</v>
      </c>
      <c r="J3653" t="s">
        <v>150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 t="shared" si="2030"/>
        <v>14:57:59.008</v>
      </c>
      <c r="T3653" t="str">
        <f t="shared" si="2031"/>
        <v>14:57:58.808</v>
      </c>
      <c r="U3653" t="str">
        <f t="shared" si="2033"/>
        <v>ACC530</v>
      </c>
      <c r="V3653">
        <v>0</v>
      </c>
      <c r="W3653">
        <v>0</v>
      </c>
      <c r="X3653">
        <v>1</v>
      </c>
      <c r="Z3653">
        <v>0</v>
      </c>
      <c r="AA3653">
        <v>9</v>
      </c>
      <c r="AB3653">
        <v>3</v>
      </c>
      <c r="AC3653">
        <v>0</v>
      </c>
      <c r="AD3653">
        <v>9</v>
      </c>
      <c r="AE3653">
        <v>0</v>
      </c>
      <c r="AF3653">
        <v>3</v>
      </c>
      <c r="AG3653">
        <v>1</v>
      </c>
      <c r="AH3653">
        <v>0</v>
      </c>
      <c r="AI3653" t="s">
        <v>1189</v>
      </c>
      <c r="AJ3653">
        <v>34.075856000000002</v>
      </c>
      <c r="AK3653" t="s">
        <v>1190</v>
      </c>
      <c r="AL3653">
        <v>-117.016926</v>
      </c>
      <c r="AM3653">
        <v>100</v>
      </c>
      <c r="AN3653">
        <v>5300</v>
      </c>
      <c r="AO3653" t="s">
        <v>118</v>
      </c>
      <c r="AP3653">
        <v>40</v>
      </c>
      <c r="AQ3653">
        <v>-91</v>
      </c>
      <c r="AR3653">
        <v>-384</v>
      </c>
      <c r="AZ3653">
        <v>1200</v>
      </c>
      <c r="BA3653">
        <v>1</v>
      </c>
      <c r="BB3653" t="str">
        <f t="shared" ref="BB3653:BB3716" si="2034">"N9217B  "</f>
        <v xml:space="preserve">N9217B  </v>
      </c>
      <c r="BC3653">
        <v>1</v>
      </c>
      <c r="BE3653">
        <v>0</v>
      </c>
      <c r="BF3653">
        <v>0</v>
      </c>
      <c r="BG3653">
        <v>0</v>
      </c>
      <c r="BH3653">
        <v>5150</v>
      </c>
      <c r="BI3653">
        <v>1</v>
      </c>
      <c r="BJ3653">
        <v>0</v>
      </c>
      <c r="BK3653">
        <v>0</v>
      </c>
      <c r="BL3653">
        <v>0</v>
      </c>
      <c r="BO3653">
        <v>0</v>
      </c>
      <c r="BP3653">
        <v>0</v>
      </c>
      <c r="BW3653" t="str">
        <f t="shared" si="2032"/>
        <v>14:57:59.010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5</v>
      </c>
      <c r="CP3653" t="s">
        <v>119</v>
      </c>
      <c r="CQ3653">
        <v>285</v>
      </c>
      <c r="CR3653">
        <v>0</v>
      </c>
      <c r="CW3653">
        <v>8881985</v>
      </c>
      <c r="CY3653">
        <v>0</v>
      </c>
      <c r="CZ3653">
        <v>0</v>
      </c>
      <c r="DA3653">
        <v>1</v>
      </c>
      <c r="DB3653">
        <v>0</v>
      </c>
      <c r="DC3653">
        <v>0</v>
      </c>
      <c r="DD3653">
        <v>0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25">
      <c r="A3654" t="str">
        <f t="shared" si="2029"/>
        <v>06/05/2020 14:57:53.357</v>
      </c>
      <c r="C3654" t="str">
        <f t="shared" si="2012"/>
        <v>FFDFD3C0</v>
      </c>
      <c r="D3654" t="s">
        <v>148</v>
      </c>
      <c r="E3654">
        <v>8</v>
      </c>
      <c r="H3654">
        <v>50</v>
      </c>
      <c r="I3654" t="s">
        <v>149</v>
      </c>
      <c r="J3654" t="s">
        <v>150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 t="shared" si="2030"/>
        <v>14:57:59.008</v>
      </c>
      <c r="T3654" t="str">
        <f t="shared" si="2031"/>
        <v>14:57:58.808</v>
      </c>
      <c r="U3654" t="str">
        <f t="shared" si="2033"/>
        <v>ACC530</v>
      </c>
      <c r="V3654">
        <v>0</v>
      </c>
      <c r="W3654">
        <v>0</v>
      </c>
      <c r="X3654">
        <v>1</v>
      </c>
      <c r="Z3654">
        <v>0</v>
      </c>
      <c r="AA3654">
        <v>9</v>
      </c>
      <c r="AB3654">
        <v>3</v>
      </c>
      <c r="AC3654">
        <v>0</v>
      </c>
      <c r="AD3654">
        <v>9</v>
      </c>
      <c r="AE3654">
        <v>0</v>
      </c>
      <c r="AF3654">
        <v>3</v>
      </c>
      <c r="AG3654">
        <v>1</v>
      </c>
      <c r="AH3654">
        <v>0</v>
      </c>
      <c r="AI3654" t="s">
        <v>1189</v>
      </c>
      <c r="AJ3654">
        <v>34.075856000000002</v>
      </c>
      <c r="AK3654" t="s">
        <v>1190</v>
      </c>
      <c r="AL3654">
        <v>-117.016926</v>
      </c>
      <c r="AM3654">
        <v>100</v>
      </c>
      <c r="AN3654">
        <v>5300</v>
      </c>
      <c r="AO3654" t="s">
        <v>118</v>
      </c>
      <c r="AP3654">
        <v>40</v>
      </c>
      <c r="AQ3654">
        <v>-91</v>
      </c>
      <c r="AR3654">
        <v>-384</v>
      </c>
      <c r="AZ3654">
        <v>1200</v>
      </c>
      <c r="BA3654">
        <v>1</v>
      </c>
      <c r="BB3654" t="str">
        <f t="shared" si="2034"/>
        <v xml:space="preserve">N9217B  </v>
      </c>
      <c r="BC3654">
        <v>1</v>
      </c>
      <c r="BE3654">
        <v>0</v>
      </c>
      <c r="BF3654">
        <v>0</v>
      </c>
      <c r="BG3654">
        <v>0</v>
      </c>
      <c r="BH3654">
        <v>5150</v>
      </c>
      <c r="BI3654">
        <v>1</v>
      </c>
      <c r="BJ3654">
        <v>0</v>
      </c>
      <c r="BK3654">
        <v>0</v>
      </c>
      <c r="BL3654">
        <v>0</v>
      </c>
      <c r="BO3654">
        <v>0</v>
      </c>
      <c r="BP3654">
        <v>0</v>
      </c>
      <c r="BW3654" t="str">
        <f t="shared" si="2032"/>
        <v>14:57:59.010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5</v>
      </c>
      <c r="CP3654" t="s">
        <v>119</v>
      </c>
      <c r="CQ3654">
        <v>285</v>
      </c>
      <c r="CR3654">
        <v>0</v>
      </c>
      <c r="CW3654">
        <v>8881985</v>
      </c>
      <c r="CY3654">
        <v>0</v>
      </c>
      <c r="CZ3654">
        <v>0</v>
      </c>
      <c r="DA3654">
        <v>1</v>
      </c>
      <c r="DB3654">
        <v>0</v>
      </c>
      <c r="DC3654">
        <v>0</v>
      </c>
      <c r="DD3654">
        <v>0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25">
      <c r="A3655" t="str">
        <f t="shared" ref="A3655:A3661" si="2035">"06/05/2020 14:57:54.488"</f>
        <v>06/05/2020 14:57:54.488</v>
      </c>
      <c r="C3655" t="str">
        <f t="shared" si="2012"/>
        <v>FFDFD3C0</v>
      </c>
      <c r="D3655" t="s">
        <v>151</v>
      </c>
      <c r="E3655">
        <v>9</v>
      </c>
      <c r="H3655">
        <v>226</v>
      </c>
      <c r="I3655" t="s">
        <v>152</v>
      </c>
      <c r="J3655" t="s">
        <v>150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ref="S3655:S3661" si="2036">"14:58:00.102"</f>
        <v>14:58:00.102</v>
      </c>
      <c r="T3655" t="str">
        <f t="shared" ref="T3655:T3661" si="2037">"14:58:00.002"</f>
        <v>14:58:00.002</v>
      </c>
      <c r="U3655" t="str">
        <f t="shared" si="2033"/>
        <v>ACC530</v>
      </c>
      <c r="V3655">
        <v>0</v>
      </c>
      <c r="W3655">
        <v>0</v>
      </c>
      <c r="X3655">
        <v>1</v>
      </c>
      <c r="Z3655">
        <v>0</v>
      </c>
      <c r="AA3655">
        <v>9</v>
      </c>
      <c r="AB3655">
        <v>3</v>
      </c>
      <c r="AC3655">
        <v>0</v>
      </c>
      <c r="AD3655">
        <v>9</v>
      </c>
      <c r="AE3655">
        <v>0</v>
      </c>
      <c r="AF3655">
        <v>3</v>
      </c>
      <c r="AG3655">
        <v>1</v>
      </c>
      <c r="AH3655">
        <v>0</v>
      </c>
      <c r="AI3655" t="s">
        <v>1191</v>
      </c>
      <c r="AJ3655">
        <v>34.075384</v>
      </c>
      <c r="AK3655" t="s">
        <v>1192</v>
      </c>
      <c r="AL3655">
        <v>-117.016733</v>
      </c>
      <c r="AM3655">
        <v>100</v>
      </c>
      <c r="AN3655">
        <v>5300</v>
      </c>
      <c r="AO3655" t="s">
        <v>118</v>
      </c>
      <c r="AP3655">
        <v>30</v>
      </c>
      <c r="AQ3655">
        <v>-95</v>
      </c>
      <c r="AR3655">
        <v>-384</v>
      </c>
      <c r="AZ3655">
        <v>1200</v>
      </c>
      <c r="BA3655">
        <v>1</v>
      </c>
      <c r="BB3655" t="str">
        <f t="shared" si="2034"/>
        <v xml:space="preserve">N9217B  </v>
      </c>
      <c r="BC3655">
        <v>1</v>
      </c>
      <c r="BE3655">
        <v>0</v>
      </c>
      <c r="BF3655">
        <v>0</v>
      </c>
      <c r="BG3655">
        <v>0</v>
      </c>
      <c r="BH3655">
        <v>5150</v>
      </c>
      <c r="BI3655">
        <v>1</v>
      </c>
      <c r="BJ3655">
        <v>0</v>
      </c>
      <c r="BK3655">
        <v>0</v>
      </c>
      <c r="BL3655">
        <v>0</v>
      </c>
      <c r="BO3655">
        <v>0</v>
      </c>
      <c r="BP3655">
        <v>0</v>
      </c>
      <c r="BW3655" t="str">
        <f t="shared" ref="BW3655:BW3661" si="2038">"14:58:00.105"</f>
        <v>14:58:00.105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6</v>
      </c>
      <c r="CP3655" t="s">
        <v>119</v>
      </c>
      <c r="CQ3655">
        <v>285</v>
      </c>
      <c r="CR3655">
        <v>0</v>
      </c>
      <c r="CW3655">
        <v>8882085</v>
      </c>
      <c r="CY3655">
        <v>0</v>
      </c>
      <c r="CZ3655">
        <v>0</v>
      </c>
      <c r="DA3655">
        <v>0</v>
      </c>
      <c r="DB3655">
        <v>0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25">
      <c r="A3656" t="str">
        <f t="shared" si="2035"/>
        <v>06/05/2020 14:57:54.488</v>
      </c>
      <c r="C3656" t="str">
        <f t="shared" si="2012"/>
        <v>FFDFD3C0</v>
      </c>
      <c r="D3656" t="s">
        <v>148</v>
      </c>
      <c r="E3656">
        <v>11</v>
      </c>
      <c r="H3656">
        <v>53</v>
      </c>
      <c r="I3656" t="s">
        <v>364</v>
      </c>
      <c r="J3656" t="s">
        <v>150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2036"/>
        <v>14:58:00.102</v>
      </c>
      <c r="T3656" t="str">
        <f t="shared" si="2037"/>
        <v>14:58:00.002</v>
      </c>
      <c r="U3656" t="str">
        <f t="shared" si="2033"/>
        <v>ACC530</v>
      </c>
      <c r="V3656">
        <v>0</v>
      </c>
      <c r="W3656">
        <v>0</v>
      </c>
      <c r="X3656">
        <v>1</v>
      </c>
      <c r="Z3656">
        <v>0</v>
      </c>
      <c r="AA3656">
        <v>9</v>
      </c>
      <c r="AB3656">
        <v>3</v>
      </c>
      <c r="AC3656">
        <v>0</v>
      </c>
      <c r="AD3656">
        <v>9</v>
      </c>
      <c r="AE3656">
        <v>0</v>
      </c>
      <c r="AF3656">
        <v>3</v>
      </c>
      <c r="AG3656">
        <v>1</v>
      </c>
      <c r="AH3656">
        <v>0</v>
      </c>
      <c r="AI3656" t="s">
        <v>1191</v>
      </c>
      <c r="AJ3656">
        <v>34.075384</v>
      </c>
      <c r="AK3656" t="s">
        <v>1192</v>
      </c>
      <c r="AL3656">
        <v>-117.016733</v>
      </c>
      <c r="AM3656">
        <v>100</v>
      </c>
      <c r="AN3656">
        <v>5300</v>
      </c>
      <c r="AO3656" t="s">
        <v>118</v>
      </c>
      <c r="AP3656">
        <v>30</v>
      </c>
      <c r="AQ3656">
        <v>-95</v>
      </c>
      <c r="AR3656">
        <v>-384</v>
      </c>
      <c r="AZ3656">
        <v>1200</v>
      </c>
      <c r="BA3656">
        <v>1</v>
      </c>
      <c r="BB3656" t="str">
        <f t="shared" si="2034"/>
        <v xml:space="preserve">N9217B  </v>
      </c>
      <c r="BC3656">
        <v>1</v>
      </c>
      <c r="BE3656">
        <v>0</v>
      </c>
      <c r="BF3656">
        <v>0</v>
      </c>
      <c r="BG3656">
        <v>0</v>
      </c>
      <c r="BH3656">
        <v>5150</v>
      </c>
      <c r="BI3656">
        <v>1</v>
      </c>
      <c r="BJ3656">
        <v>0</v>
      </c>
      <c r="BK3656">
        <v>0</v>
      </c>
      <c r="BL3656">
        <v>0</v>
      </c>
      <c r="BO3656">
        <v>0</v>
      </c>
      <c r="BP3656">
        <v>0</v>
      </c>
      <c r="BW3656" t="str">
        <f t="shared" si="2038"/>
        <v>14:58:00.105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6</v>
      </c>
      <c r="CP3656" t="s">
        <v>119</v>
      </c>
      <c r="CQ3656">
        <v>285</v>
      </c>
      <c r="CR3656">
        <v>0</v>
      </c>
      <c r="CW3656">
        <v>8882085</v>
      </c>
      <c r="CY3656">
        <v>0</v>
      </c>
      <c r="CZ3656">
        <v>0</v>
      </c>
      <c r="DA3656">
        <v>1</v>
      </c>
      <c r="DB3656">
        <v>0</v>
      </c>
      <c r="DC3656">
        <v>0</v>
      </c>
      <c r="DD3656">
        <v>0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25">
      <c r="A3657" t="str">
        <f t="shared" si="2035"/>
        <v>06/05/2020 14:57:54.488</v>
      </c>
      <c r="C3657" t="str">
        <f t="shared" si="2012"/>
        <v>FFDFD3C0</v>
      </c>
      <c r="D3657" t="s">
        <v>141</v>
      </c>
      <c r="E3657">
        <v>20</v>
      </c>
      <c r="F3657">
        <v>1020</v>
      </c>
      <c r="G3657" t="s">
        <v>114</v>
      </c>
      <c r="J3657" t="s">
        <v>142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si="2036"/>
        <v>14:58:00.102</v>
      </c>
      <c r="T3657" t="str">
        <f t="shared" si="2037"/>
        <v>14:58:00.002</v>
      </c>
      <c r="U3657" t="str">
        <f t="shared" si="2033"/>
        <v>ACC530</v>
      </c>
      <c r="V3657">
        <v>0</v>
      </c>
      <c r="W3657">
        <v>0</v>
      </c>
      <c r="X3657">
        <v>1</v>
      </c>
      <c r="Z3657">
        <v>0</v>
      </c>
      <c r="AA3657">
        <v>9</v>
      </c>
      <c r="AB3657">
        <v>3</v>
      </c>
      <c r="AC3657">
        <v>0</v>
      </c>
      <c r="AD3657">
        <v>9</v>
      </c>
      <c r="AE3657">
        <v>0</v>
      </c>
      <c r="AF3657">
        <v>3</v>
      </c>
      <c r="AG3657">
        <v>1</v>
      </c>
      <c r="AH3657">
        <v>0</v>
      </c>
      <c r="AI3657" t="s">
        <v>1191</v>
      </c>
      <c r="AJ3657">
        <v>34.075384</v>
      </c>
      <c r="AK3657" t="s">
        <v>1192</v>
      </c>
      <c r="AL3657">
        <v>-117.016733</v>
      </c>
      <c r="AM3657">
        <v>100</v>
      </c>
      <c r="AN3657">
        <v>5300</v>
      </c>
      <c r="AO3657" t="s">
        <v>118</v>
      </c>
      <c r="AP3657">
        <v>30</v>
      </c>
      <c r="AQ3657">
        <v>-95</v>
      </c>
      <c r="AR3657">
        <v>-384</v>
      </c>
      <c r="AZ3657">
        <v>1200</v>
      </c>
      <c r="BA3657">
        <v>1</v>
      </c>
      <c r="BB3657" t="str">
        <f t="shared" si="2034"/>
        <v xml:space="preserve">N9217B  </v>
      </c>
      <c r="BC3657">
        <v>1</v>
      </c>
      <c r="BE3657">
        <v>0</v>
      </c>
      <c r="BF3657">
        <v>0</v>
      </c>
      <c r="BG3657">
        <v>0</v>
      </c>
      <c r="BH3657">
        <v>5150</v>
      </c>
      <c r="BI3657">
        <v>1</v>
      </c>
      <c r="BJ3657">
        <v>0</v>
      </c>
      <c r="BK3657">
        <v>0</v>
      </c>
      <c r="BL3657">
        <v>0</v>
      </c>
      <c r="BO3657">
        <v>0</v>
      </c>
      <c r="BP3657">
        <v>0</v>
      </c>
      <c r="BW3657" t="str">
        <f t="shared" si="2038"/>
        <v>14:58:00.105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6</v>
      </c>
      <c r="CP3657" t="s">
        <v>119</v>
      </c>
      <c r="CQ3657">
        <v>285</v>
      </c>
      <c r="CR3657">
        <v>0</v>
      </c>
      <c r="CW3657">
        <v>8882085</v>
      </c>
      <c r="CY3657">
        <v>0</v>
      </c>
      <c r="CZ3657">
        <v>0</v>
      </c>
      <c r="DA3657">
        <v>1</v>
      </c>
      <c r="DB3657">
        <v>0</v>
      </c>
      <c r="DC3657">
        <v>0</v>
      </c>
      <c r="DD3657">
        <v>0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25">
      <c r="A3658" t="str">
        <f t="shared" si="2035"/>
        <v>06/05/2020 14:57:54.488</v>
      </c>
      <c r="C3658" t="str">
        <f t="shared" si="2012"/>
        <v>FFDFD3C0</v>
      </c>
      <c r="D3658" t="s">
        <v>148</v>
      </c>
      <c r="E3658">
        <v>8</v>
      </c>
      <c r="H3658">
        <v>50</v>
      </c>
      <c r="I3658" t="s">
        <v>149</v>
      </c>
      <c r="J3658" t="s">
        <v>150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si="2036"/>
        <v>14:58:00.102</v>
      </c>
      <c r="T3658" t="str">
        <f t="shared" si="2037"/>
        <v>14:58:00.002</v>
      </c>
      <c r="U3658" t="str">
        <f t="shared" si="2033"/>
        <v>ACC530</v>
      </c>
      <c r="V3658">
        <v>0</v>
      </c>
      <c r="W3658">
        <v>0</v>
      </c>
      <c r="X3658">
        <v>1</v>
      </c>
      <c r="Z3658">
        <v>0</v>
      </c>
      <c r="AA3658">
        <v>9</v>
      </c>
      <c r="AB3658">
        <v>3</v>
      </c>
      <c r="AC3658">
        <v>0</v>
      </c>
      <c r="AD3658">
        <v>9</v>
      </c>
      <c r="AE3658">
        <v>0</v>
      </c>
      <c r="AF3658">
        <v>3</v>
      </c>
      <c r="AG3658">
        <v>1</v>
      </c>
      <c r="AH3658">
        <v>0</v>
      </c>
      <c r="AI3658" t="s">
        <v>1191</v>
      </c>
      <c r="AJ3658">
        <v>34.075384</v>
      </c>
      <c r="AK3658" t="s">
        <v>1192</v>
      </c>
      <c r="AL3658">
        <v>-117.016733</v>
      </c>
      <c r="AM3658">
        <v>100</v>
      </c>
      <c r="AN3658">
        <v>5300</v>
      </c>
      <c r="AO3658" t="s">
        <v>118</v>
      </c>
      <c r="AP3658">
        <v>30</v>
      </c>
      <c r="AQ3658">
        <v>-95</v>
      </c>
      <c r="AR3658">
        <v>-384</v>
      </c>
      <c r="AZ3658">
        <v>1200</v>
      </c>
      <c r="BA3658">
        <v>1</v>
      </c>
      <c r="BB3658" t="str">
        <f t="shared" si="2034"/>
        <v xml:space="preserve">N9217B  </v>
      </c>
      <c r="BC3658">
        <v>1</v>
      </c>
      <c r="BE3658">
        <v>0</v>
      </c>
      <c r="BF3658">
        <v>0</v>
      </c>
      <c r="BG3658">
        <v>0</v>
      </c>
      <c r="BH3658">
        <v>5150</v>
      </c>
      <c r="BI3658">
        <v>1</v>
      </c>
      <c r="BJ3658">
        <v>0</v>
      </c>
      <c r="BK3658">
        <v>0</v>
      </c>
      <c r="BL3658">
        <v>0</v>
      </c>
      <c r="BO3658">
        <v>0</v>
      </c>
      <c r="BP3658">
        <v>0</v>
      </c>
      <c r="BW3658" t="str">
        <f t="shared" si="2038"/>
        <v>14:58:00.105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6</v>
      </c>
      <c r="CP3658" t="s">
        <v>119</v>
      </c>
      <c r="CQ3658">
        <v>285</v>
      </c>
      <c r="CR3658">
        <v>0</v>
      </c>
      <c r="CW3658">
        <v>8882085</v>
      </c>
      <c r="CY3658">
        <v>0</v>
      </c>
      <c r="CZ3658">
        <v>0</v>
      </c>
      <c r="DA3658">
        <v>1</v>
      </c>
      <c r="DB3658">
        <v>0</v>
      </c>
      <c r="DC3658">
        <v>0</v>
      </c>
      <c r="DD3658">
        <v>0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25">
      <c r="A3659" t="str">
        <f t="shared" si="2035"/>
        <v>06/05/2020 14:57:54.488</v>
      </c>
      <c r="C3659" t="str">
        <f t="shared" si="2012"/>
        <v>FFDFD3C0</v>
      </c>
      <c r="D3659" t="s">
        <v>151</v>
      </c>
      <c r="E3659">
        <v>8</v>
      </c>
      <c r="H3659">
        <v>225</v>
      </c>
      <c r="I3659" t="s">
        <v>353</v>
      </c>
      <c r="J3659" t="s">
        <v>150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2036"/>
        <v>14:58:00.102</v>
      </c>
      <c r="T3659" t="str">
        <f t="shared" si="2037"/>
        <v>14:58:00.002</v>
      </c>
      <c r="U3659" t="str">
        <f t="shared" si="2033"/>
        <v>ACC530</v>
      </c>
      <c r="V3659">
        <v>0</v>
      </c>
      <c r="W3659">
        <v>0</v>
      </c>
      <c r="X3659">
        <v>1</v>
      </c>
      <c r="Z3659">
        <v>0</v>
      </c>
      <c r="AA3659">
        <v>9</v>
      </c>
      <c r="AB3659">
        <v>3</v>
      </c>
      <c r="AC3659">
        <v>0</v>
      </c>
      <c r="AD3659">
        <v>9</v>
      </c>
      <c r="AE3659">
        <v>0</v>
      </c>
      <c r="AF3659">
        <v>3</v>
      </c>
      <c r="AG3659">
        <v>1</v>
      </c>
      <c r="AH3659">
        <v>0</v>
      </c>
      <c r="AI3659" t="s">
        <v>1191</v>
      </c>
      <c r="AJ3659">
        <v>34.075384</v>
      </c>
      <c r="AK3659" t="s">
        <v>1192</v>
      </c>
      <c r="AL3659">
        <v>-117.016733</v>
      </c>
      <c r="AM3659">
        <v>100</v>
      </c>
      <c r="AN3659">
        <v>5300</v>
      </c>
      <c r="AO3659" t="s">
        <v>118</v>
      </c>
      <c r="AP3659">
        <v>30</v>
      </c>
      <c r="AQ3659">
        <v>-95</v>
      </c>
      <c r="AR3659">
        <v>-384</v>
      </c>
      <c r="AZ3659">
        <v>1200</v>
      </c>
      <c r="BA3659">
        <v>1</v>
      </c>
      <c r="BB3659" t="str">
        <f t="shared" si="2034"/>
        <v xml:space="preserve">N9217B  </v>
      </c>
      <c r="BC3659">
        <v>1</v>
      </c>
      <c r="BE3659">
        <v>0</v>
      </c>
      <c r="BF3659">
        <v>0</v>
      </c>
      <c r="BG3659">
        <v>0</v>
      </c>
      <c r="BH3659">
        <v>5150</v>
      </c>
      <c r="BI3659">
        <v>1</v>
      </c>
      <c r="BJ3659">
        <v>0</v>
      </c>
      <c r="BK3659">
        <v>0</v>
      </c>
      <c r="BL3659">
        <v>0</v>
      </c>
      <c r="BO3659">
        <v>0</v>
      </c>
      <c r="BP3659">
        <v>0</v>
      </c>
      <c r="BW3659" t="str">
        <f t="shared" si="2038"/>
        <v>14:58:00.105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6</v>
      </c>
      <c r="CP3659" t="s">
        <v>119</v>
      </c>
      <c r="CQ3659">
        <v>285</v>
      </c>
      <c r="CR3659">
        <v>0</v>
      </c>
      <c r="CW3659">
        <v>8882085</v>
      </c>
      <c r="CY3659">
        <v>0</v>
      </c>
      <c r="CZ3659">
        <v>0</v>
      </c>
      <c r="DA3659">
        <v>1</v>
      </c>
      <c r="DB3659">
        <v>0</v>
      </c>
      <c r="DC3659">
        <v>0</v>
      </c>
      <c r="DD3659">
        <v>0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25">
      <c r="A3660" t="str">
        <f t="shared" si="2035"/>
        <v>06/05/2020 14:57:54.488</v>
      </c>
      <c r="C3660" t="str">
        <f t="shared" si="2012"/>
        <v>FFDFD3C0</v>
      </c>
      <c r="D3660" t="s">
        <v>113</v>
      </c>
      <c r="E3660">
        <v>3</v>
      </c>
      <c r="H3660">
        <v>166</v>
      </c>
      <c r="I3660" t="s">
        <v>114</v>
      </c>
      <c r="J3660" t="s">
        <v>115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si="2036"/>
        <v>14:58:00.102</v>
      </c>
      <c r="T3660" t="str">
        <f t="shared" si="2037"/>
        <v>14:58:00.002</v>
      </c>
      <c r="U3660" t="str">
        <f t="shared" si="2033"/>
        <v>ACC530</v>
      </c>
      <c r="V3660">
        <v>0</v>
      </c>
      <c r="W3660">
        <v>0</v>
      </c>
      <c r="X3660">
        <v>1</v>
      </c>
      <c r="Z3660">
        <v>0</v>
      </c>
      <c r="AA3660">
        <v>9</v>
      </c>
      <c r="AB3660">
        <v>3</v>
      </c>
      <c r="AC3660">
        <v>0</v>
      </c>
      <c r="AD3660">
        <v>9</v>
      </c>
      <c r="AE3660">
        <v>0</v>
      </c>
      <c r="AF3660">
        <v>3</v>
      </c>
      <c r="AG3660">
        <v>1</v>
      </c>
      <c r="AH3660">
        <v>0</v>
      </c>
      <c r="AI3660" t="s">
        <v>1191</v>
      </c>
      <c r="AJ3660">
        <v>34.075384</v>
      </c>
      <c r="AK3660" t="s">
        <v>1192</v>
      </c>
      <c r="AL3660">
        <v>-117.016733</v>
      </c>
      <c r="AM3660">
        <v>100</v>
      </c>
      <c r="AN3660">
        <v>5300</v>
      </c>
      <c r="AO3660" t="s">
        <v>118</v>
      </c>
      <c r="AP3660">
        <v>30</v>
      </c>
      <c r="AQ3660">
        <v>-95</v>
      </c>
      <c r="AR3660">
        <v>-384</v>
      </c>
      <c r="AZ3660">
        <v>1200</v>
      </c>
      <c r="BA3660">
        <v>1</v>
      </c>
      <c r="BB3660" t="str">
        <f t="shared" si="2034"/>
        <v xml:space="preserve">N9217B  </v>
      </c>
      <c r="BC3660">
        <v>1</v>
      </c>
      <c r="BE3660">
        <v>0</v>
      </c>
      <c r="BF3660">
        <v>0</v>
      </c>
      <c r="BG3660">
        <v>0</v>
      </c>
      <c r="BH3660">
        <v>5150</v>
      </c>
      <c r="BI3660">
        <v>1</v>
      </c>
      <c r="BJ3660">
        <v>0</v>
      </c>
      <c r="BK3660">
        <v>0</v>
      </c>
      <c r="BL3660">
        <v>0</v>
      </c>
      <c r="BO3660">
        <v>0</v>
      </c>
      <c r="BP3660">
        <v>0</v>
      </c>
      <c r="BW3660" t="str">
        <f t="shared" si="2038"/>
        <v>14:58:00.105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6</v>
      </c>
      <c r="CP3660" t="s">
        <v>119</v>
      </c>
      <c r="CQ3660">
        <v>285</v>
      </c>
      <c r="CR3660">
        <v>0</v>
      </c>
      <c r="CW3660">
        <v>8882085</v>
      </c>
      <c r="CY3660">
        <v>0</v>
      </c>
      <c r="CZ3660">
        <v>0</v>
      </c>
      <c r="DA3660">
        <v>1</v>
      </c>
      <c r="DB3660">
        <v>0</v>
      </c>
      <c r="DC3660">
        <v>0</v>
      </c>
      <c r="DD3660">
        <v>0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25">
      <c r="A3661" t="str">
        <f t="shared" si="2035"/>
        <v>06/05/2020 14:57:54.488</v>
      </c>
      <c r="C3661" t="str">
        <f t="shared" si="2012"/>
        <v>FFDFD3C0</v>
      </c>
      <c r="D3661" t="s">
        <v>134</v>
      </c>
      <c r="E3661">
        <v>7</v>
      </c>
      <c r="F3661">
        <v>2007</v>
      </c>
      <c r="G3661" t="s">
        <v>135</v>
      </c>
      <c r="J3661" t="s">
        <v>136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2036"/>
        <v>14:58:00.102</v>
      </c>
      <c r="T3661" t="str">
        <f t="shared" si="2037"/>
        <v>14:58:00.002</v>
      </c>
      <c r="U3661" t="str">
        <f t="shared" si="2033"/>
        <v>ACC530</v>
      </c>
      <c r="V3661">
        <v>0</v>
      </c>
      <c r="W3661">
        <v>0</v>
      </c>
      <c r="X3661">
        <v>1</v>
      </c>
      <c r="Z3661">
        <v>0</v>
      </c>
      <c r="AA3661">
        <v>9</v>
      </c>
      <c r="AB3661">
        <v>3</v>
      </c>
      <c r="AC3661">
        <v>0</v>
      </c>
      <c r="AD3661">
        <v>9</v>
      </c>
      <c r="AE3661">
        <v>0</v>
      </c>
      <c r="AF3661">
        <v>3</v>
      </c>
      <c r="AG3661">
        <v>1</v>
      </c>
      <c r="AH3661">
        <v>0</v>
      </c>
      <c r="AI3661" t="s">
        <v>1191</v>
      </c>
      <c r="AJ3661">
        <v>34.075384</v>
      </c>
      <c r="AK3661" t="s">
        <v>1192</v>
      </c>
      <c r="AL3661">
        <v>-117.016733</v>
      </c>
      <c r="AM3661">
        <v>100</v>
      </c>
      <c r="AN3661">
        <v>5300</v>
      </c>
      <c r="AO3661" t="s">
        <v>118</v>
      </c>
      <c r="AP3661">
        <v>30</v>
      </c>
      <c r="AQ3661">
        <v>-95</v>
      </c>
      <c r="AR3661">
        <v>-384</v>
      </c>
      <c r="AZ3661">
        <v>1200</v>
      </c>
      <c r="BA3661">
        <v>1</v>
      </c>
      <c r="BB3661" t="str">
        <f t="shared" si="2034"/>
        <v xml:space="preserve">N9217B  </v>
      </c>
      <c r="BC3661">
        <v>1</v>
      </c>
      <c r="BE3661">
        <v>0</v>
      </c>
      <c r="BF3661">
        <v>0</v>
      </c>
      <c r="BG3661">
        <v>0</v>
      </c>
      <c r="BH3661">
        <v>5150</v>
      </c>
      <c r="BI3661">
        <v>1</v>
      </c>
      <c r="BJ3661">
        <v>0</v>
      </c>
      <c r="BK3661">
        <v>0</v>
      </c>
      <c r="BL3661">
        <v>0</v>
      </c>
      <c r="BO3661">
        <v>0</v>
      </c>
      <c r="BP3661">
        <v>0</v>
      </c>
      <c r="BW3661" t="str">
        <f t="shared" si="2038"/>
        <v>14:58:00.105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6</v>
      </c>
      <c r="CP3661" t="s">
        <v>119</v>
      </c>
      <c r="CQ3661">
        <v>285</v>
      </c>
      <c r="CR3661">
        <v>0</v>
      </c>
      <c r="CW3661">
        <v>8882085</v>
      </c>
      <c r="CY3661">
        <v>0</v>
      </c>
      <c r="CZ3661">
        <v>0</v>
      </c>
      <c r="DA3661">
        <v>1</v>
      </c>
      <c r="DB3661">
        <v>0</v>
      </c>
      <c r="DC3661">
        <v>0</v>
      </c>
      <c r="DD3661">
        <v>0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25">
      <c r="A3662" t="str">
        <f t="shared" ref="A3662:A3668" si="2039">"06/05/2020 14:57:55.396"</f>
        <v>06/05/2020 14:57:55.396</v>
      </c>
      <c r="C3662" t="str">
        <f t="shared" si="2012"/>
        <v>FFDFD3C0</v>
      </c>
      <c r="D3662" t="s">
        <v>141</v>
      </c>
      <c r="E3662">
        <v>20</v>
      </c>
      <c r="F3662">
        <v>1020</v>
      </c>
      <c r="G3662" t="s">
        <v>114</v>
      </c>
      <c r="J3662" t="s">
        <v>142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ref="S3662:S3668" si="2040">"14:58:01.016"</f>
        <v>14:58:01.016</v>
      </c>
      <c r="T3662" t="str">
        <f t="shared" ref="T3662:T3668" si="2041">"14:58:00.916"</f>
        <v>14:58:00.916</v>
      </c>
      <c r="U3662" t="str">
        <f t="shared" si="2033"/>
        <v>ACC530</v>
      </c>
      <c r="V3662">
        <v>0</v>
      </c>
      <c r="W3662">
        <v>0</v>
      </c>
      <c r="X3662">
        <v>1</v>
      </c>
      <c r="Z3662">
        <v>0</v>
      </c>
      <c r="AA3662">
        <v>9</v>
      </c>
      <c r="AB3662">
        <v>3</v>
      </c>
      <c r="AC3662">
        <v>0</v>
      </c>
      <c r="AD3662">
        <v>9</v>
      </c>
      <c r="AE3662">
        <v>0</v>
      </c>
      <c r="AF3662">
        <v>3</v>
      </c>
      <c r="AG3662">
        <v>1</v>
      </c>
      <c r="AH3662">
        <v>0</v>
      </c>
      <c r="AI3662" t="s">
        <v>1193</v>
      </c>
      <c r="AJ3662">
        <v>34.074975999999999</v>
      </c>
      <c r="AK3662" t="s">
        <v>1194</v>
      </c>
      <c r="AL3662">
        <v>-117.016582</v>
      </c>
      <c r="AM3662">
        <v>100</v>
      </c>
      <c r="AN3662">
        <v>5300</v>
      </c>
      <c r="AO3662" t="s">
        <v>118</v>
      </c>
      <c r="AP3662">
        <v>25</v>
      </c>
      <c r="AQ3662">
        <v>-96</v>
      </c>
      <c r="AR3662">
        <v>-384</v>
      </c>
      <c r="AZ3662">
        <v>1200</v>
      </c>
      <c r="BA3662">
        <v>1</v>
      </c>
      <c r="BB3662" t="str">
        <f t="shared" si="2034"/>
        <v xml:space="preserve">N9217B  </v>
      </c>
      <c r="BC3662">
        <v>1</v>
      </c>
      <c r="BE3662">
        <v>0</v>
      </c>
      <c r="BF3662">
        <v>0</v>
      </c>
      <c r="BG3662">
        <v>0</v>
      </c>
      <c r="BH3662">
        <v>5125</v>
      </c>
      <c r="BI3662">
        <v>1</v>
      </c>
      <c r="BJ3662">
        <v>0</v>
      </c>
      <c r="BK3662">
        <v>0</v>
      </c>
      <c r="BL3662">
        <v>0</v>
      </c>
      <c r="BO3662">
        <v>0</v>
      </c>
      <c r="BP3662">
        <v>0</v>
      </c>
      <c r="BW3662" t="str">
        <f t="shared" ref="BW3662:BW3668" si="2042">"14:58:01.020"</f>
        <v>14:58:01.020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6</v>
      </c>
      <c r="CP3662" t="s">
        <v>119</v>
      </c>
      <c r="CQ3662">
        <v>285</v>
      </c>
      <c r="CR3662">
        <v>0</v>
      </c>
      <c r="CW3662">
        <v>8882169</v>
      </c>
      <c r="CY3662">
        <v>0</v>
      </c>
      <c r="CZ3662">
        <v>0</v>
      </c>
      <c r="DA3662">
        <v>0</v>
      </c>
      <c r="DB3662">
        <v>0</v>
      </c>
      <c r="DC3662">
        <v>0</v>
      </c>
      <c r="DD3662">
        <v>0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25">
      <c r="A3663" t="str">
        <f t="shared" si="2039"/>
        <v>06/05/2020 14:57:55.396</v>
      </c>
      <c r="C3663" t="str">
        <f t="shared" si="2012"/>
        <v>FFDFD3C0</v>
      </c>
      <c r="D3663" t="s">
        <v>151</v>
      </c>
      <c r="E3663">
        <v>9</v>
      </c>
      <c r="H3663">
        <v>226</v>
      </c>
      <c r="I3663" t="s">
        <v>152</v>
      </c>
      <c r="J3663" t="s">
        <v>150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2040"/>
        <v>14:58:01.016</v>
      </c>
      <c r="T3663" t="str">
        <f t="shared" si="2041"/>
        <v>14:58:00.916</v>
      </c>
      <c r="U3663" t="str">
        <f t="shared" si="2033"/>
        <v>ACC530</v>
      </c>
      <c r="V3663">
        <v>0</v>
      </c>
      <c r="W3663">
        <v>0</v>
      </c>
      <c r="X3663">
        <v>1</v>
      </c>
      <c r="Z3663">
        <v>0</v>
      </c>
      <c r="AA3663">
        <v>9</v>
      </c>
      <c r="AB3663">
        <v>3</v>
      </c>
      <c r="AC3663">
        <v>0</v>
      </c>
      <c r="AD3663">
        <v>9</v>
      </c>
      <c r="AE3663">
        <v>0</v>
      </c>
      <c r="AF3663">
        <v>3</v>
      </c>
      <c r="AG3663">
        <v>1</v>
      </c>
      <c r="AH3663">
        <v>0</v>
      </c>
      <c r="AI3663" t="s">
        <v>1193</v>
      </c>
      <c r="AJ3663">
        <v>34.074975999999999</v>
      </c>
      <c r="AK3663" t="s">
        <v>1194</v>
      </c>
      <c r="AL3663">
        <v>-117.016582</v>
      </c>
      <c r="AM3663">
        <v>100</v>
      </c>
      <c r="AN3663">
        <v>5300</v>
      </c>
      <c r="AO3663" t="s">
        <v>118</v>
      </c>
      <c r="AP3663">
        <v>25</v>
      </c>
      <c r="AQ3663">
        <v>-96</v>
      </c>
      <c r="AR3663">
        <v>-384</v>
      </c>
      <c r="AZ3663">
        <v>1200</v>
      </c>
      <c r="BA3663">
        <v>1</v>
      </c>
      <c r="BB3663" t="str">
        <f t="shared" si="2034"/>
        <v xml:space="preserve">N9217B  </v>
      </c>
      <c r="BC3663">
        <v>1</v>
      </c>
      <c r="BE3663">
        <v>0</v>
      </c>
      <c r="BF3663">
        <v>0</v>
      </c>
      <c r="BG3663">
        <v>0</v>
      </c>
      <c r="BH3663">
        <v>5125</v>
      </c>
      <c r="BI3663">
        <v>1</v>
      </c>
      <c r="BJ3663">
        <v>0</v>
      </c>
      <c r="BK3663">
        <v>0</v>
      </c>
      <c r="BL3663">
        <v>0</v>
      </c>
      <c r="BO3663">
        <v>0</v>
      </c>
      <c r="BP3663">
        <v>0</v>
      </c>
      <c r="BW3663" t="str">
        <f t="shared" si="2042"/>
        <v>14:58:01.020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6</v>
      </c>
      <c r="CP3663" t="s">
        <v>119</v>
      </c>
      <c r="CQ3663">
        <v>285</v>
      </c>
      <c r="CR3663">
        <v>0</v>
      </c>
      <c r="CW3663">
        <v>8882169</v>
      </c>
      <c r="CY3663">
        <v>0</v>
      </c>
      <c r="CZ3663">
        <v>0</v>
      </c>
      <c r="DA3663">
        <v>1</v>
      </c>
      <c r="DB3663">
        <v>0</v>
      </c>
      <c r="DC3663">
        <v>0</v>
      </c>
      <c r="DD3663">
        <v>0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25">
      <c r="A3664" t="str">
        <f t="shared" si="2039"/>
        <v>06/05/2020 14:57:55.396</v>
      </c>
      <c r="C3664" t="str">
        <f t="shared" si="2012"/>
        <v>FFDFD3C0</v>
      </c>
      <c r="D3664" t="s">
        <v>148</v>
      </c>
      <c r="E3664">
        <v>11</v>
      </c>
      <c r="H3664">
        <v>53</v>
      </c>
      <c r="I3664" t="s">
        <v>364</v>
      </c>
      <c r="J3664" t="s">
        <v>150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 t="shared" si="2040"/>
        <v>14:58:01.016</v>
      </c>
      <c r="T3664" t="str">
        <f t="shared" si="2041"/>
        <v>14:58:00.916</v>
      </c>
      <c r="U3664" t="str">
        <f t="shared" si="2033"/>
        <v>ACC530</v>
      </c>
      <c r="V3664">
        <v>0</v>
      </c>
      <c r="W3664">
        <v>0</v>
      </c>
      <c r="X3664">
        <v>1</v>
      </c>
      <c r="Z3664">
        <v>0</v>
      </c>
      <c r="AA3664">
        <v>9</v>
      </c>
      <c r="AB3664">
        <v>3</v>
      </c>
      <c r="AC3664">
        <v>0</v>
      </c>
      <c r="AD3664">
        <v>9</v>
      </c>
      <c r="AE3664">
        <v>0</v>
      </c>
      <c r="AF3664">
        <v>3</v>
      </c>
      <c r="AG3664">
        <v>1</v>
      </c>
      <c r="AH3664">
        <v>0</v>
      </c>
      <c r="AI3664" t="s">
        <v>1193</v>
      </c>
      <c r="AJ3664">
        <v>34.074975999999999</v>
      </c>
      <c r="AK3664" t="s">
        <v>1194</v>
      </c>
      <c r="AL3664">
        <v>-117.016582</v>
      </c>
      <c r="AM3664">
        <v>100</v>
      </c>
      <c r="AN3664">
        <v>5300</v>
      </c>
      <c r="AO3664" t="s">
        <v>118</v>
      </c>
      <c r="AP3664">
        <v>25</v>
      </c>
      <c r="AQ3664">
        <v>-96</v>
      </c>
      <c r="AR3664">
        <v>-384</v>
      </c>
      <c r="AZ3664">
        <v>1200</v>
      </c>
      <c r="BA3664">
        <v>1</v>
      </c>
      <c r="BB3664" t="str">
        <f t="shared" si="2034"/>
        <v xml:space="preserve">N9217B  </v>
      </c>
      <c r="BC3664">
        <v>1</v>
      </c>
      <c r="BE3664">
        <v>0</v>
      </c>
      <c r="BF3664">
        <v>0</v>
      </c>
      <c r="BG3664">
        <v>0</v>
      </c>
      <c r="BH3664">
        <v>5125</v>
      </c>
      <c r="BI3664">
        <v>1</v>
      </c>
      <c r="BJ3664">
        <v>0</v>
      </c>
      <c r="BK3664">
        <v>0</v>
      </c>
      <c r="BL3664">
        <v>0</v>
      </c>
      <c r="BO3664">
        <v>0</v>
      </c>
      <c r="BP3664">
        <v>0</v>
      </c>
      <c r="BW3664" t="str">
        <f t="shared" si="2042"/>
        <v>14:58:01.020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6</v>
      </c>
      <c r="CP3664" t="s">
        <v>119</v>
      </c>
      <c r="CQ3664">
        <v>285</v>
      </c>
      <c r="CR3664">
        <v>0</v>
      </c>
      <c r="CW3664">
        <v>8882169</v>
      </c>
      <c r="CY3664">
        <v>0</v>
      </c>
      <c r="CZ3664">
        <v>0</v>
      </c>
      <c r="DA3664">
        <v>1</v>
      </c>
      <c r="DB3664">
        <v>0</v>
      </c>
      <c r="DC3664">
        <v>0</v>
      </c>
      <c r="DD3664">
        <v>0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25">
      <c r="A3665" t="str">
        <f t="shared" si="2039"/>
        <v>06/05/2020 14:57:55.396</v>
      </c>
      <c r="C3665" t="str">
        <f t="shared" si="2012"/>
        <v>FFDFD3C0</v>
      </c>
      <c r="D3665" t="s">
        <v>148</v>
      </c>
      <c r="E3665">
        <v>8</v>
      </c>
      <c r="H3665">
        <v>50</v>
      </c>
      <c r="I3665" t="s">
        <v>149</v>
      </c>
      <c r="J3665" t="s">
        <v>150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si="2040"/>
        <v>14:58:01.016</v>
      </c>
      <c r="T3665" t="str">
        <f t="shared" si="2041"/>
        <v>14:58:00.916</v>
      </c>
      <c r="U3665" t="str">
        <f t="shared" si="2033"/>
        <v>ACC530</v>
      </c>
      <c r="V3665">
        <v>0</v>
      </c>
      <c r="W3665">
        <v>0</v>
      </c>
      <c r="X3665">
        <v>1</v>
      </c>
      <c r="Z3665">
        <v>0</v>
      </c>
      <c r="AA3665">
        <v>9</v>
      </c>
      <c r="AB3665">
        <v>3</v>
      </c>
      <c r="AC3665">
        <v>0</v>
      </c>
      <c r="AD3665">
        <v>9</v>
      </c>
      <c r="AE3665">
        <v>0</v>
      </c>
      <c r="AF3665">
        <v>3</v>
      </c>
      <c r="AG3665">
        <v>1</v>
      </c>
      <c r="AH3665">
        <v>0</v>
      </c>
      <c r="AI3665" t="s">
        <v>1193</v>
      </c>
      <c r="AJ3665">
        <v>34.074975999999999</v>
      </c>
      <c r="AK3665" t="s">
        <v>1194</v>
      </c>
      <c r="AL3665">
        <v>-117.016582</v>
      </c>
      <c r="AM3665">
        <v>100</v>
      </c>
      <c r="AN3665">
        <v>5300</v>
      </c>
      <c r="AO3665" t="s">
        <v>118</v>
      </c>
      <c r="AP3665">
        <v>25</v>
      </c>
      <c r="AQ3665">
        <v>-96</v>
      </c>
      <c r="AR3665">
        <v>-384</v>
      </c>
      <c r="AZ3665">
        <v>1200</v>
      </c>
      <c r="BA3665">
        <v>1</v>
      </c>
      <c r="BB3665" t="str">
        <f t="shared" si="2034"/>
        <v xml:space="preserve">N9217B  </v>
      </c>
      <c r="BC3665">
        <v>1</v>
      </c>
      <c r="BE3665">
        <v>0</v>
      </c>
      <c r="BF3665">
        <v>0</v>
      </c>
      <c r="BG3665">
        <v>0</v>
      </c>
      <c r="BH3665">
        <v>5125</v>
      </c>
      <c r="BI3665">
        <v>1</v>
      </c>
      <c r="BJ3665">
        <v>0</v>
      </c>
      <c r="BK3665">
        <v>0</v>
      </c>
      <c r="BL3665">
        <v>0</v>
      </c>
      <c r="BO3665">
        <v>0</v>
      </c>
      <c r="BP3665">
        <v>0</v>
      </c>
      <c r="BW3665" t="str">
        <f t="shared" si="2042"/>
        <v>14:58:01.020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6</v>
      </c>
      <c r="CP3665" t="s">
        <v>119</v>
      </c>
      <c r="CQ3665">
        <v>285</v>
      </c>
      <c r="CR3665">
        <v>0</v>
      </c>
      <c r="CW3665">
        <v>8882169</v>
      </c>
      <c r="CY3665">
        <v>0</v>
      </c>
      <c r="CZ3665">
        <v>0</v>
      </c>
      <c r="DA3665">
        <v>1</v>
      </c>
      <c r="DB3665">
        <v>0</v>
      </c>
      <c r="DC3665">
        <v>0</v>
      </c>
      <c r="DD3665">
        <v>0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25">
      <c r="A3666" t="str">
        <f t="shared" si="2039"/>
        <v>06/05/2020 14:57:55.396</v>
      </c>
      <c r="C3666" t="str">
        <f t="shared" si="2012"/>
        <v>FFDFD3C0</v>
      </c>
      <c r="D3666" t="s">
        <v>151</v>
      </c>
      <c r="E3666">
        <v>8</v>
      </c>
      <c r="H3666">
        <v>225</v>
      </c>
      <c r="I3666" t="s">
        <v>353</v>
      </c>
      <c r="J3666" t="s">
        <v>150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si="2040"/>
        <v>14:58:01.016</v>
      </c>
      <c r="T3666" t="str">
        <f t="shared" si="2041"/>
        <v>14:58:00.916</v>
      </c>
      <c r="U3666" t="str">
        <f t="shared" si="2033"/>
        <v>ACC530</v>
      </c>
      <c r="V3666">
        <v>0</v>
      </c>
      <c r="W3666">
        <v>0</v>
      </c>
      <c r="X3666">
        <v>1</v>
      </c>
      <c r="Z3666">
        <v>0</v>
      </c>
      <c r="AA3666">
        <v>9</v>
      </c>
      <c r="AB3666">
        <v>3</v>
      </c>
      <c r="AC3666">
        <v>0</v>
      </c>
      <c r="AD3666">
        <v>9</v>
      </c>
      <c r="AE3666">
        <v>0</v>
      </c>
      <c r="AF3666">
        <v>3</v>
      </c>
      <c r="AG3666">
        <v>1</v>
      </c>
      <c r="AH3666">
        <v>0</v>
      </c>
      <c r="AI3666" t="s">
        <v>1193</v>
      </c>
      <c r="AJ3666">
        <v>34.074975999999999</v>
      </c>
      <c r="AK3666" t="s">
        <v>1194</v>
      </c>
      <c r="AL3666">
        <v>-117.016582</v>
      </c>
      <c r="AM3666">
        <v>100</v>
      </c>
      <c r="AN3666">
        <v>5300</v>
      </c>
      <c r="AO3666" t="s">
        <v>118</v>
      </c>
      <c r="AP3666">
        <v>25</v>
      </c>
      <c r="AQ3666">
        <v>-96</v>
      </c>
      <c r="AR3666">
        <v>-384</v>
      </c>
      <c r="AZ3666">
        <v>1200</v>
      </c>
      <c r="BA3666">
        <v>1</v>
      </c>
      <c r="BB3666" t="str">
        <f t="shared" si="2034"/>
        <v xml:space="preserve">N9217B  </v>
      </c>
      <c r="BC3666">
        <v>1</v>
      </c>
      <c r="BE3666">
        <v>0</v>
      </c>
      <c r="BF3666">
        <v>0</v>
      </c>
      <c r="BG3666">
        <v>0</v>
      </c>
      <c r="BH3666">
        <v>5125</v>
      </c>
      <c r="BI3666">
        <v>1</v>
      </c>
      <c r="BJ3666">
        <v>0</v>
      </c>
      <c r="BK3666">
        <v>0</v>
      </c>
      <c r="BL3666">
        <v>0</v>
      </c>
      <c r="BO3666">
        <v>0</v>
      </c>
      <c r="BP3666">
        <v>0</v>
      </c>
      <c r="BW3666" t="str">
        <f t="shared" si="2042"/>
        <v>14:58:01.020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6</v>
      </c>
      <c r="CP3666" t="s">
        <v>119</v>
      </c>
      <c r="CQ3666">
        <v>285</v>
      </c>
      <c r="CR3666">
        <v>0</v>
      </c>
      <c r="CW3666">
        <v>8882169</v>
      </c>
      <c r="CY3666">
        <v>0</v>
      </c>
      <c r="CZ3666">
        <v>0</v>
      </c>
      <c r="DA3666">
        <v>1</v>
      </c>
      <c r="DB3666">
        <v>0</v>
      </c>
      <c r="DC3666">
        <v>0</v>
      </c>
      <c r="DD3666">
        <v>0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25">
      <c r="A3667" t="str">
        <f t="shared" si="2039"/>
        <v>06/05/2020 14:57:55.396</v>
      </c>
      <c r="C3667" t="str">
        <f t="shared" si="2012"/>
        <v>FFDFD3C0</v>
      </c>
      <c r="D3667" t="s">
        <v>134</v>
      </c>
      <c r="E3667">
        <v>7</v>
      </c>
      <c r="F3667">
        <v>2007</v>
      </c>
      <c r="G3667" t="s">
        <v>135</v>
      </c>
      <c r="J3667" t="s">
        <v>136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si="2040"/>
        <v>14:58:01.016</v>
      </c>
      <c r="T3667" t="str">
        <f t="shared" si="2041"/>
        <v>14:58:00.916</v>
      </c>
      <c r="U3667" t="str">
        <f t="shared" si="2033"/>
        <v>ACC530</v>
      </c>
      <c r="V3667">
        <v>0</v>
      </c>
      <c r="W3667">
        <v>0</v>
      </c>
      <c r="X3667">
        <v>1</v>
      </c>
      <c r="Z3667">
        <v>0</v>
      </c>
      <c r="AA3667">
        <v>9</v>
      </c>
      <c r="AB3667">
        <v>3</v>
      </c>
      <c r="AC3667">
        <v>0</v>
      </c>
      <c r="AD3667">
        <v>9</v>
      </c>
      <c r="AE3667">
        <v>0</v>
      </c>
      <c r="AF3667">
        <v>3</v>
      </c>
      <c r="AG3667">
        <v>1</v>
      </c>
      <c r="AH3667">
        <v>0</v>
      </c>
      <c r="AI3667" t="s">
        <v>1193</v>
      </c>
      <c r="AJ3667">
        <v>34.074975999999999</v>
      </c>
      <c r="AK3667" t="s">
        <v>1194</v>
      </c>
      <c r="AL3667">
        <v>-117.016582</v>
      </c>
      <c r="AM3667">
        <v>100</v>
      </c>
      <c r="AN3667">
        <v>5300</v>
      </c>
      <c r="AO3667" t="s">
        <v>118</v>
      </c>
      <c r="AP3667">
        <v>25</v>
      </c>
      <c r="AQ3667">
        <v>-96</v>
      </c>
      <c r="AR3667">
        <v>-384</v>
      </c>
      <c r="AZ3667">
        <v>1200</v>
      </c>
      <c r="BA3667">
        <v>1</v>
      </c>
      <c r="BB3667" t="str">
        <f t="shared" si="2034"/>
        <v xml:space="preserve">N9217B  </v>
      </c>
      <c r="BC3667">
        <v>1</v>
      </c>
      <c r="BE3667">
        <v>0</v>
      </c>
      <c r="BF3667">
        <v>0</v>
      </c>
      <c r="BG3667">
        <v>0</v>
      </c>
      <c r="BH3667">
        <v>5125</v>
      </c>
      <c r="BI3667">
        <v>1</v>
      </c>
      <c r="BJ3667">
        <v>0</v>
      </c>
      <c r="BK3667">
        <v>0</v>
      </c>
      <c r="BL3667">
        <v>0</v>
      </c>
      <c r="BO3667">
        <v>0</v>
      </c>
      <c r="BP3667">
        <v>0</v>
      </c>
      <c r="BW3667" t="str">
        <f t="shared" si="2042"/>
        <v>14:58:01.020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6</v>
      </c>
      <c r="CP3667" t="s">
        <v>119</v>
      </c>
      <c r="CQ3667">
        <v>285</v>
      </c>
      <c r="CR3667">
        <v>0</v>
      </c>
      <c r="CW3667">
        <v>8882169</v>
      </c>
      <c r="CY3667">
        <v>0</v>
      </c>
      <c r="CZ3667">
        <v>0</v>
      </c>
      <c r="DA3667">
        <v>1</v>
      </c>
      <c r="DB3667">
        <v>0</v>
      </c>
      <c r="DC3667">
        <v>0</v>
      </c>
      <c r="DD3667">
        <v>0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25">
      <c r="A3668" t="str">
        <f t="shared" si="2039"/>
        <v>06/05/2020 14:57:55.396</v>
      </c>
      <c r="C3668" t="str">
        <f t="shared" si="2012"/>
        <v>FFDFD3C0</v>
      </c>
      <c r="D3668" t="s">
        <v>113</v>
      </c>
      <c r="E3668">
        <v>3</v>
      </c>
      <c r="H3668">
        <v>166</v>
      </c>
      <c r="I3668" t="s">
        <v>114</v>
      </c>
      <c r="J3668" t="s">
        <v>115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2040"/>
        <v>14:58:01.016</v>
      </c>
      <c r="T3668" t="str">
        <f t="shared" si="2041"/>
        <v>14:58:00.916</v>
      </c>
      <c r="U3668" t="str">
        <f t="shared" si="2033"/>
        <v>ACC530</v>
      </c>
      <c r="V3668">
        <v>0</v>
      </c>
      <c r="W3668">
        <v>0</v>
      </c>
      <c r="X3668">
        <v>1</v>
      </c>
      <c r="Z3668">
        <v>0</v>
      </c>
      <c r="AA3668">
        <v>9</v>
      </c>
      <c r="AB3668">
        <v>3</v>
      </c>
      <c r="AC3668">
        <v>0</v>
      </c>
      <c r="AD3668">
        <v>9</v>
      </c>
      <c r="AE3668">
        <v>0</v>
      </c>
      <c r="AF3668">
        <v>3</v>
      </c>
      <c r="AG3668">
        <v>1</v>
      </c>
      <c r="AH3668">
        <v>0</v>
      </c>
      <c r="AI3668" t="s">
        <v>1193</v>
      </c>
      <c r="AJ3668">
        <v>34.074975999999999</v>
      </c>
      <c r="AK3668" t="s">
        <v>1194</v>
      </c>
      <c r="AL3668">
        <v>-117.016582</v>
      </c>
      <c r="AM3668">
        <v>100</v>
      </c>
      <c r="AN3668">
        <v>5300</v>
      </c>
      <c r="AO3668" t="s">
        <v>118</v>
      </c>
      <c r="AP3668">
        <v>25</v>
      </c>
      <c r="AQ3668">
        <v>-96</v>
      </c>
      <c r="AR3668">
        <v>-384</v>
      </c>
      <c r="AZ3668">
        <v>1200</v>
      </c>
      <c r="BA3668">
        <v>1</v>
      </c>
      <c r="BB3668" t="str">
        <f t="shared" si="2034"/>
        <v xml:space="preserve">N9217B  </v>
      </c>
      <c r="BC3668">
        <v>1</v>
      </c>
      <c r="BE3668">
        <v>0</v>
      </c>
      <c r="BF3668">
        <v>0</v>
      </c>
      <c r="BG3668">
        <v>0</v>
      </c>
      <c r="BH3668">
        <v>5125</v>
      </c>
      <c r="BI3668">
        <v>1</v>
      </c>
      <c r="BJ3668">
        <v>0</v>
      </c>
      <c r="BK3668">
        <v>0</v>
      </c>
      <c r="BL3668">
        <v>0</v>
      </c>
      <c r="BO3668">
        <v>0</v>
      </c>
      <c r="BP3668">
        <v>0</v>
      </c>
      <c r="BW3668" t="str">
        <f t="shared" si="2042"/>
        <v>14:58:01.020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6</v>
      </c>
      <c r="CP3668" t="s">
        <v>119</v>
      </c>
      <c r="CQ3668">
        <v>285</v>
      </c>
      <c r="CR3668">
        <v>0</v>
      </c>
      <c r="CW3668">
        <v>8882169</v>
      </c>
      <c r="CY3668">
        <v>0</v>
      </c>
      <c r="CZ3668">
        <v>0</v>
      </c>
      <c r="DA3668">
        <v>1</v>
      </c>
      <c r="DB3668">
        <v>0</v>
      </c>
      <c r="DC3668">
        <v>0</v>
      </c>
      <c r="DD3668">
        <v>0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25">
      <c r="A3669" t="str">
        <f t="shared" ref="A3669:A3674" si="2043">"06/05/2020 14:57:56.254"</f>
        <v>06/05/2020 14:57:56.254</v>
      </c>
      <c r="C3669" t="str">
        <f t="shared" si="2012"/>
        <v>FFDFD3C0</v>
      </c>
      <c r="D3669" t="s">
        <v>141</v>
      </c>
      <c r="E3669">
        <v>20</v>
      </c>
      <c r="F3669">
        <v>1020</v>
      </c>
      <c r="G3669" t="s">
        <v>114</v>
      </c>
      <c r="J3669" t="s">
        <v>142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ref="S3669:T3674" si="2044">"14:58:01.898"</f>
        <v>14:58:01.898</v>
      </c>
      <c r="T3669" t="str">
        <f t="shared" si="2044"/>
        <v>14:58:01.898</v>
      </c>
      <c r="U3669" t="str">
        <f t="shared" si="2033"/>
        <v>ACC530</v>
      </c>
      <c r="V3669">
        <v>0</v>
      </c>
      <c r="W3669">
        <v>0</v>
      </c>
      <c r="X3669">
        <v>1</v>
      </c>
      <c r="Z3669">
        <v>0</v>
      </c>
      <c r="AA3669">
        <v>9</v>
      </c>
      <c r="AB3669">
        <v>3</v>
      </c>
      <c r="AC3669">
        <v>0</v>
      </c>
      <c r="AD3669">
        <v>9</v>
      </c>
      <c r="AE3669">
        <v>0</v>
      </c>
      <c r="AF3669">
        <v>3</v>
      </c>
      <c r="AG3669">
        <v>1</v>
      </c>
      <c r="AH3669">
        <v>0</v>
      </c>
      <c r="AI3669" t="s">
        <v>1195</v>
      </c>
      <c r="AJ3669">
        <v>34.074568999999997</v>
      </c>
      <c r="AK3669" t="s">
        <v>1196</v>
      </c>
      <c r="AL3669">
        <v>-117.016518</v>
      </c>
      <c r="AM3669">
        <v>100</v>
      </c>
      <c r="AN3669">
        <v>5300</v>
      </c>
      <c r="AO3669" t="s">
        <v>118</v>
      </c>
      <c r="AP3669">
        <v>17</v>
      </c>
      <c r="AQ3669">
        <v>-98</v>
      </c>
      <c r="AR3669">
        <v>-320</v>
      </c>
      <c r="AZ3669">
        <v>1200</v>
      </c>
      <c r="BA3669">
        <v>1</v>
      </c>
      <c r="BB3669" t="str">
        <f t="shared" si="2034"/>
        <v xml:space="preserve">N9217B  </v>
      </c>
      <c r="BC3669">
        <v>1</v>
      </c>
      <c r="BE3669">
        <v>0</v>
      </c>
      <c r="BF3669">
        <v>0</v>
      </c>
      <c r="BG3669">
        <v>0</v>
      </c>
      <c r="BH3669">
        <v>5125</v>
      </c>
      <c r="BI3669">
        <v>1</v>
      </c>
      <c r="BJ3669">
        <v>0</v>
      </c>
      <c r="BK3669">
        <v>0</v>
      </c>
      <c r="BL3669">
        <v>0</v>
      </c>
      <c r="BO3669">
        <v>0</v>
      </c>
      <c r="BP3669">
        <v>0</v>
      </c>
      <c r="BW3669" t="str">
        <f t="shared" ref="BW3669:BW3674" si="2045">"14:58:01.905"</f>
        <v>14:58:01.905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6</v>
      </c>
      <c r="CP3669" t="s">
        <v>119</v>
      </c>
      <c r="CQ3669">
        <v>285</v>
      </c>
      <c r="CR3669">
        <v>0</v>
      </c>
      <c r="CW3669">
        <v>8882256</v>
      </c>
      <c r="CY3669">
        <v>0</v>
      </c>
      <c r="CZ3669">
        <v>0</v>
      </c>
      <c r="DA3669">
        <v>0</v>
      </c>
      <c r="DB3669">
        <v>0</v>
      </c>
      <c r="DC3669">
        <v>0</v>
      </c>
      <c r="DD3669">
        <v>0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25">
      <c r="A3670" t="str">
        <f t="shared" si="2043"/>
        <v>06/05/2020 14:57:56.254</v>
      </c>
      <c r="C3670" t="str">
        <f t="shared" si="2012"/>
        <v>FFDFD3C0</v>
      </c>
      <c r="D3670" t="s">
        <v>151</v>
      </c>
      <c r="E3670">
        <v>9</v>
      </c>
      <c r="H3670">
        <v>226</v>
      </c>
      <c r="I3670" t="s">
        <v>152</v>
      </c>
      <c r="J3670" t="s">
        <v>150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 t="shared" si="2044"/>
        <v>14:58:01.898</v>
      </c>
      <c r="T3670" t="str">
        <f t="shared" si="2044"/>
        <v>14:58:01.898</v>
      </c>
      <c r="U3670" t="str">
        <f t="shared" si="2033"/>
        <v>ACC530</v>
      </c>
      <c r="V3670">
        <v>0</v>
      </c>
      <c r="W3670">
        <v>0</v>
      </c>
      <c r="X3670">
        <v>1</v>
      </c>
      <c r="Z3670">
        <v>0</v>
      </c>
      <c r="AA3670">
        <v>9</v>
      </c>
      <c r="AB3670">
        <v>3</v>
      </c>
      <c r="AC3670">
        <v>0</v>
      </c>
      <c r="AD3670">
        <v>9</v>
      </c>
      <c r="AE3670">
        <v>0</v>
      </c>
      <c r="AF3670">
        <v>3</v>
      </c>
      <c r="AG3670">
        <v>1</v>
      </c>
      <c r="AH3670">
        <v>0</v>
      </c>
      <c r="AI3670" t="s">
        <v>1195</v>
      </c>
      <c r="AJ3670">
        <v>34.074568999999997</v>
      </c>
      <c r="AK3670" t="s">
        <v>1196</v>
      </c>
      <c r="AL3670">
        <v>-117.016518</v>
      </c>
      <c r="AM3670">
        <v>100</v>
      </c>
      <c r="AN3670">
        <v>5300</v>
      </c>
      <c r="AO3670" t="s">
        <v>118</v>
      </c>
      <c r="AP3670">
        <v>17</v>
      </c>
      <c r="AQ3670">
        <v>-98</v>
      </c>
      <c r="AR3670">
        <v>-320</v>
      </c>
      <c r="AZ3670">
        <v>1200</v>
      </c>
      <c r="BA3670">
        <v>1</v>
      </c>
      <c r="BB3670" t="str">
        <f t="shared" si="2034"/>
        <v xml:space="preserve">N9217B  </v>
      </c>
      <c r="BC3670">
        <v>1</v>
      </c>
      <c r="BE3670">
        <v>0</v>
      </c>
      <c r="BF3670">
        <v>0</v>
      </c>
      <c r="BG3670">
        <v>0</v>
      </c>
      <c r="BH3670">
        <v>5125</v>
      </c>
      <c r="BI3670">
        <v>1</v>
      </c>
      <c r="BJ3670">
        <v>0</v>
      </c>
      <c r="BK3670">
        <v>0</v>
      </c>
      <c r="BL3670">
        <v>0</v>
      </c>
      <c r="BO3670">
        <v>0</v>
      </c>
      <c r="BP3670">
        <v>0</v>
      </c>
      <c r="BW3670" t="str">
        <f t="shared" si="2045"/>
        <v>14:58:01.905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6</v>
      </c>
      <c r="CP3670" t="s">
        <v>119</v>
      </c>
      <c r="CQ3670">
        <v>285</v>
      </c>
      <c r="CR3670">
        <v>0</v>
      </c>
      <c r="CW3670">
        <v>8882256</v>
      </c>
      <c r="CY3670">
        <v>0</v>
      </c>
      <c r="CZ3670">
        <v>0</v>
      </c>
      <c r="DA3670">
        <v>1</v>
      </c>
      <c r="DB3670">
        <v>0</v>
      </c>
      <c r="DC3670">
        <v>0</v>
      </c>
      <c r="DD3670">
        <v>0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25">
      <c r="A3671" t="str">
        <f t="shared" si="2043"/>
        <v>06/05/2020 14:57:56.254</v>
      </c>
      <c r="C3671" t="str">
        <f t="shared" si="2012"/>
        <v>FFDFD3C0</v>
      </c>
      <c r="D3671" t="s">
        <v>148</v>
      </c>
      <c r="E3671">
        <v>11</v>
      </c>
      <c r="H3671">
        <v>53</v>
      </c>
      <c r="I3671" t="s">
        <v>364</v>
      </c>
      <c r="J3671" t="s">
        <v>150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 t="shared" si="2044"/>
        <v>14:58:01.898</v>
      </c>
      <c r="T3671" t="str">
        <f t="shared" si="2044"/>
        <v>14:58:01.898</v>
      </c>
      <c r="U3671" t="str">
        <f t="shared" si="2033"/>
        <v>ACC530</v>
      </c>
      <c r="V3671">
        <v>0</v>
      </c>
      <c r="W3671">
        <v>0</v>
      </c>
      <c r="X3671">
        <v>1</v>
      </c>
      <c r="Z3671">
        <v>0</v>
      </c>
      <c r="AA3671">
        <v>9</v>
      </c>
      <c r="AB3671">
        <v>3</v>
      </c>
      <c r="AC3671">
        <v>0</v>
      </c>
      <c r="AD3671">
        <v>9</v>
      </c>
      <c r="AE3671">
        <v>0</v>
      </c>
      <c r="AF3671">
        <v>3</v>
      </c>
      <c r="AG3671">
        <v>1</v>
      </c>
      <c r="AH3671">
        <v>0</v>
      </c>
      <c r="AI3671" t="s">
        <v>1195</v>
      </c>
      <c r="AJ3671">
        <v>34.074568999999997</v>
      </c>
      <c r="AK3671" t="s">
        <v>1196</v>
      </c>
      <c r="AL3671">
        <v>-117.016518</v>
      </c>
      <c r="AM3671">
        <v>100</v>
      </c>
      <c r="AN3671">
        <v>5300</v>
      </c>
      <c r="AO3671" t="s">
        <v>118</v>
      </c>
      <c r="AP3671">
        <v>17</v>
      </c>
      <c r="AQ3671">
        <v>-98</v>
      </c>
      <c r="AR3671">
        <v>-320</v>
      </c>
      <c r="AZ3671">
        <v>1200</v>
      </c>
      <c r="BA3671">
        <v>1</v>
      </c>
      <c r="BB3671" t="str">
        <f t="shared" si="2034"/>
        <v xml:space="preserve">N9217B  </v>
      </c>
      <c r="BC3671">
        <v>1</v>
      </c>
      <c r="BE3671">
        <v>0</v>
      </c>
      <c r="BF3671">
        <v>0</v>
      </c>
      <c r="BG3671">
        <v>0</v>
      </c>
      <c r="BH3671">
        <v>5125</v>
      </c>
      <c r="BI3671">
        <v>1</v>
      </c>
      <c r="BJ3671">
        <v>0</v>
      </c>
      <c r="BK3671">
        <v>0</v>
      </c>
      <c r="BL3671">
        <v>0</v>
      </c>
      <c r="BO3671">
        <v>0</v>
      </c>
      <c r="BP3671">
        <v>0</v>
      </c>
      <c r="BW3671" t="str">
        <f t="shared" si="2045"/>
        <v>14:58:01.905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6</v>
      </c>
      <c r="CP3671" t="s">
        <v>119</v>
      </c>
      <c r="CQ3671">
        <v>285</v>
      </c>
      <c r="CR3671">
        <v>0</v>
      </c>
      <c r="CW3671">
        <v>8882256</v>
      </c>
      <c r="CY3671">
        <v>0</v>
      </c>
      <c r="CZ3671">
        <v>0</v>
      </c>
      <c r="DA3671">
        <v>1</v>
      </c>
      <c r="DB3671">
        <v>0</v>
      </c>
      <c r="DC3671">
        <v>0</v>
      </c>
      <c r="DD3671">
        <v>0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25">
      <c r="A3672" t="str">
        <f t="shared" si="2043"/>
        <v>06/05/2020 14:57:56.254</v>
      </c>
      <c r="C3672" t="str">
        <f t="shared" si="2012"/>
        <v>FFDFD3C0</v>
      </c>
      <c r="D3672" t="s">
        <v>148</v>
      </c>
      <c r="E3672">
        <v>8</v>
      </c>
      <c r="H3672">
        <v>50</v>
      </c>
      <c r="I3672" t="s">
        <v>149</v>
      </c>
      <c r="J3672" t="s">
        <v>150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 t="shared" si="2044"/>
        <v>14:58:01.898</v>
      </c>
      <c r="T3672" t="str">
        <f t="shared" si="2044"/>
        <v>14:58:01.898</v>
      </c>
      <c r="U3672" t="str">
        <f t="shared" si="2033"/>
        <v>ACC530</v>
      </c>
      <c r="V3672">
        <v>0</v>
      </c>
      <c r="W3672">
        <v>0</v>
      </c>
      <c r="X3672">
        <v>1</v>
      </c>
      <c r="Z3672">
        <v>0</v>
      </c>
      <c r="AA3672">
        <v>9</v>
      </c>
      <c r="AB3672">
        <v>3</v>
      </c>
      <c r="AC3672">
        <v>0</v>
      </c>
      <c r="AD3672">
        <v>9</v>
      </c>
      <c r="AE3672">
        <v>0</v>
      </c>
      <c r="AF3672">
        <v>3</v>
      </c>
      <c r="AG3672">
        <v>1</v>
      </c>
      <c r="AH3672">
        <v>0</v>
      </c>
      <c r="AI3672" t="s">
        <v>1195</v>
      </c>
      <c r="AJ3672">
        <v>34.074568999999997</v>
      </c>
      <c r="AK3672" t="s">
        <v>1196</v>
      </c>
      <c r="AL3672">
        <v>-117.016518</v>
      </c>
      <c r="AM3672">
        <v>100</v>
      </c>
      <c r="AN3672">
        <v>5300</v>
      </c>
      <c r="AO3672" t="s">
        <v>118</v>
      </c>
      <c r="AP3672">
        <v>17</v>
      </c>
      <c r="AQ3672">
        <v>-98</v>
      </c>
      <c r="AR3672">
        <v>-320</v>
      </c>
      <c r="AZ3672">
        <v>1200</v>
      </c>
      <c r="BA3672">
        <v>1</v>
      </c>
      <c r="BB3672" t="str">
        <f t="shared" si="2034"/>
        <v xml:space="preserve">N9217B  </v>
      </c>
      <c r="BC3672">
        <v>1</v>
      </c>
      <c r="BE3672">
        <v>0</v>
      </c>
      <c r="BF3672">
        <v>0</v>
      </c>
      <c r="BG3672">
        <v>0</v>
      </c>
      <c r="BH3672">
        <v>5125</v>
      </c>
      <c r="BI3672">
        <v>1</v>
      </c>
      <c r="BJ3672">
        <v>0</v>
      </c>
      <c r="BK3672">
        <v>0</v>
      </c>
      <c r="BL3672">
        <v>0</v>
      </c>
      <c r="BO3672">
        <v>0</v>
      </c>
      <c r="BP3672">
        <v>0</v>
      </c>
      <c r="BW3672" t="str">
        <f t="shared" si="2045"/>
        <v>14:58:01.905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6</v>
      </c>
      <c r="CP3672" t="s">
        <v>119</v>
      </c>
      <c r="CQ3672">
        <v>285</v>
      </c>
      <c r="CR3672">
        <v>0</v>
      </c>
      <c r="CW3672">
        <v>8882256</v>
      </c>
      <c r="CY3672">
        <v>0</v>
      </c>
      <c r="CZ3672">
        <v>0</v>
      </c>
      <c r="DA3672">
        <v>1</v>
      </c>
      <c r="DB3672">
        <v>0</v>
      </c>
      <c r="DC3672">
        <v>0</v>
      </c>
      <c r="DD3672">
        <v>0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25">
      <c r="A3673" t="str">
        <f t="shared" si="2043"/>
        <v>06/05/2020 14:57:56.254</v>
      </c>
      <c r="C3673" t="str">
        <f t="shared" si="2012"/>
        <v>FFDFD3C0</v>
      </c>
      <c r="D3673" t="s">
        <v>151</v>
      </c>
      <c r="E3673">
        <v>8</v>
      </c>
      <c r="H3673">
        <v>225</v>
      </c>
      <c r="I3673" t="s">
        <v>353</v>
      </c>
      <c r="J3673" t="s">
        <v>150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 t="shared" si="2044"/>
        <v>14:58:01.898</v>
      </c>
      <c r="T3673" t="str">
        <f t="shared" si="2044"/>
        <v>14:58:01.898</v>
      </c>
      <c r="U3673" t="str">
        <f t="shared" si="2033"/>
        <v>ACC530</v>
      </c>
      <c r="V3673">
        <v>0</v>
      </c>
      <c r="W3673">
        <v>0</v>
      </c>
      <c r="X3673">
        <v>1</v>
      </c>
      <c r="Z3673">
        <v>0</v>
      </c>
      <c r="AA3673">
        <v>9</v>
      </c>
      <c r="AB3673">
        <v>3</v>
      </c>
      <c r="AC3673">
        <v>0</v>
      </c>
      <c r="AD3673">
        <v>9</v>
      </c>
      <c r="AE3673">
        <v>0</v>
      </c>
      <c r="AF3673">
        <v>3</v>
      </c>
      <c r="AG3673">
        <v>1</v>
      </c>
      <c r="AH3673">
        <v>0</v>
      </c>
      <c r="AI3673" t="s">
        <v>1195</v>
      </c>
      <c r="AJ3673">
        <v>34.074568999999997</v>
      </c>
      <c r="AK3673" t="s">
        <v>1196</v>
      </c>
      <c r="AL3673">
        <v>-117.016518</v>
      </c>
      <c r="AM3673">
        <v>100</v>
      </c>
      <c r="AN3673">
        <v>5300</v>
      </c>
      <c r="AO3673" t="s">
        <v>118</v>
      </c>
      <c r="AP3673">
        <v>17</v>
      </c>
      <c r="AQ3673">
        <v>-98</v>
      </c>
      <c r="AR3673">
        <v>-320</v>
      </c>
      <c r="AZ3673">
        <v>1200</v>
      </c>
      <c r="BA3673">
        <v>1</v>
      </c>
      <c r="BB3673" t="str">
        <f t="shared" si="2034"/>
        <v xml:space="preserve">N9217B  </v>
      </c>
      <c r="BC3673">
        <v>1</v>
      </c>
      <c r="BE3673">
        <v>0</v>
      </c>
      <c r="BF3673">
        <v>0</v>
      </c>
      <c r="BG3673">
        <v>0</v>
      </c>
      <c r="BH3673">
        <v>5125</v>
      </c>
      <c r="BI3673">
        <v>1</v>
      </c>
      <c r="BJ3673">
        <v>0</v>
      </c>
      <c r="BK3673">
        <v>0</v>
      </c>
      <c r="BL3673">
        <v>0</v>
      </c>
      <c r="BO3673">
        <v>0</v>
      </c>
      <c r="BP3673">
        <v>0</v>
      </c>
      <c r="BW3673" t="str">
        <f t="shared" si="2045"/>
        <v>14:58:01.905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6</v>
      </c>
      <c r="CP3673" t="s">
        <v>119</v>
      </c>
      <c r="CQ3673">
        <v>285</v>
      </c>
      <c r="CR3673">
        <v>0</v>
      </c>
      <c r="CW3673">
        <v>8882256</v>
      </c>
      <c r="CY3673">
        <v>0</v>
      </c>
      <c r="CZ3673">
        <v>0</v>
      </c>
      <c r="DA3673">
        <v>1</v>
      </c>
      <c r="DB3673">
        <v>0</v>
      </c>
      <c r="DC3673">
        <v>0</v>
      </c>
      <c r="DD3673">
        <v>0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25">
      <c r="A3674" t="str">
        <f t="shared" si="2043"/>
        <v>06/05/2020 14:57:56.254</v>
      </c>
      <c r="C3674" t="str">
        <f t="shared" si="2012"/>
        <v>FFDFD3C0</v>
      </c>
      <c r="D3674" t="s">
        <v>113</v>
      </c>
      <c r="E3674">
        <v>3</v>
      </c>
      <c r="H3674">
        <v>166</v>
      </c>
      <c r="I3674" t="s">
        <v>114</v>
      </c>
      <c r="J3674" t="s">
        <v>115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 t="shared" si="2044"/>
        <v>14:58:01.898</v>
      </c>
      <c r="T3674" t="str">
        <f t="shared" si="2044"/>
        <v>14:58:01.898</v>
      </c>
      <c r="U3674" t="str">
        <f t="shared" si="2033"/>
        <v>ACC530</v>
      </c>
      <c r="V3674">
        <v>0</v>
      </c>
      <c r="W3674">
        <v>0</v>
      </c>
      <c r="X3674">
        <v>1</v>
      </c>
      <c r="Z3674">
        <v>0</v>
      </c>
      <c r="AA3674">
        <v>9</v>
      </c>
      <c r="AB3674">
        <v>3</v>
      </c>
      <c r="AC3674">
        <v>0</v>
      </c>
      <c r="AD3674">
        <v>9</v>
      </c>
      <c r="AE3674">
        <v>0</v>
      </c>
      <c r="AF3674">
        <v>3</v>
      </c>
      <c r="AG3674">
        <v>1</v>
      </c>
      <c r="AH3674">
        <v>0</v>
      </c>
      <c r="AI3674" t="s">
        <v>1195</v>
      </c>
      <c r="AJ3674">
        <v>34.074568999999997</v>
      </c>
      <c r="AK3674" t="s">
        <v>1196</v>
      </c>
      <c r="AL3674">
        <v>-117.016518</v>
      </c>
      <c r="AM3674">
        <v>100</v>
      </c>
      <c r="AN3674">
        <v>5300</v>
      </c>
      <c r="AO3674" t="s">
        <v>118</v>
      </c>
      <c r="AP3674">
        <v>17</v>
      </c>
      <c r="AQ3674">
        <v>-98</v>
      </c>
      <c r="AR3674">
        <v>-320</v>
      </c>
      <c r="AZ3674">
        <v>1200</v>
      </c>
      <c r="BA3674">
        <v>1</v>
      </c>
      <c r="BB3674" t="str">
        <f t="shared" si="2034"/>
        <v xml:space="preserve">N9217B  </v>
      </c>
      <c r="BC3674">
        <v>1</v>
      </c>
      <c r="BE3674">
        <v>0</v>
      </c>
      <c r="BF3674">
        <v>0</v>
      </c>
      <c r="BG3674">
        <v>0</v>
      </c>
      <c r="BH3674">
        <v>5125</v>
      </c>
      <c r="BI3674">
        <v>1</v>
      </c>
      <c r="BJ3674">
        <v>0</v>
      </c>
      <c r="BK3674">
        <v>0</v>
      </c>
      <c r="BL3674">
        <v>0</v>
      </c>
      <c r="BO3674">
        <v>0</v>
      </c>
      <c r="BP3674">
        <v>0</v>
      </c>
      <c r="BW3674" t="str">
        <f t="shared" si="2045"/>
        <v>14:58:01.905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6</v>
      </c>
      <c r="CP3674" t="s">
        <v>119</v>
      </c>
      <c r="CQ3674">
        <v>285</v>
      </c>
      <c r="CR3674">
        <v>0</v>
      </c>
      <c r="CW3674">
        <v>8882256</v>
      </c>
      <c r="CY3674">
        <v>0</v>
      </c>
      <c r="CZ3674">
        <v>0</v>
      </c>
      <c r="DA3674">
        <v>1</v>
      </c>
      <c r="DB3674">
        <v>0</v>
      </c>
      <c r="DC3674">
        <v>0</v>
      </c>
      <c r="DD3674">
        <v>0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25">
      <c r="A3675" t="str">
        <f t="shared" ref="A3675:A3681" si="2046">"06/05/2020 14:57:57.414"</f>
        <v>06/05/2020 14:57:57.414</v>
      </c>
      <c r="C3675" t="str">
        <f t="shared" si="2012"/>
        <v>FFDFD3C0</v>
      </c>
      <c r="D3675" t="s">
        <v>141</v>
      </c>
      <c r="E3675">
        <v>20</v>
      </c>
      <c r="F3675">
        <v>1020</v>
      </c>
      <c r="G3675" t="s">
        <v>114</v>
      </c>
      <c r="J3675" t="s">
        <v>142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 t="shared" ref="S3675:S3681" si="2047">"14:58:03.023"</f>
        <v>14:58:03.023</v>
      </c>
      <c r="T3675" t="str">
        <f t="shared" ref="T3675:T3681" si="2048">"14:58:02.823"</f>
        <v>14:58:02.823</v>
      </c>
      <c r="U3675" t="str">
        <f t="shared" si="2033"/>
        <v>ACC530</v>
      </c>
      <c r="V3675">
        <v>0</v>
      </c>
      <c r="W3675">
        <v>0</v>
      </c>
      <c r="X3675">
        <v>1</v>
      </c>
      <c r="Z3675">
        <v>0</v>
      </c>
      <c r="AA3675">
        <v>9</v>
      </c>
      <c r="AB3675">
        <v>3</v>
      </c>
      <c r="AC3675">
        <v>0</v>
      </c>
      <c r="AD3675">
        <v>9</v>
      </c>
      <c r="AE3675">
        <v>0</v>
      </c>
      <c r="AF3675">
        <v>3</v>
      </c>
      <c r="AG3675">
        <v>1</v>
      </c>
      <c r="AH3675">
        <v>0</v>
      </c>
      <c r="AI3675" t="s">
        <v>1197</v>
      </c>
      <c r="AJ3675">
        <v>34.074053999999997</v>
      </c>
      <c r="AK3675" t="s">
        <v>1198</v>
      </c>
      <c r="AL3675">
        <v>-117.016475</v>
      </c>
      <c r="AM3675">
        <v>100</v>
      </c>
      <c r="AN3675">
        <v>5300</v>
      </c>
      <c r="AO3675" t="s">
        <v>118</v>
      </c>
      <c r="AP3675">
        <v>9</v>
      </c>
      <c r="AQ3675">
        <v>-99</v>
      </c>
      <c r="AR3675">
        <v>-128</v>
      </c>
      <c r="AZ3675">
        <v>1200</v>
      </c>
      <c r="BA3675">
        <v>1</v>
      </c>
      <c r="BB3675" t="str">
        <f t="shared" si="2034"/>
        <v xml:space="preserve">N9217B  </v>
      </c>
      <c r="BC3675">
        <v>1</v>
      </c>
      <c r="BE3675">
        <v>0</v>
      </c>
      <c r="BF3675">
        <v>0</v>
      </c>
      <c r="BG3675">
        <v>0</v>
      </c>
      <c r="BH3675">
        <v>5125</v>
      </c>
      <c r="BI3675">
        <v>1</v>
      </c>
      <c r="BJ3675">
        <v>0</v>
      </c>
      <c r="BK3675">
        <v>0</v>
      </c>
      <c r="BL3675">
        <v>0</v>
      </c>
      <c r="BO3675">
        <v>0</v>
      </c>
      <c r="BP3675">
        <v>0</v>
      </c>
      <c r="BW3675" t="str">
        <f t="shared" ref="BW3675:BW3681" si="2049">"14:58:03.030"</f>
        <v>14:58:03.030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7</v>
      </c>
      <c r="CP3675" t="s">
        <v>119</v>
      </c>
      <c r="CQ3675">
        <v>285</v>
      </c>
      <c r="CR3675">
        <v>0</v>
      </c>
      <c r="CW3675">
        <v>8882351</v>
      </c>
      <c r="CY3675">
        <v>0</v>
      </c>
      <c r="CZ3675">
        <v>0</v>
      </c>
      <c r="DA3675">
        <v>0</v>
      </c>
      <c r="DB3675">
        <v>0</v>
      </c>
      <c r="DC3675">
        <v>0</v>
      </c>
      <c r="DD3675">
        <v>0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25">
      <c r="A3676" t="str">
        <f t="shared" si="2046"/>
        <v>06/05/2020 14:57:57.414</v>
      </c>
      <c r="C3676" t="str">
        <f t="shared" si="2012"/>
        <v>FFDFD3C0</v>
      </c>
      <c r="D3676" t="s">
        <v>151</v>
      </c>
      <c r="E3676">
        <v>9</v>
      </c>
      <c r="H3676">
        <v>226</v>
      </c>
      <c r="I3676" t="s">
        <v>152</v>
      </c>
      <c r="J3676" t="s">
        <v>150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 t="shared" si="2047"/>
        <v>14:58:03.023</v>
      </c>
      <c r="T3676" t="str">
        <f t="shared" si="2048"/>
        <v>14:58:02.823</v>
      </c>
      <c r="U3676" t="str">
        <f t="shared" si="2033"/>
        <v>ACC530</v>
      </c>
      <c r="V3676">
        <v>0</v>
      </c>
      <c r="W3676">
        <v>0</v>
      </c>
      <c r="X3676">
        <v>1</v>
      </c>
      <c r="Z3676">
        <v>0</v>
      </c>
      <c r="AA3676">
        <v>9</v>
      </c>
      <c r="AB3676">
        <v>3</v>
      </c>
      <c r="AC3676">
        <v>0</v>
      </c>
      <c r="AD3676">
        <v>9</v>
      </c>
      <c r="AE3676">
        <v>0</v>
      </c>
      <c r="AF3676">
        <v>3</v>
      </c>
      <c r="AG3676">
        <v>1</v>
      </c>
      <c r="AH3676">
        <v>0</v>
      </c>
      <c r="AI3676" t="s">
        <v>1197</v>
      </c>
      <c r="AJ3676">
        <v>34.074053999999997</v>
      </c>
      <c r="AK3676" t="s">
        <v>1198</v>
      </c>
      <c r="AL3676">
        <v>-117.016475</v>
      </c>
      <c r="AM3676">
        <v>100</v>
      </c>
      <c r="AN3676">
        <v>5300</v>
      </c>
      <c r="AO3676" t="s">
        <v>118</v>
      </c>
      <c r="AP3676">
        <v>9</v>
      </c>
      <c r="AQ3676">
        <v>-99</v>
      </c>
      <c r="AR3676">
        <v>-128</v>
      </c>
      <c r="AZ3676">
        <v>1200</v>
      </c>
      <c r="BA3676">
        <v>1</v>
      </c>
      <c r="BB3676" t="str">
        <f t="shared" si="2034"/>
        <v xml:space="preserve">N9217B  </v>
      </c>
      <c r="BC3676">
        <v>1</v>
      </c>
      <c r="BE3676">
        <v>0</v>
      </c>
      <c r="BF3676">
        <v>0</v>
      </c>
      <c r="BG3676">
        <v>0</v>
      </c>
      <c r="BH3676">
        <v>5125</v>
      </c>
      <c r="BI3676">
        <v>1</v>
      </c>
      <c r="BJ3676">
        <v>0</v>
      </c>
      <c r="BK3676">
        <v>0</v>
      </c>
      <c r="BL3676">
        <v>0</v>
      </c>
      <c r="BO3676">
        <v>0</v>
      </c>
      <c r="BP3676">
        <v>0</v>
      </c>
      <c r="BW3676" t="str">
        <f t="shared" si="2049"/>
        <v>14:58:03.030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7</v>
      </c>
      <c r="CP3676" t="s">
        <v>119</v>
      </c>
      <c r="CQ3676">
        <v>285</v>
      </c>
      <c r="CR3676">
        <v>0</v>
      </c>
      <c r="CW3676">
        <v>8882351</v>
      </c>
      <c r="CY3676">
        <v>0</v>
      </c>
      <c r="CZ3676">
        <v>0</v>
      </c>
      <c r="DA3676">
        <v>1</v>
      </c>
      <c r="DB3676">
        <v>0</v>
      </c>
      <c r="DC3676">
        <v>0</v>
      </c>
      <c r="DD3676">
        <v>0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25">
      <c r="A3677" t="str">
        <f t="shared" si="2046"/>
        <v>06/05/2020 14:57:57.414</v>
      </c>
      <c r="C3677" t="str">
        <f t="shared" si="2012"/>
        <v>FFDFD3C0</v>
      </c>
      <c r="D3677" t="s">
        <v>148</v>
      </c>
      <c r="E3677">
        <v>11</v>
      </c>
      <c r="H3677">
        <v>53</v>
      </c>
      <c r="I3677" t="s">
        <v>364</v>
      </c>
      <c r="J3677" t="s">
        <v>150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 t="shared" si="2047"/>
        <v>14:58:03.023</v>
      </c>
      <c r="T3677" t="str">
        <f t="shared" si="2048"/>
        <v>14:58:02.823</v>
      </c>
      <c r="U3677" t="str">
        <f t="shared" si="2033"/>
        <v>ACC530</v>
      </c>
      <c r="V3677">
        <v>0</v>
      </c>
      <c r="W3677">
        <v>0</v>
      </c>
      <c r="X3677">
        <v>1</v>
      </c>
      <c r="Z3677">
        <v>0</v>
      </c>
      <c r="AA3677">
        <v>9</v>
      </c>
      <c r="AB3677">
        <v>3</v>
      </c>
      <c r="AC3677">
        <v>0</v>
      </c>
      <c r="AD3677">
        <v>9</v>
      </c>
      <c r="AE3677">
        <v>0</v>
      </c>
      <c r="AF3677">
        <v>3</v>
      </c>
      <c r="AG3677">
        <v>1</v>
      </c>
      <c r="AH3677">
        <v>0</v>
      </c>
      <c r="AI3677" t="s">
        <v>1197</v>
      </c>
      <c r="AJ3677">
        <v>34.074053999999997</v>
      </c>
      <c r="AK3677" t="s">
        <v>1198</v>
      </c>
      <c r="AL3677">
        <v>-117.016475</v>
      </c>
      <c r="AM3677">
        <v>100</v>
      </c>
      <c r="AN3677">
        <v>5300</v>
      </c>
      <c r="AO3677" t="s">
        <v>118</v>
      </c>
      <c r="AP3677">
        <v>9</v>
      </c>
      <c r="AQ3677">
        <v>-99</v>
      </c>
      <c r="AR3677">
        <v>-128</v>
      </c>
      <c r="AZ3677">
        <v>1200</v>
      </c>
      <c r="BA3677">
        <v>1</v>
      </c>
      <c r="BB3677" t="str">
        <f t="shared" si="2034"/>
        <v xml:space="preserve">N9217B  </v>
      </c>
      <c r="BC3677">
        <v>1</v>
      </c>
      <c r="BE3677">
        <v>0</v>
      </c>
      <c r="BF3677">
        <v>0</v>
      </c>
      <c r="BG3677">
        <v>0</v>
      </c>
      <c r="BH3677">
        <v>5125</v>
      </c>
      <c r="BI3677">
        <v>1</v>
      </c>
      <c r="BJ3677">
        <v>0</v>
      </c>
      <c r="BK3677">
        <v>0</v>
      </c>
      <c r="BL3677">
        <v>0</v>
      </c>
      <c r="BO3677">
        <v>0</v>
      </c>
      <c r="BP3677">
        <v>0</v>
      </c>
      <c r="BW3677" t="str">
        <f t="shared" si="2049"/>
        <v>14:58:03.030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7</v>
      </c>
      <c r="CP3677" t="s">
        <v>119</v>
      </c>
      <c r="CQ3677">
        <v>285</v>
      </c>
      <c r="CR3677">
        <v>0</v>
      </c>
      <c r="CW3677">
        <v>8882351</v>
      </c>
      <c r="CY3677">
        <v>0</v>
      </c>
      <c r="CZ3677">
        <v>0</v>
      </c>
      <c r="DA3677">
        <v>1</v>
      </c>
      <c r="DB3677">
        <v>0</v>
      </c>
      <c r="DC3677">
        <v>0</v>
      </c>
      <c r="DD3677">
        <v>0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25">
      <c r="A3678" t="str">
        <f t="shared" si="2046"/>
        <v>06/05/2020 14:57:57.414</v>
      </c>
      <c r="C3678" t="str">
        <f t="shared" si="2012"/>
        <v>FFDFD3C0</v>
      </c>
      <c r="D3678" t="s">
        <v>148</v>
      </c>
      <c r="E3678">
        <v>8</v>
      </c>
      <c r="H3678">
        <v>50</v>
      </c>
      <c r="I3678" t="s">
        <v>149</v>
      </c>
      <c r="J3678" t="s">
        <v>150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 t="shared" si="2047"/>
        <v>14:58:03.023</v>
      </c>
      <c r="T3678" t="str">
        <f t="shared" si="2048"/>
        <v>14:58:02.823</v>
      </c>
      <c r="U3678" t="str">
        <f t="shared" si="2033"/>
        <v>ACC530</v>
      </c>
      <c r="V3678">
        <v>0</v>
      </c>
      <c r="W3678">
        <v>0</v>
      </c>
      <c r="X3678">
        <v>1</v>
      </c>
      <c r="Z3678">
        <v>0</v>
      </c>
      <c r="AA3678">
        <v>9</v>
      </c>
      <c r="AB3678">
        <v>3</v>
      </c>
      <c r="AC3678">
        <v>0</v>
      </c>
      <c r="AD3678">
        <v>9</v>
      </c>
      <c r="AE3678">
        <v>0</v>
      </c>
      <c r="AF3678">
        <v>3</v>
      </c>
      <c r="AG3678">
        <v>1</v>
      </c>
      <c r="AH3678">
        <v>0</v>
      </c>
      <c r="AI3678" t="s">
        <v>1197</v>
      </c>
      <c r="AJ3678">
        <v>34.074053999999997</v>
      </c>
      <c r="AK3678" t="s">
        <v>1198</v>
      </c>
      <c r="AL3678">
        <v>-117.016475</v>
      </c>
      <c r="AM3678">
        <v>100</v>
      </c>
      <c r="AN3678">
        <v>5300</v>
      </c>
      <c r="AO3678" t="s">
        <v>118</v>
      </c>
      <c r="AP3678">
        <v>9</v>
      </c>
      <c r="AQ3678">
        <v>-99</v>
      </c>
      <c r="AR3678">
        <v>-128</v>
      </c>
      <c r="AZ3678">
        <v>1200</v>
      </c>
      <c r="BA3678">
        <v>1</v>
      </c>
      <c r="BB3678" t="str">
        <f t="shared" si="2034"/>
        <v xml:space="preserve">N9217B  </v>
      </c>
      <c r="BC3678">
        <v>1</v>
      </c>
      <c r="BE3678">
        <v>0</v>
      </c>
      <c r="BF3678">
        <v>0</v>
      </c>
      <c r="BG3678">
        <v>0</v>
      </c>
      <c r="BH3678">
        <v>5125</v>
      </c>
      <c r="BI3678">
        <v>1</v>
      </c>
      <c r="BJ3678">
        <v>0</v>
      </c>
      <c r="BK3678">
        <v>0</v>
      </c>
      <c r="BL3678">
        <v>0</v>
      </c>
      <c r="BO3678">
        <v>0</v>
      </c>
      <c r="BP3678">
        <v>0</v>
      </c>
      <c r="BW3678" t="str">
        <f t="shared" si="2049"/>
        <v>14:58:03.030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7</v>
      </c>
      <c r="CP3678" t="s">
        <v>119</v>
      </c>
      <c r="CQ3678">
        <v>285</v>
      </c>
      <c r="CR3678">
        <v>0</v>
      </c>
      <c r="CW3678">
        <v>8882351</v>
      </c>
      <c r="CY3678">
        <v>0</v>
      </c>
      <c r="CZ3678">
        <v>0</v>
      </c>
      <c r="DA3678">
        <v>1</v>
      </c>
      <c r="DB3678">
        <v>0</v>
      </c>
      <c r="DC3678">
        <v>0</v>
      </c>
      <c r="DD3678">
        <v>0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25">
      <c r="A3679" t="str">
        <f t="shared" si="2046"/>
        <v>06/05/2020 14:57:57.414</v>
      </c>
      <c r="C3679" t="str">
        <f t="shared" si="2012"/>
        <v>FFDFD3C0</v>
      </c>
      <c r="D3679" t="s">
        <v>134</v>
      </c>
      <c r="E3679">
        <v>7</v>
      </c>
      <c r="F3679">
        <v>2007</v>
      </c>
      <c r="G3679" t="s">
        <v>135</v>
      </c>
      <c r="J3679" t="s">
        <v>136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 t="shared" si="2047"/>
        <v>14:58:03.023</v>
      </c>
      <c r="T3679" t="str">
        <f t="shared" si="2048"/>
        <v>14:58:02.823</v>
      </c>
      <c r="U3679" t="str">
        <f t="shared" si="2033"/>
        <v>ACC530</v>
      </c>
      <c r="V3679">
        <v>0</v>
      </c>
      <c r="W3679">
        <v>0</v>
      </c>
      <c r="X3679">
        <v>1</v>
      </c>
      <c r="Z3679">
        <v>0</v>
      </c>
      <c r="AA3679">
        <v>9</v>
      </c>
      <c r="AB3679">
        <v>3</v>
      </c>
      <c r="AC3679">
        <v>0</v>
      </c>
      <c r="AD3679">
        <v>9</v>
      </c>
      <c r="AE3679">
        <v>0</v>
      </c>
      <c r="AF3679">
        <v>3</v>
      </c>
      <c r="AG3679">
        <v>1</v>
      </c>
      <c r="AH3679">
        <v>0</v>
      </c>
      <c r="AI3679" t="s">
        <v>1197</v>
      </c>
      <c r="AJ3679">
        <v>34.074053999999997</v>
      </c>
      <c r="AK3679" t="s">
        <v>1198</v>
      </c>
      <c r="AL3679">
        <v>-117.016475</v>
      </c>
      <c r="AM3679">
        <v>100</v>
      </c>
      <c r="AN3679">
        <v>5300</v>
      </c>
      <c r="AO3679" t="s">
        <v>118</v>
      </c>
      <c r="AP3679">
        <v>9</v>
      </c>
      <c r="AQ3679">
        <v>-99</v>
      </c>
      <c r="AR3679">
        <v>-128</v>
      </c>
      <c r="AZ3679">
        <v>1200</v>
      </c>
      <c r="BA3679">
        <v>1</v>
      </c>
      <c r="BB3679" t="str">
        <f t="shared" si="2034"/>
        <v xml:space="preserve">N9217B  </v>
      </c>
      <c r="BC3679">
        <v>1</v>
      </c>
      <c r="BE3679">
        <v>0</v>
      </c>
      <c r="BF3679">
        <v>0</v>
      </c>
      <c r="BG3679">
        <v>0</v>
      </c>
      <c r="BH3679">
        <v>5125</v>
      </c>
      <c r="BI3679">
        <v>1</v>
      </c>
      <c r="BJ3679">
        <v>0</v>
      </c>
      <c r="BK3679">
        <v>0</v>
      </c>
      <c r="BL3679">
        <v>0</v>
      </c>
      <c r="BO3679">
        <v>0</v>
      </c>
      <c r="BP3679">
        <v>0</v>
      </c>
      <c r="BW3679" t="str">
        <f t="shared" si="2049"/>
        <v>14:58:03.030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7</v>
      </c>
      <c r="CP3679" t="s">
        <v>119</v>
      </c>
      <c r="CQ3679">
        <v>285</v>
      </c>
      <c r="CR3679">
        <v>0</v>
      </c>
      <c r="CW3679">
        <v>8882351</v>
      </c>
      <c r="CY3679">
        <v>0</v>
      </c>
      <c r="CZ3679">
        <v>0</v>
      </c>
      <c r="DA3679">
        <v>1</v>
      </c>
      <c r="DB3679">
        <v>0</v>
      </c>
      <c r="DC3679">
        <v>0</v>
      </c>
      <c r="DD3679">
        <v>0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25">
      <c r="A3680" t="str">
        <f t="shared" si="2046"/>
        <v>06/05/2020 14:57:57.414</v>
      </c>
      <c r="C3680" t="str">
        <f t="shared" si="2012"/>
        <v>FFDFD3C0</v>
      </c>
      <c r="D3680" t="s">
        <v>113</v>
      </c>
      <c r="E3680">
        <v>3</v>
      </c>
      <c r="H3680">
        <v>166</v>
      </c>
      <c r="I3680" t="s">
        <v>114</v>
      </c>
      <c r="J3680" t="s">
        <v>115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si="2047"/>
        <v>14:58:03.023</v>
      </c>
      <c r="T3680" t="str">
        <f t="shared" si="2048"/>
        <v>14:58:02.823</v>
      </c>
      <c r="U3680" t="str">
        <f t="shared" si="2033"/>
        <v>ACC530</v>
      </c>
      <c r="V3680">
        <v>0</v>
      </c>
      <c r="W3680">
        <v>0</v>
      </c>
      <c r="X3680">
        <v>1</v>
      </c>
      <c r="Z3680">
        <v>0</v>
      </c>
      <c r="AA3680">
        <v>9</v>
      </c>
      <c r="AB3680">
        <v>3</v>
      </c>
      <c r="AC3680">
        <v>0</v>
      </c>
      <c r="AD3680">
        <v>9</v>
      </c>
      <c r="AE3680">
        <v>0</v>
      </c>
      <c r="AF3680">
        <v>3</v>
      </c>
      <c r="AG3680">
        <v>1</v>
      </c>
      <c r="AH3680">
        <v>0</v>
      </c>
      <c r="AI3680" t="s">
        <v>1197</v>
      </c>
      <c r="AJ3680">
        <v>34.074053999999997</v>
      </c>
      <c r="AK3680" t="s">
        <v>1198</v>
      </c>
      <c r="AL3680">
        <v>-117.016475</v>
      </c>
      <c r="AM3680">
        <v>100</v>
      </c>
      <c r="AN3680">
        <v>5300</v>
      </c>
      <c r="AO3680" t="s">
        <v>118</v>
      </c>
      <c r="AP3680">
        <v>9</v>
      </c>
      <c r="AQ3680">
        <v>-99</v>
      </c>
      <c r="AR3680">
        <v>-128</v>
      </c>
      <c r="AZ3680">
        <v>1200</v>
      </c>
      <c r="BA3680">
        <v>1</v>
      </c>
      <c r="BB3680" t="str">
        <f t="shared" si="2034"/>
        <v xml:space="preserve">N9217B  </v>
      </c>
      <c r="BC3680">
        <v>1</v>
      </c>
      <c r="BE3680">
        <v>0</v>
      </c>
      <c r="BF3680">
        <v>0</v>
      </c>
      <c r="BG3680">
        <v>0</v>
      </c>
      <c r="BH3680">
        <v>5125</v>
      </c>
      <c r="BI3680">
        <v>1</v>
      </c>
      <c r="BJ3680">
        <v>0</v>
      </c>
      <c r="BK3680">
        <v>0</v>
      </c>
      <c r="BL3680">
        <v>0</v>
      </c>
      <c r="BO3680">
        <v>0</v>
      </c>
      <c r="BP3680">
        <v>0</v>
      </c>
      <c r="BW3680" t="str">
        <f t="shared" si="2049"/>
        <v>14:58:03.030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7</v>
      </c>
      <c r="CP3680" t="s">
        <v>119</v>
      </c>
      <c r="CQ3680">
        <v>285</v>
      </c>
      <c r="CR3680">
        <v>0</v>
      </c>
      <c r="CW3680">
        <v>8882351</v>
      </c>
      <c r="CY3680">
        <v>0</v>
      </c>
      <c r="CZ3680">
        <v>0</v>
      </c>
      <c r="DA3680">
        <v>1</v>
      </c>
      <c r="DB3680">
        <v>0</v>
      </c>
      <c r="DC3680">
        <v>0</v>
      </c>
      <c r="DD3680">
        <v>0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25">
      <c r="A3681" t="str">
        <f t="shared" si="2046"/>
        <v>06/05/2020 14:57:57.414</v>
      </c>
      <c r="C3681" t="str">
        <f t="shared" si="2012"/>
        <v>FFDFD3C0</v>
      </c>
      <c r="D3681" t="s">
        <v>151</v>
      </c>
      <c r="E3681">
        <v>8</v>
      </c>
      <c r="H3681">
        <v>225</v>
      </c>
      <c r="I3681" t="s">
        <v>353</v>
      </c>
      <c r="J3681" t="s">
        <v>150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si="2047"/>
        <v>14:58:03.023</v>
      </c>
      <c r="T3681" t="str">
        <f t="shared" si="2048"/>
        <v>14:58:02.823</v>
      </c>
      <c r="U3681" t="str">
        <f t="shared" si="2033"/>
        <v>ACC530</v>
      </c>
      <c r="V3681">
        <v>0</v>
      </c>
      <c r="W3681">
        <v>0</v>
      </c>
      <c r="X3681">
        <v>1</v>
      </c>
      <c r="Z3681">
        <v>0</v>
      </c>
      <c r="AA3681">
        <v>9</v>
      </c>
      <c r="AB3681">
        <v>3</v>
      </c>
      <c r="AC3681">
        <v>0</v>
      </c>
      <c r="AD3681">
        <v>9</v>
      </c>
      <c r="AE3681">
        <v>0</v>
      </c>
      <c r="AF3681">
        <v>3</v>
      </c>
      <c r="AG3681">
        <v>1</v>
      </c>
      <c r="AH3681">
        <v>0</v>
      </c>
      <c r="AI3681" t="s">
        <v>1197</v>
      </c>
      <c r="AJ3681">
        <v>34.074053999999997</v>
      </c>
      <c r="AK3681" t="s">
        <v>1198</v>
      </c>
      <c r="AL3681">
        <v>-117.016475</v>
      </c>
      <c r="AM3681">
        <v>100</v>
      </c>
      <c r="AN3681">
        <v>5300</v>
      </c>
      <c r="AO3681" t="s">
        <v>118</v>
      </c>
      <c r="AP3681">
        <v>9</v>
      </c>
      <c r="AQ3681">
        <v>-99</v>
      </c>
      <c r="AR3681">
        <v>-128</v>
      </c>
      <c r="AZ3681">
        <v>1200</v>
      </c>
      <c r="BA3681">
        <v>1</v>
      </c>
      <c r="BB3681" t="str">
        <f t="shared" si="2034"/>
        <v xml:space="preserve">N9217B  </v>
      </c>
      <c r="BC3681">
        <v>1</v>
      </c>
      <c r="BE3681">
        <v>0</v>
      </c>
      <c r="BF3681">
        <v>0</v>
      </c>
      <c r="BG3681">
        <v>0</v>
      </c>
      <c r="BH3681">
        <v>5125</v>
      </c>
      <c r="BI3681">
        <v>1</v>
      </c>
      <c r="BJ3681">
        <v>0</v>
      </c>
      <c r="BK3681">
        <v>0</v>
      </c>
      <c r="BL3681">
        <v>0</v>
      </c>
      <c r="BO3681">
        <v>0</v>
      </c>
      <c r="BP3681">
        <v>0</v>
      </c>
      <c r="BW3681" t="str">
        <f t="shared" si="2049"/>
        <v>14:58:03.030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7</v>
      </c>
      <c r="CP3681" t="s">
        <v>119</v>
      </c>
      <c r="CQ3681">
        <v>285</v>
      </c>
      <c r="CR3681">
        <v>0</v>
      </c>
      <c r="CW3681">
        <v>8882351</v>
      </c>
      <c r="CY3681">
        <v>0</v>
      </c>
      <c r="CZ3681">
        <v>0</v>
      </c>
      <c r="DA3681">
        <v>1</v>
      </c>
      <c r="DB3681">
        <v>0</v>
      </c>
      <c r="DC3681">
        <v>0</v>
      </c>
      <c r="DD3681">
        <v>0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25">
      <c r="A3682" t="str">
        <f t="shared" ref="A3682:A3688" si="2050">"06/05/2020 14:57:58.554"</f>
        <v>06/05/2020 14:57:58.554</v>
      </c>
      <c r="C3682" t="str">
        <f t="shared" si="2012"/>
        <v>FFDFD3C0</v>
      </c>
      <c r="D3682" t="s">
        <v>134</v>
      </c>
      <c r="E3682">
        <v>7</v>
      </c>
      <c r="F3682">
        <v>2007</v>
      </c>
      <c r="G3682" t="s">
        <v>135</v>
      </c>
      <c r="J3682" t="s">
        <v>136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ref="S3682:S3688" si="2051">"14:58:04.180"</f>
        <v>14:58:04.180</v>
      </c>
      <c r="T3682" t="str">
        <f t="shared" ref="T3682:T3688" si="2052">"14:58:03.880"</f>
        <v>14:58:03.880</v>
      </c>
      <c r="U3682" t="str">
        <f t="shared" si="2033"/>
        <v>ACC530</v>
      </c>
      <c r="V3682">
        <v>0</v>
      </c>
      <c r="W3682">
        <v>0</v>
      </c>
      <c r="X3682">
        <v>1</v>
      </c>
      <c r="Z3682">
        <v>0</v>
      </c>
      <c r="AA3682">
        <v>9</v>
      </c>
      <c r="AB3682">
        <v>3</v>
      </c>
      <c r="AC3682">
        <v>0</v>
      </c>
      <c r="AD3682">
        <v>9</v>
      </c>
      <c r="AE3682">
        <v>0</v>
      </c>
      <c r="AF3682">
        <v>3</v>
      </c>
      <c r="AG3682">
        <v>1</v>
      </c>
      <c r="AH3682">
        <v>0</v>
      </c>
      <c r="AI3682" t="s">
        <v>1199</v>
      </c>
      <c r="AJ3682">
        <v>34.073495999999999</v>
      </c>
      <c r="AK3682" t="s">
        <v>1198</v>
      </c>
      <c r="AL3682">
        <v>-117.016475</v>
      </c>
      <c r="AM3682">
        <v>100</v>
      </c>
      <c r="AN3682">
        <v>5300</v>
      </c>
      <c r="AO3682" t="s">
        <v>118</v>
      </c>
      <c r="AP3682">
        <v>1</v>
      </c>
      <c r="AQ3682">
        <v>-98</v>
      </c>
      <c r="AR3682">
        <v>-64</v>
      </c>
      <c r="AZ3682">
        <v>1200</v>
      </c>
      <c r="BA3682">
        <v>1</v>
      </c>
      <c r="BB3682" t="str">
        <f t="shared" si="2034"/>
        <v xml:space="preserve">N9217B  </v>
      </c>
      <c r="BC3682">
        <v>1</v>
      </c>
      <c r="BE3682">
        <v>0</v>
      </c>
      <c r="BF3682">
        <v>0</v>
      </c>
      <c r="BG3682">
        <v>0</v>
      </c>
      <c r="BH3682">
        <v>5125</v>
      </c>
      <c r="BI3682">
        <v>1</v>
      </c>
      <c r="BJ3682">
        <v>0</v>
      </c>
      <c r="BK3682">
        <v>0</v>
      </c>
      <c r="BL3682">
        <v>0</v>
      </c>
      <c r="BO3682">
        <v>0</v>
      </c>
      <c r="BP3682">
        <v>0</v>
      </c>
      <c r="BW3682" t="str">
        <f t="shared" ref="BW3682:BW3688" si="2053">"14:58:04.185"</f>
        <v>14:58:04.185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7</v>
      </c>
      <c r="CP3682" t="s">
        <v>119</v>
      </c>
      <c r="CQ3682">
        <v>285</v>
      </c>
      <c r="CR3682">
        <v>0</v>
      </c>
      <c r="CW3682">
        <v>8882452</v>
      </c>
      <c r="CY3682">
        <v>0</v>
      </c>
      <c r="CZ3682">
        <v>0</v>
      </c>
      <c r="DA3682">
        <v>0</v>
      </c>
      <c r="DB3682">
        <v>0</v>
      </c>
      <c r="DC3682">
        <v>0</v>
      </c>
      <c r="DD3682">
        <v>0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25">
      <c r="A3683" t="str">
        <f t="shared" si="2050"/>
        <v>06/05/2020 14:57:58.554</v>
      </c>
      <c r="C3683" t="str">
        <f t="shared" ref="C3683:C3746" si="2054">"FFDFD3C0"</f>
        <v>FFDFD3C0</v>
      </c>
      <c r="D3683" t="s">
        <v>148</v>
      </c>
      <c r="E3683">
        <v>8</v>
      </c>
      <c r="H3683">
        <v>50</v>
      </c>
      <c r="I3683" t="s">
        <v>149</v>
      </c>
      <c r="J3683" t="s">
        <v>150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2051"/>
        <v>14:58:04.180</v>
      </c>
      <c r="T3683" t="str">
        <f t="shared" si="2052"/>
        <v>14:58:03.880</v>
      </c>
      <c r="U3683" t="str">
        <f t="shared" si="2033"/>
        <v>ACC530</v>
      </c>
      <c r="V3683">
        <v>0</v>
      </c>
      <c r="W3683">
        <v>0</v>
      </c>
      <c r="X3683">
        <v>1</v>
      </c>
      <c r="Z3683">
        <v>0</v>
      </c>
      <c r="AA3683">
        <v>9</v>
      </c>
      <c r="AB3683">
        <v>3</v>
      </c>
      <c r="AC3683">
        <v>0</v>
      </c>
      <c r="AD3683">
        <v>9</v>
      </c>
      <c r="AE3683">
        <v>0</v>
      </c>
      <c r="AF3683">
        <v>3</v>
      </c>
      <c r="AG3683">
        <v>1</v>
      </c>
      <c r="AH3683">
        <v>0</v>
      </c>
      <c r="AI3683" t="s">
        <v>1199</v>
      </c>
      <c r="AJ3683">
        <v>34.073495999999999</v>
      </c>
      <c r="AK3683" t="s">
        <v>1198</v>
      </c>
      <c r="AL3683">
        <v>-117.016475</v>
      </c>
      <c r="AM3683">
        <v>100</v>
      </c>
      <c r="AN3683">
        <v>5300</v>
      </c>
      <c r="AO3683" t="s">
        <v>118</v>
      </c>
      <c r="AP3683">
        <v>1</v>
      </c>
      <c r="AQ3683">
        <v>-98</v>
      </c>
      <c r="AR3683">
        <v>-64</v>
      </c>
      <c r="AZ3683">
        <v>1200</v>
      </c>
      <c r="BA3683">
        <v>1</v>
      </c>
      <c r="BB3683" t="str">
        <f t="shared" si="2034"/>
        <v xml:space="preserve">N9217B  </v>
      </c>
      <c r="BC3683">
        <v>1</v>
      </c>
      <c r="BE3683">
        <v>0</v>
      </c>
      <c r="BF3683">
        <v>0</v>
      </c>
      <c r="BG3683">
        <v>0</v>
      </c>
      <c r="BH3683">
        <v>5125</v>
      </c>
      <c r="BI3683">
        <v>1</v>
      </c>
      <c r="BJ3683">
        <v>0</v>
      </c>
      <c r="BK3683">
        <v>0</v>
      </c>
      <c r="BL3683">
        <v>0</v>
      </c>
      <c r="BO3683">
        <v>0</v>
      </c>
      <c r="BP3683">
        <v>0</v>
      </c>
      <c r="BW3683" t="str">
        <f t="shared" si="2053"/>
        <v>14:58:04.185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7</v>
      </c>
      <c r="CP3683" t="s">
        <v>119</v>
      </c>
      <c r="CQ3683">
        <v>285</v>
      </c>
      <c r="CR3683">
        <v>0</v>
      </c>
      <c r="CW3683">
        <v>8882452</v>
      </c>
      <c r="CY3683">
        <v>0</v>
      </c>
      <c r="CZ3683">
        <v>0</v>
      </c>
      <c r="DA3683">
        <v>1</v>
      </c>
      <c r="DB3683">
        <v>0</v>
      </c>
      <c r="DC3683">
        <v>0</v>
      </c>
      <c r="DD3683">
        <v>0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25">
      <c r="A3684" t="str">
        <f t="shared" si="2050"/>
        <v>06/05/2020 14:57:58.554</v>
      </c>
      <c r="C3684" t="str">
        <f t="shared" si="2054"/>
        <v>FFDFD3C0</v>
      </c>
      <c r="D3684" t="s">
        <v>113</v>
      </c>
      <c r="E3684">
        <v>3</v>
      </c>
      <c r="H3684">
        <v>166</v>
      </c>
      <c r="I3684" t="s">
        <v>114</v>
      </c>
      <c r="J3684" t="s">
        <v>115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2051"/>
        <v>14:58:04.180</v>
      </c>
      <c r="T3684" t="str">
        <f t="shared" si="2052"/>
        <v>14:58:03.880</v>
      </c>
      <c r="U3684" t="str">
        <f t="shared" si="2033"/>
        <v>ACC530</v>
      </c>
      <c r="V3684">
        <v>0</v>
      </c>
      <c r="W3684">
        <v>0</v>
      </c>
      <c r="X3684">
        <v>1</v>
      </c>
      <c r="Z3684">
        <v>0</v>
      </c>
      <c r="AA3684">
        <v>9</v>
      </c>
      <c r="AB3684">
        <v>3</v>
      </c>
      <c r="AC3684">
        <v>0</v>
      </c>
      <c r="AD3684">
        <v>9</v>
      </c>
      <c r="AE3684">
        <v>0</v>
      </c>
      <c r="AF3684">
        <v>3</v>
      </c>
      <c r="AG3684">
        <v>1</v>
      </c>
      <c r="AH3684">
        <v>0</v>
      </c>
      <c r="AI3684" t="s">
        <v>1199</v>
      </c>
      <c r="AJ3684">
        <v>34.073495999999999</v>
      </c>
      <c r="AK3684" t="s">
        <v>1198</v>
      </c>
      <c r="AL3684">
        <v>-117.016475</v>
      </c>
      <c r="AM3684">
        <v>100</v>
      </c>
      <c r="AN3684">
        <v>5300</v>
      </c>
      <c r="AO3684" t="s">
        <v>118</v>
      </c>
      <c r="AP3684">
        <v>1</v>
      </c>
      <c r="AQ3684">
        <v>-98</v>
      </c>
      <c r="AR3684">
        <v>-64</v>
      </c>
      <c r="AZ3684">
        <v>1200</v>
      </c>
      <c r="BA3684">
        <v>1</v>
      </c>
      <c r="BB3684" t="str">
        <f t="shared" si="2034"/>
        <v xml:space="preserve">N9217B  </v>
      </c>
      <c r="BC3684">
        <v>1</v>
      </c>
      <c r="BE3684">
        <v>0</v>
      </c>
      <c r="BF3684">
        <v>0</v>
      </c>
      <c r="BG3684">
        <v>0</v>
      </c>
      <c r="BH3684">
        <v>5125</v>
      </c>
      <c r="BI3684">
        <v>1</v>
      </c>
      <c r="BJ3684">
        <v>0</v>
      </c>
      <c r="BK3684">
        <v>0</v>
      </c>
      <c r="BL3684">
        <v>0</v>
      </c>
      <c r="BO3684">
        <v>0</v>
      </c>
      <c r="BP3684">
        <v>0</v>
      </c>
      <c r="BW3684" t="str">
        <f t="shared" si="2053"/>
        <v>14:58:04.185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7</v>
      </c>
      <c r="CP3684" t="s">
        <v>119</v>
      </c>
      <c r="CQ3684">
        <v>285</v>
      </c>
      <c r="CR3684">
        <v>0</v>
      </c>
      <c r="CW3684">
        <v>8882452</v>
      </c>
      <c r="CY3684">
        <v>0</v>
      </c>
      <c r="CZ3684">
        <v>0</v>
      </c>
      <c r="DA3684">
        <v>1</v>
      </c>
      <c r="DB3684">
        <v>0</v>
      </c>
      <c r="DC3684">
        <v>0</v>
      </c>
      <c r="DD3684">
        <v>0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25">
      <c r="A3685" t="str">
        <f t="shared" si="2050"/>
        <v>06/05/2020 14:57:58.554</v>
      </c>
      <c r="C3685" t="str">
        <f t="shared" si="2054"/>
        <v>FFDFD3C0</v>
      </c>
      <c r="D3685" t="s">
        <v>151</v>
      </c>
      <c r="E3685">
        <v>8</v>
      </c>
      <c r="H3685">
        <v>225</v>
      </c>
      <c r="I3685" t="s">
        <v>353</v>
      </c>
      <c r="J3685" t="s">
        <v>150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 t="shared" si="2051"/>
        <v>14:58:04.180</v>
      </c>
      <c r="T3685" t="str">
        <f t="shared" si="2052"/>
        <v>14:58:03.880</v>
      </c>
      <c r="U3685" t="str">
        <f t="shared" si="2033"/>
        <v>ACC530</v>
      </c>
      <c r="V3685">
        <v>0</v>
      </c>
      <c r="W3685">
        <v>0</v>
      </c>
      <c r="X3685">
        <v>1</v>
      </c>
      <c r="Z3685">
        <v>0</v>
      </c>
      <c r="AA3685">
        <v>9</v>
      </c>
      <c r="AB3685">
        <v>3</v>
      </c>
      <c r="AC3685">
        <v>0</v>
      </c>
      <c r="AD3685">
        <v>9</v>
      </c>
      <c r="AE3685">
        <v>0</v>
      </c>
      <c r="AF3685">
        <v>3</v>
      </c>
      <c r="AG3685">
        <v>1</v>
      </c>
      <c r="AH3685">
        <v>0</v>
      </c>
      <c r="AI3685" t="s">
        <v>1199</v>
      </c>
      <c r="AJ3685">
        <v>34.073495999999999</v>
      </c>
      <c r="AK3685" t="s">
        <v>1198</v>
      </c>
      <c r="AL3685">
        <v>-117.016475</v>
      </c>
      <c r="AM3685">
        <v>100</v>
      </c>
      <c r="AN3685">
        <v>5300</v>
      </c>
      <c r="AO3685" t="s">
        <v>118</v>
      </c>
      <c r="AP3685">
        <v>1</v>
      </c>
      <c r="AQ3685">
        <v>-98</v>
      </c>
      <c r="AR3685">
        <v>-64</v>
      </c>
      <c r="AZ3685">
        <v>1200</v>
      </c>
      <c r="BA3685">
        <v>1</v>
      </c>
      <c r="BB3685" t="str">
        <f t="shared" si="2034"/>
        <v xml:space="preserve">N9217B  </v>
      </c>
      <c r="BC3685">
        <v>1</v>
      </c>
      <c r="BE3685">
        <v>0</v>
      </c>
      <c r="BF3685">
        <v>0</v>
      </c>
      <c r="BG3685">
        <v>0</v>
      </c>
      <c r="BH3685">
        <v>5125</v>
      </c>
      <c r="BI3685">
        <v>1</v>
      </c>
      <c r="BJ3685">
        <v>0</v>
      </c>
      <c r="BK3685">
        <v>0</v>
      </c>
      <c r="BL3685">
        <v>0</v>
      </c>
      <c r="BO3685">
        <v>0</v>
      </c>
      <c r="BP3685">
        <v>0</v>
      </c>
      <c r="BW3685" t="str">
        <f t="shared" si="2053"/>
        <v>14:58:04.185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7</v>
      </c>
      <c r="CP3685" t="s">
        <v>119</v>
      </c>
      <c r="CQ3685">
        <v>285</v>
      </c>
      <c r="CR3685">
        <v>0</v>
      </c>
      <c r="CW3685">
        <v>8882452</v>
      </c>
      <c r="CY3685">
        <v>0</v>
      </c>
      <c r="CZ3685">
        <v>0</v>
      </c>
      <c r="DA3685">
        <v>1</v>
      </c>
      <c r="DB3685">
        <v>0</v>
      </c>
      <c r="DC3685">
        <v>0</v>
      </c>
      <c r="DD3685">
        <v>0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25">
      <c r="A3686" t="str">
        <f t="shared" si="2050"/>
        <v>06/05/2020 14:57:58.554</v>
      </c>
      <c r="C3686" t="str">
        <f t="shared" si="2054"/>
        <v>FFDFD3C0</v>
      </c>
      <c r="D3686" t="s">
        <v>141</v>
      </c>
      <c r="E3686">
        <v>20</v>
      </c>
      <c r="F3686">
        <v>1020</v>
      </c>
      <c r="G3686" t="s">
        <v>114</v>
      </c>
      <c r="J3686" t="s">
        <v>142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 t="shared" si="2051"/>
        <v>14:58:04.180</v>
      </c>
      <c r="T3686" t="str">
        <f t="shared" si="2052"/>
        <v>14:58:03.880</v>
      </c>
      <c r="U3686" t="str">
        <f t="shared" si="2033"/>
        <v>ACC530</v>
      </c>
      <c r="V3686">
        <v>0</v>
      </c>
      <c r="W3686">
        <v>0</v>
      </c>
      <c r="X3686">
        <v>1</v>
      </c>
      <c r="Z3686">
        <v>0</v>
      </c>
      <c r="AA3686">
        <v>9</v>
      </c>
      <c r="AB3686">
        <v>3</v>
      </c>
      <c r="AC3686">
        <v>0</v>
      </c>
      <c r="AD3686">
        <v>9</v>
      </c>
      <c r="AE3686">
        <v>0</v>
      </c>
      <c r="AF3686">
        <v>3</v>
      </c>
      <c r="AG3686">
        <v>1</v>
      </c>
      <c r="AH3686">
        <v>0</v>
      </c>
      <c r="AI3686" t="s">
        <v>1199</v>
      </c>
      <c r="AJ3686">
        <v>34.073495999999999</v>
      </c>
      <c r="AK3686" t="s">
        <v>1198</v>
      </c>
      <c r="AL3686">
        <v>-117.016475</v>
      </c>
      <c r="AM3686">
        <v>100</v>
      </c>
      <c r="AN3686">
        <v>5300</v>
      </c>
      <c r="AO3686" t="s">
        <v>118</v>
      </c>
      <c r="AP3686">
        <v>1</v>
      </c>
      <c r="AQ3686">
        <v>-98</v>
      </c>
      <c r="AR3686">
        <v>-64</v>
      </c>
      <c r="AZ3686">
        <v>1200</v>
      </c>
      <c r="BA3686">
        <v>1</v>
      </c>
      <c r="BB3686" t="str">
        <f t="shared" si="2034"/>
        <v xml:space="preserve">N9217B  </v>
      </c>
      <c r="BC3686">
        <v>1</v>
      </c>
      <c r="BE3686">
        <v>0</v>
      </c>
      <c r="BF3686">
        <v>0</v>
      </c>
      <c r="BG3686">
        <v>0</v>
      </c>
      <c r="BH3686">
        <v>5125</v>
      </c>
      <c r="BI3686">
        <v>1</v>
      </c>
      <c r="BJ3686">
        <v>0</v>
      </c>
      <c r="BK3686">
        <v>0</v>
      </c>
      <c r="BL3686">
        <v>0</v>
      </c>
      <c r="BO3686">
        <v>0</v>
      </c>
      <c r="BP3686">
        <v>0</v>
      </c>
      <c r="BW3686" t="str">
        <f t="shared" si="2053"/>
        <v>14:58:04.185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7</v>
      </c>
      <c r="CP3686" t="s">
        <v>119</v>
      </c>
      <c r="CQ3686">
        <v>285</v>
      </c>
      <c r="CR3686">
        <v>0</v>
      </c>
      <c r="CW3686">
        <v>8882452</v>
      </c>
      <c r="CY3686">
        <v>0</v>
      </c>
      <c r="CZ3686">
        <v>0</v>
      </c>
      <c r="DA3686">
        <v>1</v>
      </c>
      <c r="DB3686">
        <v>0</v>
      </c>
      <c r="DC3686">
        <v>0</v>
      </c>
      <c r="DD3686">
        <v>0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25">
      <c r="A3687" t="str">
        <f t="shared" si="2050"/>
        <v>06/05/2020 14:57:58.554</v>
      </c>
      <c r="C3687" t="str">
        <f t="shared" si="2054"/>
        <v>FFDFD3C0</v>
      </c>
      <c r="D3687" t="s">
        <v>151</v>
      </c>
      <c r="E3687">
        <v>9</v>
      </c>
      <c r="H3687">
        <v>226</v>
      </c>
      <c r="I3687" t="s">
        <v>152</v>
      </c>
      <c r="J3687" t="s">
        <v>150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 t="shared" si="2051"/>
        <v>14:58:04.180</v>
      </c>
      <c r="T3687" t="str">
        <f t="shared" si="2052"/>
        <v>14:58:03.880</v>
      </c>
      <c r="U3687" t="str">
        <f t="shared" si="2033"/>
        <v>ACC530</v>
      </c>
      <c r="V3687">
        <v>0</v>
      </c>
      <c r="W3687">
        <v>0</v>
      </c>
      <c r="X3687">
        <v>1</v>
      </c>
      <c r="Z3687">
        <v>0</v>
      </c>
      <c r="AA3687">
        <v>9</v>
      </c>
      <c r="AB3687">
        <v>3</v>
      </c>
      <c r="AC3687">
        <v>0</v>
      </c>
      <c r="AD3687">
        <v>9</v>
      </c>
      <c r="AE3687">
        <v>0</v>
      </c>
      <c r="AF3687">
        <v>3</v>
      </c>
      <c r="AG3687">
        <v>1</v>
      </c>
      <c r="AH3687">
        <v>0</v>
      </c>
      <c r="AI3687" t="s">
        <v>1199</v>
      </c>
      <c r="AJ3687">
        <v>34.073495999999999</v>
      </c>
      <c r="AK3687" t="s">
        <v>1198</v>
      </c>
      <c r="AL3687">
        <v>-117.016475</v>
      </c>
      <c r="AM3687">
        <v>100</v>
      </c>
      <c r="AN3687">
        <v>5300</v>
      </c>
      <c r="AO3687" t="s">
        <v>118</v>
      </c>
      <c r="AP3687">
        <v>1</v>
      </c>
      <c r="AQ3687">
        <v>-98</v>
      </c>
      <c r="AR3687">
        <v>-64</v>
      </c>
      <c r="AZ3687">
        <v>1200</v>
      </c>
      <c r="BA3687">
        <v>1</v>
      </c>
      <c r="BB3687" t="str">
        <f t="shared" si="2034"/>
        <v xml:space="preserve">N9217B  </v>
      </c>
      <c r="BC3687">
        <v>1</v>
      </c>
      <c r="BE3687">
        <v>0</v>
      </c>
      <c r="BF3687">
        <v>0</v>
      </c>
      <c r="BG3687">
        <v>0</v>
      </c>
      <c r="BH3687">
        <v>5125</v>
      </c>
      <c r="BI3687">
        <v>1</v>
      </c>
      <c r="BJ3687">
        <v>0</v>
      </c>
      <c r="BK3687">
        <v>0</v>
      </c>
      <c r="BL3687">
        <v>0</v>
      </c>
      <c r="BO3687">
        <v>0</v>
      </c>
      <c r="BP3687">
        <v>0</v>
      </c>
      <c r="BW3687" t="str">
        <f t="shared" si="2053"/>
        <v>14:58:04.185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7</v>
      </c>
      <c r="CP3687" t="s">
        <v>119</v>
      </c>
      <c r="CQ3687">
        <v>285</v>
      </c>
      <c r="CR3687">
        <v>0</v>
      </c>
      <c r="CW3687">
        <v>8882452</v>
      </c>
      <c r="CY3687">
        <v>0</v>
      </c>
      <c r="CZ3687">
        <v>0</v>
      </c>
      <c r="DA3687">
        <v>1</v>
      </c>
      <c r="DB3687">
        <v>0</v>
      </c>
      <c r="DC3687">
        <v>0</v>
      </c>
      <c r="DD3687">
        <v>0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25">
      <c r="A3688" t="str">
        <f t="shared" si="2050"/>
        <v>06/05/2020 14:57:58.554</v>
      </c>
      <c r="C3688" t="str">
        <f t="shared" si="2054"/>
        <v>FFDFD3C0</v>
      </c>
      <c r="D3688" t="s">
        <v>148</v>
      </c>
      <c r="E3688">
        <v>11</v>
      </c>
      <c r="H3688">
        <v>53</v>
      </c>
      <c r="I3688" t="s">
        <v>364</v>
      </c>
      <c r="J3688" t="s">
        <v>150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 t="shared" si="2051"/>
        <v>14:58:04.180</v>
      </c>
      <c r="T3688" t="str">
        <f t="shared" si="2052"/>
        <v>14:58:03.880</v>
      </c>
      <c r="U3688" t="str">
        <f t="shared" si="2033"/>
        <v>ACC530</v>
      </c>
      <c r="V3688">
        <v>0</v>
      </c>
      <c r="W3688">
        <v>0</v>
      </c>
      <c r="X3688">
        <v>1</v>
      </c>
      <c r="Z3688">
        <v>0</v>
      </c>
      <c r="AA3688">
        <v>9</v>
      </c>
      <c r="AB3688">
        <v>3</v>
      </c>
      <c r="AC3688">
        <v>0</v>
      </c>
      <c r="AD3688">
        <v>9</v>
      </c>
      <c r="AE3688">
        <v>0</v>
      </c>
      <c r="AF3688">
        <v>3</v>
      </c>
      <c r="AG3688">
        <v>1</v>
      </c>
      <c r="AH3688">
        <v>0</v>
      </c>
      <c r="AI3688" t="s">
        <v>1199</v>
      </c>
      <c r="AJ3688">
        <v>34.073495999999999</v>
      </c>
      <c r="AK3688" t="s">
        <v>1198</v>
      </c>
      <c r="AL3688">
        <v>-117.016475</v>
      </c>
      <c r="AM3688">
        <v>100</v>
      </c>
      <c r="AN3688">
        <v>5300</v>
      </c>
      <c r="AO3688" t="s">
        <v>118</v>
      </c>
      <c r="AP3688">
        <v>1</v>
      </c>
      <c r="AQ3688">
        <v>-98</v>
      </c>
      <c r="AR3688">
        <v>-64</v>
      </c>
      <c r="AZ3688">
        <v>1200</v>
      </c>
      <c r="BA3688">
        <v>1</v>
      </c>
      <c r="BB3688" t="str">
        <f t="shared" si="2034"/>
        <v xml:space="preserve">N9217B  </v>
      </c>
      <c r="BC3688">
        <v>1</v>
      </c>
      <c r="BE3688">
        <v>0</v>
      </c>
      <c r="BF3688">
        <v>0</v>
      </c>
      <c r="BG3688">
        <v>0</v>
      </c>
      <c r="BH3688">
        <v>5125</v>
      </c>
      <c r="BI3688">
        <v>1</v>
      </c>
      <c r="BJ3688">
        <v>0</v>
      </c>
      <c r="BK3688">
        <v>0</v>
      </c>
      <c r="BL3688">
        <v>0</v>
      </c>
      <c r="BO3688">
        <v>0</v>
      </c>
      <c r="BP3688">
        <v>0</v>
      </c>
      <c r="BW3688" t="str">
        <f t="shared" si="2053"/>
        <v>14:58:04.185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7</v>
      </c>
      <c r="CP3688" t="s">
        <v>119</v>
      </c>
      <c r="CQ3688">
        <v>285</v>
      </c>
      <c r="CR3688">
        <v>0</v>
      </c>
      <c r="CW3688">
        <v>8882452</v>
      </c>
      <c r="CY3688">
        <v>0</v>
      </c>
      <c r="CZ3688">
        <v>0</v>
      </c>
      <c r="DA3688">
        <v>1</v>
      </c>
      <c r="DB3688">
        <v>0</v>
      </c>
      <c r="DC3688">
        <v>0</v>
      </c>
      <c r="DD3688">
        <v>0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25">
      <c r="A3689" t="str">
        <f t="shared" ref="A3689:A3695" si="2055">"06/05/2020 14:57:59.444"</f>
        <v>06/05/2020 14:57:59.444</v>
      </c>
      <c r="C3689" t="str">
        <f t="shared" si="2054"/>
        <v>FFDFD3C0</v>
      </c>
      <c r="D3689" t="s">
        <v>151</v>
      </c>
      <c r="E3689">
        <v>9</v>
      </c>
      <c r="H3689">
        <v>226</v>
      </c>
      <c r="I3689" t="s">
        <v>152</v>
      </c>
      <c r="J3689" t="s">
        <v>150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 t="shared" ref="S3689:S3695" si="2056">"14:58:05.094"</f>
        <v>14:58:05.094</v>
      </c>
      <c r="T3689" t="str">
        <f t="shared" ref="T3689:T3695" si="2057">"14:58:04.894"</f>
        <v>14:58:04.894</v>
      </c>
      <c r="U3689" t="str">
        <f t="shared" si="2033"/>
        <v>ACC530</v>
      </c>
      <c r="V3689">
        <v>0</v>
      </c>
      <c r="W3689">
        <v>0</v>
      </c>
      <c r="X3689">
        <v>1</v>
      </c>
      <c r="Z3689">
        <v>0</v>
      </c>
      <c r="AA3689">
        <v>9</v>
      </c>
      <c r="AB3689">
        <v>3</v>
      </c>
      <c r="AC3689">
        <v>0</v>
      </c>
      <c r="AD3689">
        <v>9</v>
      </c>
      <c r="AE3689">
        <v>0</v>
      </c>
      <c r="AF3689">
        <v>3</v>
      </c>
      <c r="AG3689">
        <v>1</v>
      </c>
      <c r="AH3689">
        <v>0</v>
      </c>
      <c r="AI3689" t="s">
        <v>1200</v>
      </c>
      <c r="AJ3689">
        <v>34.07311</v>
      </c>
      <c r="AK3689" t="s">
        <v>1198</v>
      </c>
      <c r="AL3689">
        <v>-117.016475</v>
      </c>
      <c r="AM3689">
        <v>100</v>
      </c>
      <c r="AN3689">
        <v>5300</v>
      </c>
      <c r="AO3689" t="s">
        <v>118</v>
      </c>
      <c r="AP3689">
        <v>-7</v>
      </c>
      <c r="AQ3689">
        <v>-97</v>
      </c>
      <c r="AR3689">
        <v>64</v>
      </c>
      <c r="AZ3689">
        <v>1200</v>
      </c>
      <c r="BA3689">
        <v>1</v>
      </c>
      <c r="BB3689" t="str">
        <f t="shared" si="2034"/>
        <v xml:space="preserve">N9217B  </v>
      </c>
      <c r="BC3689">
        <v>1</v>
      </c>
      <c r="BE3689">
        <v>0</v>
      </c>
      <c r="BF3689">
        <v>0</v>
      </c>
      <c r="BG3689">
        <v>0</v>
      </c>
      <c r="BH3689">
        <v>5125</v>
      </c>
      <c r="BI3689">
        <v>1</v>
      </c>
      <c r="BJ3689">
        <v>0</v>
      </c>
      <c r="BK3689">
        <v>0</v>
      </c>
      <c r="BL3689">
        <v>0</v>
      </c>
      <c r="BO3689">
        <v>0</v>
      </c>
      <c r="BP3689">
        <v>0</v>
      </c>
      <c r="BW3689" t="str">
        <f t="shared" ref="BW3689:BW3695" si="2058">"14:58:05.100"</f>
        <v>14:58:05.100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7</v>
      </c>
      <c r="CP3689" t="s">
        <v>119</v>
      </c>
      <c r="CQ3689">
        <v>285</v>
      </c>
      <c r="CR3689">
        <v>0</v>
      </c>
      <c r="CW3689">
        <v>8882531</v>
      </c>
      <c r="CY3689">
        <v>0</v>
      </c>
      <c r="CZ3689">
        <v>0</v>
      </c>
      <c r="DA3689">
        <v>0</v>
      </c>
      <c r="DB3689">
        <v>0</v>
      </c>
      <c r="DC3689">
        <v>0</v>
      </c>
      <c r="DD3689">
        <v>0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25">
      <c r="A3690" t="str">
        <f t="shared" si="2055"/>
        <v>06/05/2020 14:57:59.444</v>
      </c>
      <c r="C3690" t="str">
        <f t="shared" si="2054"/>
        <v>FFDFD3C0</v>
      </c>
      <c r="D3690" t="s">
        <v>148</v>
      </c>
      <c r="E3690">
        <v>11</v>
      </c>
      <c r="H3690">
        <v>53</v>
      </c>
      <c r="I3690" t="s">
        <v>364</v>
      </c>
      <c r="J3690" t="s">
        <v>150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 t="shared" si="2056"/>
        <v>14:58:05.094</v>
      </c>
      <c r="T3690" t="str">
        <f t="shared" si="2057"/>
        <v>14:58:04.894</v>
      </c>
      <c r="U3690" t="str">
        <f t="shared" si="2033"/>
        <v>ACC530</v>
      </c>
      <c r="V3690">
        <v>0</v>
      </c>
      <c r="W3690">
        <v>0</v>
      </c>
      <c r="X3690">
        <v>1</v>
      </c>
      <c r="Z3690">
        <v>0</v>
      </c>
      <c r="AA3690">
        <v>9</v>
      </c>
      <c r="AB3690">
        <v>3</v>
      </c>
      <c r="AC3690">
        <v>0</v>
      </c>
      <c r="AD3690">
        <v>9</v>
      </c>
      <c r="AE3690">
        <v>0</v>
      </c>
      <c r="AF3690">
        <v>3</v>
      </c>
      <c r="AG3690">
        <v>1</v>
      </c>
      <c r="AH3690">
        <v>0</v>
      </c>
      <c r="AI3690" t="s">
        <v>1200</v>
      </c>
      <c r="AJ3690">
        <v>34.07311</v>
      </c>
      <c r="AK3690" t="s">
        <v>1198</v>
      </c>
      <c r="AL3690">
        <v>-117.016475</v>
      </c>
      <c r="AM3690">
        <v>100</v>
      </c>
      <c r="AN3690">
        <v>5300</v>
      </c>
      <c r="AO3690" t="s">
        <v>118</v>
      </c>
      <c r="AP3690">
        <v>-7</v>
      </c>
      <c r="AQ3690">
        <v>-97</v>
      </c>
      <c r="AR3690">
        <v>64</v>
      </c>
      <c r="AZ3690">
        <v>1200</v>
      </c>
      <c r="BA3690">
        <v>1</v>
      </c>
      <c r="BB3690" t="str">
        <f t="shared" si="2034"/>
        <v xml:space="preserve">N9217B  </v>
      </c>
      <c r="BC3690">
        <v>1</v>
      </c>
      <c r="BE3690">
        <v>0</v>
      </c>
      <c r="BF3690">
        <v>0</v>
      </c>
      <c r="BG3690">
        <v>0</v>
      </c>
      <c r="BH3690">
        <v>5125</v>
      </c>
      <c r="BI3690">
        <v>1</v>
      </c>
      <c r="BJ3690">
        <v>0</v>
      </c>
      <c r="BK3690">
        <v>0</v>
      </c>
      <c r="BL3690">
        <v>0</v>
      </c>
      <c r="BO3690">
        <v>0</v>
      </c>
      <c r="BP3690">
        <v>0</v>
      </c>
      <c r="BW3690" t="str">
        <f t="shared" si="2058"/>
        <v>14:58:05.100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7</v>
      </c>
      <c r="CP3690" t="s">
        <v>119</v>
      </c>
      <c r="CQ3690">
        <v>285</v>
      </c>
      <c r="CR3690">
        <v>0</v>
      </c>
      <c r="CW3690">
        <v>8882531</v>
      </c>
      <c r="CY3690">
        <v>0</v>
      </c>
      <c r="CZ3690">
        <v>0</v>
      </c>
      <c r="DA3690">
        <v>1</v>
      </c>
      <c r="DB3690">
        <v>0</v>
      </c>
      <c r="DC3690">
        <v>0</v>
      </c>
      <c r="DD3690">
        <v>0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25">
      <c r="A3691" t="str">
        <f t="shared" si="2055"/>
        <v>06/05/2020 14:57:59.444</v>
      </c>
      <c r="C3691" t="str">
        <f t="shared" si="2054"/>
        <v>FFDFD3C0</v>
      </c>
      <c r="D3691" t="s">
        <v>134</v>
      </c>
      <c r="E3691">
        <v>7</v>
      </c>
      <c r="F3691">
        <v>2007</v>
      </c>
      <c r="G3691" t="s">
        <v>135</v>
      </c>
      <c r="J3691" t="s">
        <v>136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 t="shared" si="2056"/>
        <v>14:58:05.094</v>
      </c>
      <c r="T3691" t="str">
        <f t="shared" si="2057"/>
        <v>14:58:04.894</v>
      </c>
      <c r="U3691" t="str">
        <f t="shared" si="2033"/>
        <v>ACC530</v>
      </c>
      <c r="V3691">
        <v>0</v>
      </c>
      <c r="W3691">
        <v>0</v>
      </c>
      <c r="X3691">
        <v>1</v>
      </c>
      <c r="Z3691">
        <v>0</v>
      </c>
      <c r="AA3691">
        <v>9</v>
      </c>
      <c r="AB3691">
        <v>3</v>
      </c>
      <c r="AC3691">
        <v>0</v>
      </c>
      <c r="AD3691">
        <v>9</v>
      </c>
      <c r="AE3691">
        <v>0</v>
      </c>
      <c r="AF3691">
        <v>3</v>
      </c>
      <c r="AG3691">
        <v>1</v>
      </c>
      <c r="AH3691">
        <v>0</v>
      </c>
      <c r="AI3691" t="s">
        <v>1200</v>
      </c>
      <c r="AJ3691">
        <v>34.07311</v>
      </c>
      <c r="AK3691" t="s">
        <v>1198</v>
      </c>
      <c r="AL3691">
        <v>-117.016475</v>
      </c>
      <c r="AM3691">
        <v>100</v>
      </c>
      <c r="AN3691">
        <v>5300</v>
      </c>
      <c r="AO3691" t="s">
        <v>118</v>
      </c>
      <c r="AP3691">
        <v>-7</v>
      </c>
      <c r="AQ3691">
        <v>-97</v>
      </c>
      <c r="AR3691">
        <v>64</v>
      </c>
      <c r="AZ3691">
        <v>1200</v>
      </c>
      <c r="BA3691">
        <v>1</v>
      </c>
      <c r="BB3691" t="str">
        <f t="shared" si="2034"/>
        <v xml:space="preserve">N9217B  </v>
      </c>
      <c r="BC3691">
        <v>1</v>
      </c>
      <c r="BE3691">
        <v>0</v>
      </c>
      <c r="BF3691">
        <v>0</v>
      </c>
      <c r="BG3691">
        <v>0</v>
      </c>
      <c r="BH3691">
        <v>5125</v>
      </c>
      <c r="BI3691">
        <v>1</v>
      </c>
      <c r="BJ3691">
        <v>0</v>
      </c>
      <c r="BK3691">
        <v>0</v>
      </c>
      <c r="BL3691">
        <v>0</v>
      </c>
      <c r="BO3691">
        <v>0</v>
      </c>
      <c r="BP3691">
        <v>0</v>
      </c>
      <c r="BW3691" t="str">
        <f t="shared" si="2058"/>
        <v>14:58:05.100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7</v>
      </c>
      <c r="CP3691" t="s">
        <v>119</v>
      </c>
      <c r="CQ3691">
        <v>285</v>
      </c>
      <c r="CR3691">
        <v>0</v>
      </c>
      <c r="CW3691">
        <v>8882531</v>
      </c>
      <c r="CY3691">
        <v>0</v>
      </c>
      <c r="CZ3691">
        <v>0</v>
      </c>
      <c r="DA3691">
        <v>1</v>
      </c>
      <c r="DB3691">
        <v>0</v>
      </c>
      <c r="DC3691">
        <v>0</v>
      </c>
      <c r="DD3691">
        <v>0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25">
      <c r="A3692" t="str">
        <f t="shared" si="2055"/>
        <v>06/05/2020 14:57:59.444</v>
      </c>
      <c r="C3692" t="str">
        <f t="shared" si="2054"/>
        <v>FFDFD3C0</v>
      </c>
      <c r="D3692" t="s">
        <v>148</v>
      </c>
      <c r="E3692">
        <v>8</v>
      </c>
      <c r="H3692">
        <v>50</v>
      </c>
      <c r="I3692" t="s">
        <v>149</v>
      </c>
      <c r="J3692" t="s">
        <v>150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 t="shared" si="2056"/>
        <v>14:58:05.094</v>
      </c>
      <c r="T3692" t="str">
        <f t="shared" si="2057"/>
        <v>14:58:04.894</v>
      </c>
      <c r="U3692" t="str">
        <f t="shared" si="2033"/>
        <v>ACC530</v>
      </c>
      <c r="V3692">
        <v>0</v>
      </c>
      <c r="W3692">
        <v>0</v>
      </c>
      <c r="X3692">
        <v>1</v>
      </c>
      <c r="Z3692">
        <v>0</v>
      </c>
      <c r="AA3692">
        <v>9</v>
      </c>
      <c r="AB3692">
        <v>3</v>
      </c>
      <c r="AC3692">
        <v>0</v>
      </c>
      <c r="AD3692">
        <v>9</v>
      </c>
      <c r="AE3692">
        <v>0</v>
      </c>
      <c r="AF3692">
        <v>3</v>
      </c>
      <c r="AG3692">
        <v>1</v>
      </c>
      <c r="AH3692">
        <v>0</v>
      </c>
      <c r="AI3692" t="s">
        <v>1200</v>
      </c>
      <c r="AJ3692">
        <v>34.07311</v>
      </c>
      <c r="AK3692" t="s">
        <v>1198</v>
      </c>
      <c r="AL3692">
        <v>-117.016475</v>
      </c>
      <c r="AM3692">
        <v>100</v>
      </c>
      <c r="AN3692">
        <v>5300</v>
      </c>
      <c r="AO3692" t="s">
        <v>118</v>
      </c>
      <c r="AP3692">
        <v>-7</v>
      </c>
      <c r="AQ3692">
        <v>-97</v>
      </c>
      <c r="AR3692">
        <v>64</v>
      </c>
      <c r="AZ3692">
        <v>1200</v>
      </c>
      <c r="BA3692">
        <v>1</v>
      </c>
      <c r="BB3692" t="str">
        <f t="shared" si="2034"/>
        <v xml:space="preserve">N9217B  </v>
      </c>
      <c r="BC3692">
        <v>1</v>
      </c>
      <c r="BE3692">
        <v>0</v>
      </c>
      <c r="BF3692">
        <v>0</v>
      </c>
      <c r="BG3692">
        <v>0</v>
      </c>
      <c r="BH3692">
        <v>5125</v>
      </c>
      <c r="BI3692">
        <v>1</v>
      </c>
      <c r="BJ3692">
        <v>0</v>
      </c>
      <c r="BK3692">
        <v>0</v>
      </c>
      <c r="BL3692">
        <v>0</v>
      </c>
      <c r="BO3692">
        <v>0</v>
      </c>
      <c r="BP3692">
        <v>0</v>
      </c>
      <c r="BW3692" t="str">
        <f t="shared" si="2058"/>
        <v>14:58:05.100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7</v>
      </c>
      <c r="CP3692" t="s">
        <v>119</v>
      </c>
      <c r="CQ3692">
        <v>285</v>
      </c>
      <c r="CR3692">
        <v>0</v>
      </c>
      <c r="CW3692">
        <v>8882531</v>
      </c>
      <c r="CY3692">
        <v>0</v>
      </c>
      <c r="CZ3692">
        <v>0</v>
      </c>
      <c r="DA3692">
        <v>1</v>
      </c>
      <c r="DB3692">
        <v>0</v>
      </c>
      <c r="DC3692">
        <v>0</v>
      </c>
      <c r="DD3692">
        <v>0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25">
      <c r="A3693" t="str">
        <f t="shared" si="2055"/>
        <v>06/05/2020 14:57:59.444</v>
      </c>
      <c r="C3693" t="str">
        <f t="shared" si="2054"/>
        <v>FFDFD3C0</v>
      </c>
      <c r="D3693" t="s">
        <v>113</v>
      </c>
      <c r="E3693">
        <v>3</v>
      </c>
      <c r="H3693">
        <v>166</v>
      </c>
      <c r="I3693" t="s">
        <v>114</v>
      </c>
      <c r="J3693" t="s">
        <v>115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 t="shared" si="2056"/>
        <v>14:58:05.094</v>
      </c>
      <c r="T3693" t="str">
        <f t="shared" si="2057"/>
        <v>14:58:04.894</v>
      </c>
      <c r="U3693" t="str">
        <f t="shared" si="2033"/>
        <v>ACC530</v>
      </c>
      <c r="V3693">
        <v>0</v>
      </c>
      <c r="W3693">
        <v>0</v>
      </c>
      <c r="X3693">
        <v>1</v>
      </c>
      <c r="Z3693">
        <v>0</v>
      </c>
      <c r="AA3693">
        <v>9</v>
      </c>
      <c r="AB3693">
        <v>3</v>
      </c>
      <c r="AC3693">
        <v>0</v>
      </c>
      <c r="AD3693">
        <v>9</v>
      </c>
      <c r="AE3693">
        <v>0</v>
      </c>
      <c r="AF3693">
        <v>3</v>
      </c>
      <c r="AG3693">
        <v>1</v>
      </c>
      <c r="AH3693">
        <v>0</v>
      </c>
      <c r="AI3693" t="s">
        <v>1200</v>
      </c>
      <c r="AJ3693">
        <v>34.07311</v>
      </c>
      <c r="AK3693" t="s">
        <v>1198</v>
      </c>
      <c r="AL3693">
        <v>-117.016475</v>
      </c>
      <c r="AM3693">
        <v>100</v>
      </c>
      <c r="AN3693">
        <v>5300</v>
      </c>
      <c r="AO3693" t="s">
        <v>118</v>
      </c>
      <c r="AP3693">
        <v>-7</v>
      </c>
      <c r="AQ3693">
        <v>-97</v>
      </c>
      <c r="AR3693">
        <v>64</v>
      </c>
      <c r="AZ3693">
        <v>1200</v>
      </c>
      <c r="BA3693">
        <v>1</v>
      </c>
      <c r="BB3693" t="str">
        <f t="shared" si="2034"/>
        <v xml:space="preserve">N9217B  </v>
      </c>
      <c r="BC3693">
        <v>1</v>
      </c>
      <c r="BE3693">
        <v>0</v>
      </c>
      <c r="BF3693">
        <v>0</v>
      </c>
      <c r="BG3693">
        <v>0</v>
      </c>
      <c r="BH3693">
        <v>5125</v>
      </c>
      <c r="BI3693">
        <v>1</v>
      </c>
      <c r="BJ3693">
        <v>0</v>
      </c>
      <c r="BK3693">
        <v>0</v>
      </c>
      <c r="BL3693">
        <v>0</v>
      </c>
      <c r="BO3693">
        <v>0</v>
      </c>
      <c r="BP3693">
        <v>0</v>
      </c>
      <c r="BW3693" t="str">
        <f t="shared" si="2058"/>
        <v>14:58:05.100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7</v>
      </c>
      <c r="CP3693" t="s">
        <v>119</v>
      </c>
      <c r="CQ3693">
        <v>285</v>
      </c>
      <c r="CR3693">
        <v>0</v>
      </c>
      <c r="CW3693">
        <v>8882531</v>
      </c>
      <c r="CY3693">
        <v>0</v>
      </c>
      <c r="CZ3693">
        <v>0</v>
      </c>
      <c r="DA3693">
        <v>1</v>
      </c>
      <c r="DB3693">
        <v>0</v>
      </c>
      <c r="DC3693">
        <v>0</v>
      </c>
      <c r="DD3693">
        <v>0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25">
      <c r="A3694" t="str">
        <f t="shared" si="2055"/>
        <v>06/05/2020 14:57:59.444</v>
      </c>
      <c r="C3694" t="str">
        <f t="shared" si="2054"/>
        <v>FFDFD3C0</v>
      </c>
      <c r="D3694" t="s">
        <v>151</v>
      </c>
      <c r="E3694">
        <v>8</v>
      </c>
      <c r="H3694">
        <v>225</v>
      </c>
      <c r="I3694" t="s">
        <v>353</v>
      </c>
      <c r="J3694" t="s">
        <v>150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 t="shared" si="2056"/>
        <v>14:58:05.094</v>
      </c>
      <c r="T3694" t="str">
        <f t="shared" si="2057"/>
        <v>14:58:04.894</v>
      </c>
      <c r="U3694" t="str">
        <f t="shared" si="2033"/>
        <v>ACC530</v>
      </c>
      <c r="V3694">
        <v>0</v>
      </c>
      <c r="W3694">
        <v>0</v>
      </c>
      <c r="X3694">
        <v>1</v>
      </c>
      <c r="Z3694">
        <v>0</v>
      </c>
      <c r="AA3694">
        <v>9</v>
      </c>
      <c r="AB3694">
        <v>3</v>
      </c>
      <c r="AC3694">
        <v>0</v>
      </c>
      <c r="AD3694">
        <v>9</v>
      </c>
      <c r="AE3694">
        <v>0</v>
      </c>
      <c r="AF3694">
        <v>3</v>
      </c>
      <c r="AG3694">
        <v>1</v>
      </c>
      <c r="AH3694">
        <v>0</v>
      </c>
      <c r="AI3694" t="s">
        <v>1200</v>
      </c>
      <c r="AJ3694">
        <v>34.07311</v>
      </c>
      <c r="AK3694" t="s">
        <v>1198</v>
      </c>
      <c r="AL3694">
        <v>-117.016475</v>
      </c>
      <c r="AM3694">
        <v>100</v>
      </c>
      <c r="AN3694">
        <v>5300</v>
      </c>
      <c r="AO3694" t="s">
        <v>118</v>
      </c>
      <c r="AP3694">
        <v>-7</v>
      </c>
      <c r="AQ3694">
        <v>-97</v>
      </c>
      <c r="AR3694">
        <v>64</v>
      </c>
      <c r="AZ3694">
        <v>1200</v>
      </c>
      <c r="BA3694">
        <v>1</v>
      </c>
      <c r="BB3694" t="str">
        <f t="shared" si="2034"/>
        <v xml:space="preserve">N9217B  </v>
      </c>
      <c r="BC3694">
        <v>1</v>
      </c>
      <c r="BE3694">
        <v>0</v>
      </c>
      <c r="BF3694">
        <v>0</v>
      </c>
      <c r="BG3694">
        <v>0</v>
      </c>
      <c r="BH3694">
        <v>5125</v>
      </c>
      <c r="BI3694">
        <v>1</v>
      </c>
      <c r="BJ3694">
        <v>0</v>
      </c>
      <c r="BK3694">
        <v>0</v>
      </c>
      <c r="BL3694">
        <v>0</v>
      </c>
      <c r="BO3694">
        <v>0</v>
      </c>
      <c r="BP3694">
        <v>0</v>
      </c>
      <c r="BW3694" t="str">
        <f t="shared" si="2058"/>
        <v>14:58:05.100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7</v>
      </c>
      <c r="CP3694" t="s">
        <v>119</v>
      </c>
      <c r="CQ3694">
        <v>285</v>
      </c>
      <c r="CR3694">
        <v>0</v>
      </c>
      <c r="CW3694">
        <v>8882531</v>
      </c>
      <c r="CY3694">
        <v>0</v>
      </c>
      <c r="CZ3694">
        <v>0</v>
      </c>
      <c r="DA3694">
        <v>1</v>
      </c>
      <c r="DB3694">
        <v>0</v>
      </c>
      <c r="DC3694">
        <v>0</v>
      </c>
      <c r="DD3694">
        <v>0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25">
      <c r="A3695" t="str">
        <f t="shared" si="2055"/>
        <v>06/05/2020 14:57:59.444</v>
      </c>
      <c r="C3695" t="str">
        <f t="shared" si="2054"/>
        <v>FFDFD3C0</v>
      </c>
      <c r="D3695" t="s">
        <v>141</v>
      </c>
      <c r="E3695">
        <v>20</v>
      </c>
      <c r="F3695">
        <v>1020</v>
      </c>
      <c r="G3695" t="s">
        <v>114</v>
      </c>
      <c r="J3695" t="s">
        <v>142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 t="shared" si="2056"/>
        <v>14:58:05.094</v>
      </c>
      <c r="T3695" t="str">
        <f t="shared" si="2057"/>
        <v>14:58:04.894</v>
      </c>
      <c r="U3695" t="str">
        <f t="shared" si="2033"/>
        <v>ACC530</v>
      </c>
      <c r="V3695">
        <v>0</v>
      </c>
      <c r="W3695">
        <v>0</v>
      </c>
      <c r="X3695">
        <v>1</v>
      </c>
      <c r="Z3695">
        <v>0</v>
      </c>
      <c r="AA3695">
        <v>9</v>
      </c>
      <c r="AB3695">
        <v>3</v>
      </c>
      <c r="AC3695">
        <v>0</v>
      </c>
      <c r="AD3695">
        <v>9</v>
      </c>
      <c r="AE3695">
        <v>0</v>
      </c>
      <c r="AF3695">
        <v>3</v>
      </c>
      <c r="AG3695">
        <v>1</v>
      </c>
      <c r="AH3695">
        <v>0</v>
      </c>
      <c r="AI3695" t="s">
        <v>1200</v>
      </c>
      <c r="AJ3695">
        <v>34.07311</v>
      </c>
      <c r="AK3695" t="s">
        <v>1198</v>
      </c>
      <c r="AL3695">
        <v>-117.016475</v>
      </c>
      <c r="AM3695">
        <v>100</v>
      </c>
      <c r="AN3695">
        <v>5300</v>
      </c>
      <c r="AO3695" t="s">
        <v>118</v>
      </c>
      <c r="AP3695">
        <v>-7</v>
      </c>
      <c r="AQ3695">
        <v>-97</v>
      </c>
      <c r="AR3695">
        <v>64</v>
      </c>
      <c r="AZ3695">
        <v>1200</v>
      </c>
      <c r="BA3695">
        <v>1</v>
      </c>
      <c r="BB3695" t="str">
        <f t="shared" si="2034"/>
        <v xml:space="preserve">N9217B  </v>
      </c>
      <c r="BC3695">
        <v>1</v>
      </c>
      <c r="BE3695">
        <v>0</v>
      </c>
      <c r="BF3695">
        <v>0</v>
      </c>
      <c r="BG3695">
        <v>0</v>
      </c>
      <c r="BH3695">
        <v>5125</v>
      </c>
      <c r="BI3695">
        <v>1</v>
      </c>
      <c r="BJ3695">
        <v>0</v>
      </c>
      <c r="BK3695">
        <v>0</v>
      </c>
      <c r="BL3695">
        <v>0</v>
      </c>
      <c r="BO3695">
        <v>0</v>
      </c>
      <c r="BP3695">
        <v>0</v>
      </c>
      <c r="BW3695" t="str">
        <f t="shared" si="2058"/>
        <v>14:58:05.100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7</v>
      </c>
      <c r="CP3695" t="s">
        <v>119</v>
      </c>
      <c r="CQ3695">
        <v>285</v>
      </c>
      <c r="CR3695">
        <v>0</v>
      </c>
      <c r="CW3695">
        <v>8882531</v>
      </c>
      <c r="CY3695">
        <v>0</v>
      </c>
      <c r="CZ3695">
        <v>0</v>
      </c>
      <c r="DA3695">
        <v>1</v>
      </c>
      <c r="DB3695">
        <v>0</v>
      </c>
      <c r="DC3695">
        <v>0</v>
      </c>
      <c r="DD3695">
        <v>0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25">
      <c r="A3696" t="str">
        <f t="shared" ref="A3696:A3702" si="2059">"06/05/2020 14:58:00.570"</f>
        <v>06/05/2020 14:58:00.570</v>
      </c>
      <c r="C3696" t="str">
        <f t="shared" si="2054"/>
        <v>FFDFD3C0</v>
      </c>
      <c r="D3696" t="s">
        <v>134</v>
      </c>
      <c r="E3696">
        <v>7</v>
      </c>
      <c r="F3696">
        <v>2007</v>
      </c>
      <c r="G3696" t="s">
        <v>135</v>
      </c>
      <c r="J3696" t="s">
        <v>136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 t="shared" ref="S3696:S3702" si="2060">"14:58:06.188"</f>
        <v>14:58:06.188</v>
      </c>
      <c r="T3696" t="str">
        <f t="shared" ref="T3696:T3702" si="2061">"14:58:06.088"</f>
        <v>14:58:06.088</v>
      </c>
      <c r="U3696" t="str">
        <f t="shared" si="2033"/>
        <v>ACC530</v>
      </c>
      <c r="V3696">
        <v>0</v>
      </c>
      <c r="W3696">
        <v>0</v>
      </c>
      <c r="X3696">
        <v>1</v>
      </c>
      <c r="Z3696">
        <v>0</v>
      </c>
      <c r="AA3696">
        <v>9</v>
      </c>
      <c r="AB3696">
        <v>3</v>
      </c>
      <c r="AC3696">
        <v>0</v>
      </c>
      <c r="AD3696">
        <v>9</v>
      </c>
      <c r="AE3696">
        <v>0</v>
      </c>
      <c r="AF3696">
        <v>3</v>
      </c>
      <c r="AG3696">
        <v>1</v>
      </c>
      <c r="AH3696">
        <v>0</v>
      </c>
      <c r="AI3696" t="s">
        <v>1201</v>
      </c>
      <c r="AJ3696">
        <v>34.072615999999996</v>
      </c>
      <c r="AK3696" t="s">
        <v>1194</v>
      </c>
      <c r="AL3696">
        <v>-117.016582</v>
      </c>
      <c r="AM3696">
        <v>100</v>
      </c>
      <c r="AN3696">
        <v>5300</v>
      </c>
      <c r="AO3696" t="s">
        <v>118</v>
      </c>
      <c r="AP3696">
        <v>-16</v>
      </c>
      <c r="AQ3696">
        <v>-95</v>
      </c>
      <c r="AR3696">
        <v>192</v>
      </c>
      <c r="AZ3696">
        <v>1200</v>
      </c>
      <c r="BA3696">
        <v>1</v>
      </c>
      <c r="BB3696" t="str">
        <f t="shared" si="2034"/>
        <v xml:space="preserve">N9217B  </v>
      </c>
      <c r="BC3696">
        <v>1</v>
      </c>
      <c r="BE3696">
        <v>0</v>
      </c>
      <c r="BF3696">
        <v>0</v>
      </c>
      <c r="BG3696">
        <v>0</v>
      </c>
      <c r="BH3696">
        <v>5125</v>
      </c>
      <c r="BI3696">
        <v>1</v>
      </c>
      <c r="BJ3696">
        <v>0</v>
      </c>
      <c r="BK3696">
        <v>0</v>
      </c>
      <c r="BL3696">
        <v>0</v>
      </c>
      <c r="BO3696">
        <v>0</v>
      </c>
      <c r="BP3696">
        <v>0</v>
      </c>
      <c r="BW3696" t="str">
        <f t="shared" ref="BW3696:BW3702" si="2062">"14:58:06.194"</f>
        <v>14:58:06.194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7</v>
      </c>
      <c r="CP3696" t="s">
        <v>119</v>
      </c>
      <c r="CQ3696">
        <v>285</v>
      </c>
      <c r="CR3696">
        <v>0</v>
      </c>
      <c r="CW3696">
        <v>8882633</v>
      </c>
      <c r="CY3696">
        <v>0</v>
      </c>
      <c r="CZ3696">
        <v>0</v>
      </c>
      <c r="DA3696">
        <v>0</v>
      </c>
      <c r="DB3696">
        <v>0</v>
      </c>
      <c r="DC3696">
        <v>0</v>
      </c>
      <c r="DD3696">
        <v>0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25">
      <c r="A3697" t="str">
        <f t="shared" si="2059"/>
        <v>06/05/2020 14:58:00.570</v>
      </c>
      <c r="C3697" t="str">
        <f t="shared" si="2054"/>
        <v>FFDFD3C0</v>
      </c>
      <c r="D3697" t="s">
        <v>148</v>
      </c>
      <c r="E3697">
        <v>8</v>
      </c>
      <c r="H3697">
        <v>50</v>
      </c>
      <c r="I3697" t="s">
        <v>149</v>
      </c>
      <c r="J3697" t="s">
        <v>150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 t="shared" si="2060"/>
        <v>14:58:06.188</v>
      </c>
      <c r="T3697" t="str">
        <f t="shared" si="2061"/>
        <v>14:58:06.088</v>
      </c>
      <c r="U3697" t="str">
        <f t="shared" si="2033"/>
        <v>ACC530</v>
      </c>
      <c r="V3697">
        <v>0</v>
      </c>
      <c r="W3697">
        <v>0</v>
      </c>
      <c r="X3697">
        <v>1</v>
      </c>
      <c r="Z3697">
        <v>0</v>
      </c>
      <c r="AA3697">
        <v>9</v>
      </c>
      <c r="AB3697">
        <v>3</v>
      </c>
      <c r="AC3697">
        <v>0</v>
      </c>
      <c r="AD3697">
        <v>9</v>
      </c>
      <c r="AE3697">
        <v>0</v>
      </c>
      <c r="AF3697">
        <v>3</v>
      </c>
      <c r="AG3697">
        <v>1</v>
      </c>
      <c r="AH3697">
        <v>0</v>
      </c>
      <c r="AI3697" t="s">
        <v>1201</v>
      </c>
      <c r="AJ3697">
        <v>34.072615999999996</v>
      </c>
      <c r="AK3697" t="s">
        <v>1194</v>
      </c>
      <c r="AL3697">
        <v>-117.016582</v>
      </c>
      <c r="AM3697">
        <v>100</v>
      </c>
      <c r="AN3697">
        <v>5300</v>
      </c>
      <c r="AO3697" t="s">
        <v>118</v>
      </c>
      <c r="AP3697">
        <v>-16</v>
      </c>
      <c r="AQ3697">
        <v>-95</v>
      </c>
      <c r="AR3697">
        <v>192</v>
      </c>
      <c r="AZ3697">
        <v>1200</v>
      </c>
      <c r="BA3697">
        <v>1</v>
      </c>
      <c r="BB3697" t="str">
        <f t="shared" si="2034"/>
        <v xml:space="preserve">N9217B  </v>
      </c>
      <c r="BC3697">
        <v>1</v>
      </c>
      <c r="BE3697">
        <v>0</v>
      </c>
      <c r="BF3697">
        <v>0</v>
      </c>
      <c r="BG3697">
        <v>0</v>
      </c>
      <c r="BH3697">
        <v>5125</v>
      </c>
      <c r="BI3697">
        <v>1</v>
      </c>
      <c r="BJ3697">
        <v>0</v>
      </c>
      <c r="BK3697">
        <v>0</v>
      </c>
      <c r="BL3697">
        <v>0</v>
      </c>
      <c r="BO3697">
        <v>0</v>
      </c>
      <c r="BP3697">
        <v>0</v>
      </c>
      <c r="BW3697" t="str">
        <f t="shared" si="2062"/>
        <v>14:58:06.194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7</v>
      </c>
      <c r="CP3697" t="s">
        <v>119</v>
      </c>
      <c r="CQ3697">
        <v>285</v>
      </c>
      <c r="CR3697">
        <v>0</v>
      </c>
      <c r="CW3697">
        <v>8882633</v>
      </c>
      <c r="CY3697">
        <v>0</v>
      </c>
      <c r="CZ3697">
        <v>0</v>
      </c>
      <c r="DA3697">
        <v>1</v>
      </c>
      <c r="DB3697">
        <v>0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25">
      <c r="A3698" t="str">
        <f t="shared" si="2059"/>
        <v>06/05/2020 14:58:00.570</v>
      </c>
      <c r="C3698" t="str">
        <f t="shared" si="2054"/>
        <v>FFDFD3C0</v>
      </c>
      <c r="D3698" t="s">
        <v>113</v>
      </c>
      <c r="E3698">
        <v>3</v>
      </c>
      <c r="H3698">
        <v>166</v>
      </c>
      <c r="I3698" t="s">
        <v>114</v>
      </c>
      <c r="J3698" t="s">
        <v>115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 t="shared" si="2060"/>
        <v>14:58:06.188</v>
      </c>
      <c r="T3698" t="str">
        <f t="shared" si="2061"/>
        <v>14:58:06.088</v>
      </c>
      <c r="U3698" t="str">
        <f t="shared" si="2033"/>
        <v>ACC530</v>
      </c>
      <c r="V3698">
        <v>0</v>
      </c>
      <c r="W3698">
        <v>0</v>
      </c>
      <c r="X3698">
        <v>1</v>
      </c>
      <c r="Z3698">
        <v>0</v>
      </c>
      <c r="AA3698">
        <v>9</v>
      </c>
      <c r="AB3698">
        <v>3</v>
      </c>
      <c r="AC3698">
        <v>0</v>
      </c>
      <c r="AD3698">
        <v>9</v>
      </c>
      <c r="AE3698">
        <v>0</v>
      </c>
      <c r="AF3698">
        <v>3</v>
      </c>
      <c r="AG3698">
        <v>1</v>
      </c>
      <c r="AH3698">
        <v>0</v>
      </c>
      <c r="AI3698" t="s">
        <v>1201</v>
      </c>
      <c r="AJ3698">
        <v>34.072615999999996</v>
      </c>
      <c r="AK3698" t="s">
        <v>1194</v>
      </c>
      <c r="AL3698">
        <v>-117.016582</v>
      </c>
      <c r="AM3698">
        <v>100</v>
      </c>
      <c r="AN3698">
        <v>5300</v>
      </c>
      <c r="AO3698" t="s">
        <v>118</v>
      </c>
      <c r="AP3698">
        <v>-16</v>
      </c>
      <c r="AQ3698">
        <v>-95</v>
      </c>
      <c r="AR3698">
        <v>192</v>
      </c>
      <c r="AZ3698">
        <v>1200</v>
      </c>
      <c r="BA3698">
        <v>1</v>
      </c>
      <c r="BB3698" t="str">
        <f t="shared" si="2034"/>
        <v xml:space="preserve">N9217B  </v>
      </c>
      <c r="BC3698">
        <v>1</v>
      </c>
      <c r="BE3698">
        <v>0</v>
      </c>
      <c r="BF3698">
        <v>0</v>
      </c>
      <c r="BG3698">
        <v>0</v>
      </c>
      <c r="BH3698">
        <v>5125</v>
      </c>
      <c r="BI3698">
        <v>1</v>
      </c>
      <c r="BJ3698">
        <v>0</v>
      </c>
      <c r="BK3698">
        <v>0</v>
      </c>
      <c r="BL3698">
        <v>0</v>
      </c>
      <c r="BO3698">
        <v>0</v>
      </c>
      <c r="BP3698">
        <v>0</v>
      </c>
      <c r="BW3698" t="str">
        <f t="shared" si="2062"/>
        <v>14:58:06.194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7</v>
      </c>
      <c r="CP3698" t="s">
        <v>119</v>
      </c>
      <c r="CQ3698">
        <v>285</v>
      </c>
      <c r="CR3698">
        <v>0</v>
      </c>
      <c r="CW3698">
        <v>8882633</v>
      </c>
      <c r="CY3698">
        <v>0</v>
      </c>
      <c r="CZ3698">
        <v>0</v>
      </c>
      <c r="DA3698">
        <v>1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25">
      <c r="A3699" t="str">
        <f t="shared" si="2059"/>
        <v>06/05/2020 14:58:00.570</v>
      </c>
      <c r="C3699" t="str">
        <f t="shared" si="2054"/>
        <v>FFDFD3C0</v>
      </c>
      <c r="D3699" t="s">
        <v>151</v>
      </c>
      <c r="E3699">
        <v>8</v>
      </c>
      <c r="H3699">
        <v>225</v>
      </c>
      <c r="I3699" t="s">
        <v>353</v>
      </c>
      <c r="J3699" t="s">
        <v>150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 t="shared" si="2060"/>
        <v>14:58:06.188</v>
      </c>
      <c r="T3699" t="str">
        <f t="shared" si="2061"/>
        <v>14:58:06.088</v>
      </c>
      <c r="U3699" t="str">
        <f t="shared" si="2033"/>
        <v>ACC530</v>
      </c>
      <c r="V3699">
        <v>0</v>
      </c>
      <c r="W3699">
        <v>0</v>
      </c>
      <c r="X3699">
        <v>1</v>
      </c>
      <c r="Z3699">
        <v>0</v>
      </c>
      <c r="AA3699">
        <v>9</v>
      </c>
      <c r="AB3699">
        <v>3</v>
      </c>
      <c r="AC3699">
        <v>0</v>
      </c>
      <c r="AD3699">
        <v>9</v>
      </c>
      <c r="AE3699">
        <v>0</v>
      </c>
      <c r="AF3699">
        <v>3</v>
      </c>
      <c r="AG3699">
        <v>1</v>
      </c>
      <c r="AH3699">
        <v>0</v>
      </c>
      <c r="AI3699" t="s">
        <v>1201</v>
      </c>
      <c r="AJ3699">
        <v>34.072615999999996</v>
      </c>
      <c r="AK3699" t="s">
        <v>1194</v>
      </c>
      <c r="AL3699">
        <v>-117.016582</v>
      </c>
      <c r="AM3699">
        <v>100</v>
      </c>
      <c r="AN3699">
        <v>5300</v>
      </c>
      <c r="AO3699" t="s">
        <v>118</v>
      </c>
      <c r="AP3699">
        <v>-16</v>
      </c>
      <c r="AQ3699">
        <v>-95</v>
      </c>
      <c r="AR3699">
        <v>192</v>
      </c>
      <c r="AZ3699">
        <v>1200</v>
      </c>
      <c r="BA3699">
        <v>1</v>
      </c>
      <c r="BB3699" t="str">
        <f t="shared" si="2034"/>
        <v xml:space="preserve">N9217B  </v>
      </c>
      <c r="BC3699">
        <v>1</v>
      </c>
      <c r="BE3699">
        <v>0</v>
      </c>
      <c r="BF3699">
        <v>0</v>
      </c>
      <c r="BG3699">
        <v>0</v>
      </c>
      <c r="BH3699">
        <v>5125</v>
      </c>
      <c r="BI3699">
        <v>1</v>
      </c>
      <c r="BJ3699">
        <v>0</v>
      </c>
      <c r="BK3699">
        <v>0</v>
      </c>
      <c r="BL3699">
        <v>0</v>
      </c>
      <c r="BO3699">
        <v>0</v>
      </c>
      <c r="BP3699">
        <v>0</v>
      </c>
      <c r="BW3699" t="str">
        <f t="shared" si="2062"/>
        <v>14:58:06.194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7</v>
      </c>
      <c r="CP3699" t="s">
        <v>119</v>
      </c>
      <c r="CQ3699">
        <v>285</v>
      </c>
      <c r="CR3699">
        <v>0</v>
      </c>
      <c r="CW3699">
        <v>8882633</v>
      </c>
      <c r="CY3699">
        <v>0</v>
      </c>
      <c r="CZ3699">
        <v>0</v>
      </c>
      <c r="DA3699">
        <v>1</v>
      </c>
      <c r="DB3699">
        <v>0</v>
      </c>
      <c r="DC3699">
        <v>0</v>
      </c>
      <c r="DD3699">
        <v>0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25">
      <c r="A3700" t="str">
        <f t="shared" si="2059"/>
        <v>06/05/2020 14:58:00.570</v>
      </c>
      <c r="C3700" t="str">
        <f t="shared" si="2054"/>
        <v>FFDFD3C0</v>
      </c>
      <c r="D3700" t="s">
        <v>141</v>
      </c>
      <c r="E3700">
        <v>20</v>
      </c>
      <c r="F3700">
        <v>1020</v>
      </c>
      <c r="G3700" t="s">
        <v>114</v>
      </c>
      <c r="J3700" t="s">
        <v>142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 t="shared" si="2060"/>
        <v>14:58:06.188</v>
      </c>
      <c r="T3700" t="str">
        <f t="shared" si="2061"/>
        <v>14:58:06.088</v>
      </c>
      <c r="U3700" t="str">
        <f t="shared" si="2033"/>
        <v>ACC530</v>
      </c>
      <c r="V3700">
        <v>0</v>
      </c>
      <c r="W3700">
        <v>0</v>
      </c>
      <c r="X3700">
        <v>1</v>
      </c>
      <c r="Z3700">
        <v>0</v>
      </c>
      <c r="AA3700">
        <v>9</v>
      </c>
      <c r="AB3700">
        <v>3</v>
      </c>
      <c r="AC3700">
        <v>0</v>
      </c>
      <c r="AD3700">
        <v>9</v>
      </c>
      <c r="AE3700">
        <v>0</v>
      </c>
      <c r="AF3700">
        <v>3</v>
      </c>
      <c r="AG3700">
        <v>1</v>
      </c>
      <c r="AH3700">
        <v>0</v>
      </c>
      <c r="AI3700" t="s">
        <v>1201</v>
      </c>
      <c r="AJ3700">
        <v>34.072615999999996</v>
      </c>
      <c r="AK3700" t="s">
        <v>1194</v>
      </c>
      <c r="AL3700">
        <v>-117.016582</v>
      </c>
      <c r="AM3700">
        <v>100</v>
      </c>
      <c r="AN3700">
        <v>5300</v>
      </c>
      <c r="AO3700" t="s">
        <v>118</v>
      </c>
      <c r="AP3700">
        <v>-16</v>
      </c>
      <c r="AQ3700">
        <v>-95</v>
      </c>
      <c r="AR3700">
        <v>192</v>
      </c>
      <c r="AZ3700">
        <v>1200</v>
      </c>
      <c r="BA3700">
        <v>1</v>
      </c>
      <c r="BB3700" t="str">
        <f t="shared" si="2034"/>
        <v xml:space="preserve">N9217B  </v>
      </c>
      <c r="BC3700">
        <v>1</v>
      </c>
      <c r="BE3700">
        <v>0</v>
      </c>
      <c r="BF3700">
        <v>0</v>
      </c>
      <c r="BG3700">
        <v>0</v>
      </c>
      <c r="BH3700">
        <v>5125</v>
      </c>
      <c r="BI3700">
        <v>1</v>
      </c>
      <c r="BJ3700">
        <v>0</v>
      </c>
      <c r="BK3700">
        <v>0</v>
      </c>
      <c r="BL3700">
        <v>0</v>
      </c>
      <c r="BO3700">
        <v>0</v>
      </c>
      <c r="BP3700">
        <v>0</v>
      </c>
      <c r="BW3700" t="str">
        <f t="shared" si="2062"/>
        <v>14:58:06.194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7</v>
      </c>
      <c r="CP3700" t="s">
        <v>119</v>
      </c>
      <c r="CQ3700">
        <v>285</v>
      </c>
      <c r="CR3700">
        <v>0</v>
      </c>
      <c r="CW3700">
        <v>8882633</v>
      </c>
      <c r="CY3700">
        <v>0</v>
      </c>
      <c r="CZ3700">
        <v>0</v>
      </c>
      <c r="DA3700">
        <v>1</v>
      </c>
      <c r="DB3700">
        <v>0</v>
      </c>
      <c r="DC3700">
        <v>0</v>
      </c>
      <c r="DD3700">
        <v>0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25">
      <c r="A3701" t="str">
        <f t="shared" si="2059"/>
        <v>06/05/2020 14:58:00.570</v>
      </c>
      <c r="C3701" t="str">
        <f t="shared" si="2054"/>
        <v>FFDFD3C0</v>
      </c>
      <c r="D3701" t="s">
        <v>151</v>
      </c>
      <c r="E3701">
        <v>9</v>
      </c>
      <c r="H3701">
        <v>226</v>
      </c>
      <c r="I3701" t="s">
        <v>152</v>
      </c>
      <c r="J3701" t="s">
        <v>150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 t="shared" si="2060"/>
        <v>14:58:06.188</v>
      </c>
      <c r="T3701" t="str">
        <f t="shared" si="2061"/>
        <v>14:58:06.088</v>
      </c>
      <c r="U3701" t="str">
        <f t="shared" si="2033"/>
        <v>ACC530</v>
      </c>
      <c r="V3701">
        <v>0</v>
      </c>
      <c r="W3701">
        <v>0</v>
      </c>
      <c r="X3701">
        <v>1</v>
      </c>
      <c r="Z3701">
        <v>0</v>
      </c>
      <c r="AA3701">
        <v>9</v>
      </c>
      <c r="AB3701">
        <v>3</v>
      </c>
      <c r="AC3701">
        <v>0</v>
      </c>
      <c r="AD3701">
        <v>9</v>
      </c>
      <c r="AE3701">
        <v>0</v>
      </c>
      <c r="AF3701">
        <v>3</v>
      </c>
      <c r="AG3701">
        <v>1</v>
      </c>
      <c r="AH3701">
        <v>0</v>
      </c>
      <c r="AI3701" t="s">
        <v>1201</v>
      </c>
      <c r="AJ3701">
        <v>34.072615999999996</v>
      </c>
      <c r="AK3701" t="s">
        <v>1194</v>
      </c>
      <c r="AL3701">
        <v>-117.016582</v>
      </c>
      <c r="AM3701">
        <v>100</v>
      </c>
      <c r="AN3701">
        <v>5300</v>
      </c>
      <c r="AO3701" t="s">
        <v>118</v>
      </c>
      <c r="AP3701">
        <v>-16</v>
      </c>
      <c r="AQ3701">
        <v>-95</v>
      </c>
      <c r="AR3701">
        <v>192</v>
      </c>
      <c r="AZ3701">
        <v>1200</v>
      </c>
      <c r="BA3701">
        <v>1</v>
      </c>
      <c r="BB3701" t="str">
        <f t="shared" si="2034"/>
        <v xml:space="preserve">N9217B  </v>
      </c>
      <c r="BC3701">
        <v>1</v>
      </c>
      <c r="BE3701">
        <v>0</v>
      </c>
      <c r="BF3701">
        <v>0</v>
      </c>
      <c r="BG3701">
        <v>0</v>
      </c>
      <c r="BH3701">
        <v>5125</v>
      </c>
      <c r="BI3701">
        <v>1</v>
      </c>
      <c r="BJ3701">
        <v>0</v>
      </c>
      <c r="BK3701">
        <v>0</v>
      </c>
      <c r="BL3701">
        <v>0</v>
      </c>
      <c r="BO3701">
        <v>0</v>
      </c>
      <c r="BP3701">
        <v>0</v>
      </c>
      <c r="BW3701" t="str">
        <f t="shared" si="2062"/>
        <v>14:58:06.194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7</v>
      </c>
      <c r="CP3701" t="s">
        <v>119</v>
      </c>
      <c r="CQ3701">
        <v>285</v>
      </c>
      <c r="CR3701">
        <v>0</v>
      </c>
      <c r="CW3701">
        <v>8882633</v>
      </c>
      <c r="CY3701">
        <v>0</v>
      </c>
      <c r="CZ3701">
        <v>0</v>
      </c>
      <c r="DA3701">
        <v>1</v>
      </c>
      <c r="DB3701">
        <v>0</v>
      </c>
      <c r="DC3701">
        <v>0</v>
      </c>
      <c r="DD3701">
        <v>0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25">
      <c r="A3702" t="str">
        <f t="shared" si="2059"/>
        <v>06/05/2020 14:58:00.570</v>
      </c>
      <c r="C3702" t="str">
        <f t="shared" si="2054"/>
        <v>FFDFD3C0</v>
      </c>
      <c r="D3702" t="s">
        <v>148</v>
      </c>
      <c r="E3702">
        <v>11</v>
      </c>
      <c r="H3702">
        <v>53</v>
      </c>
      <c r="I3702" t="s">
        <v>364</v>
      </c>
      <c r="J3702" t="s">
        <v>150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 t="shared" si="2060"/>
        <v>14:58:06.188</v>
      </c>
      <c r="T3702" t="str">
        <f t="shared" si="2061"/>
        <v>14:58:06.088</v>
      </c>
      <c r="U3702" t="str">
        <f t="shared" si="2033"/>
        <v>ACC530</v>
      </c>
      <c r="V3702">
        <v>0</v>
      </c>
      <c r="W3702">
        <v>0</v>
      </c>
      <c r="X3702">
        <v>1</v>
      </c>
      <c r="Z3702">
        <v>0</v>
      </c>
      <c r="AA3702">
        <v>9</v>
      </c>
      <c r="AB3702">
        <v>3</v>
      </c>
      <c r="AC3702">
        <v>0</v>
      </c>
      <c r="AD3702">
        <v>9</v>
      </c>
      <c r="AE3702">
        <v>0</v>
      </c>
      <c r="AF3702">
        <v>3</v>
      </c>
      <c r="AG3702">
        <v>1</v>
      </c>
      <c r="AH3702">
        <v>0</v>
      </c>
      <c r="AI3702" t="s">
        <v>1201</v>
      </c>
      <c r="AJ3702">
        <v>34.072615999999996</v>
      </c>
      <c r="AK3702" t="s">
        <v>1194</v>
      </c>
      <c r="AL3702">
        <v>-117.016582</v>
      </c>
      <c r="AM3702">
        <v>100</v>
      </c>
      <c r="AN3702">
        <v>5300</v>
      </c>
      <c r="AO3702" t="s">
        <v>118</v>
      </c>
      <c r="AP3702">
        <v>-16</v>
      </c>
      <c r="AQ3702">
        <v>-95</v>
      </c>
      <c r="AR3702">
        <v>192</v>
      </c>
      <c r="AZ3702">
        <v>1200</v>
      </c>
      <c r="BA3702">
        <v>1</v>
      </c>
      <c r="BB3702" t="str">
        <f t="shared" si="2034"/>
        <v xml:space="preserve">N9217B  </v>
      </c>
      <c r="BC3702">
        <v>1</v>
      </c>
      <c r="BE3702">
        <v>0</v>
      </c>
      <c r="BF3702">
        <v>0</v>
      </c>
      <c r="BG3702">
        <v>0</v>
      </c>
      <c r="BH3702">
        <v>5125</v>
      </c>
      <c r="BI3702">
        <v>1</v>
      </c>
      <c r="BJ3702">
        <v>0</v>
      </c>
      <c r="BK3702">
        <v>0</v>
      </c>
      <c r="BL3702">
        <v>0</v>
      </c>
      <c r="BO3702">
        <v>0</v>
      </c>
      <c r="BP3702">
        <v>0</v>
      </c>
      <c r="BW3702" t="str">
        <f t="shared" si="2062"/>
        <v>14:58:06.194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7</v>
      </c>
      <c r="CP3702" t="s">
        <v>119</v>
      </c>
      <c r="CQ3702">
        <v>285</v>
      </c>
      <c r="CR3702">
        <v>0</v>
      </c>
      <c r="CW3702">
        <v>8882633</v>
      </c>
      <c r="CY3702">
        <v>0</v>
      </c>
      <c r="CZ3702">
        <v>0</v>
      </c>
      <c r="DA3702">
        <v>1</v>
      </c>
      <c r="DB3702">
        <v>0</v>
      </c>
      <c r="DC3702">
        <v>0</v>
      </c>
      <c r="DD3702">
        <v>0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25">
      <c r="A3703" t="str">
        <f t="shared" ref="A3703:A3709" si="2063">"06/05/2020 14:58:01.567"</f>
        <v>06/05/2020 14:58:01.567</v>
      </c>
      <c r="C3703" t="str">
        <f t="shared" si="2054"/>
        <v>FFDFD3C0</v>
      </c>
      <c r="D3703" t="s">
        <v>151</v>
      </c>
      <c r="E3703">
        <v>9</v>
      </c>
      <c r="H3703">
        <v>226</v>
      </c>
      <c r="I3703" t="s">
        <v>152</v>
      </c>
      <c r="J3703" t="s">
        <v>150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 t="shared" ref="S3703:S3709" si="2064">"14:58:07.195"</f>
        <v>14:58:07.195</v>
      </c>
      <c r="T3703" t="str">
        <f t="shared" ref="T3703:T3709" si="2065">"14:58:07.095"</f>
        <v>14:58:07.095</v>
      </c>
      <c r="U3703" t="str">
        <f t="shared" si="2033"/>
        <v>ACC530</v>
      </c>
      <c r="V3703">
        <v>0</v>
      </c>
      <c r="W3703">
        <v>0</v>
      </c>
      <c r="X3703">
        <v>1</v>
      </c>
      <c r="Z3703">
        <v>0</v>
      </c>
      <c r="AA3703">
        <v>9</v>
      </c>
      <c r="AB3703">
        <v>3</v>
      </c>
      <c r="AC3703">
        <v>0</v>
      </c>
      <c r="AD3703">
        <v>9</v>
      </c>
      <c r="AE3703">
        <v>0</v>
      </c>
      <c r="AF3703">
        <v>3</v>
      </c>
      <c r="AG3703">
        <v>1</v>
      </c>
      <c r="AH3703">
        <v>0</v>
      </c>
      <c r="AI3703" t="s">
        <v>1202</v>
      </c>
      <c r="AJ3703">
        <v>34.072164999999998</v>
      </c>
      <c r="AK3703" t="s">
        <v>1192</v>
      </c>
      <c r="AL3703">
        <v>-117.016733</v>
      </c>
      <c r="AM3703">
        <v>100</v>
      </c>
      <c r="AN3703">
        <v>5300</v>
      </c>
      <c r="AO3703" t="s">
        <v>118</v>
      </c>
      <c r="AP3703">
        <v>-22</v>
      </c>
      <c r="AQ3703">
        <v>-92</v>
      </c>
      <c r="AR3703">
        <v>192</v>
      </c>
      <c r="AZ3703">
        <v>1200</v>
      </c>
      <c r="BA3703">
        <v>1</v>
      </c>
      <c r="BB3703" t="str">
        <f t="shared" si="2034"/>
        <v xml:space="preserve">N9217B  </v>
      </c>
      <c r="BC3703">
        <v>1</v>
      </c>
      <c r="BE3703">
        <v>0</v>
      </c>
      <c r="BF3703">
        <v>0</v>
      </c>
      <c r="BG3703">
        <v>0</v>
      </c>
      <c r="BH3703">
        <v>5125</v>
      </c>
      <c r="BI3703">
        <v>1</v>
      </c>
      <c r="BJ3703">
        <v>0</v>
      </c>
      <c r="BK3703">
        <v>0</v>
      </c>
      <c r="BL3703">
        <v>0</v>
      </c>
      <c r="BO3703">
        <v>0</v>
      </c>
      <c r="BP3703">
        <v>0</v>
      </c>
      <c r="BW3703" t="str">
        <f t="shared" ref="BW3703:BW3709" si="2066">"14:58:07.199"</f>
        <v>14:58:07.199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7</v>
      </c>
      <c r="CP3703" t="s">
        <v>119</v>
      </c>
      <c r="CQ3703">
        <v>285</v>
      </c>
      <c r="CR3703">
        <v>0</v>
      </c>
      <c r="CW3703">
        <v>8882723</v>
      </c>
      <c r="CY3703">
        <v>0</v>
      </c>
      <c r="CZ3703">
        <v>0</v>
      </c>
      <c r="DA3703">
        <v>0</v>
      </c>
      <c r="DB3703">
        <v>0</v>
      </c>
      <c r="DC3703">
        <v>0</v>
      </c>
      <c r="DD3703">
        <v>0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25">
      <c r="A3704" t="str">
        <f t="shared" si="2063"/>
        <v>06/05/2020 14:58:01.567</v>
      </c>
      <c r="C3704" t="str">
        <f t="shared" si="2054"/>
        <v>FFDFD3C0</v>
      </c>
      <c r="D3704" t="s">
        <v>148</v>
      </c>
      <c r="E3704">
        <v>11</v>
      </c>
      <c r="H3704">
        <v>53</v>
      </c>
      <c r="I3704" t="s">
        <v>364</v>
      </c>
      <c r="J3704" t="s">
        <v>150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 t="shared" si="2064"/>
        <v>14:58:07.195</v>
      </c>
      <c r="T3704" t="str">
        <f t="shared" si="2065"/>
        <v>14:58:07.095</v>
      </c>
      <c r="U3704" t="str">
        <f t="shared" si="2033"/>
        <v>ACC530</v>
      </c>
      <c r="V3704">
        <v>0</v>
      </c>
      <c r="W3704">
        <v>0</v>
      </c>
      <c r="X3704">
        <v>1</v>
      </c>
      <c r="Z3704">
        <v>0</v>
      </c>
      <c r="AA3704">
        <v>9</v>
      </c>
      <c r="AB3704">
        <v>3</v>
      </c>
      <c r="AC3704">
        <v>0</v>
      </c>
      <c r="AD3704">
        <v>9</v>
      </c>
      <c r="AE3704">
        <v>0</v>
      </c>
      <c r="AF3704">
        <v>3</v>
      </c>
      <c r="AG3704">
        <v>1</v>
      </c>
      <c r="AH3704">
        <v>0</v>
      </c>
      <c r="AI3704" t="s">
        <v>1202</v>
      </c>
      <c r="AJ3704">
        <v>34.072164999999998</v>
      </c>
      <c r="AK3704" t="s">
        <v>1192</v>
      </c>
      <c r="AL3704">
        <v>-117.016733</v>
      </c>
      <c r="AM3704">
        <v>100</v>
      </c>
      <c r="AN3704">
        <v>5300</v>
      </c>
      <c r="AO3704" t="s">
        <v>118</v>
      </c>
      <c r="AP3704">
        <v>-22</v>
      </c>
      <c r="AQ3704">
        <v>-92</v>
      </c>
      <c r="AR3704">
        <v>192</v>
      </c>
      <c r="AZ3704">
        <v>1200</v>
      </c>
      <c r="BA3704">
        <v>1</v>
      </c>
      <c r="BB3704" t="str">
        <f t="shared" si="2034"/>
        <v xml:space="preserve">N9217B  </v>
      </c>
      <c r="BC3704">
        <v>1</v>
      </c>
      <c r="BE3704">
        <v>0</v>
      </c>
      <c r="BF3704">
        <v>0</v>
      </c>
      <c r="BG3704">
        <v>0</v>
      </c>
      <c r="BH3704">
        <v>5125</v>
      </c>
      <c r="BI3704">
        <v>1</v>
      </c>
      <c r="BJ3704">
        <v>0</v>
      </c>
      <c r="BK3704">
        <v>0</v>
      </c>
      <c r="BL3704">
        <v>0</v>
      </c>
      <c r="BO3704">
        <v>0</v>
      </c>
      <c r="BP3704">
        <v>0</v>
      </c>
      <c r="BW3704" t="str">
        <f t="shared" si="2066"/>
        <v>14:58:07.199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7</v>
      </c>
      <c r="CP3704" t="s">
        <v>119</v>
      </c>
      <c r="CQ3704">
        <v>285</v>
      </c>
      <c r="CR3704">
        <v>0</v>
      </c>
      <c r="CW3704">
        <v>8882723</v>
      </c>
      <c r="CY3704">
        <v>0</v>
      </c>
      <c r="CZ3704">
        <v>0</v>
      </c>
      <c r="DA3704">
        <v>1</v>
      </c>
      <c r="DB3704">
        <v>0</v>
      </c>
      <c r="DC3704">
        <v>0</v>
      </c>
      <c r="DD3704">
        <v>0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25">
      <c r="A3705" t="str">
        <f t="shared" si="2063"/>
        <v>06/05/2020 14:58:01.567</v>
      </c>
      <c r="C3705" t="str">
        <f t="shared" si="2054"/>
        <v>FFDFD3C0</v>
      </c>
      <c r="D3705" t="s">
        <v>134</v>
      </c>
      <c r="E3705">
        <v>7</v>
      </c>
      <c r="F3705">
        <v>2007</v>
      </c>
      <c r="G3705" t="s">
        <v>135</v>
      </c>
      <c r="J3705" t="s">
        <v>136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si="2064"/>
        <v>14:58:07.195</v>
      </c>
      <c r="T3705" t="str">
        <f t="shared" si="2065"/>
        <v>14:58:07.095</v>
      </c>
      <c r="U3705" t="str">
        <f t="shared" si="2033"/>
        <v>ACC530</v>
      </c>
      <c r="V3705">
        <v>0</v>
      </c>
      <c r="W3705">
        <v>0</v>
      </c>
      <c r="X3705">
        <v>1</v>
      </c>
      <c r="Z3705">
        <v>0</v>
      </c>
      <c r="AA3705">
        <v>9</v>
      </c>
      <c r="AB3705">
        <v>3</v>
      </c>
      <c r="AC3705">
        <v>0</v>
      </c>
      <c r="AD3705">
        <v>9</v>
      </c>
      <c r="AE3705">
        <v>0</v>
      </c>
      <c r="AF3705">
        <v>3</v>
      </c>
      <c r="AG3705">
        <v>1</v>
      </c>
      <c r="AH3705">
        <v>0</v>
      </c>
      <c r="AI3705" t="s">
        <v>1202</v>
      </c>
      <c r="AJ3705">
        <v>34.072164999999998</v>
      </c>
      <c r="AK3705" t="s">
        <v>1192</v>
      </c>
      <c r="AL3705">
        <v>-117.016733</v>
      </c>
      <c r="AM3705">
        <v>100</v>
      </c>
      <c r="AN3705">
        <v>5300</v>
      </c>
      <c r="AO3705" t="s">
        <v>118</v>
      </c>
      <c r="AP3705">
        <v>-22</v>
      </c>
      <c r="AQ3705">
        <v>-92</v>
      </c>
      <c r="AR3705">
        <v>192</v>
      </c>
      <c r="AZ3705">
        <v>1200</v>
      </c>
      <c r="BA3705">
        <v>1</v>
      </c>
      <c r="BB3705" t="str">
        <f t="shared" si="2034"/>
        <v xml:space="preserve">N9217B  </v>
      </c>
      <c r="BC3705">
        <v>1</v>
      </c>
      <c r="BE3705">
        <v>0</v>
      </c>
      <c r="BF3705">
        <v>0</v>
      </c>
      <c r="BG3705">
        <v>0</v>
      </c>
      <c r="BH3705">
        <v>5125</v>
      </c>
      <c r="BI3705">
        <v>1</v>
      </c>
      <c r="BJ3705">
        <v>0</v>
      </c>
      <c r="BK3705">
        <v>0</v>
      </c>
      <c r="BL3705">
        <v>0</v>
      </c>
      <c r="BO3705">
        <v>0</v>
      </c>
      <c r="BP3705">
        <v>0</v>
      </c>
      <c r="BW3705" t="str">
        <f t="shared" si="2066"/>
        <v>14:58:07.199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7</v>
      </c>
      <c r="CP3705" t="s">
        <v>119</v>
      </c>
      <c r="CQ3705">
        <v>285</v>
      </c>
      <c r="CR3705">
        <v>0</v>
      </c>
      <c r="CW3705">
        <v>8882723</v>
      </c>
      <c r="CY3705">
        <v>0</v>
      </c>
      <c r="CZ3705">
        <v>0</v>
      </c>
      <c r="DA3705">
        <v>1</v>
      </c>
      <c r="DB3705">
        <v>0</v>
      </c>
      <c r="DC3705">
        <v>0</v>
      </c>
      <c r="DD3705">
        <v>0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25">
      <c r="A3706" t="str">
        <f t="shared" si="2063"/>
        <v>06/05/2020 14:58:01.567</v>
      </c>
      <c r="C3706" t="str">
        <f t="shared" si="2054"/>
        <v>FFDFD3C0</v>
      </c>
      <c r="D3706" t="s">
        <v>148</v>
      </c>
      <c r="E3706">
        <v>8</v>
      </c>
      <c r="H3706">
        <v>50</v>
      </c>
      <c r="I3706" t="s">
        <v>149</v>
      </c>
      <c r="J3706" t="s">
        <v>150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2064"/>
        <v>14:58:07.195</v>
      </c>
      <c r="T3706" t="str">
        <f t="shared" si="2065"/>
        <v>14:58:07.095</v>
      </c>
      <c r="U3706" t="str">
        <f t="shared" si="2033"/>
        <v>ACC530</v>
      </c>
      <c r="V3706">
        <v>0</v>
      </c>
      <c r="W3706">
        <v>0</v>
      </c>
      <c r="X3706">
        <v>1</v>
      </c>
      <c r="Z3706">
        <v>0</v>
      </c>
      <c r="AA3706">
        <v>9</v>
      </c>
      <c r="AB3706">
        <v>3</v>
      </c>
      <c r="AC3706">
        <v>0</v>
      </c>
      <c r="AD3706">
        <v>9</v>
      </c>
      <c r="AE3706">
        <v>0</v>
      </c>
      <c r="AF3706">
        <v>3</v>
      </c>
      <c r="AG3706">
        <v>1</v>
      </c>
      <c r="AH3706">
        <v>0</v>
      </c>
      <c r="AI3706" t="s">
        <v>1202</v>
      </c>
      <c r="AJ3706">
        <v>34.072164999999998</v>
      </c>
      <c r="AK3706" t="s">
        <v>1192</v>
      </c>
      <c r="AL3706">
        <v>-117.016733</v>
      </c>
      <c r="AM3706">
        <v>100</v>
      </c>
      <c r="AN3706">
        <v>5300</v>
      </c>
      <c r="AO3706" t="s">
        <v>118</v>
      </c>
      <c r="AP3706">
        <v>-22</v>
      </c>
      <c r="AQ3706">
        <v>-92</v>
      </c>
      <c r="AR3706">
        <v>192</v>
      </c>
      <c r="AZ3706">
        <v>1200</v>
      </c>
      <c r="BA3706">
        <v>1</v>
      </c>
      <c r="BB3706" t="str">
        <f t="shared" si="2034"/>
        <v xml:space="preserve">N9217B  </v>
      </c>
      <c r="BC3706">
        <v>1</v>
      </c>
      <c r="BE3706">
        <v>0</v>
      </c>
      <c r="BF3706">
        <v>0</v>
      </c>
      <c r="BG3706">
        <v>0</v>
      </c>
      <c r="BH3706">
        <v>5125</v>
      </c>
      <c r="BI3706">
        <v>1</v>
      </c>
      <c r="BJ3706">
        <v>0</v>
      </c>
      <c r="BK3706">
        <v>0</v>
      </c>
      <c r="BL3706">
        <v>0</v>
      </c>
      <c r="BO3706">
        <v>0</v>
      </c>
      <c r="BP3706">
        <v>0</v>
      </c>
      <c r="BW3706" t="str">
        <f t="shared" si="2066"/>
        <v>14:58:07.199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7</v>
      </c>
      <c r="CP3706" t="s">
        <v>119</v>
      </c>
      <c r="CQ3706">
        <v>285</v>
      </c>
      <c r="CR3706">
        <v>0</v>
      </c>
      <c r="CW3706">
        <v>8882723</v>
      </c>
      <c r="CY3706">
        <v>0</v>
      </c>
      <c r="CZ3706">
        <v>0</v>
      </c>
      <c r="DA3706">
        <v>1</v>
      </c>
      <c r="DB3706">
        <v>0</v>
      </c>
      <c r="DC3706">
        <v>0</v>
      </c>
      <c r="DD3706">
        <v>0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25">
      <c r="A3707" t="str">
        <f t="shared" si="2063"/>
        <v>06/05/2020 14:58:01.567</v>
      </c>
      <c r="C3707" t="str">
        <f t="shared" si="2054"/>
        <v>FFDFD3C0</v>
      </c>
      <c r="D3707" t="s">
        <v>113</v>
      </c>
      <c r="E3707">
        <v>3</v>
      </c>
      <c r="H3707">
        <v>166</v>
      </c>
      <c r="I3707" t="s">
        <v>114</v>
      </c>
      <c r="J3707" t="s">
        <v>115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2064"/>
        <v>14:58:07.195</v>
      </c>
      <c r="T3707" t="str">
        <f t="shared" si="2065"/>
        <v>14:58:07.095</v>
      </c>
      <c r="U3707" t="str">
        <f t="shared" si="2033"/>
        <v>ACC530</v>
      </c>
      <c r="V3707">
        <v>0</v>
      </c>
      <c r="W3707">
        <v>0</v>
      </c>
      <c r="X3707">
        <v>1</v>
      </c>
      <c r="Z3707">
        <v>0</v>
      </c>
      <c r="AA3707">
        <v>9</v>
      </c>
      <c r="AB3707">
        <v>3</v>
      </c>
      <c r="AC3707">
        <v>0</v>
      </c>
      <c r="AD3707">
        <v>9</v>
      </c>
      <c r="AE3707">
        <v>0</v>
      </c>
      <c r="AF3707">
        <v>3</v>
      </c>
      <c r="AG3707">
        <v>1</v>
      </c>
      <c r="AH3707">
        <v>0</v>
      </c>
      <c r="AI3707" t="s">
        <v>1202</v>
      </c>
      <c r="AJ3707">
        <v>34.072164999999998</v>
      </c>
      <c r="AK3707" t="s">
        <v>1192</v>
      </c>
      <c r="AL3707">
        <v>-117.016733</v>
      </c>
      <c r="AM3707">
        <v>100</v>
      </c>
      <c r="AN3707">
        <v>5300</v>
      </c>
      <c r="AO3707" t="s">
        <v>118</v>
      </c>
      <c r="AP3707">
        <v>-22</v>
      </c>
      <c r="AQ3707">
        <v>-92</v>
      </c>
      <c r="AR3707">
        <v>192</v>
      </c>
      <c r="AZ3707">
        <v>1200</v>
      </c>
      <c r="BA3707">
        <v>1</v>
      </c>
      <c r="BB3707" t="str">
        <f t="shared" si="2034"/>
        <v xml:space="preserve">N9217B  </v>
      </c>
      <c r="BC3707">
        <v>1</v>
      </c>
      <c r="BE3707">
        <v>0</v>
      </c>
      <c r="BF3707">
        <v>0</v>
      </c>
      <c r="BG3707">
        <v>0</v>
      </c>
      <c r="BH3707">
        <v>5125</v>
      </c>
      <c r="BI3707">
        <v>1</v>
      </c>
      <c r="BJ3707">
        <v>0</v>
      </c>
      <c r="BK3707">
        <v>0</v>
      </c>
      <c r="BL3707">
        <v>0</v>
      </c>
      <c r="BO3707">
        <v>0</v>
      </c>
      <c r="BP3707">
        <v>0</v>
      </c>
      <c r="BW3707" t="str">
        <f t="shared" si="2066"/>
        <v>14:58:07.199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7</v>
      </c>
      <c r="CP3707" t="s">
        <v>119</v>
      </c>
      <c r="CQ3707">
        <v>285</v>
      </c>
      <c r="CR3707">
        <v>0</v>
      </c>
      <c r="CW3707">
        <v>8882723</v>
      </c>
      <c r="CY3707">
        <v>0</v>
      </c>
      <c r="CZ3707">
        <v>0</v>
      </c>
      <c r="DA3707">
        <v>1</v>
      </c>
      <c r="DB3707">
        <v>0</v>
      </c>
      <c r="DC3707">
        <v>0</v>
      </c>
      <c r="DD3707">
        <v>0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25">
      <c r="A3708" t="str">
        <f t="shared" si="2063"/>
        <v>06/05/2020 14:58:01.567</v>
      </c>
      <c r="C3708" t="str">
        <f t="shared" si="2054"/>
        <v>FFDFD3C0</v>
      </c>
      <c r="D3708" t="s">
        <v>141</v>
      </c>
      <c r="E3708">
        <v>20</v>
      </c>
      <c r="F3708">
        <v>1020</v>
      </c>
      <c r="G3708" t="s">
        <v>114</v>
      </c>
      <c r="J3708" t="s">
        <v>142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2064"/>
        <v>14:58:07.195</v>
      </c>
      <c r="T3708" t="str">
        <f t="shared" si="2065"/>
        <v>14:58:07.095</v>
      </c>
      <c r="U3708" t="str">
        <f t="shared" si="2033"/>
        <v>ACC530</v>
      </c>
      <c r="V3708">
        <v>0</v>
      </c>
      <c r="W3708">
        <v>0</v>
      </c>
      <c r="X3708">
        <v>1</v>
      </c>
      <c r="Z3708">
        <v>0</v>
      </c>
      <c r="AA3708">
        <v>9</v>
      </c>
      <c r="AB3708">
        <v>3</v>
      </c>
      <c r="AC3708">
        <v>0</v>
      </c>
      <c r="AD3708">
        <v>9</v>
      </c>
      <c r="AE3708">
        <v>0</v>
      </c>
      <c r="AF3708">
        <v>3</v>
      </c>
      <c r="AG3708">
        <v>1</v>
      </c>
      <c r="AH3708">
        <v>0</v>
      </c>
      <c r="AI3708" t="s">
        <v>1202</v>
      </c>
      <c r="AJ3708">
        <v>34.072164999999998</v>
      </c>
      <c r="AK3708" t="s">
        <v>1192</v>
      </c>
      <c r="AL3708">
        <v>-117.016733</v>
      </c>
      <c r="AM3708">
        <v>100</v>
      </c>
      <c r="AN3708">
        <v>5300</v>
      </c>
      <c r="AO3708" t="s">
        <v>118</v>
      </c>
      <c r="AP3708">
        <v>-22</v>
      </c>
      <c r="AQ3708">
        <v>-92</v>
      </c>
      <c r="AR3708">
        <v>192</v>
      </c>
      <c r="AZ3708">
        <v>1200</v>
      </c>
      <c r="BA3708">
        <v>1</v>
      </c>
      <c r="BB3708" t="str">
        <f t="shared" si="2034"/>
        <v xml:space="preserve">N9217B  </v>
      </c>
      <c r="BC3708">
        <v>1</v>
      </c>
      <c r="BE3708">
        <v>0</v>
      </c>
      <c r="BF3708">
        <v>0</v>
      </c>
      <c r="BG3708">
        <v>0</v>
      </c>
      <c r="BH3708">
        <v>5125</v>
      </c>
      <c r="BI3708">
        <v>1</v>
      </c>
      <c r="BJ3708">
        <v>0</v>
      </c>
      <c r="BK3708">
        <v>0</v>
      </c>
      <c r="BL3708">
        <v>0</v>
      </c>
      <c r="BO3708">
        <v>0</v>
      </c>
      <c r="BP3708">
        <v>0</v>
      </c>
      <c r="BW3708" t="str">
        <f t="shared" si="2066"/>
        <v>14:58:07.199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7</v>
      </c>
      <c r="CP3708" t="s">
        <v>119</v>
      </c>
      <c r="CQ3708">
        <v>285</v>
      </c>
      <c r="CR3708">
        <v>0</v>
      </c>
      <c r="CW3708">
        <v>8882723</v>
      </c>
      <c r="CY3708">
        <v>0</v>
      </c>
      <c r="CZ3708">
        <v>0</v>
      </c>
      <c r="DA3708">
        <v>1</v>
      </c>
      <c r="DB3708">
        <v>0</v>
      </c>
      <c r="DC3708">
        <v>0</v>
      </c>
      <c r="DD3708">
        <v>0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25">
      <c r="A3709" t="str">
        <f t="shared" si="2063"/>
        <v>06/05/2020 14:58:01.567</v>
      </c>
      <c r="C3709" t="str">
        <f t="shared" si="2054"/>
        <v>FFDFD3C0</v>
      </c>
      <c r="D3709" t="s">
        <v>151</v>
      </c>
      <c r="E3709">
        <v>8</v>
      </c>
      <c r="H3709">
        <v>225</v>
      </c>
      <c r="I3709" t="s">
        <v>353</v>
      </c>
      <c r="J3709" t="s">
        <v>150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2064"/>
        <v>14:58:07.195</v>
      </c>
      <c r="T3709" t="str">
        <f t="shared" si="2065"/>
        <v>14:58:07.095</v>
      </c>
      <c r="U3709" t="str">
        <f t="shared" si="2033"/>
        <v>ACC530</v>
      </c>
      <c r="V3709">
        <v>0</v>
      </c>
      <c r="W3709">
        <v>0</v>
      </c>
      <c r="X3709">
        <v>1</v>
      </c>
      <c r="Z3709">
        <v>0</v>
      </c>
      <c r="AA3709">
        <v>9</v>
      </c>
      <c r="AB3709">
        <v>3</v>
      </c>
      <c r="AC3709">
        <v>0</v>
      </c>
      <c r="AD3709">
        <v>9</v>
      </c>
      <c r="AE3709">
        <v>0</v>
      </c>
      <c r="AF3709">
        <v>3</v>
      </c>
      <c r="AG3709">
        <v>1</v>
      </c>
      <c r="AH3709">
        <v>0</v>
      </c>
      <c r="AI3709" t="s">
        <v>1202</v>
      </c>
      <c r="AJ3709">
        <v>34.072164999999998</v>
      </c>
      <c r="AK3709" t="s">
        <v>1192</v>
      </c>
      <c r="AL3709">
        <v>-117.016733</v>
      </c>
      <c r="AM3709">
        <v>100</v>
      </c>
      <c r="AN3709">
        <v>5300</v>
      </c>
      <c r="AO3709" t="s">
        <v>118</v>
      </c>
      <c r="AP3709">
        <v>-22</v>
      </c>
      <c r="AQ3709">
        <v>-92</v>
      </c>
      <c r="AR3709">
        <v>192</v>
      </c>
      <c r="AZ3709">
        <v>1200</v>
      </c>
      <c r="BA3709">
        <v>1</v>
      </c>
      <c r="BB3709" t="str">
        <f t="shared" si="2034"/>
        <v xml:space="preserve">N9217B  </v>
      </c>
      <c r="BC3709">
        <v>1</v>
      </c>
      <c r="BE3709">
        <v>0</v>
      </c>
      <c r="BF3709">
        <v>0</v>
      </c>
      <c r="BG3709">
        <v>0</v>
      </c>
      <c r="BH3709">
        <v>5125</v>
      </c>
      <c r="BI3709">
        <v>1</v>
      </c>
      <c r="BJ3709">
        <v>0</v>
      </c>
      <c r="BK3709">
        <v>0</v>
      </c>
      <c r="BL3709">
        <v>0</v>
      </c>
      <c r="BO3709">
        <v>0</v>
      </c>
      <c r="BP3709">
        <v>0</v>
      </c>
      <c r="BW3709" t="str">
        <f t="shared" si="2066"/>
        <v>14:58:07.199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7</v>
      </c>
      <c r="CP3709" t="s">
        <v>119</v>
      </c>
      <c r="CQ3709">
        <v>285</v>
      </c>
      <c r="CR3709">
        <v>0</v>
      </c>
      <c r="CW3709">
        <v>8882723</v>
      </c>
      <c r="CY3709">
        <v>0</v>
      </c>
      <c r="CZ3709">
        <v>0</v>
      </c>
      <c r="DA3709">
        <v>1</v>
      </c>
      <c r="DB3709">
        <v>0</v>
      </c>
      <c r="DC3709">
        <v>0</v>
      </c>
      <c r="DD3709">
        <v>0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25">
      <c r="A3710" t="str">
        <f t="shared" ref="A3710:A3716" si="2067">"06/05/2020 14:58:03.456"</f>
        <v>06/05/2020 14:58:03.456</v>
      </c>
      <c r="C3710" t="str">
        <f t="shared" si="2054"/>
        <v>FFDFD3C0</v>
      </c>
      <c r="D3710" t="s">
        <v>141</v>
      </c>
      <c r="E3710">
        <v>20</v>
      </c>
      <c r="F3710">
        <v>1020</v>
      </c>
      <c r="G3710" t="s">
        <v>114</v>
      </c>
      <c r="J3710" t="s">
        <v>142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 t="shared" ref="S3710:S3716" si="2068">"14:58:09.102"</f>
        <v>14:58:09.102</v>
      </c>
      <c r="T3710" t="str">
        <f t="shared" ref="T3710:T3716" si="2069">"14:58:09.002"</f>
        <v>14:58:09.002</v>
      </c>
      <c r="U3710" t="str">
        <f t="shared" si="2033"/>
        <v>ACC530</v>
      </c>
      <c r="V3710">
        <v>0</v>
      </c>
      <c r="W3710">
        <v>0</v>
      </c>
      <c r="X3710">
        <v>1</v>
      </c>
      <c r="Z3710">
        <v>0</v>
      </c>
      <c r="AA3710">
        <v>9</v>
      </c>
      <c r="AB3710">
        <v>3</v>
      </c>
      <c r="AC3710">
        <v>0</v>
      </c>
      <c r="AD3710">
        <v>9</v>
      </c>
      <c r="AE3710">
        <v>0</v>
      </c>
      <c r="AF3710">
        <v>3</v>
      </c>
      <c r="AG3710">
        <v>1</v>
      </c>
      <c r="AH3710">
        <v>0</v>
      </c>
      <c r="AI3710" t="s">
        <v>1203</v>
      </c>
      <c r="AJ3710">
        <v>34.071393</v>
      </c>
      <c r="AK3710" t="s">
        <v>1204</v>
      </c>
      <c r="AL3710">
        <v>-117.017033</v>
      </c>
      <c r="AM3710">
        <v>100</v>
      </c>
      <c r="AN3710">
        <v>5300</v>
      </c>
      <c r="AO3710" t="s">
        <v>118</v>
      </c>
      <c r="AP3710">
        <v>-32</v>
      </c>
      <c r="AQ3710">
        <v>-88</v>
      </c>
      <c r="AR3710">
        <v>64</v>
      </c>
      <c r="AZ3710">
        <v>1200</v>
      </c>
      <c r="BA3710">
        <v>1</v>
      </c>
      <c r="BB3710" t="str">
        <f t="shared" si="2034"/>
        <v xml:space="preserve">N9217B  </v>
      </c>
      <c r="BC3710">
        <v>1</v>
      </c>
      <c r="BE3710">
        <v>0</v>
      </c>
      <c r="BF3710">
        <v>0</v>
      </c>
      <c r="BG3710">
        <v>0</v>
      </c>
      <c r="BH3710">
        <v>5125</v>
      </c>
      <c r="BI3710">
        <v>1</v>
      </c>
      <c r="BJ3710">
        <v>0</v>
      </c>
      <c r="BK3710">
        <v>0</v>
      </c>
      <c r="BL3710">
        <v>0</v>
      </c>
      <c r="BO3710">
        <v>0</v>
      </c>
      <c r="BP3710">
        <v>0</v>
      </c>
      <c r="BW3710" t="str">
        <f t="shared" ref="BW3710:BW3716" si="2070">"14:58:09.104"</f>
        <v>14:58:09.104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7</v>
      </c>
      <c r="CP3710" t="s">
        <v>119</v>
      </c>
      <c r="CQ3710">
        <v>285</v>
      </c>
      <c r="CR3710">
        <v>0</v>
      </c>
      <c r="CW3710">
        <v>8882884</v>
      </c>
      <c r="CY3710">
        <v>0</v>
      </c>
      <c r="CZ3710">
        <v>0</v>
      </c>
      <c r="DA3710">
        <v>0</v>
      </c>
      <c r="DB3710">
        <v>0</v>
      </c>
      <c r="DC3710">
        <v>0</v>
      </c>
      <c r="DD3710">
        <v>0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25">
      <c r="A3711" t="str">
        <f t="shared" si="2067"/>
        <v>06/05/2020 14:58:03.456</v>
      </c>
      <c r="C3711" t="str">
        <f t="shared" si="2054"/>
        <v>FFDFD3C0</v>
      </c>
      <c r="D3711" t="s">
        <v>113</v>
      </c>
      <c r="E3711">
        <v>3</v>
      </c>
      <c r="H3711">
        <v>166</v>
      </c>
      <c r="I3711" t="s">
        <v>114</v>
      </c>
      <c r="J3711" t="s">
        <v>115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 t="shared" si="2068"/>
        <v>14:58:09.102</v>
      </c>
      <c r="T3711" t="str">
        <f t="shared" si="2069"/>
        <v>14:58:09.002</v>
      </c>
      <c r="U3711" t="str">
        <f t="shared" si="2033"/>
        <v>ACC530</v>
      </c>
      <c r="V3711">
        <v>0</v>
      </c>
      <c r="W3711">
        <v>0</v>
      </c>
      <c r="X3711">
        <v>1</v>
      </c>
      <c r="Z3711">
        <v>0</v>
      </c>
      <c r="AA3711">
        <v>9</v>
      </c>
      <c r="AB3711">
        <v>3</v>
      </c>
      <c r="AC3711">
        <v>0</v>
      </c>
      <c r="AD3711">
        <v>9</v>
      </c>
      <c r="AE3711">
        <v>0</v>
      </c>
      <c r="AF3711">
        <v>3</v>
      </c>
      <c r="AG3711">
        <v>1</v>
      </c>
      <c r="AH3711">
        <v>0</v>
      </c>
      <c r="AI3711" t="s">
        <v>1203</v>
      </c>
      <c r="AJ3711">
        <v>34.071393</v>
      </c>
      <c r="AK3711" t="s">
        <v>1204</v>
      </c>
      <c r="AL3711">
        <v>-117.017033</v>
      </c>
      <c r="AM3711">
        <v>100</v>
      </c>
      <c r="AN3711">
        <v>5300</v>
      </c>
      <c r="AO3711" t="s">
        <v>118</v>
      </c>
      <c r="AP3711">
        <v>-32</v>
      </c>
      <c r="AQ3711">
        <v>-88</v>
      </c>
      <c r="AR3711">
        <v>64</v>
      </c>
      <c r="AZ3711">
        <v>1200</v>
      </c>
      <c r="BA3711">
        <v>1</v>
      </c>
      <c r="BB3711" t="str">
        <f t="shared" si="2034"/>
        <v xml:space="preserve">N9217B  </v>
      </c>
      <c r="BC3711">
        <v>1</v>
      </c>
      <c r="BE3711">
        <v>0</v>
      </c>
      <c r="BF3711">
        <v>0</v>
      </c>
      <c r="BG3711">
        <v>0</v>
      </c>
      <c r="BH3711">
        <v>5125</v>
      </c>
      <c r="BI3711">
        <v>1</v>
      </c>
      <c r="BJ3711">
        <v>0</v>
      </c>
      <c r="BK3711">
        <v>0</v>
      </c>
      <c r="BL3711">
        <v>0</v>
      </c>
      <c r="BO3711">
        <v>0</v>
      </c>
      <c r="BP3711">
        <v>0</v>
      </c>
      <c r="BW3711" t="str">
        <f t="shared" si="2070"/>
        <v>14:58:09.104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7</v>
      </c>
      <c r="CP3711" t="s">
        <v>119</v>
      </c>
      <c r="CQ3711">
        <v>285</v>
      </c>
      <c r="CR3711">
        <v>0</v>
      </c>
      <c r="CW3711">
        <v>8882884</v>
      </c>
      <c r="CY3711">
        <v>0</v>
      </c>
      <c r="CZ3711">
        <v>0</v>
      </c>
      <c r="DA3711">
        <v>1</v>
      </c>
      <c r="DB3711">
        <v>0</v>
      </c>
      <c r="DC3711">
        <v>0</v>
      </c>
      <c r="DD3711">
        <v>0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25">
      <c r="A3712" t="str">
        <f t="shared" si="2067"/>
        <v>06/05/2020 14:58:03.456</v>
      </c>
      <c r="C3712" t="str">
        <f t="shared" si="2054"/>
        <v>FFDFD3C0</v>
      </c>
      <c r="D3712" t="s">
        <v>148</v>
      </c>
      <c r="E3712">
        <v>8</v>
      </c>
      <c r="H3712">
        <v>50</v>
      </c>
      <c r="I3712" t="s">
        <v>149</v>
      </c>
      <c r="J3712" t="s">
        <v>150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 t="shared" si="2068"/>
        <v>14:58:09.102</v>
      </c>
      <c r="T3712" t="str">
        <f t="shared" si="2069"/>
        <v>14:58:09.002</v>
      </c>
      <c r="U3712" t="str">
        <f t="shared" si="2033"/>
        <v>ACC530</v>
      </c>
      <c r="V3712">
        <v>0</v>
      </c>
      <c r="W3712">
        <v>0</v>
      </c>
      <c r="X3712">
        <v>1</v>
      </c>
      <c r="Z3712">
        <v>0</v>
      </c>
      <c r="AA3712">
        <v>9</v>
      </c>
      <c r="AB3712">
        <v>3</v>
      </c>
      <c r="AC3712">
        <v>0</v>
      </c>
      <c r="AD3712">
        <v>9</v>
      </c>
      <c r="AE3712">
        <v>0</v>
      </c>
      <c r="AF3712">
        <v>3</v>
      </c>
      <c r="AG3712">
        <v>1</v>
      </c>
      <c r="AH3712">
        <v>0</v>
      </c>
      <c r="AI3712" t="s">
        <v>1203</v>
      </c>
      <c r="AJ3712">
        <v>34.071393</v>
      </c>
      <c r="AK3712" t="s">
        <v>1204</v>
      </c>
      <c r="AL3712">
        <v>-117.017033</v>
      </c>
      <c r="AM3712">
        <v>100</v>
      </c>
      <c r="AN3712">
        <v>5300</v>
      </c>
      <c r="AO3712" t="s">
        <v>118</v>
      </c>
      <c r="AP3712">
        <v>-32</v>
      </c>
      <c r="AQ3712">
        <v>-88</v>
      </c>
      <c r="AR3712">
        <v>64</v>
      </c>
      <c r="AZ3712">
        <v>1200</v>
      </c>
      <c r="BA3712">
        <v>1</v>
      </c>
      <c r="BB3712" t="str">
        <f t="shared" si="2034"/>
        <v xml:space="preserve">N9217B  </v>
      </c>
      <c r="BC3712">
        <v>1</v>
      </c>
      <c r="BE3712">
        <v>0</v>
      </c>
      <c r="BF3712">
        <v>0</v>
      </c>
      <c r="BG3712">
        <v>0</v>
      </c>
      <c r="BH3712">
        <v>5125</v>
      </c>
      <c r="BI3712">
        <v>1</v>
      </c>
      <c r="BJ3712">
        <v>0</v>
      </c>
      <c r="BK3712">
        <v>0</v>
      </c>
      <c r="BL3712">
        <v>0</v>
      </c>
      <c r="BO3712">
        <v>0</v>
      </c>
      <c r="BP3712">
        <v>0</v>
      </c>
      <c r="BW3712" t="str">
        <f t="shared" si="2070"/>
        <v>14:58:09.104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7</v>
      </c>
      <c r="CP3712" t="s">
        <v>119</v>
      </c>
      <c r="CQ3712">
        <v>285</v>
      </c>
      <c r="CR3712">
        <v>0</v>
      </c>
      <c r="CW3712">
        <v>8882884</v>
      </c>
      <c r="CY3712">
        <v>0</v>
      </c>
      <c r="CZ3712">
        <v>0</v>
      </c>
      <c r="DA3712">
        <v>1</v>
      </c>
      <c r="DB3712">
        <v>0</v>
      </c>
      <c r="DC3712">
        <v>0</v>
      </c>
      <c r="DD3712">
        <v>0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25">
      <c r="A3713" t="str">
        <f t="shared" si="2067"/>
        <v>06/05/2020 14:58:03.456</v>
      </c>
      <c r="C3713" t="str">
        <f t="shared" si="2054"/>
        <v>FFDFD3C0</v>
      </c>
      <c r="D3713" t="s">
        <v>151</v>
      </c>
      <c r="E3713">
        <v>8</v>
      </c>
      <c r="H3713">
        <v>225</v>
      </c>
      <c r="I3713" t="s">
        <v>353</v>
      </c>
      <c r="J3713" t="s">
        <v>150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 t="shared" si="2068"/>
        <v>14:58:09.102</v>
      </c>
      <c r="T3713" t="str">
        <f t="shared" si="2069"/>
        <v>14:58:09.002</v>
      </c>
      <c r="U3713" t="str">
        <f t="shared" si="2033"/>
        <v>ACC530</v>
      </c>
      <c r="V3713">
        <v>0</v>
      </c>
      <c r="W3713">
        <v>0</v>
      </c>
      <c r="X3713">
        <v>1</v>
      </c>
      <c r="Z3713">
        <v>0</v>
      </c>
      <c r="AA3713">
        <v>9</v>
      </c>
      <c r="AB3713">
        <v>3</v>
      </c>
      <c r="AC3713">
        <v>0</v>
      </c>
      <c r="AD3713">
        <v>9</v>
      </c>
      <c r="AE3713">
        <v>0</v>
      </c>
      <c r="AF3713">
        <v>3</v>
      </c>
      <c r="AG3713">
        <v>1</v>
      </c>
      <c r="AH3713">
        <v>0</v>
      </c>
      <c r="AI3713" t="s">
        <v>1203</v>
      </c>
      <c r="AJ3713">
        <v>34.071393</v>
      </c>
      <c r="AK3713" t="s">
        <v>1204</v>
      </c>
      <c r="AL3713">
        <v>-117.017033</v>
      </c>
      <c r="AM3713">
        <v>100</v>
      </c>
      <c r="AN3713">
        <v>5300</v>
      </c>
      <c r="AO3713" t="s">
        <v>118</v>
      </c>
      <c r="AP3713">
        <v>-32</v>
      </c>
      <c r="AQ3713">
        <v>-88</v>
      </c>
      <c r="AR3713">
        <v>64</v>
      </c>
      <c r="AZ3713">
        <v>1200</v>
      </c>
      <c r="BA3713">
        <v>1</v>
      </c>
      <c r="BB3713" t="str">
        <f t="shared" si="2034"/>
        <v xml:space="preserve">N9217B  </v>
      </c>
      <c r="BC3713">
        <v>1</v>
      </c>
      <c r="BE3713">
        <v>0</v>
      </c>
      <c r="BF3713">
        <v>0</v>
      </c>
      <c r="BG3713">
        <v>0</v>
      </c>
      <c r="BH3713">
        <v>5125</v>
      </c>
      <c r="BI3713">
        <v>1</v>
      </c>
      <c r="BJ3713">
        <v>0</v>
      </c>
      <c r="BK3713">
        <v>0</v>
      </c>
      <c r="BL3713">
        <v>0</v>
      </c>
      <c r="BO3713">
        <v>0</v>
      </c>
      <c r="BP3713">
        <v>0</v>
      </c>
      <c r="BW3713" t="str">
        <f t="shared" si="2070"/>
        <v>14:58:09.104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7</v>
      </c>
      <c r="CP3713" t="s">
        <v>119</v>
      </c>
      <c r="CQ3713">
        <v>285</v>
      </c>
      <c r="CR3713">
        <v>0</v>
      </c>
      <c r="CW3713">
        <v>8882884</v>
      </c>
      <c r="CY3713">
        <v>0</v>
      </c>
      <c r="CZ3713">
        <v>0</v>
      </c>
      <c r="DA3713">
        <v>1</v>
      </c>
      <c r="DB3713">
        <v>0</v>
      </c>
      <c r="DC3713">
        <v>0</v>
      </c>
      <c r="DD3713">
        <v>0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25">
      <c r="A3714" t="str">
        <f t="shared" si="2067"/>
        <v>06/05/2020 14:58:03.456</v>
      </c>
      <c r="C3714" t="str">
        <f t="shared" si="2054"/>
        <v>FFDFD3C0</v>
      </c>
      <c r="D3714" t="s">
        <v>151</v>
      </c>
      <c r="E3714">
        <v>9</v>
      </c>
      <c r="H3714">
        <v>226</v>
      </c>
      <c r="I3714" t="s">
        <v>152</v>
      </c>
      <c r="J3714" t="s">
        <v>150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 t="shared" si="2068"/>
        <v>14:58:09.102</v>
      </c>
      <c r="T3714" t="str">
        <f t="shared" si="2069"/>
        <v>14:58:09.002</v>
      </c>
      <c r="U3714" t="str">
        <f t="shared" ref="U3714:U3777" si="2071">"ACC530"</f>
        <v>ACC530</v>
      </c>
      <c r="V3714">
        <v>0</v>
      </c>
      <c r="W3714">
        <v>0</v>
      </c>
      <c r="X3714">
        <v>1</v>
      </c>
      <c r="Z3714">
        <v>0</v>
      </c>
      <c r="AA3714">
        <v>9</v>
      </c>
      <c r="AB3714">
        <v>3</v>
      </c>
      <c r="AC3714">
        <v>0</v>
      </c>
      <c r="AD3714">
        <v>9</v>
      </c>
      <c r="AE3714">
        <v>0</v>
      </c>
      <c r="AF3714">
        <v>3</v>
      </c>
      <c r="AG3714">
        <v>1</v>
      </c>
      <c r="AH3714">
        <v>0</v>
      </c>
      <c r="AI3714" t="s">
        <v>1203</v>
      </c>
      <c r="AJ3714">
        <v>34.071393</v>
      </c>
      <c r="AK3714" t="s">
        <v>1204</v>
      </c>
      <c r="AL3714">
        <v>-117.017033</v>
      </c>
      <c r="AM3714">
        <v>100</v>
      </c>
      <c r="AN3714">
        <v>5300</v>
      </c>
      <c r="AO3714" t="s">
        <v>118</v>
      </c>
      <c r="AP3714">
        <v>-32</v>
      </c>
      <c r="AQ3714">
        <v>-88</v>
      </c>
      <c r="AR3714">
        <v>64</v>
      </c>
      <c r="AZ3714">
        <v>1200</v>
      </c>
      <c r="BA3714">
        <v>1</v>
      </c>
      <c r="BB3714" t="str">
        <f t="shared" si="2034"/>
        <v xml:space="preserve">N9217B  </v>
      </c>
      <c r="BC3714">
        <v>1</v>
      </c>
      <c r="BE3714">
        <v>0</v>
      </c>
      <c r="BF3714">
        <v>0</v>
      </c>
      <c r="BG3714">
        <v>0</v>
      </c>
      <c r="BH3714">
        <v>5125</v>
      </c>
      <c r="BI3714">
        <v>1</v>
      </c>
      <c r="BJ3714">
        <v>0</v>
      </c>
      <c r="BK3714">
        <v>0</v>
      </c>
      <c r="BL3714">
        <v>0</v>
      </c>
      <c r="BO3714">
        <v>0</v>
      </c>
      <c r="BP3714">
        <v>0</v>
      </c>
      <c r="BW3714" t="str">
        <f t="shared" si="2070"/>
        <v>14:58:09.104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7</v>
      </c>
      <c r="CP3714" t="s">
        <v>119</v>
      </c>
      <c r="CQ3714">
        <v>285</v>
      </c>
      <c r="CR3714">
        <v>0</v>
      </c>
      <c r="CW3714">
        <v>8882884</v>
      </c>
      <c r="CY3714">
        <v>0</v>
      </c>
      <c r="CZ3714">
        <v>0</v>
      </c>
      <c r="DA3714">
        <v>1</v>
      </c>
      <c r="DB3714">
        <v>0</v>
      </c>
      <c r="DC3714">
        <v>0</v>
      </c>
      <c r="DD3714">
        <v>0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25">
      <c r="A3715" t="str">
        <f t="shared" si="2067"/>
        <v>06/05/2020 14:58:03.456</v>
      </c>
      <c r="C3715" t="str">
        <f t="shared" si="2054"/>
        <v>FFDFD3C0</v>
      </c>
      <c r="D3715" t="s">
        <v>134</v>
      </c>
      <c r="E3715">
        <v>7</v>
      </c>
      <c r="F3715">
        <v>2007</v>
      </c>
      <c r="G3715" t="s">
        <v>135</v>
      </c>
      <c r="J3715" t="s">
        <v>136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 t="shared" si="2068"/>
        <v>14:58:09.102</v>
      </c>
      <c r="T3715" t="str">
        <f t="shared" si="2069"/>
        <v>14:58:09.002</v>
      </c>
      <c r="U3715" t="str">
        <f t="shared" si="2071"/>
        <v>ACC530</v>
      </c>
      <c r="V3715">
        <v>0</v>
      </c>
      <c r="W3715">
        <v>0</v>
      </c>
      <c r="X3715">
        <v>1</v>
      </c>
      <c r="Z3715">
        <v>0</v>
      </c>
      <c r="AA3715">
        <v>9</v>
      </c>
      <c r="AB3715">
        <v>3</v>
      </c>
      <c r="AC3715">
        <v>0</v>
      </c>
      <c r="AD3715">
        <v>9</v>
      </c>
      <c r="AE3715">
        <v>0</v>
      </c>
      <c r="AF3715">
        <v>3</v>
      </c>
      <c r="AG3715">
        <v>1</v>
      </c>
      <c r="AH3715">
        <v>0</v>
      </c>
      <c r="AI3715" t="s">
        <v>1203</v>
      </c>
      <c r="AJ3715">
        <v>34.071393</v>
      </c>
      <c r="AK3715" t="s">
        <v>1204</v>
      </c>
      <c r="AL3715">
        <v>-117.017033</v>
      </c>
      <c r="AM3715">
        <v>100</v>
      </c>
      <c r="AN3715">
        <v>5300</v>
      </c>
      <c r="AO3715" t="s">
        <v>118</v>
      </c>
      <c r="AP3715">
        <v>-32</v>
      </c>
      <c r="AQ3715">
        <v>-88</v>
      </c>
      <c r="AR3715">
        <v>64</v>
      </c>
      <c r="AZ3715">
        <v>1200</v>
      </c>
      <c r="BA3715">
        <v>1</v>
      </c>
      <c r="BB3715" t="str">
        <f t="shared" si="2034"/>
        <v xml:space="preserve">N9217B  </v>
      </c>
      <c r="BC3715">
        <v>1</v>
      </c>
      <c r="BE3715">
        <v>0</v>
      </c>
      <c r="BF3715">
        <v>0</v>
      </c>
      <c r="BG3715">
        <v>0</v>
      </c>
      <c r="BH3715">
        <v>5125</v>
      </c>
      <c r="BI3715">
        <v>1</v>
      </c>
      <c r="BJ3715">
        <v>0</v>
      </c>
      <c r="BK3715">
        <v>0</v>
      </c>
      <c r="BL3715">
        <v>0</v>
      </c>
      <c r="BO3715">
        <v>0</v>
      </c>
      <c r="BP3715">
        <v>0</v>
      </c>
      <c r="BW3715" t="str">
        <f t="shared" si="2070"/>
        <v>14:58:09.104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7</v>
      </c>
      <c r="CP3715" t="s">
        <v>119</v>
      </c>
      <c r="CQ3715">
        <v>285</v>
      </c>
      <c r="CR3715">
        <v>0</v>
      </c>
      <c r="CW3715">
        <v>8882884</v>
      </c>
      <c r="CY3715">
        <v>0</v>
      </c>
      <c r="CZ3715">
        <v>0</v>
      </c>
      <c r="DA3715">
        <v>1</v>
      </c>
      <c r="DB3715">
        <v>0</v>
      </c>
      <c r="DC3715">
        <v>0</v>
      </c>
      <c r="DD3715">
        <v>0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25">
      <c r="A3716" t="str">
        <f t="shared" si="2067"/>
        <v>06/05/2020 14:58:03.456</v>
      </c>
      <c r="C3716" t="str">
        <f t="shared" si="2054"/>
        <v>FFDFD3C0</v>
      </c>
      <c r="D3716" t="s">
        <v>148</v>
      </c>
      <c r="E3716">
        <v>11</v>
      </c>
      <c r="H3716">
        <v>53</v>
      </c>
      <c r="I3716" t="s">
        <v>364</v>
      </c>
      <c r="J3716" t="s">
        <v>150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 t="shared" si="2068"/>
        <v>14:58:09.102</v>
      </c>
      <c r="T3716" t="str">
        <f t="shared" si="2069"/>
        <v>14:58:09.002</v>
      </c>
      <c r="U3716" t="str">
        <f t="shared" si="2071"/>
        <v>ACC530</v>
      </c>
      <c r="V3716">
        <v>0</v>
      </c>
      <c r="W3716">
        <v>0</v>
      </c>
      <c r="X3716">
        <v>1</v>
      </c>
      <c r="Z3716">
        <v>0</v>
      </c>
      <c r="AA3716">
        <v>9</v>
      </c>
      <c r="AB3716">
        <v>3</v>
      </c>
      <c r="AC3716">
        <v>0</v>
      </c>
      <c r="AD3716">
        <v>9</v>
      </c>
      <c r="AE3716">
        <v>0</v>
      </c>
      <c r="AF3716">
        <v>3</v>
      </c>
      <c r="AG3716">
        <v>1</v>
      </c>
      <c r="AH3716">
        <v>0</v>
      </c>
      <c r="AI3716" t="s">
        <v>1203</v>
      </c>
      <c r="AJ3716">
        <v>34.071393</v>
      </c>
      <c r="AK3716" t="s">
        <v>1204</v>
      </c>
      <c r="AL3716">
        <v>-117.017033</v>
      </c>
      <c r="AM3716">
        <v>100</v>
      </c>
      <c r="AN3716">
        <v>5300</v>
      </c>
      <c r="AO3716" t="s">
        <v>118</v>
      </c>
      <c r="AP3716">
        <v>-32</v>
      </c>
      <c r="AQ3716">
        <v>-88</v>
      </c>
      <c r="AR3716">
        <v>64</v>
      </c>
      <c r="AZ3716">
        <v>1200</v>
      </c>
      <c r="BA3716">
        <v>1</v>
      </c>
      <c r="BB3716" t="str">
        <f t="shared" si="2034"/>
        <v xml:space="preserve">N9217B  </v>
      </c>
      <c r="BC3716">
        <v>1</v>
      </c>
      <c r="BE3716">
        <v>0</v>
      </c>
      <c r="BF3716">
        <v>0</v>
      </c>
      <c r="BG3716">
        <v>0</v>
      </c>
      <c r="BH3716">
        <v>5125</v>
      </c>
      <c r="BI3716">
        <v>1</v>
      </c>
      <c r="BJ3716">
        <v>0</v>
      </c>
      <c r="BK3716">
        <v>0</v>
      </c>
      <c r="BL3716">
        <v>0</v>
      </c>
      <c r="BO3716">
        <v>0</v>
      </c>
      <c r="BP3716">
        <v>0</v>
      </c>
      <c r="BW3716" t="str">
        <f t="shared" si="2070"/>
        <v>14:58:09.104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7</v>
      </c>
      <c r="CP3716" t="s">
        <v>119</v>
      </c>
      <c r="CQ3716">
        <v>285</v>
      </c>
      <c r="CR3716">
        <v>0</v>
      </c>
      <c r="CW3716">
        <v>8882884</v>
      </c>
      <c r="CY3716">
        <v>0</v>
      </c>
      <c r="CZ3716">
        <v>0</v>
      </c>
      <c r="DA3716">
        <v>1</v>
      </c>
      <c r="DB3716">
        <v>0</v>
      </c>
      <c r="DC3716">
        <v>0</v>
      </c>
      <c r="DD3716">
        <v>0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25">
      <c r="A3717" t="str">
        <f t="shared" ref="A3717:A3723" si="2072">"06/05/2020 14:58:04.523"</f>
        <v>06/05/2020 14:58:04.523</v>
      </c>
      <c r="C3717" t="str">
        <f t="shared" si="2054"/>
        <v>FFDFD3C0</v>
      </c>
      <c r="D3717" t="s">
        <v>148</v>
      </c>
      <c r="E3717">
        <v>8</v>
      </c>
      <c r="H3717">
        <v>50</v>
      </c>
      <c r="I3717" t="s">
        <v>149</v>
      </c>
      <c r="J3717" t="s">
        <v>150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 t="shared" ref="S3717:T3723" si="2073">"14:58:10.164"</f>
        <v>14:58:10.164</v>
      </c>
      <c r="T3717" t="str">
        <f t="shared" si="2073"/>
        <v>14:58:10.164</v>
      </c>
      <c r="U3717" t="str">
        <f t="shared" si="2071"/>
        <v>ACC530</v>
      </c>
      <c r="V3717">
        <v>0</v>
      </c>
      <c r="W3717">
        <v>0</v>
      </c>
      <c r="X3717">
        <v>1</v>
      </c>
      <c r="Z3717">
        <v>0</v>
      </c>
      <c r="AA3717">
        <v>9</v>
      </c>
      <c r="AB3717">
        <v>3</v>
      </c>
      <c r="AC3717">
        <v>0</v>
      </c>
      <c r="AD3717">
        <v>9</v>
      </c>
      <c r="AE3717">
        <v>0</v>
      </c>
      <c r="AF3717">
        <v>3</v>
      </c>
      <c r="AG3717">
        <v>1</v>
      </c>
      <c r="AH3717">
        <v>0</v>
      </c>
      <c r="AI3717" t="s">
        <v>1205</v>
      </c>
      <c r="AJ3717">
        <v>34.070985</v>
      </c>
      <c r="AK3717" t="s">
        <v>1206</v>
      </c>
      <c r="AL3717">
        <v>-117.017269</v>
      </c>
      <c r="AM3717">
        <v>100</v>
      </c>
      <c r="AN3717">
        <v>5300</v>
      </c>
      <c r="AO3717" t="s">
        <v>118</v>
      </c>
      <c r="AP3717">
        <v>-35</v>
      </c>
      <c r="AQ3717">
        <v>-86</v>
      </c>
      <c r="AR3717">
        <v>64</v>
      </c>
      <c r="AZ3717">
        <v>1200</v>
      </c>
      <c r="BA3717">
        <v>1</v>
      </c>
      <c r="BB3717" t="str">
        <f t="shared" ref="BB3717:BB3780" si="2074">"N9217B  "</f>
        <v xml:space="preserve">N9217B  </v>
      </c>
      <c r="BC3717">
        <v>1</v>
      </c>
      <c r="BE3717">
        <v>0</v>
      </c>
      <c r="BF3717">
        <v>0</v>
      </c>
      <c r="BG3717">
        <v>0</v>
      </c>
      <c r="BH3717">
        <v>5125</v>
      </c>
      <c r="BI3717">
        <v>1</v>
      </c>
      <c r="BJ3717">
        <v>0</v>
      </c>
      <c r="BK3717">
        <v>0</v>
      </c>
      <c r="BL3717">
        <v>0</v>
      </c>
      <c r="BO3717">
        <v>0</v>
      </c>
      <c r="BP3717">
        <v>0</v>
      </c>
      <c r="BW3717" t="str">
        <f t="shared" ref="BW3717:BW3723" si="2075">"14:58:10.169"</f>
        <v>14:58:10.169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7</v>
      </c>
      <c r="CP3717" t="s">
        <v>119</v>
      </c>
      <c r="CQ3717">
        <v>285</v>
      </c>
      <c r="CR3717">
        <v>0</v>
      </c>
      <c r="CW3717">
        <v>8882981</v>
      </c>
      <c r="CY3717">
        <v>0</v>
      </c>
      <c r="CZ3717">
        <v>0</v>
      </c>
      <c r="DA3717">
        <v>0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25">
      <c r="A3718" t="str">
        <f t="shared" si="2072"/>
        <v>06/05/2020 14:58:04.523</v>
      </c>
      <c r="C3718" t="str">
        <f t="shared" si="2054"/>
        <v>FFDFD3C0</v>
      </c>
      <c r="D3718" t="s">
        <v>151</v>
      </c>
      <c r="E3718">
        <v>8</v>
      </c>
      <c r="H3718">
        <v>225</v>
      </c>
      <c r="I3718" t="s">
        <v>353</v>
      </c>
      <c r="J3718" t="s">
        <v>150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 t="shared" si="2073"/>
        <v>14:58:10.164</v>
      </c>
      <c r="T3718" t="str">
        <f t="shared" si="2073"/>
        <v>14:58:10.164</v>
      </c>
      <c r="U3718" t="str">
        <f t="shared" si="2071"/>
        <v>ACC530</v>
      </c>
      <c r="V3718">
        <v>0</v>
      </c>
      <c r="W3718">
        <v>0</v>
      </c>
      <c r="X3718">
        <v>1</v>
      </c>
      <c r="Z3718">
        <v>0</v>
      </c>
      <c r="AA3718">
        <v>9</v>
      </c>
      <c r="AB3718">
        <v>3</v>
      </c>
      <c r="AC3718">
        <v>0</v>
      </c>
      <c r="AD3718">
        <v>9</v>
      </c>
      <c r="AE3718">
        <v>0</v>
      </c>
      <c r="AF3718">
        <v>3</v>
      </c>
      <c r="AG3718">
        <v>1</v>
      </c>
      <c r="AH3718">
        <v>0</v>
      </c>
      <c r="AI3718" t="s">
        <v>1205</v>
      </c>
      <c r="AJ3718">
        <v>34.070985</v>
      </c>
      <c r="AK3718" t="s">
        <v>1206</v>
      </c>
      <c r="AL3718">
        <v>-117.017269</v>
      </c>
      <c r="AM3718">
        <v>100</v>
      </c>
      <c r="AN3718">
        <v>5300</v>
      </c>
      <c r="AO3718" t="s">
        <v>118</v>
      </c>
      <c r="AP3718">
        <v>-35</v>
      </c>
      <c r="AQ3718">
        <v>-86</v>
      </c>
      <c r="AR3718">
        <v>64</v>
      </c>
      <c r="AZ3718">
        <v>1200</v>
      </c>
      <c r="BA3718">
        <v>1</v>
      </c>
      <c r="BB3718" t="str">
        <f t="shared" si="2074"/>
        <v xml:space="preserve">N9217B  </v>
      </c>
      <c r="BC3718">
        <v>1</v>
      </c>
      <c r="BE3718">
        <v>0</v>
      </c>
      <c r="BF3718">
        <v>0</v>
      </c>
      <c r="BG3718">
        <v>0</v>
      </c>
      <c r="BH3718">
        <v>5125</v>
      </c>
      <c r="BI3718">
        <v>1</v>
      </c>
      <c r="BJ3718">
        <v>0</v>
      </c>
      <c r="BK3718">
        <v>0</v>
      </c>
      <c r="BL3718">
        <v>0</v>
      </c>
      <c r="BO3718">
        <v>0</v>
      </c>
      <c r="BP3718">
        <v>0</v>
      </c>
      <c r="BW3718" t="str">
        <f t="shared" si="2075"/>
        <v>14:58:10.169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7</v>
      </c>
      <c r="CP3718" t="s">
        <v>119</v>
      </c>
      <c r="CQ3718">
        <v>285</v>
      </c>
      <c r="CR3718">
        <v>0</v>
      </c>
      <c r="CW3718">
        <v>8882981</v>
      </c>
      <c r="CY3718">
        <v>0</v>
      </c>
      <c r="CZ3718">
        <v>0</v>
      </c>
      <c r="DA3718">
        <v>1</v>
      </c>
      <c r="DB3718">
        <v>0</v>
      </c>
      <c r="DC3718">
        <v>0</v>
      </c>
      <c r="DD3718">
        <v>0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25">
      <c r="A3719" t="str">
        <f t="shared" si="2072"/>
        <v>06/05/2020 14:58:04.523</v>
      </c>
      <c r="C3719" t="str">
        <f t="shared" si="2054"/>
        <v>FFDFD3C0</v>
      </c>
      <c r="D3719" t="s">
        <v>151</v>
      </c>
      <c r="E3719">
        <v>9</v>
      </c>
      <c r="H3719">
        <v>226</v>
      </c>
      <c r="I3719" t="s">
        <v>152</v>
      </c>
      <c r="J3719" t="s">
        <v>150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 t="shared" si="2073"/>
        <v>14:58:10.164</v>
      </c>
      <c r="T3719" t="str">
        <f t="shared" si="2073"/>
        <v>14:58:10.164</v>
      </c>
      <c r="U3719" t="str">
        <f t="shared" si="2071"/>
        <v>ACC530</v>
      </c>
      <c r="V3719">
        <v>0</v>
      </c>
      <c r="W3719">
        <v>0</v>
      </c>
      <c r="X3719">
        <v>1</v>
      </c>
      <c r="Z3719">
        <v>0</v>
      </c>
      <c r="AA3719">
        <v>9</v>
      </c>
      <c r="AB3719">
        <v>3</v>
      </c>
      <c r="AC3719">
        <v>0</v>
      </c>
      <c r="AD3719">
        <v>9</v>
      </c>
      <c r="AE3719">
        <v>0</v>
      </c>
      <c r="AF3719">
        <v>3</v>
      </c>
      <c r="AG3719">
        <v>1</v>
      </c>
      <c r="AH3719">
        <v>0</v>
      </c>
      <c r="AI3719" t="s">
        <v>1205</v>
      </c>
      <c r="AJ3719">
        <v>34.070985</v>
      </c>
      <c r="AK3719" t="s">
        <v>1206</v>
      </c>
      <c r="AL3719">
        <v>-117.017269</v>
      </c>
      <c r="AM3719">
        <v>100</v>
      </c>
      <c r="AN3719">
        <v>5300</v>
      </c>
      <c r="AO3719" t="s">
        <v>118</v>
      </c>
      <c r="AP3719">
        <v>-35</v>
      </c>
      <c r="AQ3719">
        <v>-86</v>
      </c>
      <c r="AR3719">
        <v>64</v>
      </c>
      <c r="AZ3719">
        <v>1200</v>
      </c>
      <c r="BA3719">
        <v>1</v>
      </c>
      <c r="BB3719" t="str">
        <f t="shared" si="2074"/>
        <v xml:space="preserve">N9217B  </v>
      </c>
      <c r="BC3719">
        <v>1</v>
      </c>
      <c r="BE3719">
        <v>0</v>
      </c>
      <c r="BF3719">
        <v>0</v>
      </c>
      <c r="BG3719">
        <v>0</v>
      </c>
      <c r="BH3719">
        <v>5125</v>
      </c>
      <c r="BI3719">
        <v>1</v>
      </c>
      <c r="BJ3719">
        <v>0</v>
      </c>
      <c r="BK3719">
        <v>0</v>
      </c>
      <c r="BL3719">
        <v>0</v>
      </c>
      <c r="BO3719">
        <v>0</v>
      </c>
      <c r="BP3719">
        <v>0</v>
      </c>
      <c r="BW3719" t="str">
        <f t="shared" si="2075"/>
        <v>14:58:10.169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7</v>
      </c>
      <c r="CP3719" t="s">
        <v>119</v>
      </c>
      <c r="CQ3719">
        <v>285</v>
      </c>
      <c r="CR3719">
        <v>0</v>
      </c>
      <c r="CW3719">
        <v>8882981</v>
      </c>
      <c r="CY3719">
        <v>0</v>
      </c>
      <c r="CZ3719">
        <v>0</v>
      </c>
      <c r="DA3719">
        <v>1</v>
      </c>
      <c r="DB3719">
        <v>0</v>
      </c>
      <c r="DC3719">
        <v>0</v>
      </c>
      <c r="DD3719">
        <v>0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25">
      <c r="A3720" t="str">
        <f t="shared" si="2072"/>
        <v>06/05/2020 14:58:04.523</v>
      </c>
      <c r="C3720" t="str">
        <f t="shared" si="2054"/>
        <v>FFDFD3C0</v>
      </c>
      <c r="D3720" t="s">
        <v>134</v>
      </c>
      <c r="E3720">
        <v>7</v>
      </c>
      <c r="F3720">
        <v>2007</v>
      </c>
      <c r="G3720" t="s">
        <v>135</v>
      </c>
      <c r="J3720" t="s">
        <v>136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 t="shared" si="2073"/>
        <v>14:58:10.164</v>
      </c>
      <c r="T3720" t="str">
        <f t="shared" si="2073"/>
        <v>14:58:10.164</v>
      </c>
      <c r="U3720" t="str">
        <f t="shared" si="2071"/>
        <v>ACC530</v>
      </c>
      <c r="V3720">
        <v>0</v>
      </c>
      <c r="W3720">
        <v>0</v>
      </c>
      <c r="X3720">
        <v>1</v>
      </c>
      <c r="Z3720">
        <v>0</v>
      </c>
      <c r="AA3720">
        <v>9</v>
      </c>
      <c r="AB3720">
        <v>3</v>
      </c>
      <c r="AC3720">
        <v>0</v>
      </c>
      <c r="AD3720">
        <v>9</v>
      </c>
      <c r="AE3720">
        <v>0</v>
      </c>
      <c r="AF3720">
        <v>3</v>
      </c>
      <c r="AG3720">
        <v>1</v>
      </c>
      <c r="AH3720">
        <v>0</v>
      </c>
      <c r="AI3720" t="s">
        <v>1205</v>
      </c>
      <c r="AJ3720">
        <v>34.070985</v>
      </c>
      <c r="AK3720" t="s">
        <v>1206</v>
      </c>
      <c r="AL3720">
        <v>-117.017269</v>
      </c>
      <c r="AM3720">
        <v>100</v>
      </c>
      <c r="AN3720">
        <v>5300</v>
      </c>
      <c r="AO3720" t="s">
        <v>118</v>
      </c>
      <c r="AP3720">
        <v>-35</v>
      </c>
      <c r="AQ3720">
        <v>-86</v>
      </c>
      <c r="AR3720">
        <v>64</v>
      </c>
      <c r="AZ3720">
        <v>1200</v>
      </c>
      <c r="BA3720">
        <v>1</v>
      </c>
      <c r="BB3720" t="str">
        <f t="shared" si="2074"/>
        <v xml:space="preserve">N9217B  </v>
      </c>
      <c r="BC3720">
        <v>1</v>
      </c>
      <c r="BE3720">
        <v>0</v>
      </c>
      <c r="BF3720">
        <v>0</v>
      </c>
      <c r="BG3720">
        <v>0</v>
      </c>
      <c r="BH3720">
        <v>5125</v>
      </c>
      <c r="BI3720">
        <v>1</v>
      </c>
      <c r="BJ3720">
        <v>0</v>
      </c>
      <c r="BK3720">
        <v>0</v>
      </c>
      <c r="BL3720">
        <v>0</v>
      </c>
      <c r="BO3720">
        <v>0</v>
      </c>
      <c r="BP3720">
        <v>0</v>
      </c>
      <c r="BW3720" t="str">
        <f t="shared" si="2075"/>
        <v>14:58:10.169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7</v>
      </c>
      <c r="CP3720" t="s">
        <v>119</v>
      </c>
      <c r="CQ3720">
        <v>285</v>
      </c>
      <c r="CR3720">
        <v>0</v>
      </c>
      <c r="CW3720">
        <v>8882981</v>
      </c>
      <c r="CY3720">
        <v>0</v>
      </c>
      <c r="CZ3720">
        <v>0</v>
      </c>
      <c r="DA3720">
        <v>1</v>
      </c>
      <c r="DB3720">
        <v>0</v>
      </c>
      <c r="DC3720">
        <v>0</v>
      </c>
      <c r="DD3720">
        <v>0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25">
      <c r="A3721" t="str">
        <f t="shared" si="2072"/>
        <v>06/05/2020 14:58:04.523</v>
      </c>
      <c r="C3721" t="str">
        <f t="shared" si="2054"/>
        <v>FFDFD3C0</v>
      </c>
      <c r="D3721" t="s">
        <v>148</v>
      </c>
      <c r="E3721">
        <v>11</v>
      </c>
      <c r="H3721">
        <v>53</v>
      </c>
      <c r="I3721" t="s">
        <v>364</v>
      </c>
      <c r="J3721" t="s">
        <v>150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 t="shared" si="2073"/>
        <v>14:58:10.164</v>
      </c>
      <c r="T3721" t="str">
        <f t="shared" si="2073"/>
        <v>14:58:10.164</v>
      </c>
      <c r="U3721" t="str">
        <f t="shared" si="2071"/>
        <v>ACC530</v>
      </c>
      <c r="V3721">
        <v>0</v>
      </c>
      <c r="W3721">
        <v>0</v>
      </c>
      <c r="X3721">
        <v>1</v>
      </c>
      <c r="Z3721">
        <v>0</v>
      </c>
      <c r="AA3721">
        <v>9</v>
      </c>
      <c r="AB3721">
        <v>3</v>
      </c>
      <c r="AC3721">
        <v>0</v>
      </c>
      <c r="AD3721">
        <v>9</v>
      </c>
      <c r="AE3721">
        <v>0</v>
      </c>
      <c r="AF3721">
        <v>3</v>
      </c>
      <c r="AG3721">
        <v>1</v>
      </c>
      <c r="AH3721">
        <v>0</v>
      </c>
      <c r="AI3721" t="s">
        <v>1205</v>
      </c>
      <c r="AJ3721">
        <v>34.070985</v>
      </c>
      <c r="AK3721" t="s">
        <v>1206</v>
      </c>
      <c r="AL3721">
        <v>-117.017269</v>
      </c>
      <c r="AM3721">
        <v>100</v>
      </c>
      <c r="AN3721">
        <v>5300</v>
      </c>
      <c r="AO3721" t="s">
        <v>118</v>
      </c>
      <c r="AP3721">
        <v>-35</v>
      </c>
      <c r="AQ3721">
        <v>-86</v>
      </c>
      <c r="AR3721">
        <v>64</v>
      </c>
      <c r="AZ3721">
        <v>1200</v>
      </c>
      <c r="BA3721">
        <v>1</v>
      </c>
      <c r="BB3721" t="str">
        <f t="shared" si="2074"/>
        <v xml:space="preserve">N9217B  </v>
      </c>
      <c r="BC3721">
        <v>1</v>
      </c>
      <c r="BE3721">
        <v>0</v>
      </c>
      <c r="BF3721">
        <v>0</v>
      </c>
      <c r="BG3721">
        <v>0</v>
      </c>
      <c r="BH3721">
        <v>5125</v>
      </c>
      <c r="BI3721">
        <v>1</v>
      </c>
      <c r="BJ3721">
        <v>0</v>
      </c>
      <c r="BK3721">
        <v>0</v>
      </c>
      <c r="BL3721">
        <v>0</v>
      </c>
      <c r="BO3721">
        <v>0</v>
      </c>
      <c r="BP3721">
        <v>0</v>
      </c>
      <c r="BW3721" t="str">
        <f t="shared" si="2075"/>
        <v>14:58:10.169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7</v>
      </c>
      <c r="CP3721" t="s">
        <v>119</v>
      </c>
      <c r="CQ3721">
        <v>285</v>
      </c>
      <c r="CR3721">
        <v>0</v>
      </c>
      <c r="CW3721">
        <v>8882981</v>
      </c>
      <c r="CY3721">
        <v>0</v>
      </c>
      <c r="CZ3721">
        <v>0</v>
      </c>
      <c r="DA3721">
        <v>1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25">
      <c r="A3722" t="str">
        <f t="shared" si="2072"/>
        <v>06/05/2020 14:58:04.523</v>
      </c>
      <c r="C3722" t="str">
        <f t="shared" si="2054"/>
        <v>FFDFD3C0</v>
      </c>
      <c r="D3722" t="s">
        <v>141</v>
      </c>
      <c r="E3722">
        <v>20</v>
      </c>
      <c r="F3722">
        <v>1020</v>
      </c>
      <c r="G3722" t="s">
        <v>114</v>
      </c>
      <c r="J3722" t="s">
        <v>142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 t="shared" si="2073"/>
        <v>14:58:10.164</v>
      </c>
      <c r="T3722" t="str">
        <f t="shared" si="2073"/>
        <v>14:58:10.164</v>
      </c>
      <c r="U3722" t="str">
        <f t="shared" si="2071"/>
        <v>ACC530</v>
      </c>
      <c r="V3722">
        <v>0</v>
      </c>
      <c r="W3722">
        <v>0</v>
      </c>
      <c r="X3722">
        <v>1</v>
      </c>
      <c r="Z3722">
        <v>0</v>
      </c>
      <c r="AA3722">
        <v>9</v>
      </c>
      <c r="AB3722">
        <v>3</v>
      </c>
      <c r="AC3722">
        <v>0</v>
      </c>
      <c r="AD3722">
        <v>9</v>
      </c>
      <c r="AE3722">
        <v>0</v>
      </c>
      <c r="AF3722">
        <v>3</v>
      </c>
      <c r="AG3722">
        <v>1</v>
      </c>
      <c r="AH3722">
        <v>0</v>
      </c>
      <c r="AI3722" t="s">
        <v>1205</v>
      </c>
      <c r="AJ3722">
        <v>34.070985</v>
      </c>
      <c r="AK3722" t="s">
        <v>1206</v>
      </c>
      <c r="AL3722">
        <v>-117.017269</v>
      </c>
      <c r="AM3722">
        <v>100</v>
      </c>
      <c r="AN3722">
        <v>5300</v>
      </c>
      <c r="AO3722" t="s">
        <v>118</v>
      </c>
      <c r="AP3722">
        <v>-35</v>
      </c>
      <c r="AQ3722">
        <v>-86</v>
      </c>
      <c r="AR3722">
        <v>64</v>
      </c>
      <c r="AZ3722">
        <v>1200</v>
      </c>
      <c r="BA3722">
        <v>1</v>
      </c>
      <c r="BB3722" t="str">
        <f t="shared" si="2074"/>
        <v xml:space="preserve">N9217B  </v>
      </c>
      <c r="BC3722">
        <v>1</v>
      </c>
      <c r="BE3722">
        <v>0</v>
      </c>
      <c r="BF3722">
        <v>0</v>
      </c>
      <c r="BG3722">
        <v>0</v>
      </c>
      <c r="BH3722">
        <v>5125</v>
      </c>
      <c r="BI3722">
        <v>1</v>
      </c>
      <c r="BJ3722">
        <v>0</v>
      </c>
      <c r="BK3722">
        <v>0</v>
      </c>
      <c r="BL3722">
        <v>0</v>
      </c>
      <c r="BO3722">
        <v>0</v>
      </c>
      <c r="BP3722">
        <v>0</v>
      </c>
      <c r="BW3722" t="str">
        <f t="shared" si="2075"/>
        <v>14:58:10.169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7</v>
      </c>
      <c r="CP3722" t="s">
        <v>119</v>
      </c>
      <c r="CQ3722">
        <v>285</v>
      </c>
      <c r="CR3722">
        <v>0</v>
      </c>
      <c r="CW3722">
        <v>8882981</v>
      </c>
      <c r="CY3722">
        <v>0</v>
      </c>
      <c r="CZ3722">
        <v>0</v>
      </c>
      <c r="DA3722">
        <v>1</v>
      </c>
      <c r="DB3722">
        <v>0</v>
      </c>
      <c r="DC3722">
        <v>0</v>
      </c>
      <c r="DD3722">
        <v>0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25">
      <c r="A3723" t="str">
        <f t="shared" si="2072"/>
        <v>06/05/2020 14:58:04.523</v>
      </c>
      <c r="C3723" t="str">
        <f t="shared" si="2054"/>
        <v>FFDFD3C0</v>
      </c>
      <c r="D3723" t="s">
        <v>113</v>
      </c>
      <c r="E3723">
        <v>3</v>
      </c>
      <c r="H3723">
        <v>166</v>
      </c>
      <c r="I3723" t="s">
        <v>114</v>
      </c>
      <c r="J3723" t="s">
        <v>115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 t="shared" si="2073"/>
        <v>14:58:10.164</v>
      </c>
      <c r="T3723" t="str">
        <f t="shared" si="2073"/>
        <v>14:58:10.164</v>
      </c>
      <c r="U3723" t="str">
        <f t="shared" si="2071"/>
        <v>ACC530</v>
      </c>
      <c r="V3723">
        <v>0</v>
      </c>
      <c r="W3723">
        <v>0</v>
      </c>
      <c r="X3723">
        <v>1</v>
      </c>
      <c r="Z3723">
        <v>0</v>
      </c>
      <c r="AA3723">
        <v>9</v>
      </c>
      <c r="AB3723">
        <v>3</v>
      </c>
      <c r="AC3723">
        <v>0</v>
      </c>
      <c r="AD3723">
        <v>9</v>
      </c>
      <c r="AE3723">
        <v>0</v>
      </c>
      <c r="AF3723">
        <v>3</v>
      </c>
      <c r="AG3723">
        <v>1</v>
      </c>
      <c r="AH3723">
        <v>0</v>
      </c>
      <c r="AI3723" t="s">
        <v>1205</v>
      </c>
      <c r="AJ3723">
        <v>34.070985</v>
      </c>
      <c r="AK3723" t="s">
        <v>1206</v>
      </c>
      <c r="AL3723">
        <v>-117.017269</v>
      </c>
      <c r="AM3723">
        <v>100</v>
      </c>
      <c r="AN3723">
        <v>5300</v>
      </c>
      <c r="AO3723" t="s">
        <v>118</v>
      </c>
      <c r="AP3723">
        <v>-35</v>
      </c>
      <c r="AQ3723">
        <v>-86</v>
      </c>
      <c r="AR3723">
        <v>64</v>
      </c>
      <c r="AZ3723">
        <v>1200</v>
      </c>
      <c r="BA3723">
        <v>1</v>
      </c>
      <c r="BB3723" t="str">
        <f t="shared" si="2074"/>
        <v xml:space="preserve">N9217B  </v>
      </c>
      <c r="BC3723">
        <v>1</v>
      </c>
      <c r="BE3723">
        <v>0</v>
      </c>
      <c r="BF3723">
        <v>0</v>
      </c>
      <c r="BG3723">
        <v>0</v>
      </c>
      <c r="BH3723">
        <v>5125</v>
      </c>
      <c r="BI3723">
        <v>1</v>
      </c>
      <c r="BJ3723">
        <v>0</v>
      </c>
      <c r="BK3723">
        <v>0</v>
      </c>
      <c r="BL3723">
        <v>0</v>
      </c>
      <c r="BO3723">
        <v>0</v>
      </c>
      <c r="BP3723">
        <v>0</v>
      </c>
      <c r="BW3723" t="str">
        <f t="shared" si="2075"/>
        <v>14:58:10.169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7</v>
      </c>
      <c r="CP3723" t="s">
        <v>119</v>
      </c>
      <c r="CQ3723">
        <v>285</v>
      </c>
      <c r="CR3723">
        <v>0</v>
      </c>
      <c r="CW3723">
        <v>8882981</v>
      </c>
      <c r="CY3723">
        <v>0</v>
      </c>
      <c r="CZ3723">
        <v>0</v>
      </c>
      <c r="DA3723">
        <v>1</v>
      </c>
      <c r="DB3723">
        <v>0</v>
      </c>
      <c r="DC3723">
        <v>0</v>
      </c>
      <c r="DD3723">
        <v>0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25">
      <c r="A3724" t="str">
        <f t="shared" ref="A3724:A3730" si="2076">"06/05/2020 14:58:05.560"</f>
        <v>06/05/2020 14:58:05.560</v>
      </c>
      <c r="C3724" t="str">
        <f t="shared" si="2054"/>
        <v>FFDFD3C0</v>
      </c>
      <c r="D3724" t="s">
        <v>134</v>
      </c>
      <c r="E3724">
        <v>7</v>
      </c>
      <c r="F3724">
        <v>2007</v>
      </c>
      <c r="G3724" t="s">
        <v>135</v>
      </c>
      <c r="J3724" t="s">
        <v>136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 t="shared" ref="S3724:S3730" si="2077">"14:58:11.203"</f>
        <v>14:58:11.203</v>
      </c>
      <c r="T3724" t="str">
        <f t="shared" ref="T3724:T3730" si="2078">"14:58:11.103"</f>
        <v>14:58:11.103</v>
      </c>
      <c r="U3724" t="str">
        <f t="shared" si="2071"/>
        <v>ACC530</v>
      </c>
      <c r="V3724">
        <v>0</v>
      </c>
      <c r="W3724">
        <v>0</v>
      </c>
      <c r="X3724">
        <v>1</v>
      </c>
      <c r="Z3724">
        <v>0</v>
      </c>
      <c r="AA3724">
        <v>9</v>
      </c>
      <c r="AB3724">
        <v>3</v>
      </c>
      <c r="AC3724">
        <v>0</v>
      </c>
      <c r="AD3724">
        <v>9</v>
      </c>
      <c r="AE3724">
        <v>0</v>
      </c>
      <c r="AF3724">
        <v>3</v>
      </c>
      <c r="AG3724">
        <v>1</v>
      </c>
      <c r="AH3724">
        <v>0</v>
      </c>
      <c r="AI3724" t="s">
        <v>1207</v>
      </c>
      <c r="AJ3724">
        <v>34.070535</v>
      </c>
      <c r="AK3724" t="s">
        <v>1208</v>
      </c>
      <c r="AL3724">
        <v>-117.01746199999999</v>
      </c>
      <c r="AM3724">
        <v>100</v>
      </c>
      <c r="AN3724">
        <v>5300</v>
      </c>
      <c r="AO3724" t="s">
        <v>118</v>
      </c>
      <c r="AP3724">
        <v>-36</v>
      </c>
      <c r="AQ3724">
        <v>-85</v>
      </c>
      <c r="AR3724">
        <v>64</v>
      </c>
      <c r="AZ3724">
        <v>1200</v>
      </c>
      <c r="BA3724">
        <v>1</v>
      </c>
      <c r="BB3724" t="str">
        <f t="shared" si="2074"/>
        <v xml:space="preserve">N9217B  </v>
      </c>
      <c r="BC3724">
        <v>1</v>
      </c>
      <c r="BE3724">
        <v>0</v>
      </c>
      <c r="BF3724">
        <v>0</v>
      </c>
      <c r="BG3724">
        <v>0</v>
      </c>
      <c r="BH3724">
        <v>5150</v>
      </c>
      <c r="BI3724">
        <v>1</v>
      </c>
      <c r="BJ3724">
        <v>0</v>
      </c>
      <c r="BK3724">
        <v>0</v>
      </c>
      <c r="BL3724">
        <v>0</v>
      </c>
      <c r="BO3724">
        <v>0</v>
      </c>
      <c r="BP3724">
        <v>0</v>
      </c>
      <c r="BW3724" t="str">
        <f t="shared" ref="BW3724:BW3730" si="2079">"14:58:11.204"</f>
        <v>14:58:11.204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7</v>
      </c>
      <c r="CP3724" t="s">
        <v>119</v>
      </c>
      <c r="CQ3724">
        <v>285</v>
      </c>
      <c r="CR3724">
        <v>0</v>
      </c>
      <c r="CW3724">
        <v>8883068</v>
      </c>
      <c r="CY3724">
        <v>0</v>
      </c>
      <c r="CZ3724">
        <v>0</v>
      </c>
      <c r="DA3724">
        <v>0</v>
      </c>
      <c r="DB3724">
        <v>0</v>
      </c>
      <c r="DC3724">
        <v>0</v>
      </c>
      <c r="DD3724">
        <v>0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25">
      <c r="A3725" t="str">
        <f t="shared" si="2076"/>
        <v>06/05/2020 14:58:05.560</v>
      </c>
      <c r="C3725" t="str">
        <f t="shared" si="2054"/>
        <v>FFDFD3C0</v>
      </c>
      <c r="D3725" t="s">
        <v>151</v>
      </c>
      <c r="E3725">
        <v>9</v>
      </c>
      <c r="H3725">
        <v>226</v>
      </c>
      <c r="I3725" t="s">
        <v>152</v>
      </c>
      <c r="J3725" t="s">
        <v>150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 t="shared" si="2077"/>
        <v>14:58:11.203</v>
      </c>
      <c r="T3725" t="str">
        <f t="shared" si="2078"/>
        <v>14:58:11.103</v>
      </c>
      <c r="U3725" t="str">
        <f t="shared" si="2071"/>
        <v>ACC530</v>
      </c>
      <c r="V3725">
        <v>0</v>
      </c>
      <c r="W3725">
        <v>0</v>
      </c>
      <c r="X3725">
        <v>1</v>
      </c>
      <c r="Z3725">
        <v>0</v>
      </c>
      <c r="AA3725">
        <v>9</v>
      </c>
      <c r="AB3725">
        <v>3</v>
      </c>
      <c r="AC3725">
        <v>0</v>
      </c>
      <c r="AD3725">
        <v>9</v>
      </c>
      <c r="AE3725">
        <v>0</v>
      </c>
      <c r="AF3725">
        <v>3</v>
      </c>
      <c r="AG3725">
        <v>1</v>
      </c>
      <c r="AH3725">
        <v>0</v>
      </c>
      <c r="AI3725" t="s">
        <v>1207</v>
      </c>
      <c r="AJ3725">
        <v>34.070535</v>
      </c>
      <c r="AK3725" t="s">
        <v>1208</v>
      </c>
      <c r="AL3725">
        <v>-117.01746199999999</v>
      </c>
      <c r="AM3725">
        <v>100</v>
      </c>
      <c r="AN3725">
        <v>5300</v>
      </c>
      <c r="AO3725" t="s">
        <v>118</v>
      </c>
      <c r="AP3725">
        <v>-36</v>
      </c>
      <c r="AQ3725">
        <v>-85</v>
      </c>
      <c r="AR3725">
        <v>64</v>
      </c>
      <c r="AZ3725">
        <v>1200</v>
      </c>
      <c r="BA3725">
        <v>1</v>
      </c>
      <c r="BB3725" t="str">
        <f t="shared" si="2074"/>
        <v xml:space="preserve">N9217B  </v>
      </c>
      <c r="BC3725">
        <v>1</v>
      </c>
      <c r="BE3725">
        <v>0</v>
      </c>
      <c r="BF3725">
        <v>0</v>
      </c>
      <c r="BG3725">
        <v>0</v>
      </c>
      <c r="BH3725">
        <v>5150</v>
      </c>
      <c r="BI3725">
        <v>1</v>
      </c>
      <c r="BJ3725">
        <v>0</v>
      </c>
      <c r="BK3725">
        <v>0</v>
      </c>
      <c r="BL3725">
        <v>0</v>
      </c>
      <c r="BO3725">
        <v>0</v>
      </c>
      <c r="BP3725">
        <v>0</v>
      </c>
      <c r="BW3725" t="str">
        <f t="shared" si="2079"/>
        <v>14:58:11.204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7</v>
      </c>
      <c r="CP3725" t="s">
        <v>119</v>
      </c>
      <c r="CQ3725">
        <v>285</v>
      </c>
      <c r="CR3725">
        <v>0</v>
      </c>
      <c r="CW3725">
        <v>8883068</v>
      </c>
      <c r="CY3725">
        <v>0</v>
      </c>
      <c r="CZ3725">
        <v>0</v>
      </c>
      <c r="DA3725">
        <v>1</v>
      </c>
      <c r="DB3725">
        <v>0</v>
      </c>
      <c r="DC3725">
        <v>0</v>
      </c>
      <c r="DD3725">
        <v>0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25">
      <c r="A3726" t="str">
        <f t="shared" si="2076"/>
        <v>06/05/2020 14:58:05.560</v>
      </c>
      <c r="C3726" t="str">
        <f t="shared" si="2054"/>
        <v>FFDFD3C0</v>
      </c>
      <c r="D3726" t="s">
        <v>148</v>
      </c>
      <c r="E3726">
        <v>11</v>
      </c>
      <c r="H3726">
        <v>53</v>
      </c>
      <c r="I3726" t="s">
        <v>364</v>
      </c>
      <c r="J3726" t="s">
        <v>150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 t="shared" si="2077"/>
        <v>14:58:11.203</v>
      </c>
      <c r="T3726" t="str">
        <f t="shared" si="2078"/>
        <v>14:58:11.103</v>
      </c>
      <c r="U3726" t="str">
        <f t="shared" si="2071"/>
        <v>ACC530</v>
      </c>
      <c r="V3726">
        <v>0</v>
      </c>
      <c r="W3726">
        <v>0</v>
      </c>
      <c r="X3726">
        <v>1</v>
      </c>
      <c r="Z3726">
        <v>0</v>
      </c>
      <c r="AA3726">
        <v>9</v>
      </c>
      <c r="AB3726">
        <v>3</v>
      </c>
      <c r="AC3726">
        <v>0</v>
      </c>
      <c r="AD3726">
        <v>9</v>
      </c>
      <c r="AE3726">
        <v>0</v>
      </c>
      <c r="AF3726">
        <v>3</v>
      </c>
      <c r="AG3726">
        <v>1</v>
      </c>
      <c r="AH3726">
        <v>0</v>
      </c>
      <c r="AI3726" t="s">
        <v>1207</v>
      </c>
      <c r="AJ3726">
        <v>34.070535</v>
      </c>
      <c r="AK3726" t="s">
        <v>1208</v>
      </c>
      <c r="AL3726">
        <v>-117.01746199999999</v>
      </c>
      <c r="AM3726">
        <v>100</v>
      </c>
      <c r="AN3726">
        <v>5300</v>
      </c>
      <c r="AO3726" t="s">
        <v>118</v>
      </c>
      <c r="AP3726">
        <v>-36</v>
      </c>
      <c r="AQ3726">
        <v>-85</v>
      </c>
      <c r="AR3726">
        <v>64</v>
      </c>
      <c r="AZ3726">
        <v>1200</v>
      </c>
      <c r="BA3726">
        <v>1</v>
      </c>
      <c r="BB3726" t="str">
        <f t="shared" si="2074"/>
        <v xml:space="preserve">N9217B  </v>
      </c>
      <c r="BC3726">
        <v>1</v>
      </c>
      <c r="BE3726">
        <v>0</v>
      </c>
      <c r="BF3726">
        <v>0</v>
      </c>
      <c r="BG3726">
        <v>0</v>
      </c>
      <c r="BH3726">
        <v>5150</v>
      </c>
      <c r="BI3726">
        <v>1</v>
      </c>
      <c r="BJ3726">
        <v>0</v>
      </c>
      <c r="BK3726">
        <v>0</v>
      </c>
      <c r="BL3726">
        <v>0</v>
      </c>
      <c r="BO3726">
        <v>0</v>
      </c>
      <c r="BP3726">
        <v>0</v>
      </c>
      <c r="BW3726" t="str">
        <f t="shared" si="2079"/>
        <v>14:58:11.204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7</v>
      </c>
      <c r="CP3726" t="s">
        <v>119</v>
      </c>
      <c r="CQ3726">
        <v>285</v>
      </c>
      <c r="CR3726">
        <v>0</v>
      </c>
      <c r="CW3726">
        <v>8883068</v>
      </c>
      <c r="CY3726">
        <v>0</v>
      </c>
      <c r="CZ3726">
        <v>0</v>
      </c>
      <c r="DA3726">
        <v>1</v>
      </c>
      <c r="DB3726">
        <v>0</v>
      </c>
      <c r="DC3726">
        <v>0</v>
      </c>
      <c r="DD3726">
        <v>0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25">
      <c r="A3727" t="str">
        <f t="shared" si="2076"/>
        <v>06/05/2020 14:58:05.560</v>
      </c>
      <c r="C3727" t="str">
        <f t="shared" si="2054"/>
        <v>FFDFD3C0</v>
      </c>
      <c r="D3727" t="s">
        <v>141</v>
      </c>
      <c r="E3727">
        <v>20</v>
      </c>
      <c r="F3727">
        <v>1020</v>
      </c>
      <c r="G3727" t="s">
        <v>114</v>
      </c>
      <c r="J3727" t="s">
        <v>142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 t="shared" si="2077"/>
        <v>14:58:11.203</v>
      </c>
      <c r="T3727" t="str">
        <f t="shared" si="2078"/>
        <v>14:58:11.103</v>
      </c>
      <c r="U3727" t="str">
        <f t="shared" si="2071"/>
        <v>ACC530</v>
      </c>
      <c r="V3727">
        <v>0</v>
      </c>
      <c r="W3727">
        <v>0</v>
      </c>
      <c r="X3727">
        <v>1</v>
      </c>
      <c r="Z3727">
        <v>0</v>
      </c>
      <c r="AA3727">
        <v>9</v>
      </c>
      <c r="AB3727">
        <v>3</v>
      </c>
      <c r="AC3727">
        <v>0</v>
      </c>
      <c r="AD3727">
        <v>9</v>
      </c>
      <c r="AE3727">
        <v>0</v>
      </c>
      <c r="AF3727">
        <v>3</v>
      </c>
      <c r="AG3727">
        <v>1</v>
      </c>
      <c r="AH3727">
        <v>0</v>
      </c>
      <c r="AI3727" t="s">
        <v>1207</v>
      </c>
      <c r="AJ3727">
        <v>34.070535</v>
      </c>
      <c r="AK3727" t="s">
        <v>1208</v>
      </c>
      <c r="AL3727">
        <v>-117.01746199999999</v>
      </c>
      <c r="AM3727">
        <v>100</v>
      </c>
      <c r="AN3727">
        <v>5300</v>
      </c>
      <c r="AO3727" t="s">
        <v>118</v>
      </c>
      <c r="AP3727">
        <v>-36</v>
      </c>
      <c r="AQ3727">
        <v>-85</v>
      </c>
      <c r="AR3727">
        <v>64</v>
      </c>
      <c r="AZ3727">
        <v>1200</v>
      </c>
      <c r="BA3727">
        <v>1</v>
      </c>
      <c r="BB3727" t="str">
        <f t="shared" si="2074"/>
        <v xml:space="preserve">N9217B  </v>
      </c>
      <c r="BC3727">
        <v>1</v>
      </c>
      <c r="BE3727">
        <v>0</v>
      </c>
      <c r="BF3727">
        <v>0</v>
      </c>
      <c r="BG3727">
        <v>0</v>
      </c>
      <c r="BH3727">
        <v>5150</v>
      </c>
      <c r="BI3727">
        <v>1</v>
      </c>
      <c r="BJ3727">
        <v>0</v>
      </c>
      <c r="BK3727">
        <v>0</v>
      </c>
      <c r="BL3727">
        <v>0</v>
      </c>
      <c r="BO3727">
        <v>0</v>
      </c>
      <c r="BP3727">
        <v>0</v>
      </c>
      <c r="BW3727" t="str">
        <f t="shared" si="2079"/>
        <v>14:58:11.204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7</v>
      </c>
      <c r="CP3727" t="s">
        <v>119</v>
      </c>
      <c r="CQ3727">
        <v>285</v>
      </c>
      <c r="CR3727">
        <v>0</v>
      </c>
      <c r="CW3727">
        <v>8883068</v>
      </c>
      <c r="CY3727">
        <v>0</v>
      </c>
      <c r="CZ3727">
        <v>0</v>
      </c>
      <c r="DA3727">
        <v>1</v>
      </c>
      <c r="DB3727">
        <v>0</v>
      </c>
      <c r="DC3727">
        <v>0</v>
      </c>
      <c r="DD3727">
        <v>0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25">
      <c r="A3728" t="str">
        <f t="shared" si="2076"/>
        <v>06/05/2020 14:58:05.560</v>
      </c>
      <c r="C3728" t="str">
        <f t="shared" si="2054"/>
        <v>FFDFD3C0</v>
      </c>
      <c r="D3728" t="s">
        <v>113</v>
      </c>
      <c r="E3728">
        <v>3</v>
      </c>
      <c r="H3728">
        <v>166</v>
      </c>
      <c r="I3728" t="s">
        <v>114</v>
      </c>
      <c r="J3728" t="s">
        <v>115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 t="shared" si="2077"/>
        <v>14:58:11.203</v>
      </c>
      <c r="T3728" t="str">
        <f t="shared" si="2078"/>
        <v>14:58:11.103</v>
      </c>
      <c r="U3728" t="str">
        <f t="shared" si="2071"/>
        <v>ACC530</v>
      </c>
      <c r="V3728">
        <v>0</v>
      </c>
      <c r="W3728">
        <v>0</v>
      </c>
      <c r="X3728">
        <v>1</v>
      </c>
      <c r="Z3728">
        <v>0</v>
      </c>
      <c r="AA3728">
        <v>9</v>
      </c>
      <c r="AB3728">
        <v>3</v>
      </c>
      <c r="AC3728">
        <v>0</v>
      </c>
      <c r="AD3728">
        <v>9</v>
      </c>
      <c r="AE3728">
        <v>0</v>
      </c>
      <c r="AF3728">
        <v>3</v>
      </c>
      <c r="AG3728">
        <v>1</v>
      </c>
      <c r="AH3728">
        <v>0</v>
      </c>
      <c r="AI3728" t="s">
        <v>1207</v>
      </c>
      <c r="AJ3728">
        <v>34.070535</v>
      </c>
      <c r="AK3728" t="s">
        <v>1208</v>
      </c>
      <c r="AL3728">
        <v>-117.01746199999999</v>
      </c>
      <c r="AM3728">
        <v>100</v>
      </c>
      <c r="AN3728">
        <v>5300</v>
      </c>
      <c r="AO3728" t="s">
        <v>118</v>
      </c>
      <c r="AP3728">
        <v>-36</v>
      </c>
      <c r="AQ3728">
        <v>-85</v>
      </c>
      <c r="AR3728">
        <v>64</v>
      </c>
      <c r="AZ3728">
        <v>1200</v>
      </c>
      <c r="BA3728">
        <v>1</v>
      </c>
      <c r="BB3728" t="str">
        <f t="shared" si="2074"/>
        <v xml:space="preserve">N9217B  </v>
      </c>
      <c r="BC3728">
        <v>1</v>
      </c>
      <c r="BE3728">
        <v>0</v>
      </c>
      <c r="BF3728">
        <v>0</v>
      </c>
      <c r="BG3728">
        <v>0</v>
      </c>
      <c r="BH3728">
        <v>5150</v>
      </c>
      <c r="BI3728">
        <v>1</v>
      </c>
      <c r="BJ3728">
        <v>0</v>
      </c>
      <c r="BK3728">
        <v>0</v>
      </c>
      <c r="BL3728">
        <v>0</v>
      </c>
      <c r="BO3728">
        <v>0</v>
      </c>
      <c r="BP3728">
        <v>0</v>
      </c>
      <c r="BW3728" t="str">
        <f t="shared" si="2079"/>
        <v>14:58:11.204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7</v>
      </c>
      <c r="CP3728" t="s">
        <v>119</v>
      </c>
      <c r="CQ3728">
        <v>285</v>
      </c>
      <c r="CR3728">
        <v>0</v>
      </c>
      <c r="CW3728">
        <v>8883068</v>
      </c>
      <c r="CY3728">
        <v>0</v>
      </c>
      <c r="CZ3728">
        <v>0</v>
      </c>
      <c r="DA3728">
        <v>1</v>
      </c>
      <c r="DB3728">
        <v>0</v>
      </c>
      <c r="DC3728">
        <v>0</v>
      </c>
      <c r="DD3728">
        <v>0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25">
      <c r="A3729" t="str">
        <f t="shared" si="2076"/>
        <v>06/05/2020 14:58:05.560</v>
      </c>
      <c r="C3729" t="str">
        <f t="shared" si="2054"/>
        <v>FFDFD3C0</v>
      </c>
      <c r="D3729" t="s">
        <v>148</v>
      </c>
      <c r="E3729">
        <v>8</v>
      </c>
      <c r="H3729">
        <v>50</v>
      </c>
      <c r="I3729" t="s">
        <v>149</v>
      </c>
      <c r="J3729" t="s">
        <v>150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 t="shared" si="2077"/>
        <v>14:58:11.203</v>
      </c>
      <c r="T3729" t="str">
        <f t="shared" si="2078"/>
        <v>14:58:11.103</v>
      </c>
      <c r="U3729" t="str">
        <f t="shared" si="2071"/>
        <v>ACC530</v>
      </c>
      <c r="V3729">
        <v>0</v>
      </c>
      <c r="W3729">
        <v>0</v>
      </c>
      <c r="X3729">
        <v>1</v>
      </c>
      <c r="Z3729">
        <v>0</v>
      </c>
      <c r="AA3729">
        <v>9</v>
      </c>
      <c r="AB3729">
        <v>3</v>
      </c>
      <c r="AC3729">
        <v>0</v>
      </c>
      <c r="AD3729">
        <v>9</v>
      </c>
      <c r="AE3729">
        <v>0</v>
      </c>
      <c r="AF3729">
        <v>3</v>
      </c>
      <c r="AG3729">
        <v>1</v>
      </c>
      <c r="AH3729">
        <v>0</v>
      </c>
      <c r="AI3729" t="s">
        <v>1207</v>
      </c>
      <c r="AJ3729">
        <v>34.070535</v>
      </c>
      <c r="AK3729" t="s">
        <v>1208</v>
      </c>
      <c r="AL3729">
        <v>-117.01746199999999</v>
      </c>
      <c r="AM3729">
        <v>100</v>
      </c>
      <c r="AN3729">
        <v>5300</v>
      </c>
      <c r="AO3729" t="s">
        <v>118</v>
      </c>
      <c r="AP3729">
        <v>-36</v>
      </c>
      <c r="AQ3729">
        <v>-85</v>
      </c>
      <c r="AR3729">
        <v>64</v>
      </c>
      <c r="AZ3729">
        <v>1200</v>
      </c>
      <c r="BA3729">
        <v>1</v>
      </c>
      <c r="BB3729" t="str">
        <f t="shared" si="2074"/>
        <v xml:space="preserve">N9217B  </v>
      </c>
      <c r="BC3729">
        <v>1</v>
      </c>
      <c r="BE3729">
        <v>0</v>
      </c>
      <c r="BF3729">
        <v>0</v>
      </c>
      <c r="BG3729">
        <v>0</v>
      </c>
      <c r="BH3729">
        <v>5150</v>
      </c>
      <c r="BI3729">
        <v>1</v>
      </c>
      <c r="BJ3729">
        <v>0</v>
      </c>
      <c r="BK3729">
        <v>0</v>
      </c>
      <c r="BL3729">
        <v>0</v>
      </c>
      <c r="BO3729">
        <v>0</v>
      </c>
      <c r="BP3729">
        <v>0</v>
      </c>
      <c r="BW3729" t="str">
        <f t="shared" si="2079"/>
        <v>14:58:11.204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7</v>
      </c>
      <c r="CP3729" t="s">
        <v>119</v>
      </c>
      <c r="CQ3729">
        <v>285</v>
      </c>
      <c r="CR3729">
        <v>0</v>
      </c>
      <c r="CW3729">
        <v>8883068</v>
      </c>
      <c r="CY3729">
        <v>0</v>
      </c>
      <c r="CZ3729">
        <v>0</v>
      </c>
      <c r="DA3729">
        <v>1</v>
      </c>
      <c r="DB3729">
        <v>0</v>
      </c>
      <c r="DC3729">
        <v>0</v>
      </c>
      <c r="DD3729">
        <v>0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25">
      <c r="A3730" t="str">
        <f t="shared" si="2076"/>
        <v>06/05/2020 14:58:05.560</v>
      </c>
      <c r="C3730" t="str">
        <f t="shared" si="2054"/>
        <v>FFDFD3C0</v>
      </c>
      <c r="D3730" t="s">
        <v>151</v>
      </c>
      <c r="E3730">
        <v>8</v>
      </c>
      <c r="H3730">
        <v>225</v>
      </c>
      <c r="I3730" t="s">
        <v>353</v>
      </c>
      <c r="J3730" t="s">
        <v>150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 t="shared" si="2077"/>
        <v>14:58:11.203</v>
      </c>
      <c r="T3730" t="str">
        <f t="shared" si="2078"/>
        <v>14:58:11.103</v>
      </c>
      <c r="U3730" t="str">
        <f t="shared" si="2071"/>
        <v>ACC530</v>
      </c>
      <c r="V3730">
        <v>0</v>
      </c>
      <c r="W3730">
        <v>0</v>
      </c>
      <c r="X3730">
        <v>1</v>
      </c>
      <c r="Z3730">
        <v>0</v>
      </c>
      <c r="AA3730">
        <v>9</v>
      </c>
      <c r="AB3730">
        <v>3</v>
      </c>
      <c r="AC3730">
        <v>0</v>
      </c>
      <c r="AD3730">
        <v>9</v>
      </c>
      <c r="AE3730">
        <v>0</v>
      </c>
      <c r="AF3730">
        <v>3</v>
      </c>
      <c r="AG3730">
        <v>1</v>
      </c>
      <c r="AH3730">
        <v>0</v>
      </c>
      <c r="AI3730" t="s">
        <v>1207</v>
      </c>
      <c r="AJ3730">
        <v>34.070535</v>
      </c>
      <c r="AK3730" t="s">
        <v>1208</v>
      </c>
      <c r="AL3730">
        <v>-117.01746199999999</v>
      </c>
      <c r="AM3730">
        <v>100</v>
      </c>
      <c r="AN3730">
        <v>5300</v>
      </c>
      <c r="AO3730" t="s">
        <v>118</v>
      </c>
      <c r="AP3730">
        <v>-36</v>
      </c>
      <c r="AQ3730">
        <v>-85</v>
      </c>
      <c r="AR3730">
        <v>64</v>
      </c>
      <c r="AZ3730">
        <v>1200</v>
      </c>
      <c r="BA3730">
        <v>1</v>
      </c>
      <c r="BB3730" t="str">
        <f t="shared" si="2074"/>
        <v xml:space="preserve">N9217B  </v>
      </c>
      <c r="BC3730">
        <v>1</v>
      </c>
      <c r="BE3730">
        <v>0</v>
      </c>
      <c r="BF3730">
        <v>0</v>
      </c>
      <c r="BG3730">
        <v>0</v>
      </c>
      <c r="BH3730">
        <v>5150</v>
      </c>
      <c r="BI3730">
        <v>1</v>
      </c>
      <c r="BJ3730">
        <v>0</v>
      </c>
      <c r="BK3730">
        <v>0</v>
      </c>
      <c r="BL3730">
        <v>0</v>
      </c>
      <c r="BO3730">
        <v>0</v>
      </c>
      <c r="BP3730">
        <v>0</v>
      </c>
      <c r="BW3730" t="str">
        <f t="shared" si="2079"/>
        <v>14:58:11.204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7</v>
      </c>
      <c r="CP3730" t="s">
        <v>119</v>
      </c>
      <c r="CQ3730">
        <v>285</v>
      </c>
      <c r="CR3730">
        <v>0</v>
      </c>
      <c r="CW3730">
        <v>8883068</v>
      </c>
      <c r="CY3730">
        <v>0</v>
      </c>
      <c r="CZ3730">
        <v>0</v>
      </c>
      <c r="DA3730">
        <v>1</v>
      </c>
      <c r="DB3730">
        <v>0</v>
      </c>
      <c r="DC3730">
        <v>0</v>
      </c>
      <c r="DD3730">
        <v>0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25">
      <c r="A3731" t="str">
        <f t="shared" ref="A3731:A3737" si="2080">"06/05/2020 14:58:07.074"</f>
        <v>06/05/2020 14:58:07.074</v>
      </c>
      <c r="C3731" t="str">
        <f t="shared" si="2054"/>
        <v>FFDFD3C0</v>
      </c>
      <c r="D3731" t="s">
        <v>134</v>
      </c>
      <c r="E3731">
        <v>7</v>
      </c>
      <c r="F3731">
        <v>2007</v>
      </c>
      <c r="G3731" t="s">
        <v>135</v>
      </c>
      <c r="J3731" t="s">
        <v>136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 t="shared" ref="S3731:S3737" si="2081">"14:58:12.727"</f>
        <v>14:58:12.727</v>
      </c>
      <c r="T3731" t="str">
        <f t="shared" ref="T3731:T3737" si="2082">"14:58:12.627"</f>
        <v>14:58:12.627</v>
      </c>
      <c r="U3731" t="str">
        <f t="shared" si="2071"/>
        <v>ACC530</v>
      </c>
      <c r="V3731">
        <v>0</v>
      </c>
      <c r="W3731">
        <v>0</v>
      </c>
      <c r="X3731">
        <v>1</v>
      </c>
      <c r="Z3731">
        <v>0</v>
      </c>
      <c r="AA3731">
        <v>9</v>
      </c>
      <c r="AB3731">
        <v>3</v>
      </c>
      <c r="AC3731">
        <v>0</v>
      </c>
      <c r="AD3731">
        <v>9</v>
      </c>
      <c r="AE3731">
        <v>0</v>
      </c>
      <c r="AF3731">
        <v>3</v>
      </c>
      <c r="AG3731">
        <v>1</v>
      </c>
      <c r="AH3731">
        <v>0</v>
      </c>
      <c r="AI3731" t="s">
        <v>1209</v>
      </c>
      <c r="AJ3731">
        <v>34.069955</v>
      </c>
      <c r="AK3731" t="s">
        <v>725</v>
      </c>
      <c r="AL3731">
        <v>-117.01778400000001</v>
      </c>
      <c r="AM3731">
        <v>100</v>
      </c>
      <c r="AN3731">
        <v>5300</v>
      </c>
      <c r="AO3731" t="s">
        <v>118</v>
      </c>
      <c r="AP3731">
        <v>-37</v>
      </c>
      <c r="AQ3731">
        <v>-84</v>
      </c>
      <c r="AR3731">
        <v>64</v>
      </c>
      <c r="AZ3731">
        <v>1200</v>
      </c>
      <c r="BA3731">
        <v>1</v>
      </c>
      <c r="BB3731" t="str">
        <f t="shared" si="2074"/>
        <v xml:space="preserve">N9217B  </v>
      </c>
      <c r="BC3731">
        <v>1</v>
      </c>
      <c r="BE3731">
        <v>0</v>
      </c>
      <c r="BF3731">
        <v>0</v>
      </c>
      <c r="BG3731">
        <v>0</v>
      </c>
      <c r="BH3731">
        <v>5150</v>
      </c>
      <c r="BI3731">
        <v>1</v>
      </c>
      <c r="BJ3731">
        <v>0</v>
      </c>
      <c r="BK3731">
        <v>0</v>
      </c>
      <c r="BL3731">
        <v>0</v>
      </c>
      <c r="BO3731">
        <v>0</v>
      </c>
      <c r="BP3731">
        <v>0</v>
      </c>
      <c r="BW3731" t="str">
        <f t="shared" ref="BW3731:BW3737" si="2083">"14:58:12.734"</f>
        <v>14:58:12.734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7</v>
      </c>
      <c r="CP3731" t="s">
        <v>119</v>
      </c>
      <c r="CQ3731">
        <v>285</v>
      </c>
      <c r="CR3731">
        <v>0</v>
      </c>
      <c r="CW3731">
        <v>8883194</v>
      </c>
      <c r="CY3731">
        <v>0</v>
      </c>
      <c r="CZ3731">
        <v>0</v>
      </c>
      <c r="DA3731">
        <v>0</v>
      </c>
      <c r="DB3731">
        <v>0</v>
      </c>
      <c r="DC3731">
        <v>0</v>
      </c>
      <c r="DD3731">
        <v>0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25">
      <c r="A3732" t="str">
        <f t="shared" si="2080"/>
        <v>06/05/2020 14:58:07.074</v>
      </c>
      <c r="C3732" t="str">
        <f t="shared" si="2054"/>
        <v>FFDFD3C0</v>
      </c>
      <c r="D3732" t="s">
        <v>151</v>
      </c>
      <c r="E3732">
        <v>9</v>
      </c>
      <c r="H3732">
        <v>226</v>
      </c>
      <c r="I3732" t="s">
        <v>152</v>
      </c>
      <c r="J3732" t="s">
        <v>150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 t="shared" si="2081"/>
        <v>14:58:12.727</v>
      </c>
      <c r="T3732" t="str">
        <f t="shared" si="2082"/>
        <v>14:58:12.627</v>
      </c>
      <c r="U3732" t="str">
        <f t="shared" si="2071"/>
        <v>ACC530</v>
      </c>
      <c r="V3732">
        <v>0</v>
      </c>
      <c r="W3732">
        <v>0</v>
      </c>
      <c r="X3732">
        <v>1</v>
      </c>
      <c r="Z3732">
        <v>0</v>
      </c>
      <c r="AA3732">
        <v>9</v>
      </c>
      <c r="AB3732">
        <v>3</v>
      </c>
      <c r="AC3732">
        <v>0</v>
      </c>
      <c r="AD3732">
        <v>9</v>
      </c>
      <c r="AE3732">
        <v>0</v>
      </c>
      <c r="AF3732">
        <v>3</v>
      </c>
      <c r="AG3732">
        <v>1</v>
      </c>
      <c r="AH3732">
        <v>0</v>
      </c>
      <c r="AI3732" t="s">
        <v>1209</v>
      </c>
      <c r="AJ3732">
        <v>34.069955</v>
      </c>
      <c r="AK3732" t="s">
        <v>725</v>
      </c>
      <c r="AL3732">
        <v>-117.01778400000001</v>
      </c>
      <c r="AM3732">
        <v>100</v>
      </c>
      <c r="AN3732">
        <v>5300</v>
      </c>
      <c r="AO3732" t="s">
        <v>118</v>
      </c>
      <c r="AP3732">
        <v>-37</v>
      </c>
      <c r="AQ3732">
        <v>-84</v>
      </c>
      <c r="AR3732">
        <v>64</v>
      </c>
      <c r="AZ3732">
        <v>1200</v>
      </c>
      <c r="BA3732">
        <v>1</v>
      </c>
      <c r="BB3732" t="str">
        <f t="shared" si="2074"/>
        <v xml:space="preserve">N9217B  </v>
      </c>
      <c r="BC3732">
        <v>1</v>
      </c>
      <c r="BE3732">
        <v>0</v>
      </c>
      <c r="BF3732">
        <v>0</v>
      </c>
      <c r="BG3732">
        <v>0</v>
      </c>
      <c r="BH3732">
        <v>5150</v>
      </c>
      <c r="BI3732">
        <v>1</v>
      </c>
      <c r="BJ3732">
        <v>0</v>
      </c>
      <c r="BK3732">
        <v>0</v>
      </c>
      <c r="BL3732">
        <v>0</v>
      </c>
      <c r="BO3732">
        <v>0</v>
      </c>
      <c r="BP3732">
        <v>0</v>
      </c>
      <c r="BW3732" t="str">
        <f t="shared" si="2083"/>
        <v>14:58:12.734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7</v>
      </c>
      <c r="CP3732" t="s">
        <v>119</v>
      </c>
      <c r="CQ3732">
        <v>285</v>
      </c>
      <c r="CR3732">
        <v>0</v>
      </c>
      <c r="CW3732">
        <v>8883194</v>
      </c>
      <c r="CY3732">
        <v>0</v>
      </c>
      <c r="CZ3732">
        <v>0</v>
      </c>
      <c r="DA3732">
        <v>1</v>
      </c>
      <c r="DB3732">
        <v>0</v>
      </c>
      <c r="DC3732">
        <v>0</v>
      </c>
      <c r="DD3732">
        <v>0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25">
      <c r="A3733" t="str">
        <f t="shared" si="2080"/>
        <v>06/05/2020 14:58:07.074</v>
      </c>
      <c r="C3733" t="str">
        <f t="shared" si="2054"/>
        <v>FFDFD3C0</v>
      </c>
      <c r="D3733" t="s">
        <v>148</v>
      </c>
      <c r="E3733">
        <v>11</v>
      </c>
      <c r="H3733">
        <v>53</v>
      </c>
      <c r="I3733" t="s">
        <v>364</v>
      </c>
      <c r="J3733" t="s">
        <v>150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 t="shared" si="2081"/>
        <v>14:58:12.727</v>
      </c>
      <c r="T3733" t="str">
        <f t="shared" si="2082"/>
        <v>14:58:12.627</v>
      </c>
      <c r="U3733" t="str">
        <f t="shared" si="2071"/>
        <v>ACC530</v>
      </c>
      <c r="V3733">
        <v>0</v>
      </c>
      <c r="W3733">
        <v>0</v>
      </c>
      <c r="X3733">
        <v>1</v>
      </c>
      <c r="Z3733">
        <v>0</v>
      </c>
      <c r="AA3733">
        <v>9</v>
      </c>
      <c r="AB3733">
        <v>3</v>
      </c>
      <c r="AC3733">
        <v>0</v>
      </c>
      <c r="AD3733">
        <v>9</v>
      </c>
      <c r="AE3733">
        <v>0</v>
      </c>
      <c r="AF3733">
        <v>3</v>
      </c>
      <c r="AG3733">
        <v>1</v>
      </c>
      <c r="AH3733">
        <v>0</v>
      </c>
      <c r="AI3733" t="s">
        <v>1209</v>
      </c>
      <c r="AJ3733">
        <v>34.069955</v>
      </c>
      <c r="AK3733" t="s">
        <v>725</v>
      </c>
      <c r="AL3733">
        <v>-117.01778400000001</v>
      </c>
      <c r="AM3733">
        <v>100</v>
      </c>
      <c r="AN3733">
        <v>5300</v>
      </c>
      <c r="AO3733" t="s">
        <v>118</v>
      </c>
      <c r="AP3733">
        <v>-37</v>
      </c>
      <c r="AQ3733">
        <v>-84</v>
      </c>
      <c r="AR3733">
        <v>64</v>
      </c>
      <c r="AZ3733">
        <v>1200</v>
      </c>
      <c r="BA3733">
        <v>1</v>
      </c>
      <c r="BB3733" t="str">
        <f t="shared" si="2074"/>
        <v xml:space="preserve">N9217B  </v>
      </c>
      <c r="BC3733">
        <v>1</v>
      </c>
      <c r="BE3733">
        <v>0</v>
      </c>
      <c r="BF3733">
        <v>0</v>
      </c>
      <c r="BG3733">
        <v>0</v>
      </c>
      <c r="BH3733">
        <v>5150</v>
      </c>
      <c r="BI3733">
        <v>1</v>
      </c>
      <c r="BJ3733">
        <v>0</v>
      </c>
      <c r="BK3733">
        <v>0</v>
      </c>
      <c r="BL3733">
        <v>0</v>
      </c>
      <c r="BO3733">
        <v>0</v>
      </c>
      <c r="BP3733">
        <v>0</v>
      </c>
      <c r="BW3733" t="str">
        <f t="shared" si="2083"/>
        <v>14:58:12.734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7</v>
      </c>
      <c r="CP3733" t="s">
        <v>119</v>
      </c>
      <c r="CQ3733">
        <v>285</v>
      </c>
      <c r="CR3733">
        <v>0</v>
      </c>
      <c r="CW3733">
        <v>8883194</v>
      </c>
      <c r="CY3733">
        <v>0</v>
      </c>
      <c r="CZ3733">
        <v>0</v>
      </c>
      <c r="DA3733">
        <v>1</v>
      </c>
      <c r="DB3733">
        <v>0</v>
      </c>
      <c r="DC3733">
        <v>0</v>
      </c>
      <c r="DD3733">
        <v>0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25">
      <c r="A3734" t="str">
        <f t="shared" si="2080"/>
        <v>06/05/2020 14:58:07.074</v>
      </c>
      <c r="C3734" t="str">
        <f t="shared" si="2054"/>
        <v>FFDFD3C0</v>
      </c>
      <c r="D3734" t="s">
        <v>141</v>
      </c>
      <c r="E3734">
        <v>20</v>
      </c>
      <c r="F3734">
        <v>1020</v>
      </c>
      <c r="G3734" t="s">
        <v>114</v>
      </c>
      <c r="J3734" t="s">
        <v>142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 t="shared" si="2081"/>
        <v>14:58:12.727</v>
      </c>
      <c r="T3734" t="str">
        <f t="shared" si="2082"/>
        <v>14:58:12.627</v>
      </c>
      <c r="U3734" t="str">
        <f t="shared" si="2071"/>
        <v>ACC530</v>
      </c>
      <c r="V3734">
        <v>0</v>
      </c>
      <c r="W3734">
        <v>0</v>
      </c>
      <c r="X3734">
        <v>1</v>
      </c>
      <c r="Z3734">
        <v>0</v>
      </c>
      <c r="AA3734">
        <v>9</v>
      </c>
      <c r="AB3734">
        <v>3</v>
      </c>
      <c r="AC3734">
        <v>0</v>
      </c>
      <c r="AD3734">
        <v>9</v>
      </c>
      <c r="AE3734">
        <v>0</v>
      </c>
      <c r="AF3734">
        <v>3</v>
      </c>
      <c r="AG3734">
        <v>1</v>
      </c>
      <c r="AH3734">
        <v>0</v>
      </c>
      <c r="AI3734" t="s">
        <v>1209</v>
      </c>
      <c r="AJ3734">
        <v>34.069955</v>
      </c>
      <c r="AK3734" t="s">
        <v>725</v>
      </c>
      <c r="AL3734">
        <v>-117.01778400000001</v>
      </c>
      <c r="AM3734">
        <v>100</v>
      </c>
      <c r="AN3734">
        <v>5300</v>
      </c>
      <c r="AO3734" t="s">
        <v>118</v>
      </c>
      <c r="AP3734">
        <v>-37</v>
      </c>
      <c r="AQ3734">
        <v>-84</v>
      </c>
      <c r="AR3734">
        <v>64</v>
      </c>
      <c r="AZ3734">
        <v>1200</v>
      </c>
      <c r="BA3734">
        <v>1</v>
      </c>
      <c r="BB3734" t="str">
        <f t="shared" si="2074"/>
        <v xml:space="preserve">N9217B  </v>
      </c>
      <c r="BC3734">
        <v>1</v>
      </c>
      <c r="BE3734">
        <v>0</v>
      </c>
      <c r="BF3734">
        <v>0</v>
      </c>
      <c r="BG3734">
        <v>0</v>
      </c>
      <c r="BH3734">
        <v>5150</v>
      </c>
      <c r="BI3734">
        <v>1</v>
      </c>
      <c r="BJ3734">
        <v>0</v>
      </c>
      <c r="BK3734">
        <v>0</v>
      </c>
      <c r="BL3734">
        <v>0</v>
      </c>
      <c r="BO3734">
        <v>0</v>
      </c>
      <c r="BP3734">
        <v>0</v>
      </c>
      <c r="BW3734" t="str">
        <f t="shared" si="2083"/>
        <v>14:58:12.734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7</v>
      </c>
      <c r="CP3734" t="s">
        <v>119</v>
      </c>
      <c r="CQ3734">
        <v>285</v>
      </c>
      <c r="CR3734">
        <v>0</v>
      </c>
      <c r="CW3734">
        <v>8883194</v>
      </c>
      <c r="CY3734">
        <v>0</v>
      </c>
      <c r="CZ3734">
        <v>0</v>
      </c>
      <c r="DA3734">
        <v>1</v>
      </c>
      <c r="DB3734">
        <v>0</v>
      </c>
      <c r="DC3734">
        <v>0</v>
      </c>
      <c r="DD3734">
        <v>0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25">
      <c r="A3735" t="str">
        <f t="shared" si="2080"/>
        <v>06/05/2020 14:58:07.074</v>
      </c>
      <c r="C3735" t="str">
        <f t="shared" si="2054"/>
        <v>FFDFD3C0</v>
      </c>
      <c r="D3735" t="s">
        <v>113</v>
      </c>
      <c r="E3735">
        <v>3</v>
      </c>
      <c r="H3735">
        <v>166</v>
      </c>
      <c r="I3735" t="s">
        <v>114</v>
      </c>
      <c r="J3735" t="s">
        <v>115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 t="shared" si="2081"/>
        <v>14:58:12.727</v>
      </c>
      <c r="T3735" t="str">
        <f t="shared" si="2082"/>
        <v>14:58:12.627</v>
      </c>
      <c r="U3735" t="str">
        <f t="shared" si="2071"/>
        <v>ACC530</v>
      </c>
      <c r="V3735">
        <v>0</v>
      </c>
      <c r="W3735">
        <v>0</v>
      </c>
      <c r="X3735">
        <v>1</v>
      </c>
      <c r="Z3735">
        <v>0</v>
      </c>
      <c r="AA3735">
        <v>9</v>
      </c>
      <c r="AB3735">
        <v>3</v>
      </c>
      <c r="AC3735">
        <v>0</v>
      </c>
      <c r="AD3735">
        <v>9</v>
      </c>
      <c r="AE3735">
        <v>0</v>
      </c>
      <c r="AF3735">
        <v>3</v>
      </c>
      <c r="AG3735">
        <v>1</v>
      </c>
      <c r="AH3735">
        <v>0</v>
      </c>
      <c r="AI3735" t="s">
        <v>1209</v>
      </c>
      <c r="AJ3735">
        <v>34.069955</v>
      </c>
      <c r="AK3735" t="s">
        <v>725</v>
      </c>
      <c r="AL3735">
        <v>-117.01778400000001</v>
      </c>
      <c r="AM3735">
        <v>100</v>
      </c>
      <c r="AN3735">
        <v>5300</v>
      </c>
      <c r="AO3735" t="s">
        <v>118</v>
      </c>
      <c r="AP3735">
        <v>-37</v>
      </c>
      <c r="AQ3735">
        <v>-84</v>
      </c>
      <c r="AR3735">
        <v>64</v>
      </c>
      <c r="AZ3735">
        <v>1200</v>
      </c>
      <c r="BA3735">
        <v>1</v>
      </c>
      <c r="BB3735" t="str">
        <f t="shared" si="2074"/>
        <v xml:space="preserve">N9217B  </v>
      </c>
      <c r="BC3735">
        <v>1</v>
      </c>
      <c r="BE3735">
        <v>0</v>
      </c>
      <c r="BF3735">
        <v>0</v>
      </c>
      <c r="BG3735">
        <v>0</v>
      </c>
      <c r="BH3735">
        <v>5150</v>
      </c>
      <c r="BI3735">
        <v>1</v>
      </c>
      <c r="BJ3735">
        <v>0</v>
      </c>
      <c r="BK3735">
        <v>0</v>
      </c>
      <c r="BL3735">
        <v>0</v>
      </c>
      <c r="BO3735">
        <v>0</v>
      </c>
      <c r="BP3735">
        <v>0</v>
      </c>
      <c r="BW3735" t="str">
        <f t="shared" si="2083"/>
        <v>14:58:12.734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7</v>
      </c>
      <c r="CP3735" t="s">
        <v>119</v>
      </c>
      <c r="CQ3735">
        <v>285</v>
      </c>
      <c r="CR3735">
        <v>0</v>
      </c>
      <c r="CW3735">
        <v>8883194</v>
      </c>
      <c r="CY3735">
        <v>0</v>
      </c>
      <c r="CZ3735">
        <v>0</v>
      </c>
      <c r="DA3735">
        <v>1</v>
      </c>
      <c r="DB3735">
        <v>0</v>
      </c>
      <c r="DC3735">
        <v>0</v>
      </c>
      <c r="DD3735">
        <v>0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25">
      <c r="A3736" t="str">
        <f t="shared" si="2080"/>
        <v>06/05/2020 14:58:07.074</v>
      </c>
      <c r="C3736" t="str">
        <f t="shared" si="2054"/>
        <v>FFDFD3C0</v>
      </c>
      <c r="D3736" t="s">
        <v>148</v>
      </c>
      <c r="E3736">
        <v>8</v>
      </c>
      <c r="H3736">
        <v>50</v>
      </c>
      <c r="I3736" t="s">
        <v>149</v>
      </c>
      <c r="J3736" t="s">
        <v>150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 t="shared" si="2081"/>
        <v>14:58:12.727</v>
      </c>
      <c r="T3736" t="str">
        <f t="shared" si="2082"/>
        <v>14:58:12.627</v>
      </c>
      <c r="U3736" t="str">
        <f t="shared" si="2071"/>
        <v>ACC530</v>
      </c>
      <c r="V3736">
        <v>0</v>
      </c>
      <c r="W3736">
        <v>0</v>
      </c>
      <c r="X3736">
        <v>1</v>
      </c>
      <c r="Z3736">
        <v>0</v>
      </c>
      <c r="AA3736">
        <v>9</v>
      </c>
      <c r="AB3736">
        <v>3</v>
      </c>
      <c r="AC3736">
        <v>0</v>
      </c>
      <c r="AD3736">
        <v>9</v>
      </c>
      <c r="AE3736">
        <v>0</v>
      </c>
      <c r="AF3736">
        <v>3</v>
      </c>
      <c r="AG3736">
        <v>1</v>
      </c>
      <c r="AH3736">
        <v>0</v>
      </c>
      <c r="AI3736" t="s">
        <v>1209</v>
      </c>
      <c r="AJ3736">
        <v>34.069955</v>
      </c>
      <c r="AK3736" t="s">
        <v>725</v>
      </c>
      <c r="AL3736">
        <v>-117.01778400000001</v>
      </c>
      <c r="AM3736">
        <v>100</v>
      </c>
      <c r="AN3736">
        <v>5300</v>
      </c>
      <c r="AO3736" t="s">
        <v>118</v>
      </c>
      <c r="AP3736">
        <v>-37</v>
      </c>
      <c r="AQ3736">
        <v>-84</v>
      </c>
      <c r="AR3736">
        <v>64</v>
      </c>
      <c r="AZ3736">
        <v>1200</v>
      </c>
      <c r="BA3736">
        <v>1</v>
      </c>
      <c r="BB3736" t="str">
        <f t="shared" si="2074"/>
        <v xml:space="preserve">N9217B  </v>
      </c>
      <c r="BC3736">
        <v>1</v>
      </c>
      <c r="BE3736">
        <v>0</v>
      </c>
      <c r="BF3736">
        <v>0</v>
      </c>
      <c r="BG3736">
        <v>0</v>
      </c>
      <c r="BH3736">
        <v>5150</v>
      </c>
      <c r="BI3736">
        <v>1</v>
      </c>
      <c r="BJ3736">
        <v>0</v>
      </c>
      <c r="BK3736">
        <v>0</v>
      </c>
      <c r="BL3736">
        <v>0</v>
      </c>
      <c r="BO3736">
        <v>0</v>
      </c>
      <c r="BP3736">
        <v>0</v>
      </c>
      <c r="BW3736" t="str">
        <f t="shared" si="2083"/>
        <v>14:58:12.734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7</v>
      </c>
      <c r="CP3736" t="s">
        <v>119</v>
      </c>
      <c r="CQ3736">
        <v>285</v>
      </c>
      <c r="CR3736">
        <v>0</v>
      </c>
      <c r="CW3736">
        <v>8883194</v>
      </c>
      <c r="CY3736">
        <v>0</v>
      </c>
      <c r="CZ3736">
        <v>0</v>
      </c>
      <c r="DA3736">
        <v>1</v>
      </c>
      <c r="DB3736">
        <v>0</v>
      </c>
      <c r="DC3736">
        <v>0</v>
      </c>
      <c r="DD3736">
        <v>0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25">
      <c r="A3737" t="str">
        <f t="shared" si="2080"/>
        <v>06/05/2020 14:58:07.074</v>
      </c>
      <c r="C3737" t="str">
        <f t="shared" si="2054"/>
        <v>FFDFD3C0</v>
      </c>
      <c r="D3737" t="s">
        <v>151</v>
      </c>
      <c r="E3737">
        <v>8</v>
      </c>
      <c r="H3737">
        <v>225</v>
      </c>
      <c r="I3737" t="s">
        <v>353</v>
      </c>
      <c r="J3737" t="s">
        <v>150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 t="shared" si="2081"/>
        <v>14:58:12.727</v>
      </c>
      <c r="T3737" t="str">
        <f t="shared" si="2082"/>
        <v>14:58:12.627</v>
      </c>
      <c r="U3737" t="str">
        <f t="shared" si="2071"/>
        <v>ACC530</v>
      </c>
      <c r="V3737">
        <v>0</v>
      </c>
      <c r="W3737">
        <v>0</v>
      </c>
      <c r="X3737">
        <v>1</v>
      </c>
      <c r="Z3737">
        <v>0</v>
      </c>
      <c r="AA3737">
        <v>9</v>
      </c>
      <c r="AB3737">
        <v>3</v>
      </c>
      <c r="AC3737">
        <v>0</v>
      </c>
      <c r="AD3737">
        <v>9</v>
      </c>
      <c r="AE3737">
        <v>0</v>
      </c>
      <c r="AF3737">
        <v>3</v>
      </c>
      <c r="AG3737">
        <v>1</v>
      </c>
      <c r="AH3737">
        <v>0</v>
      </c>
      <c r="AI3737" t="s">
        <v>1209</v>
      </c>
      <c r="AJ3737">
        <v>34.069955</v>
      </c>
      <c r="AK3737" t="s">
        <v>725</v>
      </c>
      <c r="AL3737">
        <v>-117.01778400000001</v>
      </c>
      <c r="AM3737">
        <v>100</v>
      </c>
      <c r="AN3737">
        <v>5300</v>
      </c>
      <c r="AO3737" t="s">
        <v>118</v>
      </c>
      <c r="AP3737">
        <v>-37</v>
      </c>
      <c r="AQ3737">
        <v>-84</v>
      </c>
      <c r="AR3737">
        <v>64</v>
      </c>
      <c r="AZ3737">
        <v>1200</v>
      </c>
      <c r="BA3737">
        <v>1</v>
      </c>
      <c r="BB3737" t="str">
        <f t="shared" si="2074"/>
        <v xml:space="preserve">N9217B  </v>
      </c>
      <c r="BC3737">
        <v>1</v>
      </c>
      <c r="BE3737">
        <v>0</v>
      </c>
      <c r="BF3737">
        <v>0</v>
      </c>
      <c r="BG3737">
        <v>0</v>
      </c>
      <c r="BH3737">
        <v>5150</v>
      </c>
      <c r="BI3737">
        <v>1</v>
      </c>
      <c r="BJ3737">
        <v>0</v>
      </c>
      <c r="BK3737">
        <v>0</v>
      </c>
      <c r="BL3737">
        <v>0</v>
      </c>
      <c r="BO3737">
        <v>0</v>
      </c>
      <c r="BP3737">
        <v>0</v>
      </c>
      <c r="BW3737" t="str">
        <f t="shared" si="2083"/>
        <v>14:58:12.734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7</v>
      </c>
      <c r="CP3737" t="s">
        <v>119</v>
      </c>
      <c r="CQ3737">
        <v>285</v>
      </c>
      <c r="CR3737">
        <v>0</v>
      </c>
      <c r="CW3737">
        <v>8883194</v>
      </c>
      <c r="CY3737">
        <v>0</v>
      </c>
      <c r="CZ3737">
        <v>0</v>
      </c>
      <c r="DA3737">
        <v>1</v>
      </c>
      <c r="DB3737">
        <v>0</v>
      </c>
      <c r="DC3737">
        <v>0</v>
      </c>
      <c r="DD3737">
        <v>0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25">
      <c r="A3738" t="str">
        <f t="shared" ref="A3738:A3744" si="2084">"06/05/2020 14:58:08.029"</f>
        <v>06/05/2020 14:58:08.029</v>
      </c>
      <c r="C3738" t="str">
        <f t="shared" si="2054"/>
        <v>FFDFD3C0</v>
      </c>
      <c r="D3738" t="s">
        <v>134</v>
      </c>
      <c r="E3738">
        <v>7</v>
      </c>
      <c r="F3738">
        <v>2007</v>
      </c>
      <c r="G3738" t="s">
        <v>135</v>
      </c>
      <c r="J3738" t="s">
        <v>136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 t="shared" ref="S3738:T3744" si="2085">"14:58:13.656"</f>
        <v>14:58:13.656</v>
      </c>
      <c r="T3738" t="str">
        <f t="shared" si="2085"/>
        <v>14:58:13.656</v>
      </c>
      <c r="U3738" t="str">
        <f t="shared" si="2071"/>
        <v>ACC530</v>
      </c>
      <c r="V3738">
        <v>0</v>
      </c>
      <c r="W3738">
        <v>0</v>
      </c>
      <c r="X3738">
        <v>1</v>
      </c>
      <c r="Z3738">
        <v>0</v>
      </c>
      <c r="AA3738">
        <v>9</v>
      </c>
      <c r="AB3738">
        <v>3</v>
      </c>
      <c r="AC3738">
        <v>0</v>
      </c>
      <c r="AD3738">
        <v>9</v>
      </c>
      <c r="AE3738">
        <v>0</v>
      </c>
      <c r="AF3738">
        <v>3</v>
      </c>
      <c r="AG3738">
        <v>1</v>
      </c>
      <c r="AH3738">
        <v>0</v>
      </c>
      <c r="AI3738" t="s">
        <v>1210</v>
      </c>
      <c r="AJ3738">
        <v>34.069569000000001</v>
      </c>
      <c r="AK3738" t="s">
        <v>1182</v>
      </c>
      <c r="AL3738">
        <v>-117.017956</v>
      </c>
      <c r="AM3738">
        <v>100</v>
      </c>
      <c r="AN3738">
        <v>5300</v>
      </c>
      <c r="AO3738" t="s">
        <v>118</v>
      </c>
      <c r="AP3738">
        <v>-36</v>
      </c>
      <c r="AQ3738">
        <v>-84</v>
      </c>
      <c r="AR3738">
        <v>0</v>
      </c>
      <c r="AZ3738">
        <v>1200</v>
      </c>
      <c r="BA3738">
        <v>1</v>
      </c>
      <c r="BB3738" t="str">
        <f t="shared" si="2074"/>
        <v xml:space="preserve">N9217B  </v>
      </c>
      <c r="BC3738">
        <v>1</v>
      </c>
      <c r="BE3738">
        <v>0</v>
      </c>
      <c r="BF3738">
        <v>0</v>
      </c>
      <c r="BG3738">
        <v>0</v>
      </c>
      <c r="BH3738">
        <v>5150</v>
      </c>
      <c r="BI3738">
        <v>1</v>
      </c>
      <c r="BJ3738">
        <v>0</v>
      </c>
      <c r="BK3738">
        <v>0</v>
      </c>
      <c r="BL3738">
        <v>0</v>
      </c>
      <c r="BO3738">
        <v>0</v>
      </c>
      <c r="BP3738">
        <v>0</v>
      </c>
      <c r="BW3738" t="str">
        <f t="shared" ref="BW3738:BW3744" si="2086">"14:58:13.664"</f>
        <v>14:58:13.664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7</v>
      </c>
      <c r="CP3738" t="s">
        <v>119</v>
      </c>
      <c r="CQ3738">
        <v>285</v>
      </c>
      <c r="CR3738">
        <v>0</v>
      </c>
      <c r="CW3738">
        <v>8883279</v>
      </c>
      <c r="CY3738">
        <v>0</v>
      </c>
      <c r="CZ3738">
        <v>0</v>
      </c>
      <c r="DA3738">
        <v>0</v>
      </c>
      <c r="DB3738">
        <v>0</v>
      </c>
      <c r="DC3738">
        <v>0</v>
      </c>
      <c r="DD3738">
        <v>0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25">
      <c r="A3739" t="str">
        <f t="shared" si="2084"/>
        <v>06/05/2020 14:58:08.029</v>
      </c>
      <c r="C3739" t="str">
        <f t="shared" si="2054"/>
        <v>FFDFD3C0</v>
      </c>
      <c r="D3739" t="s">
        <v>151</v>
      </c>
      <c r="E3739">
        <v>9</v>
      </c>
      <c r="H3739">
        <v>226</v>
      </c>
      <c r="I3739" t="s">
        <v>152</v>
      </c>
      <c r="J3739" t="s">
        <v>150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 t="shared" si="2085"/>
        <v>14:58:13.656</v>
      </c>
      <c r="T3739" t="str">
        <f t="shared" si="2085"/>
        <v>14:58:13.656</v>
      </c>
      <c r="U3739" t="str">
        <f t="shared" si="2071"/>
        <v>ACC530</v>
      </c>
      <c r="V3739">
        <v>0</v>
      </c>
      <c r="W3739">
        <v>0</v>
      </c>
      <c r="X3739">
        <v>1</v>
      </c>
      <c r="Z3739">
        <v>0</v>
      </c>
      <c r="AA3739">
        <v>9</v>
      </c>
      <c r="AB3739">
        <v>3</v>
      </c>
      <c r="AC3739">
        <v>0</v>
      </c>
      <c r="AD3739">
        <v>9</v>
      </c>
      <c r="AE3739">
        <v>0</v>
      </c>
      <c r="AF3739">
        <v>3</v>
      </c>
      <c r="AG3739">
        <v>1</v>
      </c>
      <c r="AH3739">
        <v>0</v>
      </c>
      <c r="AI3739" t="s">
        <v>1210</v>
      </c>
      <c r="AJ3739">
        <v>34.069569000000001</v>
      </c>
      <c r="AK3739" t="s">
        <v>1182</v>
      </c>
      <c r="AL3739">
        <v>-117.017956</v>
      </c>
      <c r="AM3739">
        <v>100</v>
      </c>
      <c r="AN3739">
        <v>5300</v>
      </c>
      <c r="AO3739" t="s">
        <v>118</v>
      </c>
      <c r="AP3739">
        <v>-36</v>
      </c>
      <c r="AQ3739">
        <v>-84</v>
      </c>
      <c r="AR3739">
        <v>0</v>
      </c>
      <c r="AZ3739">
        <v>1200</v>
      </c>
      <c r="BA3739">
        <v>1</v>
      </c>
      <c r="BB3739" t="str">
        <f t="shared" si="2074"/>
        <v xml:space="preserve">N9217B  </v>
      </c>
      <c r="BC3739">
        <v>1</v>
      </c>
      <c r="BE3739">
        <v>0</v>
      </c>
      <c r="BF3739">
        <v>0</v>
      </c>
      <c r="BG3739">
        <v>0</v>
      </c>
      <c r="BH3739">
        <v>5150</v>
      </c>
      <c r="BI3739">
        <v>1</v>
      </c>
      <c r="BJ3739">
        <v>0</v>
      </c>
      <c r="BK3739">
        <v>0</v>
      </c>
      <c r="BL3739">
        <v>0</v>
      </c>
      <c r="BO3739">
        <v>0</v>
      </c>
      <c r="BP3739">
        <v>0</v>
      </c>
      <c r="BW3739" t="str">
        <f t="shared" si="2086"/>
        <v>14:58:13.664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7</v>
      </c>
      <c r="CP3739" t="s">
        <v>119</v>
      </c>
      <c r="CQ3739">
        <v>285</v>
      </c>
      <c r="CR3739">
        <v>0</v>
      </c>
      <c r="CW3739">
        <v>8883279</v>
      </c>
      <c r="CY3739">
        <v>0</v>
      </c>
      <c r="CZ3739">
        <v>0</v>
      </c>
      <c r="DA3739">
        <v>1</v>
      </c>
      <c r="DB3739">
        <v>0</v>
      </c>
      <c r="DC3739">
        <v>0</v>
      </c>
      <c r="DD3739">
        <v>0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25">
      <c r="A3740" t="str">
        <f t="shared" si="2084"/>
        <v>06/05/2020 14:58:08.029</v>
      </c>
      <c r="C3740" t="str">
        <f t="shared" si="2054"/>
        <v>FFDFD3C0</v>
      </c>
      <c r="D3740" t="s">
        <v>141</v>
      </c>
      <c r="E3740">
        <v>20</v>
      </c>
      <c r="F3740">
        <v>1020</v>
      </c>
      <c r="G3740" t="s">
        <v>114</v>
      </c>
      <c r="J3740" t="s">
        <v>142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 t="shared" si="2085"/>
        <v>14:58:13.656</v>
      </c>
      <c r="T3740" t="str">
        <f t="shared" si="2085"/>
        <v>14:58:13.656</v>
      </c>
      <c r="U3740" t="str">
        <f t="shared" si="2071"/>
        <v>ACC530</v>
      </c>
      <c r="V3740">
        <v>0</v>
      </c>
      <c r="W3740">
        <v>0</v>
      </c>
      <c r="X3740">
        <v>1</v>
      </c>
      <c r="Z3740">
        <v>0</v>
      </c>
      <c r="AA3740">
        <v>9</v>
      </c>
      <c r="AB3740">
        <v>3</v>
      </c>
      <c r="AC3740">
        <v>0</v>
      </c>
      <c r="AD3740">
        <v>9</v>
      </c>
      <c r="AE3740">
        <v>0</v>
      </c>
      <c r="AF3740">
        <v>3</v>
      </c>
      <c r="AG3740">
        <v>1</v>
      </c>
      <c r="AH3740">
        <v>0</v>
      </c>
      <c r="AI3740" t="s">
        <v>1210</v>
      </c>
      <c r="AJ3740">
        <v>34.069569000000001</v>
      </c>
      <c r="AK3740" t="s">
        <v>1182</v>
      </c>
      <c r="AL3740">
        <v>-117.017956</v>
      </c>
      <c r="AM3740">
        <v>100</v>
      </c>
      <c r="AN3740">
        <v>5300</v>
      </c>
      <c r="AO3740" t="s">
        <v>118</v>
      </c>
      <c r="AP3740">
        <v>-36</v>
      </c>
      <c r="AQ3740">
        <v>-84</v>
      </c>
      <c r="AR3740">
        <v>0</v>
      </c>
      <c r="AZ3740">
        <v>1200</v>
      </c>
      <c r="BA3740">
        <v>1</v>
      </c>
      <c r="BB3740" t="str">
        <f t="shared" si="2074"/>
        <v xml:space="preserve">N9217B  </v>
      </c>
      <c r="BC3740">
        <v>1</v>
      </c>
      <c r="BE3740">
        <v>0</v>
      </c>
      <c r="BF3740">
        <v>0</v>
      </c>
      <c r="BG3740">
        <v>0</v>
      </c>
      <c r="BH3740">
        <v>5150</v>
      </c>
      <c r="BI3740">
        <v>1</v>
      </c>
      <c r="BJ3740">
        <v>0</v>
      </c>
      <c r="BK3740">
        <v>0</v>
      </c>
      <c r="BL3740">
        <v>0</v>
      </c>
      <c r="BO3740">
        <v>0</v>
      </c>
      <c r="BP3740">
        <v>0</v>
      </c>
      <c r="BW3740" t="str">
        <f t="shared" si="2086"/>
        <v>14:58:13.664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7</v>
      </c>
      <c r="CP3740" t="s">
        <v>119</v>
      </c>
      <c r="CQ3740">
        <v>285</v>
      </c>
      <c r="CR3740">
        <v>0</v>
      </c>
      <c r="CW3740">
        <v>8883279</v>
      </c>
      <c r="CY3740">
        <v>0</v>
      </c>
      <c r="CZ3740">
        <v>0</v>
      </c>
      <c r="DA3740">
        <v>1</v>
      </c>
      <c r="DB3740">
        <v>0</v>
      </c>
      <c r="DC3740">
        <v>0</v>
      </c>
      <c r="DD3740">
        <v>0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25">
      <c r="A3741" t="str">
        <f t="shared" si="2084"/>
        <v>06/05/2020 14:58:08.029</v>
      </c>
      <c r="C3741" t="str">
        <f t="shared" si="2054"/>
        <v>FFDFD3C0</v>
      </c>
      <c r="D3741" t="s">
        <v>148</v>
      </c>
      <c r="E3741">
        <v>11</v>
      </c>
      <c r="H3741">
        <v>53</v>
      </c>
      <c r="I3741" t="s">
        <v>364</v>
      </c>
      <c r="J3741" t="s">
        <v>150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 t="shared" si="2085"/>
        <v>14:58:13.656</v>
      </c>
      <c r="T3741" t="str">
        <f t="shared" si="2085"/>
        <v>14:58:13.656</v>
      </c>
      <c r="U3741" t="str">
        <f t="shared" si="2071"/>
        <v>ACC530</v>
      </c>
      <c r="V3741">
        <v>0</v>
      </c>
      <c r="W3741">
        <v>0</v>
      </c>
      <c r="X3741">
        <v>1</v>
      </c>
      <c r="Z3741">
        <v>0</v>
      </c>
      <c r="AA3741">
        <v>9</v>
      </c>
      <c r="AB3741">
        <v>3</v>
      </c>
      <c r="AC3741">
        <v>0</v>
      </c>
      <c r="AD3741">
        <v>9</v>
      </c>
      <c r="AE3741">
        <v>0</v>
      </c>
      <c r="AF3741">
        <v>3</v>
      </c>
      <c r="AG3741">
        <v>1</v>
      </c>
      <c r="AH3741">
        <v>0</v>
      </c>
      <c r="AI3741" t="s">
        <v>1210</v>
      </c>
      <c r="AJ3741">
        <v>34.069569000000001</v>
      </c>
      <c r="AK3741" t="s">
        <v>1182</v>
      </c>
      <c r="AL3741">
        <v>-117.017956</v>
      </c>
      <c r="AM3741">
        <v>100</v>
      </c>
      <c r="AN3741">
        <v>5300</v>
      </c>
      <c r="AO3741" t="s">
        <v>118</v>
      </c>
      <c r="AP3741">
        <v>-36</v>
      </c>
      <c r="AQ3741">
        <v>-84</v>
      </c>
      <c r="AR3741">
        <v>0</v>
      </c>
      <c r="AZ3741">
        <v>1200</v>
      </c>
      <c r="BA3741">
        <v>1</v>
      </c>
      <c r="BB3741" t="str">
        <f t="shared" si="2074"/>
        <v xml:space="preserve">N9217B  </v>
      </c>
      <c r="BC3741">
        <v>1</v>
      </c>
      <c r="BE3741">
        <v>0</v>
      </c>
      <c r="BF3741">
        <v>0</v>
      </c>
      <c r="BG3741">
        <v>0</v>
      </c>
      <c r="BH3741">
        <v>5150</v>
      </c>
      <c r="BI3741">
        <v>1</v>
      </c>
      <c r="BJ3741">
        <v>0</v>
      </c>
      <c r="BK3741">
        <v>0</v>
      </c>
      <c r="BL3741">
        <v>0</v>
      </c>
      <c r="BO3741">
        <v>0</v>
      </c>
      <c r="BP3741">
        <v>0</v>
      </c>
      <c r="BW3741" t="str">
        <f t="shared" si="2086"/>
        <v>14:58:13.664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7</v>
      </c>
      <c r="CP3741" t="s">
        <v>119</v>
      </c>
      <c r="CQ3741">
        <v>285</v>
      </c>
      <c r="CR3741">
        <v>0</v>
      </c>
      <c r="CW3741">
        <v>8883279</v>
      </c>
      <c r="CY3741">
        <v>0</v>
      </c>
      <c r="CZ3741">
        <v>0</v>
      </c>
      <c r="DA3741">
        <v>1</v>
      </c>
      <c r="DB3741">
        <v>0</v>
      </c>
      <c r="DC3741">
        <v>0</v>
      </c>
      <c r="DD3741">
        <v>0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25">
      <c r="A3742" t="str">
        <f t="shared" si="2084"/>
        <v>06/05/2020 14:58:08.029</v>
      </c>
      <c r="C3742" t="str">
        <f t="shared" si="2054"/>
        <v>FFDFD3C0</v>
      </c>
      <c r="D3742" t="s">
        <v>113</v>
      </c>
      <c r="E3742">
        <v>3</v>
      </c>
      <c r="H3742">
        <v>166</v>
      </c>
      <c r="I3742" t="s">
        <v>114</v>
      </c>
      <c r="J3742" t="s">
        <v>115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 t="shared" si="2085"/>
        <v>14:58:13.656</v>
      </c>
      <c r="T3742" t="str">
        <f t="shared" si="2085"/>
        <v>14:58:13.656</v>
      </c>
      <c r="U3742" t="str">
        <f t="shared" si="2071"/>
        <v>ACC530</v>
      </c>
      <c r="V3742">
        <v>0</v>
      </c>
      <c r="W3742">
        <v>0</v>
      </c>
      <c r="X3742">
        <v>1</v>
      </c>
      <c r="Z3742">
        <v>0</v>
      </c>
      <c r="AA3742">
        <v>9</v>
      </c>
      <c r="AB3742">
        <v>3</v>
      </c>
      <c r="AC3742">
        <v>0</v>
      </c>
      <c r="AD3742">
        <v>9</v>
      </c>
      <c r="AE3742">
        <v>0</v>
      </c>
      <c r="AF3742">
        <v>3</v>
      </c>
      <c r="AG3742">
        <v>1</v>
      </c>
      <c r="AH3742">
        <v>0</v>
      </c>
      <c r="AI3742" t="s">
        <v>1210</v>
      </c>
      <c r="AJ3742">
        <v>34.069569000000001</v>
      </c>
      <c r="AK3742" t="s">
        <v>1182</v>
      </c>
      <c r="AL3742">
        <v>-117.017956</v>
      </c>
      <c r="AM3742">
        <v>100</v>
      </c>
      <c r="AN3742">
        <v>5300</v>
      </c>
      <c r="AO3742" t="s">
        <v>118</v>
      </c>
      <c r="AP3742">
        <v>-36</v>
      </c>
      <c r="AQ3742">
        <v>-84</v>
      </c>
      <c r="AR3742">
        <v>0</v>
      </c>
      <c r="AZ3742">
        <v>1200</v>
      </c>
      <c r="BA3742">
        <v>1</v>
      </c>
      <c r="BB3742" t="str">
        <f t="shared" si="2074"/>
        <v xml:space="preserve">N9217B  </v>
      </c>
      <c r="BC3742">
        <v>1</v>
      </c>
      <c r="BE3742">
        <v>0</v>
      </c>
      <c r="BF3742">
        <v>0</v>
      </c>
      <c r="BG3742">
        <v>0</v>
      </c>
      <c r="BH3742">
        <v>5150</v>
      </c>
      <c r="BI3742">
        <v>1</v>
      </c>
      <c r="BJ3742">
        <v>0</v>
      </c>
      <c r="BK3742">
        <v>0</v>
      </c>
      <c r="BL3742">
        <v>0</v>
      </c>
      <c r="BO3742">
        <v>0</v>
      </c>
      <c r="BP3742">
        <v>0</v>
      </c>
      <c r="BW3742" t="str">
        <f t="shared" si="2086"/>
        <v>14:58:13.664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7</v>
      </c>
      <c r="CP3742" t="s">
        <v>119</v>
      </c>
      <c r="CQ3742">
        <v>285</v>
      </c>
      <c r="CR3742">
        <v>0</v>
      </c>
      <c r="CW3742">
        <v>8883279</v>
      </c>
      <c r="CY3742">
        <v>0</v>
      </c>
      <c r="CZ3742">
        <v>0</v>
      </c>
      <c r="DA3742">
        <v>1</v>
      </c>
      <c r="DB3742">
        <v>0</v>
      </c>
      <c r="DC3742">
        <v>0</v>
      </c>
      <c r="DD3742">
        <v>0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25">
      <c r="A3743" t="str">
        <f t="shared" si="2084"/>
        <v>06/05/2020 14:58:08.029</v>
      </c>
      <c r="C3743" t="str">
        <f t="shared" si="2054"/>
        <v>FFDFD3C0</v>
      </c>
      <c r="D3743" t="s">
        <v>148</v>
      </c>
      <c r="E3743">
        <v>8</v>
      </c>
      <c r="H3743">
        <v>50</v>
      </c>
      <c r="I3743" t="s">
        <v>149</v>
      </c>
      <c r="J3743" t="s">
        <v>150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 t="shared" si="2085"/>
        <v>14:58:13.656</v>
      </c>
      <c r="T3743" t="str">
        <f t="shared" si="2085"/>
        <v>14:58:13.656</v>
      </c>
      <c r="U3743" t="str">
        <f t="shared" si="2071"/>
        <v>ACC530</v>
      </c>
      <c r="V3743">
        <v>0</v>
      </c>
      <c r="W3743">
        <v>0</v>
      </c>
      <c r="X3743">
        <v>1</v>
      </c>
      <c r="Z3743">
        <v>0</v>
      </c>
      <c r="AA3743">
        <v>9</v>
      </c>
      <c r="AB3743">
        <v>3</v>
      </c>
      <c r="AC3743">
        <v>0</v>
      </c>
      <c r="AD3743">
        <v>9</v>
      </c>
      <c r="AE3743">
        <v>0</v>
      </c>
      <c r="AF3743">
        <v>3</v>
      </c>
      <c r="AG3743">
        <v>1</v>
      </c>
      <c r="AH3743">
        <v>0</v>
      </c>
      <c r="AI3743" t="s">
        <v>1210</v>
      </c>
      <c r="AJ3743">
        <v>34.069569000000001</v>
      </c>
      <c r="AK3743" t="s">
        <v>1182</v>
      </c>
      <c r="AL3743">
        <v>-117.017956</v>
      </c>
      <c r="AM3743">
        <v>100</v>
      </c>
      <c r="AN3743">
        <v>5300</v>
      </c>
      <c r="AO3743" t="s">
        <v>118</v>
      </c>
      <c r="AP3743">
        <v>-36</v>
      </c>
      <c r="AQ3743">
        <v>-84</v>
      </c>
      <c r="AR3743">
        <v>0</v>
      </c>
      <c r="AZ3743">
        <v>1200</v>
      </c>
      <c r="BA3743">
        <v>1</v>
      </c>
      <c r="BB3743" t="str">
        <f t="shared" si="2074"/>
        <v xml:space="preserve">N9217B  </v>
      </c>
      <c r="BC3743">
        <v>1</v>
      </c>
      <c r="BE3743">
        <v>0</v>
      </c>
      <c r="BF3743">
        <v>0</v>
      </c>
      <c r="BG3743">
        <v>0</v>
      </c>
      <c r="BH3743">
        <v>5150</v>
      </c>
      <c r="BI3743">
        <v>1</v>
      </c>
      <c r="BJ3743">
        <v>0</v>
      </c>
      <c r="BK3743">
        <v>0</v>
      </c>
      <c r="BL3743">
        <v>0</v>
      </c>
      <c r="BO3743">
        <v>0</v>
      </c>
      <c r="BP3743">
        <v>0</v>
      </c>
      <c r="BW3743" t="str">
        <f t="shared" si="2086"/>
        <v>14:58:13.664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7</v>
      </c>
      <c r="CP3743" t="s">
        <v>119</v>
      </c>
      <c r="CQ3743">
        <v>285</v>
      </c>
      <c r="CR3743">
        <v>0</v>
      </c>
      <c r="CW3743">
        <v>8883279</v>
      </c>
      <c r="CY3743">
        <v>0</v>
      </c>
      <c r="CZ3743">
        <v>0</v>
      </c>
      <c r="DA3743">
        <v>1</v>
      </c>
      <c r="DB3743">
        <v>0</v>
      </c>
      <c r="DC3743">
        <v>0</v>
      </c>
      <c r="DD3743">
        <v>0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25">
      <c r="A3744" t="str">
        <f t="shared" si="2084"/>
        <v>06/05/2020 14:58:08.029</v>
      </c>
      <c r="C3744" t="str">
        <f t="shared" si="2054"/>
        <v>FFDFD3C0</v>
      </c>
      <c r="D3744" t="s">
        <v>151</v>
      </c>
      <c r="E3744">
        <v>8</v>
      </c>
      <c r="H3744">
        <v>225</v>
      </c>
      <c r="I3744" t="s">
        <v>353</v>
      </c>
      <c r="J3744" t="s">
        <v>150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 t="shared" si="2085"/>
        <v>14:58:13.656</v>
      </c>
      <c r="T3744" t="str">
        <f t="shared" si="2085"/>
        <v>14:58:13.656</v>
      </c>
      <c r="U3744" t="str">
        <f t="shared" si="2071"/>
        <v>ACC530</v>
      </c>
      <c r="V3744">
        <v>0</v>
      </c>
      <c r="W3744">
        <v>0</v>
      </c>
      <c r="X3744">
        <v>1</v>
      </c>
      <c r="Z3744">
        <v>0</v>
      </c>
      <c r="AA3744">
        <v>9</v>
      </c>
      <c r="AB3744">
        <v>3</v>
      </c>
      <c r="AC3744">
        <v>0</v>
      </c>
      <c r="AD3744">
        <v>9</v>
      </c>
      <c r="AE3744">
        <v>0</v>
      </c>
      <c r="AF3744">
        <v>3</v>
      </c>
      <c r="AG3744">
        <v>1</v>
      </c>
      <c r="AH3744">
        <v>0</v>
      </c>
      <c r="AI3744" t="s">
        <v>1210</v>
      </c>
      <c r="AJ3744">
        <v>34.069569000000001</v>
      </c>
      <c r="AK3744" t="s">
        <v>1182</v>
      </c>
      <c r="AL3744">
        <v>-117.017956</v>
      </c>
      <c r="AM3744">
        <v>100</v>
      </c>
      <c r="AN3744">
        <v>5300</v>
      </c>
      <c r="AO3744" t="s">
        <v>118</v>
      </c>
      <c r="AP3744">
        <v>-36</v>
      </c>
      <c r="AQ3744">
        <v>-84</v>
      </c>
      <c r="AR3744">
        <v>0</v>
      </c>
      <c r="AZ3744">
        <v>1200</v>
      </c>
      <c r="BA3744">
        <v>1</v>
      </c>
      <c r="BB3744" t="str">
        <f t="shared" si="2074"/>
        <v xml:space="preserve">N9217B  </v>
      </c>
      <c r="BC3744">
        <v>1</v>
      </c>
      <c r="BE3744">
        <v>0</v>
      </c>
      <c r="BF3744">
        <v>0</v>
      </c>
      <c r="BG3744">
        <v>0</v>
      </c>
      <c r="BH3744">
        <v>5150</v>
      </c>
      <c r="BI3744">
        <v>1</v>
      </c>
      <c r="BJ3744">
        <v>0</v>
      </c>
      <c r="BK3744">
        <v>0</v>
      </c>
      <c r="BL3744">
        <v>0</v>
      </c>
      <c r="BO3744">
        <v>0</v>
      </c>
      <c r="BP3744">
        <v>0</v>
      </c>
      <c r="BW3744" t="str">
        <f t="shared" si="2086"/>
        <v>14:58:13.664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7</v>
      </c>
      <c r="CP3744" t="s">
        <v>119</v>
      </c>
      <c r="CQ3744">
        <v>285</v>
      </c>
      <c r="CR3744">
        <v>0</v>
      </c>
      <c r="CW3744">
        <v>8883279</v>
      </c>
      <c r="CY3744">
        <v>0</v>
      </c>
      <c r="CZ3744">
        <v>0</v>
      </c>
      <c r="DA3744">
        <v>1</v>
      </c>
      <c r="DB3744">
        <v>0</v>
      </c>
      <c r="DC3744">
        <v>0</v>
      </c>
      <c r="DD3744">
        <v>0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25">
      <c r="A3745" t="str">
        <f t="shared" ref="A3745:A3751" si="2087">"06/05/2020 14:58:08.900"</f>
        <v>06/05/2020 14:58:08.900</v>
      </c>
      <c r="C3745" t="str">
        <f t="shared" si="2054"/>
        <v>FFDFD3C0</v>
      </c>
      <c r="D3745" t="s">
        <v>141</v>
      </c>
      <c r="E3745">
        <v>20</v>
      </c>
      <c r="F3745">
        <v>1020</v>
      </c>
      <c r="G3745" t="s">
        <v>114</v>
      </c>
      <c r="J3745" t="s">
        <v>142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 t="shared" ref="S3745:S3751" si="2088">"14:58:14.516"</f>
        <v>14:58:14.516</v>
      </c>
      <c r="T3745" t="str">
        <f t="shared" ref="T3745:T3751" si="2089">"14:58:14.316"</f>
        <v>14:58:14.316</v>
      </c>
      <c r="U3745" t="str">
        <f t="shared" si="2071"/>
        <v>ACC530</v>
      </c>
      <c r="V3745">
        <v>0</v>
      </c>
      <c r="W3745">
        <v>0</v>
      </c>
      <c r="X3745">
        <v>1</v>
      </c>
      <c r="Z3745">
        <v>0</v>
      </c>
      <c r="AA3745">
        <v>9</v>
      </c>
      <c r="AB3745">
        <v>3</v>
      </c>
      <c r="AC3745">
        <v>0</v>
      </c>
      <c r="AD3745">
        <v>9</v>
      </c>
      <c r="AE3745">
        <v>0</v>
      </c>
      <c r="AF3745">
        <v>3</v>
      </c>
      <c r="AG3745">
        <v>1</v>
      </c>
      <c r="AH3745">
        <v>0</v>
      </c>
      <c r="AI3745" t="s">
        <v>1211</v>
      </c>
      <c r="AJ3745">
        <v>34.069246999999997</v>
      </c>
      <c r="AK3745" t="s">
        <v>1212</v>
      </c>
      <c r="AL3745">
        <v>-117.01812700000001</v>
      </c>
      <c r="AM3745">
        <v>100</v>
      </c>
      <c r="AN3745">
        <v>5300</v>
      </c>
      <c r="AO3745" t="s">
        <v>118</v>
      </c>
      <c r="AP3745">
        <v>-35</v>
      </c>
      <c r="AQ3745">
        <v>-84</v>
      </c>
      <c r="AR3745">
        <v>64</v>
      </c>
      <c r="AZ3745">
        <v>1200</v>
      </c>
      <c r="BA3745">
        <v>1</v>
      </c>
      <c r="BB3745" t="str">
        <f t="shared" si="2074"/>
        <v xml:space="preserve">N9217B  </v>
      </c>
      <c r="BC3745">
        <v>1</v>
      </c>
      <c r="BE3745">
        <v>0</v>
      </c>
      <c r="BF3745">
        <v>0</v>
      </c>
      <c r="BG3745">
        <v>0</v>
      </c>
      <c r="BH3745">
        <v>5150</v>
      </c>
      <c r="BI3745">
        <v>1</v>
      </c>
      <c r="BJ3745">
        <v>0</v>
      </c>
      <c r="BK3745">
        <v>0</v>
      </c>
      <c r="BL3745">
        <v>0</v>
      </c>
      <c r="BO3745">
        <v>0</v>
      </c>
      <c r="BP3745">
        <v>0</v>
      </c>
      <c r="BW3745" t="str">
        <f t="shared" ref="BW3745:BW3751" si="2090">"14:58:14.519"</f>
        <v>14:58:14.519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7</v>
      </c>
      <c r="CP3745" t="s">
        <v>119</v>
      </c>
      <c r="CQ3745">
        <v>285</v>
      </c>
      <c r="CR3745">
        <v>0</v>
      </c>
      <c r="CW3745">
        <v>8883352</v>
      </c>
      <c r="CY3745">
        <v>0</v>
      </c>
      <c r="CZ3745">
        <v>0</v>
      </c>
      <c r="DA3745">
        <v>0</v>
      </c>
      <c r="DB3745">
        <v>0</v>
      </c>
      <c r="DC3745">
        <v>0</v>
      </c>
      <c r="DD3745">
        <v>0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25">
      <c r="A3746" t="str">
        <f t="shared" si="2087"/>
        <v>06/05/2020 14:58:08.900</v>
      </c>
      <c r="C3746" t="str">
        <f t="shared" si="2054"/>
        <v>FFDFD3C0</v>
      </c>
      <c r="D3746" t="s">
        <v>151</v>
      </c>
      <c r="E3746">
        <v>9</v>
      </c>
      <c r="H3746">
        <v>226</v>
      </c>
      <c r="I3746" t="s">
        <v>152</v>
      </c>
      <c r="J3746" t="s">
        <v>150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 t="shared" si="2088"/>
        <v>14:58:14.516</v>
      </c>
      <c r="T3746" t="str">
        <f t="shared" si="2089"/>
        <v>14:58:14.316</v>
      </c>
      <c r="U3746" t="str">
        <f t="shared" si="2071"/>
        <v>ACC530</v>
      </c>
      <c r="V3746">
        <v>0</v>
      </c>
      <c r="W3746">
        <v>0</v>
      </c>
      <c r="X3746">
        <v>1</v>
      </c>
      <c r="Z3746">
        <v>0</v>
      </c>
      <c r="AA3746">
        <v>9</v>
      </c>
      <c r="AB3746">
        <v>3</v>
      </c>
      <c r="AC3746">
        <v>0</v>
      </c>
      <c r="AD3746">
        <v>9</v>
      </c>
      <c r="AE3746">
        <v>0</v>
      </c>
      <c r="AF3746">
        <v>3</v>
      </c>
      <c r="AG3746">
        <v>1</v>
      </c>
      <c r="AH3746">
        <v>0</v>
      </c>
      <c r="AI3746" t="s">
        <v>1211</v>
      </c>
      <c r="AJ3746">
        <v>34.069246999999997</v>
      </c>
      <c r="AK3746" t="s">
        <v>1212</v>
      </c>
      <c r="AL3746">
        <v>-117.01812700000001</v>
      </c>
      <c r="AM3746">
        <v>100</v>
      </c>
      <c r="AN3746">
        <v>5300</v>
      </c>
      <c r="AO3746" t="s">
        <v>118</v>
      </c>
      <c r="AP3746">
        <v>-35</v>
      </c>
      <c r="AQ3746">
        <v>-84</v>
      </c>
      <c r="AR3746">
        <v>64</v>
      </c>
      <c r="AZ3746">
        <v>1200</v>
      </c>
      <c r="BA3746">
        <v>1</v>
      </c>
      <c r="BB3746" t="str">
        <f t="shared" si="2074"/>
        <v xml:space="preserve">N9217B  </v>
      </c>
      <c r="BC3746">
        <v>1</v>
      </c>
      <c r="BE3746">
        <v>0</v>
      </c>
      <c r="BF3746">
        <v>0</v>
      </c>
      <c r="BG3746">
        <v>0</v>
      </c>
      <c r="BH3746">
        <v>5150</v>
      </c>
      <c r="BI3746">
        <v>1</v>
      </c>
      <c r="BJ3746">
        <v>0</v>
      </c>
      <c r="BK3746">
        <v>0</v>
      </c>
      <c r="BL3746">
        <v>0</v>
      </c>
      <c r="BO3746">
        <v>0</v>
      </c>
      <c r="BP3746">
        <v>0</v>
      </c>
      <c r="BW3746" t="str">
        <f t="shared" si="2090"/>
        <v>14:58:14.519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7</v>
      </c>
      <c r="CP3746" t="s">
        <v>119</v>
      </c>
      <c r="CQ3746">
        <v>285</v>
      </c>
      <c r="CR3746">
        <v>0</v>
      </c>
      <c r="CW3746">
        <v>8883352</v>
      </c>
      <c r="CY3746">
        <v>0</v>
      </c>
      <c r="CZ3746">
        <v>0</v>
      </c>
      <c r="DA3746">
        <v>1</v>
      </c>
      <c r="DB3746">
        <v>0</v>
      </c>
      <c r="DC3746">
        <v>0</v>
      </c>
      <c r="DD3746">
        <v>0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25">
      <c r="A3747" t="str">
        <f t="shared" si="2087"/>
        <v>06/05/2020 14:58:08.900</v>
      </c>
      <c r="C3747" t="str">
        <f t="shared" ref="C3747:C3810" si="2091">"FFDFD3C0"</f>
        <v>FFDFD3C0</v>
      </c>
      <c r="D3747" t="s">
        <v>148</v>
      </c>
      <c r="E3747">
        <v>11</v>
      </c>
      <c r="H3747">
        <v>53</v>
      </c>
      <c r="I3747" t="s">
        <v>364</v>
      </c>
      <c r="J3747" t="s">
        <v>150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 t="shared" si="2088"/>
        <v>14:58:14.516</v>
      </c>
      <c r="T3747" t="str">
        <f t="shared" si="2089"/>
        <v>14:58:14.316</v>
      </c>
      <c r="U3747" t="str">
        <f t="shared" si="2071"/>
        <v>ACC530</v>
      </c>
      <c r="V3747">
        <v>0</v>
      </c>
      <c r="W3747">
        <v>0</v>
      </c>
      <c r="X3747">
        <v>1</v>
      </c>
      <c r="Z3747">
        <v>0</v>
      </c>
      <c r="AA3747">
        <v>9</v>
      </c>
      <c r="AB3747">
        <v>3</v>
      </c>
      <c r="AC3747">
        <v>0</v>
      </c>
      <c r="AD3747">
        <v>9</v>
      </c>
      <c r="AE3747">
        <v>0</v>
      </c>
      <c r="AF3747">
        <v>3</v>
      </c>
      <c r="AG3747">
        <v>1</v>
      </c>
      <c r="AH3747">
        <v>0</v>
      </c>
      <c r="AI3747" t="s">
        <v>1211</v>
      </c>
      <c r="AJ3747">
        <v>34.069246999999997</v>
      </c>
      <c r="AK3747" t="s">
        <v>1212</v>
      </c>
      <c r="AL3747">
        <v>-117.01812700000001</v>
      </c>
      <c r="AM3747">
        <v>100</v>
      </c>
      <c r="AN3747">
        <v>5300</v>
      </c>
      <c r="AO3747" t="s">
        <v>118</v>
      </c>
      <c r="AP3747">
        <v>-35</v>
      </c>
      <c r="AQ3747">
        <v>-84</v>
      </c>
      <c r="AR3747">
        <v>64</v>
      </c>
      <c r="AZ3747">
        <v>1200</v>
      </c>
      <c r="BA3747">
        <v>1</v>
      </c>
      <c r="BB3747" t="str">
        <f t="shared" si="2074"/>
        <v xml:space="preserve">N9217B  </v>
      </c>
      <c r="BC3747">
        <v>1</v>
      </c>
      <c r="BE3747">
        <v>0</v>
      </c>
      <c r="BF3747">
        <v>0</v>
      </c>
      <c r="BG3747">
        <v>0</v>
      </c>
      <c r="BH3747">
        <v>5150</v>
      </c>
      <c r="BI3747">
        <v>1</v>
      </c>
      <c r="BJ3747">
        <v>0</v>
      </c>
      <c r="BK3747">
        <v>0</v>
      </c>
      <c r="BL3747">
        <v>0</v>
      </c>
      <c r="BO3747">
        <v>0</v>
      </c>
      <c r="BP3747">
        <v>0</v>
      </c>
      <c r="BW3747" t="str">
        <f t="shared" si="2090"/>
        <v>14:58:14.519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7</v>
      </c>
      <c r="CP3747" t="s">
        <v>119</v>
      </c>
      <c r="CQ3747">
        <v>285</v>
      </c>
      <c r="CR3747">
        <v>0</v>
      </c>
      <c r="CW3747">
        <v>8883352</v>
      </c>
      <c r="CY3747">
        <v>0</v>
      </c>
      <c r="CZ3747">
        <v>0</v>
      </c>
      <c r="DA3747">
        <v>1</v>
      </c>
      <c r="DB3747">
        <v>0</v>
      </c>
      <c r="DC3747">
        <v>0</v>
      </c>
      <c r="DD3747">
        <v>0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25">
      <c r="A3748" t="str">
        <f t="shared" si="2087"/>
        <v>06/05/2020 14:58:08.900</v>
      </c>
      <c r="C3748" t="str">
        <f t="shared" si="2091"/>
        <v>FFDFD3C0</v>
      </c>
      <c r="D3748" t="s">
        <v>113</v>
      </c>
      <c r="E3748">
        <v>3</v>
      </c>
      <c r="H3748">
        <v>166</v>
      </c>
      <c r="I3748" t="s">
        <v>114</v>
      </c>
      <c r="J3748" t="s">
        <v>115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 t="shared" si="2088"/>
        <v>14:58:14.516</v>
      </c>
      <c r="T3748" t="str">
        <f t="shared" si="2089"/>
        <v>14:58:14.316</v>
      </c>
      <c r="U3748" t="str">
        <f t="shared" si="2071"/>
        <v>ACC530</v>
      </c>
      <c r="V3748">
        <v>0</v>
      </c>
      <c r="W3748">
        <v>0</v>
      </c>
      <c r="X3748">
        <v>1</v>
      </c>
      <c r="Z3748">
        <v>0</v>
      </c>
      <c r="AA3748">
        <v>9</v>
      </c>
      <c r="AB3748">
        <v>3</v>
      </c>
      <c r="AC3748">
        <v>0</v>
      </c>
      <c r="AD3748">
        <v>9</v>
      </c>
      <c r="AE3748">
        <v>0</v>
      </c>
      <c r="AF3748">
        <v>3</v>
      </c>
      <c r="AG3748">
        <v>1</v>
      </c>
      <c r="AH3748">
        <v>0</v>
      </c>
      <c r="AI3748" t="s">
        <v>1211</v>
      </c>
      <c r="AJ3748">
        <v>34.069246999999997</v>
      </c>
      <c r="AK3748" t="s">
        <v>1212</v>
      </c>
      <c r="AL3748">
        <v>-117.01812700000001</v>
      </c>
      <c r="AM3748">
        <v>100</v>
      </c>
      <c r="AN3748">
        <v>5300</v>
      </c>
      <c r="AO3748" t="s">
        <v>118</v>
      </c>
      <c r="AP3748">
        <v>-35</v>
      </c>
      <c r="AQ3748">
        <v>-84</v>
      </c>
      <c r="AR3748">
        <v>64</v>
      </c>
      <c r="AZ3748">
        <v>1200</v>
      </c>
      <c r="BA3748">
        <v>1</v>
      </c>
      <c r="BB3748" t="str">
        <f t="shared" si="2074"/>
        <v xml:space="preserve">N9217B  </v>
      </c>
      <c r="BC3748">
        <v>1</v>
      </c>
      <c r="BE3748">
        <v>0</v>
      </c>
      <c r="BF3748">
        <v>0</v>
      </c>
      <c r="BG3748">
        <v>0</v>
      </c>
      <c r="BH3748">
        <v>5150</v>
      </c>
      <c r="BI3748">
        <v>1</v>
      </c>
      <c r="BJ3748">
        <v>0</v>
      </c>
      <c r="BK3748">
        <v>0</v>
      </c>
      <c r="BL3748">
        <v>0</v>
      </c>
      <c r="BO3748">
        <v>0</v>
      </c>
      <c r="BP3748">
        <v>0</v>
      </c>
      <c r="BW3748" t="str">
        <f t="shared" si="2090"/>
        <v>14:58:14.519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7</v>
      </c>
      <c r="CP3748" t="s">
        <v>119</v>
      </c>
      <c r="CQ3748">
        <v>285</v>
      </c>
      <c r="CR3748">
        <v>0</v>
      </c>
      <c r="CW3748">
        <v>8883352</v>
      </c>
      <c r="CY3748">
        <v>0</v>
      </c>
      <c r="CZ3748">
        <v>0</v>
      </c>
      <c r="DA3748">
        <v>1</v>
      </c>
      <c r="DB3748">
        <v>0</v>
      </c>
      <c r="DC3748">
        <v>0</v>
      </c>
      <c r="DD3748">
        <v>0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25">
      <c r="A3749" t="str">
        <f t="shared" si="2087"/>
        <v>06/05/2020 14:58:08.900</v>
      </c>
      <c r="C3749" t="str">
        <f t="shared" si="2091"/>
        <v>FFDFD3C0</v>
      </c>
      <c r="D3749" t="s">
        <v>148</v>
      </c>
      <c r="E3749">
        <v>8</v>
      </c>
      <c r="H3749">
        <v>50</v>
      </c>
      <c r="I3749" t="s">
        <v>149</v>
      </c>
      <c r="J3749" t="s">
        <v>150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 t="shared" si="2088"/>
        <v>14:58:14.516</v>
      </c>
      <c r="T3749" t="str">
        <f t="shared" si="2089"/>
        <v>14:58:14.316</v>
      </c>
      <c r="U3749" t="str">
        <f t="shared" si="2071"/>
        <v>ACC530</v>
      </c>
      <c r="V3749">
        <v>0</v>
      </c>
      <c r="W3749">
        <v>0</v>
      </c>
      <c r="X3749">
        <v>1</v>
      </c>
      <c r="Z3749">
        <v>0</v>
      </c>
      <c r="AA3749">
        <v>9</v>
      </c>
      <c r="AB3749">
        <v>3</v>
      </c>
      <c r="AC3749">
        <v>0</v>
      </c>
      <c r="AD3749">
        <v>9</v>
      </c>
      <c r="AE3749">
        <v>0</v>
      </c>
      <c r="AF3749">
        <v>3</v>
      </c>
      <c r="AG3749">
        <v>1</v>
      </c>
      <c r="AH3749">
        <v>0</v>
      </c>
      <c r="AI3749" t="s">
        <v>1211</v>
      </c>
      <c r="AJ3749">
        <v>34.069246999999997</v>
      </c>
      <c r="AK3749" t="s">
        <v>1212</v>
      </c>
      <c r="AL3749">
        <v>-117.01812700000001</v>
      </c>
      <c r="AM3749">
        <v>100</v>
      </c>
      <c r="AN3749">
        <v>5300</v>
      </c>
      <c r="AO3749" t="s">
        <v>118</v>
      </c>
      <c r="AP3749">
        <v>-35</v>
      </c>
      <c r="AQ3749">
        <v>-84</v>
      </c>
      <c r="AR3749">
        <v>64</v>
      </c>
      <c r="AZ3749">
        <v>1200</v>
      </c>
      <c r="BA3749">
        <v>1</v>
      </c>
      <c r="BB3749" t="str">
        <f t="shared" si="2074"/>
        <v xml:space="preserve">N9217B  </v>
      </c>
      <c r="BC3749">
        <v>1</v>
      </c>
      <c r="BE3749">
        <v>0</v>
      </c>
      <c r="BF3749">
        <v>0</v>
      </c>
      <c r="BG3749">
        <v>0</v>
      </c>
      <c r="BH3749">
        <v>5150</v>
      </c>
      <c r="BI3749">
        <v>1</v>
      </c>
      <c r="BJ3749">
        <v>0</v>
      </c>
      <c r="BK3749">
        <v>0</v>
      </c>
      <c r="BL3749">
        <v>0</v>
      </c>
      <c r="BO3749">
        <v>0</v>
      </c>
      <c r="BP3749">
        <v>0</v>
      </c>
      <c r="BW3749" t="str">
        <f t="shared" si="2090"/>
        <v>14:58:14.519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7</v>
      </c>
      <c r="CP3749" t="s">
        <v>119</v>
      </c>
      <c r="CQ3749">
        <v>285</v>
      </c>
      <c r="CR3749">
        <v>0</v>
      </c>
      <c r="CW3749">
        <v>8883352</v>
      </c>
      <c r="CY3749">
        <v>0</v>
      </c>
      <c r="CZ3749">
        <v>0</v>
      </c>
      <c r="DA3749">
        <v>1</v>
      </c>
      <c r="DB3749">
        <v>0</v>
      </c>
      <c r="DC3749">
        <v>0</v>
      </c>
      <c r="DD3749">
        <v>0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25">
      <c r="A3750" t="str">
        <f t="shared" si="2087"/>
        <v>06/05/2020 14:58:08.900</v>
      </c>
      <c r="C3750" t="str">
        <f t="shared" si="2091"/>
        <v>FFDFD3C0</v>
      </c>
      <c r="D3750" t="s">
        <v>151</v>
      </c>
      <c r="E3750">
        <v>8</v>
      </c>
      <c r="H3750">
        <v>225</v>
      </c>
      <c r="I3750" t="s">
        <v>353</v>
      </c>
      <c r="J3750" t="s">
        <v>150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 t="shared" si="2088"/>
        <v>14:58:14.516</v>
      </c>
      <c r="T3750" t="str">
        <f t="shared" si="2089"/>
        <v>14:58:14.316</v>
      </c>
      <c r="U3750" t="str">
        <f t="shared" si="2071"/>
        <v>ACC530</v>
      </c>
      <c r="V3750">
        <v>0</v>
      </c>
      <c r="W3750">
        <v>0</v>
      </c>
      <c r="X3750">
        <v>1</v>
      </c>
      <c r="Z3750">
        <v>0</v>
      </c>
      <c r="AA3750">
        <v>9</v>
      </c>
      <c r="AB3750">
        <v>3</v>
      </c>
      <c r="AC3750">
        <v>0</v>
      </c>
      <c r="AD3750">
        <v>9</v>
      </c>
      <c r="AE3750">
        <v>0</v>
      </c>
      <c r="AF3750">
        <v>3</v>
      </c>
      <c r="AG3750">
        <v>1</v>
      </c>
      <c r="AH3750">
        <v>0</v>
      </c>
      <c r="AI3750" t="s">
        <v>1211</v>
      </c>
      <c r="AJ3750">
        <v>34.069246999999997</v>
      </c>
      <c r="AK3750" t="s">
        <v>1212</v>
      </c>
      <c r="AL3750">
        <v>-117.01812700000001</v>
      </c>
      <c r="AM3750">
        <v>100</v>
      </c>
      <c r="AN3750">
        <v>5300</v>
      </c>
      <c r="AO3750" t="s">
        <v>118</v>
      </c>
      <c r="AP3750">
        <v>-35</v>
      </c>
      <c r="AQ3750">
        <v>-84</v>
      </c>
      <c r="AR3750">
        <v>64</v>
      </c>
      <c r="AZ3750">
        <v>1200</v>
      </c>
      <c r="BA3750">
        <v>1</v>
      </c>
      <c r="BB3750" t="str">
        <f t="shared" si="2074"/>
        <v xml:space="preserve">N9217B  </v>
      </c>
      <c r="BC3750">
        <v>1</v>
      </c>
      <c r="BE3750">
        <v>0</v>
      </c>
      <c r="BF3750">
        <v>0</v>
      </c>
      <c r="BG3750">
        <v>0</v>
      </c>
      <c r="BH3750">
        <v>5150</v>
      </c>
      <c r="BI3750">
        <v>1</v>
      </c>
      <c r="BJ3750">
        <v>0</v>
      </c>
      <c r="BK3750">
        <v>0</v>
      </c>
      <c r="BL3750">
        <v>0</v>
      </c>
      <c r="BO3750">
        <v>0</v>
      </c>
      <c r="BP3750">
        <v>0</v>
      </c>
      <c r="BW3750" t="str">
        <f t="shared" si="2090"/>
        <v>14:58:14.519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7</v>
      </c>
      <c r="CP3750" t="s">
        <v>119</v>
      </c>
      <c r="CQ3750">
        <v>285</v>
      </c>
      <c r="CR3750">
        <v>0</v>
      </c>
      <c r="CW3750">
        <v>8883352</v>
      </c>
      <c r="CY3750">
        <v>0</v>
      </c>
      <c r="CZ3750">
        <v>0</v>
      </c>
      <c r="DA3750">
        <v>1</v>
      </c>
      <c r="DB3750">
        <v>0</v>
      </c>
      <c r="DC3750">
        <v>0</v>
      </c>
      <c r="DD3750">
        <v>0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25">
      <c r="A3751" t="str">
        <f t="shared" si="2087"/>
        <v>06/05/2020 14:58:08.900</v>
      </c>
      <c r="C3751" t="str">
        <f t="shared" si="2091"/>
        <v>FFDFD3C0</v>
      </c>
      <c r="D3751" t="s">
        <v>134</v>
      </c>
      <c r="E3751">
        <v>7</v>
      </c>
      <c r="F3751">
        <v>2007</v>
      </c>
      <c r="G3751" t="s">
        <v>135</v>
      </c>
      <c r="J3751" t="s">
        <v>136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 t="shared" si="2088"/>
        <v>14:58:14.516</v>
      </c>
      <c r="T3751" t="str">
        <f t="shared" si="2089"/>
        <v>14:58:14.316</v>
      </c>
      <c r="U3751" t="str">
        <f t="shared" si="2071"/>
        <v>ACC530</v>
      </c>
      <c r="V3751">
        <v>0</v>
      </c>
      <c r="W3751">
        <v>0</v>
      </c>
      <c r="X3751">
        <v>1</v>
      </c>
      <c r="Z3751">
        <v>0</v>
      </c>
      <c r="AA3751">
        <v>9</v>
      </c>
      <c r="AB3751">
        <v>3</v>
      </c>
      <c r="AC3751">
        <v>0</v>
      </c>
      <c r="AD3751">
        <v>9</v>
      </c>
      <c r="AE3751">
        <v>0</v>
      </c>
      <c r="AF3751">
        <v>3</v>
      </c>
      <c r="AG3751">
        <v>1</v>
      </c>
      <c r="AH3751">
        <v>0</v>
      </c>
      <c r="AI3751" t="s">
        <v>1211</v>
      </c>
      <c r="AJ3751">
        <v>34.069246999999997</v>
      </c>
      <c r="AK3751" t="s">
        <v>1212</v>
      </c>
      <c r="AL3751">
        <v>-117.01812700000001</v>
      </c>
      <c r="AM3751">
        <v>100</v>
      </c>
      <c r="AN3751">
        <v>5300</v>
      </c>
      <c r="AO3751" t="s">
        <v>118</v>
      </c>
      <c r="AP3751">
        <v>-35</v>
      </c>
      <c r="AQ3751">
        <v>-84</v>
      </c>
      <c r="AR3751">
        <v>64</v>
      </c>
      <c r="AZ3751">
        <v>1200</v>
      </c>
      <c r="BA3751">
        <v>1</v>
      </c>
      <c r="BB3751" t="str">
        <f t="shared" si="2074"/>
        <v xml:space="preserve">N9217B  </v>
      </c>
      <c r="BC3751">
        <v>1</v>
      </c>
      <c r="BE3751">
        <v>0</v>
      </c>
      <c r="BF3751">
        <v>0</v>
      </c>
      <c r="BG3751">
        <v>0</v>
      </c>
      <c r="BH3751">
        <v>5150</v>
      </c>
      <c r="BI3751">
        <v>1</v>
      </c>
      <c r="BJ3751">
        <v>0</v>
      </c>
      <c r="BK3751">
        <v>0</v>
      </c>
      <c r="BL3751">
        <v>0</v>
      </c>
      <c r="BO3751">
        <v>0</v>
      </c>
      <c r="BP3751">
        <v>0</v>
      </c>
      <c r="BW3751" t="str">
        <f t="shared" si="2090"/>
        <v>14:58:14.519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7</v>
      </c>
      <c r="CP3751" t="s">
        <v>119</v>
      </c>
      <c r="CQ3751">
        <v>285</v>
      </c>
      <c r="CR3751">
        <v>0</v>
      </c>
      <c r="CW3751">
        <v>8883352</v>
      </c>
      <c r="CY3751">
        <v>0</v>
      </c>
      <c r="CZ3751">
        <v>0</v>
      </c>
      <c r="DA3751">
        <v>1</v>
      </c>
      <c r="DB3751">
        <v>0</v>
      </c>
      <c r="DC3751">
        <v>0</v>
      </c>
      <c r="DD3751">
        <v>0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25">
      <c r="A3752" t="str">
        <f t="shared" ref="A3752:A3758" si="2092">"06/05/2020 14:58:09.837"</f>
        <v>06/05/2020 14:58:09.837</v>
      </c>
      <c r="C3752" t="str">
        <f t="shared" si="2091"/>
        <v>FFDFD3C0</v>
      </c>
      <c r="D3752" t="s">
        <v>148</v>
      </c>
      <c r="E3752">
        <v>8</v>
      </c>
      <c r="H3752">
        <v>50</v>
      </c>
      <c r="I3752" t="s">
        <v>149</v>
      </c>
      <c r="J3752" t="s">
        <v>150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 t="shared" ref="S3752:S3758" si="2093">"14:58:15.477"</f>
        <v>14:58:15.477</v>
      </c>
      <c r="T3752" t="str">
        <f t="shared" ref="T3752:T3758" si="2094">"14:58:15.177"</f>
        <v>14:58:15.177</v>
      </c>
      <c r="U3752" t="str">
        <f t="shared" si="2071"/>
        <v>ACC530</v>
      </c>
      <c r="V3752">
        <v>0</v>
      </c>
      <c r="W3752">
        <v>0</v>
      </c>
      <c r="X3752">
        <v>1</v>
      </c>
      <c r="Z3752">
        <v>0</v>
      </c>
      <c r="AA3752">
        <v>9</v>
      </c>
      <c r="AB3752">
        <v>3</v>
      </c>
      <c r="AC3752">
        <v>0</v>
      </c>
      <c r="AD3752">
        <v>9</v>
      </c>
      <c r="AE3752">
        <v>0</v>
      </c>
      <c r="AF3752">
        <v>3</v>
      </c>
      <c r="AG3752">
        <v>1</v>
      </c>
      <c r="AH3752">
        <v>0</v>
      </c>
      <c r="AI3752" t="s">
        <v>1213</v>
      </c>
      <c r="AJ3752">
        <v>34.068882000000002</v>
      </c>
      <c r="AK3752" t="s">
        <v>727</v>
      </c>
      <c r="AL3752">
        <v>-117.018299</v>
      </c>
      <c r="AM3752">
        <v>100</v>
      </c>
      <c r="AN3752">
        <v>5300</v>
      </c>
      <c r="AO3752" t="s">
        <v>118</v>
      </c>
      <c r="AP3752">
        <v>-34</v>
      </c>
      <c r="AQ3752">
        <v>-84</v>
      </c>
      <c r="AR3752">
        <v>64</v>
      </c>
      <c r="AZ3752">
        <v>1200</v>
      </c>
      <c r="BA3752">
        <v>1</v>
      </c>
      <c r="BB3752" t="str">
        <f t="shared" si="2074"/>
        <v xml:space="preserve">N9217B  </v>
      </c>
      <c r="BC3752">
        <v>1</v>
      </c>
      <c r="BE3752">
        <v>0</v>
      </c>
      <c r="BF3752">
        <v>0</v>
      </c>
      <c r="BG3752">
        <v>0</v>
      </c>
      <c r="BH3752">
        <v>5150</v>
      </c>
      <c r="BI3752">
        <v>1</v>
      </c>
      <c r="BJ3752">
        <v>0</v>
      </c>
      <c r="BK3752">
        <v>0</v>
      </c>
      <c r="BL3752">
        <v>0</v>
      </c>
      <c r="BO3752">
        <v>0</v>
      </c>
      <c r="BP3752">
        <v>0</v>
      </c>
      <c r="BW3752" t="str">
        <f t="shared" ref="BW3752:BW3758" si="2095">"14:58:15.479"</f>
        <v>14:58:15.479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7</v>
      </c>
      <c r="CP3752" t="s">
        <v>119</v>
      </c>
      <c r="CQ3752">
        <v>285</v>
      </c>
      <c r="CR3752">
        <v>0</v>
      </c>
      <c r="CW3752">
        <v>8883436</v>
      </c>
      <c r="CY3752">
        <v>0</v>
      </c>
      <c r="CZ3752">
        <v>0</v>
      </c>
      <c r="DA3752">
        <v>0</v>
      </c>
      <c r="DB3752">
        <v>0</v>
      </c>
      <c r="DC3752">
        <v>0</v>
      </c>
      <c r="DD3752">
        <v>0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25">
      <c r="A3753" t="str">
        <f t="shared" si="2092"/>
        <v>06/05/2020 14:58:09.837</v>
      </c>
      <c r="C3753" t="str">
        <f t="shared" si="2091"/>
        <v>FFDFD3C0</v>
      </c>
      <c r="D3753" t="s">
        <v>134</v>
      </c>
      <c r="E3753">
        <v>7</v>
      </c>
      <c r="F3753">
        <v>2007</v>
      </c>
      <c r="G3753" t="s">
        <v>135</v>
      </c>
      <c r="J3753" t="s">
        <v>136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 t="shared" si="2093"/>
        <v>14:58:15.477</v>
      </c>
      <c r="T3753" t="str">
        <f t="shared" si="2094"/>
        <v>14:58:15.177</v>
      </c>
      <c r="U3753" t="str">
        <f t="shared" si="2071"/>
        <v>ACC530</v>
      </c>
      <c r="V3753">
        <v>0</v>
      </c>
      <c r="W3753">
        <v>0</v>
      </c>
      <c r="X3753">
        <v>1</v>
      </c>
      <c r="Z3753">
        <v>0</v>
      </c>
      <c r="AA3753">
        <v>9</v>
      </c>
      <c r="AB3753">
        <v>3</v>
      </c>
      <c r="AC3753">
        <v>0</v>
      </c>
      <c r="AD3753">
        <v>9</v>
      </c>
      <c r="AE3753">
        <v>0</v>
      </c>
      <c r="AF3753">
        <v>3</v>
      </c>
      <c r="AG3753">
        <v>1</v>
      </c>
      <c r="AH3753">
        <v>0</v>
      </c>
      <c r="AI3753" t="s">
        <v>1213</v>
      </c>
      <c r="AJ3753">
        <v>34.068882000000002</v>
      </c>
      <c r="AK3753" t="s">
        <v>727</v>
      </c>
      <c r="AL3753">
        <v>-117.018299</v>
      </c>
      <c r="AM3753">
        <v>100</v>
      </c>
      <c r="AN3753">
        <v>5300</v>
      </c>
      <c r="AO3753" t="s">
        <v>118</v>
      </c>
      <c r="AP3753">
        <v>-34</v>
      </c>
      <c r="AQ3753">
        <v>-84</v>
      </c>
      <c r="AR3753">
        <v>64</v>
      </c>
      <c r="AZ3753">
        <v>1200</v>
      </c>
      <c r="BA3753">
        <v>1</v>
      </c>
      <c r="BB3753" t="str">
        <f t="shared" si="2074"/>
        <v xml:space="preserve">N9217B  </v>
      </c>
      <c r="BC3753">
        <v>1</v>
      </c>
      <c r="BE3753">
        <v>0</v>
      </c>
      <c r="BF3753">
        <v>0</v>
      </c>
      <c r="BG3753">
        <v>0</v>
      </c>
      <c r="BH3753">
        <v>5150</v>
      </c>
      <c r="BI3753">
        <v>1</v>
      </c>
      <c r="BJ3753">
        <v>0</v>
      </c>
      <c r="BK3753">
        <v>0</v>
      </c>
      <c r="BL3753">
        <v>0</v>
      </c>
      <c r="BO3753">
        <v>0</v>
      </c>
      <c r="BP3753">
        <v>0</v>
      </c>
      <c r="BW3753" t="str">
        <f t="shared" si="2095"/>
        <v>14:58:15.479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7</v>
      </c>
      <c r="CP3753" t="s">
        <v>119</v>
      </c>
      <c r="CQ3753">
        <v>285</v>
      </c>
      <c r="CR3753">
        <v>0</v>
      </c>
      <c r="CW3753">
        <v>8883436</v>
      </c>
      <c r="CY3753">
        <v>0</v>
      </c>
      <c r="CZ3753">
        <v>0</v>
      </c>
      <c r="DA3753">
        <v>1</v>
      </c>
      <c r="DB3753">
        <v>0</v>
      </c>
      <c r="DC3753">
        <v>0</v>
      </c>
      <c r="DD3753">
        <v>0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25">
      <c r="A3754" t="str">
        <f t="shared" si="2092"/>
        <v>06/05/2020 14:58:09.837</v>
      </c>
      <c r="C3754" t="str">
        <f t="shared" si="2091"/>
        <v>FFDFD3C0</v>
      </c>
      <c r="D3754" t="s">
        <v>151</v>
      </c>
      <c r="E3754">
        <v>8</v>
      </c>
      <c r="H3754">
        <v>225</v>
      </c>
      <c r="I3754" t="s">
        <v>353</v>
      </c>
      <c r="J3754" t="s">
        <v>150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 t="shared" si="2093"/>
        <v>14:58:15.477</v>
      </c>
      <c r="T3754" t="str">
        <f t="shared" si="2094"/>
        <v>14:58:15.177</v>
      </c>
      <c r="U3754" t="str">
        <f t="shared" si="2071"/>
        <v>ACC530</v>
      </c>
      <c r="V3754">
        <v>0</v>
      </c>
      <c r="W3754">
        <v>0</v>
      </c>
      <c r="X3754">
        <v>1</v>
      </c>
      <c r="Z3754">
        <v>0</v>
      </c>
      <c r="AA3754">
        <v>9</v>
      </c>
      <c r="AB3754">
        <v>3</v>
      </c>
      <c r="AC3754">
        <v>0</v>
      </c>
      <c r="AD3754">
        <v>9</v>
      </c>
      <c r="AE3754">
        <v>0</v>
      </c>
      <c r="AF3754">
        <v>3</v>
      </c>
      <c r="AG3754">
        <v>1</v>
      </c>
      <c r="AH3754">
        <v>0</v>
      </c>
      <c r="AI3754" t="s">
        <v>1213</v>
      </c>
      <c r="AJ3754">
        <v>34.068882000000002</v>
      </c>
      <c r="AK3754" t="s">
        <v>727</v>
      </c>
      <c r="AL3754">
        <v>-117.018299</v>
      </c>
      <c r="AM3754">
        <v>100</v>
      </c>
      <c r="AN3754">
        <v>5300</v>
      </c>
      <c r="AO3754" t="s">
        <v>118</v>
      </c>
      <c r="AP3754">
        <v>-34</v>
      </c>
      <c r="AQ3754">
        <v>-84</v>
      </c>
      <c r="AR3754">
        <v>64</v>
      </c>
      <c r="AZ3754">
        <v>1200</v>
      </c>
      <c r="BA3754">
        <v>1</v>
      </c>
      <c r="BB3754" t="str">
        <f t="shared" si="2074"/>
        <v xml:space="preserve">N9217B  </v>
      </c>
      <c r="BC3754">
        <v>1</v>
      </c>
      <c r="BE3754">
        <v>0</v>
      </c>
      <c r="BF3754">
        <v>0</v>
      </c>
      <c r="BG3754">
        <v>0</v>
      </c>
      <c r="BH3754">
        <v>5150</v>
      </c>
      <c r="BI3754">
        <v>1</v>
      </c>
      <c r="BJ3754">
        <v>0</v>
      </c>
      <c r="BK3754">
        <v>0</v>
      </c>
      <c r="BL3754">
        <v>0</v>
      </c>
      <c r="BO3754">
        <v>0</v>
      </c>
      <c r="BP3754">
        <v>0</v>
      </c>
      <c r="BW3754" t="str">
        <f t="shared" si="2095"/>
        <v>14:58:15.479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7</v>
      </c>
      <c r="CP3754" t="s">
        <v>119</v>
      </c>
      <c r="CQ3754">
        <v>285</v>
      </c>
      <c r="CR3754">
        <v>0</v>
      </c>
      <c r="CW3754">
        <v>8883436</v>
      </c>
      <c r="CY3754">
        <v>0</v>
      </c>
      <c r="CZ3754">
        <v>0</v>
      </c>
      <c r="DA3754">
        <v>1</v>
      </c>
      <c r="DB3754">
        <v>0</v>
      </c>
      <c r="DC3754">
        <v>0</v>
      </c>
      <c r="DD3754">
        <v>0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25">
      <c r="A3755" t="str">
        <f t="shared" si="2092"/>
        <v>06/05/2020 14:58:09.837</v>
      </c>
      <c r="C3755" t="str">
        <f t="shared" si="2091"/>
        <v>FFDFD3C0</v>
      </c>
      <c r="D3755" t="s">
        <v>141</v>
      </c>
      <c r="E3755">
        <v>20</v>
      </c>
      <c r="F3755">
        <v>1020</v>
      </c>
      <c r="G3755" t="s">
        <v>114</v>
      </c>
      <c r="J3755" t="s">
        <v>142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 t="shared" si="2093"/>
        <v>14:58:15.477</v>
      </c>
      <c r="T3755" t="str">
        <f t="shared" si="2094"/>
        <v>14:58:15.177</v>
      </c>
      <c r="U3755" t="str">
        <f t="shared" si="2071"/>
        <v>ACC530</v>
      </c>
      <c r="V3755">
        <v>0</v>
      </c>
      <c r="W3755">
        <v>0</v>
      </c>
      <c r="X3755">
        <v>1</v>
      </c>
      <c r="Z3755">
        <v>0</v>
      </c>
      <c r="AA3755">
        <v>9</v>
      </c>
      <c r="AB3755">
        <v>3</v>
      </c>
      <c r="AC3755">
        <v>0</v>
      </c>
      <c r="AD3755">
        <v>9</v>
      </c>
      <c r="AE3755">
        <v>0</v>
      </c>
      <c r="AF3755">
        <v>3</v>
      </c>
      <c r="AG3755">
        <v>1</v>
      </c>
      <c r="AH3755">
        <v>0</v>
      </c>
      <c r="AI3755" t="s">
        <v>1213</v>
      </c>
      <c r="AJ3755">
        <v>34.068882000000002</v>
      </c>
      <c r="AK3755" t="s">
        <v>727</v>
      </c>
      <c r="AL3755">
        <v>-117.018299</v>
      </c>
      <c r="AM3755">
        <v>100</v>
      </c>
      <c r="AN3755">
        <v>5300</v>
      </c>
      <c r="AO3755" t="s">
        <v>118</v>
      </c>
      <c r="AP3755">
        <v>-34</v>
      </c>
      <c r="AQ3755">
        <v>-84</v>
      </c>
      <c r="AR3755">
        <v>64</v>
      </c>
      <c r="AZ3755">
        <v>1200</v>
      </c>
      <c r="BA3755">
        <v>1</v>
      </c>
      <c r="BB3755" t="str">
        <f t="shared" si="2074"/>
        <v xml:space="preserve">N9217B  </v>
      </c>
      <c r="BC3755">
        <v>1</v>
      </c>
      <c r="BE3755">
        <v>0</v>
      </c>
      <c r="BF3755">
        <v>0</v>
      </c>
      <c r="BG3755">
        <v>0</v>
      </c>
      <c r="BH3755">
        <v>5150</v>
      </c>
      <c r="BI3755">
        <v>1</v>
      </c>
      <c r="BJ3755">
        <v>0</v>
      </c>
      <c r="BK3755">
        <v>0</v>
      </c>
      <c r="BL3755">
        <v>0</v>
      </c>
      <c r="BO3755">
        <v>0</v>
      </c>
      <c r="BP3755">
        <v>0</v>
      </c>
      <c r="BW3755" t="str">
        <f t="shared" si="2095"/>
        <v>14:58:15.479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7</v>
      </c>
      <c r="CP3755" t="s">
        <v>119</v>
      </c>
      <c r="CQ3755">
        <v>285</v>
      </c>
      <c r="CR3755">
        <v>0</v>
      </c>
      <c r="CW3755">
        <v>8883436</v>
      </c>
      <c r="CY3755">
        <v>0</v>
      </c>
      <c r="CZ3755">
        <v>0</v>
      </c>
      <c r="DA3755">
        <v>1</v>
      </c>
      <c r="DB3755">
        <v>0</v>
      </c>
      <c r="DC3755">
        <v>0</v>
      </c>
      <c r="DD3755">
        <v>0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25">
      <c r="A3756" t="str">
        <f t="shared" si="2092"/>
        <v>06/05/2020 14:58:09.837</v>
      </c>
      <c r="C3756" t="str">
        <f t="shared" si="2091"/>
        <v>FFDFD3C0</v>
      </c>
      <c r="D3756" t="s">
        <v>151</v>
      </c>
      <c r="E3756">
        <v>9</v>
      </c>
      <c r="H3756">
        <v>226</v>
      </c>
      <c r="I3756" t="s">
        <v>152</v>
      </c>
      <c r="J3756" t="s">
        <v>150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 t="shared" si="2093"/>
        <v>14:58:15.477</v>
      </c>
      <c r="T3756" t="str">
        <f t="shared" si="2094"/>
        <v>14:58:15.177</v>
      </c>
      <c r="U3756" t="str">
        <f t="shared" si="2071"/>
        <v>ACC530</v>
      </c>
      <c r="V3756">
        <v>0</v>
      </c>
      <c r="W3756">
        <v>0</v>
      </c>
      <c r="X3756">
        <v>1</v>
      </c>
      <c r="Z3756">
        <v>0</v>
      </c>
      <c r="AA3756">
        <v>9</v>
      </c>
      <c r="AB3756">
        <v>3</v>
      </c>
      <c r="AC3756">
        <v>0</v>
      </c>
      <c r="AD3756">
        <v>9</v>
      </c>
      <c r="AE3756">
        <v>0</v>
      </c>
      <c r="AF3756">
        <v>3</v>
      </c>
      <c r="AG3756">
        <v>1</v>
      </c>
      <c r="AH3756">
        <v>0</v>
      </c>
      <c r="AI3756" t="s">
        <v>1213</v>
      </c>
      <c r="AJ3756">
        <v>34.068882000000002</v>
      </c>
      <c r="AK3756" t="s">
        <v>727</v>
      </c>
      <c r="AL3756">
        <v>-117.018299</v>
      </c>
      <c r="AM3756">
        <v>100</v>
      </c>
      <c r="AN3756">
        <v>5300</v>
      </c>
      <c r="AO3756" t="s">
        <v>118</v>
      </c>
      <c r="AP3756">
        <v>-34</v>
      </c>
      <c r="AQ3756">
        <v>-84</v>
      </c>
      <c r="AR3756">
        <v>64</v>
      </c>
      <c r="AZ3756">
        <v>1200</v>
      </c>
      <c r="BA3756">
        <v>1</v>
      </c>
      <c r="BB3756" t="str">
        <f t="shared" si="2074"/>
        <v xml:space="preserve">N9217B  </v>
      </c>
      <c r="BC3756">
        <v>1</v>
      </c>
      <c r="BE3756">
        <v>0</v>
      </c>
      <c r="BF3756">
        <v>0</v>
      </c>
      <c r="BG3756">
        <v>0</v>
      </c>
      <c r="BH3756">
        <v>5150</v>
      </c>
      <c r="BI3756">
        <v>1</v>
      </c>
      <c r="BJ3756">
        <v>0</v>
      </c>
      <c r="BK3756">
        <v>0</v>
      </c>
      <c r="BL3756">
        <v>0</v>
      </c>
      <c r="BO3756">
        <v>0</v>
      </c>
      <c r="BP3756">
        <v>0</v>
      </c>
      <c r="BW3756" t="str">
        <f t="shared" si="2095"/>
        <v>14:58:15.479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7</v>
      </c>
      <c r="CP3756" t="s">
        <v>119</v>
      </c>
      <c r="CQ3756">
        <v>285</v>
      </c>
      <c r="CR3756">
        <v>0</v>
      </c>
      <c r="CW3756">
        <v>8883436</v>
      </c>
      <c r="CY3756">
        <v>0</v>
      </c>
      <c r="CZ3756">
        <v>0</v>
      </c>
      <c r="DA3756">
        <v>1</v>
      </c>
      <c r="DB3756">
        <v>0</v>
      </c>
      <c r="DC3756">
        <v>0</v>
      </c>
      <c r="DD3756">
        <v>0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25">
      <c r="A3757" t="str">
        <f t="shared" si="2092"/>
        <v>06/05/2020 14:58:09.837</v>
      </c>
      <c r="C3757" t="str">
        <f t="shared" si="2091"/>
        <v>FFDFD3C0</v>
      </c>
      <c r="D3757" t="s">
        <v>148</v>
      </c>
      <c r="E3757">
        <v>11</v>
      </c>
      <c r="H3757">
        <v>53</v>
      </c>
      <c r="I3757" t="s">
        <v>364</v>
      </c>
      <c r="J3757" t="s">
        <v>150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 t="shared" si="2093"/>
        <v>14:58:15.477</v>
      </c>
      <c r="T3757" t="str">
        <f t="shared" si="2094"/>
        <v>14:58:15.177</v>
      </c>
      <c r="U3757" t="str">
        <f t="shared" si="2071"/>
        <v>ACC530</v>
      </c>
      <c r="V3757">
        <v>0</v>
      </c>
      <c r="W3757">
        <v>0</v>
      </c>
      <c r="X3757">
        <v>1</v>
      </c>
      <c r="Z3757">
        <v>0</v>
      </c>
      <c r="AA3757">
        <v>9</v>
      </c>
      <c r="AB3757">
        <v>3</v>
      </c>
      <c r="AC3757">
        <v>0</v>
      </c>
      <c r="AD3757">
        <v>9</v>
      </c>
      <c r="AE3757">
        <v>0</v>
      </c>
      <c r="AF3757">
        <v>3</v>
      </c>
      <c r="AG3757">
        <v>1</v>
      </c>
      <c r="AH3757">
        <v>0</v>
      </c>
      <c r="AI3757" t="s">
        <v>1213</v>
      </c>
      <c r="AJ3757">
        <v>34.068882000000002</v>
      </c>
      <c r="AK3757" t="s">
        <v>727</v>
      </c>
      <c r="AL3757">
        <v>-117.018299</v>
      </c>
      <c r="AM3757">
        <v>100</v>
      </c>
      <c r="AN3757">
        <v>5300</v>
      </c>
      <c r="AO3757" t="s">
        <v>118</v>
      </c>
      <c r="AP3757">
        <v>-34</v>
      </c>
      <c r="AQ3757">
        <v>-84</v>
      </c>
      <c r="AR3757">
        <v>64</v>
      </c>
      <c r="AZ3757">
        <v>1200</v>
      </c>
      <c r="BA3757">
        <v>1</v>
      </c>
      <c r="BB3757" t="str">
        <f t="shared" si="2074"/>
        <v xml:space="preserve">N9217B  </v>
      </c>
      <c r="BC3757">
        <v>1</v>
      </c>
      <c r="BE3757">
        <v>0</v>
      </c>
      <c r="BF3757">
        <v>0</v>
      </c>
      <c r="BG3757">
        <v>0</v>
      </c>
      <c r="BH3757">
        <v>5150</v>
      </c>
      <c r="BI3757">
        <v>1</v>
      </c>
      <c r="BJ3757">
        <v>0</v>
      </c>
      <c r="BK3757">
        <v>0</v>
      </c>
      <c r="BL3757">
        <v>0</v>
      </c>
      <c r="BO3757">
        <v>0</v>
      </c>
      <c r="BP3757">
        <v>0</v>
      </c>
      <c r="BW3757" t="str">
        <f t="shared" si="2095"/>
        <v>14:58:15.479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7</v>
      </c>
      <c r="CP3757" t="s">
        <v>119</v>
      </c>
      <c r="CQ3757">
        <v>285</v>
      </c>
      <c r="CR3757">
        <v>0</v>
      </c>
      <c r="CW3757">
        <v>8883436</v>
      </c>
      <c r="CY3757">
        <v>0</v>
      </c>
      <c r="CZ3757">
        <v>0</v>
      </c>
      <c r="DA3757">
        <v>1</v>
      </c>
      <c r="DB3757">
        <v>0</v>
      </c>
      <c r="DC3757">
        <v>0</v>
      </c>
      <c r="DD3757">
        <v>0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25">
      <c r="A3758" t="str">
        <f t="shared" si="2092"/>
        <v>06/05/2020 14:58:09.837</v>
      </c>
      <c r="C3758" t="str">
        <f t="shared" si="2091"/>
        <v>FFDFD3C0</v>
      </c>
      <c r="D3758" t="s">
        <v>113</v>
      </c>
      <c r="E3758">
        <v>3</v>
      </c>
      <c r="H3758">
        <v>166</v>
      </c>
      <c r="I3758" t="s">
        <v>114</v>
      </c>
      <c r="J3758" t="s">
        <v>115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 t="shared" si="2093"/>
        <v>14:58:15.477</v>
      </c>
      <c r="T3758" t="str">
        <f t="shared" si="2094"/>
        <v>14:58:15.177</v>
      </c>
      <c r="U3758" t="str">
        <f t="shared" si="2071"/>
        <v>ACC530</v>
      </c>
      <c r="V3758">
        <v>0</v>
      </c>
      <c r="W3758">
        <v>0</v>
      </c>
      <c r="X3758">
        <v>1</v>
      </c>
      <c r="Z3758">
        <v>0</v>
      </c>
      <c r="AA3758">
        <v>9</v>
      </c>
      <c r="AB3758">
        <v>3</v>
      </c>
      <c r="AC3758">
        <v>0</v>
      </c>
      <c r="AD3758">
        <v>9</v>
      </c>
      <c r="AE3758">
        <v>0</v>
      </c>
      <c r="AF3758">
        <v>3</v>
      </c>
      <c r="AG3758">
        <v>1</v>
      </c>
      <c r="AH3758">
        <v>0</v>
      </c>
      <c r="AI3758" t="s">
        <v>1213</v>
      </c>
      <c r="AJ3758">
        <v>34.068882000000002</v>
      </c>
      <c r="AK3758" t="s">
        <v>727</v>
      </c>
      <c r="AL3758">
        <v>-117.018299</v>
      </c>
      <c r="AM3758">
        <v>100</v>
      </c>
      <c r="AN3758">
        <v>5300</v>
      </c>
      <c r="AO3758" t="s">
        <v>118</v>
      </c>
      <c r="AP3758">
        <v>-34</v>
      </c>
      <c r="AQ3758">
        <v>-84</v>
      </c>
      <c r="AR3758">
        <v>64</v>
      </c>
      <c r="AZ3758">
        <v>1200</v>
      </c>
      <c r="BA3758">
        <v>1</v>
      </c>
      <c r="BB3758" t="str">
        <f t="shared" si="2074"/>
        <v xml:space="preserve">N9217B  </v>
      </c>
      <c r="BC3758">
        <v>1</v>
      </c>
      <c r="BE3758">
        <v>0</v>
      </c>
      <c r="BF3758">
        <v>0</v>
      </c>
      <c r="BG3758">
        <v>0</v>
      </c>
      <c r="BH3758">
        <v>5150</v>
      </c>
      <c r="BI3758">
        <v>1</v>
      </c>
      <c r="BJ3758">
        <v>0</v>
      </c>
      <c r="BK3758">
        <v>0</v>
      </c>
      <c r="BL3758">
        <v>0</v>
      </c>
      <c r="BO3758">
        <v>0</v>
      </c>
      <c r="BP3758">
        <v>0</v>
      </c>
      <c r="BW3758" t="str">
        <f t="shared" si="2095"/>
        <v>14:58:15.479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7</v>
      </c>
      <c r="CP3758" t="s">
        <v>119</v>
      </c>
      <c r="CQ3758">
        <v>285</v>
      </c>
      <c r="CR3758">
        <v>0</v>
      </c>
      <c r="CW3758">
        <v>8883436</v>
      </c>
      <c r="CY3758">
        <v>0</v>
      </c>
      <c r="CZ3758">
        <v>0</v>
      </c>
      <c r="DA3758">
        <v>1</v>
      </c>
      <c r="DB3758">
        <v>0</v>
      </c>
      <c r="DC3758">
        <v>0</v>
      </c>
      <c r="DD3758">
        <v>0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25">
      <c r="A3759" t="str">
        <f t="shared" ref="A3759:A3765" si="2096">"06/05/2020 14:58:10.822"</f>
        <v>06/05/2020 14:58:10.822</v>
      </c>
      <c r="C3759" t="str">
        <f t="shared" si="2091"/>
        <v>FFDFD3C0</v>
      </c>
      <c r="D3759" t="s">
        <v>151</v>
      </c>
      <c r="E3759">
        <v>9</v>
      </c>
      <c r="H3759">
        <v>226</v>
      </c>
      <c r="I3759" t="s">
        <v>152</v>
      </c>
      <c r="J3759" t="s">
        <v>150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 t="shared" ref="S3759:S3765" si="2097">"14:58:16.453"</f>
        <v>14:58:16.453</v>
      </c>
      <c r="T3759" t="str">
        <f t="shared" ref="T3759:T3765" si="2098">"14:58:16.153"</f>
        <v>14:58:16.153</v>
      </c>
      <c r="U3759" t="str">
        <f t="shared" si="2071"/>
        <v>ACC530</v>
      </c>
      <c r="V3759">
        <v>0</v>
      </c>
      <c r="W3759">
        <v>0</v>
      </c>
      <c r="X3759">
        <v>1</v>
      </c>
      <c r="Z3759">
        <v>0</v>
      </c>
      <c r="AA3759">
        <v>9</v>
      </c>
      <c r="AB3759">
        <v>3</v>
      </c>
      <c r="AC3759">
        <v>0</v>
      </c>
      <c r="AD3759">
        <v>9</v>
      </c>
      <c r="AE3759">
        <v>0</v>
      </c>
      <c r="AF3759">
        <v>3</v>
      </c>
      <c r="AG3759">
        <v>1</v>
      </c>
      <c r="AH3759">
        <v>0</v>
      </c>
      <c r="AI3759" t="s">
        <v>1214</v>
      </c>
      <c r="AJ3759">
        <v>34.068517999999997</v>
      </c>
      <c r="AK3759" t="s">
        <v>1215</v>
      </c>
      <c r="AL3759">
        <v>-117.01847100000001</v>
      </c>
      <c r="AM3759">
        <v>100</v>
      </c>
      <c r="AN3759">
        <v>5300</v>
      </c>
      <c r="AO3759" t="s">
        <v>118</v>
      </c>
      <c r="AP3759">
        <v>-32</v>
      </c>
      <c r="AQ3759">
        <v>-85</v>
      </c>
      <c r="AR3759">
        <v>64</v>
      </c>
      <c r="AZ3759">
        <v>1200</v>
      </c>
      <c r="BA3759">
        <v>1</v>
      </c>
      <c r="BB3759" t="str">
        <f t="shared" si="2074"/>
        <v xml:space="preserve">N9217B  </v>
      </c>
      <c r="BC3759">
        <v>1</v>
      </c>
      <c r="BE3759">
        <v>0</v>
      </c>
      <c r="BF3759">
        <v>0</v>
      </c>
      <c r="BG3759">
        <v>0</v>
      </c>
      <c r="BH3759">
        <v>5150</v>
      </c>
      <c r="BI3759">
        <v>1</v>
      </c>
      <c r="BJ3759">
        <v>0</v>
      </c>
      <c r="BK3759">
        <v>0</v>
      </c>
      <c r="BL3759">
        <v>0</v>
      </c>
      <c r="BO3759">
        <v>0</v>
      </c>
      <c r="BP3759">
        <v>0</v>
      </c>
      <c r="BW3759" t="str">
        <f t="shared" ref="BW3759:BW3765" si="2099">"14:58:16.453"</f>
        <v>14:58:16.453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7</v>
      </c>
      <c r="CP3759" t="s">
        <v>119</v>
      </c>
      <c r="CQ3759">
        <v>285</v>
      </c>
      <c r="CR3759">
        <v>0</v>
      </c>
      <c r="CW3759">
        <v>8883528</v>
      </c>
      <c r="CY3759">
        <v>0</v>
      </c>
      <c r="CZ3759">
        <v>0</v>
      </c>
      <c r="DA3759">
        <v>0</v>
      </c>
      <c r="DB3759">
        <v>0</v>
      </c>
      <c r="DC3759">
        <v>0</v>
      </c>
      <c r="DD3759">
        <v>0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25">
      <c r="A3760" t="str">
        <f t="shared" si="2096"/>
        <v>06/05/2020 14:58:10.822</v>
      </c>
      <c r="C3760" t="str">
        <f t="shared" si="2091"/>
        <v>FFDFD3C0</v>
      </c>
      <c r="D3760" t="s">
        <v>148</v>
      </c>
      <c r="E3760">
        <v>11</v>
      </c>
      <c r="H3760">
        <v>53</v>
      </c>
      <c r="I3760" t="s">
        <v>364</v>
      </c>
      <c r="J3760" t="s">
        <v>150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 t="shared" si="2097"/>
        <v>14:58:16.453</v>
      </c>
      <c r="T3760" t="str">
        <f t="shared" si="2098"/>
        <v>14:58:16.153</v>
      </c>
      <c r="U3760" t="str">
        <f t="shared" si="2071"/>
        <v>ACC530</v>
      </c>
      <c r="V3760">
        <v>0</v>
      </c>
      <c r="W3760">
        <v>0</v>
      </c>
      <c r="X3760">
        <v>1</v>
      </c>
      <c r="Z3760">
        <v>0</v>
      </c>
      <c r="AA3760">
        <v>9</v>
      </c>
      <c r="AB3760">
        <v>3</v>
      </c>
      <c r="AC3760">
        <v>0</v>
      </c>
      <c r="AD3760">
        <v>9</v>
      </c>
      <c r="AE3760">
        <v>0</v>
      </c>
      <c r="AF3760">
        <v>3</v>
      </c>
      <c r="AG3760">
        <v>1</v>
      </c>
      <c r="AH3760">
        <v>0</v>
      </c>
      <c r="AI3760" t="s">
        <v>1214</v>
      </c>
      <c r="AJ3760">
        <v>34.068517999999997</v>
      </c>
      <c r="AK3760" t="s">
        <v>1215</v>
      </c>
      <c r="AL3760">
        <v>-117.01847100000001</v>
      </c>
      <c r="AM3760">
        <v>100</v>
      </c>
      <c r="AN3760">
        <v>5300</v>
      </c>
      <c r="AO3760" t="s">
        <v>118</v>
      </c>
      <c r="AP3760">
        <v>-32</v>
      </c>
      <c r="AQ3760">
        <v>-85</v>
      </c>
      <c r="AR3760">
        <v>64</v>
      </c>
      <c r="AZ3760">
        <v>1200</v>
      </c>
      <c r="BA3760">
        <v>1</v>
      </c>
      <c r="BB3760" t="str">
        <f t="shared" si="2074"/>
        <v xml:space="preserve">N9217B  </v>
      </c>
      <c r="BC3760">
        <v>1</v>
      </c>
      <c r="BE3760">
        <v>0</v>
      </c>
      <c r="BF3760">
        <v>0</v>
      </c>
      <c r="BG3760">
        <v>0</v>
      </c>
      <c r="BH3760">
        <v>5150</v>
      </c>
      <c r="BI3760">
        <v>1</v>
      </c>
      <c r="BJ3760">
        <v>0</v>
      </c>
      <c r="BK3760">
        <v>0</v>
      </c>
      <c r="BL3760">
        <v>0</v>
      </c>
      <c r="BO3760">
        <v>0</v>
      </c>
      <c r="BP3760">
        <v>0</v>
      </c>
      <c r="BW3760" t="str">
        <f t="shared" si="2099"/>
        <v>14:58:16.453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7</v>
      </c>
      <c r="CP3760" t="s">
        <v>119</v>
      </c>
      <c r="CQ3760">
        <v>285</v>
      </c>
      <c r="CR3760">
        <v>0</v>
      </c>
      <c r="CW3760">
        <v>8883528</v>
      </c>
      <c r="CY3760">
        <v>0</v>
      </c>
      <c r="CZ3760">
        <v>0</v>
      </c>
      <c r="DA3760">
        <v>1</v>
      </c>
      <c r="DB3760">
        <v>0</v>
      </c>
      <c r="DC3760">
        <v>0</v>
      </c>
      <c r="DD3760">
        <v>0</v>
      </c>
      <c r="DE3760">
        <v>0</v>
      </c>
      <c r="DF3760">
        <v>0</v>
      </c>
      <c r="DG3760">
        <v>0</v>
      </c>
      <c r="DH3760">
        <v>0</v>
      </c>
      <c r="DI3760">
        <v>0</v>
      </c>
    </row>
    <row r="3761" spans="1:113" x14ac:dyDescent="0.25">
      <c r="A3761" t="str">
        <f t="shared" si="2096"/>
        <v>06/05/2020 14:58:10.822</v>
      </c>
      <c r="C3761" t="str">
        <f t="shared" si="2091"/>
        <v>FFDFD3C0</v>
      </c>
      <c r="D3761" t="s">
        <v>113</v>
      </c>
      <c r="E3761">
        <v>3</v>
      </c>
      <c r="H3761">
        <v>166</v>
      </c>
      <c r="I3761" t="s">
        <v>114</v>
      </c>
      <c r="J3761" t="s">
        <v>115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 t="shared" si="2097"/>
        <v>14:58:16.453</v>
      </c>
      <c r="T3761" t="str">
        <f t="shared" si="2098"/>
        <v>14:58:16.153</v>
      </c>
      <c r="U3761" t="str">
        <f t="shared" si="2071"/>
        <v>ACC530</v>
      </c>
      <c r="V3761">
        <v>0</v>
      </c>
      <c r="W3761">
        <v>0</v>
      </c>
      <c r="X3761">
        <v>1</v>
      </c>
      <c r="Z3761">
        <v>0</v>
      </c>
      <c r="AA3761">
        <v>9</v>
      </c>
      <c r="AB3761">
        <v>3</v>
      </c>
      <c r="AC3761">
        <v>0</v>
      </c>
      <c r="AD3761">
        <v>9</v>
      </c>
      <c r="AE3761">
        <v>0</v>
      </c>
      <c r="AF3761">
        <v>3</v>
      </c>
      <c r="AG3761">
        <v>1</v>
      </c>
      <c r="AH3761">
        <v>0</v>
      </c>
      <c r="AI3761" t="s">
        <v>1214</v>
      </c>
      <c r="AJ3761">
        <v>34.068517999999997</v>
      </c>
      <c r="AK3761" t="s">
        <v>1215</v>
      </c>
      <c r="AL3761">
        <v>-117.01847100000001</v>
      </c>
      <c r="AM3761">
        <v>100</v>
      </c>
      <c r="AN3761">
        <v>5300</v>
      </c>
      <c r="AO3761" t="s">
        <v>118</v>
      </c>
      <c r="AP3761">
        <v>-32</v>
      </c>
      <c r="AQ3761">
        <v>-85</v>
      </c>
      <c r="AR3761">
        <v>64</v>
      </c>
      <c r="AZ3761">
        <v>1200</v>
      </c>
      <c r="BA3761">
        <v>1</v>
      </c>
      <c r="BB3761" t="str">
        <f t="shared" si="2074"/>
        <v xml:space="preserve">N9217B  </v>
      </c>
      <c r="BC3761">
        <v>1</v>
      </c>
      <c r="BE3761">
        <v>0</v>
      </c>
      <c r="BF3761">
        <v>0</v>
      </c>
      <c r="BG3761">
        <v>0</v>
      </c>
      <c r="BH3761">
        <v>5150</v>
      </c>
      <c r="BI3761">
        <v>1</v>
      </c>
      <c r="BJ3761">
        <v>0</v>
      </c>
      <c r="BK3761">
        <v>0</v>
      </c>
      <c r="BL3761">
        <v>0</v>
      </c>
      <c r="BO3761">
        <v>0</v>
      </c>
      <c r="BP3761">
        <v>0</v>
      </c>
      <c r="BW3761" t="str">
        <f t="shared" si="2099"/>
        <v>14:58:16.453</v>
      </c>
      <c r="CJ3761">
        <v>0</v>
      </c>
      <c r="CK3761">
        <v>2</v>
      </c>
      <c r="CL3761">
        <v>0</v>
      </c>
      <c r="CM3761">
        <v>2</v>
      </c>
      <c r="CN3761">
        <v>0</v>
      </c>
      <c r="CO3761">
        <v>7</v>
      </c>
      <c r="CP3761" t="s">
        <v>119</v>
      </c>
      <c r="CQ3761">
        <v>285</v>
      </c>
      <c r="CR3761">
        <v>0</v>
      </c>
      <c r="CW3761">
        <v>8883528</v>
      </c>
      <c r="CY3761">
        <v>0</v>
      </c>
      <c r="CZ3761">
        <v>0</v>
      </c>
      <c r="DA3761">
        <v>1</v>
      </c>
      <c r="DB3761">
        <v>0</v>
      </c>
      <c r="DC3761">
        <v>0</v>
      </c>
      <c r="DD3761">
        <v>0</v>
      </c>
      <c r="DE3761">
        <v>0</v>
      </c>
      <c r="DF3761">
        <v>0</v>
      </c>
      <c r="DG3761">
        <v>0</v>
      </c>
      <c r="DH3761">
        <v>0</v>
      </c>
      <c r="DI3761">
        <v>0</v>
      </c>
    </row>
    <row r="3762" spans="1:113" x14ac:dyDescent="0.25">
      <c r="A3762" t="str">
        <f t="shared" si="2096"/>
        <v>06/05/2020 14:58:10.822</v>
      </c>
      <c r="C3762" t="str">
        <f t="shared" si="2091"/>
        <v>FFDFD3C0</v>
      </c>
      <c r="D3762" t="s">
        <v>148</v>
      </c>
      <c r="E3762">
        <v>8</v>
      </c>
      <c r="H3762">
        <v>50</v>
      </c>
      <c r="I3762" t="s">
        <v>149</v>
      </c>
      <c r="J3762" t="s">
        <v>150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 t="shared" si="2097"/>
        <v>14:58:16.453</v>
      </c>
      <c r="T3762" t="str">
        <f t="shared" si="2098"/>
        <v>14:58:16.153</v>
      </c>
      <c r="U3762" t="str">
        <f t="shared" si="2071"/>
        <v>ACC530</v>
      </c>
      <c r="V3762">
        <v>0</v>
      </c>
      <c r="W3762">
        <v>0</v>
      </c>
      <c r="X3762">
        <v>1</v>
      </c>
      <c r="Z3762">
        <v>0</v>
      </c>
      <c r="AA3762">
        <v>9</v>
      </c>
      <c r="AB3762">
        <v>3</v>
      </c>
      <c r="AC3762">
        <v>0</v>
      </c>
      <c r="AD3762">
        <v>9</v>
      </c>
      <c r="AE3762">
        <v>0</v>
      </c>
      <c r="AF3762">
        <v>3</v>
      </c>
      <c r="AG3762">
        <v>1</v>
      </c>
      <c r="AH3762">
        <v>0</v>
      </c>
      <c r="AI3762" t="s">
        <v>1214</v>
      </c>
      <c r="AJ3762">
        <v>34.068517999999997</v>
      </c>
      <c r="AK3762" t="s">
        <v>1215</v>
      </c>
      <c r="AL3762">
        <v>-117.01847100000001</v>
      </c>
      <c r="AM3762">
        <v>100</v>
      </c>
      <c r="AN3762">
        <v>5300</v>
      </c>
      <c r="AO3762" t="s">
        <v>118</v>
      </c>
      <c r="AP3762">
        <v>-32</v>
      </c>
      <c r="AQ3762">
        <v>-85</v>
      </c>
      <c r="AR3762">
        <v>64</v>
      </c>
      <c r="AZ3762">
        <v>1200</v>
      </c>
      <c r="BA3762">
        <v>1</v>
      </c>
      <c r="BB3762" t="str">
        <f t="shared" si="2074"/>
        <v xml:space="preserve">N9217B  </v>
      </c>
      <c r="BC3762">
        <v>1</v>
      </c>
      <c r="BE3762">
        <v>0</v>
      </c>
      <c r="BF3762">
        <v>0</v>
      </c>
      <c r="BG3762">
        <v>0</v>
      </c>
      <c r="BH3762">
        <v>5150</v>
      </c>
      <c r="BI3762">
        <v>1</v>
      </c>
      <c r="BJ3762">
        <v>0</v>
      </c>
      <c r="BK3762">
        <v>0</v>
      </c>
      <c r="BL3762">
        <v>0</v>
      </c>
      <c r="BO3762">
        <v>0</v>
      </c>
      <c r="BP3762">
        <v>0</v>
      </c>
      <c r="BW3762" t="str">
        <f t="shared" si="2099"/>
        <v>14:58:16.453</v>
      </c>
      <c r="CJ3762">
        <v>0</v>
      </c>
      <c r="CK3762">
        <v>2</v>
      </c>
      <c r="CL3762">
        <v>0</v>
      </c>
      <c r="CM3762">
        <v>2</v>
      </c>
      <c r="CN3762">
        <v>0</v>
      </c>
      <c r="CO3762">
        <v>7</v>
      </c>
      <c r="CP3762" t="s">
        <v>119</v>
      </c>
      <c r="CQ3762">
        <v>285</v>
      </c>
      <c r="CR3762">
        <v>0</v>
      </c>
      <c r="CW3762">
        <v>8883528</v>
      </c>
      <c r="CY3762">
        <v>0</v>
      </c>
      <c r="CZ3762">
        <v>0</v>
      </c>
      <c r="DA3762">
        <v>1</v>
      </c>
      <c r="DB3762">
        <v>0</v>
      </c>
      <c r="DC3762">
        <v>0</v>
      </c>
      <c r="DD3762">
        <v>0</v>
      </c>
      <c r="DE3762">
        <v>0</v>
      </c>
      <c r="DF3762">
        <v>0</v>
      </c>
      <c r="DG3762">
        <v>0</v>
      </c>
      <c r="DH3762">
        <v>0</v>
      </c>
      <c r="DI3762">
        <v>0</v>
      </c>
    </row>
    <row r="3763" spans="1:113" x14ac:dyDescent="0.25">
      <c r="A3763" t="str">
        <f t="shared" si="2096"/>
        <v>06/05/2020 14:58:10.822</v>
      </c>
      <c r="C3763" t="str">
        <f t="shared" si="2091"/>
        <v>FFDFD3C0</v>
      </c>
      <c r="D3763" t="s">
        <v>134</v>
      </c>
      <c r="E3763">
        <v>7</v>
      </c>
      <c r="F3763">
        <v>2007</v>
      </c>
      <c r="G3763" t="s">
        <v>135</v>
      </c>
      <c r="J3763" t="s">
        <v>136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 t="shared" si="2097"/>
        <v>14:58:16.453</v>
      </c>
      <c r="T3763" t="str">
        <f t="shared" si="2098"/>
        <v>14:58:16.153</v>
      </c>
      <c r="U3763" t="str">
        <f t="shared" si="2071"/>
        <v>ACC530</v>
      </c>
      <c r="V3763">
        <v>0</v>
      </c>
      <c r="W3763">
        <v>0</v>
      </c>
      <c r="X3763">
        <v>1</v>
      </c>
      <c r="Z3763">
        <v>0</v>
      </c>
      <c r="AA3763">
        <v>9</v>
      </c>
      <c r="AB3763">
        <v>3</v>
      </c>
      <c r="AC3763">
        <v>0</v>
      </c>
      <c r="AD3763">
        <v>9</v>
      </c>
      <c r="AE3763">
        <v>0</v>
      </c>
      <c r="AF3763">
        <v>3</v>
      </c>
      <c r="AG3763">
        <v>1</v>
      </c>
      <c r="AH3763">
        <v>0</v>
      </c>
      <c r="AI3763" t="s">
        <v>1214</v>
      </c>
      <c r="AJ3763">
        <v>34.068517999999997</v>
      </c>
      <c r="AK3763" t="s">
        <v>1215</v>
      </c>
      <c r="AL3763">
        <v>-117.01847100000001</v>
      </c>
      <c r="AM3763">
        <v>100</v>
      </c>
      <c r="AN3763">
        <v>5300</v>
      </c>
      <c r="AO3763" t="s">
        <v>118</v>
      </c>
      <c r="AP3763">
        <v>-32</v>
      </c>
      <c r="AQ3763">
        <v>-85</v>
      </c>
      <c r="AR3763">
        <v>64</v>
      </c>
      <c r="AZ3763">
        <v>1200</v>
      </c>
      <c r="BA3763">
        <v>1</v>
      </c>
      <c r="BB3763" t="str">
        <f t="shared" si="2074"/>
        <v xml:space="preserve">N9217B  </v>
      </c>
      <c r="BC3763">
        <v>1</v>
      </c>
      <c r="BE3763">
        <v>0</v>
      </c>
      <c r="BF3763">
        <v>0</v>
      </c>
      <c r="BG3763">
        <v>0</v>
      </c>
      <c r="BH3763">
        <v>5150</v>
      </c>
      <c r="BI3763">
        <v>1</v>
      </c>
      <c r="BJ3763">
        <v>0</v>
      </c>
      <c r="BK3763">
        <v>0</v>
      </c>
      <c r="BL3763">
        <v>0</v>
      </c>
      <c r="BO3763">
        <v>0</v>
      </c>
      <c r="BP3763">
        <v>0</v>
      </c>
      <c r="BW3763" t="str">
        <f t="shared" si="2099"/>
        <v>14:58:16.453</v>
      </c>
      <c r="CJ3763">
        <v>0</v>
      </c>
      <c r="CK3763">
        <v>2</v>
      </c>
      <c r="CL3763">
        <v>0</v>
      </c>
      <c r="CM3763">
        <v>2</v>
      </c>
      <c r="CN3763">
        <v>0</v>
      </c>
      <c r="CO3763">
        <v>7</v>
      </c>
      <c r="CP3763" t="s">
        <v>119</v>
      </c>
      <c r="CQ3763">
        <v>285</v>
      </c>
      <c r="CR3763">
        <v>0</v>
      </c>
      <c r="CW3763">
        <v>8883528</v>
      </c>
      <c r="CY3763">
        <v>0</v>
      </c>
      <c r="CZ3763">
        <v>0</v>
      </c>
      <c r="DA3763">
        <v>1</v>
      </c>
      <c r="DB3763">
        <v>0</v>
      </c>
      <c r="DC3763">
        <v>0</v>
      </c>
      <c r="DD3763">
        <v>0</v>
      </c>
      <c r="DE3763">
        <v>0</v>
      </c>
      <c r="DF3763">
        <v>0</v>
      </c>
      <c r="DG3763">
        <v>0</v>
      </c>
      <c r="DH3763">
        <v>0</v>
      </c>
      <c r="DI3763">
        <v>0</v>
      </c>
    </row>
    <row r="3764" spans="1:113" x14ac:dyDescent="0.25">
      <c r="A3764" t="str">
        <f t="shared" si="2096"/>
        <v>06/05/2020 14:58:10.822</v>
      </c>
      <c r="C3764" t="str">
        <f t="shared" si="2091"/>
        <v>FFDFD3C0</v>
      </c>
      <c r="D3764" t="s">
        <v>151</v>
      </c>
      <c r="E3764">
        <v>8</v>
      </c>
      <c r="H3764">
        <v>225</v>
      </c>
      <c r="I3764" t="s">
        <v>353</v>
      </c>
      <c r="J3764" t="s">
        <v>150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 t="shared" si="2097"/>
        <v>14:58:16.453</v>
      </c>
      <c r="T3764" t="str">
        <f t="shared" si="2098"/>
        <v>14:58:16.153</v>
      </c>
      <c r="U3764" t="str">
        <f t="shared" si="2071"/>
        <v>ACC530</v>
      </c>
      <c r="V3764">
        <v>0</v>
      </c>
      <c r="W3764">
        <v>0</v>
      </c>
      <c r="X3764">
        <v>1</v>
      </c>
      <c r="Z3764">
        <v>0</v>
      </c>
      <c r="AA3764">
        <v>9</v>
      </c>
      <c r="AB3764">
        <v>3</v>
      </c>
      <c r="AC3764">
        <v>0</v>
      </c>
      <c r="AD3764">
        <v>9</v>
      </c>
      <c r="AE3764">
        <v>0</v>
      </c>
      <c r="AF3764">
        <v>3</v>
      </c>
      <c r="AG3764">
        <v>1</v>
      </c>
      <c r="AH3764">
        <v>0</v>
      </c>
      <c r="AI3764" t="s">
        <v>1214</v>
      </c>
      <c r="AJ3764">
        <v>34.068517999999997</v>
      </c>
      <c r="AK3764" t="s">
        <v>1215</v>
      </c>
      <c r="AL3764">
        <v>-117.01847100000001</v>
      </c>
      <c r="AM3764">
        <v>100</v>
      </c>
      <c r="AN3764">
        <v>5300</v>
      </c>
      <c r="AO3764" t="s">
        <v>118</v>
      </c>
      <c r="AP3764">
        <v>-32</v>
      </c>
      <c r="AQ3764">
        <v>-85</v>
      </c>
      <c r="AR3764">
        <v>64</v>
      </c>
      <c r="AZ3764">
        <v>1200</v>
      </c>
      <c r="BA3764">
        <v>1</v>
      </c>
      <c r="BB3764" t="str">
        <f t="shared" si="2074"/>
        <v xml:space="preserve">N9217B  </v>
      </c>
      <c r="BC3764">
        <v>1</v>
      </c>
      <c r="BE3764">
        <v>0</v>
      </c>
      <c r="BF3764">
        <v>0</v>
      </c>
      <c r="BG3764">
        <v>0</v>
      </c>
      <c r="BH3764">
        <v>5150</v>
      </c>
      <c r="BI3764">
        <v>1</v>
      </c>
      <c r="BJ3764">
        <v>0</v>
      </c>
      <c r="BK3764">
        <v>0</v>
      </c>
      <c r="BL3764">
        <v>0</v>
      </c>
      <c r="BO3764">
        <v>0</v>
      </c>
      <c r="BP3764">
        <v>0</v>
      </c>
      <c r="BW3764" t="str">
        <f t="shared" si="2099"/>
        <v>14:58:16.453</v>
      </c>
      <c r="CJ3764">
        <v>0</v>
      </c>
      <c r="CK3764">
        <v>2</v>
      </c>
      <c r="CL3764">
        <v>0</v>
      </c>
      <c r="CM3764">
        <v>2</v>
      </c>
      <c r="CN3764">
        <v>0</v>
      </c>
      <c r="CO3764">
        <v>7</v>
      </c>
      <c r="CP3764" t="s">
        <v>119</v>
      </c>
      <c r="CQ3764">
        <v>285</v>
      </c>
      <c r="CR3764">
        <v>0</v>
      </c>
      <c r="CW3764">
        <v>8883528</v>
      </c>
      <c r="CY3764">
        <v>0</v>
      </c>
      <c r="CZ3764">
        <v>0</v>
      </c>
      <c r="DA3764">
        <v>1</v>
      </c>
      <c r="DB3764">
        <v>0</v>
      </c>
      <c r="DC3764">
        <v>0</v>
      </c>
      <c r="DD3764">
        <v>0</v>
      </c>
      <c r="DE3764">
        <v>0</v>
      </c>
      <c r="DF3764">
        <v>0</v>
      </c>
      <c r="DG3764">
        <v>0</v>
      </c>
      <c r="DH3764">
        <v>0</v>
      </c>
      <c r="DI3764">
        <v>0</v>
      </c>
    </row>
    <row r="3765" spans="1:113" x14ac:dyDescent="0.25">
      <c r="A3765" t="str">
        <f t="shared" si="2096"/>
        <v>06/05/2020 14:58:10.822</v>
      </c>
      <c r="C3765" t="str">
        <f t="shared" si="2091"/>
        <v>FFDFD3C0</v>
      </c>
      <c r="D3765" t="s">
        <v>141</v>
      </c>
      <c r="E3765">
        <v>20</v>
      </c>
      <c r="F3765">
        <v>1020</v>
      </c>
      <c r="G3765" t="s">
        <v>114</v>
      </c>
      <c r="J3765" t="s">
        <v>142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 t="shared" si="2097"/>
        <v>14:58:16.453</v>
      </c>
      <c r="T3765" t="str">
        <f t="shared" si="2098"/>
        <v>14:58:16.153</v>
      </c>
      <c r="U3765" t="str">
        <f t="shared" si="2071"/>
        <v>ACC530</v>
      </c>
      <c r="V3765">
        <v>0</v>
      </c>
      <c r="W3765">
        <v>0</v>
      </c>
      <c r="X3765">
        <v>1</v>
      </c>
      <c r="Z3765">
        <v>0</v>
      </c>
      <c r="AA3765">
        <v>9</v>
      </c>
      <c r="AB3765">
        <v>3</v>
      </c>
      <c r="AC3765">
        <v>0</v>
      </c>
      <c r="AD3765">
        <v>9</v>
      </c>
      <c r="AE3765">
        <v>0</v>
      </c>
      <c r="AF3765">
        <v>3</v>
      </c>
      <c r="AG3765">
        <v>1</v>
      </c>
      <c r="AH3765">
        <v>0</v>
      </c>
      <c r="AI3765" t="s">
        <v>1214</v>
      </c>
      <c r="AJ3765">
        <v>34.068517999999997</v>
      </c>
      <c r="AK3765" t="s">
        <v>1215</v>
      </c>
      <c r="AL3765">
        <v>-117.01847100000001</v>
      </c>
      <c r="AM3765">
        <v>100</v>
      </c>
      <c r="AN3765">
        <v>5300</v>
      </c>
      <c r="AO3765" t="s">
        <v>118</v>
      </c>
      <c r="AP3765">
        <v>-32</v>
      </c>
      <c r="AQ3765">
        <v>-85</v>
      </c>
      <c r="AR3765">
        <v>64</v>
      </c>
      <c r="AZ3765">
        <v>1200</v>
      </c>
      <c r="BA3765">
        <v>1</v>
      </c>
      <c r="BB3765" t="str">
        <f t="shared" si="2074"/>
        <v xml:space="preserve">N9217B  </v>
      </c>
      <c r="BC3765">
        <v>1</v>
      </c>
      <c r="BE3765">
        <v>0</v>
      </c>
      <c r="BF3765">
        <v>0</v>
      </c>
      <c r="BG3765">
        <v>0</v>
      </c>
      <c r="BH3765">
        <v>5150</v>
      </c>
      <c r="BI3765">
        <v>1</v>
      </c>
      <c r="BJ3765">
        <v>0</v>
      </c>
      <c r="BK3765">
        <v>0</v>
      </c>
      <c r="BL3765">
        <v>0</v>
      </c>
      <c r="BO3765">
        <v>0</v>
      </c>
      <c r="BP3765">
        <v>0</v>
      </c>
      <c r="BW3765" t="str">
        <f t="shared" si="2099"/>
        <v>14:58:16.453</v>
      </c>
      <c r="CJ3765">
        <v>0</v>
      </c>
      <c r="CK3765">
        <v>2</v>
      </c>
      <c r="CL3765">
        <v>0</v>
      </c>
      <c r="CM3765">
        <v>2</v>
      </c>
      <c r="CN3765">
        <v>0</v>
      </c>
      <c r="CO3765">
        <v>7</v>
      </c>
      <c r="CP3765" t="s">
        <v>119</v>
      </c>
      <c r="CQ3765">
        <v>285</v>
      </c>
      <c r="CR3765">
        <v>0</v>
      </c>
      <c r="CW3765">
        <v>8883528</v>
      </c>
      <c r="CY3765">
        <v>0</v>
      </c>
      <c r="CZ3765">
        <v>0</v>
      </c>
      <c r="DA3765">
        <v>1</v>
      </c>
      <c r="DB3765">
        <v>0</v>
      </c>
      <c r="DC3765">
        <v>0</v>
      </c>
      <c r="DD3765">
        <v>0</v>
      </c>
      <c r="DE3765">
        <v>0</v>
      </c>
      <c r="DF3765">
        <v>0</v>
      </c>
      <c r="DG3765">
        <v>0</v>
      </c>
      <c r="DH3765">
        <v>0</v>
      </c>
      <c r="DI3765">
        <v>0</v>
      </c>
    </row>
    <row r="3766" spans="1:113" x14ac:dyDescent="0.25">
      <c r="A3766" t="str">
        <f t="shared" ref="A3766:A3772" si="2100">"06/05/2020 14:58:11.967"</f>
        <v>06/05/2020 14:58:11.967</v>
      </c>
      <c r="C3766" t="str">
        <f t="shared" si="2091"/>
        <v>FFDFD3C0</v>
      </c>
      <c r="D3766" t="s">
        <v>151</v>
      </c>
      <c r="E3766">
        <v>8</v>
      </c>
      <c r="H3766">
        <v>225</v>
      </c>
      <c r="I3766" t="s">
        <v>353</v>
      </c>
      <c r="J3766" t="s">
        <v>150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 t="shared" ref="S3766:S3772" si="2101">"14:58:17.586"</f>
        <v>14:58:17.586</v>
      </c>
      <c r="T3766" t="str">
        <f t="shared" ref="T3766:T3772" si="2102">"14:58:17.286"</f>
        <v>14:58:17.286</v>
      </c>
      <c r="U3766" t="str">
        <f t="shared" si="2071"/>
        <v>ACC530</v>
      </c>
      <c r="V3766">
        <v>0</v>
      </c>
      <c r="W3766">
        <v>0</v>
      </c>
      <c r="X3766">
        <v>1</v>
      </c>
      <c r="Z3766">
        <v>0</v>
      </c>
      <c r="AA3766">
        <v>9</v>
      </c>
      <c r="AB3766">
        <v>3</v>
      </c>
      <c r="AC3766">
        <v>0</v>
      </c>
      <c r="AD3766">
        <v>9</v>
      </c>
      <c r="AE3766">
        <v>0</v>
      </c>
      <c r="AF3766">
        <v>3</v>
      </c>
      <c r="AG3766">
        <v>1</v>
      </c>
      <c r="AH3766">
        <v>0</v>
      </c>
      <c r="AI3766" t="s">
        <v>1216</v>
      </c>
      <c r="AJ3766">
        <v>34.068046000000002</v>
      </c>
      <c r="AK3766" t="s">
        <v>1217</v>
      </c>
      <c r="AL3766">
        <v>-117.018685</v>
      </c>
      <c r="AM3766">
        <v>100</v>
      </c>
      <c r="AN3766">
        <v>5300</v>
      </c>
      <c r="AO3766" t="s">
        <v>118</v>
      </c>
      <c r="AP3766">
        <v>-28</v>
      </c>
      <c r="AQ3766">
        <v>-85</v>
      </c>
      <c r="AR3766">
        <v>128</v>
      </c>
      <c r="AZ3766">
        <v>1200</v>
      </c>
      <c r="BA3766">
        <v>1</v>
      </c>
      <c r="BB3766" t="str">
        <f t="shared" si="2074"/>
        <v xml:space="preserve">N9217B  </v>
      </c>
      <c r="BC3766">
        <v>1</v>
      </c>
      <c r="BE3766">
        <v>0</v>
      </c>
      <c r="BF3766">
        <v>0</v>
      </c>
      <c r="BG3766">
        <v>0</v>
      </c>
      <c r="BH3766">
        <v>5150</v>
      </c>
      <c r="BI3766">
        <v>1</v>
      </c>
      <c r="BJ3766">
        <v>0</v>
      </c>
      <c r="BK3766">
        <v>0</v>
      </c>
      <c r="BL3766">
        <v>0</v>
      </c>
      <c r="BO3766">
        <v>0</v>
      </c>
      <c r="BP3766">
        <v>0</v>
      </c>
      <c r="BW3766" t="str">
        <f t="shared" ref="BW3766:BW3772" si="2103">"14:58:17.593"</f>
        <v>14:58:17.593</v>
      </c>
      <c r="CJ3766">
        <v>0</v>
      </c>
      <c r="CK3766">
        <v>2</v>
      </c>
      <c r="CL3766">
        <v>0</v>
      </c>
      <c r="CM3766">
        <v>2</v>
      </c>
      <c r="CN3766">
        <v>0</v>
      </c>
      <c r="CO3766">
        <v>7</v>
      </c>
      <c r="CP3766" t="s">
        <v>119</v>
      </c>
      <c r="CQ3766">
        <v>285</v>
      </c>
      <c r="CR3766">
        <v>0</v>
      </c>
      <c r="CW3766">
        <v>8883627</v>
      </c>
      <c r="CY3766">
        <v>0</v>
      </c>
      <c r="CZ3766">
        <v>0</v>
      </c>
      <c r="DA3766">
        <v>0</v>
      </c>
      <c r="DB3766">
        <v>0</v>
      </c>
      <c r="DC3766">
        <v>0</v>
      </c>
      <c r="DD3766">
        <v>0</v>
      </c>
      <c r="DE3766">
        <v>0</v>
      </c>
      <c r="DF3766">
        <v>0</v>
      </c>
      <c r="DG3766">
        <v>0</v>
      </c>
      <c r="DH3766">
        <v>0</v>
      </c>
      <c r="DI3766">
        <v>0</v>
      </c>
    </row>
    <row r="3767" spans="1:113" x14ac:dyDescent="0.25">
      <c r="A3767" t="str">
        <f t="shared" si="2100"/>
        <v>06/05/2020 14:58:11.967</v>
      </c>
      <c r="C3767" t="str">
        <f t="shared" si="2091"/>
        <v>FFDFD3C0</v>
      </c>
      <c r="D3767" t="s">
        <v>141</v>
      </c>
      <c r="E3767">
        <v>20</v>
      </c>
      <c r="F3767">
        <v>1020</v>
      </c>
      <c r="G3767" t="s">
        <v>114</v>
      </c>
      <c r="J3767" t="s">
        <v>142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si="2101"/>
        <v>14:58:17.586</v>
      </c>
      <c r="T3767" t="str">
        <f t="shared" si="2102"/>
        <v>14:58:17.286</v>
      </c>
      <c r="U3767" t="str">
        <f t="shared" si="2071"/>
        <v>ACC530</v>
      </c>
      <c r="V3767">
        <v>0</v>
      </c>
      <c r="W3767">
        <v>0</v>
      </c>
      <c r="X3767">
        <v>1</v>
      </c>
      <c r="Z3767">
        <v>0</v>
      </c>
      <c r="AA3767">
        <v>9</v>
      </c>
      <c r="AB3767">
        <v>3</v>
      </c>
      <c r="AC3767">
        <v>0</v>
      </c>
      <c r="AD3767">
        <v>9</v>
      </c>
      <c r="AE3767">
        <v>0</v>
      </c>
      <c r="AF3767">
        <v>3</v>
      </c>
      <c r="AG3767">
        <v>1</v>
      </c>
      <c r="AH3767">
        <v>0</v>
      </c>
      <c r="AI3767" t="s">
        <v>1216</v>
      </c>
      <c r="AJ3767">
        <v>34.068046000000002</v>
      </c>
      <c r="AK3767" t="s">
        <v>1217</v>
      </c>
      <c r="AL3767">
        <v>-117.018685</v>
      </c>
      <c r="AM3767">
        <v>100</v>
      </c>
      <c r="AN3767">
        <v>5300</v>
      </c>
      <c r="AO3767" t="s">
        <v>118</v>
      </c>
      <c r="AP3767">
        <v>-28</v>
      </c>
      <c r="AQ3767">
        <v>-85</v>
      </c>
      <c r="AR3767">
        <v>128</v>
      </c>
      <c r="AZ3767">
        <v>1200</v>
      </c>
      <c r="BA3767">
        <v>1</v>
      </c>
      <c r="BB3767" t="str">
        <f t="shared" si="2074"/>
        <v xml:space="preserve">N9217B  </v>
      </c>
      <c r="BC3767">
        <v>1</v>
      </c>
      <c r="BE3767">
        <v>0</v>
      </c>
      <c r="BF3767">
        <v>0</v>
      </c>
      <c r="BG3767">
        <v>0</v>
      </c>
      <c r="BH3767">
        <v>5150</v>
      </c>
      <c r="BI3767">
        <v>1</v>
      </c>
      <c r="BJ3767">
        <v>0</v>
      </c>
      <c r="BK3767">
        <v>0</v>
      </c>
      <c r="BL3767">
        <v>0</v>
      </c>
      <c r="BO3767">
        <v>0</v>
      </c>
      <c r="BP3767">
        <v>0</v>
      </c>
      <c r="BW3767" t="str">
        <f t="shared" si="2103"/>
        <v>14:58:17.593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7</v>
      </c>
      <c r="CP3767" t="s">
        <v>119</v>
      </c>
      <c r="CQ3767">
        <v>285</v>
      </c>
      <c r="CR3767">
        <v>0</v>
      </c>
      <c r="CW3767">
        <v>8883627</v>
      </c>
      <c r="CY3767">
        <v>0</v>
      </c>
      <c r="CZ3767">
        <v>0</v>
      </c>
      <c r="DA3767">
        <v>1</v>
      </c>
      <c r="DB3767">
        <v>0</v>
      </c>
      <c r="DC3767">
        <v>0</v>
      </c>
      <c r="DD3767">
        <v>0</v>
      </c>
      <c r="DE3767">
        <v>0</v>
      </c>
      <c r="DF3767">
        <v>0</v>
      </c>
      <c r="DG3767">
        <v>0</v>
      </c>
      <c r="DH3767">
        <v>0</v>
      </c>
      <c r="DI3767">
        <v>0</v>
      </c>
    </row>
    <row r="3768" spans="1:113" x14ac:dyDescent="0.25">
      <c r="A3768" t="str">
        <f t="shared" si="2100"/>
        <v>06/05/2020 14:58:11.967</v>
      </c>
      <c r="C3768" t="str">
        <f t="shared" si="2091"/>
        <v>FFDFD3C0</v>
      </c>
      <c r="D3768" t="s">
        <v>151</v>
      </c>
      <c r="E3768">
        <v>9</v>
      </c>
      <c r="H3768">
        <v>226</v>
      </c>
      <c r="I3768" t="s">
        <v>152</v>
      </c>
      <c r="J3768" t="s">
        <v>150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2101"/>
        <v>14:58:17.586</v>
      </c>
      <c r="T3768" t="str">
        <f t="shared" si="2102"/>
        <v>14:58:17.286</v>
      </c>
      <c r="U3768" t="str">
        <f t="shared" si="2071"/>
        <v>ACC530</v>
      </c>
      <c r="V3768">
        <v>0</v>
      </c>
      <c r="W3768">
        <v>0</v>
      </c>
      <c r="X3768">
        <v>1</v>
      </c>
      <c r="Z3768">
        <v>0</v>
      </c>
      <c r="AA3768">
        <v>9</v>
      </c>
      <c r="AB3768">
        <v>3</v>
      </c>
      <c r="AC3768">
        <v>0</v>
      </c>
      <c r="AD3768">
        <v>9</v>
      </c>
      <c r="AE3768">
        <v>0</v>
      </c>
      <c r="AF3768">
        <v>3</v>
      </c>
      <c r="AG3768">
        <v>1</v>
      </c>
      <c r="AH3768">
        <v>0</v>
      </c>
      <c r="AI3768" t="s">
        <v>1216</v>
      </c>
      <c r="AJ3768">
        <v>34.068046000000002</v>
      </c>
      <c r="AK3768" t="s">
        <v>1217</v>
      </c>
      <c r="AL3768">
        <v>-117.018685</v>
      </c>
      <c r="AM3768">
        <v>100</v>
      </c>
      <c r="AN3768">
        <v>5300</v>
      </c>
      <c r="AO3768" t="s">
        <v>118</v>
      </c>
      <c r="AP3768">
        <v>-28</v>
      </c>
      <c r="AQ3768">
        <v>-85</v>
      </c>
      <c r="AR3768">
        <v>128</v>
      </c>
      <c r="AZ3768">
        <v>1200</v>
      </c>
      <c r="BA3768">
        <v>1</v>
      </c>
      <c r="BB3768" t="str">
        <f t="shared" si="2074"/>
        <v xml:space="preserve">N9217B  </v>
      </c>
      <c r="BC3768">
        <v>1</v>
      </c>
      <c r="BE3768">
        <v>0</v>
      </c>
      <c r="BF3768">
        <v>0</v>
      </c>
      <c r="BG3768">
        <v>0</v>
      </c>
      <c r="BH3768">
        <v>5150</v>
      </c>
      <c r="BI3768">
        <v>1</v>
      </c>
      <c r="BJ3768">
        <v>0</v>
      </c>
      <c r="BK3768">
        <v>0</v>
      </c>
      <c r="BL3768">
        <v>0</v>
      </c>
      <c r="BO3768">
        <v>0</v>
      </c>
      <c r="BP3768">
        <v>0</v>
      </c>
      <c r="BW3768" t="str">
        <f t="shared" si="2103"/>
        <v>14:58:17.593</v>
      </c>
      <c r="CJ3768">
        <v>0</v>
      </c>
      <c r="CK3768">
        <v>2</v>
      </c>
      <c r="CL3768">
        <v>0</v>
      </c>
      <c r="CM3768">
        <v>2</v>
      </c>
      <c r="CN3768">
        <v>0</v>
      </c>
      <c r="CO3768">
        <v>7</v>
      </c>
      <c r="CP3768" t="s">
        <v>119</v>
      </c>
      <c r="CQ3768">
        <v>285</v>
      </c>
      <c r="CR3768">
        <v>0</v>
      </c>
      <c r="CW3768">
        <v>8883627</v>
      </c>
      <c r="CY3768">
        <v>0</v>
      </c>
      <c r="CZ3768">
        <v>0</v>
      </c>
      <c r="DA3768">
        <v>1</v>
      </c>
      <c r="DB3768">
        <v>0</v>
      </c>
      <c r="DC3768">
        <v>0</v>
      </c>
      <c r="DD3768">
        <v>0</v>
      </c>
      <c r="DE3768">
        <v>0</v>
      </c>
      <c r="DF3768">
        <v>0</v>
      </c>
      <c r="DG3768">
        <v>0</v>
      </c>
      <c r="DH3768">
        <v>0</v>
      </c>
      <c r="DI3768">
        <v>0</v>
      </c>
    </row>
    <row r="3769" spans="1:113" x14ac:dyDescent="0.25">
      <c r="A3769" t="str">
        <f t="shared" si="2100"/>
        <v>06/05/2020 14:58:11.967</v>
      </c>
      <c r="C3769" t="str">
        <f t="shared" si="2091"/>
        <v>FFDFD3C0</v>
      </c>
      <c r="D3769" t="s">
        <v>113</v>
      </c>
      <c r="E3769">
        <v>3</v>
      </c>
      <c r="H3769">
        <v>166</v>
      </c>
      <c r="I3769" t="s">
        <v>114</v>
      </c>
      <c r="J3769" t="s">
        <v>115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si="2101"/>
        <v>14:58:17.586</v>
      </c>
      <c r="T3769" t="str">
        <f t="shared" si="2102"/>
        <v>14:58:17.286</v>
      </c>
      <c r="U3769" t="str">
        <f t="shared" si="2071"/>
        <v>ACC530</v>
      </c>
      <c r="V3769">
        <v>0</v>
      </c>
      <c r="W3769">
        <v>0</v>
      </c>
      <c r="X3769">
        <v>1</v>
      </c>
      <c r="Z3769">
        <v>0</v>
      </c>
      <c r="AA3769">
        <v>9</v>
      </c>
      <c r="AB3769">
        <v>3</v>
      </c>
      <c r="AC3769">
        <v>0</v>
      </c>
      <c r="AD3769">
        <v>9</v>
      </c>
      <c r="AE3769">
        <v>0</v>
      </c>
      <c r="AF3769">
        <v>3</v>
      </c>
      <c r="AG3769">
        <v>1</v>
      </c>
      <c r="AH3769">
        <v>0</v>
      </c>
      <c r="AI3769" t="s">
        <v>1216</v>
      </c>
      <c r="AJ3769">
        <v>34.068046000000002</v>
      </c>
      <c r="AK3769" t="s">
        <v>1217</v>
      </c>
      <c r="AL3769">
        <v>-117.018685</v>
      </c>
      <c r="AM3769">
        <v>100</v>
      </c>
      <c r="AN3769">
        <v>5300</v>
      </c>
      <c r="AO3769" t="s">
        <v>118</v>
      </c>
      <c r="AP3769">
        <v>-28</v>
      </c>
      <c r="AQ3769">
        <v>-85</v>
      </c>
      <c r="AR3769">
        <v>128</v>
      </c>
      <c r="AZ3769">
        <v>1200</v>
      </c>
      <c r="BA3769">
        <v>1</v>
      </c>
      <c r="BB3769" t="str">
        <f t="shared" si="2074"/>
        <v xml:space="preserve">N9217B  </v>
      </c>
      <c r="BC3769">
        <v>1</v>
      </c>
      <c r="BE3769">
        <v>0</v>
      </c>
      <c r="BF3769">
        <v>0</v>
      </c>
      <c r="BG3769">
        <v>0</v>
      </c>
      <c r="BH3769">
        <v>5150</v>
      </c>
      <c r="BI3769">
        <v>1</v>
      </c>
      <c r="BJ3769">
        <v>0</v>
      </c>
      <c r="BK3769">
        <v>0</v>
      </c>
      <c r="BL3769">
        <v>0</v>
      </c>
      <c r="BO3769">
        <v>0</v>
      </c>
      <c r="BP3769">
        <v>0</v>
      </c>
      <c r="BW3769" t="str">
        <f t="shared" si="2103"/>
        <v>14:58:17.593</v>
      </c>
      <c r="CJ3769">
        <v>0</v>
      </c>
      <c r="CK3769">
        <v>2</v>
      </c>
      <c r="CL3769">
        <v>0</v>
      </c>
      <c r="CM3769">
        <v>2</v>
      </c>
      <c r="CN3769">
        <v>0</v>
      </c>
      <c r="CO3769">
        <v>7</v>
      </c>
      <c r="CP3769" t="s">
        <v>119</v>
      </c>
      <c r="CQ3769">
        <v>285</v>
      </c>
      <c r="CR3769">
        <v>0</v>
      </c>
      <c r="CW3769">
        <v>8883627</v>
      </c>
      <c r="CY3769">
        <v>0</v>
      </c>
      <c r="CZ3769">
        <v>0</v>
      </c>
      <c r="DA3769">
        <v>1</v>
      </c>
      <c r="DB3769">
        <v>0</v>
      </c>
      <c r="DC3769">
        <v>0</v>
      </c>
      <c r="DD3769">
        <v>0</v>
      </c>
      <c r="DE3769">
        <v>0</v>
      </c>
      <c r="DF3769">
        <v>0</v>
      </c>
      <c r="DG3769">
        <v>0</v>
      </c>
      <c r="DH3769">
        <v>0</v>
      </c>
      <c r="DI3769">
        <v>0</v>
      </c>
    </row>
    <row r="3770" spans="1:113" x14ac:dyDescent="0.25">
      <c r="A3770" t="str">
        <f t="shared" si="2100"/>
        <v>06/05/2020 14:58:11.967</v>
      </c>
      <c r="C3770" t="str">
        <f t="shared" si="2091"/>
        <v>FFDFD3C0</v>
      </c>
      <c r="D3770" t="s">
        <v>148</v>
      </c>
      <c r="E3770">
        <v>11</v>
      </c>
      <c r="H3770">
        <v>53</v>
      </c>
      <c r="I3770" t="s">
        <v>364</v>
      </c>
      <c r="J3770" t="s">
        <v>150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 t="shared" si="2101"/>
        <v>14:58:17.586</v>
      </c>
      <c r="T3770" t="str">
        <f t="shared" si="2102"/>
        <v>14:58:17.286</v>
      </c>
      <c r="U3770" t="str">
        <f t="shared" si="2071"/>
        <v>ACC530</v>
      </c>
      <c r="V3770">
        <v>0</v>
      </c>
      <c r="W3770">
        <v>0</v>
      </c>
      <c r="X3770">
        <v>1</v>
      </c>
      <c r="Z3770">
        <v>0</v>
      </c>
      <c r="AA3770">
        <v>9</v>
      </c>
      <c r="AB3770">
        <v>3</v>
      </c>
      <c r="AC3770">
        <v>0</v>
      </c>
      <c r="AD3770">
        <v>9</v>
      </c>
      <c r="AE3770">
        <v>0</v>
      </c>
      <c r="AF3770">
        <v>3</v>
      </c>
      <c r="AG3770">
        <v>1</v>
      </c>
      <c r="AH3770">
        <v>0</v>
      </c>
      <c r="AI3770" t="s">
        <v>1216</v>
      </c>
      <c r="AJ3770">
        <v>34.068046000000002</v>
      </c>
      <c r="AK3770" t="s">
        <v>1217</v>
      </c>
      <c r="AL3770">
        <v>-117.018685</v>
      </c>
      <c r="AM3770">
        <v>100</v>
      </c>
      <c r="AN3770">
        <v>5300</v>
      </c>
      <c r="AO3770" t="s">
        <v>118</v>
      </c>
      <c r="AP3770">
        <v>-28</v>
      </c>
      <c r="AQ3770">
        <v>-85</v>
      </c>
      <c r="AR3770">
        <v>128</v>
      </c>
      <c r="AZ3770">
        <v>1200</v>
      </c>
      <c r="BA3770">
        <v>1</v>
      </c>
      <c r="BB3770" t="str">
        <f t="shared" si="2074"/>
        <v xml:space="preserve">N9217B  </v>
      </c>
      <c r="BC3770">
        <v>1</v>
      </c>
      <c r="BE3770">
        <v>0</v>
      </c>
      <c r="BF3770">
        <v>0</v>
      </c>
      <c r="BG3770">
        <v>0</v>
      </c>
      <c r="BH3770">
        <v>5150</v>
      </c>
      <c r="BI3770">
        <v>1</v>
      </c>
      <c r="BJ3770">
        <v>0</v>
      </c>
      <c r="BK3770">
        <v>0</v>
      </c>
      <c r="BL3770">
        <v>0</v>
      </c>
      <c r="BO3770">
        <v>0</v>
      </c>
      <c r="BP3770">
        <v>0</v>
      </c>
      <c r="BW3770" t="str">
        <f t="shared" si="2103"/>
        <v>14:58:17.593</v>
      </c>
      <c r="CJ3770">
        <v>0</v>
      </c>
      <c r="CK3770">
        <v>2</v>
      </c>
      <c r="CL3770">
        <v>0</v>
      </c>
      <c r="CM3770">
        <v>2</v>
      </c>
      <c r="CN3770">
        <v>0</v>
      </c>
      <c r="CO3770">
        <v>7</v>
      </c>
      <c r="CP3770" t="s">
        <v>119</v>
      </c>
      <c r="CQ3770">
        <v>285</v>
      </c>
      <c r="CR3770">
        <v>0</v>
      </c>
      <c r="CW3770">
        <v>8883627</v>
      </c>
      <c r="CY3770">
        <v>0</v>
      </c>
      <c r="CZ3770">
        <v>0</v>
      </c>
      <c r="DA3770">
        <v>1</v>
      </c>
      <c r="DB3770">
        <v>0</v>
      </c>
      <c r="DC3770">
        <v>0</v>
      </c>
      <c r="DD3770">
        <v>0</v>
      </c>
      <c r="DE3770">
        <v>0</v>
      </c>
      <c r="DF3770">
        <v>0</v>
      </c>
      <c r="DG3770">
        <v>0</v>
      </c>
      <c r="DH3770">
        <v>0</v>
      </c>
      <c r="DI3770">
        <v>0</v>
      </c>
    </row>
    <row r="3771" spans="1:113" x14ac:dyDescent="0.25">
      <c r="A3771" t="str">
        <f t="shared" si="2100"/>
        <v>06/05/2020 14:58:11.967</v>
      </c>
      <c r="C3771" t="str">
        <f t="shared" si="2091"/>
        <v>FFDFD3C0</v>
      </c>
      <c r="D3771" t="s">
        <v>134</v>
      </c>
      <c r="E3771">
        <v>7</v>
      </c>
      <c r="F3771">
        <v>2007</v>
      </c>
      <c r="G3771" t="s">
        <v>135</v>
      </c>
      <c r="J3771" t="s">
        <v>136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 t="shared" si="2101"/>
        <v>14:58:17.586</v>
      </c>
      <c r="T3771" t="str">
        <f t="shared" si="2102"/>
        <v>14:58:17.286</v>
      </c>
      <c r="U3771" t="str">
        <f t="shared" si="2071"/>
        <v>ACC530</v>
      </c>
      <c r="V3771">
        <v>0</v>
      </c>
      <c r="W3771">
        <v>0</v>
      </c>
      <c r="X3771">
        <v>1</v>
      </c>
      <c r="Z3771">
        <v>0</v>
      </c>
      <c r="AA3771">
        <v>9</v>
      </c>
      <c r="AB3771">
        <v>3</v>
      </c>
      <c r="AC3771">
        <v>0</v>
      </c>
      <c r="AD3771">
        <v>9</v>
      </c>
      <c r="AE3771">
        <v>0</v>
      </c>
      <c r="AF3771">
        <v>3</v>
      </c>
      <c r="AG3771">
        <v>1</v>
      </c>
      <c r="AH3771">
        <v>0</v>
      </c>
      <c r="AI3771" t="s">
        <v>1216</v>
      </c>
      <c r="AJ3771">
        <v>34.068046000000002</v>
      </c>
      <c r="AK3771" t="s">
        <v>1217</v>
      </c>
      <c r="AL3771">
        <v>-117.018685</v>
      </c>
      <c r="AM3771">
        <v>100</v>
      </c>
      <c r="AN3771">
        <v>5300</v>
      </c>
      <c r="AO3771" t="s">
        <v>118</v>
      </c>
      <c r="AP3771">
        <v>-28</v>
      </c>
      <c r="AQ3771">
        <v>-85</v>
      </c>
      <c r="AR3771">
        <v>128</v>
      </c>
      <c r="AZ3771">
        <v>1200</v>
      </c>
      <c r="BA3771">
        <v>1</v>
      </c>
      <c r="BB3771" t="str">
        <f t="shared" si="2074"/>
        <v xml:space="preserve">N9217B  </v>
      </c>
      <c r="BC3771">
        <v>1</v>
      </c>
      <c r="BE3771">
        <v>0</v>
      </c>
      <c r="BF3771">
        <v>0</v>
      </c>
      <c r="BG3771">
        <v>0</v>
      </c>
      <c r="BH3771">
        <v>5150</v>
      </c>
      <c r="BI3771">
        <v>1</v>
      </c>
      <c r="BJ3771">
        <v>0</v>
      </c>
      <c r="BK3771">
        <v>0</v>
      </c>
      <c r="BL3771">
        <v>0</v>
      </c>
      <c r="BO3771">
        <v>0</v>
      </c>
      <c r="BP3771">
        <v>0</v>
      </c>
      <c r="BW3771" t="str">
        <f t="shared" si="2103"/>
        <v>14:58:17.593</v>
      </c>
      <c r="CJ3771">
        <v>0</v>
      </c>
      <c r="CK3771">
        <v>2</v>
      </c>
      <c r="CL3771">
        <v>0</v>
      </c>
      <c r="CM3771">
        <v>2</v>
      </c>
      <c r="CN3771">
        <v>0</v>
      </c>
      <c r="CO3771">
        <v>7</v>
      </c>
      <c r="CP3771" t="s">
        <v>119</v>
      </c>
      <c r="CQ3771">
        <v>285</v>
      </c>
      <c r="CR3771">
        <v>0</v>
      </c>
      <c r="CW3771">
        <v>8883627</v>
      </c>
      <c r="CY3771">
        <v>0</v>
      </c>
      <c r="CZ3771">
        <v>0</v>
      </c>
      <c r="DA3771">
        <v>1</v>
      </c>
      <c r="DB3771">
        <v>0</v>
      </c>
      <c r="DC3771">
        <v>0</v>
      </c>
      <c r="DD3771">
        <v>0</v>
      </c>
      <c r="DE3771">
        <v>0</v>
      </c>
      <c r="DF3771">
        <v>0</v>
      </c>
      <c r="DG3771">
        <v>0</v>
      </c>
      <c r="DH3771">
        <v>0</v>
      </c>
      <c r="DI3771">
        <v>0</v>
      </c>
    </row>
    <row r="3772" spans="1:113" x14ac:dyDescent="0.25">
      <c r="A3772" t="str">
        <f t="shared" si="2100"/>
        <v>06/05/2020 14:58:11.967</v>
      </c>
      <c r="C3772" t="str">
        <f t="shared" si="2091"/>
        <v>FFDFD3C0</v>
      </c>
      <c r="D3772" t="s">
        <v>148</v>
      </c>
      <c r="E3772">
        <v>8</v>
      </c>
      <c r="H3772">
        <v>50</v>
      </c>
      <c r="I3772" t="s">
        <v>149</v>
      </c>
      <c r="J3772" t="s">
        <v>150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 t="shared" si="2101"/>
        <v>14:58:17.586</v>
      </c>
      <c r="T3772" t="str">
        <f t="shared" si="2102"/>
        <v>14:58:17.286</v>
      </c>
      <c r="U3772" t="str">
        <f t="shared" si="2071"/>
        <v>ACC530</v>
      </c>
      <c r="V3772">
        <v>0</v>
      </c>
      <c r="W3772">
        <v>0</v>
      </c>
      <c r="X3772">
        <v>1</v>
      </c>
      <c r="Z3772">
        <v>0</v>
      </c>
      <c r="AA3772">
        <v>9</v>
      </c>
      <c r="AB3772">
        <v>3</v>
      </c>
      <c r="AC3772">
        <v>0</v>
      </c>
      <c r="AD3772">
        <v>9</v>
      </c>
      <c r="AE3772">
        <v>0</v>
      </c>
      <c r="AF3772">
        <v>3</v>
      </c>
      <c r="AG3772">
        <v>1</v>
      </c>
      <c r="AH3772">
        <v>0</v>
      </c>
      <c r="AI3772" t="s">
        <v>1216</v>
      </c>
      <c r="AJ3772">
        <v>34.068046000000002</v>
      </c>
      <c r="AK3772" t="s">
        <v>1217</v>
      </c>
      <c r="AL3772">
        <v>-117.018685</v>
      </c>
      <c r="AM3772">
        <v>100</v>
      </c>
      <c r="AN3772">
        <v>5300</v>
      </c>
      <c r="AO3772" t="s">
        <v>118</v>
      </c>
      <c r="AP3772">
        <v>-28</v>
      </c>
      <c r="AQ3772">
        <v>-85</v>
      </c>
      <c r="AR3772">
        <v>128</v>
      </c>
      <c r="AZ3772">
        <v>1200</v>
      </c>
      <c r="BA3772">
        <v>1</v>
      </c>
      <c r="BB3772" t="str">
        <f t="shared" si="2074"/>
        <v xml:space="preserve">N9217B  </v>
      </c>
      <c r="BC3772">
        <v>1</v>
      </c>
      <c r="BE3772">
        <v>0</v>
      </c>
      <c r="BF3772">
        <v>0</v>
      </c>
      <c r="BG3772">
        <v>0</v>
      </c>
      <c r="BH3772">
        <v>5150</v>
      </c>
      <c r="BI3772">
        <v>1</v>
      </c>
      <c r="BJ3772">
        <v>0</v>
      </c>
      <c r="BK3772">
        <v>0</v>
      </c>
      <c r="BL3772">
        <v>0</v>
      </c>
      <c r="BO3772">
        <v>0</v>
      </c>
      <c r="BP3772">
        <v>0</v>
      </c>
      <c r="BW3772" t="str">
        <f t="shared" si="2103"/>
        <v>14:58:17.593</v>
      </c>
      <c r="CJ3772">
        <v>0</v>
      </c>
      <c r="CK3772">
        <v>2</v>
      </c>
      <c r="CL3772">
        <v>0</v>
      </c>
      <c r="CM3772">
        <v>2</v>
      </c>
      <c r="CN3772">
        <v>0</v>
      </c>
      <c r="CO3772">
        <v>7</v>
      </c>
      <c r="CP3772" t="s">
        <v>119</v>
      </c>
      <c r="CQ3772">
        <v>285</v>
      </c>
      <c r="CR3772">
        <v>0</v>
      </c>
      <c r="CW3772">
        <v>8883627</v>
      </c>
      <c r="CY3772">
        <v>0</v>
      </c>
      <c r="CZ3772">
        <v>0</v>
      </c>
      <c r="DA3772">
        <v>1</v>
      </c>
      <c r="DB3772">
        <v>0</v>
      </c>
      <c r="DC3772">
        <v>0</v>
      </c>
      <c r="DD3772">
        <v>0</v>
      </c>
      <c r="DE3772">
        <v>0</v>
      </c>
      <c r="DF3772">
        <v>0</v>
      </c>
      <c r="DG3772">
        <v>0</v>
      </c>
      <c r="DH3772">
        <v>0</v>
      </c>
      <c r="DI3772">
        <v>0</v>
      </c>
    </row>
    <row r="3773" spans="1:113" x14ac:dyDescent="0.25">
      <c r="A3773" t="str">
        <f t="shared" ref="A3773:A3779" si="2104">"06/05/2020 14:58:12.918"</f>
        <v>06/05/2020 14:58:12.918</v>
      </c>
      <c r="C3773" t="str">
        <f t="shared" si="2091"/>
        <v>FFDFD3C0</v>
      </c>
      <c r="D3773" t="s">
        <v>134</v>
      </c>
      <c r="E3773">
        <v>7</v>
      </c>
      <c r="F3773">
        <v>2007</v>
      </c>
      <c r="G3773" t="s">
        <v>135</v>
      </c>
      <c r="J3773" t="s">
        <v>136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 t="shared" ref="S3773:S3779" si="2105">"14:58:18.578"</f>
        <v>14:58:18.578</v>
      </c>
      <c r="T3773" t="str">
        <f t="shared" ref="T3773:T3779" si="2106">"14:58:18.278"</f>
        <v>14:58:18.278</v>
      </c>
      <c r="U3773" t="str">
        <f t="shared" si="2071"/>
        <v>ACC530</v>
      </c>
      <c r="V3773">
        <v>0</v>
      </c>
      <c r="W3773">
        <v>0</v>
      </c>
      <c r="X3773">
        <v>1</v>
      </c>
      <c r="Z3773">
        <v>0</v>
      </c>
      <c r="AA3773">
        <v>9</v>
      </c>
      <c r="AB3773">
        <v>3</v>
      </c>
      <c r="AC3773">
        <v>0</v>
      </c>
      <c r="AD3773">
        <v>9</v>
      </c>
      <c r="AE3773">
        <v>0</v>
      </c>
      <c r="AF3773">
        <v>3</v>
      </c>
      <c r="AG3773">
        <v>1</v>
      </c>
      <c r="AH3773">
        <v>0</v>
      </c>
      <c r="AI3773" t="s">
        <v>1218</v>
      </c>
      <c r="AJ3773">
        <v>34.067681</v>
      </c>
      <c r="AK3773" t="s">
        <v>1219</v>
      </c>
      <c r="AL3773">
        <v>-117.01881400000001</v>
      </c>
      <c r="AM3773">
        <v>100</v>
      </c>
      <c r="AN3773">
        <v>5300</v>
      </c>
      <c r="AO3773" t="s">
        <v>118</v>
      </c>
      <c r="AP3773">
        <v>-25</v>
      </c>
      <c r="AQ3773">
        <v>-86</v>
      </c>
      <c r="AR3773">
        <v>64</v>
      </c>
      <c r="AZ3773">
        <v>1200</v>
      </c>
      <c r="BA3773">
        <v>1</v>
      </c>
      <c r="BB3773" t="str">
        <f t="shared" si="2074"/>
        <v xml:space="preserve">N9217B  </v>
      </c>
      <c r="BC3773">
        <v>1</v>
      </c>
      <c r="BE3773">
        <v>0</v>
      </c>
      <c r="BF3773">
        <v>0</v>
      </c>
      <c r="BG3773">
        <v>0</v>
      </c>
      <c r="BH3773">
        <v>5150</v>
      </c>
      <c r="BI3773">
        <v>1</v>
      </c>
      <c r="BJ3773">
        <v>0</v>
      </c>
      <c r="BK3773">
        <v>0</v>
      </c>
      <c r="BL3773">
        <v>0</v>
      </c>
      <c r="BO3773">
        <v>0</v>
      </c>
      <c r="BP3773">
        <v>0</v>
      </c>
      <c r="BW3773" t="str">
        <f t="shared" ref="BW3773:BW3779" si="2107">"14:58:18.583"</f>
        <v>14:58:18.583</v>
      </c>
      <c r="CJ3773">
        <v>0</v>
      </c>
      <c r="CK3773">
        <v>2</v>
      </c>
      <c r="CL3773">
        <v>0</v>
      </c>
      <c r="CM3773">
        <v>2</v>
      </c>
      <c r="CN3773">
        <v>0</v>
      </c>
      <c r="CO3773">
        <v>7</v>
      </c>
      <c r="CP3773" t="s">
        <v>119</v>
      </c>
      <c r="CQ3773">
        <v>285</v>
      </c>
      <c r="CR3773">
        <v>0</v>
      </c>
      <c r="CW3773">
        <v>8883716</v>
      </c>
      <c r="CY3773">
        <v>0</v>
      </c>
      <c r="CZ3773">
        <v>0</v>
      </c>
      <c r="DA3773">
        <v>0</v>
      </c>
      <c r="DB3773">
        <v>0</v>
      </c>
      <c r="DC3773">
        <v>0</v>
      </c>
      <c r="DD3773">
        <v>0</v>
      </c>
      <c r="DE3773">
        <v>0</v>
      </c>
      <c r="DF3773">
        <v>0</v>
      </c>
      <c r="DG3773">
        <v>0</v>
      </c>
      <c r="DH3773">
        <v>0</v>
      </c>
      <c r="DI3773">
        <v>0</v>
      </c>
    </row>
    <row r="3774" spans="1:113" x14ac:dyDescent="0.25">
      <c r="A3774" t="str">
        <f t="shared" si="2104"/>
        <v>06/05/2020 14:58:12.918</v>
      </c>
      <c r="C3774" t="str">
        <f t="shared" si="2091"/>
        <v>FFDFD3C0</v>
      </c>
      <c r="D3774" t="s">
        <v>148</v>
      </c>
      <c r="E3774">
        <v>8</v>
      </c>
      <c r="H3774">
        <v>50</v>
      </c>
      <c r="I3774" t="s">
        <v>149</v>
      </c>
      <c r="J3774" t="s">
        <v>150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 t="shared" si="2105"/>
        <v>14:58:18.578</v>
      </c>
      <c r="T3774" t="str">
        <f t="shared" si="2106"/>
        <v>14:58:18.278</v>
      </c>
      <c r="U3774" t="str">
        <f t="shared" si="2071"/>
        <v>ACC530</v>
      </c>
      <c r="V3774">
        <v>0</v>
      </c>
      <c r="W3774">
        <v>0</v>
      </c>
      <c r="X3774">
        <v>1</v>
      </c>
      <c r="Z3774">
        <v>0</v>
      </c>
      <c r="AA3774">
        <v>9</v>
      </c>
      <c r="AB3774">
        <v>3</v>
      </c>
      <c r="AC3774">
        <v>0</v>
      </c>
      <c r="AD3774">
        <v>9</v>
      </c>
      <c r="AE3774">
        <v>0</v>
      </c>
      <c r="AF3774">
        <v>3</v>
      </c>
      <c r="AG3774">
        <v>1</v>
      </c>
      <c r="AH3774">
        <v>0</v>
      </c>
      <c r="AI3774" t="s">
        <v>1218</v>
      </c>
      <c r="AJ3774">
        <v>34.067681</v>
      </c>
      <c r="AK3774" t="s">
        <v>1219</v>
      </c>
      <c r="AL3774">
        <v>-117.01881400000001</v>
      </c>
      <c r="AM3774">
        <v>100</v>
      </c>
      <c r="AN3774">
        <v>5300</v>
      </c>
      <c r="AO3774" t="s">
        <v>118</v>
      </c>
      <c r="AP3774">
        <v>-25</v>
      </c>
      <c r="AQ3774">
        <v>-86</v>
      </c>
      <c r="AR3774">
        <v>64</v>
      </c>
      <c r="AZ3774">
        <v>1200</v>
      </c>
      <c r="BA3774">
        <v>1</v>
      </c>
      <c r="BB3774" t="str">
        <f t="shared" si="2074"/>
        <v xml:space="preserve">N9217B  </v>
      </c>
      <c r="BC3774">
        <v>1</v>
      </c>
      <c r="BE3774">
        <v>0</v>
      </c>
      <c r="BF3774">
        <v>0</v>
      </c>
      <c r="BG3774">
        <v>0</v>
      </c>
      <c r="BH3774">
        <v>5150</v>
      </c>
      <c r="BI3774">
        <v>1</v>
      </c>
      <c r="BJ3774">
        <v>0</v>
      </c>
      <c r="BK3774">
        <v>0</v>
      </c>
      <c r="BL3774">
        <v>0</v>
      </c>
      <c r="BO3774">
        <v>0</v>
      </c>
      <c r="BP3774">
        <v>0</v>
      </c>
      <c r="BW3774" t="str">
        <f t="shared" si="2107"/>
        <v>14:58:18.583</v>
      </c>
      <c r="CJ3774">
        <v>0</v>
      </c>
      <c r="CK3774">
        <v>2</v>
      </c>
      <c r="CL3774">
        <v>0</v>
      </c>
      <c r="CM3774">
        <v>2</v>
      </c>
      <c r="CN3774">
        <v>0</v>
      </c>
      <c r="CO3774">
        <v>7</v>
      </c>
      <c r="CP3774" t="s">
        <v>119</v>
      </c>
      <c r="CQ3774">
        <v>285</v>
      </c>
      <c r="CR3774">
        <v>0</v>
      </c>
      <c r="CW3774">
        <v>8883716</v>
      </c>
      <c r="CY3774">
        <v>0</v>
      </c>
      <c r="CZ3774">
        <v>0</v>
      </c>
      <c r="DA3774">
        <v>1</v>
      </c>
      <c r="DB3774">
        <v>0</v>
      </c>
      <c r="DC3774">
        <v>0</v>
      </c>
      <c r="DD3774">
        <v>0</v>
      </c>
      <c r="DE3774">
        <v>0</v>
      </c>
      <c r="DF3774">
        <v>0</v>
      </c>
      <c r="DG3774">
        <v>0</v>
      </c>
      <c r="DH3774">
        <v>0</v>
      </c>
      <c r="DI3774">
        <v>0</v>
      </c>
    </row>
    <row r="3775" spans="1:113" x14ac:dyDescent="0.25">
      <c r="A3775" t="str">
        <f t="shared" si="2104"/>
        <v>06/05/2020 14:58:12.918</v>
      </c>
      <c r="C3775" t="str">
        <f t="shared" si="2091"/>
        <v>FFDFD3C0</v>
      </c>
      <c r="D3775" t="s">
        <v>151</v>
      </c>
      <c r="E3775">
        <v>8</v>
      </c>
      <c r="H3775">
        <v>225</v>
      </c>
      <c r="I3775" t="s">
        <v>353</v>
      </c>
      <c r="J3775" t="s">
        <v>150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 t="shared" si="2105"/>
        <v>14:58:18.578</v>
      </c>
      <c r="T3775" t="str">
        <f t="shared" si="2106"/>
        <v>14:58:18.278</v>
      </c>
      <c r="U3775" t="str">
        <f t="shared" si="2071"/>
        <v>ACC530</v>
      </c>
      <c r="V3775">
        <v>0</v>
      </c>
      <c r="W3775">
        <v>0</v>
      </c>
      <c r="X3775">
        <v>1</v>
      </c>
      <c r="Z3775">
        <v>0</v>
      </c>
      <c r="AA3775">
        <v>9</v>
      </c>
      <c r="AB3775">
        <v>3</v>
      </c>
      <c r="AC3775">
        <v>0</v>
      </c>
      <c r="AD3775">
        <v>9</v>
      </c>
      <c r="AE3775">
        <v>0</v>
      </c>
      <c r="AF3775">
        <v>3</v>
      </c>
      <c r="AG3775">
        <v>1</v>
      </c>
      <c r="AH3775">
        <v>0</v>
      </c>
      <c r="AI3775" t="s">
        <v>1218</v>
      </c>
      <c r="AJ3775">
        <v>34.067681</v>
      </c>
      <c r="AK3775" t="s">
        <v>1219</v>
      </c>
      <c r="AL3775">
        <v>-117.01881400000001</v>
      </c>
      <c r="AM3775">
        <v>100</v>
      </c>
      <c r="AN3775">
        <v>5300</v>
      </c>
      <c r="AO3775" t="s">
        <v>118</v>
      </c>
      <c r="AP3775">
        <v>-25</v>
      </c>
      <c r="AQ3775">
        <v>-86</v>
      </c>
      <c r="AR3775">
        <v>64</v>
      </c>
      <c r="AZ3775">
        <v>1200</v>
      </c>
      <c r="BA3775">
        <v>1</v>
      </c>
      <c r="BB3775" t="str">
        <f t="shared" si="2074"/>
        <v xml:space="preserve">N9217B  </v>
      </c>
      <c r="BC3775">
        <v>1</v>
      </c>
      <c r="BE3775">
        <v>0</v>
      </c>
      <c r="BF3775">
        <v>0</v>
      </c>
      <c r="BG3775">
        <v>0</v>
      </c>
      <c r="BH3775">
        <v>5150</v>
      </c>
      <c r="BI3775">
        <v>1</v>
      </c>
      <c r="BJ3775">
        <v>0</v>
      </c>
      <c r="BK3775">
        <v>0</v>
      </c>
      <c r="BL3775">
        <v>0</v>
      </c>
      <c r="BO3775">
        <v>0</v>
      </c>
      <c r="BP3775">
        <v>0</v>
      </c>
      <c r="BW3775" t="str">
        <f t="shared" si="2107"/>
        <v>14:58:18.583</v>
      </c>
      <c r="CJ3775">
        <v>0</v>
      </c>
      <c r="CK3775">
        <v>2</v>
      </c>
      <c r="CL3775">
        <v>0</v>
      </c>
      <c r="CM3775">
        <v>2</v>
      </c>
      <c r="CN3775">
        <v>0</v>
      </c>
      <c r="CO3775">
        <v>7</v>
      </c>
      <c r="CP3775" t="s">
        <v>119</v>
      </c>
      <c r="CQ3775">
        <v>285</v>
      </c>
      <c r="CR3775">
        <v>0</v>
      </c>
      <c r="CW3775">
        <v>8883716</v>
      </c>
      <c r="CY3775">
        <v>0</v>
      </c>
      <c r="CZ3775">
        <v>0</v>
      </c>
      <c r="DA3775">
        <v>1</v>
      </c>
      <c r="DB3775">
        <v>0</v>
      </c>
      <c r="DC3775">
        <v>0</v>
      </c>
      <c r="DD3775">
        <v>0</v>
      </c>
      <c r="DE3775">
        <v>0</v>
      </c>
      <c r="DF3775">
        <v>0</v>
      </c>
      <c r="DG3775">
        <v>0</v>
      </c>
      <c r="DH3775">
        <v>0</v>
      </c>
      <c r="DI3775">
        <v>0</v>
      </c>
    </row>
    <row r="3776" spans="1:113" x14ac:dyDescent="0.25">
      <c r="A3776" t="str">
        <f t="shared" si="2104"/>
        <v>06/05/2020 14:58:12.918</v>
      </c>
      <c r="C3776" t="str">
        <f t="shared" si="2091"/>
        <v>FFDFD3C0</v>
      </c>
      <c r="D3776" t="s">
        <v>141</v>
      </c>
      <c r="E3776">
        <v>20</v>
      </c>
      <c r="F3776">
        <v>1020</v>
      </c>
      <c r="G3776" t="s">
        <v>114</v>
      </c>
      <c r="J3776" t="s">
        <v>142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 t="shared" si="2105"/>
        <v>14:58:18.578</v>
      </c>
      <c r="T3776" t="str">
        <f t="shared" si="2106"/>
        <v>14:58:18.278</v>
      </c>
      <c r="U3776" t="str">
        <f t="shared" si="2071"/>
        <v>ACC530</v>
      </c>
      <c r="V3776">
        <v>0</v>
      </c>
      <c r="W3776">
        <v>0</v>
      </c>
      <c r="X3776">
        <v>1</v>
      </c>
      <c r="Z3776">
        <v>0</v>
      </c>
      <c r="AA3776">
        <v>9</v>
      </c>
      <c r="AB3776">
        <v>3</v>
      </c>
      <c r="AC3776">
        <v>0</v>
      </c>
      <c r="AD3776">
        <v>9</v>
      </c>
      <c r="AE3776">
        <v>0</v>
      </c>
      <c r="AF3776">
        <v>3</v>
      </c>
      <c r="AG3776">
        <v>1</v>
      </c>
      <c r="AH3776">
        <v>0</v>
      </c>
      <c r="AI3776" t="s">
        <v>1218</v>
      </c>
      <c r="AJ3776">
        <v>34.067681</v>
      </c>
      <c r="AK3776" t="s">
        <v>1219</v>
      </c>
      <c r="AL3776">
        <v>-117.01881400000001</v>
      </c>
      <c r="AM3776">
        <v>100</v>
      </c>
      <c r="AN3776">
        <v>5300</v>
      </c>
      <c r="AO3776" t="s">
        <v>118</v>
      </c>
      <c r="AP3776">
        <v>-25</v>
      </c>
      <c r="AQ3776">
        <v>-86</v>
      </c>
      <c r="AR3776">
        <v>64</v>
      </c>
      <c r="AZ3776">
        <v>1200</v>
      </c>
      <c r="BA3776">
        <v>1</v>
      </c>
      <c r="BB3776" t="str">
        <f t="shared" si="2074"/>
        <v xml:space="preserve">N9217B  </v>
      </c>
      <c r="BC3776">
        <v>1</v>
      </c>
      <c r="BE3776">
        <v>0</v>
      </c>
      <c r="BF3776">
        <v>0</v>
      </c>
      <c r="BG3776">
        <v>0</v>
      </c>
      <c r="BH3776">
        <v>5150</v>
      </c>
      <c r="BI3776">
        <v>1</v>
      </c>
      <c r="BJ3776">
        <v>0</v>
      </c>
      <c r="BK3776">
        <v>0</v>
      </c>
      <c r="BL3776">
        <v>0</v>
      </c>
      <c r="BO3776">
        <v>0</v>
      </c>
      <c r="BP3776">
        <v>0</v>
      </c>
      <c r="BW3776" t="str">
        <f t="shared" si="2107"/>
        <v>14:58:18.583</v>
      </c>
      <c r="CJ3776">
        <v>0</v>
      </c>
      <c r="CK3776">
        <v>2</v>
      </c>
      <c r="CL3776">
        <v>0</v>
      </c>
      <c r="CM3776">
        <v>2</v>
      </c>
      <c r="CN3776">
        <v>0</v>
      </c>
      <c r="CO3776">
        <v>7</v>
      </c>
      <c r="CP3776" t="s">
        <v>119</v>
      </c>
      <c r="CQ3776">
        <v>285</v>
      </c>
      <c r="CR3776">
        <v>0</v>
      </c>
      <c r="CW3776">
        <v>8883716</v>
      </c>
      <c r="CY3776">
        <v>0</v>
      </c>
      <c r="CZ3776">
        <v>0</v>
      </c>
      <c r="DA3776">
        <v>1</v>
      </c>
      <c r="DB3776">
        <v>0</v>
      </c>
      <c r="DC3776">
        <v>0</v>
      </c>
      <c r="DD3776">
        <v>0</v>
      </c>
      <c r="DE3776">
        <v>0</v>
      </c>
      <c r="DF3776">
        <v>0</v>
      </c>
      <c r="DG3776">
        <v>0</v>
      </c>
      <c r="DH3776">
        <v>0</v>
      </c>
      <c r="DI3776">
        <v>0</v>
      </c>
    </row>
    <row r="3777" spans="1:113" x14ac:dyDescent="0.25">
      <c r="A3777" t="str">
        <f t="shared" si="2104"/>
        <v>06/05/2020 14:58:12.918</v>
      </c>
      <c r="C3777" t="str">
        <f t="shared" si="2091"/>
        <v>FFDFD3C0</v>
      </c>
      <c r="D3777" t="s">
        <v>151</v>
      </c>
      <c r="E3777">
        <v>9</v>
      </c>
      <c r="H3777">
        <v>226</v>
      </c>
      <c r="I3777" t="s">
        <v>152</v>
      </c>
      <c r="J3777" t="s">
        <v>150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 t="shared" si="2105"/>
        <v>14:58:18.578</v>
      </c>
      <c r="T3777" t="str">
        <f t="shared" si="2106"/>
        <v>14:58:18.278</v>
      </c>
      <c r="U3777" t="str">
        <f t="shared" si="2071"/>
        <v>ACC530</v>
      </c>
      <c r="V3777">
        <v>0</v>
      </c>
      <c r="W3777">
        <v>0</v>
      </c>
      <c r="X3777">
        <v>1</v>
      </c>
      <c r="Z3777">
        <v>0</v>
      </c>
      <c r="AA3777">
        <v>9</v>
      </c>
      <c r="AB3777">
        <v>3</v>
      </c>
      <c r="AC3777">
        <v>0</v>
      </c>
      <c r="AD3777">
        <v>9</v>
      </c>
      <c r="AE3777">
        <v>0</v>
      </c>
      <c r="AF3777">
        <v>3</v>
      </c>
      <c r="AG3777">
        <v>1</v>
      </c>
      <c r="AH3777">
        <v>0</v>
      </c>
      <c r="AI3777" t="s">
        <v>1218</v>
      </c>
      <c r="AJ3777">
        <v>34.067681</v>
      </c>
      <c r="AK3777" t="s">
        <v>1219</v>
      </c>
      <c r="AL3777">
        <v>-117.01881400000001</v>
      </c>
      <c r="AM3777">
        <v>100</v>
      </c>
      <c r="AN3777">
        <v>5300</v>
      </c>
      <c r="AO3777" t="s">
        <v>118</v>
      </c>
      <c r="AP3777">
        <v>-25</v>
      </c>
      <c r="AQ3777">
        <v>-86</v>
      </c>
      <c r="AR3777">
        <v>64</v>
      </c>
      <c r="AZ3777">
        <v>1200</v>
      </c>
      <c r="BA3777">
        <v>1</v>
      </c>
      <c r="BB3777" t="str">
        <f t="shared" si="2074"/>
        <v xml:space="preserve">N9217B  </v>
      </c>
      <c r="BC3777">
        <v>1</v>
      </c>
      <c r="BE3777">
        <v>0</v>
      </c>
      <c r="BF3777">
        <v>0</v>
      </c>
      <c r="BG3777">
        <v>0</v>
      </c>
      <c r="BH3777">
        <v>5150</v>
      </c>
      <c r="BI3777">
        <v>1</v>
      </c>
      <c r="BJ3777">
        <v>0</v>
      </c>
      <c r="BK3777">
        <v>0</v>
      </c>
      <c r="BL3777">
        <v>0</v>
      </c>
      <c r="BO3777">
        <v>0</v>
      </c>
      <c r="BP3777">
        <v>0</v>
      </c>
      <c r="BW3777" t="str">
        <f t="shared" si="2107"/>
        <v>14:58:18.583</v>
      </c>
      <c r="CJ3777">
        <v>0</v>
      </c>
      <c r="CK3777">
        <v>2</v>
      </c>
      <c r="CL3777">
        <v>0</v>
      </c>
      <c r="CM3777">
        <v>2</v>
      </c>
      <c r="CN3777">
        <v>0</v>
      </c>
      <c r="CO3777">
        <v>7</v>
      </c>
      <c r="CP3777" t="s">
        <v>119</v>
      </c>
      <c r="CQ3777">
        <v>285</v>
      </c>
      <c r="CR3777">
        <v>0</v>
      </c>
      <c r="CW3777">
        <v>8883716</v>
      </c>
      <c r="CY3777">
        <v>0</v>
      </c>
      <c r="CZ3777">
        <v>0</v>
      </c>
      <c r="DA3777">
        <v>1</v>
      </c>
      <c r="DB3777">
        <v>0</v>
      </c>
      <c r="DC3777">
        <v>0</v>
      </c>
      <c r="DD3777">
        <v>0</v>
      </c>
      <c r="DE3777">
        <v>0</v>
      </c>
      <c r="DF3777">
        <v>0</v>
      </c>
      <c r="DG3777">
        <v>0</v>
      </c>
      <c r="DH3777">
        <v>0</v>
      </c>
      <c r="DI3777">
        <v>0</v>
      </c>
    </row>
    <row r="3778" spans="1:113" x14ac:dyDescent="0.25">
      <c r="A3778" t="str">
        <f t="shared" si="2104"/>
        <v>06/05/2020 14:58:12.918</v>
      </c>
      <c r="C3778" t="str">
        <f t="shared" si="2091"/>
        <v>FFDFD3C0</v>
      </c>
      <c r="D3778" t="s">
        <v>113</v>
      </c>
      <c r="E3778">
        <v>3</v>
      </c>
      <c r="H3778">
        <v>166</v>
      </c>
      <c r="I3778" t="s">
        <v>114</v>
      </c>
      <c r="J3778" t="s">
        <v>115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 t="shared" si="2105"/>
        <v>14:58:18.578</v>
      </c>
      <c r="T3778" t="str">
        <f t="shared" si="2106"/>
        <v>14:58:18.278</v>
      </c>
      <c r="U3778" t="str">
        <f t="shared" ref="U3778:U3841" si="2108">"ACC530"</f>
        <v>ACC530</v>
      </c>
      <c r="V3778">
        <v>0</v>
      </c>
      <c r="W3778">
        <v>0</v>
      </c>
      <c r="X3778">
        <v>1</v>
      </c>
      <c r="Z3778">
        <v>0</v>
      </c>
      <c r="AA3778">
        <v>9</v>
      </c>
      <c r="AB3778">
        <v>3</v>
      </c>
      <c r="AC3778">
        <v>0</v>
      </c>
      <c r="AD3778">
        <v>9</v>
      </c>
      <c r="AE3778">
        <v>0</v>
      </c>
      <c r="AF3778">
        <v>3</v>
      </c>
      <c r="AG3778">
        <v>1</v>
      </c>
      <c r="AH3778">
        <v>0</v>
      </c>
      <c r="AI3778" t="s">
        <v>1218</v>
      </c>
      <c r="AJ3778">
        <v>34.067681</v>
      </c>
      <c r="AK3778" t="s">
        <v>1219</v>
      </c>
      <c r="AL3778">
        <v>-117.01881400000001</v>
      </c>
      <c r="AM3778">
        <v>100</v>
      </c>
      <c r="AN3778">
        <v>5300</v>
      </c>
      <c r="AO3778" t="s">
        <v>118</v>
      </c>
      <c r="AP3778">
        <v>-25</v>
      </c>
      <c r="AQ3778">
        <v>-86</v>
      </c>
      <c r="AR3778">
        <v>64</v>
      </c>
      <c r="AZ3778">
        <v>1200</v>
      </c>
      <c r="BA3778">
        <v>1</v>
      </c>
      <c r="BB3778" t="str">
        <f t="shared" si="2074"/>
        <v xml:space="preserve">N9217B  </v>
      </c>
      <c r="BC3778">
        <v>1</v>
      </c>
      <c r="BE3778">
        <v>0</v>
      </c>
      <c r="BF3778">
        <v>0</v>
      </c>
      <c r="BG3778">
        <v>0</v>
      </c>
      <c r="BH3778">
        <v>5150</v>
      </c>
      <c r="BI3778">
        <v>1</v>
      </c>
      <c r="BJ3778">
        <v>0</v>
      </c>
      <c r="BK3778">
        <v>0</v>
      </c>
      <c r="BL3778">
        <v>0</v>
      </c>
      <c r="BO3778">
        <v>0</v>
      </c>
      <c r="BP3778">
        <v>0</v>
      </c>
      <c r="BW3778" t="str">
        <f t="shared" si="2107"/>
        <v>14:58:18.583</v>
      </c>
      <c r="CJ3778">
        <v>0</v>
      </c>
      <c r="CK3778">
        <v>2</v>
      </c>
      <c r="CL3778">
        <v>0</v>
      </c>
      <c r="CM3778">
        <v>2</v>
      </c>
      <c r="CN3778">
        <v>0</v>
      </c>
      <c r="CO3778">
        <v>7</v>
      </c>
      <c r="CP3778" t="s">
        <v>119</v>
      </c>
      <c r="CQ3778">
        <v>285</v>
      </c>
      <c r="CR3778">
        <v>0</v>
      </c>
      <c r="CW3778">
        <v>8883716</v>
      </c>
      <c r="CY3778">
        <v>0</v>
      </c>
      <c r="CZ3778">
        <v>0</v>
      </c>
      <c r="DA3778">
        <v>1</v>
      </c>
      <c r="DB3778">
        <v>0</v>
      </c>
      <c r="DC3778">
        <v>0</v>
      </c>
      <c r="DD3778">
        <v>0</v>
      </c>
      <c r="DE3778">
        <v>0</v>
      </c>
      <c r="DF3778">
        <v>0</v>
      </c>
      <c r="DG3778">
        <v>0</v>
      </c>
      <c r="DH3778">
        <v>0</v>
      </c>
      <c r="DI3778">
        <v>0</v>
      </c>
    </row>
    <row r="3779" spans="1:113" x14ac:dyDescent="0.25">
      <c r="A3779" t="str">
        <f t="shared" si="2104"/>
        <v>06/05/2020 14:58:12.918</v>
      </c>
      <c r="C3779" t="str">
        <f t="shared" si="2091"/>
        <v>FFDFD3C0</v>
      </c>
      <c r="D3779" t="s">
        <v>148</v>
      </c>
      <c r="E3779">
        <v>11</v>
      </c>
      <c r="H3779">
        <v>53</v>
      </c>
      <c r="I3779" t="s">
        <v>364</v>
      </c>
      <c r="J3779" t="s">
        <v>150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 t="shared" si="2105"/>
        <v>14:58:18.578</v>
      </c>
      <c r="T3779" t="str">
        <f t="shared" si="2106"/>
        <v>14:58:18.278</v>
      </c>
      <c r="U3779" t="str">
        <f t="shared" si="2108"/>
        <v>ACC530</v>
      </c>
      <c r="V3779">
        <v>0</v>
      </c>
      <c r="W3779">
        <v>0</v>
      </c>
      <c r="X3779">
        <v>1</v>
      </c>
      <c r="Z3779">
        <v>0</v>
      </c>
      <c r="AA3779">
        <v>9</v>
      </c>
      <c r="AB3779">
        <v>3</v>
      </c>
      <c r="AC3779">
        <v>0</v>
      </c>
      <c r="AD3779">
        <v>9</v>
      </c>
      <c r="AE3779">
        <v>0</v>
      </c>
      <c r="AF3779">
        <v>3</v>
      </c>
      <c r="AG3779">
        <v>1</v>
      </c>
      <c r="AH3779">
        <v>0</v>
      </c>
      <c r="AI3779" t="s">
        <v>1218</v>
      </c>
      <c r="AJ3779">
        <v>34.067681</v>
      </c>
      <c r="AK3779" t="s">
        <v>1219</v>
      </c>
      <c r="AL3779">
        <v>-117.01881400000001</v>
      </c>
      <c r="AM3779">
        <v>100</v>
      </c>
      <c r="AN3779">
        <v>5300</v>
      </c>
      <c r="AO3779" t="s">
        <v>118</v>
      </c>
      <c r="AP3779">
        <v>-25</v>
      </c>
      <c r="AQ3779">
        <v>-86</v>
      </c>
      <c r="AR3779">
        <v>64</v>
      </c>
      <c r="AZ3779">
        <v>1200</v>
      </c>
      <c r="BA3779">
        <v>1</v>
      </c>
      <c r="BB3779" t="str">
        <f t="shared" si="2074"/>
        <v xml:space="preserve">N9217B  </v>
      </c>
      <c r="BC3779">
        <v>1</v>
      </c>
      <c r="BE3779">
        <v>0</v>
      </c>
      <c r="BF3779">
        <v>0</v>
      </c>
      <c r="BG3779">
        <v>0</v>
      </c>
      <c r="BH3779">
        <v>5150</v>
      </c>
      <c r="BI3779">
        <v>1</v>
      </c>
      <c r="BJ3779">
        <v>0</v>
      </c>
      <c r="BK3779">
        <v>0</v>
      </c>
      <c r="BL3779">
        <v>0</v>
      </c>
      <c r="BO3779">
        <v>0</v>
      </c>
      <c r="BP3779">
        <v>0</v>
      </c>
      <c r="BW3779" t="str">
        <f t="shared" si="2107"/>
        <v>14:58:18.583</v>
      </c>
      <c r="CJ3779">
        <v>0</v>
      </c>
      <c r="CK3779">
        <v>2</v>
      </c>
      <c r="CL3779">
        <v>0</v>
      </c>
      <c r="CM3779">
        <v>2</v>
      </c>
      <c r="CN3779">
        <v>0</v>
      </c>
      <c r="CO3779">
        <v>7</v>
      </c>
      <c r="CP3779" t="s">
        <v>119</v>
      </c>
      <c r="CQ3779">
        <v>285</v>
      </c>
      <c r="CR3779">
        <v>0</v>
      </c>
      <c r="CW3779">
        <v>8883716</v>
      </c>
      <c r="CY3779">
        <v>0</v>
      </c>
      <c r="CZ3779">
        <v>0</v>
      </c>
      <c r="DA3779">
        <v>1</v>
      </c>
      <c r="DB3779">
        <v>0</v>
      </c>
      <c r="DC3779">
        <v>0</v>
      </c>
      <c r="DD3779">
        <v>0</v>
      </c>
      <c r="DE3779">
        <v>0</v>
      </c>
      <c r="DF3779">
        <v>0</v>
      </c>
      <c r="DG3779">
        <v>0</v>
      </c>
      <c r="DH3779">
        <v>0</v>
      </c>
      <c r="DI3779">
        <v>0</v>
      </c>
    </row>
    <row r="3780" spans="1:113" x14ac:dyDescent="0.25">
      <c r="A3780" t="str">
        <f t="shared" ref="A3780:A3786" si="2109">"06/05/2020 14:58:13.968"</f>
        <v>06/05/2020 14:58:13.968</v>
      </c>
      <c r="C3780" t="str">
        <f t="shared" si="2091"/>
        <v>FFDFD3C0</v>
      </c>
      <c r="D3780" t="s">
        <v>148</v>
      </c>
      <c r="E3780">
        <v>11</v>
      </c>
      <c r="H3780">
        <v>53</v>
      </c>
      <c r="I3780" t="s">
        <v>364</v>
      </c>
      <c r="J3780" t="s">
        <v>150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 t="shared" ref="S3780:S3786" si="2110">"14:58:19.617"</f>
        <v>14:58:19.617</v>
      </c>
      <c r="T3780" t="str">
        <f t="shared" ref="T3780:T3786" si="2111">"14:58:18.817"</f>
        <v>14:58:18.817</v>
      </c>
      <c r="U3780" t="str">
        <f t="shared" si="2108"/>
        <v>ACC530</v>
      </c>
      <c r="V3780">
        <v>0</v>
      </c>
      <c r="W3780">
        <v>0</v>
      </c>
      <c r="X3780">
        <v>1</v>
      </c>
      <c r="Z3780">
        <v>0</v>
      </c>
      <c r="AA3780">
        <v>9</v>
      </c>
      <c r="AB3780">
        <v>3</v>
      </c>
      <c r="AC3780">
        <v>0</v>
      </c>
      <c r="AD3780">
        <v>9</v>
      </c>
      <c r="AE3780">
        <v>0</v>
      </c>
      <c r="AF3780">
        <v>3</v>
      </c>
      <c r="AG3780">
        <v>1</v>
      </c>
      <c r="AH3780">
        <v>0</v>
      </c>
      <c r="AI3780" t="s">
        <v>1220</v>
      </c>
      <c r="AJ3780">
        <v>34.067230000000002</v>
      </c>
      <c r="AK3780" t="s">
        <v>1221</v>
      </c>
      <c r="AL3780">
        <v>-117.018964</v>
      </c>
      <c r="AM3780">
        <v>100</v>
      </c>
      <c r="AN3780">
        <v>5300</v>
      </c>
      <c r="AO3780" t="s">
        <v>118</v>
      </c>
      <c r="AP3780">
        <v>-24</v>
      </c>
      <c r="AQ3780">
        <v>-86</v>
      </c>
      <c r="AR3780">
        <v>0</v>
      </c>
      <c r="AZ3780">
        <v>1200</v>
      </c>
      <c r="BA3780">
        <v>1</v>
      </c>
      <c r="BB3780" t="str">
        <f t="shared" si="2074"/>
        <v xml:space="preserve">N9217B  </v>
      </c>
      <c r="BC3780">
        <v>1</v>
      </c>
      <c r="BE3780">
        <v>0</v>
      </c>
      <c r="BF3780">
        <v>0</v>
      </c>
      <c r="BG3780">
        <v>0</v>
      </c>
      <c r="BH3780">
        <v>5150</v>
      </c>
      <c r="BI3780">
        <v>1</v>
      </c>
      <c r="BJ3780">
        <v>0</v>
      </c>
      <c r="BK3780">
        <v>0</v>
      </c>
      <c r="BL3780">
        <v>0</v>
      </c>
      <c r="BO3780">
        <v>0</v>
      </c>
      <c r="BP3780">
        <v>0</v>
      </c>
      <c r="BW3780" t="str">
        <f t="shared" ref="BW3780:BW3786" si="2112">"14:58:19.618"</f>
        <v>14:58:19.618</v>
      </c>
      <c r="CJ3780">
        <v>0</v>
      </c>
      <c r="CK3780">
        <v>2</v>
      </c>
      <c r="CL3780">
        <v>0</v>
      </c>
      <c r="CM3780">
        <v>2</v>
      </c>
      <c r="CN3780">
        <v>0</v>
      </c>
      <c r="CO3780">
        <v>7</v>
      </c>
      <c r="CP3780" t="s">
        <v>119</v>
      </c>
      <c r="CQ3780">
        <v>285</v>
      </c>
      <c r="CR3780">
        <v>0</v>
      </c>
      <c r="CW3780">
        <v>8883807</v>
      </c>
      <c r="CY3780">
        <v>0</v>
      </c>
      <c r="CZ3780">
        <v>0</v>
      </c>
      <c r="DA3780">
        <v>0</v>
      </c>
      <c r="DB3780">
        <v>0</v>
      </c>
      <c r="DC3780">
        <v>0</v>
      </c>
      <c r="DD3780">
        <v>0</v>
      </c>
      <c r="DE3780">
        <v>0</v>
      </c>
      <c r="DF3780">
        <v>0</v>
      </c>
      <c r="DG3780">
        <v>0</v>
      </c>
      <c r="DH3780">
        <v>0</v>
      </c>
      <c r="DI3780">
        <v>0</v>
      </c>
    </row>
    <row r="3781" spans="1:113" x14ac:dyDescent="0.25">
      <c r="A3781" t="str">
        <f t="shared" si="2109"/>
        <v>06/05/2020 14:58:13.968</v>
      </c>
      <c r="C3781" t="str">
        <f t="shared" si="2091"/>
        <v>FFDFD3C0</v>
      </c>
      <c r="D3781" t="s">
        <v>113</v>
      </c>
      <c r="E3781">
        <v>3</v>
      </c>
      <c r="H3781">
        <v>166</v>
      </c>
      <c r="I3781" t="s">
        <v>114</v>
      </c>
      <c r="J3781" t="s">
        <v>115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 t="shared" si="2110"/>
        <v>14:58:19.617</v>
      </c>
      <c r="T3781" t="str">
        <f t="shared" si="2111"/>
        <v>14:58:18.817</v>
      </c>
      <c r="U3781" t="str">
        <f t="shared" si="2108"/>
        <v>ACC530</v>
      </c>
      <c r="V3781">
        <v>0</v>
      </c>
      <c r="W3781">
        <v>0</v>
      </c>
      <c r="X3781">
        <v>1</v>
      </c>
      <c r="Z3781">
        <v>0</v>
      </c>
      <c r="AA3781">
        <v>9</v>
      </c>
      <c r="AB3781">
        <v>3</v>
      </c>
      <c r="AC3781">
        <v>0</v>
      </c>
      <c r="AD3781">
        <v>9</v>
      </c>
      <c r="AE3781">
        <v>0</v>
      </c>
      <c r="AF3781">
        <v>3</v>
      </c>
      <c r="AG3781">
        <v>1</v>
      </c>
      <c r="AH3781">
        <v>0</v>
      </c>
      <c r="AI3781" t="s">
        <v>1220</v>
      </c>
      <c r="AJ3781">
        <v>34.067230000000002</v>
      </c>
      <c r="AK3781" t="s">
        <v>1221</v>
      </c>
      <c r="AL3781">
        <v>-117.018964</v>
      </c>
      <c r="AM3781">
        <v>100</v>
      </c>
      <c r="AN3781">
        <v>5300</v>
      </c>
      <c r="AO3781" t="s">
        <v>118</v>
      </c>
      <c r="AP3781">
        <v>-24</v>
      </c>
      <c r="AQ3781">
        <v>-86</v>
      </c>
      <c r="AR3781">
        <v>0</v>
      </c>
      <c r="AZ3781">
        <v>1200</v>
      </c>
      <c r="BA3781">
        <v>1</v>
      </c>
      <c r="BB3781" t="str">
        <f t="shared" ref="BB3781:BB3844" si="2113">"N9217B  "</f>
        <v xml:space="preserve">N9217B  </v>
      </c>
      <c r="BC3781">
        <v>1</v>
      </c>
      <c r="BE3781">
        <v>0</v>
      </c>
      <c r="BF3781">
        <v>0</v>
      </c>
      <c r="BG3781">
        <v>0</v>
      </c>
      <c r="BH3781">
        <v>5150</v>
      </c>
      <c r="BI3781">
        <v>1</v>
      </c>
      <c r="BJ3781">
        <v>0</v>
      </c>
      <c r="BK3781">
        <v>0</v>
      </c>
      <c r="BL3781">
        <v>0</v>
      </c>
      <c r="BO3781">
        <v>0</v>
      </c>
      <c r="BP3781">
        <v>0</v>
      </c>
      <c r="BW3781" t="str">
        <f t="shared" si="2112"/>
        <v>14:58:19.618</v>
      </c>
      <c r="CJ3781">
        <v>0</v>
      </c>
      <c r="CK3781">
        <v>2</v>
      </c>
      <c r="CL3781">
        <v>0</v>
      </c>
      <c r="CM3781">
        <v>2</v>
      </c>
      <c r="CN3781">
        <v>0</v>
      </c>
      <c r="CO3781">
        <v>7</v>
      </c>
      <c r="CP3781" t="s">
        <v>119</v>
      </c>
      <c r="CQ3781">
        <v>285</v>
      </c>
      <c r="CR3781">
        <v>0</v>
      </c>
      <c r="CW3781">
        <v>8883807</v>
      </c>
      <c r="CY3781">
        <v>0</v>
      </c>
      <c r="CZ3781">
        <v>0</v>
      </c>
      <c r="DA3781">
        <v>1</v>
      </c>
      <c r="DB3781">
        <v>0</v>
      </c>
      <c r="DC3781">
        <v>0</v>
      </c>
      <c r="DD3781">
        <v>0</v>
      </c>
      <c r="DE3781">
        <v>0</v>
      </c>
      <c r="DF3781">
        <v>0</v>
      </c>
      <c r="DG3781">
        <v>0</v>
      </c>
      <c r="DH3781">
        <v>0</v>
      </c>
      <c r="DI3781">
        <v>0</v>
      </c>
    </row>
    <row r="3782" spans="1:113" x14ac:dyDescent="0.25">
      <c r="A3782" t="str">
        <f t="shared" si="2109"/>
        <v>06/05/2020 14:58:13.968</v>
      </c>
      <c r="C3782" t="str">
        <f t="shared" si="2091"/>
        <v>FFDFD3C0</v>
      </c>
      <c r="D3782" t="s">
        <v>134</v>
      </c>
      <c r="E3782">
        <v>7</v>
      </c>
      <c r="F3782">
        <v>2007</v>
      </c>
      <c r="G3782" t="s">
        <v>135</v>
      </c>
      <c r="J3782" t="s">
        <v>136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 t="shared" si="2110"/>
        <v>14:58:19.617</v>
      </c>
      <c r="T3782" t="str">
        <f t="shared" si="2111"/>
        <v>14:58:18.817</v>
      </c>
      <c r="U3782" t="str">
        <f t="shared" si="2108"/>
        <v>ACC530</v>
      </c>
      <c r="V3782">
        <v>0</v>
      </c>
      <c r="W3782">
        <v>0</v>
      </c>
      <c r="X3782">
        <v>1</v>
      </c>
      <c r="Z3782">
        <v>0</v>
      </c>
      <c r="AA3782">
        <v>9</v>
      </c>
      <c r="AB3782">
        <v>3</v>
      </c>
      <c r="AC3782">
        <v>0</v>
      </c>
      <c r="AD3782">
        <v>9</v>
      </c>
      <c r="AE3782">
        <v>0</v>
      </c>
      <c r="AF3782">
        <v>3</v>
      </c>
      <c r="AG3782">
        <v>1</v>
      </c>
      <c r="AH3782">
        <v>0</v>
      </c>
      <c r="AI3782" t="s">
        <v>1220</v>
      </c>
      <c r="AJ3782">
        <v>34.067230000000002</v>
      </c>
      <c r="AK3782" t="s">
        <v>1221</v>
      </c>
      <c r="AL3782">
        <v>-117.018964</v>
      </c>
      <c r="AM3782">
        <v>100</v>
      </c>
      <c r="AN3782">
        <v>5300</v>
      </c>
      <c r="AO3782" t="s">
        <v>118</v>
      </c>
      <c r="AP3782">
        <v>-24</v>
      </c>
      <c r="AQ3782">
        <v>-86</v>
      </c>
      <c r="AR3782">
        <v>0</v>
      </c>
      <c r="AZ3782">
        <v>1200</v>
      </c>
      <c r="BA3782">
        <v>1</v>
      </c>
      <c r="BB3782" t="str">
        <f t="shared" si="2113"/>
        <v xml:space="preserve">N9217B  </v>
      </c>
      <c r="BC3782">
        <v>1</v>
      </c>
      <c r="BE3782">
        <v>0</v>
      </c>
      <c r="BF3782">
        <v>0</v>
      </c>
      <c r="BG3782">
        <v>0</v>
      </c>
      <c r="BH3782">
        <v>5150</v>
      </c>
      <c r="BI3782">
        <v>1</v>
      </c>
      <c r="BJ3782">
        <v>0</v>
      </c>
      <c r="BK3782">
        <v>0</v>
      </c>
      <c r="BL3782">
        <v>0</v>
      </c>
      <c r="BO3782">
        <v>0</v>
      </c>
      <c r="BP3782">
        <v>0</v>
      </c>
      <c r="BW3782" t="str">
        <f t="shared" si="2112"/>
        <v>14:58:19.618</v>
      </c>
      <c r="CJ3782">
        <v>0</v>
      </c>
      <c r="CK3782">
        <v>2</v>
      </c>
      <c r="CL3782">
        <v>0</v>
      </c>
      <c r="CM3782">
        <v>2</v>
      </c>
      <c r="CN3782">
        <v>0</v>
      </c>
      <c r="CO3782">
        <v>7</v>
      </c>
      <c r="CP3782" t="s">
        <v>119</v>
      </c>
      <c r="CQ3782">
        <v>285</v>
      </c>
      <c r="CR3782">
        <v>0</v>
      </c>
      <c r="CW3782">
        <v>8883807</v>
      </c>
      <c r="CY3782">
        <v>0</v>
      </c>
      <c r="CZ3782">
        <v>0</v>
      </c>
      <c r="DA3782">
        <v>1</v>
      </c>
      <c r="DB3782">
        <v>0</v>
      </c>
      <c r="DC3782">
        <v>0</v>
      </c>
      <c r="DD3782">
        <v>0</v>
      </c>
      <c r="DE3782">
        <v>0</v>
      </c>
      <c r="DF3782">
        <v>0</v>
      </c>
      <c r="DG3782">
        <v>0</v>
      </c>
      <c r="DH3782">
        <v>0</v>
      </c>
      <c r="DI3782">
        <v>0</v>
      </c>
    </row>
    <row r="3783" spans="1:113" x14ac:dyDescent="0.25">
      <c r="A3783" t="str">
        <f t="shared" si="2109"/>
        <v>06/05/2020 14:58:13.968</v>
      </c>
      <c r="C3783" t="str">
        <f t="shared" si="2091"/>
        <v>FFDFD3C0</v>
      </c>
      <c r="D3783" t="s">
        <v>148</v>
      </c>
      <c r="E3783">
        <v>8</v>
      </c>
      <c r="H3783">
        <v>50</v>
      </c>
      <c r="I3783" t="s">
        <v>149</v>
      </c>
      <c r="J3783" t="s">
        <v>150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 t="shared" si="2110"/>
        <v>14:58:19.617</v>
      </c>
      <c r="T3783" t="str">
        <f t="shared" si="2111"/>
        <v>14:58:18.817</v>
      </c>
      <c r="U3783" t="str">
        <f t="shared" si="2108"/>
        <v>ACC530</v>
      </c>
      <c r="V3783">
        <v>0</v>
      </c>
      <c r="W3783">
        <v>0</v>
      </c>
      <c r="X3783">
        <v>1</v>
      </c>
      <c r="Z3783">
        <v>0</v>
      </c>
      <c r="AA3783">
        <v>9</v>
      </c>
      <c r="AB3783">
        <v>3</v>
      </c>
      <c r="AC3783">
        <v>0</v>
      </c>
      <c r="AD3783">
        <v>9</v>
      </c>
      <c r="AE3783">
        <v>0</v>
      </c>
      <c r="AF3783">
        <v>3</v>
      </c>
      <c r="AG3783">
        <v>1</v>
      </c>
      <c r="AH3783">
        <v>0</v>
      </c>
      <c r="AI3783" t="s">
        <v>1220</v>
      </c>
      <c r="AJ3783">
        <v>34.067230000000002</v>
      </c>
      <c r="AK3783" t="s">
        <v>1221</v>
      </c>
      <c r="AL3783">
        <v>-117.018964</v>
      </c>
      <c r="AM3783">
        <v>100</v>
      </c>
      <c r="AN3783">
        <v>5300</v>
      </c>
      <c r="AO3783" t="s">
        <v>118</v>
      </c>
      <c r="AP3783">
        <v>-24</v>
      </c>
      <c r="AQ3783">
        <v>-86</v>
      </c>
      <c r="AR3783">
        <v>0</v>
      </c>
      <c r="AZ3783">
        <v>1200</v>
      </c>
      <c r="BA3783">
        <v>1</v>
      </c>
      <c r="BB3783" t="str">
        <f t="shared" si="2113"/>
        <v xml:space="preserve">N9217B  </v>
      </c>
      <c r="BC3783">
        <v>1</v>
      </c>
      <c r="BE3783">
        <v>0</v>
      </c>
      <c r="BF3783">
        <v>0</v>
      </c>
      <c r="BG3783">
        <v>0</v>
      </c>
      <c r="BH3783">
        <v>5150</v>
      </c>
      <c r="BI3783">
        <v>1</v>
      </c>
      <c r="BJ3783">
        <v>0</v>
      </c>
      <c r="BK3783">
        <v>0</v>
      </c>
      <c r="BL3783">
        <v>0</v>
      </c>
      <c r="BO3783">
        <v>0</v>
      </c>
      <c r="BP3783">
        <v>0</v>
      </c>
      <c r="BW3783" t="str">
        <f t="shared" si="2112"/>
        <v>14:58:19.618</v>
      </c>
      <c r="CJ3783">
        <v>0</v>
      </c>
      <c r="CK3783">
        <v>2</v>
      </c>
      <c r="CL3783">
        <v>0</v>
      </c>
      <c r="CM3783">
        <v>2</v>
      </c>
      <c r="CN3783">
        <v>0</v>
      </c>
      <c r="CO3783">
        <v>7</v>
      </c>
      <c r="CP3783" t="s">
        <v>119</v>
      </c>
      <c r="CQ3783">
        <v>285</v>
      </c>
      <c r="CR3783">
        <v>0</v>
      </c>
      <c r="CW3783">
        <v>8883807</v>
      </c>
      <c r="CY3783">
        <v>0</v>
      </c>
      <c r="CZ3783">
        <v>0</v>
      </c>
      <c r="DA3783">
        <v>1</v>
      </c>
      <c r="DB3783">
        <v>0</v>
      </c>
      <c r="DC3783">
        <v>0</v>
      </c>
      <c r="DD3783">
        <v>0</v>
      </c>
      <c r="DE3783">
        <v>0</v>
      </c>
      <c r="DF3783">
        <v>0</v>
      </c>
      <c r="DG3783">
        <v>0</v>
      </c>
      <c r="DH3783">
        <v>0</v>
      </c>
      <c r="DI3783">
        <v>0</v>
      </c>
    </row>
    <row r="3784" spans="1:113" x14ac:dyDescent="0.25">
      <c r="A3784" t="str">
        <f t="shared" si="2109"/>
        <v>06/05/2020 14:58:13.968</v>
      </c>
      <c r="C3784" t="str">
        <f t="shared" si="2091"/>
        <v>FFDFD3C0</v>
      </c>
      <c r="D3784" t="s">
        <v>151</v>
      </c>
      <c r="E3784">
        <v>8</v>
      </c>
      <c r="H3784">
        <v>225</v>
      </c>
      <c r="I3784" t="s">
        <v>353</v>
      </c>
      <c r="J3784" t="s">
        <v>150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 t="shared" si="2110"/>
        <v>14:58:19.617</v>
      </c>
      <c r="T3784" t="str">
        <f t="shared" si="2111"/>
        <v>14:58:18.817</v>
      </c>
      <c r="U3784" t="str">
        <f t="shared" si="2108"/>
        <v>ACC530</v>
      </c>
      <c r="V3784">
        <v>0</v>
      </c>
      <c r="W3784">
        <v>0</v>
      </c>
      <c r="X3784">
        <v>1</v>
      </c>
      <c r="Z3784">
        <v>0</v>
      </c>
      <c r="AA3784">
        <v>9</v>
      </c>
      <c r="AB3784">
        <v>3</v>
      </c>
      <c r="AC3784">
        <v>0</v>
      </c>
      <c r="AD3784">
        <v>9</v>
      </c>
      <c r="AE3784">
        <v>0</v>
      </c>
      <c r="AF3784">
        <v>3</v>
      </c>
      <c r="AG3784">
        <v>1</v>
      </c>
      <c r="AH3784">
        <v>0</v>
      </c>
      <c r="AI3784" t="s">
        <v>1220</v>
      </c>
      <c r="AJ3784">
        <v>34.067230000000002</v>
      </c>
      <c r="AK3784" t="s">
        <v>1221</v>
      </c>
      <c r="AL3784">
        <v>-117.018964</v>
      </c>
      <c r="AM3784">
        <v>100</v>
      </c>
      <c r="AN3784">
        <v>5300</v>
      </c>
      <c r="AO3784" t="s">
        <v>118</v>
      </c>
      <c r="AP3784">
        <v>-24</v>
      </c>
      <c r="AQ3784">
        <v>-86</v>
      </c>
      <c r="AR3784">
        <v>0</v>
      </c>
      <c r="AZ3784">
        <v>1200</v>
      </c>
      <c r="BA3784">
        <v>1</v>
      </c>
      <c r="BB3784" t="str">
        <f t="shared" si="2113"/>
        <v xml:space="preserve">N9217B  </v>
      </c>
      <c r="BC3784">
        <v>1</v>
      </c>
      <c r="BE3784">
        <v>0</v>
      </c>
      <c r="BF3784">
        <v>0</v>
      </c>
      <c r="BG3784">
        <v>0</v>
      </c>
      <c r="BH3784">
        <v>5150</v>
      </c>
      <c r="BI3784">
        <v>1</v>
      </c>
      <c r="BJ3784">
        <v>0</v>
      </c>
      <c r="BK3784">
        <v>0</v>
      </c>
      <c r="BL3784">
        <v>0</v>
      </c>
      <c r="BO3784">
        <v>0</v>
      </c>
      <c r="BP3784">
        <v>0</v>
      </c>
      <c r="BW3784" t="str">
        <f t="shared" si="2112"/>
        <v>14:58:19.618</v>
      </c>
      <c r="CJ3784">
        <v>0</v>
      </c>
      <c r="CK3784">
        <v>2</v>
      </c>
      <c r="CL3784">
        <v>0</v>
      </c>
      <c r="CM3784">
        <v>2</v>
      </c>
      <c r="CN3784">
        <v>0</v>
      </c>
      <c r="CO3784">
        <v>7</v>
      </c>
      <c r="CP3784" t="s">
        <v>119</v>
      </c>
      <c r="CQ3784">
        <v>285</v>
      </c>
      <c r="CR3784">
        <v>0</v>
      </c>
      <c r="CW3784">
        <v>8883807</v>
      </c>
      <c r="CY3784">
        <v>0</v>
      </c>
      <c r="CZ3784">
        <v>0</v>
      </c>
      <c r="DA3784">
        <v>1</v>
      </c>
      <c r="DB3784">
        <v>0</v>
      </c>
      <c r="DC3784">
        <v>0</v>
      </c>
      <c r="DD3784">
        <v>0</v>
      </c>
      <c r="DE3784">
        <v>0</v>
      </c>
      <c r="DF3784">
        <v>0</v>
      </c>
      <c r="DG3784">
        <v>0</v>
      </c>
      <c r="DH3784">
        <v>0</v>
      </c>
      <c r="DI3784">
        <v>0</v>
      </c>
    </row>
    <row r="3785" spans="1:113" x14ac:dyDescent="0.25">
      <c r="A3785" t="str">
        <f t="shared" si="2109"/>
        <v>06/05/2020 14:58:13.968</v>
      </c>
      <c r="C3785" t="str">
        <f t="shared" si="2091"/>
        <v>FFDFD3C0</v>
      </c>
      <c r="D3785" t="s">
        <v>141</v>
      </c>
      <c r="E3785">
        <v>20</v>
      </c>
      <c r="F3785">
        <v>1020</v>
      </c>
      <c r="G3785" t="s">
        <v>114</v>
      </c>
      <c r="J3785" t="s">
        <v>142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 t="shared" si="2110"/>
        <v>14:58:19.617</v>
      </c>
      <c r="T3785" t="str">
        <f t="shared" si="2111"/>
        <v>14:58:18.817</v>
      </c>
      <c r="U3785" t="str">
        <f t="shared" si="2108"/>
        <v>ACC530</v>
      </c>
      <c r="V3785">
        <v>0</v>
      </c>
      <c r="W3785">
        <v>0</v>
      </c>
      <c r="X3785">
        <v>1</v>
      </c>
      <c r="Z3785">
        <v>0</v>
      </c>
      <c r="AA3785">
        <v>9</v>
      </c>
      <c r="AB3785">
        <v>3</v>
      </c>
      <c r="AC3785">
        <v>0</v>
      </c>
      <c r="AD3785">
        <v>9</v>
      </c>
      <c r="AE3785">
        <v>0</v>
      </c>
      <c r="AF3785">
        <v>3</v>
      </c>
      <c r="AG3785">
        <v>1</v>
      </c>
      <c r="AH3785">
        <v>0</v>
      </c>
      <c r="AI3785" t="s">
        <v>1220</v>
      </c>
      <c r="AJ3785">
        <v>34.067230000000002</v>
      </c>
      <c r="AK3785" t="s">
        <v>1221</v>
      </c>
      <c r="AL3785">
        <v>-117.018964</v>
      </c>
      <c r="AM3785">
        <v>100</v>
      </c>
      <c r="AN3785">
        <v>5300</v>
      </c>
      <c r="AO3785" t="s">
        <v>118</v>
      </c>
      <c r="AP3785">
        <v>-24</v>
      </c>
      <c r="AQ3785">
        <v>-86</v>
      </c>
      <c r="AR3785">
        <v>0</v>
      </c>
      <c r="AZ3785">
        <v>1200</v>
      </c>
      <c r="BA3785">
        <v>1</v>
      </c>
      <c r="BB3785" t="str">
        <f t="shared" si="2113"/>
        <v xml:space="preserve">N9217B  </v>
      </c>
      <c r="BC3785">
        <v>1</v>
      </c>
      <c r="BE3785">
        <v>0</v>
      </c>
      <c r="BF3785">
        <v>0</v>
      </c>
      <c r="BG3785">
        <v>0</v>
      </c>
      <c r="BH3785">
        <v>5150</v>
      </c>
      <c r="BI3785">
        <v>1</v>
      </c>
      <c r="BJ3785">
        <v>0</v>
      </c>
      <c r="BK3785">
        <v>0</v>
      </c>
      <c r="BL3785">
        <v>0</v>
      </c>
      <c r="BO3785">
        <v>0</v>
      </c>
      <c r="BP3785">
        <v>0</v>
      </c>
      <c r="BW3785" t="str">
        <f t="shared" si="2112"/>
        <v>14:58:19.618</v>
      </c>
      <c r="CJ3785">
        <v>0</v>
      </c>
      <c r="CK3785">
        <v>2</v>
      </c>
      <c r="CL3785">
        <v>0</v>
      </c>
      <c r="CM3785">
        <v>2</v>
      </c>
      <c r="CN3785">
        <v>0</v>
      </c>
      <c r="CO3785">
        <v>7</v>
      </c>
      <c r="CP3785" t="s">
        <v>119</v>
      </c>
      <c r="CQ3785">
        <v>285</v>
      </c>
      <c r="CR3785">
        <v>0</v>
      </c>
      <c r="CW3785">
        <v>8883807</v>
      </c>
      <c r="CY3785">
        <v>0</v>
      </c>
      <c r="CZ3785">
        <v>0</v>
      </c>
      <c r="DA3785">
        <v>1</v>
      </c>
      <c r="DB3785">
        <v>0</v>
      </c>
      <c r="DC3785">
        <v>0</v>
      </c>
      <c r="DD3785">
        <v>0</v>
      </c>
      <c r="DE3785">
        <v>0</v>
      </c>
      <c r="DF3785">
        <v>0</v>
      </c>
      <c r="DG3785">
        <v>0</v>
      </c>
      <c r="DH3785">
        <v>0</v>
      </c>
      <c r="DI3785">
        <v>0</v>
      </c>
    </row>
    <row r="3786" spans="1:113" x14ac:dyDescent="0.25">
      <c r="A3786" t="str">
        <f t="shared" si="2109"/>
        <v>06/05/2020 14:58:13.968</v>
      </c>
      <c r="C3786" t="str">
        <f t="shared" si="2091"/>
        <v>FFDFD3C0</v>
      </c>
      <c r="D3786" t="s">
        <v>151</v>
      </c>
      <c r="E3786">
        <v>9</v>
      </c>
      <c r="H3786">
        <v>226</v>
      </c>
      <c r="I3786" t="s">
        <v>152</v>
      </c>
      <c r="J3786" t="s">
        <v>150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 t="shared" si="2110"/>
        <v>14:58:19.617</v>
      </c>
      <c r="T3786" t="str">
        <f t="shared" si="2111"/>
        <v>14:58:18.817</v>
      </c>
      <c r="U3786" t="str">
        <f t="shared" si="2108"/>
        <v>ACC530</v>
      </c>
      <c r="V3786">
        <v>0</v>
      </c>
      <c r="W3786">
        <v>0</v>
      </c>
      <c r="X3786">
        <v>1</v>
      </c>
      <c r="Z3786">
        <v>0</v>
      </c>
      <c r="AA3786">
        <v>9</v>
      </c>
      <c r="AB3786">
        <v>3</v>
      </c>
      <c r="AC3786">
        <v>0</v>
      </c>
      <c r="AD3786">
        <v>9</v>
      </c>
      <c r="AE3786">
        <v>0</v>
      </c>
      <c r="AF3786">
        <v>3</v>
      </c>
      <c r="AG3786">
        <v>1</v>
      </c>
      <c r="AH3786">
        <v>0</v>
      </c>
      <c r="AI3786" t="s">
        <v>1220</v>
      </c>
      <c r="AJ3786">
        <v>34.067230000000002</v>
      </c>
      <c r="AK3786" t="s">
        <v>1221</v>
      </c>
      <c r="AL3786">
        <v>-117.018964</v>
      </c>
      <c r="AM3786">
        <v>100</v>
      </c>
      <c r="AN3786">
        <v>5300</v>
      </c>
      <c r="AO3786" t="s">
        <v>118</v>
      </c>
      <c r="AP3786">
        <v>-24</v>
      </c>
      <c r="AQ3786">
        <v>-86</v>
      </c>
      <c r="AR3786">
        <v>0</v>
      </c>
      <c r="AZ3786">
        <v>1200</v>
      </c>
      <c r="BA3786">
        <v>1</v>
      </c>
      <c r="BB3786" t="str">
        <f t="shared" si="2113"/>
        <v xml:space="preserve">N9217B  </v>
      </c>
      <c r="BC3786">
        <v>1</v>
      </c>
      <c r="BE3786">
        <v>0</v>
      </c>
      <c r="BF3786">
        <v>0</v>
      </c>
      <c r="BG3786">
        <v>0</v>
      </c>
      <c r="BH3786">
        <v>5150</v>
      </c>
      <c r="BI3786">
        <v>1</v>
      </c>
      <c r="BJ3786">
        <v>0</v>
      </c>
      <c r="BK3786">
        <v>0</v>
      </c>
      <c r="BL3786">
        <v>0</v>
      </c>
      <c r="BO3786">
        <v>0</v>
      </c>
      <c r="BP3786">
        <v>0</v>
      </c>
      <c r="BW3786" t="str">
        <f t="shared" si="2112"/>
        <v>14:58:19.618</v>
      </c>
      <c r="CJ3786">
        <v>0</v>
      </c>
      <c r="CK3786">
        <v>2</v>
      </c>
      <c r="CL3786">
        <v>0</v>
      </c>
      <c r="CM3786">
        <v>2</v>
      </c>
      <c r="CN3786">
        <v>0</v>
      </c>
      <c r="CO3786">
        <v>7</v>
      </c>
      <c r="CP3786" t="s">
        <v>119</v>
      </c>
      <c r="CQ3786">
        <v>285</v>
      </c>
      <c r="CR3786">
        <v>0</v>
      </c>
      <c r="CW3786">
        <v>8883807</v>
      </c>
      <c r="CY3786">
        <v>0</v>
      </c>
      <c r="CZ3786">
        <v>0</v>
      </c>
      <c r="DA3786">
        <v>1</v>
      </c>
      <c r="DB3786">
        <v>0</v>
      </c>
      <c r="DC3786">
        <v>0</v>
      </c>
      <c r="DD3786">
        <v>0</v>
      </c>
      <c r="DE3786">
        <v>0</v>
      </c>
      <c r="DF3786">
        <v>0</v>
      </c>
      <c r="DG3786">
        <v>0</v>
      </c>
      <c r="DH3786">
        <v>0</v>
      </c>
      <c r="DI3786">
        <v>0</v>
      </c>
    </row>
    <row r="3787" spans="1:113" x14ac:dyDescent="0.25">
      <c r="A3787" t="str">
        <f t="shared" ref="A3787:A3793" si="2114">"06/05/2020 14:58:15.047"</f>
        <v>06/05/2020 14:58:15.047</v>
      </c>
      <c r="C3787" t="str">
        <f t="shared" si="2091"/>
        <v>FFDFD3C0</v>
      </c>
      <c r="D3787" t="s">
        <v>148</v>
      </c>
      <c r="E3787">
        <v>8</v>
      </c>
      <c r="H3787">
        <v>50</v>
      </c>
      <c r="I3787" t="s">
        <v>149</v>
      </c>
      <c r="J3787" t="s">
        <v>150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 t="shared" ref="S3787:T3793" si="2115">"14:58:20.695"</f>
        <v>14:58:20.695</v>
      </c>
      <c r="T3787" t="str">
        <f t="shared" si="2115"/>
        <v>14:58:20.695</v>
      </c>
      <c r="U3787" t="str">
        <f t="shared" si="2108"/>
        <v>ACC530</v>
      </c>
      <c r="V3787">
        <v>0</v>
      </c>
      <c r="W3787">
        <v>0</v>
      </c>
      <c r="X3787">
        <v>1</v>
      </c>
      <c r="Z3787">
        <v>0</v>
      </c>
      <c r="AA3787">
        <v>9</v>
      </c>
      <c r="AB3787">
        <v>3</v>
      </c>
      <c r="AC3787">
        <v>0</v>
      </c>
      <c r="AD3787">
        <v>9</v>
      </c>
      <c r="AE3787">
        <v>0</v>
      </c>
      <c r="AF3787">
        <v>3</v>
      </c>
      <c r="AG3787">
        <v>1</v>
      </c>
      <c r="AH3787">
        <v>0</v>
      </c>
      <c r="AI3787" t="s">
        <v>1222</v>
      </c>
      <c r="AJ3787">
        <v>34.066780000000001</v>
      </c>
      <c r="AK3787" t="s">
        <v>1223</v>
      </c>
      <c r="AL3787">
        <v>-117.019093</v>
      </c>
      <c r="AM3787">
        <v>100</v>
      </c>
      <c r="AN3787">
        <v>5300</v>
      </c>
      <c r="AO3787" t="s">
        <v>118</v>
      </c>
      <c r="AP3787">
        <v>-20</v>
      </c>
      <c r="AQ3787">
        <v>-87</v>
      </c>
      <c r="AR3787">
        <v>-64</v>
      </c>
      <c r="AZ3787">
        <v>1200</v>
      </c>
      <c r="BA3787">
        <v>1</v>
      </c>
      <c r="BB3787" t="str">
        <f t="shared" si="2113"/>
        <v xml:space="preserve">N9217B  </v>
      </c>
      <c r="BC3787">
        <v>1</v>
      </c>
      <c r="BE3787">
        <v>0</v>
      </c>
      <c r="BF3787">
        <v>0</v>
      </c>
      <c r="BG3787">
        <v>0</v>
      </c>
      <c r="BH3787">
        <v>5150</v>
      </c>
      <c r="BI3787">
        <v>1</v>
      </c>
      <c r="BJ3787">
        <v>0</v>
      </c>
      <c r="BK3787">
        <v>0</v>
      </c>
      <c r="BL3787">
        <v>0</v>
      </c>
      <c r="BO3787">
        <v>0</v>
      </c>
      <c r="BP3787">
        <v>0</v>
      </c>
      <c r="BW3787" t="str">
        <f t="shared" ref="BW3787:BW3793" si="2116">"14:58:20.698"</f>
        <v>14:58:20.698</v>
      </c>
      <c r="CJ3787">
        <v>0</v>
      </c>
      <c r="CK3787">
        <v>2</v>
      </c>
      <c r="CL3787">
        <v>0</v>
      </c>
      <c r="CM3787">
        <v>2</v>
      </c>
      <c r="CN3787">
        <v>0</v>
      </c>
      <c r="CO3787">
        <v>7</v>
      </c>
      <c r="CP3787" t="s">
        <v>119</v>
      </c>
      <c r="CQ3787">
        <v>285</v>
      </c>
      <c r="CR3787">
        <v>0</v>
      </c>
      <c r="CW3787">
        <v>8883897</v>
      </c>
      <c r="CY3787">
        <v>0</v>
      </c>
      <c r="CZ3787">
        <v>0</v>
      </c>
      <c r="DA3787">
        <v>0</v>
      </c>
      <c r="DB3787">
        <v>0</v>
      </c>
      <c r="DC3787">
        <v>0</v>
      </c>
      <c r="DD3787">
        <v>0</v>
      </c>
      <c r="DE3787">
        <v>0</v>
      </c>
      <c r="DF3787">
        <v>0</v>
      </c>
      <c r="DG3787">
        <v>0</v>
      </c>
      <c r="DH3787">
        <v>0</v>
      </c>
      <c r="DI3787">
        <v>0</v>
      </c>
    </row>
    <row r="3788" spans="1:113" x14ac:dyDescent="0.25">
      <c r="A3788" t="str">
        <f t="shared" si="2114"/>
        <v>06/05/2020 14:58:15.047</v>
      </c>
      <c r="C3788" t="str">
        <f t="shared" si="2091"/>
        <v>FFDFD3C0</v>
      </c>
      <c r="D3788" t="s">
        <v>141</v>
      </c>
      <c r="E3788">
        <v>20</v>
      </c>
      <c r="F3788">
        <v>1020</v>
      </c>
      <c r="G3788" t="s">
        <v>114</v>
      </c>
      <c r="J3788" t="s">
        <v>142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 t="shared" si="2115"/>
        <v>14:58:20.695</v>
      </c>
      <c r="T3788" t="str">
        <f t="shared" si="2115"/>
        <v>14:58:20.695</v>
      </c>
      <c r="U3788" t="str">
        <f t="shared" si="2108"/>
        <v>ACC530</v>
      </c>
      <c r="V3788">
        <v>0</v>
      </c>
      <c r="W3788">
        <v>0</v>
      </c>
      <c r="X3788">
        <v>1</v>
      </c>
      <c r="Z3788">
        <v>0</v>
      </c>
      <c r="AA3788">
        <v>9</v>
      </c>
      <c r="AB3788">
        <v>3</v>
      </c>
      <c r="AC3788">
        <v>0</v>
      </c>
      <c r="AD3788">
        <v>9</v>
      </c>
      <c r="AE3788">
        <v>0</v>
      </c>
      <c r="AF3788">
        <v>3</v>
      </c>
      <c r="AG3788">
        <v>1</v>
      </c>
      <c r="AH3788">
        <v>0</v>
      </c>
      <c r="AI3788" t="s">
        <v>1222</v>
      </c>
      <c r="AJ3788">
        <v>34.066780000000001</v>
      </c>
      <c r="AK3788" t="s">
        <v>1223</v>
      </c>
      <c r="AL3788">
        <v>-117.019093</v>
      </c>
      <c r="AM3788">
        <v>100</v>
      </c>
      <c r="AN3788">
        <v>5300</v>
      </c>
      <c r="AO3788" t="s">
        <v>118</v>
      </c>
      <c r="AP3788">
        <v>-20</v>
      </c>
      <c r="AQ3788">
        <v>-87</v>
      </c>
      <c r="AR3788">
        <v>-64</v>
      </c>
      <c r="AZ3788">
        <v>1200</v>
      </c>
      <c r="BA3788">
        <v>1</v>
      </c>
      <c r="BB3788" t="str">
        <f t="shared" si="2113"/>
        <v xml:space="preserve">N9217B  </v>
      </c>
      <c r="BC3788">
        <v>1</v>
      </c>
      <c r="BE3788">
        <v>0</v>
      </c>
      <c r="BF3788">
        <v>0</v>
      </c>
      <c r="BG3788">
        <v>0</v>
      </c>
      <c r="BH3788">
        <v>5150</v>
      </c>
      <c r="BI3788">
        <v>1</v>
      </c>
      <c r="BJ3788">
        <v>0</v>
      </c>
      <c r="BK3788">
        <v>0</v>
      </c>
      <c r="BL3788">
        <v>0</v>
      </c>
      <c r="BO3788">
        <v>0</v>
      </c>
      <c r="BP3788">
        <v>0</v>
      </c>
      <c r="BW3788" t="str">
        <f t="shared" si="2116"/>
        <v>14:58:20.698</v>
      </c>
      <c r="CJ3788">
        <v>0</v>
      </c>
      <c r="CK3788">
        <v>2</v>
      </c>
      <c r="CL3788">
        <v>0</v>
      </c>
      <c r="CM3788">
        <v>2</v>
      </c>
      <c r="CN3788">
        <v>0</v>
      </c>
      <c r="CO3788">
        <v>7</v>
      </c>
      <c r="CP3788" t="s">
        <v>119</v>
      </c>
      <c r="CQ3788">
        <v>285</v>
      </c>
      <c r="CR3788">
        <v>0</v>
      </c>
      <c r="CW3788">
        <v>8883897</v>
      </c>
      <c r="CY3788">
        <v>0</v>
      </c>
      <c r="CZ3788">
        <v>0</v>
      </c>
      <c r="DA3788">
        <v>1</v>
      </c>
      <c r="DB3788">
        <v>0</v>
      </c>
      <c r="DC3788">
        <v>0</v>
      </c>
      <c r="DD3788">
        <v>0</v>
      </c>
      <c r="DE3788">
        <v>0</v>
      </c>
      <c r="DF3788">
        <v>0</v>
      </c>
      <c r="DG3788">
        <v>0</v>
      </c>
      <c r="DH3788">
        <v>0</v>
      </c>
      <c r="DI3788">
        <v>0</v>
      </c>
    </row>
    <row r="3789" spans="1:113" x14ac:dyDescent="0.25">
      <c r="A3789" t="str">
        <f t="shared" si="2114"/>
        <v>06/05/2020 14:58:15.047</v>
      </c>
      <c r="C3789" t="str">
        <f t="shared" si="2091"/>
        <v>FFDFD3C0</v>
      </c>
      <c r="D3789" t="s">
        <v>151</v>
      </c>
      <c r="E3789">
        <v>8</v>
      </c>
      <c r="H3789">
        <v>225</v>
      </c>
      <c r="I3789" t="s">
        <v>353</v>
      </c>
      <c r="J3789" t="s">
        <v>150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 t="shared" si="2115"/>
        <v>14:58:20.695</v>
      </c>
      <c r="T3789" t="str">
        <f t="shared" si="2115"/>
        <v>14:58:20.695</v>
      </c>
      <c r="U3789" t="str">
        <f t="shared" si="2108"/>
        <v>ACC530</v>
      </c>
      <c r="V3789">
        <v>0</v>
      </c>
      <c r="W3789">
        <v>0</v>
      </c>
      <c r="X3789">
        <v>1</v>
      </c>
      <c r="Z3789">
        <v>0</v>
      </c>
      <c r="AA3789">
        <v>9</v>
      </c>
      <c r="AB3789">
        <v>3</v>
      </c>
      <c r="AC3789">
        <v>0</v>
      </c>
      <c r="AD3789">
        <v>9</v>
      </c>
      <c r="AE3789">
        <v>0</v>
      </c>
      <c r="AF3789">
        <v>3</v>
      </c>
      <c r="AG3789">
        <v>1</v>
      </c>
      <c r="AH3789">
        <v>0</v>
      </c>
      <c r="AI3789" t="s">
        <v>1222</v>
      </c>
      <c r="AJ3789">
        <v>34.066780000000001</v>
      </c>
      <c r="AK3789" t="s">
        <v>1223</v>
      </c>
      <c r="AL3789">
        <v>-117.019093</v>
      </c>
      <c r="AM3789">
        <v>100</v>
      </c>
      <c r="AN3789">
        <v>5300</v>
      </c>
      <c r="AO3789" t="s">
        <v>118</v>
      </c>
      <c r="AP3789">
        <v>-20</v>
      </c>
      <c r="AQ3789">
        <v>-87</v>
      </c>
      <c r="AR3789">
        <v>-64</v>
      </c>
      <c r="AZ3789">
        <v>1200</v>
      </c>
      <c r="BA3789">
        <v>1</v>
      </c>
      <c r="BB3789" t="str">
        <f t="shared" si="2113"/>
        <v xml:space="preserve">N9217B  </v>
      </c>
      <c r="BC3789">
        <v>1</v>
      </c>
      <c r="BE3789">
        <v>0</v>
      </c>
      <c r="BF3789">
        <v>0</v>
      </c>
      <c r="BG3789">
        <v>0</v>
      </c>
      <c r="BH3789">
        <v>5150</v>
      </c>
      <c r="BI3789">
        <v>1</v>
      </c>
      <c r="BJ3789">
        <v>0</v>
      </c>
      <c r="BK3789">
        <v>0</v>
      </c>
      <c r="BL3789">
        <v>0</v>
      </c>
      <c r="BO3789">
        <v>0</v>
      </c>
      <c r="BP3789">
        <v>0</v>
      </c>
      <c r="BW3789" t="str">
        <f t="shared" si="2116"/>
        <v>14:58:20.698</v>
      </c>
      <c r="CJ3789">
        <v>0</v>
      </c>
      <c r="CK3789">
        <v>2</v>
      </c>
      <c r="CL3789">
        <v>0</v>
      </c>
      <c r="CM3789">
        <v>2</v>
      </c>
      <c r="CN3789">
        <v>0</v>
      </c>
      <c r="CO3789">
        <v>7</v>
      </c>
      <c r="CP3789" t="s">
        <v>119</v>
      </c>
      <c r="CQ3789">
        <v>285</v>
      </c>
      <c r="CR3789">
        <v>0</v>
      </c>
      <c r="CW3789">
        <v>8883897</v>
      </c>
      <c r="CY3789">
        <v>0</v>
      </c>
      <c r="CZ3789">
        <v>0</v>
      </c>
      <c r="DA3789">
        <v>1</v>
      </c>
      <c r="DB3789">
        <v>0</v>
      </c>
      <c r="DC3789">
        <v>0</v>
      </c>
      <c r="DD3789">
        <v>0</v>
      </c>
      <c r="DE3789">
        <v>0</v>
      </c>
      <c r="DF3789">
        <v>0</v>
      </c>
      <c r="DG3789">
        <v>0</v>
      </c>
      <c r="DH3789">
        <v>0</v>
      </c>
      <c r="DI3789">
        <v>0</v>
      </c>
    </row>
    <row r="3790" spans="1:113" x14ac:dyDescent="0.25">
      <c r="A3790" t="str">
        <f t="shared" si="2114"/>
        <v>06/05/2020 14:58:15.047</v>
      </c>
      <c r="C3790" t="str">
        <f t="shared" si="2091"/>
        <v>FFDFD3C0</v>
      </c>
      <c r="D3790" t="s">
        <v>151</v>
      </c>
      <c r="E3790">
        <v>9</v>
      </c>
      <c r="H3790">
        <v>226</v>
      </c>
      <c r="I3790" t="s">
        <v>152</v>
      </c>
      <c r="J3790" t="s">
        <v>150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 t="shared" si="2115"/>
        <v>14:58:20.695</v>
      </c>
      <c r="T3790" t="str">
        <f t="shared" si="2115"/>
        <v>14:58:20.695</v>
      </c>
      <c r="U3790" t="str">
        <f t="shared" si="2108"/>
        <v>ACC530</v>
      </c>
      <c r="V3790">
        <v>0</v>
      </c>
      <c r="W3790">
        <v>0</v>
      </c>
      <c r="X3790">
        <v>1</v>
      </c>
      <c r="Z3790">
        <v>0</v>
      </c>
      <c r="AA3790">
        <v>9</v>
      </c>
      <c r="AB3790">
        <v>3</v>
      </c>
      <c r="AC3790">
        <v>0</v>
      </c>
      <c r="AD3790">
        <v>9</v>
      </c>
      <c r="AE3790">
        <v>0</v>
      </c>
      <c r="AF3790">
        <v>3</v>
      </c>
      <c r="AG3790">
        <v>1</v>
      </c>
      <c r="AH3790">
        <v>0</v>
      </c>
      <c r="AI3790" t="s">
        <v>1222</v>
      </c>
      <c r="AJ3790">
        <v>34.066780000000001</v>
      </c>
      <c r="AK3790" t="s">
        <v>1223</v>
      </c>
      <c r="AL3790">
        <v>-117.019093</v>
      </c>
      <c r="AM3790">
        <v>100</v>
      </c>
      <c r="AN3790">
        <v>5300</v>
      </c>
      <c r="AO3790" t="s">
        <v>118</v>
      </c>
      <c r="AP3790">
        <v>-20</v>
      </c>
      <c r="AQ3790">
        <v>-87</v>
      </c>
      <c r="AR3790">
        <v>-64</v>
      </c>
      <c r="AZ3790">
        <v>1200</v>
      </c>
      <c r="BA3790">
        <v>1</v>
      </c>
      <c r="BB3790" t="str">
        <f t="shared" si="2113"/>
        <v xml:space="preserve">N9217B  </v>
      </c>
      <c r="BC3790">
        <v>1</v>
      </c>
      <c r="BE3790">
        <v>0</v>
      </c>
      <c r="BF3790">
        <v>0</v>
      </c>
      <c r="BG3790">
        <v>0</v>
      </c>
      <c r="BH3790">
        <v>5150</v>
      </c>
      <c r="BI3790">
        <v>1</v>
      </c>
      <c r="BJ3790">
        <v>0</v>
      </c>
      <c r="BK3790">
        <v>0</v>
      </c>
      <c r="BL3790">
        <v>0</v>
      </c>
      <c r="BO3790">
        <v>0</v>
      </c>
      <c r="BP3790">
        <v>0</v>
      </c>
      <c r="BW3790" t="str">
        <f t="shared" si="2116"/>
        <v>14:58:20.698</v>
      </c>
      <c r="CJ3790">
        <v>0</v>
      </c>
      <c r="CK3790">
        <v>2</v>
      </c>
      <c r="CL3790">
        <v>0</v>
      </c>
      <c r="CM3790">
        <v>2</v>
      </c>
      <c r="CN3790">
        <v>0</v>
      </c>
      <c r="CO3790">
        <v>7</v>
      </c>
      <c r="CP3790" t="s">
        <v>119</v>
      </c>
      <c r="CQ3790">
        <v>285</v>
      </c>
      <c r="CR3790">
        <v>0</v>
      </c>
      <c r="CW3790">
        <v>8883897</v>
      </c>
      <c r="CY3790">
        <v>0</v>
      </c>
      <c r="CZ3790">
        <v>0</v>
      </c>
      <c r="DA3790">
        <v>1</v>
      </c>
      <c r="DB3790">
        <v>0</v>
      </c>
      <c r="DC3790">
        <v>0</v>
      </c>
      <c r="DD3790">
        <v>0</v>
      </c>
      <c r="DE3790">
        <v>0</v>
      </c>
      <c r="DF3790">
        <v>0</v>
      </c>
      <c r="DG3790">
        <v>0</v>
      </c>
      <c r="DH3790">
        <v>0</v>
      </c>
      <c r="DI3790">
        <v>0</v>
      </c>
    </row>
    <row r="3791" spans="1:113" x14ac:dyDescent="0.25">
      <c r="A3791" t="str">
        <f t="shared" si="2114"/>
        <v>06/05/2020 14:58:15.047</v>
      </c>
      <c r="C3791" t="str">
        <f t="shared" si="2091"/>
        <v>FFDFD3C0</v>
      </c>
      <c r="D3791" t="s">
        <v>113</v>
      </c>
      <c r="E3791">
        <v>3</v>
      </c>
      <c r="H3791">
        <v>166</v>
      </c>
      <c r="I3791" t="s">
        <v>114</v>
      </c>
      <c r="J3791" t="s">
        <v>115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 t="shared" si="2115"/>
        <v>14:58:20.695</v>
      </c>
      <c r="T3791" t="str">
        <f t="shared" si="2115"/>
        <v>14:58:20.695</v>
      </c>
      <c r="U3791" t="str">
        <f t="shared" si="2108"/>
        <v>ACC530</v>
      </c>
      <c r="V3791">
        <v>0</v>
      </c>
      <c r="W3791">
        <v>0</v>
      </c>
      <c r="X3791">
        <v>1</v>
      </c>
      <c r="Z3791">
        <v>0</v>
      </c>
      <c r="AA3791">
        <v>9</v>
      </c>
      <c r="AB3791">
        <v>3</v>
      </c>
      <c r="AC3791">
        <v>0</v>
      </c>
      <c r="AD3791">
        <v>9</v>
      </c>
      <c r="AE3791">
        <v>0</v>
      </c>
      <c r="AF3791">
        <v>3</v>
      </c>
      <c r="AG3791">
        <v>1</v>
      </c>
      <c r="AH3791">
        <v>0</v>
      </c>
      <c r="AI3791" t="s">
        <v>1222</v>
      </c>
      <c r="AJ3791">
        <v>34.066780000000001</v>
      </c>
      <c r="AK3791" t="s">
        <v>1223</v>
      </c>
      <c r="AL3791">
        <v>-117.019093</v>
      </c>
      <c r="AM3791">
        <v>100</v>
      </c>
      <c r="AN3791">
        <v>5300</v>
      </c>
      <c r="AO3791" t="s">
        <v>118</v>
      </c>
      <c r="AP3791">
        <v>-20</v>
      </c>
      <c r="AQ3791">
        <v>-87</v>
      </c>
      <c r="AR3791">
        <v>-64</v>
      </c>
      <c r="AZ3791">
        <v>1200</v>
      </c>
      <c r="BA3791">
        <v>1</v>
      </c>
      <c r="BB3791" t="str">
        <f t="shared" si="2113"/>
        <v xml:space="preserve">N9217B  </v>
      </c>
      <c r="BC3791">
        <v>1</v>
      </c>
      <c r="BE3791">
        <v>0</v>
      </c>
      <c r="BF3791">
        <v>0</v>
      </c>
      <c r="BG3791">
        <v>0</v>
      </c>
      <c r="BH3791">
        <v>5150</v>
      </c>
      <c r="BI3791">
        <v>1</v>
      </c>
      <c r="BJ3791">
        <v>0</v>
      </c>
      <c r="BK3791">
        <v>0</v>
      </c>
      <c r="BL3791">
        <v>0</v>
      </c>
      <c r="BO3791">
        <v>0</v>
      </c>
      <c r="BP3791">
        <v>0</v>
      </c>
      <c r="BW3791" t="str">
        <f t="shared" si="2116"/>
        <v>14:58:20.698</v>
      </c>
      <c r="CJ3791">
        <v>0</v>
      </c>
      <c r="CK3791">
        <v>2</v>
      </c>
      <c r="CL3791">
        <v>0</v>
      </c>
      <c r="CM3791">
        <v>2</v>
      </c>
      <c r="CN3791">
        <v>0</v>
      </c>
      <c r="CO3791">
        <v>7</v>
      </c>
      <c r="CP3791" t="s">
        <v>119</v>
      </c>
      <c r="CQ3791">
        <v>285</v>
      </c>
      <c r="CR3791">
        <v>0</v>
      </c>
      <c r="CW3791">
        <v>8883897</v>
      </c>
      <c r="CY3791">
        <v>0</v>
      </c>
      <c r="CZ3791">
        <v>0</v>
      </c>
      <c r="DA3791">
        <v>1</v>
      </c>
      <c r="DB3791">
        <v>0</v>
      </c>
      <c r="DC3791">
        <v>0</v>
      </c>
      <c r="DD3791">
        <v>0</v>
      </c>
      <c r="DE3791">
        <v>0</v>
      </c>
      <c r="DF3791">
        <v>0</v>
      </c>
      <c r="DG3791">
        <v>0</v>
      </c>
      <c r="DH3791">
        <v>0</v>
      </c>
      <c r="DI3791">
        <v>0</v>
      </c>
    </row>
    <row r="3792" spans="1:113" x14ac:dyDescent="0.25">
      <c r="A3792" t="str">
        <f t="shared" si="2114"/>
        <v>06/05/2020 14:58:15.047</v>
      </c>
      <c r="C3792" t="str">
        <f t="shared" si="2091"/>
        <v>FFDFD3C0</v>
      </c>
      <c r="D3792" t="s">
        <v>148</v>
      </c>
      <c r="E3792">
        <v>11</v>
      </c>
      <c r="H3792">
        <v>53</v>
      </c>
      <c r="I3792" t="s">
        <v>364</v>
      </c>
      <c r="J3792" t="s">
        <v>150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 t="shared" si="2115"/>
        <v>14:58:20.695</v>
      </c>
      <c r="T3792" t="str">
        <f t="shared" si="2115"/>
        <v>14:58:20.695</v>
      </c>
      <c r="U3792" t="str">
        <f t="shared" si="2108"/>
        <v>ACC530</v>
      </c>
      <c r="V3792">
        <v>0</v>
      </c>
      <c r="W3792">
        <v>0</v>
      </c>
      <c r="X3792">
        <v>1</v>
      </c>
      <c r="Z3792">
        <v>0</v>
      </c>
      <c r="AA3792">
        <v>9</v>
      </c>
      <c r="AB3792">
        <v>3</v>
      </c>
      <c r="AC3792">
        <v>0</v>
      </c>
      <c r="AD3792">
        <v>9</v>
      </c>
      <c r="AE3792">
        <v>0</v>
      </c>
      <c r="AF3792">
        <v>3</v>
      </c>
      <c r="AG3792">
        <v>1</v>
      </c>
      <c r="AH3792">
        <v>0</v>
      </c>
      <c r="AI3792" t="s">
        <v>1222</v>
      </c>
      <c r="AJ3792">
        <v>34.066780000000001</v>
      </c>
      <c r="AK3792" t="s">
        <v>1223</v>
      </c>
      <c r="AL3792">
        <v>-117.019093</v>
      </c>
      <c r="AM3792">
        <v>100</v>
      </c>
      <c r="AN3792">
        <v>5300</v>
      </c>
      <c r="AO3792" t="s">
        <v>118</v>
      </c>
      <c r="AP3792">
        <v>-20</v>
      </c>
      <c r="AQ3792">
        <v>-87</v>
      </c>
      <c r="AR3792">
        <v>-64</v>
      </c>
      <c r="AZ3792">
        <v>1200</v>
      </c>
      <c r="BA3792">
        <v>1</v>
      </c>
      <c r="BB3792" t="str">
        <f t="shared" si="2113"/>
        <v xml:space="preserve">N9217B  </v>
      </c>
      <c r="BC3792">
        <v>1</v>
      </c>
      <c r="BE3792">
        <v>0</v>
      </c>
      <c r="BF3792">
        <v>0</v>
      </c>
      <c r="BG3792">
        <v>0</v>
      </c>
      <c r="BH3792">
        <v>5150</v>
      </c>
      <c r="BI3792">
        <v>1</v>
      </c>
      <c r="BJ3792">
        <v>0</v>
      </c>
      <c r="BK3792">
        <v>0</v>
      </c>
      <c r="BL3792">
        <v>0</v>
      </c>
      <c r="BO3792">
        <v>0</v>
      </c>
      <c r="BP3792">
        <v>0</v>
      </c>
      <c r="BW3792" t="str">
        <f t="shared" si="2116"/>
        <v>14:58:20.698</v>
      </c>
      <c r="CJ3792">
        <v>0</v>
      </c>
      <c r="CK3792">
        <v>2</v>
      </c>
      <c r="CL3792">
        <v>0</v>
      </c>
      <c r="CM3792">
        <v>2</v>
      </c>
      <c r="CN3792">
        <v>0</v>
      </c>
      <c r="CO3792">
        <v>7</v>
      </c>
      <c r="CP3792" t="s">
        <v>119</v>
      </c>
      <c r="CQ3792">
        <v>285</v>
      </c>
      <c r="CR3792">
        <v>0</v>
      </c>
      <c r="CW3792">
        <v>8883897</v>
      </c>
      <c r="CY3792">
        <v>0</v>
      </c>
      <c r="CZ3792">
        <v>0</v>
      </c>
      <c r="DA3792">
        <v>1</v>
      </c>
      <c r="DB3792">
        <v>0</v>
      </c>
      <c r="DC3792">
        <v>0</v>
      </c>
      <c r="DD3792">
        <v>0</v>
      </c>
      <c r="DE3792">
        <v>0</v>
      </c>
      <c r="DF3792">
        <v>0</v>
      </c>
      <c r="DG3792">
        <v>0</v>
      </c>
      <c r="DH3792">
        <v>0</v>
      </c>
      <c r="DI3792">
        <v>0</v>
      </c>
    </row>
    <row r="3793" spans="1:113" x14ac:dyDescent="0.25">
      <c r="A3793" t="str">
        <f t="shared" si="2114"/>
        <v>06/05/2020 14:58:15.047</v>
      </c>
      <c r="C3793" t="str">
        <f t="shared" si="2091"/>
        <v>FFDFD3C0</v>
      </c>
      <c r="D3793" t="s">
        <v>134</v>
      </c>
      <c r="E3793">
        <v>7</v>
      </c>
      <c r="F3793">
        <v>2007</v>
      </c>
      <c r="G3793" t="s">
        <v>135</v>
      </c>
      <c r="J3793" t="s">
        <v>136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 t="shared" si="2115"/>
        <v>14:58:20.695</v>
      </c>
      <c r="T3793" t="str">
        <f t="shared" si="2115"/>
        <v>14:58:20.695</v>
      </c>
      <c r="U3793" t="str">
        <f t="shared" si="2108"/>
        <v>ACC530</v>
      </c>
      <c r="V3793">
        <v>0</v>
      </c>
      <c r="W3793">
        <v>0</v>
      </c>
      <c r="X3793">
        <v>1</v>
      </c>
      <c r="Z3793">
        <v>0</v>
      </c>
      <c r="AA3793">
        <v>9</v>
      </c>
      <c r="AB3793">
        <v>3</v>
      </c>
      <c r="AC3793">
        <v>0</v>
      </c>
      <c r="AD3793">
        <v>9</v>
      </c>
      <c r="AE3793">
        <v>0</v>
      </c>
      <c r="AF3793">
        <v>3</v>
      </c>
      <c r="AG3793">
        <v>1</v>
      </c>
      <c r="AH3793">
        <v>0</v>
      </c>
      <c r="AI3793" t="s">
        <v>1222</v>
      </c>
      <c r="AJ3793">
        <v>34.066780000000001</v>
      </c>
      <c r="AK3793" t="s">
        <v>1223</v>
      </c>
      <c r="AL3793">
        <v>-117.019093</v>
      </c>
      <c r="AM3793">
        <v>100</v>
      </c>
      <c r="AN3793">
        <v>5300</v>
      </c>
      <c r="AO3793" t="s">
        <v>118</v>
      </c>
      <c r="AP3793">
        <v>-20</v>
      </c>
      <c r="AQ3793">
        <v>-87</v>
      </c>
      <c r="AR3793">
        <v>-64</v>
      </c>
      <c r="AZ3793">
        <v>1200</v>
      </c>
      <c r="BA3793">
        <v>1</v>
      </c>
      <c r="BB3793" t="str">
        <f t="shared" si="2113"/>
        <v xml:space="preserve">N9217B  </v>
      </c>
      <c r="BC3793">
        <v>1</v>
      </c>
      <c r="BE3793">
        <v>0</v>
      </c>
      <c r="BF3793">
        <v>0</v>
      </c>
      <c r="BG3793">
        <v>0</v>
      </c>
      <c r="BH3793">
        <v>5150</v>
      </c>
      <c r="BI3793">
        <v>1</v>
      </c>
      <c r="BJ3793">
        <v>0</v>
      </c>
      <c r="BK3793">
        <v>0</v>
      </c>
      <c r="BL3793">
        <v>0</v>
      </c>
      <c r="BO3793">
        <v>0</v>
      </c>
      <c r="BP3793">
        <v>0</v>
      </c>
      <c r="BW3793" t="str">
        <f t="shared" si="2116"/>
        <v>14:58:20.698</v>
      </c>
      <c r="CJ3793">
        <v>0</v>
      </c>
      <c r="CK3793">
        <v>2</v>
      </c>
      <c r="CL3793">
        <v>0</v>
      </c>
      <c r="CM3793">
        <v>2</v>
      </c>
      <c r="CN3793">
        <v>0</v>
      </c>
      <c r="CO3793">
        <v>7</v>
      </c>
      <c r="CP3793" t="s">
        <v>119</v>
      </c>
      <c r="CQ3793">
        <v>285</v>
      </c>
      <c r="CR3793">
        <v>0</v>
      </c>
      <c r="CW3793">
        <v>8883897</v>
      </c>
      <c r="CY3793">
        <v>0</v>
      </c>
      <c r="CZ3793">
        <v>0</v>
      </c>
      <c r="DA3793">
        <v>1</v>
      </c>
      <c r="DB3793">
        <v>0</v>
      </c>
      <c r="DC3793">
        <v>0</v>
      </c>
      <c r="DD3793">
        <v>0</v>
      </c>
      <c r="DE3793">
        <v>0</v>
      </c>
      <c r="DF3793">
        <v>0</v>
      </c>
      <c r="DG3793">
        <v>0</v>
      </c>
      <c r="DH3793">
        <v>0</v>
      </c>
      <c r="DI3793">
        <v>0</v>
      </c>
    </row>
    <row r="3794" spans="1:113" x14ac:dyDescent="0.25">
      <c r="A3794" t="str">
        <f t="shared" ref="A3794:A3800" si="2117">"06/05/2020 14:58:16.006"</f>
        <v>06/05/2020 14:58:16.006</v>
      </c>
      <c r="C3794" t="str">
        <f t="shared" si="2091"/>
        <v>FFDFD3C0</v>
      </c>
      <c r="D3794" t="s">
        <v>148</v>
      </c>
      <c r="E3794">
        <v>8</v>
      </c>
      <c r="H3794">
        <v>50</v>
      </c>
      <c r="I3794" t="s">
        <v>149</v>
      </c>
      <c r="J3794" t="s">
        <v>150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 t="shared" ref="S3794:S3800" si="2118">"14:58:21.641"</f>
        <v>14:58:21.641</v>
      </c>
      <c r="T3794" t="str">
        <f t="shared" ref="T3794:T3800" si="2119">"14:58:21.241"</f>
        <v>14:58:21.241</v>
      </c>
      <c r="U3794" t="str">
        <f t="shared" si="2108"/>
        <v>ACC530</v>
      </c>
      <c r="V3794">
        <v>0</v>
      </c>
      <c r="W3794">
        <v>0</v>
      </c>
      <c r="X3794">
        <v>1</v>
      </c>
      <c r="Z3794">
        <v>0</v>
      </c>
      <c r="AA3794">
        <v>9</v>
      </c>
      <c r="AB3794">
        <v>3</v>
      </c>
      <c r="AC3794">
        <v>0</v>
      </c>
      <c r="AD3794">
        <v>9</v>
      </c>
      <c r="AE3794">
        <v>0</v>
      </c>
      <c r="AF3794">
        <v>3</v>
      </c>
      <c r="AG3794">
        <v>1</v>
      </c>
      <c r="AH3794">
        <v>0</v>
      </c>
      <c r="AI3794" t="s">
        <v>1224</v>
      </c>
      <c r="AJ3794">
        <v>34.066414999999999</v>
      </c>
      <c r="AK3794" t="s">
        <v>1225</v>
      </c>
      <c r="AL3794">
        <v>-117.0192</v>
      </c>
      <c r="AM3794">
        <v>100</v>
      </c>
      <c r="AN3794">
        <v>5300</v>
      </c>
      <c r="AO3794" t="s">
        <v>118</v>
      </c>
      <c r="AP3794">
        <v>-19</v>
      </c>
      <c r="AQ3794">
        <v>-88</v>
      </c>
      <c r="AR3794">
        <v>-128</v>
      </c>
      <c r="AZ3794">
        <v>1200</v>
      </c>
      <c r="BA3794">
        <v>1</v>
      </c>
      <c r="BB3794" t="str">
        <f t="shared" si="2113"/>
        <v xml:space="preserve">N9217B  </v>
      </c>
      <c r="BC3794">
        <v>1</v>
      </c>
      <c r="BE3794">
        <v>0</v>
      </c>
      <c r="BF3794">
        <v>0</v>
      </c>
      <c r="BG3794">
        <v>0</v>
      </c>
      <c r="BH3794">
        <v>5150</v>
      </c>
      <c r="BI3794">
        <v>1</v>
      </c>
      <c r="BJ3794">
        <v>0</v>
      </c>
      <c r="BK3794">
        <v>0</v>
      </c>
      <c r="BL3794">
        <v>0</v>
      </c>
      <c r="BO3794">
        <v>0</v>
      </c>
      <c r="BP3794">
        <v>0</v>
      </c>
      <c r="BW3794" t="str">
        <f t="shared" ref="BW3794:BW3800" si="2120">"14:58:21.643"</f>
        <v>14:58:21.643</v>
      </c>
      <c r="CJ3794">
        <v>0</v>
      </c>
      <c r="CK3794">
        <v>2</v>
      </c>
      <c r="CL3794">
        <v>0</v>
      </c>
      <c r="CM3794">
        <v>2</v>
      </c>
      <c r="CN3794">
        <v>0</v>
      </c>
      <c r="CO3794">
        <v>7</v>
      </c>
      <c r="CP3794" t="s">
        <v>119</v>
      </c>
      <c r="CQ3794">
        <v>285</v>
      </c>
      <c r="CR3794">
        <v>0</v>
      </c>
      <c r="CW3794">
        <v>8883986</v>
      </c>
      <c r="CY3794">
        <v>0</v>
      </c>
      <c r="CZ3794">
        <v>0</v>
      </c>
      <c r="DA3794">
        <v>0</v>
      </c>
      <c r="DB3794">
        <v>0</v>
      </c>
      <c r="DC3794">
        <v>0</v>
      </c>
      <c r="DD3794">
        <v>0</v>
      </c>
      <c r="DE3794">
        <v>0</v>
      </c>
      <c r="DF3794">
        <v>0</v>
      </c>
      <c r="DG3794">
        <v>0</v>
      </c>
      <c r="DH3794">
        <v>0</v>
      </c>
      <c r="DI3794">
        <v>0</v>
      </c>
    </row>
    <row r="3795" spans="1:113" x14ac:dyDescent="0.25">
      <c r="A3795" t="str">
        <f t="shared" si="2117"/>
        <v>06/05/2020 14:58:16.006</v>
      </c>
      <c r="C3795" t="str">
        <f t="shared" si="2091"/>
        <v>FFDFD3C0</v>
      </c>
      <c r="D3795" t="s">
        <v>141</v>
      </c>
      <c r="E3795">
        <v>20</v>
      </c>
      <c r="F3795">
        <v>1020</v>
      </c>
      <c r="G3795" t="s">
        <v>114</v>
      </c>
      <c r="J3795" t="s">
        <v>142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 t="shared" si="2118"/>
        <v>14:58:21.641</v>
      </c>
      <c r="T3795" t="str">
        <f t="shared" si="2119"/>
        <v>14:58:21.241</v>
      </c>
      <c r="U3795" t="str">
        <f t="shared" si="2108"/>
        <v>ACC530</v>
      </c>
      <c r="V3795">
        <v>0</v>
      </c>
      <c r="W3795">
        <v>0</v>
      </c>
      <c r="X3795">
        <v>1</v>
      </c>
      <c r="Z3795">
        <v>0</v>
      </c>
      <c r="AA3795">
        <v>9</v>
      </c>
      <c r="AB3795">
        <v>3</v>
      </c>
      <c r="AC3795">
        <v>0</v>
      </c>
      <c r="AD3795">
        <v>9</v>
      </c>
      <c r="AE3795">
        <v>0</v>
      </c>
      <c r="AF3795">
        <v>3</v>
      </c>
      <c r="AG3795">
        <v>1</v>
      </c>
      <c r="AH3795">
        <v>0</v>
      </c>
      <c r="AI3795" t="s">
        <v>1224</v>
      </c>
      <c r="AJ3795">
        <v>34.066414999999999</v>
      </c>
      <c r="AK3795" t="s">
        <v>1225</v>
      </c>
      <c r="AL3795">
        <v>-117.0192</v>
      </c>
      <c r="AM3795">
        <v>100</v>
      </c>
      <c r="AN3795">
        <v>5300</v>
      </c>
      <c r="AO3795" t="s">
        <v>118</v>
      </c>
      <c r="AP3795">
        <v>-19</v>
      </c>
      <c r="AQ3795">
        <v>-88</v>
      </c>
      <c r="AR3795">
        <v>-128</v>
      </c>
      <c r="AZ3795">
        <v>1200</v>
      </c>
      <c r="BA3795">
        <v>1</v>
      </c>
      <c r="BB3795" t="str">
        <f t="shared" si="2113"/>
        <v xml:space="preserve">N9217B  </v>
      </c>
      <c r="BC3795">
        <v>1</v>
      </c>
      <c r="BE3795">
        <v>0</v>
      </c>
      <c r="BF3795">
        <v>0</v>
      </c>
      <c r="BG3795">
        <v>0</v>
      </c>
      <c r="BH3795">
        <v>5150</v>
      </c>
      <c r="BI3795">
        <v>1</v>
      </c>
      <c r="BJ3795">
        <v>0</v>
      </c>
      <c r="BK3795">
        <v>0</v>
      </c>
      <c r="BL3795">
        <v>0</v>
      </c>
      <c r="BO3795">
        <v>0</v>
      </c>
      <c r="BP3795">
        <v>0</v>
      </c>
      <c r="BW3795" t="str">
        <f t="shared" si="2120"/>
        <v>14:58:21.643</v>
      </c>
      <c r="CJ3795">
        <v>0</v>
      </c>
      <c r="CK3795">
        <v>2</v>
      </c>
      <c r="CL3795">
        <v>0</v>
      </c>
      <c r="CM3795">
        <v>2</v>
      </c>
      <c r="CN3795">
        <v>0</v>
      </c>
      <c r="CO3795">
        <v>7</v>
      </c>
      <c r="CP3795" t="s">
        <v>119</v>
      </c>
      <c r="CQ3795">
        <v>285</v>
      </c>
      <c r="CR3795">
        <v>0</v>
      </c>
      <c r="CW3795">
        <v>8883986</v>
      </c>
      <c r="CY3795">
        <v>0</v>
      </c>
      <c r="CZ3795">
        <v>0</v>
      </c>
      <c r="DA3795">
        <v>1</v>
      </c>
      <c r="DB3795">
        <v>0</v>
      </c>
      <c r="DC3795">
        <v>0</v>
      </c>
      <c r="DD3795">
        <v>0</v>
      </c>
      <c r="DE3795">
        <v>0</v>
      </c>
      <c r="DF3795">
        <v>0</v>
      </c>
      <c r="DG3795">
        <v>0</v>
      </c>
      <c r="DH3795">
        <v>0</v>
      </c>
      <c r="DI3795">
        <v>0</v>
      </c>
    </row>
    <row r="3796" spans="1:113" x14ac:dyDescent="0.25">
      <c r="A3796" t="str">
        <f t="shared" si="2117"/>
        <v>06/05/2020 14:58:16.006</v>
      </c>
      <c r="C3796" t="str">
        <f t="shared" si="2091"/>
        <v>FFDFD3C0</v>
      </c>
      <c r="D3796" t="s">
        <v>151</v>
      </c>
      <c r="E3796">
        <v>8</v>
      </c>
      <c r="H3796">
        <v>225</v>
      </c>
      <c r="I3796" t="s">
        <v>353</v>
      </c>
      <c r="J3796" t="s">
        <v>150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 t="shared" si="2118"/>
        <v>14:58:21.641</v>
      </c>
      <c r="T3796" t="str">
        <f t="shared" si="2119"/>
        <v>14:58:21.241</v>
      </c>
      <c r="U3796" t="str">
        <f t="shared" si="2108"/>
        <v>ACC530</v>
      </c>
      <c r="V3796">
        <v>0</v>
      </c>
      <c r="W3796">
        <v>0</v>
      </c>
      <c r="X3796">
        <v>1</v>
      </c>
      <c r="Z3796">
        <v>0</v>
      </c>
      <c r="AA3796">
        <v>9</v>
      </c>
      <c r="AB3796">
        <v>3</v>
      </c>
      <c r="AC3796">
        <v>0</v>
      </c>
      <c r="AD3796">
        <v>9</v>
      </c>
      <c r="AE3796">
        <v>0</v>
      </c>
      <c r="AF3796">
        <v>3</v>
      </c>
      <c r="AG3796">
        <v>1</v>
      </c>
      <c r="AH3796">
        <v>0</v>
      </c>
      <c r="AI3796" t="s">
        <v>1224</v>
      </c>
      <c r="AJ3796">
        <v>34.066414999999999</v>
      </c>
      <c r="AK3796" t="s">
        <v>1225</v>
      </c>
      <c r="AL3796">
        <v>-117.0192</v>
      </c>
      <c r="AM3796">
        <v>100</v>
      </c>
      <c r="AN3796">
        <v>5300</v>
      </c>
      <c r="AO3796" t="s">
        <v>118</v>
      </c>
      <c r="AP3796">
        <v>-19</v>
      </c>
      <c r="AQ3796">
        <v>-88</v>
      </c>
      <c r="AR3796">
        <v>-128</v>
      </c>
      <c r="AZ3796">
        <v>1200</v>
      </c>
      <c r="BA3796">
        <v>1</v>
      </c>
      <c r="BB3796" t="str">
        <f t="shared" si="2113"/>
        <v xml:space="preserve">N9217B  </v>
      </c>
      <c r="BC3796">
        <v>1</v>
      </c>
      <c r="BE3796">
        <v>0</v>
      </c>
      <c r="BF3796">
        <v>0</v>
      </c>
      <c r="BG3796">
        <v>0</v>
      </c>
      <c r="BH3796">
        <v>5150</v>
      </c>
      <c r="BI3796">
        <v>1</v>
      </c>
      <c r="BJ3796">
        <v>0</v>
      </c>
      <c r="BK3796">
        <v>0</v>
      </c>
      <c r="BL3796">
        <v>0</v>
      </c>
      <c r="BO3796">
        <v>0</v>
      </c>
      <c r="BP3796">
        <v>0</v>
      </c>
      <c r="BW3796" t="str">
        <f t="shared" si="2120"/>
        <v>14:58:21.643</v>
      </c>
      <c r="CJ3796">
        <v>0</v>
      </c>
      <c r="CK3796">
        <v>2</v>
      </c>
      <c r="CL3796">
        <v>0</v>
      </c>
      <c r="CM3796">
        <v>2</v>
      </c>
      <c r="CN3796">
        <v>0</v>
      </c>
      <c r="CO3796">
        <v>7</v>
      </c>
      <c r="CP3796" t="s">
        <v>119</v>
      </c>
      <c r="CQ3796">
        <v>285</v>
      </c>
      <c r="CR3796">
        <v>0</v>
      </c>
      <c r="CW3796">
        <v>8883986</v>
      </c>
      <c r="CY3796">
        <v>0</v>
      </c>
      <c r="CZ3796">
        <v>0</v>
      </c>
      <c r="DA3796">
        <v>1</v>
      </c>
      <c r="DB3796">
        <v>0</v>
      </c>
      <c r="DC3796">
        <v>0</v>
      </c>
      <c r="DD3796">
        <v>0</v>
      </c>
      <c r="DE3796">
        <v>0</v>
      </c>
      <c r="DF3796">
        <v>0</v>
      </c>
      <c r="DG3796">
        <v>0</v>
      </c>
      <c r="DH3796">
        <v>0</v>
      </c>
      <c r="DI3796">
        <v>0</v>
      </c>
    </row>
    <row r="3797" spans="1:113" x14ac:dyDescent="0.25">
      <c r="A3797" t="str">
        <f t="shared" si="2117"/>
        <v>06/05/2020 14:58:16.006</v>
      </c>
      <c r="C3797" t="str">
        <f t="shared" si="2091"/>
        <v>FFDFD3C0</v>
      </c>
      <c r="D3797" t="s">
        <v>151</v>
      </c>
      <c r="E3797">
        <v>9</v>
      </c>
      <c r="H3797">
        <v>226</v>
      </c>
      <c r="I3797" t="s">
        <v>152</v>
      </c>
      <c r="J3797" t="s">
        <v>150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 t="shared" si="2118"/>
        <v>14:58:21.641</v>
      </c>
      <c r="T3797" t="str">
        <f t="shared" si="2119"/>
        <v>14:58:21.241</v>
      </c>
      <c r="U3797" t="str">
        <f t="shared" si="2108"/>
        <v>ACC530</v>
      </c>
      <c r="V3797">
        <v>0</v>
      </c>
      <c r="W3797">
        <v>0</v>
      </c>
      <c r="X3797">
        <v>1</v>
      </c>
      <c r="Z3797">
        <v>0</v>
      </c>
      <c r="AA3797">
        <v>9</v>
      </c>
      <c r="AB3797">
        <v>3</v>
      </c>
      <c r="AC3797">
        <v>0</v>
      </c>
      <c r="AD3797">
        <v>9</v>
      </c>
      <c r="AE3797">
        <v>0</v>
      </c>
      <c r="AF3797">
        <v>3</v>
      </c>
      <c r="AG3797">
        <v>1</v>
      </c>
      <c r="AH3797">
        <v>0</v>
      </c>
      <c r="AI3797" t="s">
        <v>1224</v>
      </c>
      <c r="AJ3797">
        <v>34.066414999999999</v>
      </c>
      <c r="AK3797" t="s">
        <v>1225</v>
      </c>
      <c r="AL3797">
        <v>-117.0192</v>
      </c>
      <c r="AM3797">
        <v>100</v>
      </c>
      <c r="AN3797">
        <v>5300</v>
      </c>
      <c r="AO3797" t="s">
        <v>118</v>
      </c>
      <c r="AP3797">
        <v>-19</v>
      </c>
      <c r="AQ3797">
        <v>-88</v>
      </c>
      <c r="AR3797">
        <v>-128</v>
      </c>
      <c r="AZ3797">
        <v>1200</v>
      </c>
      <c r="BA3797">
        <v>1</v>
      </c>
      <c r="BB3797" t="str">
        <f t="shared" si="2113"/>
        <v xml:space="preserve">N9217B  </v>
      </c>
      <c r="BC3797">
        <v>1</v>
      </c>
      <c r="BE3797">
        <v>0</v>
      </c>
      <c r="BF3797">
        <v>0</v>
      </c>
      <c r="BG3797">
        <v>0</v>
      </c>
      <c r="BH3797">
        <v>5150</v>
      </c>
      <c r="BI3797">
        <v>1</v>
      </c>
      <c r="BJ3797">
        <v>0</v>
      </c>
      <c r="BK3797">
        <v>0</v>
      </c>
      <c r="BL3797">
        <v>0</v>
      </c>
      <c r="BO3797">
        <v>0</v>
      </c>
      <c r="BP3797">
        <v>0</v>
      </c>
      <c r="BW3797" t="str">
        <f t="shared" si="2120"/>
        <v>14:58:21.643</v>
      </c>
      <c r="CJ3797">
        <v>0</v>
      </c>
      <c r="CK3797">
        <v>2</v>
      </c>
      <c r="CL3797">
        <v>0</v>
      </c>
      <c r="CM3797">
        <v>2</v>
      </c>
      <c r="CN3797">
        <v>0</v>
      </c>
      <c r="CO3797">
        <v>7</v>
      </c>
      <c r="CP3797" t="s">
        <v>119</v>
      </c>
      <c r="CQ3797">
        <v>285</v>
      </c>
      <c r="CR3797">
        <v>0</v>
      </c>
      <c r="CW3797">
        <v>8883986</v>
      </c>
      <c r="CY3797">
        <v>0</v>
      </c>
      <c r="CZ3797">
        <v>0</v>
      </c>
      <c r="DA3797">
        <v>1</v>
      </c>
      <c r="DB3797">
        <v>0</v>
      </c>
      <c r="DC3797">
        <v>0</v>
      </c>
      <c r="DD3797">
        <v>0</v>
      </c>
      <c r="DE3797">
        <v>0</v>
      </c>
      <c r="DF3797">
        <v>0</v>
      </c>
      <c r="DG3797">
        <v>0</v>
      </c>
      <c r="DH3797">
        <v>0</v>
      </c>
      <c r="DI3797">
        <v>0</v>
      </c>
    </row>
    <row r="3798" spans="1:113" x14ac:dyDescent="0.25">
      <c r="A3798" t="str">
        <f t="shared" si="2117"/>
        <v>06/05/2020 14:58:16.006</v>
      </c>
      <c r="C3798" t="str">
        <f t="shared" si="2091"/>
        <v>FFDFD3C0</v>
      </c>
      <c r="D3798" t="s">
        <v>113</v>
      </c>
      <c r="E3798">
        <v>3</v>
      </c>
      <c r="H3798">
        <v>166</v>
      </c>
      <c r="I3798" t="s">
        <v>114</v>
      </c>
      <c r="J3798" t="s">
        <v>115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 t="shared" si="2118"/>
        <v>14:58:21.641</v>
      </c>
      <c r="T3798" t="str">
        <f t="shared" si="2119"/>
        <v>14:58:21.241</v>
      </c>
      <c r="U3798" t="str">
        <f t="shared" si="2108"/>
        <v>ACC530</v>
      </c>
      <c r="V3798">
        <v>0</v>
      </c>
      <c r="W3798">
        <v>0</v>
      </c>
      <c r="X3798">
        <v>1</v>
      </c>
      <c r="Z3798">
        <v>0</v>
      </c>
      <c r="AA3798">
        <v>9</v>
      </c>
      <c r="AB3798">
        <v>3</v>
      </c>
      <c r="AC3798">
        <v>0</v>
      </c>
      <c r="AD3798">
        <v>9</v>
      </c>
      <c r="AE3798">
        <v>0</v>
      </c>
      <c r="AF3798">
        <v>3</v>
      </c>
      <c r="AG3798">
        <v>1</v>
      </c>
      <c r="AH3798">
        <v>0</v>
      </c>
      <c r="AI3798" t="s">
        <v>1224</v>
      </c>
      <c r="AJ3798">
        <v>34.066414999999999</v>
      </c>
      <c r="AK3798" t="s">
        <v>1225</v>
      </c>
      <c r="AL3798">
        <v>-117.0192</v>
      </c>
      <c r="AM3798">
        <v>100</v>
      </c>
      <c r="AN3798">
        <v>5300</v>
      </c>
      <c r="AO3798" t="s">
        <v>118</v>
      </c>
      <c r="AP3798">
        <v>-19</v>
      </c>
      <c r="AQ3798">
        <v>-88</v>
      </c>
      <c r="AR3798">
        <v>-128</v>
      </c>
      <c r="AZ3798">
        <v>1200</v>
      </c>
      <c r="BA3798">
        <v>1</v>
      </c>
      <c r="BB3798" t="str">
        <f t="shared" si="2113"/>
        <v xml:space="preserve">N9217B  </v>
      </c>
      <c r="BC3798">
        <v>1</v>
      </c>
      <c r="BE3798">
        <v>0</v>
      </c>
      <c r="BF3798">
        <v>0</v>
      </c>
      <c r="BG3798">
        <v>0</v>
      </c>
      <c r="BH3798">
        <v>5150</v>
      </c>
      <c r="BI3798">
        <v>1</v>
      </c>
      <c r="BJ3798">
        <v>0</v>
      </c>
      <c r="BK3798">
        <v>0</v>
      </c>
      <c r="BL3798">
        <v>0</v>
      </c>
      <c r="BO3798">
        <v>0</v>
      </c>
      <c r="BP3798">
        <v>0</v>
      </c>
      <c r="BW3798" t="str">
        <f t="shared" si="2120"/>
        <v>14:58:21.643</v>
      </c>
      <c r="CJ3798">
        <v>0</v>
      </c>
      <c r="CK3798">
        <v>2</v>
      </c>
      <c r="CL3798">
        <v>0</v>
      </c>
      <c r="CM3798">
        <v>2</v>
      </c>
      <c r="CN3798">
        <v>0</v>
      </c>
      <c r="CO3798">
        <v>7</v>
      </c>
      <c r="CP3798" t="s">
        <v>119</v>
      </c>
      <c r="CQ3798">
        <v>285</v>
      </c>
      <c r="CR3798">
        <v>0</v>
      </c>
      <c r="CW3798">
        <v>8883986</v>
      </c>
      <c r="CY3798">
        <v>0</v>
      </c>
      <c r="CZ3798">
        <v>0</v>
      </c>
      <c r="DA3798">
        <v>1</v>
      </c>
      <c r="DB3798">
        <v>0</v>
      </c>
      <c r="DC3798">
        <v>0</v>
      </c>
      <c r="DD3798">
        <v>0</v>
      </c>
      <c r="DE3798">
        <v>0</v>
      </c>
      <c r="DF3798">
        <v>0</v>
      </c>
      <c r="DG3798">
        <v>0</v>
      </c>
      <c r="DH3798">
        <v>0</v>
      </c>
      <c r="DI3798">
        <v>0</v>
      </c>
    </row>
    <row r="3799" spans="1:113" x14ac:dyDescent="0.25">
      <c r="A3799" t="str">
        <f t="shared" si="2117"/>
        <v>06/05/2020 14:58:16.006</v>
      </c>
      <c r="C3799" t="str">
        <f t="shared" si="2091"/>
        <v>FFDFD3C0</v>
      </c>
      <c r="D3799" t="s">
        <v>134</v>
      </c>
      <c r="E3799">
        <v>7</v>
      </c>
      <c r="F3799">
        <v>2007</v>
      </c>
      <c r="G3799" t="s">
        <v>135</v>
      </c>
      <c r="J3799" t="s">
        <v>136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 t="shared" si="2118"/>
        <v>14:58:21.641</v>
      </c>
      <c r="T3799" t="str">
        <f t="shared" si="2119"/>
        <v>14:58:21.241</v>
      </c>
      <c r="U3799" t="str">
        <f t="shared" si="2108"/>
        <v>ACC530</v>
      </c>
      <c r="V3799">
        <v>0</v>
      </c>
      <c r="W3799">
        <v>0</v>
      </c>
      <c r="X3799">
        <v>1</v>
      </c>
      <c r="Z3799">
        <v>0</v>
      </c>
      <c r="AA3799">
        <v>9</v>
      </c>
      <c r="AB3799">
        <v>3</v>
      </c>
      <c r="AC3799">
        <v>0</v>
      </c>
      <c r="AD3799">
        <v>9</v>
      </c>
      <c r="AE3799">
        <v>0</v>
      </c>
      <c r="AF3799">
        <v>3</v>
      </c>
      <c r="AG3799">
        <v>1</v>
      </c>
      <c r="AH3799">
        <v>0</v>
      </c>
      <c r="AI3799" t="s">
        <v>1224</v>
      </c>
      <c r="AJ3799">
        <v>34.066414999999999</v>
      </c>
      <c r="AK3799" t="s">
        <v>1225</v>
      </c>
      <c r="AL3799">
        <v>-117.0192</v>
      </c>
      <c r="AM3799">
        <v>100</v>
      </c>
      <c r="AN3799">
        <v>5300</v>
      </c>
      <c r="AO3799" t="s">
        <v>118</v>
      </c>
      <c r="AP3799">
        <v>-19</v>
      </c>
      <c r="AQ3799">
        <v>-88</v>
      </c>
      <c r="AR3799">
        <v>-128</v>
      </c>
      <c r="AZ3799">
        <v>1200</v>
      </c>
      <c r="BA3799">
        <v>1</v>
      </c>
      <c r="BB3799" t="str">
        <f t="shared" si="2113"/>
        <v xml:space="preserve">N9217B  </v>
      </c>
      <c r="BC3799">
        <v>1</v>
      </c>
      <c r="BE3799">
        <v>0</v>
      </c>
      <c r="BF3799">
        <v>0</v>
      </c>
      <c r="BG3799">
        <v>0</v>
      </c>
      <c r="BH3799">
        <v>5150</v>
      </c>
      <c r="BI3799">
        <v>1</v>
      </c>
      <c r="BJ3799">
        <v>0</v>
      </c>
      <c r="BK3799">
        <v>0</v>
      </c>
      <c r="BL3799">
        <v>0</v>
      </c>
      <c r="BO3799">
        <v>0</v>
      </c>
      <c r="BP3799">
        <v>0</v>
      </c>
      <c r="BW3799" t="str">
        <f t="shared" si="2120"/>
        <v>14:58:21.643</v>
      </c>
      <c r="CJ3799">
        <v>0</v>
      </c>
      <c r="CK3799">
        <v>2</v>
      </c>
      <c r="CL3799">
        <v>0</v>
      </c>
      <c r="CM3799">
        <v>2</v>
      </c>
      <c r="CN3799">
        <v>0</v>
      </c>
      <c r="CO3799">
        <v>7</v>
      </c>
      <c r="CP3799" t="s">
        <v>119</v>
      </c>
      <c r="CQ3799">
        <v>285</v>
      </c>
      <c r="CR3799">
        <v>0</v>
      </c>
      <c r="CW3799">
        <v>8883986</v>
      </c>
      <c r="CY3799">
        <v>0</v>
      </c>
      <c r="CZ3799">
        <v>0</v>
      </c>
      <c r="DA3799">
        <v>1</v>
      </c>
      <c r="DB3799">
        <v>0</v>
      </c>
      <c r="DC3799">
        <v>0</v>
      </c>
      <c r="DD3799">
        <v>0</v>
      </c>
      <c r="DE3799">
        <v>0</v>
      </c>
      <c r="DF3799">
        <v>0</v>
      </c>
      <c r="DG3799">
        <v>0</v>
      </c>
      <c r="DH3799">
        <v>0</v>
      </c>
      <c r="DI3799">
        <v>0</v>
      </c>
    </row>
    <row r="3800" spans="1:113" x14ac:dyDescent="0.25">
      <c r="A3800" t="str">
        <f t="shared" si="2117"/>
        <v>06/05/2020 14:58:16.006</v>
      </c>
      <c r="C3800" t="str">
        <f t="shared" si="2091"/>
        <v>FFDFD3C0</v>
      </c>
      <c r="D3800" t="s">
        <v>148</v>
      </c>
      <c r="E3800">
        <v>11</v>
      </c>
      <c r="H3800">
        <v>53</v>
      </c>
      <c r="I3800" t="s">
        <v>364</v>
      </c>
      <c r="J3800" t="s">
        <v>150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 t="shared" si="2118"/>
        <v>14:58:21.641</v>
      </c>
      <c r="T3800" t="str">
        <f t="shared" si="2119"/>
        <v>14:58:21.241</v>
      </c>
      <c r="U3800" t="str">
        <f t="shared" si="2108"/>
        <v>ACC530</v>
      </c>
      <c r="V3800">
        <v>0</v>
      </c>
      <c r="W3800">
        <v>0</v>
      </c>
      <c r="X3800">
        <v>1</v>
      </c>
      <c r="Z3800">
        <v>0</v>
      </c>
      <c r="AA3800">
        <v>9</v>
      </c>
      <c r="AB3800">
        <v>3</v>
      </c>
      <c r="AC3800">
        <v>0</v>
      </c>
      <c r="AD3800">
        <v>9</v>
      </c>
      <c r="AE3800">
        <v>0</v>
      </c>
      <c r="AF3800">
        <v>3</v>
      </c>
      <c r="AG3800">
        <v>1</v>
      </c>
      <c r="AH3800">
        <v>0</v>
      </c>
      <c r="AI3800" t="s">
        <v>1224</v>
      </c>
      <c r="AJ3800">
        <v>34.066414999999999</v>
      </c>
      <c r="AK3800" t="s">
        <v>1225</v>
      </c>
      <c r="AL3800">
        <v>-117.0192</v>
      </c>
      <c r="AM3800">
        <v>100</v>
      </c>
      <c r="AN3800">
        <v>5300</v>
      </c>
      <c r="AO3800" t="s">
        <v>118</v>
      </c>
      <c r="AP3800">
        <v>-19</v>
      </c>
      <c r="AQ3800">
        <v>-88</v>
      </c>
      <c r="AR3800">
        <v>-128</v>
      </c>
      <c r="AZ3800">
        <v>1200</v>
      </c>
      <c r="BA3800">
        <v>1</v>
      </c>
      <c r="BB3800" t="str">
        <f t="shared" si="2113"/>
        <v xml:space="preserve">N9217B  </v>
      </c>
      <c r="BC3800">
        <v>1</v>
      </c>
      <c r="BE3800">
        <v>0</v>
      </c>
      <c r="BF3800">
        <v>0</v>
      </c>
      <c r="BG3800">
        <v>0</v>
      </c>
      <c r="BH3800">
        <v>5150</v>
      </c>
      <c r="BI3800">
        <v>1</v>
      </c>
      <c r="BJ3800">
        <v>0</v>
      </c>
      <c r="BK3800">
        <v>0</v>
      </c>
      <c r="BL3800">
        <v>0</v>
      </c>
      <c r="BO3800">
        <v>0</v>
      </c>
      <c r="BP3800">
        <v>0</v>
      </c>
      <c r="BW3800" t="str">
        <f t="shared" si="2120"/>
        <v>14:58:21.643</v>
      </c>
      <c r="CJ3800">
        <v>0</v>
      </c>
      <c r="CK3800">
        <v>2</v>
      </c>
      <c r="CL3800">
        <v>0</v>
      </c>
      <c r="CM3800">
        <v>2</v>
      </c>
      <c r="CN3800">
        <v>0</v>
      </c>
      <c r="CO3800">
        <v>7</v>
      </c>
      <c r="CP3800" t="s">
        <v>119</v>
      </c>
      <c r="CQ3800">
        <v>285</v>
      </c>
      <c r="CR3800">
        <v>0</v>
      </c>
      <c r="CW3800">
        <v>8883986</v>
      </c>
      <c r="CY3800">
        <v>0</v>
      </c>
      <c r="CZ3800">
        <v>0</v>
      </c>
      <c r="DA3800">
        <v>1</v>
      </c>
      <c r="DB3800">
        <v>0</v>
      </c>
      <c r="DC3800">
        <v>0</v>
      </c>
      <c r="DD3800">
        <v>0</v>
      </c>
      <c r="DE3800">
        <v>0</v>
      </c>
      <c r="DF3800">
        <v>0</v>
      </c>
      <c r="DG3800">
        <v>0</v>
      </c>
      <c r="DH3800">
        <v>0</v>
      </c>
      <c r="DI3800">
        <v>0</v>
      </c>
    </row>
    <row r="3801" spans="1:113" x14ac:dyDescent="0.25">
      <c r="A3801" t="str">
        <f t="shared" ref="A3801:A3807" si="2121">"06/05/2020 14:58:16.953"</f>
        <v>06/05/2020 14:58:16.953</v>
      </c>
      <c r="C3801" t="str">
        <f t="shared" si="2091"/>
        <v>FFDFD3C0</v>
      </c>
      <c r="D3801" t="s">
        <v>148</v>
      </c>
      <c r="E3801">
        <v>11</v>
      </c>
      <c r="H3801">
        <v>53</v>
      </c>
      <c r="I3801" t="s">
        <v>364</v>
      </c>
      <c r="J3801" t="s">
        <v>150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 t="shared" ref="S3801:S3807" si="2122">"14:58:22.617"</f>
        <v>14:58:22.617</v>
      </c>
      <c r="T3801" t="str">
        <f t="shared" ref="T3801:T3807" si="2123">"14:58:22.317"</f>
        <v>14:58:22.317</v>
      </c>
      <c r="U3801" t="str">
        <f t="shared" si="2108"/>
        <v>ACC530</v>
      </c>
      <c r="V3801">
        <v>0</v>
      </c>
      <c r="W3801">
        <v>0</v>
      </c>
      <c r="X3801">
        <v>1</v>
      </c>
      <c r="Z3801">
        <v>0</v>
      </c>
      <c r="AA3801">
        <v>9</v>
      </c>
      <c r="AB3801">
        <v>3</v>
      </c>
      <c r="AC3801">
        <v>0</v>
      </c>
      <c r="AD3801">
        <v>9</v>
      </c>
      <c r="AE3801">
        <v>0</v>
      </c>
      <c r="AF3801">
        <v>3</v>
      </c>
      <c r="AG3801">
        <v>1</v>
      </c>
      <c r="AH3801">
        <v>0</v>
      </c>
      <c r="AI3801" t="s">
        <v>1226</v>
      </c>
      <c r="AJ3801">
        <v>34.066006999999999</v>
      </c>
      <c r="AK3801" t="s">
        <v>1227</v>
      </c>
      <c r="AL3801">
        <v>-117.019265</v>
      </c>
      <c r="AM3801">
        <v>100</v>
      </c>
      <c r="AN3801">
        <v>5300</v>
      </c>
      <c r="AO3801" t="s">
        <v>118</v>
      </c>
      <c r="AP3801">
        <v>-18</v>
      </c>
      <c r="AQ3801">
        <v>-88</v>
      </c>
      <c r="AR3801">
        <v>-128</v>
      </c>
      <c r="AZ3801">
        <v>1200</v>
      </c>
      <c r="BA3801">
        <v>1</v>
      </c>
      <c r="BB3801" t="str">
        <f t="shared" si="2113"/>
        <v xml:space="preserve">N9217B  </v>
      </c>
      <c r="BC3801">
        <v>1</v>
      </c>
      <c r="BE3801">
        <v>0</v>
      </c>
      <c r="BF3801">
        <v>0</v>
      </c>
      <c r="BG3801">
        <v>0</v>
      </c>
      <c r="BH3801">
        <v>5150</v>
      </c>
      <c r="BI3801">
        <v>1</v>
      </c>
      <c r="BJ3801">
        <v>0</v>
      </c>
      <c r="BK3801">
        <v>0</v>
      </c>
      <c r="BL3801">
        <v>0</v>
      </c>
      <c r="BO3801">
        <v>0</v>
      </c>
      <c r="BP3801">
        <v>0</v>
      </c>
      <c r="BW3801" t="str">
        <f t="shared" ref="BW3801:BW3807" si="2124">"14:58:22.618"</f>
        <v>14:58:22.618</v>
      </c>
      <c r="CJ3801">
        <v>0</v>
      </c>
      <c r="CK3801">
        <v>2</v>
      </c>
      <c r="CL3801">
        <v>0</v>
      </c>
      <c r="CM3801">
        <v>2</v>
      </c>
      <c r="CN3801">
        <v>0</v>
      </c>
      <c r="CO3801">
        <v>7</v>
      </c>
      <c r="CP3801" t="s">
        <v>119</v>
      </c>
      <c r="CQ3801">
        <v>285</v>
      </c>
      <c r="CR3801">
        <v>0</v>
      </c>
      <c r="CW3801">
        <v>8884066</v>
      </c>
      <c r="CY3801">
        <v>0</v>
      </c>
      <c r="CZ3801">
        <v>0</v>
      </c>
      <c r="DA3801">
        <v>0</v>
      </c>
      <c r="DB3801">
        <v>0</v>
      </c>
      <c r="DC3801">
        <v>0</v>
      </c>
      <c r="DD3801">
        <v>0</v>
      </c>
      <c r="DE3801">
        <v>0</v>
      </c>
      <c r="DF3801">
        <v>0</v>
      </c>
      <c r="DG3801">
        <v>0</v>
      </c>
      <c r="DH3801">
        <v>0</v>
      </c>
      <c r="DI3801">
        <v>0</v>
      </c>
    </row>
    <row r="3802" spans="1:113" x14ac:dyDescent="0.25">
      <c r="A3802" t="str">
        <f t="shared" si="2121"/>
        <v>06/05/2020 14:58:16.953</v>
      </c>
      <c r="C3802" t="str">
        <f t="shared" si="2091"/>
        <v>FFDFD3C0</v>
      </c>
      <c r="D3802" t="s">
        <v>141</v>
      </c>
      <c r="E3802">
        <v>20</v>
      </c>
      <c r="F3802">
        <v>1020</v>
      </c>
      <c r="G3802" t="s">
        <v>114</v>
      </c>
      <c r="J3802" t="s">
        <v>142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 t="shared" si="2122"/>
        <v>14:58:22.617</v>
      </c>
      <c r="T3802" t="str">
        <f t="shared" si="2123"/>
        <v>14:58:22.317</v>
      </c>
      <c r="U3802" t="str">
        <f t="shared" si="2108"/>
        <v>ACC530</v>
      </c>
      <c r="V3802">
        <v>0</v>
      </c>
      <c r="W3802">
        <v>0</v>
      </c>
      <c r="X3802">
        <v>1</v>
      </c>
      <c r="Z3802">
        <v>0</v>
      </c>
      <c r="AA3802">
        <v>9</v>
      </c>
      <c r="AB3802">
        <v>3</v>
      </c>
      <c r="AC3802">
        <v>0</v>
      </c>
      <c r="AD3802">
        <v>9</v>
      </c>
      <c r="AE3802">
        <v>0</v>
      </c>
      <c r="AF3802">
        <v>3</v>
      </c>
      <c r="AG3802">
        <v>1</v>
      </c>
      <c r="AH3802">
        <v>0</v>
      </c>
      <c r="AI3802" t="s">
        <v>1226</v>
      </c>
      <c r="AJ3802">
        <v>34.066006999999999</v>
      </c>
      <c r="AK3802" t="s">
        <v>1227</v>
      </c>
      <c r="AL3802">
        <v>-117.019265</v>
      </c>
      <c r="AM3802">
        <v>100</v>
      </c>
      <c r="AN3802">
        <v>5300</v>
      </c>
      <c r="AO3802" t="s">
        <v>118</v>
      </c>
      <c r="AP3802">
        <v>-18</v>
      </c>
      <c r="AQ3802">
        <v>-88</v>
      </c>
      <c r="AR3802">
        <v>-128</v>
      </c>
      <c r="AZ3802">
        <v>1200</v>
      </c>
      <c r="BA3802">
        <v>1</v>
      </c>
      <c r="BB3802" t="str">
        <f t="shared" si="2113"/>
        <v xml:space="preserve">N9217B  </v>
      </c>
      <c r="BC3802">
        <v>1</v>
      </c>
      <c r="BE3802">
        <v>0</v>
      </c>
      <c r="BF3802">
        <v>0</v>
      </c>
      <c r="BG3802">
        <v>0</v>
      </c>
      <c r="BH3802">
        <v>5150</v>
      </c>
      <c r="BI3802">
        <v>1</v>
      </c>
      <c r="BJ3802">
        <v>0</v>
      </c>
      <c r="BK3802">
        <v>0</v>
      </c>
      <c r="BL3802">
        <v>0</v>
      </c>
      <c r="BO3802">
        <v>0</v>
      </c>
      <c r="BP3802">
        <v>0</v>
      </c>
      <c r="BW3802" t="str">
        <f t="shared" si="2124"/>
        <v>14:58:22.618</v>
      </c>
      <c r="CJ3802">
        <v>0</v>
      </c>
      <c r="CK3802">
        <v>2</v>
      </c>
      <c r="CL3802">
        <v>0</v>
      </c>
      <c r="CM3802">
        <v>2</v>
      </c>
      <c r="CN3802">
        <v>0</v>
      </c>
      <c r="CO3802">
        <v>7</v>
      </c>
      <c r="CP3802" t="s">
        <v>119</v>
      </c>
      <c r="CQ3802">
        <v>285</v>
      </c>
      <c r="CR3802">
        <v>0</v>
      </c>
      <c r="CW3802">
        <v>8884066</v>
      </c>
      <c r="CY3802">
        <v>0</v>
      </c>
      <c r="CZ3802">
        <v>0</v>
      </c>
      <c r="DA3802">
        <v>1</v>
      </c>
      <c r="DB3802">
        <v>0</v>
      </c>
      <c r="DC3802">
        <v>0</v>
      </c>
      <c r="DD3802">
        <v>0</v>
      </c>
      <c r="DE3802">
        <v>0</v>
      </c>
      <c r="DF3802">
        <v>0</v>
      </c>
      <c r="DG3802">
        <v>0</v>
      </c>
      <c r="DH3802">
        <v>0</v>
      </c>
      <c r="DI3802">
        <v>0</v>
      </c>
    </row>
    <row r="3803" spans="1:113" x14ac:dyDescent="0.25">
      <c r="A3803" t="str">
        <f t="shared" si="2121"/>
        <v>06/05/2020 14:58:16.953</v>
      </c>
      <c r="C3803" t="str">
        <f t="shared" si="2091"/>
        <v>FFDFD3C0</v>
      </c>
      <c r="D3803" t="s">
        <v>148</v>
      </c>
      <c r="E3803">
        <v>8</v>
      </c>
      <c r="H3803">
        <v>50</v>
      </c>
      <c r="I3803" t="s">
        <v>149</v>
      </c>
      <c r="J3803" t="s">
        <v>150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 t="shared" si="2122"/>
        <v>14:58:22.617</v>
      </c>
      <c r="T3803" t="str">
        <f t="shared" si="2123"/>
        <v>14:58:22.317</v>
      </c>
      <c r="U3803" t="str">
        <f t="shared" si="2108"/>
        <v>ACC530</v>
      </c>
      <c r="V3803">
        <v>0</v>
      </c>
      <c r="W3803">
        <v>0</v>
      </c>
      <c r="X3803">
        <v>1</v>
      </c>
      <c r="Z3803">
        <v>0</v>
      </c>
      <c r="AA3803">
        <v>9</v>
      </c>
      <c r="AB3803">
        <v>3</v>
      </c>
      <c r="AC3803">
        <v>0</v>
      </c>
      <c r="AD3803">
        <v>9</v>
      </c>
      <c r="AE3803">
        <v>0</v>
      </c>
      <c r="AF3803">
        <v>3</v>
      </c>
      <c r="AG3803">
        <v>1</v>
      </c>
      <c r="AH3803">
        <v>0</v>
      </c>
      <c r="AI3803" t="s">
        <v>1226</v>
      </c>
      <c r="AJ3803">
        <v>34.066006999999999</v>
      </c>
      <c r="AK3803" t="s">
        <v>1227</v>
      </c>
      <c r="AL3803">
        <v>-117.019265</v>
      </c>
      <c r="AM3803">
        <v>100</v>
      </c>
      <c r="AN3803">
        <v>5300</v>
      </c>
      <c r="AO3803" t="s">
        <v>118</v>
      </c>
      <c r="AP3803">
        <v>-18</v>
      </c>
      <c r="AQ3803">
        <v>-88</v>
      </c>
      <c r="AR3803">
        <v>-128</v>
      </c>
      <c r="AZ3803">
        <v>1200</v>
      </c>
      <c r="BA3803">
        <v>1</v>
      </c>
      <c r="BB3803" t="str">
        <f t="shared" si="2113"/>
        <v xml:space="preserve">N9217B  </v>
      </c>
      <c r="BC3803">
        <v>1</v>
      </c>
      <c r="BE3803">
        <v>0</v>
      </c>
      <c r="BF3803">
        <v>0</v>
      </c>
      <c r="BG3803">
        <v>0</v>
      </c>
      <c r="BH3803">
        <v>5150</v>
      </c>
      <c r="BI3803">
        <v>1</v>
      </c>
      <c r="BJ3803">
        <v>0</v>
      </c>
      <c r="BK3803">
        <v>0</v>
      </c>
      <c r="BL3803">
        <v>0</v>
      </c>
      <c r="BO3803">
        <v>0</v>
      </c>
      <c r="BP3803">
        <v>0</v>
      </c>
      <c r="BW3803" t="str">
        <f t="shared" si="2124"/>
        <v>14:58:22.618</v>
      </c>
      <c r="CJ3803">
        <v>0</v>
      </c>
      <c r="CK3803">
        <v>2</v>
      </c>
      <c r="CL3803">
        <v>0</v>
      </c>
      <c r="CM3803">
        <v>2</v>
      </c>
      <c r="CN3803">
        <v>0</v>
      </c>
      <c r="CO3803">
        <v>7</v>
      </c>
      <c r="CP3803" t="s">
        <v>119</v>
      </c>
      <c r="CQ3803">
        <v>285</v>
      </c>
      <c r="CR3803">
        <v>0</v>
      </c>
      <c r="CW3803">
        <v>8884066</v>
      </c>
      <c r="CY3803">
        <v>0</v>
      </c>
      <c r="CZ3803">
        <v>0</v>
      </c>
      <c r="DA3803">
        <v>1</v>
      </c>
      <c r="DB3803">
        <v>0</v>
      </c>
      <c r="DC3803">
        <v>0</v>
      </c>
      <c r="DD3803">
        <v>0</v>
      </c>
      <c r="DE3803">
        <v>0</v>
      </c>
      <c r="DF3803">
        <v>0</v>
      </c>
      <c r="DG3803">
        <v>0</v>
      </c>
      <c r="DH3803">
        <v>0</v>
      </c>
      <c r="DI3803">
        <v>0</v>
      </c>
    </row>
    <row r="3804" spans="1:113" x14ac:dyDescent="0.25">
      <c r="A3804" t="str">
        <f t="shared" si="2121"/>
        <v>06/05/2020 14:58:16.953</v>
      </c>
      <c r="C3804" t="str">
        <f t="shared" si="2091"/>
        <v>FFDFD3C0</v>
      </c>
      <c r="D3804" t="s">
        <v>151</v>
      </c>
      <c r="E3804">
        <v>8</v>
      </c>
      <c r="H3804">
        <v>225</v>
      </c>
      <c r="I3804" t="s">
        <v>353</v>
      </c>
      <c r="J3804" t="s">
        <v>150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 t="shared" si="2122"/>
        <v>14:58:22.617</v>
      </c>
      <c r="T3804" t="str">
        <f t="shared" si="2123"/>
        <v>14:58:22.317</v>
      </c>
      <c r="U3804" t="str">
        <f t="shared" si="2108"/>
        <v>ACC530</v>
      </c>
      <c r="V3804">
        <v>0</v>
      </c>
      <c r="W3804">
        <v>0</v>
      </c>
      <c r="X3804">
        <v>1</v>
      </c>
      <c r="Z3804">
        <v>0</v>
      </c>
      <c r="AA3804">
        <v>9</v>
      </c>
      <c r="AB3804">
        <v>3</v>
      </c>
      <c r="AC3804">
        <v>0</v>
      </c>
      <c r="AD3804">
        <v>9</v>
      </c>
      <c r="AE3804">
        <v>0</v>
      </c>
      <c r="AF3804">
        <v>3</v>
      </c>
      <c r="AG3804">
        <v>1</v>
      </c>
      <c r="AH3804">
        <v>0</v>
      </c>
      <c r="AI3804" t="s">
        <v>1226</v>
      </c>
      <c r="AJ3804">
        <v>34.066006999999999</v>
      </c>
      <c r="AK3804" t="s">
        <v>1227</v>
      </c>
      <c r="AL3804">
        <v>-117.019265</v>
      </c>
      <c r="AM3804">
        <v>100</v>
      </c>
      <c r="AN3804">
        <v>5300</v>
      </c>
      <c r="AO3804" t="s">
        <v>118</v>
      </c>
      <c r="AP3804">
        <v>-18</v>
      </c>
      <c r="AQ3804">
        <v>-88</v>
      </c>
      <c r="AR3804">
        <v>-128</v>
      </c>
      <c r="AZ3804">
        <v>1200</v>
      </c>
      <c r="BA3804">
        <v>1</v>
      </c>
      <c r="BB3804" t="str">
        <f t="shared" si="2113"/>
        <v xml:space="preserve">N9217B  </v>
      </c>
      <c r="BC3804">
        <v>1</v>
      </c>
      <c r="BE3804">
        <v>0</v>
      </c>
      <c r="BF3804">
        <v>0</v>
      </c>
      <c r="BG3804">
        <v>0</v>
      </c>
      <c r="BH3804">
        <v>5150</v>
      </c>
      <c r="BI3804">
        <v>1</v>
      </c>
      <c r="BJ3804">
        <v>0</v>
      </c>
      <c r="BK3804">
        <v>0</v>
      </c>
      <c r="BL3804">
        <v>0</v>
      </c>
      <c r="BO3804">
        <v>0</v>
      </c>
      <c r="BP3804">
        <v>0</v>
      </c>
      <c r="BW3804" t="str">
        <f t="shared" si="2124"/>
        <v>14:58:22.618</v>
      </c>
      <c r="CJ3804">
        <v>0</v>
      </c>
      <c r="CK3804">
        <v>2</v>
      </c>
      <c r="CL3804">
        <v>0</v>
      </c>
      <c r="CM3804">
        <v>2</v>
      </c>
      <c r="CN3804">
        <v>0</v>
      </c>
      <c r="CO3804">
        <v>7</v>
      </c>
      <c r="CP3804" t="s">
        <v>119</v>
      </c>
      <c r="CQ3804">
        <v>285</v>
      </c>
      <c r="CR3804">
        <v>0</v>
      </c>
      <c r="CW3804">
        <v>8884066</v>
      </c>
      <c r="CY3804">
        <v>0</v>
      </c>
      <c r="CZ3804">
        <v>0</v>
      </c>
      <c r="DA3804">
        <v>1</v>
      </c>
      <c r="DB3804">
        <v>0</v>
      </c>
      <c r="DC3804">
        <v>0</v>
      </c>
      <c r="DD3804">
        <v>0</v>
      </c>
      <c r="DE3804">
        <v>0</v>
      </c>
      <c r="DF3804">
        <v>0</v>
      </c>
      <c r="DG3804">
        <v>0</v>
      </c>
      <c r="DH3804">
        <v>0</v>
      </c>
      <c r="DI3804">
        <v>0</v>
      </c>
    </row>
    <row r="3805" spans="1:113" x14ac:dyDescent="0.25">
      <c r="A3805" t="str">
        <f t="shared" si="2121"/>
        <v>06/05/2020 14:58:16.953</v>
      </c>
      <c r="C3805" t="str">
        <f t="shared" si="2091"/>
        <v>FFDFD3C0</v>
      </c>
      <c r="D3805" t="s">
        <v>151</v>
      </c>
      <c r="E3805">
        <v>9</v>
      </c>
      <c r="H3805">
        <v>226</v>
      </c>
      <c r="I3805" t="s">
        <v>152</v>
      </c>
      <c r="J3805" t="s">
        <v>150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 t="shared" si="2122"/>
        <v>14:58:22.617</v>
      </c>
      <c r="T3805" t="str">
        <f t="shared" si="2123"/>
        <v>14:58:22.317</v>
      </c>
      <c r="U3805" t="str">
        <f t="shared" si="2108"/>
        <v>ACC530</v>
      </c>
      <c r="V3805">
        <v>0</v>
      </c>
      <c r="W3805">
        <v>0</v>
      </c>
      <c r="X3805">
        <v>1</v>
      </c>
      <c r="Z3805">
        <v>0</v>
      </c>
      <c r="AA3805">
        <v>9</v>
      </c>
      <c r="AB3805">
        <v>3</v>
      </c>
      <c r="AC3805">
        <v>0</v>
      </c>
      <c r="AD3805">
        <v>9</v>
      </c>
      <c r="AE3805">
        <v>0</v>
      </c>
      <c r="AF3805">
        <v>3</v>
      </c>
      <c r="AG3805">
        <v>1</v>
      </c>
      <c r="AH3805">
        <v>0</v>
      </c>
      <c r="AI3805" t="s">
        <v>1226</v>
      </c>
      <c r="AJ3805">
        <v>34.066006999999999</v>
      </c>
      <c r="AK3805" t="s">
        <v>1227</v>
      </c>
      <c r="AL3805">
        <v>-117.019265</v>
      </c>
      <c r="AM3805">
        <v>100</v>
      </c>
      <c r="AN3805">
        <v>5300</v>
      </c>
      <c r="AO3805" t="s">
        <v>118</v>
      </c>
      <c r="AP3805">
        <v>-18</v>
      </c>
      <c r="AQ3805">
        <v>-88</v>
      </c>
      <c r="AR3805">
        <v>-128</v>
      </c>
      <c r="AZ3805">
        <v>1200</v>
      </c>
      <c r="BA3805">
        <v>1</v>
      </c>
      <c r="BB3805" t="str">
        <f t="shared" si="2113"/>
        <v xml:space="preserve">N9217B  </v>
      </c>
      <c r="BC3805">
        <v>1</v>
      </c>
      <c r="BE3805">
        <v>0</v>
      </c>
      <c r="BF3805">
        <v>0</v>
      </c>
      <c r="BG3805">
        <v>0</v>
      </c>
      <c r="BH3805">
        <v>5150</v>
      </c>
      <c r="BI3805">
        <v>1</v>
      </c>
      <c r="BJ3805">
        <v>0</v>
      </c>
      <c r="BK3805">
        <v>0</v>
      </c>
      <c r="BL3805">
        <v>0</v>
      </c>
      <c r="BO3805">
        <v>0</v>
      </c>
      <c r="BP3805">
        <v>0</v>
      </c>
      <c r="BW3805" t="str">
        <f t="shared" si="2124"/>
        <v>14:58:22.618</v>
      </c>
      <c r="CJ3805">
        <v>0</v>
      </c>
      <c r="CK3805">
        <v>2</v>
      </c>
      <c r="CL3805">
        <v>0</v>
      </c>
      <c r="CM3805">
        <v>2</v>
      </c>
      <c r="CN3805">
        <v>0</v>
      </c>
      <c r="CO3805">
        <v>7</v>
      </c>
      <c r="CP3805" t="s">
        <v>119</v>
      </c>
      <c r="CQ3805">
        <v>285</v>
      </c>
      <c r="CR3805">
        <v>0</v>
      </c>
      <c r="CW3805">
        <v>8884066</v>
      </c>
      <c r="CY3805">
        <v>0</v>
      </c>
      <c r="CZ3805">
        <v>0</v>
      </c>
      <c r="DA3805">
        <v>1</v>
      </c>
      <c r="DB3805">
        <v>0</v>
      </c>
      <c r="DC3805">
        <v>0</v>
      </c>
      <c r="DD3805">
        <v>0</v>
      </c>
      <c r="DE3805">
        <v>0</v>
      </c>
      <c r="DF3805">
        <v>0</v>
      </c>
      <c r="DG3805">
        <v>0</v>
      </c>
      <c r="DH3805">
        <v>0</v>
      </c>
      <c r="DI3805">
        <v>0</v>
      </c>
    </row>
    <row r="3806" spans="1:113" x14ac:dyDescent="0.25">
      <c r="A3806" t="str">
        <f t="shared" si="2121"/>
        <v>06/05/2020 14:58:16.953</v>
      </c>
      <c r="C3806" t="str">
        <f t="shared" si="2091"/>
        <v>FFDFD3C0</v>
      </c>
      <c r="D3806" t="s">
        <v>113</v>
      </c>
      <c r="E3806">
        <v>3</v>
      </c>
      <c r="H3806">
        <v>166</v>
      </c>
      <c r="I3806" t="s">
        <v>114</v>
      </c>
      <c r="J3806" t="s">
        <v>115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 t="shared" si="2122"/>
        <v>14:58:22.617</v>
      </c>
      <c r="T3806" t="str">
        <f t="shared" si="2123"/>
        <v>14:58:22.317</v>
      </c>
      <c r="U3806" t="str">
        <f t="shared" si="2108"/>
        <v>ACC530</v>
      </c>
      <c r="V3806">
        <v>0</v>
      </c>
      <c r="W3806">
        <v>0</v>
      </c>
      <c r="X3806">
        <v>1</v>
      </c>
      <c r="Z3806">
        <v>0</v>
      </c>
      <c r="AA3806">
        <v>9</v>
      </c>
      <c r="AB3806">
        <v>3</v>
      </c>
      <c r="AC3806">
        <v>0</v>
      </c>
      <c r="AD3806">
        <v>9</v>
      </c>
      <c r="AE3806">
        <v>0</v>
      </c>
      <c r="AF3806">
        <v>3</v>
      </c>
      <c r="AG3806">
        <v>1</v>
      </c>
      <c r="AH3806">
        <v>0</v>
      </c>
      <c r="AI3806" t="s">
        <v>1226</v>
      </c>
      <c r="AJ3806">
        <v>34.066006999999999</v>
      </c>
      <c r="AK3806" t="s">
        <v>1227</v>
      </c>
      <c r="AL3806">
        <v>-117.019265</v>
      </c>
      <c r="AM3806">
        <v>100</v>
      </c>
      <c r="AN3806">
        <v>5300</v>
      </c>
      <c r="AO3806" t="s">
        <v>118</v>
      </c>
      <c r="AP3806">
        <v>-18</v>
      </c>
      <c r="AQ3806">
        <v>-88</v>
      </c>
      <c r="AR3806">
        <v>-128</v>
      </c>
      <c r="AZ3806">
        <v>1200</v>
      </c>
      <c r="BA3806">
        <v>1</v>
      </c>
      <c r="BB3806" t="str">
        <f t="shared" si="2113"/>
        <v xml:space="preserve">N9217B  </v>
      </c>
      <c r="BC3806">
        <v>1</v>
      </c>
      <c r="BE3806">
        <v>0</v>
      </c>
      <c r="BF3806">
        <v>0</v>
      </c>
      <c r="BG3806">
        <v>0</v>
      </c>
      <c r="BH3806">
        <v>5150</v>
      </c>
      <c r="BI3806">
        <v>1</v>
      </c>
      <c r="BJ3806">
        <v>0</v>
      </c>
      <c r="BK3806">
        <v>0</v>
      </c>
      <c r="BL3806">
        <v>0</v>
      </c>
      <c r="BO3806">
        <v>0</v>
      </c>
      <c r="BP3806">
        <v>0</v>
      </c>
      <c r="BW3806" t="str">
        <f t="shared" si="2124"/>
        <v>14:58:22.618</v>
      </c>
      <c r="CJ3806">
        <v>0</v>
      </c>
      <c r="CK3806">
        <v>2</v>
      </c>
      <c r="CL3806">
        <v>0</v>
      </c>
      <c r="CM3806">
        <v>2</v>
      </c>
      <c r="CN3806">
        <v>0</v>
      </c>
      <c r="CO3806">
        <v>7</v>
      </c>
      <c r="CP3806" t="s">
        <v>119</v>
      </c>
      <c r="CQ3806">
        <v>285</v>
      </c>
      <c r="CR3806">
        <v>0</v>
      </c>
      <c r="CW3806">
        <v>8884066</v>
      </c>
      <c r="CY3806">
        <v>0</v>
      </c>
      <c r="CZ3806">
        <v>0</v>
      </c>
      <c r="DA3806">
        <v>1</v>
      </c>
      <c r="DB3806">
        <v>0</v>
      </c>
      <c r="DC3806">
        <v>0</v>
      </c>
      <c r="DD3806">
        <v>0</v>
      </c>
      <c r="DE3806">
        <v>0</v>
      </c>
      <c r="DF3806">
        <v>0</v>
      </c>
      <c r="DG3806">
        <v>0</v>
      </c>
      <c r="DH3806">
        <v>0</v>
      </c>
      <c r="DI3806">
        <v>0</v>
      </c>
    </row>
    <row r="3807" spans="1:113" x14ac:dyDescent="0.25">
      <c r="A3807" t="str">
        <f t="shared" si="2121"/>
        <v>06/05/2020 14:58:16.953</v>
      </c>
      <c r="C3807" t="str">
        <f t="shared" si="2091"/>
        <v>FFDFD3C0</v>
      </c>
      <c r="D3807" t="s">
        <v>134</v>
      </c>
      <c r="E3807">
        <v>7</v>
      </c>
      <c r="F3807">
        <v>2007</v>
      </c>
      <c r="G3807" t="s">
        <v>135</v>
      </c>
      <c r="J3807" t="s">
        <v>136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 t="shared" si="2122"/>
        <v>14:58:22.617</v>
      </c>
      <c r="T3807" t="str">
        <f t="shared" si="2123"/>
        <v>14:58:22.317</v>
      </c>
      <c r="U3807" t="str">
        <f t="shared" si="2108"/>
        <v>ACC530</v>
      </c>
      <c r="V3807">
        <v>0</v>
      </c>
      <c r="W3807">
        <v>0</v>
      </c>
      <c r="X3807">
        <v>1</v>
      </c>
      <c r="Z3807">
        <v>0</v>
      </c>
      <c r="AA3807">
        <v>9</v>
      </c>
      <c r="AB3807">
        <v>3</v>
      </c>
      <c r="AC3807">
        <v>0</v>
      </c>
      <c r="AD3807">
        <v>9</v>
      </c>
      <c r="AE3807">
        <v>0</v>
      </c>
      <c r="AF3807">
        <v>3</v>
      </c>
      <c r="AG3807">
        <v>1</v>
      </c>
      <c r="AH3807">
        <v>0</v>
      </c>
      <c r="AI3807" t="s">
        <v>1226</v>
      </c>
      <c r="AJ3807">
        <v>34.066006999999999</v>
      </c>
      <c r="AK3807" t="s">
        <v>1227</v>
      </c>
      <c r="AL3807">
        <v>-117.019265</v>
      </c>
      <c r="AM3807">
        <v>100</v>
      </c>
      <c r="AN3807">
        <v>5300</v>
      </c>
      <c r="AO3807" t="s">
        <v>118</v>
      </c>
      <c r="AP3807">
        <v>-18</v>
      </c>
      <c r="AQ3807">
        <v>-88</v>
      </c>
      <c r="AR3807">
        <v>-128</v>
      </c>
      <c r="AZ3807">
        <v>1200</v>
      </c>
      <c r="BA3807">
        <v>1</v>
      </c>
      <c r="BB3807" t="str">
        <f t="shared" si="2113"/>
        <v xml:space="preserve">N9217B  </v>
      </c>
      <c r="BC3807">
        <v>1</v>
      </c>
      <c r="BE3807">
        <v>0</v>
      </c>
      <c r="BF3807">
        <v>0</v>
      </c>
      <c r="BG3807">
        <v>0</v>
      </c>
      <c r="BH3807">
        <v>5150</v>
      </c>
      <c r="BI3807">
        <v>1</v>
      </c>
      <c r="BJ3807">
        <v>0</v>
      </c>
      <c r="BK3807">
        <v>0</v>
      </c>
      <c r="BL3807">
        <v>0</v>
      </c>
      <c r="BO3807">
        <v>0</v>
      </c>
      <c r="BP3807">
        <v>0</v>
      </c>
      <c r="BW3807" t="str">
        <f t="shared" si="2124"/>
        <v>14:58:22.618</v>
      </c>
      <c r="CJ3807">
        <v>0</v>
      </c>
      <c r="CK3807">
        <v>2</v>
      </c>
      <c r="CL3807">
        <v>0</v>
      </c>
      <c r="CM3807">
        <v>2</v>
      </c>
      <c r="CN3807">
        <v>0</v>
      </c>
      <c r="CO3807">
        <v>7</v>
      </c>
      <c r="CP3807" t="s">
        <v>119</v>
      </c>
      <c r="CQ3807">
        <v>285</v>
      </c>
      <c r="CR3807">
        <v>0</v>
      </c>
      <c r="CW3807">
        <v>8884066</v>
      </c>
      <c r="CY3807">
        <v>0</v>
      </c>
      <c r="CZ3807">
        <v>0</v>
      </c>
      <c r="DA3807">
        <v>1</v>
      </c>
      <c r="DB3807">
        <v>0</v>
      </c>
      <c r="DC3807">
        <v>0</v>
      </c>
      <c r="DD3807">
        <v>0</v>
      </c>
      <c r="DE3807">
        <v>0</v>
      </c>
      <c r="DF3807">
        <v>0</v>
      </c>
      <c r="DG3807">
        <v>0</v>
      </c>
      <c r="DH3807">
        <v>0</v>
      </c>
      <c r="DI3807">
        <v>0</v>
      </c>
    </row>
    <row r="3808" spans="1:113" x14ac:dyDescent="0.25">
      <c r="A3808" t="str">
        <f t="shared" ref="A3808:A3814" si="2125">"06/05/2020 14:58:17.901"</f>
        <v>06/05/2020 14:58:17.901</v>
      </c>
      <c r="C3808" t="str">
        <f t="shared" si="2091"/>
        <v>FFDFD3C0</v>
      </c>
      <c r="D3808" t="s">
        <v>151</v>
      </c>
      <c r="E3808">
        <v>9</v>
      </c>
      <c r="H3808">
        <v>226</v>
      </c>
      <c r="I3808" t="s">
        <v>152</v>
      </c>
      <c r="J3808" t="s">
        <v>150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 t="shared" ref="S3808:S3814" si="2126">"14:58:23.547"</f>
        <v>14:58:23.547</v>
      </c>
      <c r="T3808" t="str">
        <f t="shared" ref="T3808:T3814" si="2127">"14:58:23.147"</f>
        <v>14:58:23.147</v>
      </c>
      <c r="U3808" t="str">
        <f t="shared" si="2108"/>
        <v>ACC530</v>
      </c>
      <c r="V3808">
        <v>0</v>
      </c>
      <c r="W3808">
        <v>0</v>
      </c>
      <c r="X3808">
        <v>1</v>
      </c>
      <c r="Z3808">
        <v>0</v>
      </c>
      <c r="AA3808">
        <v>9</v>
      </c>
      <c r="AB3808">
        <v>3</v>
      </c>
      <c r="AC3808">
        <v>0</v>
      </c>
      <c r="AD3808">
        <v>9</v>
      </c>
      <c r="AE3808">
        <v>0</v>
      </c>
      <c r="AF3808">
        <v>3</v>
      </c>
      <c r="AG3808">
        <v>1</v>
      </c>
      <c r="AH3808">
        <v>0</v>
      </c>
      <c r="AI3808" t="s">
        <v>1228</v>
      </c>
      <c r="AJ3808">
        <v>34.065621</v>
      </c>
      <c r="AK3808" t="s">
        <v>731</v>
      </c>
      <c r="AL3808">
        <v>-117.019329</v>
      </c>
      <c r="AM3808">
        <v>100</v>
      </c>
      <c r="AN3808">
        <v>5300</v>
      </c>
      <c r="AO3808" t="s">
        <v>118</v>
      </c>
      <c r="AP3808">
        <v>-16</v>
      </c>
      <c r="AQ3808">
        <v>-89</v>
      </c>
      <c r="AR3808">
        <v>-128</v>
      </c>
      <c r="AZ3808">
        <v>1200</v>
      </c>
      <c r="BA3808">
        <v>1</v>
      </c>
      <c r="BB3808" t="str">
        <f t="shared" si="2113"/>
        <v xml:space="preserve">N9217B  </v>
      </c>
      <c r="BC3808">
        <v>1</v>
      </c>
      <c r="BE3808">
        <v>0</v>
      </c>
      <c r="BF3808">
        <v>0</v>
      </c>
      <c r="BG3808">
        <v>0</v>
      </c>
      <c r="BH3808">
        <v>5150</v>
      </c>
      <c r="BI3808">
        <v>1</v>
      </c>
      <c r="BJ3808">
        <v>0</v>
      </c>
      <c r="BK3808">
        <v>0</v>
      </c>
      <c r="BL3808">
        <v>0</v>
      </c>
      <c r="BO3808">
        <v>0</v>
      </c>
      <c r="BP3808">
        <v>0</v>
      </c>
      <c r="BW3808" t="str">
        <f t="shared" ref="BW3808:BW3814" si="2128">"14:58:23.548"</f>
        <v>14:58:23.548</v>
      </c>
      <c r="CJ3808">
        <v>0</v>
      </c>
      <c r="CK3808">
        <v>2</v>
      </c>
      <c r="CL3808">
        <v>0</v>
      </c>
      <c r="CM3808">
        <v>2</v>
      </c>
      <c r="CN3808">
        <v>0</v>
      </c>
      <c r="CO3808">
        <v>6</v>
      </c>
      <c r="CP3808" t="s">
        <v>119</v>
      </c>
      <c r="CQ3808">
        <v>285</v>
      </c>
      <c r="CR3808">
        <v>0</v>
      </c>
      <c r="CW3808">
        <v>8884148</v>
      </c>
      <c r="CY3808">
        <v>0</v>
      </c>
      <c r="CZ3808">
        <v>0</v>
      </c>
      <c r="DA3808">
        <v>0</v>
      </c>
      <c r="DB3808">
        <v>0</v>
      </c>
      <c r="DC3808">
        <v>0</v>
      </c>
      <c r="DD3808">
        <v>0</v>
      </c>
      <c r="DE3808">
        <v>0</v>
      </c>
      <c r="DF3808">
        <v>0</v>
      </c>
      <c r="DG3808">
        <v>0</v>
      </c>
      <c r="DH3808">
        <v>0</v>
      </c>
      <c r="DI3808">
        <v>0</v>
      </c>
    </row>
    <row r="3809" spans="1:113" x14ac:dyDescent="0.25">
      <c r="A3809" t="str">
        <f t="shared" si="2125"/>
        <v>06/05/2020 14:58:17.901</v>
      </c>
      <c r="C3809" t="str">
        <f t="shared" si="2091"/>
        <v>FFDFD3C0</v>
      </c>
      <c r="D3809" t="s">
        <v>134</v>
      </c>
      <c r="E3809">
        <v>7</v>
      </c>
      <c r="F3809">
        <v>2007</v>
      </c>
      <c r="G3809" t="s">
        <v>135</v>
      </c>
      <c r="J3809" t="s">
        <v>136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 t="shared" si="2126"/>
        <v>14:58:23.547</v>
      </c>
      <c r="T3809" t="str">
        <f t="shared" si="2127"/>
        <v>14:58:23.147</v>
      </c>
      <c r="U3809" t="str">
        <f t="shared" si="2108"/>
        <v>ACC530</v>
      </c>
      <c r="V3809">
        <v>0</v>
      </c>
      <c r="W3809">
        <v>0</v>
      </c>
      <c r="X3809">
        <v>1</v>
      </c>
      <c r="Z3809">
        <v>0</v>
      </c>
      <c r="AA3809">
        <v>9</v>
      </c>
      <c r="AB3809">
        <v>3</v>
      </c>
      <c r="AC3809">
        <v>0</v>
      </c>
      <c r="AD3809">
        <v>9</v>
      </c>
      <c r="AE3809">
        <v>0</v>
      </c>
      <c r="AF3809">
        <v>3</v>
      </c>
      <c r="AG3809">
        <v>1</v>
      </c>
      <c r="AH3809">
        <v>0</v>
      </c>
      <c r="AI3809" t="s">
        <v>1228</v>
      </c>
      <c r="AJ3809">
        <v>34.065621</v>
      </c>
      <c r="AK3809" t="s">
        <v>731</v>
      </c>
      <c r="AL3809">
        <v>-117.019329</v>
      </c>
      <c r="AM3809">
        <v>100</v>
      </c>
      <c r="AN3809">
        <v>5300</v>
      </c>
      <c r="AO3809" t="s">
        <v>118</v>
      </c>
      <c r="AP3809">
        <v>-16</v>
      </c>
      <c r="AQ3809">
        <v>-89</v>
      </c>
      <c r="AR3809">
        <v>-128</v>
      </c>
      <c r="AZ3809">
        <v>1200</v>
      </c>
      <c r="BA3809">
        <v>1</v>
      </c>
      <c r="BB3809" t="str">
        <f t="shared" si="2113"/>
        <v xml:space="preserve">N9217B  </v>
      </c>
      <c r="BC3809">
        <v>1</v>
      </c>
      <c r="BE3809">
        <v>0</v>
      </c>
      <c r="BF3809">
        <v>0</v>
      </c>
      <c r="BG3809">
        <v>0</v>
      </c>
      <c r="BH3809">
        <v>5150</v>
      </c>
      <c r="BI3809">
        <v>1</v>
      </c>
      <c r="BJ3809">
        <v>0</v>
      </c>
      <c r="BK3809">
        <v>0</v>
      </c>
      <c r="BL3809">
        <v>0</v>
      </c>
      <c r="BO3809">
        <v>0</v>
      </c>
      <c r="BP3809">
        <v>0</v>
      </c>
      <c r="BW3809" t="str">
        <f t="shared" si="2128"/>
        <v>14:58:23.548</v>
      </c>
      <c r="CJ3809">
        <v>0</v>
      </c>
      <c r="CK3809">
        <v>2</v>
      </c>
      <c r="CL3809">
        <v>0</v>
      </c>
      <c r="CM3809">
        <v>2</v>
      </c>
      <c r="CN3809">
        <v>0</v>
      </c>
      <c r="CO3809">
        <v>6</v>
      </c>
      <c r="CP3809" t="s">
        <v>119</v>
      </c>
      <c r="CQ3809">
        <v>285</v>
      </c>
      <c r="CR3809">
        <v>0</v>
      </c>
      <c r="CW3809">
        <v>8884148</v>
      </c>
      <c r="CY3809">
        <v>0</v>
      </c>
      <c r="CZ3809">
        <v>0</v>
      </c>
      <c r="DA3809">
        <v>1</v>
      </c>
      <c r="DB3809">
        <v>0</v>
      </c>
      <c r="DC3809">
        <v>0</v>
      </c>
      <c r="DD3809">
        <v>0</v>
      </c>
      <c r="DE3809">
        <v>0</v>
      </c>
      <c r="DF3809">
        <v>0</v>
      </c>
      <c r="DG3809">
        <v>0</v>
      </c>
      <c r="DH3809">
        <v>0</v>
      </c>
      <c r="DI3809">
        <v>0</v>
      </c>
    </row>
    <row r="3810" spans="1:113" x14ac:dyDescent="0.25">
      <c r="A3810" t="str">
        <f t="shared" si="2125"/>
        <v>06/05/2020 14:58:17.901</v>
      </c>
      <c r="C3810" t="str">
        <f t="shared" si="2091"/>
        <v>FFDFD3C0</v>
      </c>
      <c r="D3810" t="s">
        <v>113</v>
      </c>
      <c r="E3810">
        <v>3</v>
      </c>
      <c r="H3810">
        <v>166</v>
      </c>
      <c r="I3810" t="s">
        <v>114</v>
      </c>
      <c r="J3810" t="s">
        <v>115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 t="shared" si="2126"/>
        <v>14:58:23.547</v>
      </c>
      <c r="T3810" t="str">
        <f t="shared" si="2127"/>
        <v>14:58:23.147</v>
      </c>
      <c r="U3810" t="str">
        <f t="shared" si="2108"/>
        <v>ACC530</v>
      </c>
      <c r="V3810">
        <v>0</v>
      </c>
      <c r="W3810">
        <v>0</v>
      </c>
      <c r="X3810">
        <v>1</v>
      </c>
      <c r="Z3810">
        <v>0</v>
      </c>
      <c r="AA3810">
        <v>9</v>
      </c>
      <c r="AB3810">
        <v>3</v>
      </c>
      <c r="AC3810">
        <v>0</v>
      </c>
      <c r="AD3810">
        <v>9</v>
      </c>
      <c r="AE3810">
        <v>0</v>
      </c>
      <c r="AF3810">
        <v>3</v>
      </c>
      <c r="AG3810">
        <v>1</v>
      </c>
      <c r="AH3810">
        <v>0</v>
      </c>
      <c r="AI3810" t="s">
        <v>1228</v>
      </c>
      <c r="AJ3810">
        <v>34.065621</v>
      </c>
      <c r="AK3810" t="s">
        <v>731</v>
      </c>
      <c r="AL3810">
        <v>-117.019329</v>
      </c>
      <c r="AM3810">
        <v>100</v>
      </c>
      <c r="AN3810">
        <v>5300</v>
      </c>
      <c r="AO3810" t="s">
        <v>118</v>
      </c>
      <c r="AP3810">
        <v>-16</v>
      </c>
      <c r="AQ3810">
        <v>-89</v>
      </c>
      <c r="AR3810">
        <v>-128</v>
      </c>
      <c r="AZ3810">
        <v>1200</v>
      </c>
      <c r="BA3810">
        <v>1</v>
      </c>
      <c r="BB3810" t="str">
        <f t="shared" si="2113"/>
        <v xml:space="preserve">N9217B  </v>
      </c>
      <c r="BC3810">
        <v>1</v>
      </c>
      <c r="BE3810">
        <v>0</v>
      </c>
      <c r="BF3810">
        <v>0</v>
      </c>
      <c r="BG3810">
        <v>0</v>
      </c>
      <c r="BH3810">
        <v>5150</v>
      </c>
      <c r="BI3810">
        <v>1</v>
      </c>
      <c r="BJ3810">
        <v>0</v>
      </c>
      <c r="BK3810">
        <v>0</v>
      </c>
      <c r="BL3810">
        <v>0</v>
      </c>
      <c r="BO3810">
        <v>0</v>
      </c>
      <c r="BP3810">
        <v>0</v>
      </c>
      <c r="BW3810" t="str">
        <f t="shared" si="2128"/>
        <v>14:58:23.548</v>
      </c>
      <c r="CJ3810">
        <v>0</v>
      </c>
      <c r="CK3810">
        <v>2</v>
      </c>
      <c r="CL3810">
        <v>0</v>
      </c>
      <c r="CM3810">
        <v>2</v>
      </c>
      <c r="CN3810">
        <v>0</v>
      </c>
      <c r="CO3810">
        <v>6</v>
      </c>
      <c r="CP3810" t="s">
        <v>119</v>
      </c>
      <c r="CQ3810">
        <v>285</v>
      </c>
      <c r="CR3810">
        <v>0</v>
      </c>
      <c r="CW3810">
        <v>8884148</v>
      </c>
      <c r="CY3810">
        <v>0</v>
      </c>
      <c r="CZ3810">
        <v>0</v>
      </c>
      <c r="DA3810">
        <v>1</v>
      </c>
      <c r="DB3810">
        <v>0</v>
      </c>
      <c r="DC3810">
        <v>0</v>
      </c>
      <c r="DD3810">
        <v>0</v>
      </c>
      <c r="DE3810">
        <v>0</v>
      </c>
      <c r="DF3810">
        <v>0</v>
      </c>
      <c r="DG3810">
        <v>0</v>
      </c>
      <c r="DH3810">
        <v>0</v>
      </c>
      <c r="DI3810">
        <v>0</v>
      </c>
    </row>
    <row r="3811" spans="1:113" x14ac:dyDescent="0.25">
      <c r="A3811" t="str">
        <f t="shared" si="2125"/>
        <v>06/05/2020 14:58:17.901</v>
      </c>
      <c r="C3811" t="str">
        <f t="shared" ref="C3811:C3874" si="2129">"FFDFD3C0"</f>
        <v>FFDFD3C0</v>
      </c>
      <c r="D3811" t="s">
        <v>148</v>
      </c>
      <c r="E3811">
        <v>11</v>
      </c>
      <c r="H3811">
        <v>53</v>
      </c>
      <c r="I3811" t="s">
        <v>364</v>
      </c>
      <c r="J3811" t="s">
        <v>150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 t="shared" si="2126"/>
        <v>14:58:23.547</v>
      </c>
      <c r="T3811" t="str">
        <f t="shared" si="2127"/>
        <v>14:58:23.147</v>
      </c>
      <c r="U3811" t="str">
        <f t="shared" si="2108"/>
        <v>ACC530</v>
      </c>
      <c r="V3811">
        <v>0</v>
      </c>
      <c r="W3811">
        <v>0</v>
      </c>
      <c r="X3811">
        <v>1</v>
      </c>
      <c r="Z3811">
        <v>0</v>
      </c>
      <c r="AA3811">
        <v>9</v>
      </c>
      <c r="AB3811">
        <v>3</v>
      </c>
      <c r="AC3811">
        <v>0</v>
      </c>
      <c r="AD3811">
        <v>9</v>
      </c>
      <c r="AE3811">
        <v>0</v>
      </c>
      <c r="AF3811">
        <v>3</v>
      </c>
      <c r="AG3811">
        <v>1</v>
      </c>
      <c r="AH3811">
        <v>0</v>
      </c>
      <c r="AI3811" t="s">
        <v>1228</v>
      </c>
      <c r="AJ3811">
        <v>34.065621</v>
      </c>
      <c r="AK3811" t="s">
        <v>731</v>
      </c>
      <c r="AL3811">
        <v>-117.019329</v>
      </c>
      <c r="AM3811">
        <v>100</v>
      </c>
      <c r="AN3811">
        <v>5300</v>
      </c>
      <c r="AO3811" t="s">
        <v>118</v>
      </c>
      <c r="AP3811">
        <v>-16</v>
      </c>
      <c r="AQ3811">
        <v>-89</v>
      </c>
      <c r="AR3811">
        <v>-128</v>
      </c>
      <c r="AZ3811">
        <v>1200</v>
      </c>
      <c r="BA3811">
        <v>1</v>
      </c>
      <c r="BB3811" t="str">
        <f t="shared" si="2113"/>
        <v xml:space="preserve">N9217B  </v>
      </c>
      <c r="BC3811">
        <v>1</v>
      </c>
      <c r="BE3811">
        <v>0</v>
      </c>
      <c r="BF3811">
        <v>0</v>
      </c>
      <c r="BG3811">
        <v>0</v>
      </c>
      <c r="BH3811">
        <v>5150</v>
      </c>
      <c r="BI3811">
        <v>1</v>
      </c>
      <c r="BJ3811">
        <v>0</v>
      </c>
      <c r="BK3811">
        <v>0</v>
      </c>
      <c r="BL3811">
        <v>0</v>
      </c>
      <c r="BO3811">
        <v>0</v>
      </c>
      <c r="BP3811">
        <v>0</v>
      </c>
      <c r="BW3811" t="str">
        <f t="shared" si="2128"/>
        <v>14:58:23.548</v>
      </c>
      <c r="CJ3811">
        <v>0</v>
      </c>
      <c r="CK3811">
        <v>2</v>
      </c>
      <c r="CL3811">
        <v>0</v>
      </c>
      <c r="CM3811">
        <v>2</v>
      </c>
      <c r="CN3811">
        <v>0</v>
      </c>
      <c r="CO3811">
        <v>6</v>
      </c>
      <c r="CP3811" t="s">
        <v>119</v>
      </c>
      <c r="CQ3811">
        <v>285</v>
      </c>
      <c r="CR3811">
        <v>0</v>
      </c>
      <c r="CW3811">
        <v>8884148</v>
      </c>
      <c r="CY3811">
        <v>0</v>
      </c>
      <c r="CZ3811">
        <v>0</v>
      </c>
      <c r="DA3811">
        <v>1</v>
      </c>
      <c r="DB3811">
        <v>0</v>
      </c>
      <c r="DC3811">
        <v>0</v>
      </c>
      <c r="DD3811">
        <v>0</v>
      </c>
      <c r="DE3811">
        <v>0</v>
      </c>
      <c r="DF3811">
        <v>0</v>
      </c>
      <c r="DG3811">
        <v>0</v>
      </c>
      <c r="DH3811">
        <v>0</v>
      </c>
      <c r="DI3811">
        <v>0</v>
      </c>
    </row>
    <row r="3812" spans="1:113" x14ac:dyDescent="0.25">
      <c r="A3812" t="str">
        <f t="shared" si="2125"/>
        <v>06/05/2020 14:58:17.901</v>
      </c>
      <c r="C3812" t="str">
        <f t="shared" si="2129"/>
        <v>FFDFD3C0</v>
      </c>
      <c r="D3812" t="s">
        <v>141</v>
      </c>
      <c r="E3812">
        <v>20</v>
      </c>
      <c r="F3812">
        <v>1020</v>
      </c>
      <c r="G3812" t="s">
        <v>114</v>
      </c>
      <c r="J3812" t="s">
        <v>142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 t="shared" si="2126"/>
        <v>14:58:23.547</v>
      </c>
      <c r="T3812" t="str">
        <f t="shared" si="2127"/>
        <v>14:58:23.147</v>
      </c>
      <c r="U3812" t="str">
        <f t="shared" si="2108"/>
        <v>ACC530</v>
      </c>
      <c r="V3812">
        <v>0</v>
      </c>
      <c r="W3812">
        <v>0</v>
      </c>
      <c r="X3812">
        <v>1</v>
      </c>
      <c r="Z3812">
        <v>0</v>
      </c>
      <c r="AA3812">
        <v>9</v>
      </c>
      <c r="AB3812">
        <v>3</v>
      </c>
      <c r="AC3812">
        <v>0</v>
      </c>
      <c r="AD3812">
        <v>9</v>
      </c>
      <c r="AE3812">
        <v>0</v>
      </c>
      <c r="AF3812">
        <v>3</v>
      </c>
      <c r="AG3812">
        <v>1</v>
      </c>
      <c r="AH3812">
        <v>0</v>
      </c>
      <c r="AI3812" t="s">
        <v>1228</v>
      </c>
      <c r="AJ3812">
        <v>34.065621</v>
      </c>
      <c r="AK3812" t="s">
        <v>731</v>
      </c>
      <c r="AL3812">
        <v>-117.019329</v>
      </c>
      <c r="AM3812">
        <v>100</v>
      </c>
      <c r="AN3812">
        <v>5300</v>
      </c>
      <c r="AO3812" t="s">
        <v>118</v>
      </c>
      <c r="AP3812">
        <v>-16</v>
      </c>
      <c r="AQ3812">
        <v>-89</v>
      </c>
      <c r="AR3812">
        <v>-128</v>
      </c>
      <c r="AZ3812">
        <v>1200</v>
      </c>
      <c r="BA3812">
        <v>1</v>
      </c>
      <c r="BB3812" t="str">
        <f t="shared" si="2113"/>
        <v xml:space="preserve">N9217B  </v>
      </c>
      <c r="BC3812">
        <v>1</v>
      </c>
      <c r="BE3812">
        <v>0</v>
      </c>
      <c r="BF3812">
        <v>0</v>
      </c>
      <c r="BG3812">
        <v>0</v>
      </c>
      <c r="BH3812">
        <v>5150</v>
      </c>
      <c r="BI3812">
        <v>1</v>
      </c>
      <c r="BJ3812">
        <v>0</v>
      </c>
      <c r="BK3812">
        <v>0</v>
      </c>
      <c r="BL3812">
        <v>0</v>
      </c>
      <c r="BO3812">
        <v>0</v>
      </c>
      <c r="BP3812">
        <v>0</v>
      </c>
      <c r="BW3812" t="str">
        <f t="shared" si="2128"/>
        <v>14:58:23.548</v>
      </c>
      <c r="CJ3812">
        <v>0</v>
      </c>
      <c r="CK3812">
        <v>2</v>
      </c>
      <c r="CL3812">
        <v>0</v>
      </c>
      <c r="CM3812">
        <v>2</v>
      </c>
      <c r="CN3812">
        <v>0</v>
      </c>
      <c r="CO3812">
        <v>6</v>
      </c>
      <c r="CP3812" t="s">
        <v>119</v>
      </c>
      <c r="CQ3812">
        <v>285</v>
      </c>
      <c r="CR3812">
        <v>0</v>
      </c>
      <c r="CW3812">
        <v>8884148</v>
      </c>
      <c r="CY3812">
        <v>0</v>
      </c>
      <c r="CZ3812">
        <v>0</v>
      </c>
      <c r="DA3812">
        <v>1</v>
      </c>
      <c r="DB3812">
        <v>0</v>
      </c>
      <c r="DC3812">
        <v>0</v>
      </c>
      <c r="DD3812">
        <v>0</v>
      </c>
      <c r="DE3812">
        <v>0</v>
      </c>
      <c r="DF3812">
        <v>0</v>
      </c>
      <c r="DG3812">
        <v>0</v>
      </c>
      <c r="DH3812">
        <v>0</v>
      </c>
      <c r="DI3812">
        <v>0</v>
      </c>
    </row>
    <row r="3813" spans="1:113" x14ac:dyDescent="0.25">
      <c r="A3813" t="str">
        <f t="shared" si="2125"/>
        <v>06/05/2020 14:58:17.901</v>
      </c>
      <c r="C3813" t="str">
        <f t="shared" si="2129"/>
        <v>FFDFD3C0</v>
      </c>
      <c r="D3813" t="s">
        <v>148</v>
      </c>
      <c r="E3813">
        <v>8</v>
      </c>
      <c r="H3813">
        <v>50</v>
      </c>
      <c r="I3813" t="s">
        <v>149</v>
      </c>
      <c r="J3813" t="s">
        <v>150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 t="shared" si="2126"/>
        <v>14:58:23.547</v>
      </c>
      <c r="T3813" t="str">
        <f t="shared" si="2127"/>
        <v>14:58:23.147</v>
      </c>
      <c r="U3813" t="str">
        <f t="shared" si="2108"/>
        <v>ACC530</v>
      </c>
      <c r="V3813">
        <v>0</v>
      </c>
      <c r="W3813">
        <v>0</v>
      </c>
      <c r="X3813">
        <v>1</v>
      </c>
      <c r="Z3813">
        <v>0</v>
      </c>
      <c r="AA3813">
        <v>9</v>
      </c>
      <c r="AB3813">
        <v>3</v>
      </c>
      <c r="AC3813">
        <v>0</v>
      </c>
      <c r="AD3813">
        <v>9</v>
      </c>
      <c r="AE3813">
        <v>0</v>
      </c>
      <c r="AF3813">
        <v>3</v>
      </c>
      <c r="AG3813">
        <v>1</v>
      </c>
      <c r="AH3813">
        <v>0</v>
      </c>
      <c r="AI3813" t="s">
        <v>1228</v>
      </c>
      <c r="AJ3813">
        <v>34.065621</v>
      </c>
      <c r="AK3813" t="s">
        <v>731</v>
      </c>
      <c r="AL3813">
        <v>-117.019329</v>
      </c>
      <c r="AM3813">
        <v>100</v>
      </c>
      <c r="AN3813">
        <v>5300</v>
      </c>
      <c r="AO3813" t="s">
        <v>118</v>
      </c>
      <c r="AP3813">
        <v>-16</v>
      </c>
      <c r="AQ3813">
        <v>-89</v>
      </c>
      <c r="AR3813">
        <v>-128</v>
      </c>
      <c r="AZ3813">
        <v>1200</v>
      </c>
      <c r="BA3813">
        <v>1</v>
      </c>
      <c r="BB3813" t="str">
        <f t="shared" si="2113"/>
        <v xml:space="preserve">N9217B  </v>
      </c>
      <c r="BC3813">
        <v>1</v>
      </c>
      <c r="BE3813">
        <v>0</v>
      </c>
      <c r="BF3813">
        <v>0</v>
      </c>
      <c r="BG3813">
        <v>0</v>
      </c>
      <c r="BH3813">
        <v>5150</v>
      </c>
      <c r="BI3813">
        <v>1</v>
      </c>
      <c r="BJ3813">
        <v>0</v>
      </c>
      <c r="BK3813">
        <v>0</v>
      </c>
      <c r="BL3813">
        <v>0</v>
      </c>
      <c r="BO3813">
        <v>0</v>
      </c>
      <c r="BP3813">
        <v>0</v>
      </c>
      <c r="BW3813" t="str">
        <f t="shared" si="2128"/>
        <v>14:58:23.548</v>
      </c>
      <c r="CJ3813">
        <v>0</v>
      </c>
      <c r="CK3813">
        <v>2</v>
      </c>
      <c r="CL3813">
        <v>0</v>
      </c>
      <c r="CM3813">
        <v>2</v>
      </c>
      <c r="CN3813">
        <v>0</v>
      </c>
      <c r="CO3813">
        <v>6</v>
      </c>
      <c r="CP3813" t="s">
        <v>119</v>
      </c>
      <c r="CQ3813">
        <v>285</v>
      </c>
      <c r="CR3813">
        <v>0</v>
      </c>
      <c r="CW3813">
        <v>8884148</v>
      </c>
      <c r="CY3813">
        <v>0</v>
      </c>
      <c r="CZ3813">
        <v>0</v>
      </c>
      <c r="DA3813">
        <v>1</v>
      </c>
      <c r="DB3813">
        <v>0</v>
      </c>
      <c r="DC3813">
        <v>0</v>
      </c>
      <c r="DD3813">
        <v>0</v>
      </c>
      <c r="DE3813">
        <v>0</v>
      </c>
      <c r="DF3813">
        <v>0</v>
      </c>
      <c r="DG3813">
        <v>0</v>
      </c>
      <c r="DH3813">
        <v>0</v>
      </c>
      <c r="DI3813">
        <v>0</v>
      </c>
    </row>
    <row r="3814" spans="1:113" x14ac:dyDescent="0.25">
      <c r="A3814" t="str">
        <f t="shared" si="2125"/>
        <v>06/05/2020 14:58:17.901</v>
      </c>
      <c r="C3814" t="str">
        <f t="shared" si="2129"/>
        <v>FFDFD3C0</v>
      </c>
      <c r="D3814" t="s">
        <v>151</v>
      </c>
      <c r="E3814">
        <v>8</v>
      </c>
      <c r="H3814">
        <v>225</v>
      </c>
      <c r="I3814" t="s">
        <v>353</v>
      </c>
      <c r="J3814" t="s">
        <v>150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 t="shared" si="2126"/>
        <v>14:58:23.547</v>
      </c>
      <c r="T3814" t="str">
        <f t="shared" si="2127"/>
        <v>14:58:23.147</v>
      </c>
      <c r="U3814" t="str">
        <f t="shared" si="2108"/>
        <v>ACC530</v>
      </c>
      <c r="V3814">
        <v>0</v>
      </c>
      <c r="W3814">
        <v>0</v>
      </c>
      <c r="X3814">
        <v>1</v>
      </c>
      <c r="Z3814">
        <v>0</v>
      </c>
      <c r="AA3814">
        <v>9</v>
      </c>
      <c r="AB3814">
        <v>3</v>
      </c>
      <c r="AC3814">
        <v>0</v>
      </c>
      <c r="AD3814">
        <v>9</v>
      </c>
      <c r="AE3814">
        <v>0</v>
      </c>
      <c r="AF3814">
        <v>3</v>
      </c>
      <c r="AG3814">
        <v>1</v>
      </c>
      <c r="AH3814">
        <v>0</v>
      </c>
      <c r="AI3814" t="s">
        <v>1228</v>
      </c>
      <c r="AJ3814">
        <v>34.065621</v>
      </c>
      <c r="AK3814" t="s">
        <v>731</v>
      </c>
      <c r="AL3814">
        <v>-117.019329</v>
      </c>
      <c r="AM3814">
        <v>100</v>
      </c>
      <c r="AN3814">
        <v>5300</v>
      </c>
      <c r="AO3814" t="s">
        <v>118</v>
      </c>
      <c r="AP3814">
        <v>-16</v>
      </c>
      <c r="AQ3814">
        <v>-89</v>
      </c>
      <c r="AR3814">
        <v>-128</v>
      </c>
      <c r="AZ3814">
        <v>1200</v>
      </c>
      <c r="BA3814">
        <v>1</v>
      </c>
      <c r="BB3814" t="str">
        <f t="shared" si="2113"/>
        <v xml:space="preserve">N9217B  </v>
      </c>
      <c r="BC3814">
        <v>1</v>
      </c>
      <c r="BE3814">
        <v>0</v>
      </c>
      <c r="BF3814">
        <v>0</v>
      </c>
      <c r="BG3814">
        <v>0</v>
      </c>
      <c r="BH3814">
        <v>5150</v>
      </c>
      <c r="BI3814">
        <v>1</v>
      </c>
      <c r="BJ3814">
        <v>0</v>
      </c>
      <c r="BK3814">
        <v>0</v>
      </c>
      <c r="BL3814">
        <v>0</v>
      </c>
      <c r="BO3814">
        <v>0</v>
      </c>
      <c r="BP3814">
        <v>0</v>
      </c>
      <c r="BW3814" t="str">
        <f t="shared" si="2128"/>
        <v>14:58:23.548</v>
      </c>
      <c r="CJ3814">
        <v>0</v>
      </c>
      <c r="CK3814">
        <v>2</v>
      </c>
      <c r="CL3814">
        <v>0</v>
      </c>
      <c r="CM3814">
        <v>2</v>
      </c>
      <c r="CN3814">
        <v>0</v>
      </c>
      <c r="CO3814">
        <v>6</v>
      </c>
      <c r="CP3814" t="s">
        <v>119</v>
      </c>
      <c r="CQ3814">
        <v>285</v>
      </c>
      <c r="CR3814">
        <v>0</v>
      </c>
      <c r="CW3814">
        <v>8884148</v>
      </c>
      <c r="CY3814">
        <v>0</v>
      </c>
      <c r="CZ3814">
        <v>0</v>
      </c>
      <c r="DA3814">
        <v>1</v>
      </c>
      <c r="DB3814">
        <v>0</v>
      </c>
      <c r="DC3814">
        <v>0</v>
      </c>
      <c r="DD3814">
        <v>0</v>
      </c>
      <c r="DE3814">
        <v>0</v>
      </c>
      <c r="DF3814">
        <v>0</v>
      </c>
      <c r="DG3814">
        <v>0</v>
      </c>
      <c r="DH3814">
        <v>0</v>
      </c>
      <c r="DI3814">
        <v>0</v>
      </c>
    </row>
    <row r="3815" spans="1:113" x14ac:dyDescent="0.25">
      <c r="A3815" t="str">
        <f t="shared" ref="A3815:A3821" si="2130">"06/05/2020 14:58:18.867"</f>
        <v>06/05/2020 14:58:18.867</v>
      </c>
      <c r="C3815" t="str">
        <f t="shared" si="2129"/>
        <v>FFDFD3C0</v>
      </c>
      <c r="D3815" t="s">
        <v>113</v>
      </c>
      <c r="E3815">
        <v>3</v>
      </c>
      <c r="H3815">
        <v>166</v>
      </c>
      <c r="I3815" t="s">
        <v>114</v>
      </c>
      <c r="J3815" t="s">
        <v>115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 t="shared" ref="S3815:S3821" si="2131">"14:58:24.531"</f>
        <v>14:58:24.531</v>
      </c>
      <c r="T3815" t="str">
        <f t="shared" ref="T3815:T3821" si="2132">"14:58:24.031"</f>
        <v>14:58:24.031</v>
      </c>
      <c r="U3815" t="str">
        <f t="shared" si="2108"/>
        <v>ACC530</v>
      </c>
      <c r="V3815">
        <v>0</v>
      </c>
      <c r="W3815">
        <v>0</v>
      </c>
      <c r="X3815">
        <v>1</v>
      </c>
      <c r="Z3815">
        <v>0</v>
      </c>
      <c r="AA3815">
        <v>9</v>
      </c>
      <c r="AB3815">
        <v>3</v>
      </c>
      <c r="AC3815">
        <v>0</v>
      </c>
      <c r="AD3815">
        <v>9</v>
      </c>
      <c r="AE3815">
        <v>0</v>
      </c>
      <c r="AF3815">
        <v>3</v>
      </c>
      <c r="AG3815">
        <v>1</v>
      </c>
      <c r="AH3815">
        <v>0</v>
      </c>
      <c r="AI3815" t="s">
        <v>1229</v>
      </c>
      <c r="AJ3815">
        <v>34.065213</v>
      </c>
      <c r="AK3815" t="s">
        <v>1230</v>
      </c>
      <c r="AL3815">
        <v>-117.019415</v>
      </c>
      <c r="AM3815">
        <v>100</v>
      </c>
      <c r="AN3815">
        <v>5300</v>
      </c>
      <c r="AO3815" t="s">
        <v>118</v>
      </c>
      <c r="AP3815">
        <v>-14</v>
      </c>
      <c r="AQ3815">
        <v>-89</v>
      </c>
      <c r="AR3815">
        <v>-192</v>
      </c>
      <c r="AZ3815">
        <v>1200</v>
      </c>
      <c r="BA3815">
        <v>1</v>
      </c>
      <c r="BB3815" t="str">
        <f t="shared" si="2113"/>
        <v xml:space="preserve">N9217B  </v>
      </c>
      <c r="BC3815">
        <v>1</v>
      </c>
      <c r="BE3815">
        <v>0</v>
      </c>
      <c r="BF3815">
        <v>0</v>
      </c>
      <c r="BG3815">
        <v>0</v>
      </c>
      <c r="BH3815">
        <v>5125</v>
      </c>
      <c r="BI3815">
        <v>1</v>
      </c>
      <c r="BJ3815">
        <v>0</v>
      </c>
      <c r="BK3815">
        <v>0</v>
      </c>
      <c r="BL3815">
        <v>0</v>
      </c>
      <c r="BO3815">
        <v>0</v>
      </c>
      <c r="BP3815">
        <v>0</v>
      </c>
      <c r="BW3815" t="str">
        <f t="shared" ref="BW3815:BW3821" si="2133">"14:58:24.538"</f>
        <v>14:58:24.538</v>
      </c>
      <c r="CJ3815">
        <v>0</v>
      </c>
      <c r="CK3815">
        <v>2</v>
      </c>
      <c r="CL3815">
        <v>0</v>
      </c>
      <c r="CM3815">
        <v>2</v>
      </c>
      <c r="CN3815">
        <v>0</v>
      </c>
      <c r="CO3815">
        <v>6</v>
      </c>
      <c r="CP3815" t="s">
        <v>119</v>
      </c>
      <c r="CQ3815">
        <v>285</v>
      </c>
      <c r="CR3815">
        <v>0</v>
      </c>
      <c r="CW3815">
        <v>8884237</v>
      </c>
      <c r="CY3815">
        <v>0</v>
      </c>
      <c r="CZ3815">
        <v>0</v>
      </c>
      <c r="DA3815">
        <v>0</v>
      </c>
      <c r="DB3815">
        <v>0</v>
      </c>
      <c r="DC3815">
        <v>0</v>
      </c>
      <c r="DD3815">
        <v>0</v>
      </c>
      <c r="DE3815">
        <v>0</v>
      </c>
      <c r="DF3815">
        <v>0</v>
      </c>
      <c r="DG3815">
        <v>0</v>
      </c>
      <c r="DH3815">
        <v>0</v>
      </c>
      <c r="DI3815">
        <v>0</v>
      </c>
    </row>
    <row r="3816" spans="1:113" x14ac:dyDescent="0.25">
      <c r="A3816" t="str">
        <f t="shared" si="2130"/>
        <v>06/05/2020 14:58:18.867</v>
      </c>
      <c r="C3816" t="str">
        <f t="shared" si="2129"/>
        <v>FFDFD3C0</v>
      </c>
      <c r="D3816" t="s">
        <v>148</v>
      </c>
      <c r="E3816">
        <v>11</v>
      </c>
      <c r="H3816">
        <v>53</v>
      </c>
      <c r="I3816" t="s">
        <v>364</v>
      </c>
      <c r="J3816" t="s">
        <v>150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 t="shared" si="2131"/>
        <v>14:58:24.531</v>
      </c>
      <c r="T3816" t="str">
        <f t="shared" si="2132"/>
        <v>14:58:24.031</v>
      </c>
      <c r="U3816" t="str">
        <f t="shared" si="2108"/>
        <v>ACC530</v>
      </c>
      <c r="V3816">
        <v>0</v>
      </c>
      <c r="W3816">
        <v>0</v>
      </c>
      <c r="X3816">
        <v>1</v>
      </c>
      <c r="Z3816">
        <v>0</v>
      </c>
      <c r="AA3816">
        <v>9</v>
      </c>
      <c r="AB3816">
        <v>3</v>
      </c>
      <c r="AC3816">
        <v>0</v>
      </c>
      <c r="AD3816">
        <v>9</v>
      </c>
      <c r="AE3816">
        <v>0</v>
      </c>
      <c r="AF3816">
        <v>3</v>
      </c>
      <c r="AG3816">
        <v>1</v>
      </c>
      <c r="AH3816">
        <v>0</v>
      </c>
      <c r="AI3816" t="s">
        <v>1229</v>
      </c>
      <c r="AJ3816">
        <v>34.065213</v>
      </c>
      <c r="AK3816" t="s">
        <v>1230</v>
      </c>
      <c r="AL3816">
        <v>-117.019415</v>
      </c>
      <c r="AM3816">
        <v>100</v>
      </c>
      <c r="AN3816">
        <v>5300</v>
      </c>
      <c r="AO3816" t="s">
        <v>118</v>
      </c>
      <c r="AP3816">
        <v>-14</v>
      </c>
      <c r="AQ3816">
        <v>-89</v>
      </c>
      <c r="AR3816">
        <v>-192</v>
      </c>
      <c r="AZ3816">
        <v>1200</v>
      </c>
      <c r="BA3816">
        <v>1</v>
      </c>
      <c r="BB3816" t="str">
        <f t="shared" si="2113"/>
        <v xml:space="preserve">N9217B  </v>
      </c>
      <c r="BC3816">
        <v>1</v>
      </c>
      <c r="BE3816">
        <v>0</v>
      </c>
      <c r="BF3816">
        <v>0</v>
      </c>
      <c r="BG3816">
        <v>0</v>
      </c>
      <c r="BH3816">
        <v>5125</v>
      </c>
      <c r="BI3816">
        <v>1</v>
      </c>
      <c r="BJ3816">
        <v>0</v>
      </c>
      <c r="BK3816">
        <v>0</v>
      </c>
      <c r="BL3816">
        <v>0</v>
      </c>
      <c r="BO3816">
        <v>0</v>
      </c>
      <c r="BP3816">
        <v>0</v>
      </c>
      <c r="BW3816" t="str">
        <f t="shared" si="2133"/>
        <v>14:58:24.538</v>
      </c>
      <c r="CJ3816">
        <v>0</v>
      </c>
      <c r="CK3816">
        <v>2</v>
      </c>
      <c r="CL3816">
        <v>0</v>
      </c>
      <c r="CM3816">
        <v>2</v>
      </c>
      <c r="CN3816">
        <v>0</v>
      </c>
      <c r="CO3816">
        <v>6</v>
      </c>
      <c r="CP3816" t="s">
        <v>119</v>
      </c>
      <c r="CQ3816">
        <v>285</v>
      </c>
      <c r="CR3816">
        <v>0</v>
      </c>
      <c r="CW3816">
        <v>8884237</v>
      </c>
      <c r="CY3816">
        <v>0</v>
      </c>
      <c r="CZ3816">
        <v>0</v>
      </c>
      <c r="DA3816">
        <v>1</v>
      </c>
      <c r="DB3816">
        <v>0</v>
      </c>
      <c r="DC3816">
        <v>0</v>
      </c>
      <c r="DD3816">
        <v>0</v>
      </c>
      <c r="DE3816">
        <v>0</v>
      </c>
      <c r="DF3816">
        <v>0</v>
      </c>
      <c r="DG3816">
        <v>0</v>
      </c>
      <c r="DH3816">
        <v>0</v>
      </c>
      <c r="DI3816">
        <v>0</v>
      </c>
    </row>
    <row r="3817" spans="1:113" x14ac:dyDescent="0.25">
      <c r="A3817" t="str">
        <f t="shared" si="2130"/>
        <v>06/05/2020 14:58:18.867</v>
      </c>
      <c r="C3817" t="str">
        <f t="shared" si="2129"/>
        <v>FFDFD3C0</v>
      </c>
      <c r="D3817" t="s">
        <v>141</v>
      </c>
      <c r="E3817">
        <v>20</v>
      </c>
      <c r="F3817">
        <v>1020</v>
      </c>
      <c r="G3817" t="s">
        <v>114</v>
      </c>
      <c r="J3817" t="s">
        <v>142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 t="shared" si="2131"/>
        <v>14:58:24.531</v>
      </c>
      <c r="T3817" t="str">
        <f t="shared" si="2132"/>
        <v>14:58:24.031</v>
      </c>
      <c r="U3817" t="str">
        <f t="shared" si="2108"/>
        <v>ACC530</v>
      </c>
      <c r="V3817">
        <v>0</v>
      </c>
      <c r="W3817">
        <v>0</v>
      </c>
      <c r="X3817">
        <v>1</v>
      </c>
      <c r="Z3817">
        <v>0</v>
      </c>
      <c r="AA3817">
        <v>9</v>
      </c>
      <c r="AB3817">
        <v>3</v>
      </c>
      <c r="AC3817">
        <v>0</v>
      </c>
      <c r="AD3817">
        <v>9</v>
      </c>
      <c r="AE3817">
        <v>0</v>
      </c>
      <c r="AF3817">
        <v>3</v>
      </c>
      <c r="AG3817">
        <v>1</v>
      </c>
      <c r="AH3817">
        <v>0</v>
      </c>
      <c r="AI3817" t="s">
        <v>1229</v>
      </c>
      <c r="AJ3817">
        <v>34.065213</v>
      </c>
      <c r="AK3817" t="s">
        <v>1230</v>
      </c>
      <c r="AL3817">
        <v>-117.019415</v>
      </c>
      <c r="AM3817">
        <v>100</v>
      </c>
      <c r="AN3817">
        <v>5300</v>
      </c>
      <c r="AO3817" t="s">
        <v>118</v>
      </c>
      <c r="AP3817">
        <v>-14</v>
      </c>
      <c r="AQ3817">
        <v>-89</v>
      </c>
      <c r="AR3817">
        <v>-192</v>
      </c>
      <c r="AZ3817">
        <v>1200</v>
      </c>
      <c r="BA3817">
        <v>1</v>
      </c>
      <c r="BB3817" t="str">
        <f t="shared" si="2113"/>
        <v xml:space="preserve">N9217B  </v>
      </c>
      <c r="BC3817">
        <v>1</v>
      </c>
      <c r="BE3817">
        <v>0</v>
      </c>
      <c r="BF3817">
        <v>0</v>
      </c>
      <c r="BG3817">
        <v>0</v>
      </c>
      <c r="BH3817">
        <v>5125</v>
      </c>
      <c r="BI3817">
        <v>1</v>
      </c>
      <c r="BJ3817">
        <v>0</v>
      </c>
      <c r="BK3817">
        <v>0</v>
      </c>
      <c r="BL3817">
        <v>0</v>
      </c>
      <c r="BO3817">
        <v>0</v>
      </c>
      <c r="BP3817">
        <v>0</v>
      </c>
      <c r="BW3817" t="str">
        <f t="shared" si="2133"/>
        <v>14:58:24.538</v>
      </c>
      <c r="CJ3817">
        <v>0</v>
      </c>
      <c r="CK3817">
        <v>2</v>
      </c>
      <c r="CL3817">
        <v>0</v>
      </c>
      <c r="CM3817">
        <v>2</v>
      </c>
      <c r="CN3817">
        <v>0</v>
      </c>
      <c r="CO3817">
        <v>6</v>
      </c>
      <c r="CP3817" t="s">
        <v>119</v>
      </c>
      <c r="CQ3817">
        <v>285</v>
      </c>
      <c r="CR3817">
        <v>0</v>
      </c>
      <c r="CW3817">
        <v>8884237</v>
      </c>
      <c r="CY3817">
        <v>0</v>
      </c>
      <c r="CZ3817">
        <v>0</v>
      </c>
      <c r="DA3817">
        <v>1</v>
      </c>
      <c r="DB3817">
        <v>0</v>
      </c>
      <c r="DC3817">
        <v>0</v>
      </c>
      <c r="DD3817">
        <v>0</v>
      </c>
      <c r="DE3817">
        <v>0</v>
      </c>
      <c r="DF3817">
        <v>0</v>
      </c>
      <c r="DG3817">
        <v>0</v>
      </c>
      <c r="DH3817">
        <v>0</v>
      </c>
      <c r="DI3817">
        <v>0</v>
      </c>
    </row>
    <row r="3818" spans="1:113" x14ac:dyDescent="0.25">
      <c r="A3818" t="str">
        <f t="shared" si="2130"/>
        <v>06/05/2020 14:58:18.867</v>
      </c>
      <c r="C3818" t="str">
        <f t="shared" si="2129"/>
        <v>FFDFD3C0</v>
      </c>
      <c r="D3818" t="s">
        <v>148</v>
      </c>
      <c r="E3818">
        <v>8</v>
      </c>
      <c r="H3818">
        <v>50</v>
      </c>
      <c r="I3818" t="s">
        <v>149</v>
      </c>
      <c r="J3818" t="s">
        <v>150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 t="shared" si="2131"/>
        <v>14:58:24.531</v>
      </c>
      <c r="T3818" t="str">
        <f t="shared" si="2132"/>
        <v>14:58:24.031</v>
      </c>
      <c r="U3818" t="str">
        <f t="shared" si="2108"/>
        <v>ACC530</v>
      </c>
      <c r="V3818">
        <v>0</v>
      </c>
      <c r="W3818">
        <v>0</v>
      </c>
      <c r="X3818">
        <v>1</v>
      </c>
      <c r="Z3818">
        <v>0</v>
      </c>
      <c r="AA3818">
        <v>9</v>
      </c>
      <c r="AB3818">
        <v>3</v>
      </c>
      <c r="AC3818">
        <v>0</v>
      </c>
      <c r="AD3818">
        <v>9</v>
      </c>
      <c r="AE3818">
        <v>0</v>
      </c>
      <c r="AF3818">
        <v>3</v>
      </c>
      <c r="AG3818">
        <v>1</v>
      </c>
      <c r="AH3818">
        <v>0</v>
      </c>
      <c r="AI3818" t="s">
        <v>1229</v>
      </c>
      <c r="AJ3818">
        <v>34.065213</v>
      </c>
      <c r="AK3818" t="s">
        <v>1230</v>
      </c>
      <c r="AL3818">
        <v>-117.019415</v>
      </c>
      <c r="AM3818">
        <v>100</v>
      </c>
      <c r="AN3818">
        <v>5300</v>
      </c>
      <c r="AO3818" t="s">
        <v>118</v>
      </c>
      <c r="AP3818">
        <v>-14</v>
      </c>
      <c r="AQ3818">
        <v>-89</v>
      </c>
      <c r="AR3818">
        <v>-192</v>
      </c>
      <c r="AZ3818">
        <v>1200</v>
      </c>
      <c r="BA3818">
        <v>1</v>
      </c>
      <c r="BB3818" t="str">
        <f t="shared" si="2113"/>
        <v xml:space="preserve">N9217B  </v>
      </c>
      <c r="BC3818">
        <v>1</v>
      </c>
      <c r="BE3818">
        <v>0</v>
      </c>
      <c r="BF3818">
        <v>0</v>
      </c>
      <c r="BG3818">
        <v>0</v>
      </c>
      <c r="BH3818">
        <v>5125</v>
      </c>
      <c r="BI3818">
        <v>1</v>
      </c>
      <c r="BJ3818">
        <v>0</v>
      </c>
      <c r="BK3818">
        <v>0</v>
      </c>
      <c r="BL3818">
        <v>0</v>
      </c>
      <c r="BO3818">
        <v>0</v>
      </c>
      <c r="BP3818">
        <v>0</v>
      </c>
      <c r="BW3818" t="str">
        <f t="shared" si="2133"/>
        <v>14:58:24.538</v>
      </c>
      <c r="CJ3818">
        <v>0</v>
      </c>
      <c r="CK3818">
        <v>2</v>
      </c>
      <c r="CL3818">
        <v>0</v>
      </c>
      <c r="CM3818">
        <v>2</v>
      </c>
      <c r="CN3818">
        <v>0</v>
      </c>
      <c r="CO3818">
        <v>6</v>
      </c>
      <c r="CP3818" t="s">
        <v>119</v>
      </c>
      <c r="CQ3818">
        <v>285</v>
      </c>
      <c r="CR3818">
        <v>0</v>
      </c>
      <c r="CW3818">
        <v>8884237</v>
      </c>
      <c r="CY3818">
        <v>0</v>
      </c>
      <c r="CZ3818">
        <v>0</v>
      </c>
      <c r="DA3818">
        <v>1</v>
      </c>
      <c r="DB3818">
        <v>0</v>
      </c>
      <c r="DC3818">
        <v>0</v>
      </c>
      <c r="DD3818">
        <v>0</v>
      </c>
      <c r="DE3818">
        <v>0</v>
      </c>
      <c r="DF3818">
        <v>0</v>
      </c>
      <c r="DG3818">
        <v>0</v>
      </c>
      <c r="DH3818">
        <v>0</v>
      </c>
      <c r="DI3818">
        <v>0</v>
      </c>
    </row>
    <row r="3819" spans="1:113" x14ac:dyDescent="0.25">
      <c r="A3819" t="str">
        <f t="shared" si="2130"/>
        <v>06/05/2020 14:58:18.867</v>
      </c>
      <c r="C3819" t="str">
        <f t="shared" si="2129"/>
        <v>FFDFD3C0</v>
      </c>
      <c r="D3819" t="s">
        <v>151</v>
      </c>
      <c r="E3819">
        <v>8</v>
      </c>
      <c r="H3819">
        <v>225</v>
      </c>
      <c r="I3819" t="s">
        <v>353</v>
      </c>
      <c r="J3819" t="s">
        <v>150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 t="shared" si="2131"/>
        <v>14:58:24.531</v>
      </c>
      <c r="T3819" t="str">
        <f t="shared" si="2132"/>
        <v>14:58:24.031</v>
      </c>
      <c r="U3819" t="str">
        <f t="shared" si="2108"/>
        <v>ACC530</v>
      </c>
      <c r="V3819">
        <v>0</v>
      </c>
      <c r="W3819">
        <v>0</v>
      </c>
      <c r="X3819">
        <v>1</v>
      </c>
      <c r="Z3819">
        <v>0</v>
      </c>
      <c r="AA3819">
        <v>9</v>
      </c>
      <c r="AB3819">
        <v>3</v>
      </c>
      <c r="AC3819">
        <v>0</v>
      </c>
      <c r="AD3819">
        <v>9</v>
      </c>
      <c r="AE3819">
        <v>0</v>
      </c>
      <c r="AF3819">
        <v>3</v>
      </c>
      <c r="AG3819">
        <v>1</v>
      </c>
      <c r="AH3819">
        <v>0</v>
      </c>
      <c r="AI3819" t="s">
        <v>1229</v>
      </c>
      <c r="AJ3819">
        <v>34.065213</v>
      </c>
      <c r="AK3819" t="s">
        <v>1230</v>
      </c>
      <c r="AL3819">
        <v>-117.019415</v>
      </c>
      <c r="AM3819">
        <v>100</v>
      </c>
      <c r="AN3819">
        <v>5300</v>
      </c>
      <c r="AO3819" t="s">
        <v>118</v>
      </c>
      <c r="AP3819">
        <v>-14</v>
      </c>
      <c r="AQ3819">
        <v>-89</v>
      </c>
      <c r="AR3819">
        <v>-192</v>
      </c>
      <c r="AZ3819">
        <v>1200</v>
      </c>
      <c r="BA3819">
        <v>1</v>
      </c>
      <c r="BB3819" t="str">
        <f t="shared" si="2113"/>
        <v xml:space="preserve">N9217B  </v>
      </c>
      <c r="BC3819">
        <v>1</v>
      </c>
      <c r="BE3819">
        <v>0</v>
      </c>
      <c r="BF3819">
        <v>0</v>
      </c>
      <c r="BG3819">
        <v>0</v>
      </c>
      <c r="BH3819">
        <v>5125</v>
      </c>
      <c r="BI3819">
        <v>1</v>
      </c>
      <c r="BJ3819">
        <v>0</v>
      </c>
      <c r="BK3819">
        <v>0</v>
      </c>
      <c r="BL3819">
        <v>0</v>
      </c>
      <c r="BO3819">
        <v>0</v>
      </c>
      <c r="BP3819">
        <v>0</v>
      </c>
      <c r="BW3819" t="str">
        <f t="shared" si="2133"/>
        <v>14:58:24.538</v>
      </c>
      <c r="CJ3819">
        <v>0</v>
      </c>
      <c r="CK3819">
        <v>2</v>
      </c>
      <c r="CL3819">
        <v>0</v>
      </c>
      <c r="CM3819">
        <v>2</v>
      </c>
      <c r="CN3819">
        <v>0</v>
      </c>
      <c r="CO3819">
        <v>6</v>
      </c>
      <c r="CP3819" t="s">
        <v>119</v>
      </c>
      <c r="CQ3819">
        <v>285</v>
      </c>
      <c r="CR3819">
        <v>0</v>
      </c>
      <c r="CW3819">
        <v>8884237</v>
      </c>
      <c r="CY3819">
        <v>0</v>
      </c>
      <c r="CZ3819">
        <v>0</v>
      </c>
      <c r="DA3819">
        <v>1</v>
      </c>
      <c r="DB3819">
        <v>0</v>
      </c>
      <c r="DC3819">
        <v>0</v>
      </c>
      <c r="DD3819">
        <v>0</v>
      </c>
      <c r="DE3819">
        <v>0</v>
      </c>
      <c r="DF3819">
        <v>0</v>
      </c>
      <c r="DG3819">
        <v>0</v>
      </c>
      <c r="DH3819">
        <v>0</v>
      </c>
      <c r="DI3819">
        <v>0</v>
      </c>
    </row>
    <row r="3820" spans="1:113" x14ac:dyDescent="0.25">
      <c r="A3820" t="str">
        <f t="shared" si="2130"/>
        <v>06/05/2020 14:58:18.867</v>
      </c>
      <c r="C3820" t="str">
        <f t="shared" si="2129"/>
        <v>FFDFD3C0</v>
      </c>
      <c r="D3820" t="s">
        <v>134</v>
      </c>
      <c r="E3820">
        <v>7</v>
      </c>
      <c r="F3820">
        <v>2007</v>
      </c>
      <c r="G3820" t="s">
        <v>135</v>
      </c>
      <c r="J3820" t="s">
        <v>136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 t="shared" si="2131"/>
        <v>14:58:24.531</v>
      </c>
      <c r="T3820" t="str">
        <f t="shared" si="2132"/>
        <v>14:58:24.031</v>
      </c>
      <c r="U3820" t="str">
        <f t="shared" si="2108"/>
        <v>ACC530</v>
      </c>
      <c r="V3820">
        <v>0</v>
      </c>
      <c r="W3820">
        <v>0</v>
      </c>
      <c r="X3820">
        <v>1</v>
      </c>
      <c r="Z3820">
        <v>0</v>
      </c>
      <c r="AA3820">
        <v>9</v>
      </c>
      <c r="AB3820">
        <v>3</v>
      </c>
      <c r="AC3820">
        <v>0</v>
      </c>
      <c r="AD3820">
        <v>9</v>
      </c>
      <c r="AE3820">
        <v>0</v>
      </c>
      <c r="AF3820">
        <v>3</v>
      </c>
      <c r="AG3820">
        <v>1</v>
      </c>
      <c r="AH3820">
        <v>0</v>
      </c>
      <c r="AI3820" t="s">
        <v>1229</v>
      </c>
      <c r="AJ3820">
        <v>34.065213</v>
      </c>
      <c r="AK3820" t="s">
        <v>1230</v>
      </c>
      <c r="AL3820">
        <v>-117.019415</v>
      </c>
      <c r="AM3820">
        <v>100</v>
      </c>
      <c r="AN3820">
        <v>5300</v>
      </c>
      <c r="AO3820" t="s">
        <v>118</v>
      </c>
      <c r="AP3820">
        <v>-14</v>
      </c>
      <c r="AQ3820">
        <v>-89</v>
      </c>
      <c r="AR3820">
        <v>-192</v>
      </c>
      <c r="AZ3820">
        <v>1200</v>
      </c>
      <c r="BA3820">
        <v>1</v>
      </c>
      <c r="BB3820" t="str">
        <f t="shared" si="2113"/>
        <v xml:space="preserve">N9217B  </v>
      </c>
      <c r="BC3820">
        <v>1</v>
      </c>
      <c r="BE3820">
        <v>0</v>
      </c>
      <c r="BF3820">
        <v>0</v>
      </c>
      <c r="BG3820">
        <v>0</v>
      </c>
      <c r="BH3820">
        <v>5125</v>
      </c>
      <c r="BI3820">
        <v>1</v>
      </c>
      <c r="BJ3820">
        <v>0</v>
      </c>
      <c r="BK3820">
        <v>0</v>
      </c>
      <c r="BL3820">
        <v>0</v>
      </c>
      <c r="BO3820">
        <v>0</v>
      </c>
      <c r="BP3820">
        <v>0</v>
      </c>
      <c r="BW3820" t="str">
        <f t="shared" si="2133"/>
        <v>14:58:24.538</v>
      </c>
      <c r="CJ3820">
        <v>0</v>
      </c>
      <c r="CK3820">
        <v>2</v>
      </c>
      <c r="CL3820">
        <v>0</v>
      </c>
      <c r="CM3820">
        <v>2</v>
      </c>
      <c r="CN3820">
        <v>0</v>
      </c>
      <c r="CO3820">
        <v>6</v>
      </c>
      <c r="CP3820" t="s">
        <v>119</v>
      </c>
      <c r="CQ3820">
        <v>285</v>
      </c>
      <c r="CR3820">
        <v>0</v>
      </c>
      <c r="CW3820">
        <v>8884237</v>
      </c>
      <c r="CY3820">
        <v>0</v>
      </c>
      <c r="CZ3820">
        <v>0</v>
      </c>
      <c r="DA3820">
        <v>1</v>
      </c>
      <c r="DB3820">
        <v>0</v>
      </c>
      <c r="DC3820">
        <v>0</v>
      </c>
      <c r="DD3820">
        <v>0</v>
      </c>
      <c r="DE3820">
        <v>0</v>
      </c>
      <c r="DF3820">
        <v>0</v>
      </c>
      <c r="DG3820">
        <v>0</v>
      </c>
      <c r="DH3820">
        <v>0</v>
      </c>
      <c r="DI3820">
        <v>0</v>
      </c>
    </row>
    <row r="3821" spans="1:113" x14ac:dyDescent="0.25">
      <c r="A3821" t="str">
        <f t="shared" si="2130"/>
        <v>06/05/2020 14:58:18.867</v>
      </c>
      <c r="C3821" t="str">
        <f t="shared" si="2129"/>
        <v>FFDFD3C0</v>
      </c>
      <c r="D3821" t="s">
        <v>151</v>
      </c>
      <c r="E3821">
        <v>9</v>
      </c>
      <c r="H3821">
        <v>226</v>
      </c>
      <c r="I3821" t="s">
        <v>152</v>
      </c>
      <c r="J3821" t="s">
        <v>150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 t="shared" si="2131"/>
        <v>14:58:24.531</v>
      </c>
      <c r="T3821" t="str">
        <f t="shared" si="2132"/>
        <v>14:58:24.031</v>
      </c>
      <c r="U3821" t="str">
        <f t="shared" si="2108"/>
        <v>ACC530</v>
      </c>
      <c r="V3821">
        <v>0</v>
      </c>
      <c r="W3821">
        <v>0</v>
      </c>
      <c r="X3821">
        <v>1</v>
      </c>
      <c r="Z3821">
        <v>0</v>
      </c>
      <c r="AA3821">
        <v>9</v>
      </c>
      <c r="AB3821">
        <v>3</v>
      </c>
      <c r="AC3821">
        <v>0</v>
      </c>
      <c r="AD3821">
        <v>9</v>
      </c>
      <c r="AE3821">
        <v>0</v>
      </c>
      <c r="AF3821">
        <v>3</v>
      </c>
      <c r="AG3821">
        <v>1</v>
      </c>
      <c r="AH3821">
        <v>0</v>
      </c>
      <c r="AI3821" t="s">
        <v>1229</v>
      </c>
      <c r="AJ3821">
        <v>34.065213</v>
      </c>
      <c r="AK3821" t="s">
        <v>1230</v>
      </c>
      <c r="AL3821">
        <v>-117.019415</v>
      </c>
      <c r="AM3821">
        <v>100</v>
      </c>
      <c r="AN3821">
        <v>5300</v>
      </c>
      <c r="AO3821" t="s">
        <v>118</v>
      </c>
      <c r="AP3821">
        <v>-14</v>
      </c>
      <c r="AQ3821">
        <v>-89</v>
      </c>
      <c r="AR3821">
        <v>-192</v>
      </c>
      <c r="AZ3821">
        <v>1200</v>
      </c>
      <c r="BA3821">
        <v>1</v>
      </c>
      <c r="BB3821" t="str">
        <f t="shared" si="2113"/>
        <v xml:space="preserve">N9217B  </v>
      </c>
      <c r="BC3821">
        <v>1</v>
      </c>
      <c r="BE3821">
        <v>0</v>
      </c>
      <c r="BF3821">
        <v>0</v>
      </c>
      <c r="BG3821">
        <v>0</v>
      </c>
      <c r="BH3821">
        <v>5125</v>
      </c>
      <c r="BI3821">
        <v>1</v>
      </c>
      <c r="BJ3821">
        <v>0</v>
      </c>
      <c r="BK3821">
        <v>0</v>
      </c>
      <c r="BL3821">
        <v>0</v>
      </c>
      <c r="BO3821">
        <v>0</v>
      </c>
      <c r="BP3821">
        <v>0</v>
      </c>
      <c r="BW3821" t="str">
        <f t="shared" si="2133"/>
        <v>14:58:24.538</v>
      </c>
      <c r="CJ3821">
        <v>0</v>
      </c>
      <c r="CK3821">
        <v>2</v>
      </c>
      <c r="CL3821">
        <v>0</v>
      </c>
      <c r="CM3821">
        <v>2</v>
      </c>
      <c r="CN3821">
        <v>0</v>
      </c>
      <c r="CO3821">
        <v>6</v>
      </c>
      <c r="CP3821" t="s">
        <v>119</v>
      </c>
      <c r="CQ3821">
        <v>285</v>
      </c>
      <c r="CR3821">
        <v>0</v>
      </c>
      <c r="CW3821">
        <v>8884237</v>
      </c>
      <c r="CY3821">
        <v>0</v>
      </c>
      <c r="CZ3821">
        <v>0</v>
      </c>
      <c r="DA3821">
        <v>1</v>
      </c>
      <c r="DB3821">
        <v>0</v>
      </c>
      <c r="DC3821">
        <v>0</v>
      </c>
      <c r="DD3821">
        <v>0</v>
      </c>
      <c r="DE3821">
        <v>0</v>
      </c>
      <c r="DF3821">
        <v>0</v>
      </c>
      <c r="DG3821">
        <v>0</v>
      </c>
      <c r="DH3821">
        <v>0</v>
      </c>
      <c r="DI3821">
        <v>0</v>
      </c>
    </row>
    <row r="3822" spans="1:113" x14ac:dyDescent="0.25">
      <c r="A3822" t="str">
        <f t="shared" ref="A3822:A3828" si="2134">"06/05/2020 14:58:20.018"</f>
        <v>06/05/2020 14:58:20.018</v>
      </c>
      <c r="C3822" t="str">
        <f t="shared" si="2129"/>
        <v>FFDFD3C0</v>
      </c>
      <c r="D3822" t="s">
        <v>134</v>
      </c>
      <c r="E3822">
        <v>7</v>
      </c>
      <c r="F3822">
        <v>2007</v>
      </c>
      <c r="G3822" t="s">
        <v>135</v>
      </c>
      <c r="J3822" t="s">
        <v>136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 t="shared" ref="S3822:S3828" si="2135">"14:58:25.672"</f>
        <v>14:58:25.672</v>
      </c>
      <c r="T3822" t="str">
        <f t="shared" ref="T3822:T3828" si="2136">"14:58:25.272"</f>
        <v>14:58:25.272</v>
      </c>
      <c r="U3822" t="str">
        <f t="shared" si="2108"/>
        <v>ACC530</v>
      </c>
      <c r="V3822">
        <v>0</v>
      </c>
      <c r="W3822">
        <v>0</v>
      </c>
      <c r="X3822">
        <v>1</v>
      </c>
      <c r="Z3822">
        <v>0</v>
      </c>
      <c r="AA3822">
        <v>9</v>
      </c>
      <c r="AB3822">
        <v>3</v>
      </c>
      <c r="AC3822">
        <v>0</v>
      </c>
      <c r="AD3822">
        <v>9</v>
      </c>
      <c r="AE3822">
        <v>0</v>
      </c>
      <c r="AF3822">
        <v>3</v>
      </c>
      <c r="AG3822">
        <v>1</v>
      </c>
      <c r="AH3822">
        <v>0</v>
      </c>
      <c r="AI3822" t="s">
        <v>1231</v>
      </c>
      <c r="AJ3822">
        <v>34.064762999999999</v>
      </c>
      <c r="AK3822" t="s">
        <v>1232</v>
      </c>
      <c r="AL3822">
        <v>-117.019479</v>
      </c>
      <c r="AM3822">
        <v>100</v>
      </c>
      <c r="AN3822">
        <v>5300</v>
      </c>
      <c r="AO3822" t="s">
        <v>118</v>
      </c>
      <c r="AP3822">
        <v>-12</v>
      </c>
      <c r="AQ3822">
        <v>-90</v>
      </c>
      <c r="AR3822">
        <v>-256</v>
      </c>
      <c r="AZ3822">
        <v>1200</v>
      </c>
      <c r="BA3822">
        <v>1</v>
      </c>
      <c r="BB3822" t="str">
        <f t="shared" si="2113"/>
        <v xml:space="preserve">N9217B  </v>
      </c>
      <c r="BC3822">
        <v>1</v>
      </c>
      <c r="BE3822">
        <v>0</v>
      </c>
      <c r="BF3822">
        <v>0</v>
      </c>
      <c r="BG3822">
        <v>0</v>
      </c>
      <c r="BH3822">
        <v>5125</v>
      </c>
      <c r="BI3822">
        <v>1</v>
      </c>
      <c r="BJ3822">
        <v>0</v>
      </c>
      <c r="BK3822">
        <v>0</v>
      </c>
      <c r="BL3822">
        <v>0</v>
      </c>
      <c r="BO3822">
        <v>0</v>
      </c>
      <c r="BP3822">
        <v>0</v>
      </c>
      <c r="BW3822" t="str">
        <f t="shared" ref="BW3822:BW3828" si="2137">"14:58:25.678"</f>
        <v>14:58:25.678</v>
      </c>
      <c r="CJ3822">
        <v>0</v>
      </c>
      <c r="CK3822">
        <v>2</v>
      </c>
      <c r="CL3822">
        <v>0</v>
      </c>
      <c r="CM3822">
        <v>2</v>
      </c>
      <c r="CN3822">
        <v>0</v>
      </c>
      <c r="CO3822">
        <v>6</v>
      </c>
      <c r="CP3822" t="s">
        <v>119</v>
      </c>
      <c r="CQ3822">
        <v>285</v>
      </c>
      <c r="CR3822">
        <v>0</v>
      </c>
      <c r="CW3822">
        <v>8884338</v>
      </c>
      <c r="CY3822">
        <v>0</v>
      </c>
      <c r="CZ3822">
        <v>0</v>
      </c>
      <c r="DA3822">
        <v>0</v>
      </c>
      <c r="DB3822">
        <v>0</v>
      </c>
      <c r="DC3822">
        <v>0</v>
      </c>
      <c r="DD3822">
        <v>0</v>
      </c>
      <c r="DE3822">
        <v>0</v>
      </c>
      <c r="DF3822">
        <v>0</v>
      </c>
      <c r="DG3822">
        <v>0</v>
      </c>
      <c r="DH3822">
        <v>0</v>
      </c>
      <c r="DI3822">
        <v>0</v>
      </c>
    </row>
    <row r="3823" spans="1:113" x14ac:dyDescent="0.25">
      <c r="A3823" t="str">
        <f t="shared" si="2134"/>
        <v>06/05/2020 14:58:20.018</v>
      </c>
      <c r="C3823" t="str">
        <f t="shared" si="2129"/>
        <v>FFDFD3C0</v>
      </c>
      <c r="D3823" t="s">
        <v>151</v>
      </c>
      <c r="E3823">
        <v>9</v>
      </c>
      <c r="H3823">
        <v>226</v>
      </c>
      <c r="I3823" t="s">
        <v>152</v>
      </c>
      <c r="J3823" t="s">
        <v>150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 t="shared" si="2135"/>
        <v>14:58:25.672</v>
      </c>
      <c r="T3823" t="str">
        <f t="shared" si="2136"/>
        <v>14:58:25.272</v>
      </c>
      <c r="U3823" t="str">
        <f t="shared" si="2108"/>
        <v>ACC530</v>
      </c>
      <c r="V3823">
        <v>0</v>
      </c>
      <c r="W3823">
        <v>0</v>
      </c>
      <c r="X3823">
        <v>1</v>
      </c>
      <c r="Z3823">
        <v>0</v>
      </c>
      <c r="AA3823">
        <v>9</v>
      </c>
      <c r="AB3823">
        <v>3</v>
      </c>
      <c r="AC3823">
        <v>0</v>
      </c>
      <c r="AD3823">
        <v>9</v>
      </c>
      <c r="AE3823">
        <v>0</v>
      </c>
      <c r="AF3823">
        <v>3</v>
      </c>
      <c r="AG3823">
        <v>1</v>
      </c>
      <c r="AH3823">
        <v>0</v>
      </c>
      <c r="AI3823" t="s">
        <v>1231</v>
      </c>
      <c r="AJ3823">
        <v>34.064762999999999</v>
      </c>
      <c r="AK3823" t="s">
        <v>1232</v>
      </c>
      <c r="AL3823">
        <v>-117.019479</v>
      </c>
      <c r="AM3823">
        <v>100</v>
      </c>
      <c r="AN3823">
        <v>5300</v>
      </c>
      <c r="AO3823" t="s">
        <v>118</v>
      </c>
      <c r="AP3823">
        <v>-12</v>
      </c>
      <c r="AQ3823">
        <v>-90</v>
      </c>
      <c r="AR3823">
        <v>-256</v>
      </c>
      <c r="AZ3823">
        <v>1200</v>
      </c>
      <c r="BA3823">
        <v>1</v>
      </c>
      <c r="BB3823" t="str">
        <f t="shared" si="2113"/>
        <v xml:space="preserve">N9217B  </v>
      </c>
      <c r="BC3823">
        <v>1</v>
      </c>
      <c r="BE3823">
        <v>0</v>
      </c>
      <c r="BF3823">
        <v>0</v>
      </c>
      <c r="BG3823">
        <v>0</v>
      </c>
      <c r="BH3823">
        <v>5125</v>
      </c>
      <c r="BI3823">
        <v>1</v>
      </c>
      <c r="BJ3823">
        <v>0</v>
      </c>
      <c r="BK3823">
        <v>0</v>
      </c>
      <c r="BL3823">
        <v>0</v>
      </c>
      <c r="BO3823">
        <v>0</v>
      </c>
      <c r="BP3823">
        <v>0</v>
      </c>
      <c r="BW3823" t="str">
        <f t="shared" si="2137"/>
        <v>14:58:25.678</v>
      </c>
      <c r="CJ3823">
        <v>0</v>
      </c>
      <c r="CK3823">
        <v>2</v>
      </c>
      <c r="CL3823">
        <v>0</v>
      </c>
      <c r="CM3823">
        <v>2</v>
      </c>
      <c r="CN3823">
        <v>0</v>
      </c>
      <c r="CO3823">
        <v>6</v>
      </c>
      <c r="CP3823" t="s">
        <v>119</v>
      </c>
      <c r="CQ3823">
        <v>285</v>
      </c>
      <c r="CR3823">
        <v>0</v>
      </c>
      <c r="CW3823">
        <v>8884338</v>
      </c>
      <c r="CY3823">
        <v>0</v>
      </c>
      <c r="CZ3823">
        <v>0</v>
      </c>
      <c r="DA3823">
        <v>1</v>
      </c>
      <c r="DB3823">
        <v>0</v>
      </c>
      <c r="DC3823">
        <v>0</v>
      </c>
      <c r="DD3823">
        <v>0</v>
      </c>
      <c r="DE3823">
        <v>0</v>
      </c>
      <c r="DF3823">
        <v>0</v>
      </c>
      <c r="DG3823">
        <v>0</v>
      </c>
      <c r="DH3823">
        <v>0</v>
      </c>
      <c r="DI3823">
        <v>0</v>
      </c>
    </row>
    <row r="3824" spans="1:113" x14ac:dyDescent="0.25">
      <c r="A3824" t="str">
        <f t="shared" si="2134"/>
        <v>06/05/2020 14:58:20.018</v>
      </c>
      <c r="C3824" t="str">
        <f t="shared" si="2129"/>
        <v>FFDFD3C0</v>
      </c>
      <c r="D3824" t="s">
        <v>113</v>
      </c>
      <c r="E3824">
        <v>3</v>
      </c>
      <c r="H3824">
        <v>166</v>
      </c>
      <c r="I3824" t="s">
        <v>114</v>
      </c>
      <c r="J3824" t="s">
        <v>115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 t="shared" si="2135"/>
        <v>14:58:25.672</v>
      </c>
      <c r="T3824" t="str">
        <f t="shared" si="2136"/>
        <v>14:58:25.272</v>
      </c>
      <c r="U3824" t="str">
        <f t="shared" si="2108"/>
        <v>ACC530</v>
      </c>
      <c r="V3824">
        <v>0</v>
      </c>
      <c r="W3824">
        <v>0</v>
      </c>
      <c r="X3824">
        <v>1</v>
      </c>
      <c r="Z3824">
        <v>0</v>
      </c>
      <c r="AA3824">
        <v>9</v>
      </c>
      <c r="AB3824">
        <v>3</v>
      </c>
      <c r="AC3824">
        <v>0</v>
      </c>
      <c r="AD3824">
        <v>9</v>
      </c>
      <c r="AE3824">
        <v>0</v>
      </c>
      <c r="AF3824">
        <v>3</v>
      </c>
      <c r="AG3824">
        <v>1</v>
      </c>
      <c r="AH3824">
        <v>0</v>
      </c>
      <c r="AI3824" t="s">
        <v>1231</v>
      </c>
      <c r="AJ3824">
        <v>34.064762999999999</v>
      </c>
      <c r="AK3824" t="s">
        <v>1232</v>
      </c>
      <c r="AL3824">
        <v>-117.019479</v>
      </c>
      <c r="AM3824">
        <v>100</v>
      </c>
      <c r="AN3824">
        <v>5300</v>
      </c>
      <c r="AO3824" t="s">
        <v>118</v>
      </c>
      <c r="AP3824">
        <v>-12</v>
      </c>
      <c r="AQ3824">
        <v>-90</v>
      </c>
      <c r="AR3824">
        <v>-256</v>
      </c>
      <c r="AZ3824">
        <v>1200</v>
      </c>
      <c r="BA3824">
        <v>1</v>
      </c>
      <c r="BB3824" t="str">
        <f t="shared" si="2113"/>
        <v xml:space="preserve">N9217B  </v>
      </c>
      <c r="BC3824">
        <v>1</v>
      </c>
      <c r="BE3824">
        <v>0</v>
      </c>
      <c r="BF3824">
        <v>0</v>
      </c>
      <c r="BG3824">
        <v>0</v>
      </c>
      <c r="BH3824">
        <v>5125</v>
      </c>
      <c r="BI3824">
        <v>1</v>
      </c>
      <c r="BJ3824">
        <v>0</v>
      </c>
      <c r="BK3824">
        <v>0</v>
      </c>
      <c r="BL3824">
        <v>0</v>
      </c>
      <c r="BO3824">
        <v>0</v>
      </c>
      <c r="BP3824">
        <v>0</v>
      </c>
      <c r="BW3824" t="str">
        <f t="shared" si="2137"/>
        <v>14:58:25.678</v>
      </c>
      <c r="CJ3824">
        <v>0</v>
      </c>
      <c r="CK3824">
        <v>2</v>
      </c>
      <c r="CL3824">
        <v>0</v>
      </c>
      <c r="CM3824">
        <v>2</v>
      </c>
      <c r="CN3824">
        <v>0</v>
      </c>
      <c r="CO3824">
        <v>6</v>
      </c>
      <c r="CP3824" t="s">
        <v>119</v>
      </c>
      <c r="CQ3824">
        <v>285</v>
      </c>
      <c r="CR3824">
        <v>0</v>
      </c>
      <c r="CW3824">
        <v>8884338</v>
      </c>
      <c r="CY3824">
        <v>0</v>
      </c>
      <c r="CZ3824">
        <v>0</v>
      </c>
      <c r="DA3824">
        <v>1</v>
      </c>
      <c r="DB3824">
        <v>0</v>
      </c>
      <c r="DC3824">
        <v>0</v>
      </c>
      <c r="DD3824">
        <v>0</v>
      </c>
      <c r="DE3824">
        <v>0</v>
      </c>
      <c r="DF3824">
        <v>0</v>
      </c>
      <c r="DG3824">
        <v>0</v>
      </c>
      <c r="DH3824">
        <v>0</v>
      </c>
      <c r="DI3824">
        <v>0</v>
      </c>
    </row>
    <row r="3825" spans="1:113" x14ac:dyDescent="0.25">
      <c r="A3825" t="str">
        <f t="shared" si="2134"/>
        <v>06/05/2020 14:58:20.018</v>
      </c>
      <c r="C3825" t="str">
        <f t="shared" si="2129"/>
        <v>FFDFD3C0</v>
      </c>
      <c r="D3825" t="s">
        <v>141</v>
      </c>
      <c r="E3825">
        <v>20</v>
      </c>
      <c r="F3825">
        <v>1020</v>
      </c>
      <c r="G3825" t="s">
        <v>114</v>
      </c>
      <c r="J3825" t="s">
        <v>142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 t="shared" si="2135"/>
        <v>14:58:25.672</v>
      </c>
      <c r="T3825" t="str">
        <f t="shared" si="2136"/>
        <v>14:58:25.272</v>
      </c>
      <c r="U3825" t="str">
        <f t="shared" si="2108"/>
        <v>ACC530</v>
      </c>
      <c r="V3825">
        <v>0</v>
      </c>
      <c r="W3825">
        <v>0</v>
      </c>
      <c r="X3825">
        <v>1</v>
      </c>
      <c r="Z3825">
        <v>0</v>
      </c>
      <c r="AA3825">
        <v>9</v>
      </c>
      <c r="AB3825">
        <v>3</v>
      </c>
      <c r="AC3825">
        <v>0</v>
      </c>
      <c r="AD3825">
        <v>9</v>
      </c>
      <c r="AE3825">
        <v>0</v>
      </c>
      <c r="AF3825">
        <v>3</v>
      </c>
      <c r="AG3825">
        <v>1</v>
      </c>
      <c r="AH3825">
        <v>0</v>
      </c>
      <c r="AI3825" t="s">
        <v>1231</v>
      </c>
      <c r="AJ3825">
        <v>34.064762999999999</v>
      </c>
      <c r="AK3825" t="s">
        <v>1232</v>
      </c>
      <c r="AL3825">
        <v>-117.019479</v>
      </c>
      <c r="AM3825">
        <v>100</v>
      </c>
      <c r="AN3825">
        <v>5300</v>
      </c>
      <c r="AO3825" t="s">
        <v>118</v>
      </c>
      <c r="AP3825">
        <v>-12</v>
      </c>
      <c r="AQ3825">
        <v>-90</v>
      </c>
      <c r="AR3825">
        <v>-256</v>
      </c>
      <c r="AZ3825">
        <v>1200</v>
      </c>
      <c r="BA3825">
        <v>1</v>
      </c>
      <c r="BB3825" t="str">
        <f t="shared" si="2113"/>
        <v xml:space="preserve">N9217B  </v>
      </c>
      <c r="BC3825">
        <v>1</v>
      </c>
      <c r="BE3825">
        <v>0</v>
      </c>
      <c r="BF3825">
        <v>0</v>
      </c>
      <c r="BG3825">
        <v>0</v>
      </c>
      <c r="BH3825">
        <v>5125</v>
      </c>
      <c r="BI3825">
        <v>1</v>
      </c>
      <c r="BJ3825">
        <v>0</v>
      </c>
      <c r="BK3825">
        <v>0</v>
      </c>
      <c r="BL3825">
        <v>0</v>
      </c>
      <c r="BO3825">
        <v>0</v>
      </c>
      <c r="BP3825">
        <v>0</v>
      </c>
      <c r="BW3825" t="str">
        <f t="shared" si="2137"/>
        <v>14:58:25.678</v>
      </c>
      <c r="CJ3825">
        <v>0</v>
      </c>
      <c r="CK3825">
        <v>2</v>
      </c>
      <c r="CL3825">
        <v>0</v>
      </c>
      <c r="CM3825">
        <v>2</v>
      </c>
      <c r="CN3825">
        <v>0</v>
      </c>
      <c r="CO3825">
        <v>6</v>
      </c>
      <c r="CP3825" t="s">
        <v>119</v>
      </c>
      <c r="CQ3825">
        <v>285</v>
      </c>
      <c r="CR3825">
        <v>0</v>
      </c>
      <c r="CW3825">
        <v>8884338</v>
      </c>
      <c r="CY3825">
        <v>0</v>
      </c>
      <c r="CZ3825">
        <v>0</v>
      </c>
      <c r="DA3825">
        <v>1</v>
      </c>
      <c r="DB3825">
        <v>0</v>
      </c>
      <c r="DC3825">
        <v>0</v>
      </c>
      <c r="DD3825">
        <v>0</v>
      </c>
      <c r="DE3825">
        <v>0</v>
      </c>
      <c r="DF3825">
        <v>0</v>
      </c>
      <c r="DG3825">
        <v>0</v>
      </c>
      <c r="DH3825">
        <v>0</v>
      </c>
      <c r="DI3825">
        <v>0</v>
      </c>
    </row>
    <row r="3826" spans="1:113" x14ac:dyDescent="0.25">
      <c r="A3826" t="str">
        <f t="shared" si="2134"/>
        <v>06/05/2020 14:58:20.018</v>
      </c>
      <c r="C3826" t="str">
        <f t="shared" si="2129"/>
        <v>FFDFD3C0</v>
      </c>
      <c r="D3826" t="s">
        <v>148</v>
      </c>
      <c r="E3826">
        <v>11</v>
      </c>
      <c r="H3826">
        <v>53</v>
      </c>
      <c r="I3826" t="s">
        <v>364</v>
      </c>
      <c r="J3826" t="s">
        <v>150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 t="shared" si="2135"/>
        <v>14:58:25.672</v>
      </c>
      <c r="T3826" t="str">
        <f t="shared" si="2136"/>
        <v>14:58:25.272</v>
      </c>
      <c r="U3826" t="str">
        <f t="shared" si="2108"/>
        <v>ACC530</v>
      </c>
      <c r="V3826">
        <v>0</v>
      </c>
      <c r="W3826">
        <v>0</v>
      </c>
      <c r="X3826">
        <v>1</v>
      </c>
      <c r="Z3826">
        <v>0</v>
      </c>
      <c r="AA3826">
        <v>9</v>
      </c>
      <c r="AB3826">
        <v>3</v>
      </c>
      <c r="AC3826">
        <v>0</v>
      </c>
      <c r="AD3826">
        <v>9</v>
      </c>
      <c r="AE3826">
        <v>0</v>
      </c>
      <c r="AF3826">
        <v>3</v>
      </c>
      <c r="AG3826">
        <v>1</v>
      </c>
      <c r="AH3826">
        <v>0</v>
      </c>
      <c r="AI3826" t="s">
        <v>1231</v>
      </c>
      <c r="AJ3826">
        <v>34.064762999999999</v>
      </c>
      <c r="AK3826" t="s">
        <v>1232</v>
      </c>
      <c r="AL3826">
        <v>-117.019479</v>
      </c>
      <c r="AM3826">
        <v>100</v>
      </c>
      <c r="AN3826">
        <v>5300</v>
      </c>
      <c r="AO3826" t="s">
        <v>118</v>
      </c>
      <c r="AP3826">
        <v>-12</v>
      </c>
      <c r="AQ3826">
        <v>-90</v>
      </c>
      <c r="AR3826">
        <v>-256</v>
      </c>
      <c r="AZ3826">
        <v>1200</v>
      </c>
      <c r="BA3826">
        <v>1</v>
      </c>
      <c r="BB3826" t="str">
        <f t="shared" si="2113"/>
        <v xml:space="preserve">N9217B  </v>
      </c>
      <c r="BC3826">
        <v>1</v>
      </c>
      <c r="BE3826">
        <v>0</v>
      </c>
      <c r="BF3826">
        <v>0</v>
      </c>
      <c r="BG3826">
        <v>0</v>
      </c>
      <c r="BH3826">
        <v>5125</v>
      </c>
      <c r="BI3826">
        <v>1</v>
      </c>
      <c r="BJ3826">
        <v>0</v>
      </c>
      <c r="BK3826">
        <v>0</v>
      </c>
      <c r="BL3826">
        <v>0</v>
      </c>
      <c r="BO3826">
        <v>0</v>
      </c>
      <c r="BP3826">
        <v>0</v>
      </c>
      <c r="BW3826" t="str">
        <f t="shared" si="2137"/>
        <v>14:58:25.678</v>
      </c>
      <c r="CJ3826">
        <v>0</v>
      </c>
      <c r="CK3826">
        <v>2</v>
      </c>
      <c r="CL3826">
        <v>0</v>
      </c>
      <c r="CM3826">
        <v>2</v>
      </c>
      <c r="CN3826">
        <v>0</v>
      </c>
      <c r="CO3826">
        <v>6</v>
      </c>
      <c r="CP3826" t="s">
        <v>119</v>
      </c>
      <c r="CQ3826">
        <v>285</v>
      </c>
      <c r="CR3826">
        <v>0</v>
      </c>
      <c r="CW3826">
        <v>8884338</v>
      </c>
      <c r="CY3826">
        <v>0</v>
      </c>
      <c r="CZ3826">
        <v>0</v>
      </c>
      <c r="DA3826">
        <v>1</v>
      </c>
      <c r="DB3826">
        <v>0</v>
      </c>
      <c r="DC3826">
        <v>0</v>
      </c>
      <c r="DD3826">
        <v>0</v>
      </c>
      <c r="DE3826">
        <v>0</v>
      </c>
      <c r="DF3826">
        <v>0</v>
      </c>
      <c r="DG3826">
        <v>0</v>
      </c>
      <c r="DH3826">
        <v>0</v>
      </c>
      <c r="DI3826">
        <v>0</v>
      </c>
    </row>
    <row r="3827" spans="1:113" x14ac:dyDescent="0.25">
      <c r="A3827" t="str">
        <f t="shared" si="2134"/>
        <v>06/05/2020 14:58:20.018</v>
      </c>
      <c r="C3827" t="str">
        <f t="shared" si="2129"/>
        <v>FFDFD3C0</v>
      </c>
      <c r="D3827" t="s">
        <v>148</v>
      </c>
      <c r="E3827">
        <v>8</v>
      </c>
      <c r="H3827">
        <v>50</v>
      </c>
      <c r="I3827" t="s">
        <v>149</v>
      </c>
      <c r="J3827" t="s">
        <v>150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 t="shared" si="2135"/>
        <v>14:58:25.672</v>
      </c>
      <c r="T3827" t="str">
        <f t="shared" si="2136"/>
        <v>14:58:25.272</v>
      </c>
      <c r="U3827" t="str">
        <f t="shared" si="2108"/>
        <v>ACC530</v>
      </c>
      <c r="V3827">
        <v>0</v>
      </c>
      <c r="W3827">
        <v>0</v>
      </c>
      <c r="X3827">
        <v>1</v>
      </c>
      <c r="Z3827">
        <v>0</v>
      </c>
      <c r="AA3827">
        <v>9</v>
      </c>
      <c r="AB3827">
        <v>3</v>
      </c>
      <c r="AC3827">
        <v>0</v>
      </c>
      <c r="AD3827">
        <v>9</v>
      </c>
      <c r="AE3827">
        <v>0</v>
      </c>
      <c r="AF3827">
        <v>3</v>
      </c>
      <c r="AG3827">
        <v>1</v>
      </c>
      <c r="AH3827">
        <v>0</v>
      </c>
      <c r="AI3827" t="s">
        <v>1231</v>
      </c>
      <c r="AJ3827">
        <v>34.064762999999999</v>
      </c>
      <c r="AK3827" t="s">
        <v>1232</v>
      </c>
      <c r="AL3827">
        <v>-117.019479</v>
      </c>
      <c r="AM3827">
        <v>100</v>
      </c>
      <c r="AN3827">
        <v>5300</v>
      </c>
      <c r="AO3827" t="s">
        <v>118</v>
      </c>
      <c r="AP3827">
        <v>-12</v>
      </c>
      <c r="AQ3827">
        <v>-90</v>
      </c>
      <c r="AR3827">
        <v>-256</v>
      </c>
      <c r="AZ3827">
        <v>1200</v>
      </c>
      <c r="BA3827">
        <v>1</v>
      </c>
      <c r="BB3827" t="str">
        <f t="shared" si="2113"/>
        <v xml:space="preserve">N9217B  </v>
      </c>
      <c r="BC3827">
        <v>1</v>
      </c>
      <c r="BE3827">
        <v>0</v>
      </c>
      <c r="BF3827">
        <v>0</v>
      </c>
      <c r="BG3827">
        <v>0</v>
      </c>
      <c r="BH3827">
        <v>5125</v>
      </c>
      <c r="BI3827">
        <v>1</v>
      </c>
      <c r="BJ3827">
        <v>0</v>
      </c>
      <c r="BK3827">
        <v>0</v>
      </c>
      <c r="BL3827">
        <v>0</v>
      </c>
      <c r="BO3827">
        <v>0</v>
      </c>
      <c r="BP3827">
        <v>0</v>
      </c>
      <c r="BW3827" t="str">
        <f t="shared" si="2137"/>
        <v>14:58:25.678</v>
      </c>
      <c r="CJ3827">
        <v>0</v>
      </c>
      <c r="CK3827">
        <v>2</v>
      </c>
      <c r="CL3827">
        <v>0</v>
      </c>
      <c r="CM3827">
        <v>2</v>
      </c>
      <c r="CN3827">
        <v>0</v>
      </c>
      <c r="CO3827">
        <v>6</v>
      </c>
      <c r="CP3827" t="s">
        <v>119</v>
      </c>
      <c r="CQ3827">
        <v>285</v>
      </c>
      <c r="CR3827">
        <v>0</v>
      </c>
      <c r="CW3827">
        <v>8884338</v>
      </c>
      <c r="CY3827">
        <v>0</v>
      </c>
      <c r="CZ3827">
        <v>0</v>
      </c>
      <c r="DA3827">
        <v>1</v>
      </c>
      <c r="DB3827">
        <v>0</v>
      </c>
      <c r="DC3827">
        <v>0</v>
      </c>
      <c r="DD3827">
        <v>0</v>
      </c>
      <c r="DE3827">
        <v>0</v>
      </c>
      <c r="DF3827">
        <v>0</v>
      </c>
      <c r="DG3827">
        <v>0</v>
      </c>
      <c r="DH3827">
        <v>0</v>
      </c>
      <c r="DI3827">
        <v>0</v>
      </c>
    </row>
    <row r="3828" spans="1:113" x14ac:dyDescent="0.25">
      <c r="A3828" t="str">
        <f t="shared" si="2134"/>
        <v>06/05/2020 14:58:20.018</v>
      </c>
      <c r="C3828" t="str">
        <f t="shared" si="2129"/>
        <v>FFDFD3C0</v>
      </c>
      <c r="D3828" t="s">
        <v>151</v>
      </c>
      <c r="E3828">
        <v>8</v>
      </c>
      <c r="H3828">
        <v>225</v>
      </c>
      <c r="I3828" t="s">
        <v>353</v>
      </c>
      <c r="J3828" t="s">
        <v>150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 t="shared" si="2135"/>
        <v>14:58:25.672</v>
      </c>
      <c r="T3828" t="str">
        <f t="shared" si="2136"/>
        <v>14:58:25.272</v>
      </c>
      <c r="U3828" t="str">
        <f t="shared" si="2108"/>
        <v>ACC530</v>
      </c>
      <c r="V3828">
        <v>0</v>
      </c>
      <c r="W3828">
        <v>0</v>
      </c>
      <c r="X3828">
        <v>1</v>
      </c>
      <c r="Z3828">
        <v>0</v>
      </c>
      <c r="AA3828">
        <v>9</v>
      </c>
      <c r="AB3828">
        <v>3</v>
      </c>
      <c r="AC3828">
        <v>0</v>
      </c>
      <c r="AD3828">
        <v>9</v>
      </c>
      <c r="AE3828">
        <v>0</v>
      </c>
      <c r="AF3828">
        <v>3</v>
      </c>
      <c r="AG3828">
        <v>1</v>
      </c>
      <c r="AH3828">
        <v>0</v>
      </c>
      <c r="AI3828" t="s">
        <v>1231</v>
      </c>
      <c r="AJ3828">
        <v>34.064762999999999</v>
      </c>
      <c r="AK3828" t="s">
        <v>1232</v>
      </c>
      <c r="AL3828">
        <v>-117.019479</v>
      </c>
      <c r="AM3828">
        <v>100</v>
      </c>
      <c r="AN3828">
        <v>5300</v>
      </c>
      <c r="AO3828" t="s">
        <v>118</v>
      </c>
      <c r="AP3828">
        <v>-12</v>
      </c>
      <c r="AQ3828">
        <v>-90</v>
      </c>
      <c r="AR3828">
        <v>-256</v>
      </c>
      <c r="AZ3828">
        <v>1200</v>
      </c>
      <c r="BA3828">
        <v>1</v>
      </c>
      <c r="BB3828" t="str">
        <f t="shared" si="2113"/>
        <v xml:space="preserve">N9217B  </v>
      </c>
      <c r="BC3828">
        <v>1</v>
      </c>
      <c r="BE3828">
        <v>0</v>
      </c>
      <c r="BF3828">
        <v>0</v>
      </c>
      <c r="BG3828">
        <v>0</v>
      </c>
      <c r="BH3828">
        <v>5125</v>
      </c>
      <c r="BI3828">
        <v>1</v>
      </c>
      <c r="BJ3828">
        <v>0</v>
      </c>
      <c r="BK3828">
        <v>0</v>
      </c>
      <c r="BL3828">
        <v>0</v>
      </c>
      <c r="BO3828">
        <v>0</v>
      </c>
      <c r="BP3828">
        <v>0</v>
      </c>
      <c r="BW3828" t="str">
        <f t="shared" si="2137"/>
        <v>14:58:25.678</v>
      </c>
      <c r="CJ3828">
        <v>0</v>
      </c>
      <c r="CK3828">
        <v>2</v>
      </c>
      <c r="CL3828">
        <v>0</v>
      </c>
      <c r="CM3828">
        <v>2</v>
      </c>
      <c r="CN3828">
        <v>0</v>
      </c>
      <c r="CO3828">
        <v>6</v>
      </c>
      <c r="CP3828" t="s">
        <v>119</v>
      </c>
      <c r="CQ3828">
        <v>285</v>
      </c>
      <c r="CR3828">
        <v>0</v>
      </c>
      <c r="CW3828">
        <v>8884338</v>
      </c>
      <c r="CY3828">
        <v>0</v>
      </c>
      <c r="CZ3828">
        <v>0</v>
      </c>
      <c r="DA3828">
        <v>1</v>
      </c>
      <c r="DB3828">
        <v>0</v>
      </c>
      <c r="DC3828">
        <v>0</v>
      </c>
      <c r="DD3828">
        <v>0</v>
      </c>
      <c r="DE3828">
        <v>0</v>
      </c>
      <c r="DF3828">
        <v>0</v>
      </c>
      <c r="DG3828">
        <v>0</v>
      </c>
      <c r="DH3828">
        <v>0</v>
      </c>
      <c r="DI3828">
        <v>0</v>
      </c>
    </row>
    <row r="3829" spans="1:113" x14ac:dyDescent="0.25">
      <c r="A3829" t="str">
        <f t="shared" ref="A3829:A3835" si="2138">"06/05/2020 14:58:21.035"</f>
        <v>06/05/2020 14:58:21.035</v>
      </c>
      <c r="C3829" t="str">
        <f t="shared" si="2129"/>
        <v>FFDFD3C0</v>
      </c>
      <c r="D3829" t="s">
        <v>151</v>
      </c>
      <c r="E3829">
        <v>9</v>
      </c>
      <c r="H3829">
        <v>226</v>
      </c>
      <c r="I3829" t="s">
        <v>152</v>
      </c>
      <c r="J3829" t="s">
        <v>150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 t="shared" ref="S3829:S3835" si="2139">"14:58:26.695"</f>
        <v>14:58:26.695</v>
      </c>
      <c r="T3829" t="str">
        <f>"14:58:25.795"</f>
        <v>14:58:25.795</v>
      </c>
      <c r="U3829" t="str">
        <f t="shared" si="2108"/>
        <v>ACC530</v>
      </c>
      <c r="V3829">
        <v>0</v>
      </c>
      <c r="W3829">
        <v>0</v>
      </c>
      <c r="X3829">
        <v>1</v>
      </c>
      <c r="Z3829">
        <v>0</v>
      </c>
      <c r="AA3829">
        <v>9</v>
      </c>
      <c r="AB3829">
        <v>3</v>
      </c>
      <c r="AC3829">
        <v>0</v>
      </c>
      <c r="AD3829">
        <v>9</v>
      </c>
      <c r="AE3829">
        <v>0</v>
      </c>
      <c r="AF3829">
        <v>3</v>
      </c>
      <c r="AG3829">
        <v>1</v>
      </c>
      <c r="AH3829">
        <v>0</v>
      </c>
      <c r="AI3829" t="s">
        <v>1233</v>
      </c>
      <c r="AJ3829">
        <v>34.064312000000001</v>
      </c>
      <c r="AK3829" t="s">
        <v>1234</v>
      </c>
      <c r="AL3829">
        <v>-117.019565</v>
      </c>
      <c r="AM3829">
        <v>100</v>
      </c>
      <c r="AN3829">
        <v>5300</v>
      </c>
      <c r="AO3829" t="s">
        <v>118</v>
      </c>
      <c r="AP3829">
        <v>-12</v>
      </c>
      <c r="AQ3829">
        <v>-90</v>
      </c>
      <c r="AR3829">
        <v>-256</v>
      </c>
      <c r="AZ3829">
        <v>1200</v>
      </c>
      <c r="BA3829">
        <v>1</v>
      </c>
      <c r="BB3829" t="str">
        <f t="shared" si="2113"/>
        <v xml:space="preserve">N9217B  </v>
      </c>
      <c r="BC3829">
        <v>1</v>
      </c>
      <c r="BE3829">
        <v>0</v>
      </c>
      <c r="BF3829">
        <v>0</v>
      </c>
      <c r="BG3829">
        <v>0</v>
      </c>
      <c r="BH3829">
        <v>5125</v>
      </c>
      <c r="BI3829">
        <v>1</v>
      </c>
      <c r="BJ3829">
        <v>0</v>
      </c>
      <c r="BK3829">
        <v>0</v>
      </c>
      <c r="BL3829">
        <v>0</v>
      </c>
      <c r="BO3829">
        <v>0</v>
      </c>
      <c r="BP3829">
        <v>0</v>
      </c>
      <c r="BW3829" t="str">
        <f>"14:58:26.697"</f>
        <v>14:58:26.697</v>
      </c>
      <c r="CJ3829">
        <v>0</v>
      </c>
      <c r="CK3829">
        <v>2</v>
      </c>
      <c r="CL3829">
        <v>0</v>
      </c>
      <c r="CM3829">
        <v>2</v>
      </c>
      <c r="CN3829">
        <v>0</v>
      </c>
      <c r="CO3829">
        <v>6</v>
      </c>
      <c r="CP3829" t="s">
        <v>119</v>
      </c>
      <c r="CQ3829">
        <v>285</v>
      </c>
      <c r="CR3829">
        <v>0</v>
      </c>
      <c r="CW3829">
        <v>8884426</v>
      </c>
      <c r="CY3829">
        <v>0</v>
      </c>
      <c r="CZ3829">
        <v>0</v>
      </c>
      <c r="DA3829">
        <v>0</v>
      </c>
      <c r="DB3829">
        <v>0</v>
      </c>
      <c r="DC3829">
        <v>0</v>
      </c>
      <c r="DD3829">
        <v>0</v>
      </c>
      <c r="DE3829">
        <v>0</v>
      </c>
      <c r="DF3829">
        <v>0</v>
      </c>
      <c r="DG3829">
        <v>0</v>
      </c>
      <c r="DH3829">
        <v>0</v>
      </c>
      <c r="DI3829">
        <v>0</v>
      </c>
    </row>
    <row r="3830" spans="1:113" x14ac:dyDescent="0.25">
      <c r="A3830" t="str">
        <f t="shared" si="2138"/>
        <v>06/05/2020 14:58:21.035</v>
      </c>
      <c r="C3830" t="str">
        <f t="shared" si="2129"/>
        <v>FFDFD3C0</v>
      </c>
      <c r="D3830" t="s">
        <v>134</v>
      </c>
      <c r="E3830">
        <v>7</v>
      </c>
      <c r="F3830">
        <v>2007</v>
      </c>
      <c r="G3830" t="s">
        <v>135</v>
      </c>
      <c r="J3830" t="s">
        <v>136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 t="shared" si="2139"/>
        <v>14:58:26.695</v>
      </c>
      <c r="T3830" t="str">
        <f t="shared" ref="T3830:T3835" si="2140">"14:58:26.295"</f>
        <v>14:58:26.295</v>
      </c>
      <c r="U3830" t="str">
        <f t="shared" si="2108"/>
        <v>ACC530</v>
      </c>
      <c r="V3830">
        <v>0</v>
      </c>
      <c r="W3830">
        <v>0</v>
      </c>
      <c r="X3830">
        <v>1</v>
      </c>
      <c r="Z3830">
        <v>0</v>
      </c>
      <c r="AA3830">
        <v>9</v>
      </c>
      <c r="AB3830">
        <v>3</v>
      </c>
      <c r="AC3830">
        <v>0</v>
      </c>
      <c r="AD3830">
        <v>9</v>
      </c>
      <c r="AE3830">
        <v>0</v>
      </c>
      <c r="AF3830">
        <v>3</v>
      </c>
      <c r="AG3830">
        <v>1</v>
      </c>
      <c r="AH3830">
        <v>0</v>
      </c>
      <c r="AI3830" t="s">
        <v>1233</v>
      </c>
      <c r="AJ3830">
        <v>34.064312000000001</v>
      </c>
      <c r="AK3830" t="s">
        <v>1234</v>
      </c>
      <c r="AL3830">
        <v>-117.019565</v>
      </c>
      <c r="AM3830">
        <v>100</v>
      </c>
      <c r="AN3830">
        <v>5300</v>
      </c>
      <c r="AO3830" t="s">
        <v>118</v>
      </c>
      <c r="AP3830">
        <v>-10</v>
      </c>
      <c r="AQ3830">
        <v>-90</v>
      </c>
      <c r="AR3830">
        <v>-320</v>
      </c>
      <c r="AZ3830">
        <v>1200</v>
      </c>
      <c r="BA3830">
        <v>1</v>
      </c>
      <c r="BB3830" t="str">
        <f t="shared" si="2113"/>
        <v xml:space="preserve">N9217B  </v>
      </c>
      <c r="BC3830">
        <v>1</v>
      </c>
      <c r="BE3830">
        <v>0</v>
      </c>
      <c r="BF3830">
        <v>0</v>
      </c>
      <c r="BG3830">
        <v>0</v>
      </c>
      <c r="BH3830">
        <v>5125</v>
      </c>
      <c r="BI3830">
        <v>1</v>
      </c>
      <c r="BJ3830">
        <v>0</v>
      </c>
      <c r="BK3830">
        <v>0</v>
      </c>
      <c r="BL3830">
        <v>0</v>
      </c>
      <c r="BO3830">
        <v>0</v>
      </c>
      <c r="BP3830">
        <v>0</v>
      </c>
      <c r="BW3830" t="str">
        <f t="shared" ref="BW3830:BW3835" si="2141">"14:58:26.698"</f>
        <v>14:58:26.698</v>
      </c>
      <c r="CJ3830">
        <v>0</v>
      </c>
      <c r="CK3830">
        <v>2</v>
      </c>
      <c r="CL3830">
        <v>0</v>
      </c>
      <c r="CM3830">
        <v>2</v>
      </c>
      <c r="CN3830">
        <v>0</v>
      </c>
      <c r="CO3830">
        <v>5</v>
      </c>
      <c r="CP3830" t="s">
        <v>119</v>
      </c>
      <c r="CQ3830">
        <v>298</v>
      </c>
      <c r="CR3830">
        <v>0</v>
      </c>
      <c r="CW3830">
        <v>10466914</v>
      </c>
      <c r="CY3830">
        <v>0</v>
      </c>
      <c r="CZ3830">
        <v>0</v>
      </c>
      <c r="DA3830">
        <v>1</v>
      </c>
      <c r="DB3830">
        <v>0</v>
      </c>
      <c r="DC3830">
        <v>0</v>
      </c>
      <c r="DD3830">
        <v>0</v>
      </c>
      <c r="DE3830">
        <v>0</v>
      </c>
      <c r="DF3830">
        <v>0</v>
      </c>
      <c r="DG3830">
        <v>0</v>
      </c>
      <c r="DH3830">
        <v>0</v>
      </c>
      <c r="DI3830">
        <v>0</v>
      </c>
    </row>
    <row r="3831" spans="1:113" x14ac:dyDescent="0.25">
      <c r="A3831" t="str">
        <f t="shared" si="2138"/>
        <v>06/05/2020 14:58:21.035</v>
      </c>
      <c r="C3831" t="str">
        <f t="shared" si="2129"/>
        <v>FFDFD3C0</v>
      </c>
      <c r="D3831" t="s">
        <v>113</v>
      </c>
      <c r="E3831">
        <v>3</v>
      </c>
      <c r="H3831">
        <v>166</v>
      </c>
      <c r="I3831" t="s">
        <v>114</v>
      </c>
      <c r="J3831" t="s">
        <v>115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 t="shared" si="2139"/>
        <v>14:58:26.695</v>
      </c>
      <c r="T3831" t="str">
        <f t="shared" si="2140"/>
        <v>14:58:26.295</v>
      </c>
      <c r="U3831" t="str">
        <f t="shared" si="2108"/>
        <v>ACC530</v>
      </c>
      <c r="V3831">
        <v>0</v>
      </c>
      <c r="W3831">
        <v>0</v>
      </c>
      <c r="X3831">
        <v>1</v>
      </c>
      <c r="Z3831">
        <v>0</v>
      </c>
      <c r="AA3831">
        <v>9</v>
      </c>
      <c r="AB3831">
        <v>3</v>
      </c>
      <c r="AC3831">
        <v>0</v>
      </c>
      <c r="AD3831">
        <v>9</v>
      </c>
      <c r="AE3831">
        <v>0</v>
      </c>
      <c r="AF3831">
        <v>3</v>
      </c>
      <c r="AG3831">
        <v>1</v>
      </c>
      <c r="AH3831">
        <v>0</v>
      </c>
      <c r="AI3831" t="s">
        <v>1233</v>
      </c>
      <c r="AJ3831">
        <v>34.064312000000001</v>
      </c>
      <c r="AK3831" t="s">
        <v>1234</v>
      </c>
      <c r="AL3831">
        <v>-117.019565</v>
      </c>
      <c r="AM3831">
        <v>100</v>
      </c>
      <c r="AN3831">
        <v>5300</v>
      </c>
      <c r="AO3831" t="s">
        <v>118</v>
      </c>
      <c r="AP3831">
        <v>-10</v>
      </c>
      <c r="AQ3831">
        <v>-90</v>
      </c>
      <c r="AR3831">
        <v>-320</v>
      </c>
      <c r="AZ3831">
        <v>1200</v>
      </c>
      <c r="BA3831">
        <v>1</v>
      </c>
      <c r="BB3831" t="str">
        <f t="shared" si="2113"/>
        <v xml:space="preserve">N9217B  </v>
      </c>
      <c r="BC3831">
        <v>1</v>
      </c>
      <c r="BE3831">
        <v>0</v>
      </c>
      <c r="BF3831">
        <v>0</v>
      </c>
      <c r="BG3831">
        <v>0</v>
      </c>
      <c r="BH3831">
        <v>5125</v>
      </c>
      <c r="BI3831">
        <v>1</v>
      </c>
      <c r="BJ3831">
        <v>0</v>
      </c>
      <c r="BK3831">
        <v>0</v>
      </c>
      <c r="BL3831">
        <v>0</v>
      </c>
      <c r="BO3831">
        <v>0</v>
      </c>
      <c r="BP3831">
        <v>0</v>
      </c>
      <c r="BW3831" t="str">
        <f t="shared" si="2141"/>
        <v>14:58:26.698</v>
      </c>
      <c r="CJ3831">
        <v>0</v>
      </c>
      <c r="CK3831">
        <v>2</v>
      </c>
      <c r="CL3831">
        <v>0</v>
      </c>
      <c r="CM3831">
        <v>2</v>
      </c>
      <c r="CN3831">
        <v>0</v>
      </c>
      <c r="CO3831">
        <v>5</v>
      </c>
      <c r="CP3831" t="s">
        <v>119</v>
      </c>
      <c r="CQ3831">
        <v>298</v>
      </c>
      <c r="CR3831">
        <v>0</v>
      </c>
      <c r="CW3831">
        <v>10466914</v>
      </c>
      <c r="CY3831">
        <v>0</v>
      </c>
      <c r="CZ3831">
        <v>0</v>
      </c>
      <c r="DA3831">
        <v>1</v>
      </c>
      <c r="DB3831">
        <v>0</v>
      </c>
      <c r="DC3831">
        <v>0</v>
      </c>
      <c r="DD3831">
        <v>0</v>
      </c>
      <c r="DE3831">
        <v>0</v>
      </c>
      <c r="DF3831">
        <v>0</v>
      </c>
      <c r="DG3831">
        <v>0</v>
      </c>
      <c r="DH3831">
        <v>0</v>
      </c>
      <c r="DI3831">
        <v>0</v>
      </c>
    </row>
    <row r="3832" spans="1:113" x14ac:dyDescent="0.25">
      <c r="A3832" t="str">
        <f t="shared" si="2138"/>
        <v>06/05/2020 14:58:21.035</v>
      </c>
      <c r="C3832" t="str">
        <f t="shared" si="2129"/>
        <v>FFDFD3C0</v>
      </c>
      <c r="D3832" t="s">
        <v>141</v>
      </c>
      <c r="E3832">
        <v>20</v>
      </c>
      <c r="F3832">
        <v>1020</v>
      </c>
      <c r="G3832" t="s">
        <v>114</v>
      </c>
      <c r="J3832" t="s">
        <v>142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 t="shared" si="2139"/>
        <v>14:58:26.695</v>
      </c>
      <c r="T3832" t="str">
        <f t="shared" si="2140"/>
        <v>14:58:26.295</v>
      </c>
      <c r="U3832" t="str">
        <f t="shared" si="2108"/>
        <v>ACC530</v>
      </c>
      <c r="V3832">
        <v>0</v>
      </c>
      <c r="W3832">
        <v>0</v>
      </c>
      <c r="X3832">
        <v>1</v>
      </c>
      <c r="Z3832">
        <v>0</v>
      </c>
      <c r="AA3832">
        <v>9</v>
      </c>
      <c r="AB3832">
        <v>3</v>
      </c>
      <c r="AC3832">
        <v>0</v>
      </c>
      <c r="AD3832">
        <v>9</v>
      </c>
      <c r="AE3832">
        <v>0</v>
      </c>
      <c r="AF3832">
        <v>3</v>
      </c>
      <c r="AG3832">
        <v>1</v>
      </c>
      <c r="AH3832">
        <v>0</v>
      </c>
      <c r="AI3832" t="s">
        <v>1233</v>
      </c>
      <c r="AJ3832">
        <v>34.064312000000001</v>
      </c>
      <c r="AK3832" t="s">
        <v>1234</v>
      </c>
      <c r="AL3832">
        <v>-117.019565</v>
      </c>
      <c r="AM3832">
        <v>100</v>
      </c>
      <c r="AN3832">
        <v>5300</v>
      </c>
      <c r="AO3832" t="s">
        <v>118</v>
      </c>
      <c r="AP3832">
        <v>-10</v>
      </c>
      <c r="AQ3832">
        <v>-90</v>
      </c>
      <c r="AR3832">
        <v>-320</v>
      </c>
      <c r="AZ3832">
        <v>1200</v>
      </c>
      <c r="BA3832">
        <v>1</v>
      </c>
      <c r="BB3832" t="str">
        <f t="shared" si="2113"/>
        <v xml:space="preserve">N9217B  </v>
      </c>
      <c r="BC3832">
        <v>1</v>
      </c>
      <c r="BE3832">
        <v>0</v>
      </c>
      <c r="BF3832">
        <v>0</v>
      </c>
      <c r="BG3832">
        <v>0</v>
      </c>
      <c r="BH3832">
        <v>5125</v>
      </c>
      <c r="BI3832">
        <v>1</v>
      </c>
      <c r="BJ3832">
        <v>0</v>
      </c>
      <c r="BK3832">
        <v>0</v>
      </c>
      <c r="BL3832">
        <v>0</v>
      </c>
      <c r="BO3832">
        <v>0</v>
      </c>
      <c r="BP3832">
        <v>0</v>
      </c>
      <c r="BW3832" t="str">
        <f t="shared" si="2141"/>
        <v>14:58:26.698</v>
      </c>
      <c r="CJ3832">
        <v>0</v>
      </c>
      <c r="CK3832">
        <v>2</v>
      </c>
      <c r="CL3832">
        <v>0</v>
      </c>
      <c r="CM3832">
        <v>2</v>
      </c>
      <c r="CN3832">
        <v>0</v>
      </c>
      <c r="CO3832">
        <v>5</v>
      </c>
      <c r="CP3832" t="s">
        <v>119</v>
      </c>
      <c r="CQ3832">
        <v>298</v>
      </c>
      <c r="CR3832">
        <v>0</v>
      </c>
      <c r="CW3832">
        <v>10466914</v>
      </c>
      <c r="CY3832">
        <v>0</v>
      </c>
      <c r="CZ3832">
        <v>0</v>
      </c>
      <c r="DA3832">
        <v>1</v>
      </c>
      <c r="DB3832">
        <v>0</v>
      </c>
      <c r="DC3832">
        <v>0</v>
      </c>
      <c r="DD3832">
        <v>0</v>
      </c>
      <c r="DE3832">
        <v>0</v>
      </c>
      <c r="DF3832">
        <v>0</v>
      </c>
      <c r="DG3832">
        <v>0</v>
      </c>
      <c r="DH3832">
        <v>0</v>
      </c>
      <c r="DI3832">
        <v>0</v>
      </c>
    </row>
    <row r="3833" spans="1:113" x14ac:dyDescent="0.25">
      <c r="A3833" t="str">
        <f t="shared" si="2138"/>
        <v>06/05/2020 14:58:21.035</v>
      </c>
      <c r="C3833" t="str">
        <f t="shared" si="2129"/>
        <v>FFDFD3C0</v>
      </c>
      <c r="D3833" t="s">
        <v>148</v>
      </c>
      <c r="E3833">
        <v>11</v>
      </c>
      <c r="H3833">
        <v>53</v>
      </c>
      <c r="I3833" t="s">
        <v>364</v>
      </c>
      <c r="J3833" t="s">
        <v>150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 t="shared" si="2139"/>
        <v>14:58:26.695</v>
      </c>
      <c r="T3833" t="str">
        <f t="shared" si="2140"/>
        <v>14:58:26.295</v>
      </c>
      <c r="U3833" t="str">
        <f t="shared" si="2108"/>
        <v>ACC530</v>
      </c>
      <c r="V3833">
        <v>0</v>
      </c>
      <c r="W3833">
        <v>0</v>
      </c>
      <c r="X3833">
        <v>1</v>
      </c>
      <c r="Z3833">
        <v>0</v>
      </c>
      <c r="AA3833">
        <v>9</v>
      </c>
      <c r="AB3833">
        <v>3</v>
      </c>
      <c r="AC3833">
        <v>0</v>
      </c>
      <c r="AD3833">
        <v>9</v>
      </c>
      <c r="AE3833">
        <v>0</v>
      </c>
      <c r="AF3833">
        <v>3</v>
      </c>
      <c r="AG3833">
        <v>1</v>
      </c>
      <c r="AH3833">
        <v>0</v>
      </c>
      <c r="AI3833" t="s">
        <v>1233</v>
      </c>
      <c r="AJ3833">
        <v>34.064312000000001</v>
      </c>
      <c r="AK3833" t="s">
        <v>1234</v>
      </c>
      <c r="AL3833">
        <v>-117.019565</v>
      </c>
      <c r="AM3833">
        <v>100</v>
      </c>
      <c r="AN3833">
        <v>5300</v>
      </c>
      <c r="AO3833" t="s">
        <v>118</v>
      </c>
      <c r="AP3833">
        <v>-10</v>
      </c>
      <c r="AQ3833">
        <v>-90</v>
      </c>
      <c r="AR3833">
        <v>-320</v>
      </c>
      <c r="AZ3833">
        <v>1200</v>
      </c>
      <c r="BA3833">
        <v>1</v>
      </c>
      <c r="BB3833" t="str">
        <f t="shared" si="2113"/>
        <v xml:space="preserve">N9217B  </v>
      </c>
      <c r="BC3833">
        <v>1</v>
      </c>
      <c r="BE3833">
        <v>0</v>
      </c>
      <c r="BF3833">
        <v>0</v>
      </c>
      <c r="BG3833">
        <v>0</v>
      </c>
      <c r="BH3833">
        <v>5125</v>
      </c>
      <c r="BI3833">
        <v>1</v>
      </c>
      <c r="BJ3833">
        <v>0</v>
      </c>
      <c r="BK3833">
        <v>0</v>
      </c>
      <c r="BL3833">
        <v>0</v>
      </c>
      <c r="BO3833">
        <v>0</v>
      </c>
      <c r="BP3833">
        <v>0</v>
      </c>
      <c r="BW3833" t="str">
        <f t="shared" si="2141"/>
        <v>14:58:26.698</v>
      </c>
      <c r="CJ3833">
        <v>0</v>
      </c>
      <c r="CK3833">
        <v>2</v>
      </c>
      <c r="CL3833">
        <v>0</v>
      </c>
      <c r="CM3833">
        <v>2</v>
      </c>
      <c r="CN3833">
        <v>0</v>
      </c>
      <c r="CO3833">
        <v>5</v>
      </c>
      <c r="CP3833" t="s">
        <v>119</v>
      </c>
      <c r="CQ3833">
        <v>298</v>
      </c>
      <c r="CR3833">
        <v>0</v>
      </c>
      <c r="CW3833">
        <v>10466914</v>
      </c>
      <c r="CY3833">
        <v>0</v>
      </c>
      <c r="CZ3833">
        <v>0</v>
      </c>
      <c r="DA3833">
        <v>1</v>
      </c>
      <c r="DB3833">
        <v>0</v>
      </c>
      <c r="DC3833">
        <v>0</v>
      </c>
      <c r="DD3833">
        <v>0</v>
      </c>
      <c r="DE3833">
        <v>0</v>
      </c>
      <c r="DF3833">
        <v>0</v>
      </c>
      <c r="DG3833">
        <v>0</v>
      </c>
      <c r="DH3833">
        <v>0</v>
      </c>
      <c r="DI3833">
        <v>0</v>
      </c>
    </row>
    <row r="3834" spans="1:113" x14ac:dyDescent="0.25">
      <c r="A3834" t="str">
        <f t="shared" si="2138"/>
        <v>06/05/2020 14:58:21.035</v>
      </c>
      <c r="C3834" t="str">
        <f t="shared" si="2129"/>
        <v>FFDFD3C0</v>
      </c>
      <c r="D3834" t="s">
        <v>148</v>
      </c>
      <c r="E3834">
        <v>8</v>
      </c>
      <c r="H3834">
        <v>50</v>
      </c>
      <c r="I3834" t="s">
        <v>149</v>
      </c>
      <c r="J3834" t="s">
        <v>150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 t="shared" si="2139"/>
        <v>14:58:26.695</v>
      </c>
      <c r="T3834" t="str">
        <f t="shared" si="2140"/>
        <v>14:58:26.295</v>
      </c>
      <c r="U3834" t="str">
        <f t="shared" si="2108"/>
        <v>ACC530</v>
      </c>
      <c r="V3834">
        <v>0</v>
      </c>
      <c r="W3834">
        <v>0</v>
      </c>
      <c r="X3834">
        <v>1</v>
      </c>
      <c r="Z3834">
        <v>0</v>
      </c>
      <c r="AA3834">
        <v>9</v>
      </c>
      <c r="AB3834">
        <v>3</v>
      </c>
      <c r="AC3834">
        <v>0</v>
      </c>
      <c r="AD3834">
        <v>9</v>
      </c>
      <c r="AE3834">
        <v>0</v>
      </c>
      <c r="AF3834">
        <v>3</v>
      </c>
      <c r="AG3834">
        <v>1</v>
      </c>
      <c r="AH3834">
        <v>0</v>
      </c>
      <c r="AI3834" t="s">
        <v>1233</v>
      </c>
      <c r="AJ3834">
        <v>34.064312000000001</v>
      </c>
      <c r="AK3834" t="s">
        <v>1234</v>
      </c>
      <c r="AL3834">
        <v>-117.019565</v>
      </c>
      <c r="AM3834">
        <v>100</v>
      </c>
      <c r="AN3834">
        <v>5300</v>
      </c>
      <c r="AO3834" t="s">
        <v>118</v>
      </c>
      <c r="AP3834">
        <v>-10</v>
      </c>
      <c r="AQ3834">
        <v>-90</v>
      </c>
      <c r="AR3834">
        <v>-320</v>
      </c>
      <c r="AZ3834">
        <v>1200</v>
      </c>
      <c r="BA3834">
        <v>1</v>
      </c>
      <c r="BB3834" t="str">
        <f t="shared" si="2113"/>
        <v xml:space="preserve">N9217B  </v>
      </c>
      <c r="BC3834">
        <v>1</v>
      </c>
      <c r="BE3834">
        <v>0</v>
      </c>
      <c r="BF3834">
        <v>0</v>
      </c>
      <c r="BG3834">
        <v>0</v>
      </c>
      <c r="BH3834">
        <v>5125</v>
      </c>
      <c r="BI3834">
        <v>1</v>
      </c>
      <c r="BJ3834">
        <v>0</v>
      </c>
      <c r="BK3834">
        <v>0</v>
      </c>
      <c r="BL3834">
        <v>0</v>
      </c>
      <c r="BO3834">
        <v>0</v>
      </c>
      <c r="BP3834">
        <v>0</v>
      </c>
      <c r="BW3834" t="str">
        <f t="shared" si="2141"/>
        <v>14:58:26.698</v>
      </c>
      <c r="CJ3834">
        <v>0</v>
      </c>
      <c r="CK3834">
        <v>2</v>
      </c>
      <c r="CL3834">
        <v>0</v>
      </c>
      <c r="CM3834">
        <v>2</v>
      </c>
      <c r="CN3834">
        <v>0</v>
      </c>
      <c r="CO3834">
        <v>5</v>
      </c>
      <c r="CP3834" t="s">
        <v>119</v>
      </c>
      <c r="CQ3834">
        <v>298</v>
      </c>
      <c r="CR3834">
        <v>0</v>
      </c>
      <c r="CW3834">
        <v>10466914</v>
      </c>
      <c r="CY3834">
        <v>0</v>
      </c>
      <c r="CZ3834">
        <v>0</v>
      </c>
      <c r="DA3834">
        <v>1</v>
      </c>
      <c r="DB3834">
        <v>0</v>
      </c>
      <c r="DC3834">
        <v>0</v>
      </c>
      <c r="DD3834">
        <v>0</v>
      </c>
      <c r="DE3834">
        <v>0</v>
      </c>
      <c r="DF3834">
        <v>0</v>
      </c>
      <c r="DG3834">
        <v>0</v>
      </c>
      <c r="DH3834">
        <v>0</v>
      </c>
      <c r="DI3834">
        <v>0</v>
      </c>
    </row>
    <row r="3835" spans="1:113" x14ac:dyDescent="0.25">
      <c r="A3835" t="str">
        <f t="shared" si="2138"/>
        <v>06/05/2020 14:58:21.035</v>
      </c>
      <c r="C3835" t="str">
        <f t="shared" si="2129"/>
        <v>FFDFD3C0</v>
      </c>
      <c r="D3835" t="s">
        <v>151</v>
      </c>
      <c r="E3835">
        <v>8</v>
      </c>
      <c r="H3835">
        <v>225</v>
      </c>
      <c r="I3835" t="s">
        <v>353</v>
      </c>
      <c r="J3835" t="s">
        <v>150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 t="shared" si="2139"/>
        <v>14:58:26.695</v>
      </c>
      <c r="T3835" t="str">
        <f t="shared" si="2140"/>
        <v>14:58:26.295</v>
      </c>
      <c r="U3835" t="str">
        <f t="shared" si="2108"/>
        <v>ACC530</v>
      </c>
      <c r="V3835">
        <v>0</v>
      </c>
      <c r="W3835">
        <v>0</v>
      </c>
      <c r="X3835">
        <v>1</v>
      </c>
      <c r="Z3835">
        <v>0</v>
      </c>
      <c r="AA3835">
        <v>9</v>
      </c>
      <c r="AB3835">
        <v>3</v>
      </c>
      <c r="AC3835">
        <v>0</v>
      </c>
      <c r="AD3835">
        <v>9</v>
      </c>
      <c r="AE3835">
        <v>0</v>
      </c>
      <c r="AF3835">
        <v>3</v>
      </c>
      <c r="AG3835">
        <v>1</v>
      </c>
      <c r="AH3835">
        <v>0</v>
      </c>
      <c r="AI3835" t="s">
        <v>1233</v>
      </c>
      <c r="AJ3835">
        <v>34.064312000000001</v>
      </c>
      <c r="AK3835" t="s">
        <v>1234</v>
      </c>
      <c r="AL3835">
        <v>-117.019565</v>
      </c>
      <c r="AM3835">
        <v>100</v>
      </c>
      <c r="AN3835">
        <v>5300</v>
      </c>
      <c r="AO3835" t="s">
        <v>118</v>
      </c>
      <c r="AP3835">
        <v>-10</v>
      </c>
      <c r="AQ3835">
        <v>-90</v>
      </c>
      <c r="AR3835">
        <v>-320</v>
      </c>
      <c r="AZ3835">
        <v>1200</v>
      </c>
      <c r="BA3835">
        <v>1</v>
      </c>
      <c r="BB3835" t="str">
        <f t="shared" si="2113"/>
        <v xml:space="preserve">N9217B  </v>
      </c>
      <c r="BC3835">
        <v>1</v>
      </c>
      <c r="BE3835">
        <v>0</v>
      </c>
      <c r="BF3835">
        <v>0</v>
      </c>
      <c r="BG3835">
        <v>0</v>
      </c>
      <c r="BH3835">
        <v>5125</v>
      </c>
      <c r="BI3835">
        <v>1</v>
      </c>
      <c r="BJ3835">
        <v>0</v>
      </c>
      <c r="BK3835">
        <v>0</v>
      </c>
      <c r="BL3835">
        <v>0</v>
      </c>
      <c r="BO3835">
        <v>0</v>
      </c>
      <c r="BP3835">
        <v>0</v>
      </c>
      <c r="BW3835" t="str">
        <f t="shared" si="2141"/>
        <v>14:58:26.698</v>
      </c>
      <c r="CJ3835">
        <v>0</v>
      </c>
      <c r="CK3835">
        <v>2</v>
      </c>
      <c r="CL3835">
        <v>0</v>
      </c>
      <c r="CM3835">
        <v>2</v>
      </c>
      <c r="CN3835">
        <v>0</v>
      </c>
      <c r="CO3835">
        <v>5</v>
      </c>
      <c r="CP3835" t="s">
        <v>119</v>
      </c>
      <c r="CQ3835">
        <v>298</v>
      </c>
      <c r="CR3835">
        <v>0</v>
      </c>
      <c r="CW3835">
        <v>10466914</v>
      </c>
      <c r="CY3835">
        <v>0</v>
      </c>
      <c r="CZ3835">
        <v>0</v>
      </c>
      <c r="DA3835">
        <v>1</v>
      </c>
      <c r="DB3835">
        <v>0</v>
      </c>
      <c r="DC3835">
        <v>0</v>
      </c>
      <c r="DD3835">
        <v>0</v>
      </c>
      <c r="DE3835">
        <v>0</v>
      </c>
      <c r="DF3835">
        <v>0</v>
      </c>
      <c r="DG3835">
        <v>0</v>
      </c>
      <c r="DH3835">
        <v>0</v>
      </c>
      <c r="DI3835">
        <v>0</v>
      </c>
    </row>
    <row r="3836" spans="1:113" x14ac:dyDescent="0.25">
      <c r="A3836" t="str">
        <f t="shared" ref="A3836:A3842" si="2142">"06/05/2020 14:58:22.077"</f>
        <v>06/05/2020 14:58:22.077</v>
      </c>
      <c r="C3836" t="str">
        <f t="shared" si="2129"/>
        <v>FFDFD3C0</v>
      </c>
      <c r="D3836" t="s">
        <v>148</v>
      </c>
      <c r="E3836">
        <v>8</v>
      </c>
      <c r="H3836">
        <v>50</v>
      </c>
      <c r="I3836" t="s">
        <v>149</v>
      </c>
      <c r="J3836" t="s">
        <v>150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 t="shared" ref="S3836:T3842" si="2143">"14:58:27.727"</f>
        <v>14:58:27.727</v>
      </c>
      <c r="T3836" t="str">
        <f t="shared" si="2143"/>
        <v>14:58:27.727</v>
      </c>
      <c r="U3836" t="str">
        <f t="shared" si="2108"/>
        <v>ACC530</v>
      </c>
      <c r="V3836">
        <v>0</v>
      </c>
      <c r="W3836">
        <v>0</v>
      </c>
      <c r="X3836">
        <v>1</v>
      </c>
      <c r="Z3836">
        <v>0</v>
      </c>
      <c r="AA3836">
        <v>9</v>
      </c>
      <c r="AB3836">
        <v>3</v>
      </c>
      <c r="AC3836">
        <v>0</v>
      </c>
      <c r="AD3836">
        <v>9</v>
      </c>
      <c r="AE3836">
        <v>0</v>
      </c>
      <c r="AF3836">
        <v>3</v>
      </c>
      <c r="AG3836">
        <v>1</v>
      </c>
      <c r="AH3836">
        <v>0</v>
      </c>
      <c r="AI3836" t="s">
        <v>1235</v>
      </c>
      <c r="AJ3836">
        <v>34.063882999999997</v>
      </c>
      <c r="AK3836" t="s">
        <v>1236</v>
      </c>
      <c r="AL3836">
        <v>-117.019587</v>
      </c>
      <c r="AM3836">
        <v>100</v>
      </c>
      <c r="AN3836">
        <v>5300</v>
      </c>
      <c r="AO3836" t="s">
        <v>118</v>
      </c>
      <c r="AP3836">
        <v>-7</v>
      </c>
      <c r="AQ3836">
        <v>-91</v>
      </c>
      <c r="AR3836">
        <v>-256</v>
      </c>
      <c r="AZ3836">
        <v>1200</v>
      </c>
      <c r="BA3836">
        <v>1</v>
      </c>
      <c r="BB3836" t="str">
        <f t="shared" si="2113"/>
        <v xml:space="preserve">N9217B  </v>
      </c>
      <c r="BC3836">
        <v>1</v>
      </c>
      <c r="BE3836">
        <v>0</v>
      </c>
      <c r="BF3836">
        <v>0</v>
      </c>
      <c r="BG3836">
        <v>0</v>
      </c>
      <c r="BH3836">
        <v>5125</v>
      </c>
      <c r="BI3836">
        <v>1</v>
      </c>
      <c r="BJ3836">
        <v>0</v>
      </c>
      <c r="BK3836">
        <v>0</v>
      </c>
      <c r="BL3836">
        <v>0</v>
      </c>
      <c r="BO3836">
        <v>0</v>
      </c>
      <c r="BP3836">
        <v>0</v>
      </c>
      <c r="BW3836" t="str">
        <f t="shared" ref="BW3836:BW3842" si="2144">"14:58:27.732"</f>
        <v>14:58:27.732</v>
      </c>
      <c r="CJ3836">
        <v>0</v>
      </c>
      <c r="CK3836">
        <v>2</v>
      </c>
      <c r="CL3836">
        <v>0</v>
      </c>
      <c r="CM3836">
        <v>2</v>
      </c>
      <c r="CN3836">
        <v>0</v>
      </c>
      <c r="CO3836">
        <v>6</v>
      </c>
      <c r="CP3836" t="s">
        <v>119</v>
      </c>
      <c r="CQ3836">
        <v>285</v>
      </c>
      <c r="CR3836">
        <v>0</v>
      </c>
      <c r="CW3836">
        <v>8884521</v>
      </c>
      <c r="CY3836">
        <v>0</v>
      </c>
      <c r="CZ3836">
        <v>0</v>
      </c>
      <c r="DA3836">
        <v>0</v>
      </c>
      <c r="DB3836">
        <v>0</v>
      </c>
      <c r="DC3836">
        <v>0</v>
      </c>
      <c r="DD3836">
        <v>0</v>
      </c>
      <c r="DE3836">
        <v>0</v>
      </c>
      <c r="DF3836">
        <v>0</v>
      </c>
      <c r="DG3836">
        <v>0</v>
      </c>
      <c r="DH3836">
        <v>0</v>
      </c>
      <c r="DI3836">
        <v>0</v>
      </c>
    </row>
    <row r="3837" spans="1:113" x14ac:dyDescent="0.25">
      <c r="A3837" t="str">
        <f t="shared" si="2142"/>
        <v>06/05/2020 14:58:22.077</v>
      </c>
      <c r="C3837" t="str">
        <f t="shared" si="2129"/>
        <v>FFDFD3C0</v>
      </c>
      <c r="D3837" t="s">
        <v>151</v>
      </c>
      <c r="E3837">
        <v>8</v>
      </c>
      <c r="H3837">
        <v>225</v>
      </c>
      <c r="I3837" t="s">
        <v>353</v>
      </c>
      <c r="J3837" t="s">
        <v>150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 t="shared" si="2143"/>
        <v>14:58:27.727</v>
      </c>
      <c r="T3837" t="str">
        <f t="shared" si="2143"/>
        <v>14:58:27.727</v>
      </c>
      <c r="U3837" t="str">
        <f t="shared" si="2108"/>
        <v>ACC530</v>
      </c>
      <c r="V3837">
        <v>0</v>
      </c>
      <c r="W3837">
        <v>0</v>
      </c>
      <c r="X3837">
        <v>1</v>
      </c>
      <c r="Z3837">
        <v>0</v>
      </c>
      <c r="AA3837">
        <v>9</v>
      </c>
      <c r="AB3837">
        <v>3</v>
      </c>
      <c r="AC3837">
        <v>0</v>
      </c>
      <c r="AD3837">
        <v>9</v>
      </c>
      <c r="AE3837">
        <v>0</v>
      </c>
      <c r="AF3837">
        <v>3</v>
      </c>
      <c r="AG3837">
        <v>1</v>
      </c>
      <c r="AH3837">
        <v>0</v>
      </c>
      <c r="AI3837" t="s">
        <v>1235</v>
      </c>
      <c r="AJ3837">
        <v>34.063882999999997</v>
      </c>
      <c r="AK3837" t="s">
        <v>1236</v>
      </c>
      <c r="AL3837">
        <v>-117.019587</v>
      </c>
      <c r="AM3837">
        <v>100</v>
      </c>
      <c r="AN3837">
        <v>5300</v>
      </c>
      <c r="AO3837" t="s">
        <v>118</v>
      </c>
      <c r="AP3837">
        <v>-7</v>
      </c>
      <c r="AQ3837">
        <v>-91</v>
      </c>
      <c r="AR3837">
        <v>-256</v>
      </c>
      <c r="AZ3837">
        <v>1200</v>
      </c>
      <c r="BA3837">
        <v>1</v>
      </c>
      <c r="BB3837" t="str">
        <f t="shared" si="2113"/>
        <v xml:space="preserve">N9217B  </v>
      </c>
      <c r="BC3837">
        <v>1</v>
      </c>
      <c r="BE3837">
        <v>0</v>
      </c>
      <c r="BF3837">
        <v>0</v>
      </c>
      <c r="BG3837">
        <v>0</v>
      </c>
      <c r="BH3837">
        <v>5125</v>
      </c>
      <c r="BI3837">
        <v>1</v>
      </c>
      <c r="BJ3837">
        <v>0</v>
      </c>
      <c r="BK3837">
        <v>0</v>
      </c>
      <c r="BL3837">
        <v>0</v>
      </c>
      <c r="BO3837">
        <v>0</v>
      </c>
      <c r="BP3837">
        <v>0</v>
      </c>
      <c r="BW3837" t="str">
        <f t="shared" si="2144"/>
        <v>14:58:27.732</v>
      </c>
      <c r="CJ3837">
        <v>0</v>
      </c>
      <c r="CK3837">
        <v>2</v>
      </c>
      <c r="CL3837">
        <v>0</v>
      </c>
      <c r="CM3837">
        <v>2</v>
      </c>
      <c r="CN3837">
        <v>0</v>
      </c>
      <c r="CO3837">
        <v>6</v>
      </c>
      <c r="CP3837" t="s">
        <v>119</v>
      </c>
      <c r="CQ3837">
        <v>285</v>
      </c>
      <c r="CR3837">
        <v>0</v>
      </c>
      <c r="CW3837">
        <v>8884521</v>
      </c>
      <c r="CY3837">
        <v>0</v>
      </c>
      <c r="CZ3837">
        <v>0</v>
      </c>
      <c r="DA3837">
        <v>1</v>
      </c>
      <c r="DB3837">
        <v>0</v>
      </c>
      <c r="DC3837">
        <v>0</v>
      </c>
      <c r="DD3837">
        <v>0</v>
      </c>
      <c r="DE3837">
        <v>0</v>
      </c>
      <c r="DF3837">
        <v>0</v>
      </c>
      <c r="DG3837">
        <v>0</v>
      </c>
      <c r="DH3837">
        <v>0</v>
      </c>
      <c r="DI3837">
        <v>0</v>
      </c>
    </row>
    <row r="3838" spans="1:113" x14ac:dyDescent="0.25">
      <c r="A3838" t="str">
        <f t="shared" si="2142"/>
        <v>06/05/2020 14:58:22.077</v>
      </c>
      <c r="C3838" t="str">
        <f t="shared" si="2129"/>
        <v>FFDFD3C0</v>
      </c>
      <c r="D3838" t="s">
        <v>134</v>
      </c>
      <c r="E3838">
        <v>7</v>
      </c>
      <c r="F3838">
        <v>2007</v>
      </c>
      <c r="G3838" t="s">
        <v>135</v>
      </c>
      <c r="J3838" t="s">
        <v>136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 t="shared" si="2143"/>
        <v>14:58:27.727</v>
      </c>
      <c r="T3838" t="str">
        <f t="shared" si="2143"/>
        <v>14:58:27.727</v>
      </c>
      <c r="U3838" t="str">
        <f t="shared" si="2108"/>
        <v>ACC530</v>
      </c>
      <c r="V3838">
        <v>0</v>
      </c>
      <c r="W3838">
        <v>0</v>
      </c>
      <c r="X3838">
        <v>1</v>
      </c>
      <c r="Z3838">
        <v>0</v>
      </c>
      <c r="AA3838">
        <v>9</v>
      </c>
      <c r="AB3838">
        <v>3</v>
      </c>
      <c r="AC3838">
        <v>0</v>
      </c>
      <c r="AD3838">
        <v>9</v>
      </c>
      <c r="AE3838">
        <v>0</v>
      </c>
      <c r="AF3838">
        <v>3</v>
      </c>
      <c r="AG3838">
        <v>1</v>
      </c>
      <c r="AH3838">
        <v>0</v>
      </c>
      <c r="AI3838" t="s">
        <v>1235</v>
      </c>
      <c r="AJ3838">
        <v>34.063882999999997</v>
      </c>
      <c r="AK3838" t="s">
        <v>1236</v>
      </c>
      <c r="AL3838">
        <v>-117.019587</v>
      </c>
      <c r="AM3838">
        <v>100</v>
      </c>
      <c r="AN3838">
        <v>5300</v>
      </c>
      <c r="AO3838" t="s">
        <v>118</v>
      </c>
      <c r="AP3838">
        <v>-7</v>
      </c>
      <c r="AQ3838">
        <v>-91</v>
      </c>
      <c r="AR3838">
        <v>-256</v>
      </c>
      <c r="AZ3838">
        <v>1200</v>
      </c>
      <c r="BA3838">
        <v>1</v>
      </c>
      <c r="BB3838" t="str">
        <f t="shared" si="2113"/>
        <v xml:space="preserve">N9217B  </v>
      </c>
      <c r="BC3838">
        <v>1</v>
      </c>
      <c r="BE3838">
        <v>0</v>
      </c>
      <c r="BF3838">
        <v>0</v>
      </c>
      <c r="BG3838">
        <v>0</v>
      </c>
      <c r="BH3838">
        <v>5125</v>
      </c>
      <c r="BI3838">
        <v>1</v>
      </c>
      <c r="BJ3838">
        <v>0</v>
      </c>
      <c r="BK3838">
        <v>0</v>
      </c>
      <c r="BL3838">
        <v>0</v>
      </c>
      <c r="BO3838">
        <v>0</v>
      </c>
      <c r="BP3838">
        <v>0</v>
      </c>
      <c r="BW3838" t="str">
        <f t="shared" si="2144"/>
        <v>14:58:27.732</v>
      </c>
      <c r="CJ3838">
        <v>0</v>
      </c>
      <c r="CK3838">
        <v>2</v>
      </c>
      <c r="CL3838">
        <v>0</v>
      </c>
      <c r="CM3838">
        <v>2</v>
      </c>
      <c r="CN3838">
        <v>0</v>
      </c>
      <c r="CO3838">
        <v>6</v>
      </c>
      <c r="CP3838" t="s">
        <v>119</v>
      </c>
      <c r="CQ3838">
        <v>285</v>
      </c>
      <c r="CR3838">
        <v>0</v>
      </c>
      <c r="CW3838">
        <v>8884521</v>
      </c>
      <c r="CY3838">
        <v>0</v>
      </c>
      <c r="CZ3838">
        <v>0</v>
      </c>
      <c r="DA3838">
        <v>1</v>
      </c>
      <c r="DB3838">
        <v>0</v>
      </c>
      <c r="DC3838">
        <v>0</v>
      </c>
      <c r="DD3838">
        <v>0</v>
      </c>
      <c r="DE3838">
        <v>0</v>
      </c>
      <c r="DF3838">
        <v>0</v>
      </c>
      <c r="DG3838">
        <v>0</v>
      </c>
      <c r="DH3838">
        <v>0</v>
      </c>
      <c r="DI3838">
        <v>0</v>
      </c>
    </row>
    <row r="3839" spans="1:113" x14ac:dyDescent="0.25">
      <c r="A3839" t="str">
        <f t="shared" si="2142"/>
        <v>06/05/2020 14:58:22.077</v>
      </c>
      <c r="C3839" t="str">
        <f t="shared" si="2129"/>
        <v>FFDFD3C0</v>
      </c>
      <c r="D3839" t="s">
        <v>151</v>
      </c>
      <c r="E3839">
        <v>9</v>
      </c>
      <c r="H3839">
        <v>226</v>
      </c>
      <c r="I3839" t="s">
        <v>152</v>
      </c>
      <c r="J3839" t="s">
        <v>150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 t="shared" si="2143"/>
        <v>14:58:27.727</v>
      </c>
      <c r="T3839" t="str">
        <f t="shared" si="2143"/>
        <v>14:58:27.727</v>
      </c>
      <c r="U3839" t="str">
        <f t="shared" si="2108"/>
        <v>ACC530</v>
      </c>
      <c r="V3839">
        <v>0</v>
      </c>
      <c r="W3839">
        <v>0</v>
      </c>
      <c r="X3839">
        <v>1</v>
      </c>
      <c r="Z3839">
        <v>0</v>
      </c>
      <c r="AA3839">
        <v>9</v>
      </c>
      <c r="AB3839">
        <v>3</v>
      </c>
      <c r="AC3839">
        <v>0</v>
      </c>
      <c r="AD3839">
        <v>9</v>
      </c>
      <c r="AE3839">
        <v>0</v>
      </c>
      <c r="AF3839">
        <v>3</v>
      </c>
      <c r="AG3839">
        <v>1</v>
      </c>
      <c r="AH3839">
        <v>0</v>
      </c>
      <c r="AI3839" t="s">
        <v>1235</v>
      </c>
      <c r="AJ3839">
        <v>34.063882999999997</v>
      </c>
      <c r="AK3839" t="s">
        <v>1236</v>
      </c>
      <c r="AL3839">
        <v>-117.019587</v>
      </c>
      <c r="AM3839">
        <v>100</v>
      </c>
      <c r="AN3839">
        <v>5300</v>
      </c>
      <c r="AO3839" t="s">
        <v>118</v>
      </c>
      <c r="AP3839">
        <v>-7</v>
      </c>
      <c r="AQ3839">
        <v>-91</v>
      </c>
      <c r="AR3839">
        <v>-256</v>
      </c>
      <c r="AZ3839">
        <v>1200</v>
      </c>
      <c r="BA3839">
        <v>1</v>
      </c>
      <c r="BB3839" t="str">
        <f t="shared" si="2113"/>
        <v xml:space="preserve">N9217B  </v>
      </c>
      <c r="BC3839">
        <v>1</v>
      </c>
      <c r="BE3839">
        <v>0</v>
      </c>
      <c r="BF3839">
        <v>0</v>
      </c>
      <c r="BG3839">
        <v>0</v>
      </c>
      <c r="BH3839">
        <v>5125</v>
      </c>
      <c r="BI3839">
        <v>1</v>
      </c>
      <c r="BJ3839">
        <v>0</v>
      </c>
      <c r="BK3839">
        <v>0</v>
      </c>
      <c r="BL3839">
        <v>0</v>
      </c>
      <c r="BO3839">
        <v>0</v>
      </c>
      <c r="BP3839">
        <v>0</v>
      </c>
      <c r="BW3839" t="str">
        <f t="shared" si="2144"/>
        <v>14:58:27.732</v>
      </c>
      <c r="CJ3839">
        <v>0</v>
      </c>
      <c r="CK3839">
        <v>2</v>
      </c>
      <c r="CL3839">
        <v>0</v>
      </c>
      <c r="CM3839">
        <v>2</v>
      </c>
      <c r="CN3839">
        <v>0</v>
      </c>
      <c r="CO3839">
        <v>6</v>
      </c>
      <c r="CP3839" t="s">
        <v>119</v>
      </c>
      <c r="CQ3839">
        <v>285</v>
      </c>
      <c r="CR3839">
        <v>0</v>
      </c>
      <c r="CW3839">
        <v>8884521</v>
      </c>
      <c r="CY3839">
        <v>0</v>
      </c>
      <c r="CZ3839">
        <v>0</v>
      </c>
      <c r="DA3839">
        <v>1</v>
      </c>
      <c r="DB3839">
        <v>0</v>
      </c>
      <c r="DC3839">
        <v>0</v>
      </c>
      <c r="DD3839">
        <v>0</v>
      </c>
      <c r="DE3839">
        <v>0</v>
      </c>
      <c r="DF3839">
        <v>0</v>
      </c>
      <c r="DG3839">
        <v>0</v>
      </c>
      <c r="DH3839">
        <v>0</v>
      </c>
      <c r="DI3839">
        <v>0</v>
      </c>
    </row>
    <row r="3840" spans="1:113" x14ac:dyDescent="0.25">
      <c r="A3840" t="str">
        <f t="shared" si="2142"/>
        <v>06/05/2020 14:58:22.077</v>
      </c>
      <c r="C3840" t="str">
        <f t="shared" si="2129"/>
        <v>FFDFD3C0</v>
      </c>
      <c r="D3840" t="s">
        <v>113</v>
      </c>
      <c r="E3840">
        <v>3</v>
      </c>
      <c r="H3840">
        <v>166</v>
      </c>
      <c r="I3840" t="s">
        <v>114</v>
      </c>
      <c r="J3840" t="s">
        <v>115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 t="shared" si="2143"/>
        <v>14:58:27.727</v>
      </c>
      <c r="T3840" t="str">
        <f t="shared" si="2143"/>
        <v>14:58:27.727</v>
      </c>
      <c r="U3840" t="str">
        <f t="shared" si="2108"/>
        <v>ACC530</v>
      </c>
      <c r="V3840">
        <v>0</v>
      </c>
      <c r="W3840">
        <v>0</v>
      </c>
      <c r="X3840">
        <v>1</v>
      </c>
      <c r="Z3840">
        <v>0</v>
      </c>
      <c r="AA3840">
        <v>9</v>
      </c>
      <c r="AB3840">
        <v>3</v>
      </c>
      <c r="AC3840">
        <v>0</v>
      </c>
      <c r="AD3840">
        <v>9</v>
      </c>
      <c r="AE3840">
        <v>0</v>
      </c>
      <c r="AF3840">
        <v>3</v>
      </c>
      <c r="AG3840">
        <v>1</v>
      </c>
      <c r="AH3840">
        <v>0</v>
      </c>
      <c r="AI3840" t="s">
        <v>1235</v>
      </c>
      <c r="AJ3840">
        <v>34.063882999999997</v>
      </c>
      <c r="AK3840" t="s">
        <v>1236</v>
      </c>
      <c r="AL3840">
        <v>-117.019587</v>
      </c>
      <c r="AM3840">
        <v>100</v>
      </c>
      <c r="AN3840">
        <v>5300</v>
      </c>
      <c r="AO3840" t="s">
        <v>118</v>
      </c>
      <c r="AP3840">
        <v>-7</v>
      </c>
      <c r="AQ3840">
        <v>-91</v>
      </c>
      <c r="AR3840">
        <v>-256</v>
      </c>
      <c r="AZ3840">
        <v>1200</v>
      </c>
      <c r="BA3840">
        <v>1</v>
      </c>
      <c r="BB3840" t="str">
        <f t="shared" si="2113"/>
        <v xml:space="preserve">N9217B  </v>
      </c>
      <c r="BC3840">
        <v>1</v>
      </c>
      <c r="BE3840">
        <v>0</v>
      </c>
      <c r="BF3840">
        <v>0</v>
      </c>
      <c r="BG3840">
        <v>0</v>
      </c>
      <c r="BH3840">
        <v>5125</v>
      </c>
      <c r="BI3840">
        <v>1</v>
      </c>
      <c r="BJ3840">
        <v>0</v>
      </c>
      <c r="BK3840">
        <v>0</v>
      </c>
      <c r="BL3840">
        <v>0</v>
      </c>
      <c r="BO3840">
        <v>0</v>
      </c>
      <c r="BP3840">
        <v>0</v>
      </c>
      <c r="BW3840" t="str">
        <f t="shared" si="2144"/>
        <v>14:58:27.732</v>
      </c>
      <c r="CJ3840">
        <v>0</v>
      </c>
      <c r="CK3840">
        <v>2</v>
      </c>
      <c r="CL3840">
        <v>0</v>
      </c>
      <c r="CM3840">
        <v>2</v>
      </c>
      <c r="CN3840">
        <v>0</v>
      </c>
      <c r="CO3840">
        <v>6</v>
      </c>
      <c r="CP3840" t="s">
        <v>119</v>
      </c>
      <c r="CQ3840">
        <v>285</v>
      </c>
      <c r="CR3840">
        <v>0</v>
      </c>
      <c r="CW3840">
        <v>8884521</v>
      </c>
      <c r="CY3840">
        <v>0</v>
      </c>
      <c r="CZ3840">
        <v>0</v>
      </c>
      <c r="DA3840">
        <v>1</v>
      </c>
      <c r="DB3840">
        <v>0</v>
      </c>
      <c r="DC3840">
        <v>0</v>
      </c>
      <c r="DD3840">
        <v>0</v>
      </c>
      <c r="DE3840">
        <v>0</v>
      </c>
      <c r="DF3840">
        <v>0</v>
      </c>
      <c r="DG3840">
        <v>0</v>
      </c>
      <c r="DH3840">
        <v>0</v>
      </c>
      <c r="DI3840">
        <v>0</v>
      </c>
    </row>
    <row r="3841" spans="1:113" x14ac:dyDescent="0.25">
      <c r="A3841" t="str">
        <f t="shared" si="2142"/>
        <v>06/05/2020 14:58:22.077</v>
      </c>
      <c r="C3841" t="str">
        <f t="shared" si="2129"/>
        <v>FFDFD3C0</v>
      </c>
      <c r="D3841" t="s">
        <v>141</v>
      </c>
      <c r="E3841">
        <v>20</v>
      </c>
      <c r="F3841">
        <v>1020</v>
      </c>
      <c r="G3841" t="s">
        <v>114</v>
      </c>
      <c r="J3841" t="s">
        <v>142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 t="shared" si="2143"/>
        <v>14:58:27.727</v>
      </c>
      <c r="T3841" t="str">
        <f t="shared" si="2143"/>
        <v>14:58:27.727</v>
      </c>
      <c r="U3841" t="str">
        <f t="shared" si="2108"/>
        <v>ACC530</v>
      </c>
      <c r="V3841">
        <v>0</v>
      </c>
      <c r="W3841">
        <v>0</v>
      </c>
      <c r="X3841">
        <v>1</v>
      </c>
      <c r="Z3841">
        <v>0</v>
      </c>
      <c r="AA3841">
        <v>9</v>
      </c>
      <c r="AB3841">
        <v>3</v>
      </c>
      <c r="AC3841">
        <v>0</v>
      </c>
      <c r="AD3841">
        <v>9</v>
      </c>
      <c r="AE3841">
        <v>0</v>
      </c>
      <c r="AF3841">
        <v>3</v>
      </c>
      <c r="AG3841">
        <v>1</v>
      </c>
      <c r="AH3841">
        <v>0</v>
      </c>
      <c r="AI3841" t="s">
        <v>1235</v>
      </c>
      <c r="AJ3841">
        <v>34.063882999999997</v>
      </c>
      <c r="AK3841" t="s">
        <v>1236</v>
      </c>
      <c r="AL3841">
        <v>-117.019587</v>
      </c>
      <c r="AM3841">
        <v>100</v>
      </c>
      <c r="AN3841">
        <v>5300</v>
      </c>
      <c r="AO3841" t="s">
        <v>118</v>
      </c>
      <c r="AP3841">
        <v>-7</v>
      </c>
      <c r="AQ3841">
        <v>-91</v>
      </c>
      <c r="AR3841">
        <v>-256</v>
      </c>
      <c r="AZ3841">
        <v>1200</v>
      </c>
      <c r="BA3841">
        <v>1</v>
      </c>
      <c r="BB3841" t="str">
        <f t="shared" si="2113"/>
        <v xml:space="preserve">N9217B  </v>
      </c>
      <c r="BC3841">
        <v>1</v>
      </c>
      <c r="BE3841">
        <v>0</v>
      </c>
      <c r="BF3841">
        <v>0</v>
      </c>
      <c r="BG3841">
        <v>0</v>
      </c>
      <c r="BH3841">
        <v>5125</v>
      </c>
      <c r="BI3841">
        <v>1</v>
      </c>
      <c r="BJ3841">
        <v>0</v>
      </c>
      <c r="BK3841">
        <v>0</v>
      </c>
      <c r="BL3841">
        <v>0</v>
      </c>
      <c r="BO3841">
        <v>0</v>
      </c>
      <c r="BP3841">
        <v>0</v>
      </c>
      <c r="BW3841" t="str">
        <f t="shared" si="2144"/>
        <v>14:58:27.732</v>
      </c>
      <c r="CJ3841">
        <v>0</v>
      </c>
      <c r="CK3841">
        <v>2</v>
      </c>
      <c r="CL3841">
        <v>0</v>
      </c>
      <c r="CM3841">
        <v>2</v>
      </c>
      <c r="CN3841">
        <v>0</v>
      </c>
      <c r="CO3841">
        <v>6</v>
      </c>
      <c r="CP3841" t="s">
        <v>119</v>
      </c>
      <c r="CQ3841">
        <v>285</v>
      </c>
      <c r="CR3841">
        <v>0</v>
      </c>
      <c r="CW3841">
        <v>8884521</v>
      </c>
      <c r="CY3841">
        <v>0</v>
      </c>
      <c r="CZ3841">
        <v>0</v>
      </c>
      <c r="DA3841">
        <v>1</v>
      </c>
      <c r="DB3841">
        <v>0</v>
      </c>
      <c r="DC3841">
        <v>0</v>
      </c>
      <c r="DD3841">
        <v>0</v>
      </c>
      <c r="DE3841">
        <v>0</v>
      </c>
      <c r="DF3841">
        <v>0</v>
      </c>
      <c r="DG3841">
        <v>0</v>
      </c>
      <c r="DH3841">
        <v>0</v>
      </c>
      <c r="DI3841">
        <v>0</v>
      </c>
    </row>
    <row r="3842" spans="1:113" x14ac:dyDescent="0.25">
      <c r="A3842" t="str">
        <f t="shared" si="2142"/>
        <v>06/05/2020 14:58:22.077</v>
      </c>
      <c r="C3842" t="str">
        <f t="shared" si="2129"/>
        <v>FFDFD3C0</v>
      </c>
      <c r="D3842" t="s">
        <v>148</v>
      </c>
      <c r="E3842">
        <v>11</v>
      </c>
      <c r="H3842">
        <v>53</v>
      </c>
      <c r="I3842" t="s">
        <v>364</v>
      </c>
      <c r="J3842" t="s">
        <v>150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 t="shared" si="2143"/>
        <v>14:58:27.727</v>
      </c>
      <c r="T3842" t="str">
        <f t="shared" si="2143"/>
        <v>14:58:27.727</v>
      </c>
      <c r="U3842" t="str">
        <f t="shared" ref="U3842:U3905" si="2145">"ACC530"</f>
        <v>ACC530</v>
      </c>
      <c r="V3842">
        <v>0</v>
      </c>
      <c r="W3842">
        <v>0</v>
      </c>
      <c r="X3842">
        <v>1</v>
      </c>
      <c r="Z3842">
        <v>0</v>
      </c>
      <c r="AA3842">
        <v>9</v>
      </c>
      <c r="AB3842">
        <v>3</v>
      </c>
      <c r="AC3842">
        <v>0</v>
      </c>
      <c r="AD3842">
        <v>9</v>
      </c>
      <c r="AE3842">
        <v>0</v>
      </c>
      <c r="AF3842">
        <v>3</v>
      </c>
      <c r="AG3842">
        <v>1</v>
      </c>
      <c r="AH3842">
        <v>0</v>
      </c>
      <c r="AI3842" t="s">
        <v>1235</v>
      </c>
      <c r="AJ3842">
        <v>34.063882999999997</v>
      </c>
      <c r="AK3842" t="s">
        <v>1236</v>
      </c>
      <c r="AL3842">
        <v>-117.019587</v>
      </c>
      <c r="AM3842">
        <v>100</v>
      </c>
      <c r="AN3842">
        <v>5300</v>
      </c>
      <c r="AO3842" t="s">
        <v>118</v>
      </c>
      <c r="AP3842">
        <v>-7</v>
      </c>
      <c r="AQ3842">
        <v>-91</v>
      </c>
      <c r="AR3842">
        <v>-256</v>
      </c>
      <c r="AZ3842">
        <v>1200</v>
      </c>
      <c r="BA3842">
        <v>1</v>
      </c>
      <c r="BB3842" t="str">
        <f t="shared" si="2113"/>
        <v xml:space="preserve">N9217B  </v>
      </c>
      <c r="BC3842">
        <v>1</v>
      </c>
      <c r="BE3842">
        <v>0</v>
      </c>
      <c r="BF3842">
        <v>0</v>
      </c>
      <c r="BG3842">
        <v>0</v>
      </c>
      <c r="BH3842">
        <v>5125</v>
      </c>
      <c r="BI3842">
        <v>1</v>
      </c>
      <c r="BJ3842">
        <v>0</v>
      </c>
      <c r="BK3842">
        <v>0</v>
      </c>
      <c r="BL3842">
        <v>0</v>
      </c>
      <c r="BO3842">
        <v>0</v>
      </c>
      <c r="BP3842">
        <v>0</v>
      </c>
      <c r="BW3842" t="str">
        <f t="shared" si="2144"/>
        <v>14:58:27.732</v>
      </c>
      <c r="CJ3842">
        <v>0</v>
      </c>
      <c r="CK3842">
        <v>2</v>
      </c>
      <c r="CL3842">
        <v>0</v>
      </c>
      <c r="CM3842">
        <v>2</v>
      </c>
      <c r="CN3842">
        <v>0</v>
      </c>
      <c r="CO3842">
        <v>6</v>
      </c>
      <c r="CP3842" t="s">
        <v>119</v>
      </c>
      <c r="CQ3842">
        <v>285</v>
      </c>
      <c r="CR3842">
        <v>0</v>
      </c>
      <c r="CW3842">
        <v>8884521</v>
      </c>
      <c r="CY3842">
        <v>0</v>
      </c>
      <c r="CZ3842">
        <v>0</v>
      </c>
      <c r="DA3842">
        <v>1</v>
      </c>
      <c r="DB3842">
        <v>0</v>
      </c>
      <c r="DC3842">
        <v>0</v>
      </c>
      <c r="DD3842">
        <v>0</v>
      </c>
      <c r="DE3842">
        <v>0</v>
      </c>
      <c r="DF3842">
        <v>0</v>
      </c>
      <c r="DG3842">
        <v>0</v>
      </c>
      <c r="DH3842">
        <v>0</v>
      </c>
      <c r="DI3842">
        <v>0</v>
      </c>
    </row>
    <row r="3843" spans="1:113" x14ac:dyDescent="0.25">
      <c r="A3843" t="str">
        <f t="shared" ref="A3843:A3849" si="2146">"06/05/2020 14:58:23.040"</f>
        <v>06/05/2020 14:58:23.040</v>
      </c>
      <c r="C3843" t="str">
        <f t="shared" si="2129"/>
        <v>FFDFD3C0</v>
      </c>
      <c r="D3843" t="s">
        <v>148</v>
      </c>
      <c r="E3843">
        <v>8</v>
      </c>
      <c r="H3843">
        <v>50</v>
      </c>
      <c r="I3843" t="s">
        <v>149</v>
      </c>
      <c r="J3843" t="s">
        <v>150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 t="shared" ref="S3843:T3849" si="2147">"14:58:28.672"</f>
        <v>14:58:28.672</v>
      </c>
      <c r="T3843" t="str">
        <f t="shared" si="2147"/>
        <v>14:58:28.672</v>
      </c>
      <c r="U3843" t="str">
        <f t="shared" si="2145"/>
        <v>ACC530</v>
      </c>
      <c r="V3843">
        <v>0</v>
      </c>
      <c r="W3843">
        <v>0</v>
      </c>
      <c r="X3843">
        <v>1</v>
      </c>
      <c r="Z3843">
        <v>0</v>
      </c>
      <c r="AA3843">
        <v>9</v>
      </c>
      <c r="AB3843">
        <v>3</v>
      </c>
      <c r="AC3843">
        <v>0</v>
      </c>
      <c r="AD3843">
        <v>9</v>
      </c>
      <c r="AE3843">
        <v>0</v>
      </c>
      <c r="AF3843">
        <v>3</v>
      </c>
      <c r="AG3843">
        <v>1</v>
      </c>
      <c r="AH3843">
        <v>0</v>
      </c>
      <c r="AI3843" t="s">
        <v>1237</v>
      </c>
      <c r="AJ3843">
        <v>34.063474999999997</v>
      </c>
      <c r="AK3843" t="s">
        <v>1238</v>
      </c>
      <c r="AL3843">
        <v>-117.01960800000001</v>
      </c>
      <c r="AM3843">
        <v>100</v>
      </c>
      <c r="AN3843">
        <v>5300</v>
      </c>
      <c r="AO3843" t="s">
        <v>118</v>
      </c>
      <c r="AP3843">
        <v>-4</v>
      </c>
      <c r="AQ3843">
        <v>-92</v>
      </c>
      <c r="AR3843">
        <v>-256</v>
      </c>
      <c r="AZ3843">
        <v>1200</v>
      </c>
      <c r="BA3843">
        <v>1</v>
      </c>
      <c r="BB3843" t="str">
        <f t="shared" si="2113"/>
        <v xml:space="preserve">N9217B  </v>
      </c>
      <c r="BC3843">
        <v>1</v>
      </c>
      <c r="BE3843">
        <v>0</v>
      </c>
      <c r="BF3843">
        <v>0</v>
      </c>
      <c r="BG3843">
        <v>0</v>
      </c>
      <c r="BH3843">
        <v>5125</v>
      </c>
      <c r="BI3843">
        <v>1</v>
      </c>
      <c r="BJ3843">
        <v>0</v>
      </c>
      <c r="BK3843">
        <v>0</v>
      </c>
      <c r="BL3843">
        <v>0</v>
      </c>
      <c r="BO3843">
        <v>0</v>
      </c>
      <c r="BP3843">
        <v>0</v>
      </c>
      <c r="BW3843" t="str">
        <f t="shared" ref="BW3843:BW3849" si="2148">"14:58:28.677"</f>
        <v>14:58:28.677</v>
      </c>
      <c r="CJ3843">
        <v>0</v>
      </c>
      <c r="CK3843">
        <v>2</v>
      </c>
      <c r="CL3843">
        <v>0</v>
      </c>
      <c r="CM3843">
        <v>2</v>
      </c>
      <c r="CN3843">
        <v>0</v>
      </c>
      <c r="CO3843">
        <v>5</v>
      </c>
      <c r="CP3843" t="s">
        <v>119</v>
      </c>
      <c r="CQ3843">
        <v>285</v>
      </c>
      <c r="CR3843">
        <v>0</v>
      </c>
      <c r="CW3843">
        <v>8884607</v>
      </c>
      <c r="CY3843">
        <v>0</v>
      </c>
      <c r="CZ3843">
        <v>0</v>
      </c>
      <c r="DA3843">
        <v>0</v>
      </c>
      <c r="DB3843">
        <v>0</v>
      </c>
      <c r="DC3843">
        <v>0</v>
      </c>
      <c r="DD3843">
        <v>0</v>
      </c>
      <c r="DE3843">
        <v>0</v>
      </c>
      <c r="DF3843">
        <v>0</v>
      </c>
      <c r="DG3843">
        <v>0</v>
      </c>
      <c r="DH3843">
        <v>0</v>
      </c>
      <c r="DI3843">
        <v>0</v>
      </c>
    </row>
    <row r="3844" spans="1:113" x14ac:dyDescent="0.25">
      <c r="A3844" t="str">
        <f t="shared" si="2146"/>
        <v>06/05/2020 14:58:23.040</v>
      </c>
      <c r="C3844" t="str">
        <f t="shared" si="2129"/>
        <v>FFDFD3C0</v>
      </c>
      <c r="D3844" t="s">
        <v>151</v>
      </c>
      <c r="E3844">
        <v>8</v>
      </c>
      <c r="H3844">
        <v>225</v>
      </c>
      <c r="I3844" t="s">
        <v>353</v>
      </c>
      <c r="J3844" t="s">
        <v>150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 t="shared" si="2147"/>
        <v>14:58:28.672</v>
      </c>
      <c r="T3844" t="str">
        <f t="shared" si="2147"/>
        <v>14:58:28.672</v>
      </c>
      <c r="U3844" t="str">
        <f t="shared" si="2145"/>
        <v>ACC530</v>
      </c>
      <c r="V3844">
        <v>0</v>
      </c>
      <c r="W3844">
        <v>0</v>
      </c>
      <c r="X3844">
        <v>1</v>
      </c>
      <c r="Z3844">
        <v>0</v>
      </c>
      <c r="AA3844">
        <v>9</v>
      </c>
      <c r="AB3844">
        <v>3</v>
      </c>
      <c r="AC3844">
        <v>0</v>
      </c>
      <c r="AD3844">
        <v>9</v>
      </c>
      <c r="AE3844">
        <v>0</v>
      </c>
      <c r="AF3844">
        <v>3</v>
      </c>
      <c r="AG3844">
        <v>1</v>
      </c>
      <c r="AH3844">
        <v>0</v>
      </c>
      <c r="AI3844" t="s">
        <v>1237</v>
      </c>
      <c r="AJ3844">
        <v>34.063474999999997</v>
      </c>
      <c r="AK3844" t="s">
        <v>1238</v>
      </c>
      <c r="AL3844">
        <v>-117.01960800000001</v>
      </c>
      <c r="AM3844">
        <v>100</v>
      </c>
      <c r="AN3844">
        <v>5300</v>
      </c>
      <c r="AO3844" t="s">
        <v>118</v>
      </c>
      <c r="AP3844">
        <v>-4</v>
      </c>
      <c r="AQ3844">
        <v>-92</v>
      </c>
      <c r="AR3844">
        <v>-256</v>
      </c>
      <c r="AZ3844">
        <v>1200</v>
      </c>
      <c r="BA3844">
        <v>1</v>
      </c>
      <c r="BB3844" t="str">
        <f t="shared" si="2113"/>
        <v xml:space="preserve">N9217B  </v>
      </c>
      <c r="BC3844">
        <v>1</v>
      </c>
      <c r="BE3844">
        <v>0</v>
      </c>
      <c r="BF3844">
        <v>0</v>
      </c>
      <c r="BG3844">
        <v>0</v>
      </c>
      <c r="BH3844">
        <v>5125</v>
      </c>
      <c r="BI3844">
        <v>1</v>
      </c>
      <c r="BJ3844">
        <v>0</v>
      </c>
      <c r="BK3844">
        <v>0</v>
      </c>
      <c r="BL3844">
        <v>0</v>
      </c>
      <c r="BO3844">
        <v>0</v>
      </c>
      <c r="BP3844">
        <v>0</v>
      </c>
      <c r="BW3844" t="str">
        <f t="shared" si="2148"/>
        <v>14:58:28.677</v>
      </c>
      <c r="CJ3844">
        <v>0</v>
      </c>
      <c r="CK3844">
        <v>2</v>
      </c>
      <c r="CL3844">
        <v>0</v>
      </c>
      <c r="CM3844">
        <v>2</v>
      </c>
      <c r="CN3844">
        <v>0</v>
      </c>
      <c r="CO3844">
        <v>5</v>
      </c>
      <c r="CP3844" t="s">
        <v>119</v>
      </c>
      <c r="CQ3844">
        <v>285</v>
      </c>
      <c r="CR3844">
        <v>0</v>
      </c>
      <c r="CW3844">
        <v>8884607</v>
      </c>
      <c r="CY3844">
        <v>0</v>
      </c>
      <c r="CZ3844">
        <v>0</v>
      </c>
      <c r="DA3844">
        <v>1</v>
      </c>
      <c r="DB3844">
        <v>0</v>
      </c>
      <c r="DC3844">
        <v>0</v>
      </c>
      <c r="DD3844">
        <v>0</v>
      </c>
      <c r="DE3844">
        <v>0</v>
      </c>
      <c r="DF3844">
        <v>0</v>
      </c>
      <c r="DG3844">
        <v>0</v>
      </c>
      <c r="DH3844">
        <v>0</v>
      </c>
      <c r="DI3844">
        <v>0</v>
      </c>
    </row>
    <row r="3845" spans="1:113" x14ac:dyDescent="0.25">
      <c r="A3845" t="str">
        <f t="shared" si="2146"/>
        <v>06/05/2020 14:58:23.040</v>
      </c>
      <c r="C3845" t="str">
        <f t="shared" si="2129"/>
        <v>FFDFD3C0</v>
      </c>
      <c r="D3845" t="s">
        <v>134</v>
      </c>
      <c r="E3845">
        <v>7</v>
      </c>
      <c r="F3845">
        <v>2007</v>
      </c>
      <c r="G3845" t="s">
        <v>135</v>
      </c>
      <c r="J3845" t="s">
        <v>136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 t="shared" si="2147"/>
        <v>14:58:28.672</v>
      </c>
      <c r="T3845" t="str">
        <f t="shared" si="2147"/>
        <v>14:58:28.672</v>
      </c>
      <c r="U3845" t="str">
        <f t="shared" si="2145"/>
        <v>ACC530</v>
      </c>
      <c r="V3845">
        <v>0</v>
      </c>
      <c r="W3845">
        <v>0</v>
      </c>
      <c r="X3845">
        <v>1</v>
      </c>
      <c r="Z3845">
        <v>0</v>
      </c>
      <c r="AA3845">
        <v>9</v>
      </c>
      <c r="AB3845">
        <v>3</v>
      </c>
      <c r="AC3845">
        <v>0</v>
      </c>
      <c r="AD3845">
        <v>9</v>
      </c>
      <c r="AE3845">
        <v>0</v>
      </c>
      <c r="AF3845">
        <v>3</v>
      </c>
      <c r="AG3845">
        <v>1</v>
      </c>
      <c r="AH3845">
        <v>0</v>
      </c>
      <c r="AI3845" t="s">
        <v>1237</v>
      </c>
      <c r="AJ3845">
        <v>34.063474999999997</v>
      </c>
      <c r="AK3845" t="s">
        <v>1238</v>
      </c>
      <c r="AL3845">
        <v>-117.01960800000001</v>
      </c>
      <c r="AM3845">
        <v>100</v>
      </c>
      <c r="AN3845">
        <v>5300</v>
      </c>
      <c r="AO3845" t="s">
        <v>118</v>
      </c>
      <c r="AP3845">
        <v>-4</v>
      </c>
      <c r="AQ3845">
        <v>-92</v>
      </c>
      <c r="AR3845">
        <v>-256</v>
      </c>
      <c r="AZ3845">
        <v>1200</v>
      </c>
      <c r="BA3845">
        <v>1</v>
      </c>
      <c r="BB3845" t="str">
        <f t="shared" ref="BB3845:BB3908" si="2149">"N9217B  "</f>
        <v xml:space="preserve">N9217B  </v>
      </c>
      <c r="BC3845">
        <v>1</v>
      </c>
      <c r="BE3845">
        <v>0</v>
      </c>
      <c r="BF3845">
        <v>0</v>
      </c>
      <c r="BG3845">
        <v>0</v>
      </c>
      <c r="BH3845">
        <v>5125</v>
      </c>
      <c r="BI3845">
        <v>1</v>
      </c>
      <c r="BJ3845">
        <v>0</v>
      </c>
      <c r="BK3845">
        <v>0</v>
      </c>
      <c r="BL3845">
        <v>0</v>
      </c>
      <c r="BO3845">
        <v>0</v>
      </c>
      <c r="BP3845">
        <v>0</v>
      </c>
      <c r="BW3845" t="str">
        <f t="shared" si="2148"/>
        <v>14:58:28.677</v>
      </c>
      <c r="CJ3845">
        <v>0</v>
      </c>
      <c r="CK3845">
        <v>2</v>
      </c>
      <c r="CL3845">
        <v>0</v>
      </c>
      <c r="CM3845">
        <v>2</v>
      </c>
      <c r="CN3845">
        <v>0</v>
      </c>
      <c r="CO3845">
        <v>5</v>
      </c>
      <c r="CP3845" t="s">
        <v>119</v>
      </c>
      <c r="CQ3845">
        <v>285</v>
      </c>
      <c r="CR3845">
        <v>0</v>
      </c>
      <c r="CW3845">
        <v>8884607</v>
      </c>
      <c r="CY3845">
        <v>0</v>
      </c>
      <c r="CZ3845">
        <v>0</v>
      </c>
      <c r="DA3845">
        <v>1</v>
      </c>
      <c r="DB3845">
        <v>0</v>
      </c>
      <c r="DC3845">
        <v>0</v>
      </c>
      <c r="DD3845">
        <v>0</v>
      </c>
      <c r="DE3845">
        <v>0</v>
      </c>
      <c r="DF3845">
        <v>0</v>
      </c>
      <c r="DG3845">
        <v>0</v>
      </c>
      <c r="DH3845">
        <v>0</v>
      </c>
      <c r="DI3845">
        <v>0</v>
      </c>
    </row>
    <row r="3846" spans="1:113" x14ac:dyDescent="0.25">
      <c r="A3846" t="str">
        <f t="shared" si="2146"/>
        <v>06/05/2020 14:58:23.040</v>
      </c>
      <c r="C3846" t="str">
        <f t="shared" si="2129"/>
        <v>FFDFD3C0</v>
      </c>
      <c r="D3846" t="s">
        <v>151</v>
      </c>
      <c r="E3846">
        <v>9</v>
      </c>
      <c r="H3846">
        <v>226</v>
      </c>
      <c r="I3846" t="s">
        <v>152</v>
      </c>
      <c r="J3846" t="s">
        <v>150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 t="shared" si="2147"/>
        <v>14:58:28.672</v>
      </c>
      <c r="T3846" t="str">
        <f t="shared" si="2147"/>
        <v>14:58:28.672</v>
      </c>
      <c r="U3846" t="str">
        <f t="shared" si="2145"/>
        <v>ACC530</v>
      </c>
      <c r="V3846">
        <v>0</v>
      </c>
      <c r="W3846">
        <v>0</v>
      </c>
      <c r="X3846">
        <v>1</v>
      </c>
      <c r="Z3846">
        <v>0</v>
      </c>
      <c r="AA3846">
        <v>9</v>
      </c>
      <c r="AB3846">
        <v>3</v>
      </c>
      <c r="AC3846">
        <v>0</v>
      </c>
      <c r="AD3846">
        <v>9</v>
      </c>
      <c r="AE3846">
        <v>0</v>
      </c>
      <c r="AF3846">
        <v>3</v>
      </c>
      <c r="AG3846">
        <v>1</v>
      </c>
      <c r="AH3846">
        <v>0</v>
      </c>
      <c r="AI3846" t="s">
        <v>1237</v>
      </c>
      <c r="AJ3846">
        <v>34.063474999999997</v>
      </c>
      <c r="AK3846" t="s">
        <v>1238</v>
      </c>
      <c r="AL3846">
        <v>-117.01960800000001</v>
      </c>
      <c r="AM3846">
        <v>100</v>
      </c>
      <c r="AN3846">
        <v>5300</v>
      </c>
      <c r="AO3846" t="s">
        <v>118</v>
      </c>
      <c r="AP3846">
        <v>-4</v>
      </c>
      <c r="AQ3846">
        <v>-92</v>
      </c>
      <c r="AR3846">
        <v>-256</v>
      </c>
      <c r="AZ3846">
        <v>1200</v>
      </c>
      <c r="BA3846">
        <v>1</v>
      </c>
      <c r="BB3846" t="str">
        <f t="shared" si="2149"/>
        <v xml:space="preserve">N9217B  </v>
      </c>
      <c r="BC3846">
        <v>1</v>
      </c>
      <c r="BE3846">
        <v>0</v>
      </c>
      <c r="BF3846">
        <v>0</v>
      </c>
      <c r="BG3846">
        <v>0</v>
      </c>
      <c r="BH3846">
        <v>5125</v>
      </c>
      <c r="BI3846">
        <v>1</v>
      </c>
      <c r="BJ3846">
        <v>0</v>
      </c>
      <c r="BK3846">
        <v>0</v>
      </c>
      <c r="BL3846">
        <v>0</v>
      </c>
      <c r="BO3846">
        <v>0</v>
      </c>
      <c r="BP3846">
        <v>0</v>
      </c>
      <c r="BW3846" t="str">
        <f t="shared" si="2148"/>
        <v>14:58:28.677</v>
      </c>
      <c r="CJ3846">
        <v>0</v>
      </c>
      <c r="CK3846">
        <v>2</v>
      </c>
      <c r="CL3846">
        <v>0</v>
      </c>
      <c r="CM3846">
        <v>2</v>
      </c>
      <c r="CN3846">
        <v>0</v>
      </c>
      <c r="CO3846">
        <v>5</v>
      </c>
      <c r="CP3846" t="s">
        <v>119</v>
      </c>
      <c r="CQ3846">
        <v>285</v>
      </c>
      <c r="CR3846">
        <v>0</v>
      </c>
      <c r="CW3846">
        <v>8884607</v>
      </c>
      <c r="CY3846">
        <v>0</v>
      </c>
      <c r="CZ3846">
        <v>0</v>
      </c>
      <c r="DA3846">
        <v>1</v>
      </c>
      <c r="DB3846">
        <v>0</v>
      </c>
      <c r="DC3846">
        <v>0</v>
      </c>
      <c r="DD3846">
        <v>0</v>
      </c>
      <c r="DE3846">
        <v>0</v>
      </c>
      <c r="DF3846">
        <v>0</v>
      </c>
      <c r="DG3846">
        <v>0</v>
      </c>
      <c r="DH3846">
        <v>0</v>
      </c>
      <c r="DI3846">
        <v>0</v>
      </c>
    </row>
    <row r="3847" spans="1:113" x14ac:dyDescent="0.25">
      <c r="A3847" t="str">
        <f t="shared" si="2146"/>
        <v>06/05/2020 14:58:23.040</v>
      </c>
      <c r="C3847" t="str">
        <f t="shared" si="2129"/>
        <v>FFDFD3C0</v>
      </c>
      <c r="D3847" t="s">
        <v>113</v>
      </c>
      <c r="E3847">
        <v>3</v>
      </c>
      <c r="H3847">
        <v>166</v>
      </c>
      <c r="I3847" t="s">
        <v>114</v>
      </c>
      <c r="J3847" t="s">
        <v>115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 t="shared" si="2147"/>
        <v>14:58:28.672</v>
      </c>
      <c r="T3847" t="str">
        <f t="shared" si="2147"/>
        <v>14:58:28.672</v>
      </c>
      <c r="U3847" t="str">
        <f t="shared" si="2145"/>
        <v>ACC530</v>
      </c>
      <c r="V3847">
        <v>0</v>
      </c>
      <c r="W3847">
        <v>0</v>
      </c>
      <c r="X3847">
        <v>1</v>
      </c>
      <c r="Z3847">
        <v>0</v>
      </c>
      <c r="AA3847">
        <v>9</v>
      </c>
      <c r="AB3847">
        <v>3</v>
      </c>
      <c r="AC3847">
        <v>0</v>
      </c>
      <c r="AD3847">
        <v>9</v>
      </c>
      <c r="AE3847">
        <v>0</v>
      </c>
      <c r="AF3847">
        <v>3</v>
      </c>
      <c r="AG3847">
        <v>1</v>
      </c>
      <c r="AH3847">
        <v>0</v>
      </c>
      <c r="AI3847" t="s">
        <v>1237</v>
      </c>
      <c r="AJ3847">
        <v>34.063474999999997</v>
      </c>
      <c r="AK3847" t="s">
        <v>1238</v>
      </c>
      <c r="AL3847">
        <v>-117.01960800000001</v>
      </c>
      <c r="AM3847">
        <v>100</v>
      </c>
      <c r="AN3847">
        <v>5300</v>
      </c>
      <c r="AO3847" t="s">
        <v>118</v>
      </c>
      <c r="AP3847">
        <v>-4</v>
      </c>
      <c r="AQ3847">
        <v>-92</v>
      </c>
      <c r="AR3847">
        <v>-256</v>
      </c>
      <c r="AZ3847">
        <v>1200</v>
      </c>
      <c r="BA3847">
        <v>1</v>
      </c>
      <c r="BB3847" t="str">
        <f t="shared" si="2149"/>
        <v xml:space="preserve">N9217B  </v>
      </c>
      <c r="BC3847">
        <v>1</v>
      </c>
      <c r="BE3847">
        <v>0</v>
      </c>
      <c r="BF3847">
        <v>0</v>
      </c>
      <c r="BG3847">
        <v>0</v>
      </c>
      <c r="BH3847">
        <v>5125</v>
      </c>
      <c r="BI3847">
        <v>1</v>
      </c>
      <c r="BJ3847">
        <v>0</v>
      </c>
      <c r="BK3847">
        <v>0</v>
      </c>
      <c r="BL3847">
        <v>0</v>
      </c>
      <c r="BO3847">
        <v>0</v>
      </c>
      <c r="BP3847">
        <v>0</v>
      </c>
      <c r="BW3847" t="str">
        <f t="shared" si="2148"/>
        <v>14:58:28.677</v>
      </c>
      <c r="CJ3847">
        <v>0</v>
      </c>
      <c r="CK3847">
        <v>2</v>
      </c>
      <c r="CL3847">
        <v>0</v>
      </c>
      <c r="CM3847">
        <v>2</v>
      </c>
      <c r="CN3847">
        <v>0</v>
      </c>
      <c r="CO3847">
        <v>5</v>
      </c>
      <c r="CP3847" t="s">
        <v>119</v>
      </c>
      <c r="CQ3847">
        <v>285</v>
      </c>
      <c r="CR3847">
        <v>0</v>
      </c>
      <c r="CW3847">
        <v>8884607</v>
      </c>
      <c r="CY3847">
        <v>0</v>
      </c>
      <c r="CZ3847">
        <v>0</v>
      </c>
      <c r="DA3847">
        <v>1</v>
      </c>
      <c r="DB3847">
        <v>0</v>
      </c>
      <c r="DC3847">
        <v>0</v>
      </c>
      <c r="DD3847">
        <v>0</v>
      </c>
      <c r="DE3847">
        <v>0</v>
      </c>
      <c r="DF3847">
        <v>0</v>
      </c>
      <c r="DG3847">
        <v>0</v>
      </c>
      <c r="DH3847">
        <v>0</v>
      </c>
      <c r="DI3847">
        <v>0</v>
      </c>
    </row>
    <row r="3848" spans="1:113" x14ac:dyDescent="0.25">
      <c r="A3848" t="str">
        <f t="shared" si="2146"/>
        <v>06/05/2020 14:58:23.040</v>
      </c>
      <c r="C3848" t="str">
        <f t="shared" si="2129"/>
        <v>FFDFD3C0</v>
      </c>
      <c r="D3848" t="s">
        <v>141</v>
      </c>
      <c r="E3848">
        <v>20</v>
      </c>
      <c r="F3848">
        <v>1020</v>
      </c>
      <c r="G3848" t="s">
        <v>114</v>
      </c>
      <c r="J3848" t="s">
        <v>142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 t="shared" si="2147"/>
        <v>14:58:28.672</v>
      </c>
      <c r="T3848" t="str">
        <f t="shared" si="2147"/>
        <v>14:58:28.672</v>
      </c>
      <c r="U3848" t="str">
        <f t="shared" si="2145"/>
        <v>ACC530</v>
      </c>
      <c r="V3848">
        <v>0</v>
      </c>
      <c r="W3848">
        <v>0</v>
      </c>
      <c r="X3848">
        <v>1</v>
      </c>
      <c r="Z3848">
        <v>0</v>
      </c>
      <c r="AA3848">
        <v>9</v>
      </c>
      <c r="AB3848">
        <v>3</v>
      </c>
      <c r="AC3848">
        <v>0</v>
      </c>
      <c r="AD3848">
        <v>9</v>
      </c>
      <c r="AE3848">
        <v>0</v>
      </c>
      <c r="AF3848">
        <v>3</v>
      </c>
      <c r="AG3848">
        <v>1</v>
      </c>
      <c r="AH3848">
        <v>0</v>
      </c>
      <c r="AI3848" t="s">
        <v>1237</v>
      </c>
      <c r="AJ3848">
        <v>34.063474999999997</v>
      </c>
      <c r="AK3848" t="s">
        <v>1238</v>
      </c>
      <c r="AL3848">
        <v>-117.01960800000001</v>
      </c>
      <c r="AM3848">
        <v>100</v>
      </c>
      <c r="AN3848">
        <v>5300</v>
      </c>
      <c r="AO3848" t="s">
        <v>118</v>
      </c>
      <c r="AP3848">
        <v>-4</v>
      </c>
      <c r="AQ3848">
        <v>-92</v>
      </c>
      <c r="AR3848">
        <v>-256</v>
      </c>
      <c r="AZ3848">
        <v>1200</v>
      </c>
      <c r="BA3848">
        <v>1</v>
      </c>
      <c r="BB3848" t="str">
        <f t="shared" si="2149"/>
        <v xml:space="preserve">N9217B  </v>
      </c>
      <c r="BC3848">
        <v>1</v>
      </c>
      <c r="BE3848">
        <v>0</v>
      </c>
      <c r="BF3848">
        <v>0</v>
      </c>
      <c r="BG3848">
        <v>0</v>
      </c>
      <c r="BH3848">
        <v>5125</v>
      </c>
      <c r="BI3848">
        <v>1</v>
      </c>
      <c r="BJ3848">
        <v>0</v>
      </c>
      <c r="BK3848">
        <v>0</v>
      </c>
      <c r="BL3848">
        <v>0</v>
      </c>
      <c r="BO3848">
        <v>0</v>
      </c>
      <c r="BP3848">
        <v>0</v>
      </c>
      <c r="BW3848" t="str">
        <f t="shared" si="2148"/>
        <v>14:58:28.677</v>
      </c>
      <c r="CJ3848">
        <v>0</v>
      </c>
      <c r="CK3848">
        <v>2</v>
      </c>
      <c r="CL3848">
        <v>0</v>
      </c>
      <c r="CM3848">
        <v>2</v>
      </c>
      <c r="CN3848">
        <v>0</v>
      </c>
      <c r="CO3848">
        <v>5</v>
      </c>
      <c r="CP3848" t="s">
        <v>119</v>
      </c>
      <c r="CQ3848">
        <v>285</v>
      </c>
      <c r="CR3848">
        <v>0</v>
      </c>
      <c r="CW3848">
        <v>8884607</v>
      </c>
      <c r="CY3848">
        <v>0</v>
      </c>
      <c r="CZ3848">
        <v>0</v>
      </c>
      <c r="DA3848">
        <v>1</v>
      </c>
      <c r="DB3848">
        <v>0</v>
      </c>
      <c r="DC3848">
        <v>0</v>
      </c>
      <c r="DD3848">
        <v>0</v>
      </c>
      <c r="DE3848">
        <v>0</v>
      </c>
      <c r="DF3848">
        <v>0</v>
      </c>
      <c r="DG3848">
        <v>0</v>
      </c>
      <c r="DH3848">
        <v>0</v>
      </c>
      <c r="DI3848">
        <v>0</v>
      </c>
    </row>
    <row r="3849" spans="1:113" x14ac:dyDescent="0.25">
      <c r="A3849" t="str">
        <f t="shared" si="2146"/>
        <v>06/05/2020 14:58:23.040</v>
      </c>
      <c r="C3849" t="str">
        <f t="shared" si="2129"/>
        <v>FFDFD3C0</v>
      </c>
      <c r="D3849" t="s">
        <v>148</v>
      </c>
      <c r="E3849">
        <v>11</v>
      </c>
      <c r="H3849">
        <v>53</v>
      </c>
      <c r="I3849" t="s">
        <v>364</v>
      </c>
      <c r="J3849" t="s">
        <v>150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 t="shared" si="2147"/>
        <v>14:58:28.672</v>
      </c>
      <c r="T3849" t="str">
        <f t="shared" si="2147"/>
        <v>14:58:28.672</v>
      </c>
      <c r="U3849" t="str">
        <f t="shared" si="2145"/>
        <v>ACC530</v>
      </c>
      <c r="V3849">
        <v>0</v>
      </c>
      <c r="W3849">
        <v>0</v>
      </c>
      <c r="X3849">
        <v>1</v>
      </c>
      <c r="Z3849">
        <v>0</v>
      </c>
      <c r="AA3849">
        <v>9</v>
      </c>
      <c r="AB3849">
        <v>3</v>
      </c>
      <c r="AC3849">
        <v>0</v>
      </c>
      <c r="AD3849">
        <v>9</v>
      </c>
      <c r="AE3849">
        <v>0</v>
      </c>
      <c r="AF3849">
        <v>3</v>
      </c>
      <c r="AG3849">
        <v>1</v>
      </c>
      <c r="AH3849">
        <v>0</v>
      </c>
      <c r="AI3849" t="s">
        <v>1237</v>
      </c>
      <c r="AJ3849">
        <v>34.063474999999997</v>
      </c>
      <c r="AK3849" t="s">
        <v>1238</v>
      </c>
      <c r="AL3849">
        <v>-117.01960800000001</v>
      </c>
      <c r="AM3849">
        <v>100</v>
      </c>
      <c r="AN3849">
        <v>5300</v>
      </c>
      <c r="AO3849" t="s">
        <v>118</v>
      </c>
      <c r="AP3849">
        <v>-4</v>
      </c>
      <c r="AQ3849">
        <v>-92</v>
      </c>
      <c r="AR3849">
        <v>-256</v>
      </c>
      <c r="AZ3849">
        <v>1200</v>
      </c>
      <c r="BA3849">
        <v>1</v>
      </c>
      <c r="BB3849" t="str">
        <f t="shared" si="2149"/>
        <v xml:space="preserve">N9217B  </v>
      </c>
      <c r="BC3849">
        <v>1</v>
      </c>
      <c r="BE3849">
        <v>0</v>
      </c>
      <c r="BF3849">
        <v>0</v>
      </c>
      <c r="BG3849">
        <v>0</v>
      </c>
      <c r="BH3849">
        <v>5125</v>
      </c>
      <c r="BI3849">
        <v>1</v>
      </c>
      <c r="BJ3849">
        <v>0</v>
      </c>
      <c r="BK3849">
        <v>0</v>
      </c>
      <c r="BL3849">
        <v>0</v>
      </c>
      <c r="BO3849">
        <v>0</v>
      </c>
      <c r="BP3849">
        <v>0</v>
      </c>
      <c r="BW3849" t="str">
        <f t="shared" si="2148"/>
        <v>14:58:28.677</v>
      </c>
      <c r="CJ3849">
        <v>0</v>
      </c>
      <c r="CK3849">
        <v>2</v>
      </c>
      <c r="CL3849">
        <v>0</v>
      </c>
      <c r="CM3849">
        <v>2</v>
      </c>
      <c r="CN3849">
        <v>0</v>
      </c>
      <c r="CO3849">
        <v>5</v>
      </c>
      <c r="CP3849" t="s">
        <v>119</v>
      </c>
      <c r="CQ3849">
        <v>285</v>
      </c>
      <c r="CR3849">
        <v>0</v>
      </c>
      <c r="CW3849">
        <v>8884607</v>
      </c>
      <c r="CY3849">
        <v>0</v>
      </c>
      <c r="CZ3849">
        <v>0</v>
      </c>
      <c r="DA3849">
        <v>1</v>
      </c>
      <c r="DB3849">
        <v>0</v>
      </c>
      <c r="DC3849">
        <v>0</v>
      </c>
      <c r="DD3849">
        <v>0</v>
      </c>
      <c r="DE3849">
        <v>0</v>
      </c>
      <c r="DF3849">
        <v>0</v>
      </c>
      <c r="DG3849">
        <v>0</v>
      </c>
      <c r="DH3849">
        <v>0</v>
      </c>
      <c r="DI3849">
        <v>0</v>
      </c>
    </row>
    <row r="3850" spans="1:113" x14ac:dyDescent="0.25">
      <c r="A3850" t="str">
        <f t="shared" ref="A3850:A3856" si="2150">"06/05/2020 14:58:23.933"</f>
        <v>06/05/2020 14:58:23.933</v>
      </c>
      <c r="C3850" t="str">
        <f t="shared" si="2129"/>
        <v>FFDFD3C0</v>
      </c>
      <c r="D3850" t="s">
        <v>148</v>
      </c>
      <c r="E3850">
        <v>11</v>
      </c>
      <c r="H3850">
        <v>53</v>
      </c>
      <c r="I3850" t="s">
        <v>364</v>
      </c>
      <c r="J3850" t="s">
        <v>150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 t="shared" ref="S3850:S3856" si="2151">"14:58:29.555"</f>
        <v>14:58:29.555</v>
      </c>
      <c r="T3850" t="str">
        <f t="shared" ref="T3850:T3856" si="2152">"14:58:29.155"</f>
        <v>14:58:29.155</v>
      </c>
      <c r="U3850" t="str">
        <f t="shared" si="2145"/>
        <v>ACC530</v>
      </c>
      <c r="V3850">
        <v>0</v>
      </c>
      <c r="W3850">
        <v>0</v>
      </c>
      <c r="X3850">
        <v>1</v>
      </c>
      <c r="Z3850">
        <v>0</v>
      </c>
      <c r="AA3850">
        <v>9</v>
      </c>
      <c r="AB3850">
        <v>3</v>
      </c>
      <c r="AC3850">
        <v>0</v>
      </c>
      <c r="AD3850">
        <v>9</v>
      </c>
      <c r="AE3850">
        <v>0</v>
      </c>
      <c r="AF3850">
        <v>3</v>
      </c>
      <c r="AG3850">
        <v>1</v>
      </c>
      <c r="AH3850">
        <v>0</v>
      </c>
      <c r="AI3850" t="s">
        <v>1239</v>
      </c>
      <c r="AJ3850">
        <v>34.063110000000002</v>
      </c>
      <c r="AK3850" t="s">
        <v>1240</v>
      </c>
      <c r="AL3850">
        <v>-117.019651</v>
      </c>
      <c r="AM3850">
        <v>100</v>
      </c>
      <c r="AN3850">
        <v>5300</v>
      </c>
      <c r="AO3850" t="s">
        <v>118</v>
      </c>
      <c r="AP3850">
        <v>-3</v>
      </c>
      <c r="AQ3850">
        <v>-92</v>
      </c>
      <c r="AR3850">
        <v>-192</v>
      </c>
      <c r="AZ3850">
        <v>1200</v>
      </c>
      <c r="BA3850">
        <v>1</v>
      </c>
      <c r="BB3850" t="str">
        <f t="shared" si="2149"/>
        <v xml:space="preserve">N9217B  </v>
      </c>
      <c r="BC3850">
        <v>1</v>
      </c>
      <c r="BE3850">
        <v>0</v>
      </c>
      <c r="BF3850">
        <v>0</v>
      </c>
      <c r="BG3850">
        <v>0</v>
      </c>
      <c r="BH3850">
        <v>5125</v>
      </c>
      <c r="BI3850">
        <v>1</v>
      </c>
      <c r="BJ3850">
        <v>0</v>
      </c>
      <c r="BK3850">
        <v>0</v>
      </c>
      <c r="BL3850">
        <v>0</v>
      </c>
      <c r="BO3850">
        <v>0</v>
      </c>
      <c r="BP3850">
        <v>0</v>
      </c>
      <c r="BW3850" t="str">
        <f t="shared" ref="BW3850:BW3856" si="2153">"14:58:29.562"</f>
        <v>14:58:29.562</v>
      </c>
      <c r="CJ3850">
        <v>0</v>
      </c>
      <c r="CK3850">
        <v>2</v>
      </c>
      <c r="CL3850">
        <v>0</v>
      </c>
      <c r="CM3850">
        <v>2</v>
      </c>
      <c r="CN3850">
        <v>0</v>
      </c>
      <c r="CO3850">
        <v>5</v>
      </c>
      <c r="CP3850" t="s">
        <v>119</v>
      </c>
      <c r="CQ3850">
        <v>285</v>
      </c>
      <c r="CR3850">
        <v>0</v>
      </c>
      <c r="CW3850">
        <v>8884690</v>
      </c>
      <c r="CY3850">
        <v>0</v>
      </c>
      <c r="CZ3850">
        <v>0</v>
      </c>
      <c r="DA3850">
        <v>0</v>
      </c>
      <c r="DB3850">
        <v>0</v>
      </c>
      <c r="DC3850">
        <v>0</v>
      </c>
      <c r="DD3850">
        <v>0</v>
      </c>
      <c r="DE3850">
        <v>0</v>
      </c>
      <c r="DF3850">
        <v>0</v>
      </c>
      <c r="DG3850">
        <v>0</v>
      </c>
      <c r="DH3850">
        <v>0</v>
      </c>
      <c r="DI3850">
        <v>0</v>
      </c>
    </row>
    <row r="3851" spans="1:113" x14ac:dyDescent="0.25">
      <c r="A3851" t="str">
        <f t="shared" si="2150"/>
        <v>06/05/2020 14:58:23.933</v>
      </c>
      <c r="C3851" t="str">
        <f t="shared" si="2129"/>
        <v>FFDFD3C0</v>
      </c>
      <c r="D3851" t="s">
        <v>134</v>
      </c>
      <c r="E3851">
        <v>7</v>
      </c>
      <c r="F3851">
        <v>2007</v>
      </c>
      <c r="G3851" t="s">
        <v>135</v>
      </c>
      <c r="J3851" t="s">
        <v>136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 t="shared" si="2151"/>
        <v>14:58:29.555</v>
      </c>
      <c r="T3851" t="str">
        <f t="shared" si="2152"/>
        <v>14:58:29.155</v>
      </c>
      <c r="U3851" t="str">
        <f t="shared" si="2145"/>
        <v>ACC530</v>
      </c>
      <c r="V3851">
        <v>0</v>
      </c>
      <c r="W3851">
        <v>0</v>
      </c>
      <c r="X3851">
        <v>1</v>
      </c>
      <c r="Z3851">
        <v>0</v>
      </c>
      <c r="AA3851">
        <v>9</v>
      </c>
      <c r="AB3851">
        <v>3</v>
      </c>
      <c r="AC3851">
        <v>0</v>
      </c>
      <c r="AD3851">
        <v>9</v>
      </c>
      <c r="AE3851">
        <v>0</v>
      </c>
      <c r="AF3851">
        <v>3</v>
      </c>
      <c r="AG3851">
        <v>1</v>
      </c>
      <c r="AH3851">
        <v>0</v>
      </c>
      <c r="AI3851" t="s">
        <v>1239</v>
      </c>
      <c r="AJ3851">
        <v>34.063110000000002</v>
      </c>
      <c r="AK3851" t="s">
        <v>1240</v>
      </c>
      <c r="AL3851">
        <v>-117.019651</v>
      </c>
      <c r="AM3851">
        <v>100</v>
      </c>
      <c r="AN3851">
        <v>5300</v>
      </c>
      <c r="AO3851" t="s">
        <v>118</v>
      </c>
      <c r="AP3851">
        <v>-3</v>
      </c>
      <c r="AQ3851">
        <v>-92</v>
      </c>
      <c r="AR3851">
        <v>-192</v>
      </c>
      <c r="AZ3851">
        <v>1200</v>
      </c>
      <c r="BA3851">
        <v>1</v>
      </c>
      <c r="BB3851" t="str">
        <f t="shared" si="2149"/>
        <v xml:space="preserve">N9217B  </v>
      </c>
      <c r="BC3851">
        <v>1</v>
      </c>
      <c r="BE3851">
        <v>0</v>
      </c>
      <c r="BF3851">
        <v>0</v>
      </c>
      <c r="BG3851">
        <v>0</v>
      </c>
      <c r="BH3851">
        <v>5125</v>
      </c>
      <c r="BI3851">
        <v>1</v>
      </c>
      <c r="BJ3851">
        <v>0</v>
      </c>
      <c r="BK3851">
        <v>0</v>
      </c>
      <c r="BL3851">
        <v>0</v>
      </c>
      <c r="BO3851">
        <v>0</v>
      </c>
      <c r="BP3851">
        <v>0</v>
      </c>
      <c r="BW3851" t="str">
        <f t="shared" si="2153"/>
        <v>14:58:29.562</v>
      </c>
      <c r="CJ3851">
        <v>0</v>
      </c>
      <c r="CK3851">
        <v>2</v>
      </c>
      <c r="CL3851">
        <v>0</v>
      </c>
      <c r="CM3851">
        <v>2</v>
      </c>
      <c r="CN3851">
        <v>0</v>
      </c>
      <c r="CO3851">
        <v>5</v>
      </c>
      <c r="CP3851" t="s">
        <v>119</v>
      </c>
      <c r="CQ3851">
        <v>285</v>
      </c>
      <c r="CR3851">
        <v>0</v>
      </c>
      <c r="CW3851">
        <v>8884690</v>
      </c>
      <c r="CY3851">
        <v>0</v>
      </c>
      <c r="CZ3851">
        <v>0</v>
      </c>
      <c r="DA3851">
        <v>1</v>
      </c>
      <c r="DB3851">
        <v>0</v>
      </c>
      <c r="DC3851">
        <v>0</v>
      </c>
      <c r="DD3851">
        <v>0</v>
      </c>
      <c r="DE3851">
        <v>0</v>
      </c>
      <c r="DF3851">
        <v>0</v>
      </c>
      <c r="DG3851">
        <v>0</v>
      </c>
      <c r="DH3851">
        <v>0</v>
      </c>
      <c r="DI3851">
        <v>0</v>
      </c>
    </row>
    <row r="3852" spans="1:113" x14ac:dyDescent="0.25">
      <c r="A3852" t="str">
        <f t="shared" si="2150"/>
        <v>06/05/2020 14:58:23.933</v>
      </c>
      <c r="C3852" t="str">
        <f t="shared" si="2129"/>
        <v>FFDFD3C0</v>
      </c>
      <c r="D3852" t="s">
        <v>151</v>
      </c>
      <c r="E3852">
        <v>8</v>
      </c>
      <c r="H3852">
        <v>225</v>
      </c>
      <c r="I3852" t="s">
        <v>353</v>
      </c>
      <c r="J3852" t="s">
        <v>150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 t="shared" si="2151"/>
        <v>14:58:29.555</v>
      </c>
      <c r="T3852" t="str">
        <f t="shared" si="2152"/>
        <v>14:58:29.155</v>
      </c>
      <c r="U3852" t="str">
        <f t="shared" si="2145"/>
        <v>ACC530</v>
      </c>
      <c r="V3852">
        <v>0</v>
      </c>
      <c r="W3852">
        <v>0</v>
      </c>
      <c r="X3852">
        <v>1</v>
      </c>
      <c r="Z3852">
        <v>0</v>
      </c>
      <c r="AA3852">
        <v>9</v>
      </c>
      <c r="AB3852">
        <v>3</v>
      </c>
      <c r="AC3852">
        <v>0</v>
      </c>
      <c r="AD3852">
        <v>9</v>
      </c>
      <c r="AE3852">
        <v>0</v>
      </c>
      <c r="AF3852">
        <v>3</v>
      </c>
      <c r="AG3852">
        <v>1</v>
      </c>
      <c r="AH3852">
        <v>0</v>
      </c>
      <c r="AI3852" t="s">
        <v>1239</v>
      </c>
      <c r="AJ3852">
        <v>34.063110000000002</v>
      </c>
      <c r="AK3852" t="s">
        <v>1240</v>
      </c>
      <c r="AL3852">
        <v>-117.019651</v>
      </c>
      <c r="AM3852">
        <v>100</v>
      </c>
      <c r="AN3852">
        <v>5300</v>
      </c>
      <c r="AO3852" t="s">
        <v>118</v>
      </c>
      <c r="AP3852">
        <v>-3</v>
      </c>
      <c r="AQ3852">
        <v>-92</v>
      </c>
      <c r="AR3852">
        <v>-192</v>
      </c>
      <c r="AZ3852">
        <v>1200</v>
      </c>
      <c r="BA3852">
        <v>1</v>
      </c>
      <c r="BB3852" t="str">
        <f t="shared" si="2149"/>
        <v xml:space="preserve">N9217B  </v>
      </c>
      <c r="BC3852">
        <v>1</v>
      </c>
      <c r="BE3852">
        <v>0</v>
      </c>
      <c r="BF3852">
        <v>0</v>
      </c>
      <c r="BG3852">
        <v>0</v>
      </c>
      <c r="BH3852">
        <v>5125</v>
      </c>
      <c r="BI3852">
        <v>1</v>
      </c>
      <c r="BJ3852">
        <v>0</v>
      </c>
      <c r="BK3852">
        <v>0</v>
      </c>
      <c r="BL3852">
        <v>0</v>
      </c>
      <c r="BO3852">
        <v>0</v>
      </c>
      <c r="BP3852">
        <v>0</v>
      </c>
      <c r="BW3852" t="str">
        <f t="shared" si="2153"/>
        <v>14:58:29.562</v>
      </c>
      <c r="CJ3852">
        <v>0</v>
      </c>
      <c r="CK3852">
        <v>2</v>
      </c>
      <c r="CL3852">
        <v>0</v>
      </c>
      <c r="CM3852">
        <v>2</v>
      </c>
      <c r="CN3852">
        <v>0</v>
      </c>
      <c r="CO3852">
        <v>5</v>
      </c>
      <c r="CP3852" t="s">
        <v>119</v>
      </c>
      <c r="CQ3852">
        <v>285</v>
      </c>
      <c r="CR3852">
        <v>0</v>
      </c>
      <c r="CW3852">
        <v>8884690</v>
      </c>
      <c r="CY3852">
        <v>0</v>
      </c>
      <c r="CZ3852">
        <v>0</v>
      </c>
      <c r="DA3852">
        <v>1</v>
      </c>
      <c r="DB3852">
        <v>0</v>
      </c>
      <c r="DC3852">
        <v>0</v>
      </c>
      <c r="DD3852">
        <v>0</v>
      </c>
      <c r="DE3852">
        <v>0</v>
      </c>
      <c r="DF3852">
        <v>0</v>
      </c>
      <c r="DG3852">
        <v>0</v>
      </c>
      <c r="DH3852">
        <v>0</v>
      </c>
      <c r="DI3852">
        <v>0</v>
      </c>
    </row>
    <row r="3853" spans="1:113" x14ac:dyDescent="0.25">
      <c r="A3853" t="str">
        <f t="shared" si="2150"/>
        <v>06/05/2020 14:58:23.933</v>
      </c>
      <c r="C3853" t="str">
        <f t="shared" si="2129"/>
        <v>FFDFD3C0</v>
      </c>
      <c r="D3853" t="s">
        <v>148</v>
      </c>
      <c r="E3853">
        <v>8</v>
      </c>
      <c r="H3853">
        <v>50</v>
      </c>
      <c r="I3853" t="s">
        <v>149</v>
      </c>
      <c r="J3853" t="s">
        <v>150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 t="shared" si="2151"/>
        <v>14:58:29.555</v>
      </c>
      <c r="T3853" t="str">
        <f t="shared" si="2152"/>
        <v>14:58:29.155</v>
      </c>
      <c r="U3853" t="str">
        <f t="shared" si="2145"/>
        <v>ACC530</v>
      </c>
      <c r="V3853">
        <v>0</v>
      </c>
      <c r="W3853">
        <v>0</v>
      </c>
      <c r="X3853">
        <v>1</v>
      </c>
      <c r="Z3853">
        <v>0</v>
      </c>
      <c r="AA3853">
        <v>9</v>
      </c>
      <c r="AB3853">
        <v>3</v>
      </c>
      <c r="AC3853">
        <v>0</v>
      </c>
      <c r="AD3853">
        <v>9</v>
      </c>
      <c r="AE3853">
        <v>0</v>
      </c>
      <c r="AF3853">
        <v>3</v>
      </c>
      <c r="AG3853">
        <v>1</v>
      </c>
      <c r="AH3853">
        <v>0</v>
      </c>
      <c r="AI3853" t="s">
        <v>1239</v>
      </c>
      <c r="AJ3853">
        <v>34.063110000000002</v>
      </c>
      <c r="AK3853" t="s">
        <v>1240</v>
      </c>
      <c r="AL3853">
        <v>-117.019651</v>
      </c>
      <c r="AM3853">
        <v>100</v>
      </c>
      <c r="AN3853">
        <v>5300</v>
      </c>
      <c r="AO3853" t="s">
        <v>118</v>
      </c>
      <c r="AP3853">
        <v>-3</v>
      </c>
      <c r="AQ3853">
        <v>-92</v>
      </c>
      <c r="AR3853">
        <v>-192</v>
      </c>
      <c r="AZ3853">
        <v>1200</v>
      </c>
      <c r="BA3853">
        <v>1</v>
      </c>
      <c r="BB3853" t="str">
        <f t="shared" si="2149"/>
        <v xml:space="preserve">N9217B  </v>
      </c>
      <c r="BC3853">
        <v>1</v>
      </c>
      <c r="BE3853">
        <v>0</v>
      </c>
      <c r="BF3853">
        <v>0</v>
      </c>
      <c r="BG3853">
        <v>0</v>
      </c>
      <c r="BH3853">
        <v>5125</v>
      </c>
      <c r="BI3853">
        <v>1</v>
      </c>
      <c r="BJ3853">
        <v>0</v>
      </c>
      <c r="BK3853">
        <v>0</v>
      </c>
      <c r="BL3853">
        <v>0</v>
      </c>
      <c r="BO3853">
        <v>0</v>
      </c>
      <c r="BP3853">
        <v>0</v>
      </c>
      <c r="BW3853" t="str">
        <f t="shared" si="2153"/>
        <v>14:58:29.562</v>
      </c>
      <c r="CJ3853">
        <v>0</v>
      </c>
      <c r="CK3853">
        <v>2</v>
      </c>
      <c r="CL3853">
        <v>0</v>
      </c>
      <c r="CM3853">
        <v>2</v>
      </c>
      <c r="CN3853">
        <v>0</v>
      </c>
      <c r="CO3853">
        <v>5</v>
      </c>
      <c r="CP3853" t="s">
        <v>119</v>
      </c>
      <c r="CQ3853">
        <v>285</v>
      </c>
      <c r="CR3853">
        <v>0</v>
      </c>
      <c r="CW3853">
        <v>8884690</v>
      </c>
      <c r="CY3853">
        <v>0</v>
      </c>
      <c r="CZ3853">
        <v>0</v>
      </c>
      <c r="DA3853">
        <v>1</v>
      </c>
      <c r="DB3853">
        <v>0</v>
      </c>
      <c r="DC3853">
        <v>0</v>
      </c>
      <c r="DD3853">
        <v>0</v>
      </c>
      <c r="DE3853">
        <v>0</v>
      </c>
      <c r="DF3853">
        <v>0</v>
      </c>
      <c r="DG3853">
        <v>0</v>
      </c>
      <c r="DH3853">
        <v>0</v>
      </c>
      <c r="DI3853">
        <v>0</v>
      </c>
    </row>
    <row r="3854" spans="1:113" x14ac:dyDescent="0.25">
      <c r="A3854" t="str">
        <f t="shared" si="2150"/>
        <v>06/05/2020 14:58:23.933</v>
      </c>
      <c r="C3854" t="str">
        <f t="shared" si="2129"/>
        <v>FFDFD3C0</v>
      </c>
      <c r="D3854" t="s">
        <v>151</v>
      </c>
      <c r="E3854">
        <v>9</v>
      </c>
      <c r="H3854">
        <v>226</v>
      </c>
      <c r="I3854" t="s">
        <v>152</v>
      </c>
      <c r="J3854" t="s">
        <v>150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 t="shared" si="2151"/>
        <v>14:58:29.555</v>
      </c>
      <c r="T3854" t="str">
        <f t="shared" si="2152"/>
        <v>14:58:29.155</v>
      </c>
      <c r="U3854" t="str">
        <f t="shared" si="2145"/>
        <v>ACC530</v>
      </c>
      <c r="V3854">
        <v>0</v>
      </c>
      <c r="W3854">
        <v>0</v>
      </c>
      <c r="X3854">
        <v>1</v>
      </c>
      <c r="Z3854">
        <v>0</v>
      </c>
      <c r="AA3854">
        <v>9</v>
      </c>
      <c r="AB3854">
        <v>3</v>
      </c>
      <c r="AC3854">
        <v>0</v>
      </c>
      <c r="AD3854">
        <v>9</v>
      </c>
      <c r="AE3854">
        <v>0</v>
      </c>
      <c r="AF3854">
        <v>3</v>
      </c>
      <c r="AG3854">
        <v>1</v>
      </c>
      <c r="AH3854">
        <v>0</v>
      </c>
      <c r="AI3854" t="s">
        <v>1239</v>
      </c>
      <c r="AJ3854">
        <v>34.063110000000002</v>
      </c>
      <c r="AK3854" t="s">
        <v>1240</v>
      </c>
      <c r="AL3854">
        <v>-117.019651</v>
      </c>
      <c r="AM3854">
        <v>100</v>
      </c>
      <c r="AN3854">
        <v>5300</v>
      </c>
      <c r="AO3854" t="s">
        <v>118</v>
      </c>
      <c r="AP3854">
        <v>-3</v>
      </c>
      <c r="AQ3854">
        <v>-92</v>
      </c>
      <c r="AR3854">
        <v>-192</v>
      </c>
      <c r="AZ3854">
        <v>1200</v>
      </c>
      <c r="BA3854">
        <v>1</v>
      </c>
      <c r="BB3854" t="str">
        <f t="shared" si="2149"/>
        <v xml:space="preserve">N9217B  </v>
      </c>
      <c r="BC3854">
        <v>1</v>
      </c>
      <c r="BE3854">
        <v>0</v>
      </c>
      <c r="BF3854">
        <v>0</v>
      </c>
      <c r="BG3854">
        <v>0</v>
      </c>
      <c r="BH3854">
        <v>5125</v>
      </c>
      <c r="BI3854">
        <v>1</v>
      </c>
      <c r="BJ3854">
        <v>0</v>
      </c>
      <c r="BK3854">
        <v>0</v>
      </c>
      <c r="BL3854">
        <v>0</v>
      </c>
      <c r="BO3854">
        <v>0</v>
      </c>
      <c r="BP3854">
        <v>0</v>
      </c>
      <c r="BW3854" t="str">
        <f t="shared" si="2153"/>
        <v>14:58:29.562</v>
      </c>
      <c r="CJ3854">
        <v>0</v>
      </c>
      <c r="CK3854">
        <v>2</v>
      </c>
      <c r="CL3854">
        <v>0</v>
      </c>
      <c r="CM3854">
        <v>2</v>
      </c>
      <c r="CN3854">
        <v>0</v>
      </c>
      <c r="CO3854">
        <v>5</v>
      </c>
      <c r="CP3854" t="s">
        <v>119</v>
      </c>
      <c r="CQ3854">
        <v>285</v>
      </c>
      <c r="CR3854">
        <v>0</v>
      </c>
      <c r="CW3854">
        <v>8884690</v>
      </c>
      <c r="CY3854">
        <v>0</v>
      </c>
      <c r="CZ3854">
        <v>0</v>
      </c>
      <c r="DA3854">
        <v>1</v>
      </c>
      <c r="DB3854">
        <v>0</v>
      </c>
      <c r="DC3854">
        <v>0</v>
      </c>
      <c r="DD3854">
        <v>0</v>
      </c>
      <c r="DE3854">
        <v>0</v>
      </c>
      <c r="DF3854">
        <v>0</v>
      </c>
      <c r="DG3854">
        <v>0</v>
      </c>
      <c r="DH3854">
        <v>0</v>
      </c>
      <c r="DI3854">
        <v>0</v>
      </c>
    </row>
    <row r="3855" spans="1:113" x14ac:dyDescent="0.25">
      <c r="A3855" t="str">
        <f t="shared" si="2150"/>
        <v>06/05/2020 14:58:23.933</v>
      </c>
      <c r="C3855" t="str">
        <f t="shared" si="2129"/>
        <v>FFDFD3C0</v>
      </c>
      <c r="D3855" t="s">
        <v>113</v>
      </c>
      <c r="E3855">
        <v>3</v>
      </c>
      <c r="H3855">
        <v>166</v>
      </c>
      <c r="I3855" t="s">
        <v>114</v>
      </c>
      <c r="J3855" t="s">
        <v>115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 t="shared" si="2151"/>
        <v>14:58:29.555</v>
      </c>
      <c r="T3855" t="str">
        <f t="shared" si="2152"/>
        <v>14:58:29.155</v>
      </c>
      <c r="U3855" t="str">
        <f t="shared" si="2145"/>
        <v>ACC530</v>
      </c>
      <c r="V3855">
        <v>0</v>
      </c>
      <c r="W3855">
        <v>0</v>
      </c>
      <c r="X3855">
        <v>1</v>
      </c>
      <c r="Z3855">
        <v>0</v>
      </c>
      <c r="AA3855">
        <v>9</v>
      </c>
      <c r="AB3855">
        <v>3</v>
      </c>
      <c r="AC3855">
        <v>0</v>
      </c>
      <c r="AD3855">
        <v>9</v>
      </c>
      <c r="AE3855">
        <v>0</v>
      </c>
      <c r="AF3855">
        <v>3</v>
      </c>
      <c r="AG3855">
        <v>1</v>
      </c>
      <c r="AH3855">
        <v>0</v>
      </c>
      <c r="AI3855" t="s">
        <v>1239</v>
      </c>
      <c r="AJ3855">
        <v>34.063110000000002</v>
      </c>
      <c r="AK3855" t="s">
        <v>1240</v>
      </c>
      <c r="AL3855">
        <v>-117.019651</v>
      </c>
      <c r="AM3855">
        <v>100</v>
      </c>
      <c r="AN3855">
        <v>5300</v>
      </c>
      <c r="AO3855" t="s">
        <v>118</v>
      </c>
      <c r="AP3855">
        <v>-3</v>
      </c>
      <c r="AQ3855">
        <v>-92</v>
      </c>
      <c r="AR3855">
        <v>-192</v>
      </c>
      <c r="AZ3855">
        <v>1200</v>
      </c>
      <c r="BA3855">
        <v>1</v>
      </c>
      <c r="BB3855" t="str">
        <f t="shared" si="2149"/>
        <v xml:space="preserve">N9217B  </v>
      </c>
      <c r="BC3855">
        <v>1</v>
      </c>
      <c r="BE3855">
        <v>0</v>
      </c>
      <c r="BF3855">
        <v>0</v>
      </c>
      <c r="BG3855">
        <v>0</v>
      </c>
      <c r="BH3855">
        <v>5125</v>
      </c>
      <c r="BI3855">
        <v>1</v>
      </c>
      <c r="BJ3855">
        <v>0</v>
      </c>
      <c r="BK3855">
        <v>0</v>
      </c>
      <c r="BL3855">
        <v>0</v>
      </c>
      <c r="BO3855">
        <v>0</v>
      </c>
      <c r="BP3855">
        <v>0</v>
      </c>
      <c r="BW3855" t="str">
        <f t="shared" si="2153"/>
        <v>14:58:29.562</v>
      </c>
      <c r="CJ3855">
        <v>0</v>
      </c>
      <c r="CK3855">
        <v>2</v>
      </c>
      <c r="CL3855">
        <v>0</v>
      </c>
      <c r="CM3855">
        <v>2</v>
      </c>
      <c r="CN3855">
        <v>0</v>
      </c>
      <c r="CO3855">
        <v>5</v>
      </c>
      <c r="CP3855" t="s">
        <v>119</v>
      </c>
      <c r="CQ3855">
        <v>285</v>
      </c>
      <c r="CR3855">
        <v>0</v>
      </c>
      <c r="CW3855">
        <v>8884690</v>
      </c>
      <c r="CY3855">
        <v>0</v>
      </c>
      <c r="CZ3855">
        <v>0</v>
      </c>
      <c r="DA3855">
        <v>1</v>
      </c>
      <c r="DB3855">
        <v>0</v>
      </c>
      <c r="DC3855">
        <v>0</v>
      </c>
      <c r="DD3855">
        <v>0</v>
      </c>
      <c r="DE3855">
        <v>0</v>
      </c>
      <c r="DF3855">
        <v>0</v>
      </c>
      <c r="DG3855">
        <v>0</v>
      </c>
      <c r="DH3855">
        <v>0</v>
      </c>
      <c r="DI3855">
        <v>0</v>
      </c>
    </row>
    <row r="3856" spans="1:113" x14ac:dyDescent="0.25">
      <c r="A3856" t="str">
        <f t="shared" si="2150"/>
        <v>06/05/2020 14:58:23.933</v>
      </c>
      <c r="C3856" t="str">
        <f t="shared" si="2129"/>
        <v>FFDFD3C0</v>
      </c>
      <c r="D3856" t="s">
        <v>141</v>
      </c>
      <c r="E3856">
        <v>20</v>
      </c>
      <c r="F3856">
        <v>1020</v>
      </c>
      <c r="G3856" t="s">
        <v>114</v>
      </c>
      <c r="J3856" t="s">
        <v>142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 t="shared" si="2151"/>
        <v>14:58:29.555</v>
      </c>
      <c r="T3856" t="str">
        <f t="shared" si="2152"/>
        <v>14:58:29.155</v>
      </c>
      <c r="U3856" t="str">
        <f t="shared" si="2145"/>
        <v>ACC530</v>
      </c>
      <c r="V3856">
        <v>0</v>
      </c>
      <c r="W3856">
        <v>0</v>
      </c>
      <c r="X3856">
        <v>1</v>
      </c>
      <c r="Z3856">
        <v>0</v>
      </c>
      <c r="AA3856">
        <v>9</v>
      </c>
      <c r="AB3856">
        <v>3</v>
      </c>
      <c r="AC3856">
        <v>0</v>
      </c>
      <c r="AD3856">
        <v>9</v>
      </c>
      <c r="AE3856">
        <v>0</v>
      </c>
      <c r="AF3856">
        <v>3</v>
      </c>
      <c r="AG3856">
        <v>1</v>
      </c>
      <c r="AH3856">
        <v>0</v>
      </c>
      <c r="AI3856" t="s">
        <v>1239</v>
      </c>
      <c r="AJ3856">
        <v>34.063110000000002</v>
      </c>
      <c r="AK3856" t="s">
        <v>1240</v>
      </c>
      <c r="AL3856">
        <v>-117.019651</v>
      </c>
      <c r="AM3856">
        <v>100</v>
      </c>
      <c r="AN3856">
        <v>5300</v>
      </c>
      <c r="AO3856" t="s">
        <v>118</v>
      </c>
      <c r="AP3856">
        <v>-3</v>
      </c>
      <c r="AQ3856">
        <v>-92</v>
      </c>
      <c r="AR3856">
        <v>-192</v>
      </c>
      <c r="AZ3856">
        <v>1200</v>
      </c>
      <c r="BA3856">
        <v>1</v>
      </c>
      <c r="BB3856" t="str">
        <f t="shared" si="2149"/>
        <v xml:space="preserve">N9217B  </v>
      </c>
      <c r="BC3856">
        <v>1</v>
      </c>
      <c r="BE3856">
        <v>0</v>
      </c>
      <c r="BF3856">
        <v>0</v>
      </c>
      <c r="BG3856">
        <v>0</v>
      </c>
      <c r="BH3856">
        <v>5125</v>
      </c>
      <c r="BI3856">
        <v>1</v>
      </c>
      <c r="BJ3856">
        <v>0</v>
      </c>
      <c r="BK3856">
        <v>0</v>
      </c>
      <c r="BL3856">
        <v>0</v>
      </c>
      <c r="BO3856">
        <v>0</v>
      </c>
      <c r="BP3856">
        <v>0</v>
      </c>
      <c r="BW3856" t="str">
        <f t="shared" si="2153"/>
        <v>14:58:29.562</v>
      </c>
      <c r="CJ3856">
        <v>0</v>
      </c>
      <c r="CK3856">
        <v>2</v>
      </c>
      <c r="CL3856">
        <v>0</v>
      </c>
      <c r="CM3856">
        <v>2</v>
      </c>
      <c r="CN3856">
        <v>0</v>
      </c>
      <c r="CO3856">
        <v>5</v>
      </c>
      <c r="CP3856" t="s">
        <v>119</v>
      </c>
      <c r="CQ3856">
        <v>285</v>
      </c>
      <c r="CR3856">
        <v>0</v>
      </c>
      <c r="CW3856">
        <v>8884690</v>
      </c>
      <c r="CY3856">
        <v>0</v>
      </c>
      <c r="CZ3856">
        <v>0</v>
      </c>
      <c r="DA3856">
        <v>1</v>
      </c>
      <c r="DB3856">
        <v>0</v>
      </c>
      <c r="DC3856">
        <v>0</v>
      </c>
      <c r="DD3856">
        <v>0</v>
      </c>
      <c r="DE3856">
        <v>0</v>
      </c>
      <c r="DF3856">
        <v>0</v>
      </c>
      <c r="DG3856">
        <v>0</v>
      </c>
      <c r="DH3856">
        <v>0</v>
      </c>
      <c r="DI3856">
        <v>0</v>
      </c>
    </row>
    <row r="3857" spans="1:113" x14ac:dyDescent="0.25">
      <c r="A3857" t="str">
        <f t="shared" ref="A3857:A3863" si="2154">"06/05/2020 14:58:24.893"</f>
        <v>06/05/2020 14:58:24.893</v>
      </c>
      <c r="C3857" t="str">
        <f t="shared" si="2129"/>
        <v>FFDFD3C0</v>
      </c>
      <c r="D3857" t="s">
        <v>148</v>
      </c>
      <c r="E3857">
        <v>11</v>
      </c>
      <c r="H3857">
        <v>53</v>
      </c>
      <c r="I3857" t="s">
        <v>364</v>
      </c>
      <c r="J3857" t="s">
        <v>150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 t="shared" ref="S3857:S3863" si="2155">"14:58:30.500"</f>
        <v>14:58:30.500</v>
      </c>
      <c r="T3857" t="str">
        <f t="shared" ref="T3857:T3863" si="2156">"14:58:29.700"</f>
        <v>14:58:29.700</v>
      </c>
      <c r="U3857" t="str">
        <f t="shared" si="2145"/>
        <v>ACC530</v>
      </c>
      <c r="V3857">
        <v>0</v>
      </c>
      <c r="W3857">
        <v>0</v>
      </c>
      <c r="X3857">
        <v>1</v>
      </c>
      <c r="Z3857">
        <v>0</v>
      </c>
      <c r="AA3857">
        <v>9</v>
      </c>
      <c r="AB3857">
        <v>3</v>
      </c>
      <c r="AC3857">
        <v>0</v>
      </c>
      <c r="AD3857">
        <v>9</v>
      </c>
      <c r="AE3857">
        <v>0</v>
      </c>
      <c r="AF3857">
        <v>3</v>
      </c>
      <c r="AG3857">
        <v>1</v>
      </c>
      <c r="AH3857">
        <v>0</v>
      </c>
      <c r="AI3857" t="s">
        <v>1241</v>
      </c>
      <c r="AJ3857">
        <v>34.062702999999999</v>
      </c>
      <c r="AK3857" t="s">
        <v>1240</v>
      </c>
      <c r="AL3857">
        <v>-117.019651</v>
      </c>
      <c r="AM3857">
        <v>100</v>
      </c>
      <c r="AN3857">
        <v>5300</v>
      </c>
      <c r="AO3857" t="s">
        <v>118</v>
      </c>
      <c r="AP3857">
        <v>-1</v>
      </c>
      <c r="AQ3857">
        <v>-92</v>
      </c>
      <c r="AR3857">
        <v>-192</v>
      </c>
      <c r="AZ3857">
        <v>1200</v>
      </c>
      <c r="BA3857">
        <v>1</v>
      </c>
      <c r="BB3857" t="str">
        <f t="shared" si="2149"/>
        <v xml:space="preserve">N9217B  </v>
      </c>
      <c r="BC3857">
        <v>1</v>
      </c>
      <c r="BE3857">
        <v>0</v>
      </c>
      <c r="BF3857">
        <v>0</v>
      </c>
      <c r="BG3857">
        <v>0</v>
      </c>
      <c r="BH3857">
        <v>5100</v>
      </c>
      <c r="BI3857">
        <v>1</v>
      </c>
      <c r="BJ3857">
        <v>0</v>
      </c>
      <c r="BK3857">
        <v>0</v>
      </c>
      <c r="BL3857">
        <v>0</v>
      </c>
      <c r="BO3857">
        <v>0</v>
      </c>
      <c r="BP3857">
        <v>0</v>
      </c>
      <c r="BW3857" t="str">
        <f t="shared" ref="BW3857:BW3863" si="2157">"14:58:30.507"</f>
        <v>14:58:30.507</v>
      </c>
      <c r="CJ3857">
        <v>0</v>
      </c>
      <c r="CK3857">
        <v>2</v>
      </c>
      <c r="CL3857">
        <v>0</v>
      </c>
      <c r="CM3857">
        <v>2</v>
      </c>
      <c r="CN3857">
        <v>0</v>
      </c>
      <c r="CO3857">
        <v>5</v>
      </c>
      <c r="CP3857" t="s">
        <v>119</v>
      </c>
      <c r="CQ3857">
        <v>285</v>
      </c>
      <c r="CR3857">
        <v>0</v>
      </c>
      <c r="CW3857">
        <v>8884772</v>
      </c>
      <c r="CY3857">
        <v>0</v>
      </c>
      <c r="CZ3857">
        <v>0</v>
      </c>
      <c r="DA3857">
        <v>0</v>
      </c>
      <c r="DB3857">
        <v>0</v>
      </c>
      <c r="DC3857">
        <v>0</v>
      </c>
      <c r="DD3857">
        <v>0</v>
      </c>
      <c r="DE3857">
        <v>0</v>
      </c>
      <c r="DF3857">
        <v>0</v>
      </c>
      <c r="DG3857">
        <v>0</v>
      </c>
      <c r="DH3857">
        <v>0</v>
      </c>
      <c r="DI3857">
        <v>0</v>
      </c>
    </row>
    <row r="3858" spans="1:113" x14ac:dyDescent="0.25">
      <c r="A3858" t="str">
        <f t="shared" si="2154"/>
        <v>06/05/2020 14:58:24.893</v>
      </c>
      <c r="C3858" t="str">
        <f t="shared" si="2129"/>
        <v>FFDFD3C0</v>
      </c>
      <c r="D3858" t="s">
        <v>134</v>
      </c>
      <c r="E3858">
        <v>7</v>
      </c>
      <c r="F3858">
        <v>2007</v>
      </c>
      <c r="G3858" t="s">
        <v>135</v>
      </c>
      <c r="J3858" t="s">
        <v>136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 t="shared" si="2155"/>
        <v>14:58:30.500</v>
      </c>
      <c r="T3858" t="str">
        <f t="shared" si="2156"/>
        <v>14:58:29.700</v>
      </c>
      <c r="U3858" t="str">
        <f t="shared" si="2145"/>
        <v>ACC530</v>
      </c>
      <c r="V3858">
        <v>0</v>
      </c>
      <c r="W3858">
        <v>0</v>
      </c>
      <c r="X3858">
        <v>1</v>
      </c>
      <c r="Z3858">
        <v>0</v>
      </c>
      <c r="AA3858">
        <v>9</v>
      </c>
      <c r="AB3858">
        <v>3</v>
      </c>
      <c r="AC3858">
        <v>0</v>
      </c>
      <c r="AD3858">
        <v>9</v>
      </c>
      <c r="AE3858">
        <v>0</v>
      </c>
      <c r="AF3858">
        <v>3</v>
      </c>
      <c r="AG3858">
        <v>1</v>
      </c>
      <c r="AH3858">
        <v>0</v>
      </c>
      <c r="AI3858" t="s">
        <v>1241</v>
      </c>
      <c r="AJ3858">
        <v>34.062702999999999</v>
      </c>
      <c r="AK3858" t="s">
        <v>1240</v>
      </c>
      <c r="AL3858">
        <v>-117.019651</v>
      </c>
      <c r="AM3858">
        <v>100</v>
      </c>
      <c r="AN3858">
        <v>5300</v>
      </c>
      <c r="AO3858" t="s">
        <v>118</v>
      </c>
      <c r="AP3858">
        <v>-1</v>
      </c>
      <c r="AQ3858">
        <v>-92</v>
      </c>
      <c r="AR3858">
        <v>-192</v>
      </c>
      <c r="AZ3858">
        <v>1200</v>
      </c>
      <c r="BA3858">
        <v>1</v>
      </c>
      <c r="BB3858" t="str">
        <f t="shared" si="2149"/>
        <v xml:space="preserve">N9217B  </v>
      </c>
      <c r="BC3858">
        <v>1</v>
      </c>
      <c r="BE3858">
        <v>0</v>
      </c>
      <c r="BF3858">
        <v>0</v>
      </c>
      <c r="BG3858">
        <v>0</v>
      </c>
      <c r="BH3858">
        <v>5100</v>
      </c>
      <c r="BI3858">
        <v>1</v>
      </c>
      <c r="BJ3858">
        <v>0</v>
      </c>
      <c r="BK3858">
        <v>0</v>
      </c>
      <c r="BL3858">
        <v>0</v>
      </c>
      <c r="BO3858">
        <v>0</v>
      </c>
      <c r="BP3858">
        <v>0</v>
      </c>
      <c r="BW3858" t="str">
        <f t="shared" si="2157"/>
        <v>14:58:30.507</v>
      </c>
      <c r="CJ3858">
        <v>0</v>
      </c>
      <c r="CK3858">
        <v>2</v>
      </c>
      <c r="CL3858">
        <v>0</v>
      </c>
      <c r="CM3858">
        <v>2</v>
      </c>
      <c r="CN3858">
        <v>0</v>
      </c>
      <c r="CO3858">
        <v>5</v>
      </c>
      <c r="CP3858" t="s">
        <v>119</v>
      </c>
      <c r="CQ3858">
        <v>285</v>
      </c>
      <c r="CR3858">
        <v>0</v>
      </c>
      <c r="CW3858">
        <v>8884772</v>
      </c>
      <c r="CY3858">
        <v>0</v>
      </c>
      <c r="CZ3858">
        <v>0</v>
      </c>
      <c r="DA3858">
        <v>1</v>
      </c>
      <c r="DB3858">
        <v>0</v>
      </c>
      <c r="DC3858">
        <v>0</v>
      </c>
      <c r="DD3858">
        <v>0</v>
      </c>
      <c r="DE3858">
        <v>0</v>
      </c>
      <c r="DF3858">
        <v>0</v>
      </c>
      <c r="DG3858">
        <v>0</v>
      </c>
      <c r="DH3858">
        <v>0</v>
      </c>
      <c r="DI3858">
        <v>0</v>
      </c>
    </row>
    <row r="3859" spans="1:113" x14ac:dyDescent="0.25">
      <c r="A3859" t="str">
        <f t="shared" si="2154"/>
        <v>06/05/2020 14:58:24.893</v>
      </c>
      <c r="C3859" t="str">
        <f t="shared" si="2129"/>
        <v>FFDFD3C0</v>
      </c>
      <c r="D3859" t="s">
        <v>151</v>
      </c>
      <c r="E3859">
        <v>8</v>
      </c>
      <c r="H3859">
        <v>225</v>
      </c>
      <c r="I3859" t="s">
        <v>353</v>
      </c>
      <c r="J3859" t="s">
        <v>150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 t="shared" si="2155"/>
        <v>14:58:30.500</v>
      </c>
      <c r="T3859" t="str">
        <f t="shared" si="2156"/>
        <v>14:58:29.700</v>
      </c>
      <c r="U3859" t="str">
        <f t="shared" si="2145"/>
        <v>ACC530</v>
      </c>
      <c r="V3859">
        <v>0</v>
      </c>
      <c r="W3859">
        <v>0</v>
      </c>
      <c r="X3859">
        <v>1</v>
      </c>
      <c r="Z3859">
        <v>0</v>
      </c>
      <c r="AA3859">
        <v>9</v>
      </c>
      <c r="AB3859">
        <v>3</v>
      </c>
      <c r="AC3859">
        <v>0</v>
      </c>
      <c r="AD3859">
        <v>9</v>
      </c>
      <c r="AE3859">
        <v>0</v>
      </c>
      <c r="AF3859">
        <v>3</v>
      </c>
      <c r="AG3859">
        <v>1</v>
      </c>
      <c r="AH3859">
        <v>0</v>
      </c>
      <c r="AI3859" t="s">
        <v>1241</v>
      </c>
      <c r="AJ3859">
        <v>34.062702999999999</v>
      </c>
      <c r="AK3859" t="s">
        <v>1240</v>
      </c>
      <c r="AL3859">
        <v>-117.019651</v>
      </c>
      <c r="AM3859">
        <v>100</v>
      </c>
      <c r="AN3859">
        <v>5300</v>
      </c>
      <c r="AO3859" t="s">
        <v>118</v>
      </c>
      <c r="AP3859">
        <v>-1</v>
      </c>
      <c r="AQ3859">
        <v>-92</v>
      </c>
      <c r="AR3859">
        <v>-192</v>
      </c>
      <c r="AZ3859">
        <v>1200</v>
      </c>
      <c r="BA3859">
        <v>1</v>
      </c>
      <c r="BB3859" t="str">
        <f t="shared" si="2149"/>
        <v xml:space="preserve">N9217B  </v>
      </c>
      <c r="BC3859">
        <v>1</v>
      </c>
      <c r="BE3859">
        <v>0</v>
      </c>
      <c r="BF3859">
        <v>0</v>
      </c>
      <c r="BG3859">
        <v>0</v>
      </c>
      <c r="BH3859">
        <v>5100</v>
      </c>
      <c r="BI3859">
        <v>1</v>
      </c>
      <c r="BJ3859">
        <v>0</v>
      </c>
      <c r="BK3859">
        <v>0</v>
      </c>
      <c r="BL3859">
        <v>0</v>
      </c>
      <c r="BO3859">
        <v>0</v>
      </c>
      <c r="BP3859">
        <v>0</v>
      </c>
      <c r="BW3859" t="str">
        <f t="shared" si="2157"/>
        <v>14:58:30.507</v>
      </c>
      <c r="CJ3859">
        <v>0</v>
      </c>
      <c r="CK3859">
        <v>2</v>
      </c>
      <c r="CL3859">
        <v>0</v>
      </c>
      <c r="CM3859">
        <v>2</v>
      </c>
      <c r="CN3859">
        <v>0</v>
      </c>
      <c r="CO3859">
        <v>5</v>
      </c>
      <c r="CP3859" t="s">
        <v>119</v>
      </c>
      <c r="CQ3859">
        <v>285</v>
      </c>
      <c r="CR3859">
        <v>0</v>
      </c>
      <c r="CW3859">
        <v>8884772</v>
      </c>
      <c r="CY3859">
        <v>0</v>
      </c>
      <c r="CZ3859">
        <v>0</v>
      </c>
      <c r="DA3859">
        <v>1</v>
      </c>
      <c r="DB3859">
        <v>0</v>
      </c>
      <c r="DC3859">
        <v>0</v>
      </c>
      <c r="DD3859">
        <v>0</v>
      </c>
      <c r="DE3859">
        <v>0</v>
      </c>
      <c r="DF3859">
        <v>0</v>
      </c>
      <c r="DG3859">
        <v>0</v>
      </c>
      <c r="DH3859">
        <v>0</v>
      </c>
      <c r="DI3859">
        <v>0</v>
      </c>
    </row>
    <row r="3860" spans="1:113" x14ac:dyDescent="0.25">
      <c r="A3860" t="str">
        <f t="shared" si="2154"/>
        <v>06/05/2020 14:58:24.893</v>
      </c>
      <c r="C3860" t="str">
        <f t="shared" si="2129"/>
        <v>FFDFD3C0</v>
      </c>
      <c r="D3860" t="s">
        <v>148</v>
      </c>
      <c r="E3860">
        <v>8</v>
      </c>
      <c r="H3860">
        <v>50</v>
      </c>
      <c r="I3860" t="s">
        <v>149</v>
      </c>
      <c r="J3860" t="s">
        <v>150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 t="shared" si="2155"/>
        <v>14:58:30.500</v>
      </c>
      <c r="T3860" t="str">
        <f t="shared" si="2156"/>
        <v>14:58:29.700</v>
      </c>
      <c r="U3860" t="str">
        <f t="shared" si="2145"/>
        <v>ACC530</v>
      </c>
      <c r="V3860">
        <v>0</v>
      </c>
      <c r="W3860">
        <v>0</v>
      </c>
      <c r="X3860">
        <v>1</v>
      </c>
      <c r="Z3860">
        <v>0</v>
      </c>
      <c r="AA3860">
        <v>9</v>
      </c>
      <c r="AB3860">
        <v>3</v>
      </c>
      <c r="AC3860">
        <v>0</v>
      </c>
      <c r="AD3860">
        <v>9</v>
      </c>
      <c r="AE3860">
        <v>0</v>
      </c>
      <c r="AF3860">
        <v>3</v>
      </c>
      <c r="AG3860">
        <v>1</v>
      </c>
      <c r="AH3860">
        <v>0</v>
      </c>
      <c r="AI3860" t="s">
        <v>1241</v>
      </c>
      <c r="AJ3860">
        <v>34.062702999999999</v>
      </c>
      <c r="AK3860" t="s">
        <v>1240</v>
      </c>
      <c r="AL3860">
        <v>-117.019651</v>
      </c>
      <c r="AM3860">
        <v>100</v>
      </c>
      <c r="AN3860">
        <v>5300</v>
      </c>
      <c r="AO3860" t="s">
        <v>118</v>
      </c>
      <c r="AP3860">
        <v>-1</v>
      </c>
      <c r="AQ3860">
        <v>-92</v>
      </c>
      <c r="AR3860">
        <v>-192</v>
      </c>
      <c r="AZ3860">
        <v>1200</v>
      </c>
      <c r="BA3860">
        <v>1</v>
      </c>
      <c r="BB3860" t="str">
        <f t="shared" si="2149"/>
        <v xml:space="preserve">N9217B  </v>
      </c>
      <c r="BC3860">
        <v>1</v>
      </c>
      <c r="BE3860">
        <v>0</v>
      </c>
      <c r="BF3860">
        <v>0</v>
      </c>
      <c r="BG3860">
        <v>0</v>
      </c>
      <c r="BH3860">
        <v>5100</v>
      </c>
      <c r="BI3860">
        <v>1</v>
      </c>
      <c r="BJ3860">
        <v>0</v>
      </c>
      <c r="BK3860">
        <v>0</v>
      </c>
      <c r="BL3860">
        <v>0</v>
      </c>
      <c r="BO3860">
        <v>0</v>
      </c>
      <c r="BP3860">
        <v>0</v>
      </c>
      <c r="BW3860" t="str">
        <f t="shared" si="2157"/>
        <v>14:58:30.507</v>
      </c>
      <c r="CJ3860">
        <v>0</v>
      </c>
      <c r="CK3860">
        <v>2</v>
      </c>
      <c r="CL3860">
        <v>0</v>
      </c>
      <c r="CM3860">
        <v>2</v>
      </c>
      <c r="CN3860">
        <v>0</v>
      </c>
      <c r="CO3860">
        <v>5</v>
      </c>
      <c r="CP3860" t="s">
        <v>119</v>
      </c>
      <c r="CQ3860">
        <v>285</v>
      </c>
      <c r="CR3860">
        <v>0</v>
      </c>
      <c r="CW3860">
        <v>8884772</v>
      </c>
      <c r="CY3860">
        <v>0</v>
      </c>
      <c r="CZ3860">
        <v>0</v>
      </c>
      <c r="DA3860">
        <v>1</v>
      </c>
      <c r="DB3860">
        <v>0</v>
      </c>
      <c r="DC3860">
        <v>0</v>
      </c>
      <c r="DD3860">
        <v>0</v>
      </c>
      <c r="DE3860">
        <v>0</v>
      </c>
      <c r="DF3860">
        <v>0</v>
      </c>
      <c r="DG3860">
        <v>0</v>
      </c>
      <c r="DH3860">
        <v>0</v>
      </c>
      <c r="DI3860">
        <v>0</v>
      </c>
    </row>
    <row r="3861" spans="1:113" x14ac:dyDescent="0.25">
      <c r="A3861" t="str">
        <f t="shared" si="2154"/>
        <v>06/05/2020 14:58:24.893</v>
      </c>
      <c r="C3861" t="str">
        <f t="shared" si="2129"/>
        <v>FFDFD3C0</v>
      </c>
      <c r="D3861" t="s">
        <v>141</v>
      </c>
      <c r="E3861">
        <v>20</v>
      </c>
      <c r="F3861">
        <v>1020</v>
      </c>
      <c r="G3861" t="s">
        <v>114</v>
      </c>
      <c r="J3861" t="s">
        <v>142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 t="shared" si="2155"/>
        <v>14:58:30.500</v>
      </c>
      <c r="T3861" t="str">
        <f t="shared" si="2156"/>
        <v>14:58:29.700</v>
      </c>
      <c r="U3861" t="str">
        <f t="shared" si="2145"/>
        <v>ACC530</v>
      </c>
      <c r="V3861">
        <v>0</v>
      </c>
      <c r="W3861">
        <v>0</v>
      </c>
      <c r="X3861">
        <v>1</v>
      </c>
      <c r="Z3861">
        <v>0</v>
      </c>
      <c r="AA3861">
        <v>9</v>
      </c>
      <c r="AB3861">
        <v>3</v>
      </c>
      <c r="AC3861">
        <v>0</v>
      </c>
      <c r="AD3861">
        <v>9</v>
      </c>
      <c r="AE3861">
        <v>0</v>
      </c>
      <c r="AF3861">
        <v>3</v>
      </c>
      <c r="AG3861">
        <v>1</v>
      </c>
      <c r="AH3861">
        <v>0</v>
      </c>
      <c r="AI3861" t="s">
        <v>1241</v>
      </c>
      <c r="AJ3861">
        <v>34.062702999999999</v>
      </c>
      <c r="AK3861" t="s">
        <v>1240</v>
      </c>
      <c r="AL3861">
        <v>-117.019651</v>
      </c>
      <c r="AM3861">
        <v>100</v>
      </c>
      <c r="AN3861">
        <v>5300</v>
      </c>
      <c r="AO3861" t="s">
        <v>118</v>
      </c>
      <c r="AP3861">
        <v>-1</v>
      </c>
      <c r="AQ3861">
        <v>-92</v>
      </c>
      <c r="AR3861">
        <v>-192</v>
      </c>
      <c r="AZ3861">
        <v>1200</v>
      </c>
      <c r="BA3861">
        <v>1</v>
      </c>
      <c r="BB3861" t="str">
        <f t="shared" si="2149"/>
        <v xml:space="preserve">N9217B  </v>
      </c>
      <c r="BC3861">
        <v>1</v>
      </c>
      <c r="BE3861">
        <v>0</v>
      </c>
      <c r="BF3861">
        <v>0</v>
      </c>
      <c r="BG3861">
        <v>0</v>
      </c>
      <c r="BH3861">
        <v>5100</v>
      </c>
      <c r="BI3861">
        <v>1</v>
      </c>
      <c r="BJ3861">
        <v>0</v>
      </c>
      <c r="BK3861">
        <v>0</v>
      </c>
      <c r="BL3861">
        <v>0</v>
      </c>
      <c r="BO3861">
        <v>0</v>
      </c>
      <c r="BP3861">
        <v>0</v>
      </c>
      <c r="BW3861" t="str">
        <f t="shared" si="2157"/>
        <v>14:58:30.507</v>
      </c>
      <c r="CJ3861">
        <v>0</v>
      </c>
      <c r="CK3861">
        <v>2</v>
      </c>
      <c r="CL3861">
        <v>0</v>
      </c>
      <c r="CM3861">
        <v>2</v>
      </c>
      <c r="CN3861">
        <v>0</v>
      </c>
      <c r="CO3861">
        <v>5</v>
      </c>
      <c r="CP3861" t="s">
        <v>119</v>
      </c>
      <c r="CQ3861">
        <v>285</v>
      </c>
      <c r="CR3861">
        <v>0</v>
      </c>
      <c r="CW3861">
        <v>8884772</v>
      </c>
      <c r="CY3861">
        <v>0</v>
      </c>
      <c r="CZ3861">
        <v>0</v>
      </c>
      <c r="DA3861">
        <v>1</v>
      </c>
      <c r="DB3861">
        <v>0</v>
      </c>
      <c r="DC3861">
        <v>0</v>
      </c>
      <c r="DD3861">
        <v>0</v>
      </c>
      <c r="DE3861">
        <v>0</v>
      </c>
      <c r="DF3861">
        <v>0</v>
      </c>
      <c r="DG3861">
        <v>0</v>
      </c>
      <c r="DH3861">
        <v>0</v>
      </c>
      <c r="DI3861">
        <v>0</v>
      </c>
    </row>
    <row r="3862" spans="1:113" x14ac:dyDescent="0.25">
      <c r="A3862" t="str">
        <f t="shared" si="2154"/>
        <v>06/05/2020 14:58:24.893</v>
      </c>
      <c r="C3862" t="str">
        <f t="shared" si="2129"/>
        <v>FFDFD3C0</v>
      </c>
      <c r="D3862" t="s">
        <v>151</v>
      </c>
      <c r="E3862">
        <v>9</v>
      </c>
      <c r="H3862">
        <v>226</v>
      </c>
      <c r="I3862" t="s">
        <v>152</v>
      </c>
      <c r="J3862" t="s">
        <v>150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 t="shared" si="2155"/>
        <v>14:58:30.500</v>
      </c>
      <c r="T3862" t="str">
        <f t="shared" si="2156"/>
        <v>14:58:29.700</v>
      </c>
      <c r="U3862" t="str">
        <f t="shared" si="2145"/>
        <v>ACC530</v>
      </c>
      <c r="V3862">
        <v>0</v>
      </c>
      <c r="W3862">
        <v>0</v>
      </c>
      <c r="X3862">
        <v>1</v>
      </c>
      <c r="Z3862">
        <v>0</v>
      </c>
      <c r="AA3862">
        <v>9</v>
      </c>
      <c r="AB3862">
        <v>3</v>
      </c>
      <c r="AC3862">
        <v>0</v>
      </c>
      <c r="AD3862">
        <v>9</v>
      </c>
      <c r="AE3862">
        <v>0</v>
      </c>
      <c r="AF3862">
        <v>3</v>
      </c>
      <c r="AG3862">
        <v>1</v>
      </c>
      <c r="AH3862">
        <v>0</v>
      </c>
      <c r="AI3862" t="s">
        <v>1241</v>
      </c>
      <c r="AJ3862">
        <v>34.062702999999999</v>
      </c>
      <c r="AK3862" t="s">
        <v>1240</v>
      </c>
      <c r="AL3862">
        <v>-117.019651</v>
      </c>
      <c r="AM3862">
        <v>100</v>
      </c>
      <c r="AN3862">
        <v>5300</v>
      </c>
      <c r="AO3862" t="s">
        <v>118</v>
      </c>
      <c r="AP3862">
        <v>-1</v>
      </c>
      <c r="AQ3862">
        <v>-92</v>
      </c>
      <c r="AR3862">
        <v>-192</v>
      </c>
      <c r="AZ3862">
        <v>1200</v>
      </c>
      <c r="BA3862">
        <v>1</v>
      </c>
      <c r="BB3862" t="str">
        <f t="shared" si="2149"/>
        <v xml:space="preserve">N9217B  </v>
      </c>
      <c r="BC3862">
        <v>1</v>
      </c>
      <c r="BE3862">
        <v>0</v>
      </c>
      <c r="BF3862">
        <v>0</v>
      </c>
      <c r="BG3862">
        <v>0</v>
      </c>
      <c r="BH3862">
        <v>5100</v>
      </c>
      <c r="BI3862">
        <v>1</v>
      </c>
      <c r="BJ3862">
        <v>0</v>
      </c>
      <c r="BK3862">
        <v>0</v>
      </c>
      <c r="BL3862">
        <v>0</v>
      </c>
      <c r="BO3862">
        <v>0</v>
      </c>
      <c r="BP3862">
        <v>0</v>
      </c>
      <c r="BW3862" t="str">
        <f t="shared" si="2157"/>
        <v>14:58:30.507</v>
      </c>
      <c r="CJ3862">
        <v>0</v>
      </c>
      <c r="CK3862">
        <v>2</v>
      </c>
      <c r="CL3862">
        <v>0</v>
      </c>
      <c r="CM3862">
        <v>2</v>
      </c>
      <c r="CN3862">
        <v>0</v>
      </c>
      <c r="CO3862">
        <v>5</v>
      </c>
      <c r="CP3862" t="s">
        <v>119</v>
      </c>
      <c r="CQ3862">
        <v>285</v>
      </c>
      <c r="CR3862">
        <v>0</v>
      </c>
      <c r="CW3862">
        <v>8884772</v>
      </c>
      <c r="CY3862">
        <v>0</v>
      </c>
      <c r="CZ3862">
        <v>0</v>
      </c>
      <c r="DA3862">
        <v>1</v>
      </c>
      <c r="DB3862">
        <v>0</v>
      </c>
      <c r="DC3862">
        <v>0</v>
      </c>
      <c r="DD3862">
        <v>0</v>
      </c>
      <c r="DE3862">
        <v>0</v>
      </c>
      <c r="DF3862">
        <v>0</v>
      </c>
      <c r="DG3862">
        <v>0</v>
      </c>
      <c r="DH3862">
        <v>0</v>
      </c>
      <c r="DI3862">
        <v>0</v>
      </c>
    </row>
    <row r="3863" spans="1:113" x14ac:dyDescent="0.25">
      <c r="A3863" t="str">
        <f t="shared" si="2154"/>
        <v>06/05/2020 14:58:24.893</v>
      </c>
      <c r="C3863" t="str">
        <f t="shared" si="2129"/>
        <v>FFDFD3C0</v>
      </c>
      <c r="D3863" t="s">
        <v>113</v>
      </c>
      <c r="E3863">
        <v>3</v>
      </c>
      <c r="H3863">
        <v>166</v>
      </c>
      <c r="I3863" t="s">
        <v>114</v>
      </c>
      <c r="J3863" t="s">
        <v>115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 t="shared" si="2155"/>
        <v>14:58:30.500</v>
      </c>
      <c r="T3863" t="str">
        <f t="shared" si="2156"/>
        <v>14:58:29.700</v>
      </c>
      <c r="U3863" t="str">
        <f t="shared" si="2145"/>
        <v>ACC530</v>
      </c>
      <c r="V3863">
        <v>0</v>
      </c>
      <c r="W3863">
        <v>0</v>
      </c>
      <c r="X3863">
        <v>1</v>
      </c>
      <c r="Z3863">
        <v>0</v>
      </c>
      <c r="AA3863">
        <v>9</v>
      </c>
      <c r="AB3863">
        <v>3</v>
      </c>
      <c r="AC3863">
        <v>0</v>
      </c>
      <c r="AD3863">
        <v>9</v>
      </c>
      <c r="AE3863">
        <v>0</v>
      </c>
      <c r="AF3863">
        <v>3</v>
      </c>
      <c r="AG3863">
        <v>1</v>
      </c>
      <c r="AH3863">
        <v>0</v>
      </c>
      <c r="AI3863" t="s">
        <v>1241</v>
      </c>
      <c r="AJ3863">
        <v>34.062702999999999</v>
      </c>
      <c r="AK3863" t="s">
        <v>1240</v>
      </c>
      <c r="AL3863">
        <v>-117.019651</v>
      </c>
      <c r="AM3863">
        <v>100</v>
      </c>
      <c r="AN3863">
        <v>5300</v>
      </c>
      <c r="AO3863" t="s">
        <v>118</v>
      </c>
      <c r="AP3863">
        <v>-1</v>
      </c>
      <c r="AQ3863">
        <v>-92</v>
      </c>
      <c r="AR3863">
        <v>-192</v>
      </c>
      <c r="AZ3863">
        <v>1200</v>
      </c>
      <c r="BA3863">
        <v>1</v>
      </c>
      <c r="BB3863" t="str">
        <f t="shared" si="2149"/>
        <v xml:space="preserve">N9217B  </v>
      </c>
      <c r="BC3863">
        <v>1</v>
      </c>
      <c r="BE3863">
        <v>0</v>
      </c>
      <c r="BF3863">
        <v>0</v>
      </c>
      <c r="BG3863">
        <v>0</v>
      </c>
      <c r="BH3863">
        <v>5100</v>
      </c>
      <c r="BI3863">
        <v>1</v>
      </c>
      <c r="BJ3863">
        <v>0</v>
      </c>
      <c r="BK3863">
        <v>0</v>
      </c>
      <c r="BL3863">
        <v>0</v>
      </c>
      <c r="BO3863">
        <v>0</v>
      </c>
      <c r="BP3863">
        <v>0</v>
      </c>
      <c r="BW3863" t="str">
        <f t="shared" si="2157"/>
        <v>14:58:30.507</v>
      </c>
      <c r="CJ3863">
        <v>0</v>
      </c>
      <c r="CK3863">
        <v>2</v>
      </c>
      <c r="CL3863">
        <v>0</v>
      </c>
      <c r="CM3863">
        <v>2</v>
      </c>
      <c r="CN3863">
        <v>0</v>
      </c>
      <c r="CO3863">
        <v>5</v>
      </c>
      <c r="CP3863" t="s">
        <v>119</v>
      </c>
      <c r="CQ3863">
        <v>285</v>
      </c>
      <c r="CR3863">
        <v>0</v>
      </c>
      <c r="CW3863">
        <v>8884772</v>
      </c>
      <c r="CY3863">
        <v>0</v>
      </c>
      <c r="CZ3863">
        <v>0</v>
      </c>
      <c r="DA3863">
        <v>1</v>
      </c>
      <c r="DB3863">
        <v>0</v>
      </c>
      <c r="DC3863">
        <v>0</v>
      </c>
      <c r="DD3863">
        <v>0</v>
      </c>
      <c r="DE3863">
        <v>0</v>
      </c>
      <c r="DF3863">
        <v>0</v>
      </c>
      <c r="DG3863">
        <v>0</v>
      </c>
      <c r="DH3863">
        <v>0</v>
      </c>
      <c r="DI3863">
        <v>0</v>
      </c>
    </row>
    <row r="3864" spans="1:113" x14ac:dyDescent="0.25">
      <c r="A3864" t="str">
        <f t="shared" ref="A3864:A3870" si="2158">"06/05/2020 14:58:26.429"</f>
        <v>06/05/2020 14:58:26.429</v>
      </c>
      <c r="C3864" t="str">
        <f t="shared" si="2129"/>
        <v>FFDFD3C0</v>
      </c>
      <c r="D3864" t="s">
        <v>151</v>
      </c>
      <c r="E3864">
        <v>8</v>
      </c>
      <c r="H3864">
        <v>225</v>
      </c>
      <c r="I3864" t="s">
        <v>353</v>
      </c>
      <c r="J3864" t="s">
        <v>150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 t="shared" ref="S3864:S3870" si="2159">"14:58:32.078"</f>
        <v>14:58:32.078</v>
      </c>
      <c r="T3864" t="str">
        <f t="shared" ref="T3864:T3870" si="2160">"14:58:31.578"</f>
        <v>14:58:31.578</v>
      </c>
      <c r="U3864" t="str">
        <f t="shared" si="2145"/>
        <v>ACC530</v>
      </c>
      <c r="V3864">
        <v>0</v>
      </c>
      <c r="W3864">
        <v>0</v>
      </c>
      <c r="X3864">
        <v>1</v>
      </c>
      <c r="Z3864">
        <v>0</v>
      </c>
      <c r="AA3864">
        <v>9</v>
      </c>
      <c r="AB3864">
        <v>3</v>
      </c>
      <c r="AC3864">
        <v>0</v>
      </c>
      <c r="AD3864">
        <v>9</v>
      </c>
      <c r="AE3864">
        <v>0</v>
      </c>
      <c r="AF3864">
        <v>3</v>
      </c>
      <c r="AG3864">
        <v>1</v>
      </c>
      <c r="AH3864">
        <v>0</v>
      </c>
      <c r="AI3864" t="s">
        <v>1242</v>
      </c>
      <c r="AJ3864">
        <v>34.062058999999998</v>
      </c>
      <c r="AK3864" t="s">
        <v>1236</v>
      </c>
      <c r="AL3864">
        <v>-117.019587</v>
      </c>
      <c r="AM3864">
        <v>100</v>
      </c>
      <c r="AN3864">
        <v>5300</v>
      </c>
      <c r="AO3864" t="s">
        <v>118</v>
      </c>
      <c r="AP3864">
        <v>6</v>
      </c>
      <c r="AQ3864">
        <v>-92</v>
      </c>
      <c r="AR3864">
        <v>0</v>
      </c>
      <c r="AZ3864">
        <v>1200</v>
      </c>
      <c r="BA3864">
        <v>1</v>
      </c>
      <c r="BB3864" t="str">
        <f t="shared" si="2149"/>
        <v xml:space="preserve">N9217B  </v>
      </c>
      <c r="BC3864">
        <v>1</v>
      </c>
      <c r="BE3864">
        <v>0</v>
      </c>
      <c r="BF3864">
        <v>0</v>
      </c>
      <c r="BG3864">
        <v>0</v>
      </c>
      <c r="BH3864">
        <v>5100</v>
      </c>
      <c r="BI3864">
        <v>1</v>
      </c>
      <c r="BJ3864">
        <v>0</v>
      </c>
      <c r="BK3864">
        <v>0</v>
      </c>
      <c r="BL3864">
        <v>0</v>
      </c>
      <c r="BO3864">
        <v>0</v>
      </c>
      <c r="BP3864">
        <v>0</v>
      </c>
      <c r="BW3864" t="str">
        <f t="shared" ref="BW3864:BW3870" si="2161">"14:58:32.082"</f>
        <v>14:58:32.082</v>
      </c>
      <c r="CJ3864">
        <v>0</v>
      </c>
      <c r="CK3864">
        <v>2</v>
      </c>
      <c r="CL3864">
        <v>0</v>
      </c>
      <c r="CM3864">
        <v>2</v>
      </c>
      <c r="CN3864">
        <v>0</v>
      </c>
      <c r="CO3864">
        <v>5</v>
      </c>
      <c r="CP3864" t="s">
        <v>119</v>
      </c>
      <c r="CQ3864">
        <v>285</v>
      </c>
      <c r="CR3864">
        <v>0</v>
      </c>
      <c r="CW3864">
        <v>8884912</v>
      </c>
      <c r="CY3864">
        <v>0</v>
      </c>
      <c r="CZ3864">
        <v>0</v>
      </c>
      <c r="DA3864">
        <v>0</v>
      </c>
      <c r="DB3864">
        <v>0</v>
      </c>
      <c r="DC3864">
        <v>0</v>
      </c>
      <c r="DD3864">
        <v>0</v>
      </c>
      <c r="DE3864">
        <v>0</v>
      </c>
      <c r="DF3864">
        <v>0</v>
      </c>
      <c r="DG3864">
        <v>0</v>
      </c>
      <c r="DH3864">
        <v>0</v>
      </c>
      <c r="DI3864">
        <v>0</v>
      </c>
    </row>
    <row r="3865" spans="1:113" x14ac:dyDescent="0.25">
      <c r="A3865" t="str">
        <f t="shared" si="2158"/>
        <v>06/05/2020 14:58:26.429</v>
      </c>
      <c r="C3865" t="str">
        <f t="shared" si="2129"/>
        <v>FFDFD3C0</v>
      </c>
      <c r="D3865" t="s">
        <v>148</v>
      </c>
      <c r="E3865">
        <v>8</v>
      </c>
      <c r="H3865">
        <v>50</v>
      </c>
      <c r="I3865" t="s">
        <v>149</v>
      </c>
      <c r="J3865" t="s">
        <v>150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 t="shared" si="2159"/>
        <v>14:58:32.078</v>
      </c>
      <c r="T3865" t="str">
        <f t="shared" si="2160"/>
        <v>14:58:31.578</v>
      </c>
      <c r="U3865" t="str">
        <f t="shared" si="2145"/>
        <v>ACC530</v>
      </c>
      <c r="V3865">
        <v>0</v>
      </c>
      <c r="W3865">
        <v>0</v>
      </c>
      <c r="X3865">
        <v>1</v>
      </c>
      <c r="Z3865">
        <v>0</v>
      </c>
      <c r="AA3865">
        <v>9</v>
      </c>
      <c r="AB3865">
        <v>3</v>
      </c>
      <c r="AC3865">
        <v>0</v>
      </c>
      <c r="AD3865">
        <v>9</v>
      </c>
      <c r="AE3865">
        <v>0</v>
      </c>
      <c r="AF3865">
        <v>3</v>
      </c>
      <c r="AG3865">
        <v>1</v>
      </c>
      <c r="AH3865">
        <v>0</v>
      </c>
      <c r="AI3865" t="s">
        <v>1242</v>
      </c>
      <c r="AJ3865">
        <v>34.062058999999998</v>
      </c>
      <c r="AK3865" t="s">
        <v>1236</v>
      </c>
      <c r="AL3865">
        <v>-117.019587</v>
      </c>
      <c r="AM3865">
        <v>100</v>
      </c>
      <c r="AN3865">
        <v>5300</v>
      </c>
      <c r="AO3865" t="s">
        <v>118</v>
      </c>
      <c r="AP3865">
        <v>6</v>
      </c>
      <c r="AQ3865">
        <v>-92</v>
      </c>
      <c r="AR3865">
        <v>0</v>
      </c>
      <c r="AZ3865">
        <v>1200</v>
      </c>
      <c r="BA3865">
        <v>1</v>
      </c>
      <c r="BB3865" t="str">
        <f t="shared" si="2149"/>
        <v xml:space="preserve">N9217B  </v>
      </c>
      <c r="BC3865">
        <v>1</v>
      </c>
      <c r="BE3865">
        <v>0</v>
      </c>
      <c r="BF3865">
        <v>0</v>
      </c>
      <c r="BG3865">
        <v>0</v>
      </c>
      <c r="BH3865">
        <v>5100</v>
      </c>
      <c r="BI3865">
        <v>1</v>
      </c>
      <c r="BJ3865">
        <v>0</v>
      </c>
      <c r="BK3865">
        <v>0</v>
      </c>
      <c r="BL3865">
        <v>0</v>
      </c>
      <c r="BO3865">
        <v>0</v>
      </c>
      <c r="BP3865">
        <v>0</v>
      </c>
      <c r="BW3865" t="str">
        <f t="shared" si="2161"/>
        <v>14:58:32.082</v>
      </c>
      <c r="CJ3865">
        <v>0</v>
      </c>
      <c r="CK3865">
        <v>2</v>
      </c>
      <c r="CL3865">
        <v>0</v>
      </c>
      <c r="CM3865">
        <v>2</v>
      </c>
      <c r="CN3865">
        <v>0</v>
      </c>
      <c r="CO3865">
        <v>5</v>
      </c>
      <c r="CP3865" t="s">
        <v>119</v>
      </c>
      <c r="CQ3865">
        <v>285</v>
      </c>
      <c r="CR3865">
        <v>0</v>
      </c>
      <c r="CW3865">
        <v>8884912</v>
      </c>
      <c r="CY3865">
        <v>0</v>
      </c>
      <c r="CZ3865">
        <v>0</v>
      </c>
      <c r="DA3865">
        <v>1</v>
      </c>
      <c r="DB3865">
        <v>0</v>
      </c>
      <c r="DC3865">
        <v>0</v>
      </c>
      <c r="DD3865">
        <v>0</v>
      </c>
      <c r="DE3865">
        <v>0</v>
      </c>
      <c r="DF3865">
        <v>0</v>
      </c>
      <c r="DG3865">
        <v>0</v>
      </c>
      <c r="DH3865">
        <v>0</v>
      </c>
      <c r="DI3865">
        <v>0</v>
      </c>
    </row>
    <row r="3866" spans="1:113" x14ac:dyDescent="0.25">
      <c r="A3866" t="str">
        <f t="shared" si="2158"/>
        <v>06/05/2020 14:58:26.429</v>
      </c>
      <c r="C3866" t="str">
        <f t="shared" si="2129"/>
        <v>FFDFD3C0</v>
      </c>
      <c r="D3866" t="s">
        <v>141</v>
      </c>
      <c r="E3866">
        <v>20</v>
      </c>
      <c r="F3866">
        <v>1020</v>
      </c>
      <c r="G3866" t="s">
        <v>114</v>
      </c>
      <c r="J3866" t="s">
        <v>142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 t="shared" si="2159"/>
        <v>14:58:32.078</v>
      </c>
      <c r="T3866" t="str">
        <f t="shared" si="2160"/>
        <v>14:58:31.578</v>
      </c>
      <c r="U3866" t="str">
        <f t="shared" si="2145"/>
        <v>ACC530</v>
      </c>
      <c r="V3866">
        <v>0</v>
      </c>
      <c r="W3866">
        <v>0</v>
      </c>
      <c r="X3866">
        <v>1</v>
      </c>
      <c r="Z3866">
        <v>0</v>
      </c>
      <c r="AA3866">
        <v>9</v>
      </c>
      <c r="AB3866">
        <v>3</v>
      </c>
      <c r="AC3866">
        <v>0</v>
      </c>
      <c r="AD3866">
        <v>9</v>
      </c>
      <c r="AE3866">
        <v>0</v>
      </c>
      <c r="AF3866">
        <v>3</v>
      </c>
      <c r="AG3866">
        <v>1</v>
      </c>
      <c r="AH3866">
        <v>0</v>
      </c>
      <c r="AI3866" t="s">
        <v>1242</v>
      </c>
      <c r="AJ3866">
        <v>34.062058999999998</v>
      </c>
      <c r="AK3866" t="s">
        <v>1236</v>
      </c>
      <c r="AL3866">
        <v>-117.019587</v>
      </c>
      <c r="AM3866">
        <v>100</v>
      </c>
      <c r="AN3866">
        <v>5300</v>
      </c>
      <c r="AO3866" t="s">
        <v>118</v>
      </c>
      <c r="AP3866">
        <v>6</v>
      </c>
      <c r="AQ3866">
        <v>-92</v>
      </c>
      <c r="AR3866">
        <v>0</v>
      </c>
      <c r="AZ3866">
        <v>1200</v>
      </c>
      <c r="BA3866">
        <v>1</v>
      </c>
      <c r="BB3866" t="str">
        <f t="shared" si="2149"/>
        <v xml:space="preserve">N9217B  </v>
      </c>
      <c r="BC3866">
        <v>1</v>
      </c>
      <c r="BE3866">
        <v>0</v>
      </c>
      <c r="BF3866">
        <v>0</v>
      </c>
      <c r="BG3866">
        <v>0</v>
      </c>
      <c r="BH3866">
        <v>5100</v>
      </c>
      <c r="BI3866">
        <v>1</v>
      </c>
      <c r="BJ3866">
        <v>0</v>
      </c>
      <c r="BK3866">
        <v>0</v>
      </c>
      <c r="BL3866">
        <v>0</v>
      </c>
      <c r="BO3866">
        <v>0</v>
      </c>
      <c r="BP3866">
        <v>0</v>
      </c>
      <c r="BW3866" t="str">
        <f t="shared" si="2161"/>
        <v>14:58:32.082</v>
      </c>
      <c r="CJ3866">
        <v>0</v>
      </c>
      <c r="CK3866">
        <v>2</v>
      </c>
      <c r="CL3866">
        <v>0</v>
      </c>
      <c r="CM3866">
        <v>2</v>
      </c>
      <c r="CN3866">
        <v>0</v>
      </c>
      <c r="CO3866">
        <v>5</v>
      </c>
      <c r="CP3866" t="s">
        <v>119</v>
      </c>
      <c r="CQ3866">
        <v>285</v>
      </c>
      <c r="CR3866">
        <v>0</v>
      </c>
      <c r="CW3866">
        <v>8884912</v>
      </c>
      <c r="CY3866">
        <v>0</v>
      </c>
      <c r="CZ3866">
        <v>0</v>
      </c>
      <c r="DA3866">
        <v>1</v>
      </c>
      <c r="DB3866">
        <v>0</v>
      </c>
      <c r="DC3866">
        <v>0</v>
      </c>
      <c r="DD3866">
        <v>0</v>
      </c>
      <c r="DE3866">
        <v>0</v>
      </c>
      <c r="DF3866">
        <v>0</v>
      </c>
      <c r="DG3866">
        <v>0</v>
      </c>
      <c r="DH3866">
        <v>0</v>
      </c>
      <c r="DI3866">
        <v>0</v>
      </c>
    </row>
    <row r="3867" spans="1:113" x14ac:dyDescent="0.25">
      <c r="A3867" t="str">
        <f t="shared" si="2158"/>
        <v>06/05/2020 14:58:26.429</v>
      </c>
      <c r="C3867" t="str">
        <f t="shared" si="2129"/>
        <v>FFDFD3C0</v>
      </c>
      <c r="D3867" t="s">
        <v>151</v>
      </c>
      <c r="E3867">
        <v>9</v>
      </c>
      <c r="H3867">
        <v>226</v>
      </c>
      <c r="I3867" t="s">
        <v>152</v>
      </c>
      <c r="J3867" t="s">
        <v>150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 t="shared" si="2159"/>
        <v>14:58:32.078</v>
      </c>
      <c r="T3867" t="str">
        <f t="shared" si="2160"/>
        <v>14:58:31.578</v>
      </c>
      <c r="U3867" t="str">
        <f t="shared" si="2145"/>
        <v>ACC530</v>
      </c>
      <c r="V3867">
        <v>0</v>
      </c>
      <c r="W3867">
        <v>0</v>
      </c>
      <c r="X3867">
        <v>1</v>
      </c>
      <c r="Z3867">
        <v>0</v>
      </c>
      <c r="AA3867">
        <v>9</v>
      </c>
      <c r="AB3867">
        <v>3</v>
      </c>
      <c r="AC3867">
        <v>0</v>
      </c>
      <c r="AD3867">
        <v>9</v>
      </c>
      <c r="AE3867">
        <v>0</v>
      </c>
      <c r="AF3867">
        <v>3</v>
      </c>
      <c r="AG3867">
        <v>1</v>
      </c>
      <c r="AH3867">
        <v>0</v>
      </c>
      <c r="AI3867" t="s">
        <v>1242</v>
      </c>
      <c r="AJ3867">
        <v>34.062058999999998</v>
      </c>
      <c r="AK3867" t="s">
        <v>1236</v>
      </c>
      <c r="AL3867">
        <v>-117.019587</v>
      </c>
      <c r="AM3867">
        <v>100</v>
      </c>
      <c r="AN3867">
        <v>5300</v>
      </c>
      <c r="AO3867" t="s">
        <v>118</v>
      </c>
      <c r="AP3867">
        <v>6</v>
      </c>
      <c r="AQ3867">
        <v>-92</v>
      </c>
      <c r="AR3867">
        <v>0</v>
      </c>
      <c r="AZ3867">
        <v>1200</v>
      </c>
      <c r="BA3867">
        <v>1</v>
      </c>
      <c r="BB3867" t="str">
        <f t="shared" si="2149"/>
        <v xml:space="preserve">N9217B  </v>
      </c>
      <c r="BC3867">
        <v>1</v>
      </c>
      <c r="BE3867">
        <v>0</v>
      </c>
      <c r="BF3867">
        <v>0</v>
      </c>
      <c r="BG3867">
        <v>0</v>
      </c>
      <c r="BH3867">
        <v>5100</v>
      </c>
      <c r="BI3867">
        <v>1</v>
      </c>
      <c r="BJ3867">
        <v>0</v>
      </c>
      <c r="BK3867">
        <v>0</v>
      </c>
      <c r="BL3867">
        <v>0</v>
      </c>
      <c r="BO3867">
        <v>0</v>
      </c>
      <c r="BP3867">
        <v>0</v>
      </c>
      <c r="BW3867" t="str">
        <f t="shared" si="2161"/>
        <v>14:58:32.082</v>
      </c>
      <c r="CJ3867">
        <v>0</v>
      </c>
      <c r="CK3867">
        <v>2</v>
      </c>
      <c r="CL3867">
        <v>0</v>
      </c>
      <c r="CM3867">
        <v>2</v>
      </c>
      <c r="CN3867">
        <v>0</v>
      </c>
      <c r="CO3867">
        <v>5</v>
      </c>
      <c r="CP3867" t="s">
        <v>119</v>
      </c>
      <c r="CQ3867">
        <v>285</v>
      </c>
      <c r="CR3867">
        <v>0</v>
      </c>
      <c r="CW3867">
        <v>8884912</v>
      </c>
      <c r="CY3867">
        <v>0</v>
      </c>
      <c r="CZ3867">
        <v>0</v>
      </c>
      <c r="DA3867">
        <v>1</v>
      </c>
      <c r="DB3867">
        <v>0</v>
      </c>
      <c r="DC3867">
        <v>0</v>
      </c>
      <c r="DD3867">
        <v>0</v>
      </c>
      <c r="DE3867">
        <v>0</v>
      </c>
      <c r="DF3867">
        <v>0</v>
      </c>
      <c r="DG3867">
        <v>0</v>
      </c>
      <c r="DH3867">
        <v>0</v>
      </c>
      <c r="DI3867">
        <v>0</v>
      </c>
    </row>
    <row r="3868" spans="1:113" x14ac:dyDescent="0.25">
      <c r="A3868" t="str">
        <f t="shared" si="2158"/>
        <v>06/05/2020 14:58:26.429</v>
      </c>
      <c r="C3868" t="str">
        <f t="shared" si="2129"/>
        <v>FFDFD3C0</v>
      </c>
      <c r="D3868" t="s">
        <v>113</v>
      </c>
      <c r="E3868">
        <v>3</v>
      </c>
      <c r="H3868">
        <v>166</v>
      </c>
      <c r="I3868" t="s">
        <v>114</v>
      </c>
      <c r="J3868" t="s">
        <v>115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 t="shared" si="2159"/>
        <v>14:58:32.078</v>
      </c>
      <c r="T3868" t="str">
        <f t="shared" si="2160"/>
        <v>14:58:31.578</v>
      </c>
      <c r="U3868" t="str">
        <f t="shared" si="2145"/>
        <v>ACC530</v>
      </c>
      <c r="V3868">
        <v>0</v>
      </c>
      <c r="W3868">
        <v>0</v>
      </c>
      <c r="X3868">
        <v>1</v>
      </c>
      <c r="Z3868">
        <v>0</v>
      </c>
      <c r="AA3868">
        <v>9</v>
      </c>
      <c r="AB3868">
        <v>3</v>
      </c>
      <c r="AC3868">
        <v>0</v>
      </c>
      <c r="AD3868">
        <v>9</v>
      </c>
      <c r="AE3868">
        <v>0</v>
      </c>
      <c r="AF3868">
        <v>3</v>
      </c>
      <c r="AG3868">
        <v>1</v>
      </c>
      <c r="AH3868">
        <v>0</v>
      </c>
      <c r="AI3868" t="s">
        <v>1242</v>
      </c>
      <c r="AJ3868">
        <v>34.062058999999998</v>
      </c>
      <c r="AK3868" t="s">
        <v>1236</v>
      </c>
      <c r="AL3868">
        <v>-117.019587</v>
      </c>
      <c r="AM3868">
        <v>100</v>
      </c>
      <c r="AN3868">
        <v>5300</v>
      </c>
      <c r="AO3868" t="s">
        <v>118</v>
      </c>
      <c r="AP3868">
        <v>6</v>
      </c>
      <c r="AQ3868">
        <v>-92</v>
      </c>
      <c r="AR3868">
        <v>0</v>
      </c>
      <c r="AZ3868">
        <v>1200</v>
      </c>
      <c r="BA3868">
        <v>1</v>
      </c>
      <c r="BB3868" t="str">
        <f t="shared" si="2149"/>
        <v xml:space="preserve">N9217B  </v>
      </c>
      <c r="BC3868">
        <v>1</v>
      </c>
      <c r="BE3868">
        <v>0</v>
      </c>
      <c r="BF3868">
        <v>0</v>
      </c>
      <c r="BG3868">
        <v>0</v>
      </c>
      <c r="BH3868">
        <v>5100</v>
      </c>
      <c r="BI3868">
        <v>1</v>
      </c>
      <c r="BJ3868">
        <v>0</v>
      </c>
      <c r="BK3868">
        <v>0</v>
      </c>
      <c r="BL3868">
        <v>0</v>
      </c>
      <c r="BO3868">
        <v>0</v>
      </c>
      <c r="BP3868">
        <v>0</v>
      </c>
      <c r="BW3868" t="str">
        <f t="shared" si="2161"/>
        <v>14:58:32.082</v>
      </c>
      <c r="CJ3868">
        <v>0</v>
      </c>
      <c r="CK3868">
        <v>2</v>
      </c>
      <c r="CL3868">
        <v>0</v>
      </c>
      <c r="CM3868">
        <v>2</v>
      </c>
      <c r="CN3868">
        <v>0</v>
      </c>
      <c r="CO3868">
        <v>5</v>
      </c>
      <c r="CP3868" t="s">
        <v>119</v>
      </c>
      <c r="CQ3868">
        <v>285</v>
      </c>
      <c r="CR3868">
        <v>0</v>
      </c>
      <c r="CW3868">
        <v>8884912</v>
      </c>
      <c r="CY3868">
        <v>0</v>
      </c>
      <c r="CZ3868">
        <v>0</v>
      </c>
      <c r="DA3868">
        <v>1</v>
      </c>
      <c r="DB3868">
        <v>0</v>
      </c>
      <c r="DC3868">
        <v>0</v>
      </c>
      <c r="DD3868">
        <v>0</v>
      </c>
      <c r="DE3868">
        <v>0</v>
      </c>
      <c r="DF3868">
        <v>0</v>
      </c>
      <c r="DG3868">
        <v>0</v>
      </c>
      <c r="DH3868">
        <v>0</v>
      </c>
      <c r="DI3868">
        <v>0</v>
      </c>
    </row>
    <row r="3869" spans="1:113" x14ac:dyDescent="0.25">
      <c r="A3869" t="str">
        <f t="shared" si="2158"/>
        <v>06/05/2020 14:58:26.429</v>
      </c>
      <c r="C3869" t="str">
        <f t="shared" si="2129"/>
        <v>FFDFD3C0</v>
      </c>
      <c r="D3869" t="s">
        <v>148</v>
      </c>
      <c r="E3869">
        <v>11</v>
      </c>
      <c r="H3869">
        <v>53</v>
      </c>
      <c r="I3869" t="s">
        <v>364</v>
      </c>
      <c r="J3869" t="s">
        <v>150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 t="shared" si="2159"/>
        <v>14:58:32.078</v>
      </c>
      <c r="T3869" t="str">
        <f t="shared" si="2160"/>
        <v>14:58:31.578</v>
      </c>
      <c r="U3869" t="str">
        <f t="shared" si="2145"/>
        <v>ACC530</v>
      </c>
      <c r="V3869">
        <v>0</v>
      </c>
      <c r="W3869">
        <v>0</v>
      </c>
      <c r="X3869">
        <v>1</v>
      </c>
      <c r="Z3869">
        <v>0</v>
      </c>
      <c r="AA3869">
        <v>9</v>
      </c>
      <c r="AB3869">
        <v>3</v>
      </c>
      <c r="AC3869">
        <v>0</v>
      </c>
      <c r="AD3869">
        <v>9</v>
      </c>
      <c r="AE3869">
        <v>0</v>
      </c>
      <c r="AF3869">
        <v>3</v>
      </c>
      <c r="AG3869">
        <v>1</v>
      </c>
      <c r="AH3869">
        <v>0</v>
      </c>
      <c r="AI3869" t="s">
        <v>1242</v>
      </c>
      <c r="AJ3869">
        <v>34.062058999999998</v>
      </c>
      <c r="AK3869" t="s">
        <v>1236</v>
      </c>
      <c r="AL3869">
        <v>-117.019587</v>
      </c>
      <c r="AM3869">
        <v>100</v>
      </c>
      <c r="AN3869">
        <v>5300</v>
      </c>
      <c r="AO3869" t="s">
        <v>118</v>
      </c>
      <c r="AP3869">
        <v>6</v>
      </c>
      <c r="AQ3869">
        <v>-92</v>
      </c>
      <c r="AR3869">
        <v>0</v>
      </c>
      <c r="AZ3869">
        <v>1200</v>
      </c>
      <c r="BA3869">
        <v>1</v>
      </c>
      <c r="BB3869" t="str">
        <f t="shared" si="2149"/>
        <v xml:space="preserve">N9217B  </v>
      </c>
      <c r="BC3869">
        <v>1</v>
      </c>
      <c r="BE3869">
        <v>0</v>
      </c>
      <c r="BF3869">
        <v>0</v>
      </c>
      <c r="BG3869">
        <v>0</v>
      </c>
      <c r="BH3869">
        <v>5100</v>
      </c>
      <c r="BI3869">
        <v>1</v>
      </c>
      <c r="BJ3869">
        <v>0</v>
      </c>
      <c r="BK3869">
        <v>0</v>
      </c>
      <c r="BL3869">
        <v>0</v>
      </c>
      <c r="BO3869">
        <v>0</v>
      </c>
      <c r="BP3869">
        <v>0</v>
      </c>
      <c r="BW3869" t="str">
        <f t="shared" si="2161"/>
        <v>14:58:32.082</v>
      </c>
      <c r="CJ3869">
        <v>0</v>
      </c>
      <c r="CK3869">
        <v>2</v>
      </c>
      <c r="CL3869">
        <v>0</v>
      </c>
      <c r="CM3869">
        <v>2</v>
      </c>
      <c r="CN3869">
        <v>0</v>
      </c>
      <c r="CO3869">
        <v>5</v>
      </c>
      <c r="CP3869" t="s">
        <v>119</v>
      </c>
      <c r="CQ3869">
        <v>285</v>
      </c>
      <c r="CR3869">
        <v>0</v>
      </c>
      <c r="CW3869">
        <v>8884912</v>
      </c>
      <c r="CY3869">
        <v>0</v>
      </c>
      <c r="CZ3869">
        <v>0</v>
      </c>
      <c r="DA3869">
        <v>1</v>
      </c>
      <c r="DB3869">
        <v>0</v>
      </c>
      <c r="DC3869">
        <v>0</v>
      </c>
      <c r="DD3869">
        <v>0</v>
      </c>
      <c r="DE3869">
        <v>0</v>
      </c>
      <c r="DF3869">
        <v>0</v>
      </c>
      <c r="DG3869">
        <v>0</v>
      </c>
      <c r="DH3869">
        <v>0</v>
      </c>
      <c r="DI3869">
        <v>0</v>
      </c>
    </row>
    <row r="3870" spans="1:113" x14ac:dyDescent="0.25">
      <c r="A3870" t="str">
        <f t="shared" si="2158"/>
        <v>06/05/2020 14:58:26.429</v>
      </c>
      <c r="C3870" t="str">
        <f t="shared" si="2129"/>
        <v>FFDFD3C0</v>
      </c>
      <c r="D3870" t="s">
        <v>134</v>
      </c>
      <c r="E3870">
        <v>7</v>
      </c>
      <c r="F3870">
        <v>2007</v>
      </c>
      <c r="G3870" t="s">
        <v>135</v>
      </c>
      <c r="J3870" t="s">
        <v>136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 t="shared" si="2159"/>
        <v>14:58:32.078</v>
      </c>
      <c r="T3870" t="str">
        <f t="shared" si="2160"/>
        <v>14:58:31.578</v>
      </c>
      <c r="U3870" t="str">
        <f t="shared" si="2145"/>
        <v>ACC530</v>
      </c>
      <c r="V3870">
        <v>0</v>
      </c>
      <c r="W3870">
        <v>0</v>
      </c>
      <c r="X3870">
        <v>1</v>
      </c>
      <c r="Z3870">
        <v>0</v>
      </c>
      <c r="AA3870">
        <v>9</v>
      </c>
      <c r="AB3870">
        <v>3</v>
      </c>
      <c r="AC3870">
        <v>0</v>
      </c>
      <c r="AD3870">
        <v>9</v>
      </c>
      <c r="AE3870">
        <v>0</v>
      </c>
      <c r="AF3870">
        <v>3</v>
      </c>
      <c r="AG3870">
        <v>1</v>
      </c>
      <c r="AH3870">
        <v>0</v>
      </c>
      <c r="AI3870" t="s">
        <v>1242</v>
      </c>
      <c r="AJ3870">
        <v>34.062058999999998</v>
      </c>
      <c r="AK3870" t="s">
        <v>1236</v>
      </c>
      <c r="AL3870">
        <v>-117.019587</v>
      </c>
      <c r="AM3870">
        <v>100</v>
      </c>
      <c r="AN3870">
        <v>5300</v>
      </c>
      <c r="AO3870" t="s">
        <v>118</v>
      </c>
      <c r="AP3870">
        <v>6</v>
      </c>
      <c r="AQ3870">
        <v>-92</v>
      </c>
      <c r="AR3870">
        <v>0</v>
      </c>
      <c r="AZ3870">
        <v>1200</v>
      </c>
      <c r="BA3870">
        <v>1</v>
      </c>
      <c r="BB3870" t="str">
        <f t="shared" si="2149"/>
        <v xml:space="preserve">N9217B  </v>
      </c>
      <c r="BC3870">
        <v>1</v>
      </c>
      <c r="BE3870">
        <v>0</v>
      </c>
      <c r="BF3870">
        <v>0</v>
      </c>
      <c r="BG3870">
        <v>0</v>
      </c>
      <c r="BH3870">
        <v>5100</v>
      </c>
      <c r="BI3870">
        <v>1</v>
      </c>
      <c r="BJ3870">
        <v>0</v>
      </c>
      <c r="BK3870">
        <v>0</v>
      </c>
      <c r="BL3870">
        <v>0</v>
      </c>
      <c r="BO3870">
        <v>0</v>
      </c>
      <c r="BP3870">
        <v>0</v>
      </c>
      <c r="BW3870" t="str">
        <f t="shared" si="2161"/>
        <v>14:58:32.082</v>
      </c>
      <c r="CJ3870">
        <v>0</v>
      </c>
      <c r="CK3870">
        <v>2</v>
      </c>
      <c r="CL3870">
        <v>0</v>
      </c>
      <c r="CM3870">
        <v>2</v>
      </c>
      <c r="CN3870">
        <v>0</v>
      </c>
      <c r="CO3870">
        <v>5</v>
      </c>
      <c r="CP3870" t="s">
        <v>119</v>
      </c>
      <c r="CQ3870">
        <v>285</v>
      </c>
      <c r="CR3870">
        <v>0</v>
      </c>
      <c r="CW3870">
        <v>8884912</v>
      </c>
      <c r="CY3870">
        <v>0</v>
      </c>
      <c r="CZ3870">
        <v>0</v>
      </c>
      <c r="DA3870">
        <v>1</v>
      </c>
      <c r="DB3870">
        <v>0</v>
      </c>
      <c r="DC3870">
        <v>0</v>
      </c>
      <c r="DD3870">
        <v>0</v>
      </c>
      <c r="DE3870">
        <v>0</v>
      </c>
      <c r="DF3870">
        <v>0</v>
      </c>
      <c r="DG3870">
        <v>0</v>
      </c>
      <c r="DH3870">
        <v>0</v>
      </c>
      <c r="DI3870">
        <v>0</v>
      </c>
    </row>
    <row r="3871" spans="1:113" x14ac:dyDescent="0.25">
      <c r="A3871" t="str">
        <f t="shared" ref="A3871:A3877" si="2162">"06/05/2020 14:58:27.522"</f>
        <v>06/05/2020 14:58:27.522</v>
      </c>
      <c r="C3871" t="str">
        <f t="shared" si="2129"/>
        <v>FFDFD3C0</v>
      </c>
      <c r="D3871" t="s">
        <v>148</v>
      </c>
      <c r="E3871">
        <v>11</v>
      </c>
      <c r="H3871">
        <v>53</v>
      </c>
      <c r="I3871" t="s">
        <v>364</v>
      </c>
      <c r="J3871" t="s">
        <v>150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 t="shared" ref="S3871:S3877" si="2163">"14:58:33.141"</f>
        <v>14:58:33.141</v>
      </c>
      <c r="T3871" t="str">
        <f t="shared" ref="T3871:T3877" si="2164">"14:58:32.641"</f>
        <v>14:58:32.641</v>
      </c>
      <c r="U3871" t="str">
        <f t="shared" si="2145"/>
        <v>ACC530</v>
      </c>
      <c r="V3871">
        <v>0</v>
      </c>
      <c r="W3871">
        <v>0</v>
      </c>
      <c r="X3871">
        <v>1</v>
      </c>
      <c r="Z3871">
        <v>0</v>
      </c>
      <c r="AA3871">
        <v>9</v>
      </c>
      <c r="AB3871">
        <v>3</v>
      </c>
      <c r="AC3871">
        <v>0</v>
      </c>
      <c r="AD3871">
        <v>9</v>
      </c>
      <c r="AE3871">
        <v>0</v>
      </c>
      <c r="AF3871">
        <v>3</v>
      </c>
      <c r="AG3871">
        <v>1</v>
      </c>
      <c r="AH3871">
        <v>0</v>
      </c>
      <c r="AI3871" t="s">
        <v>1243</v>
      </c>
      <c r="AJ3871">
        <v>34.061565000000002</v>
      </c>
      <c r="AK3871" t="s">
        <v>1234</v>
      </c>
      <c r="AL3871">
        <v>-117.019565</v>
      </c>
      <c r="AM3871">
        <v>100</v>
      </c>
      <c r="AN3871">
        <v>5300</v>
      </c>
      <c r="AO3871" t="s">
        <v>118</v>
      </c>
      <c r="AP3871">
        <v>10</v>
      </c>
      <c r="AQ3871">
        <v>-92</v>
      </c>
      <c r="AR3871">
        <v>128</v>
      </c>
      <c r="AZ3871">
        <v>1200</v>
      </c>
      <c r="BA3871">
        <v>1</v>
      </c>
      <c r="BB3871" t="str">
        <f t="shared" si="2149"/>
        <v xml:space="preserve">N9217B  </v>
      </c>
      <c r="BC3871">
        <v>1</v>
      </c>
      <c r="BE3871">
        <v>0</v>
      </c>
      <c r="BF3871">
        <v>0</v>
      </c>
      <c r="BG3871">
        <v>0</v>
      </c>
      <c r="BH3871">
        <v>5100</v>
      </c>
      <c r="BI3871">
        <v>1</v>
      </c>
      <c r="BJ3871">
        <v>0</v>
      </c>
      <c r="BK3871">
        <v>0</v>
      </c>
      <c r="BL3871">
        <v>0</v>
      </c>
      <c r="BO3871">
        <v>0</v>
      </c>
      <c r="BP3871">
        <v>0</v>
      </c>
      <c r="BW3871" t="str">
        <f t="shared" ref="BW3871:BW3877" si="2165">"14:58:33.147"</f>
        <v>14:58:33.147</v>
      </c>
      <c r="CJ3871">
        <v>0</v>
      </c>
      <c r="CK3871">
        <v>2</v>
      </c>
      <c r="CL3871">
        <v>0</v>
      </c>
      <c r="CM3871">
        <v>2</v>
      </c>
      <c r="CN3871">
        <v>0</v>
      </c>
      <c r="CO3871">
        <v>5</v>
      </c>
      <c r="CP3871" t="s">
        <v>119</v>
      </c>
      <c r="CQ3871">
        <v>285</v>
      </c>
      <c r="CR3871">
        <v>0</v>
      </c>
      <c r="CW3871">
        <v>8885008</v>
      </c>
      <c r="CY3871">
        <v>0</v>
      </c>
      <c r="CZ3871">
        <v>0</v>
      </c>
      <c r="DA3871">
        <v>0</v>
      </c>
      <c r="DB3871">
        <v>0</v>
      </c>
      <c r="DC3871">
        <v>0</v>
      </c>
      <c r="DD3871">
        <v>0</v>
      </c>
      <c r="DE3871">
        <v>0</v>
      </c>
      <c r="DF3871">
        <v>0</v>
      </c>
      <c r="DG3871">
        <v>0</v>
      </c>
      <c r="DH3871">
        <v>0</v>
      </c>
      <c r="DI3871">
        <v>0</v>
      </c>
    </row>
    <row r="3872" spans="1:113" x14ac:dyDescent="0.25">
      <c r="A3872" t="str">
        <f t="shared" si="2162"/>
        <v>06/05/2020 14:58:27.522</v>
      </c>
      <c r="C3872" t="str">
        <f t="shared" si="2129"/>
        <v>FFDFD3C0</v>
      </c>
      <c r="D3872" t="s">
        <v>134</v>
      </c>
      <c r="E3872">
        <v>7</v>
      </c>
      <c r="F3872">
        <v>2007</v>
      </c>
      <c r="G3872" t="s">
        <v>135</v>
      </c>
      <c r="J3872" t="s">
        <v>136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 t="shared" si="2163"/>
        <v>14:58:33.141</v>
      </c>
      <c r="T3872" t="str">
        <f t="shared" si="2164"/>
        <v>14:58:32.641</v>
      </c>
      <c r="U3872" t="str">
        <f t="shared" si="2145"/>
        <v>ACC530</v>
      </c>
      <c r="V3872">
        <v>0</v>
      </c>
      <c r="W3872">
        <v>0</v>
      </c>
      <c r="X3872">
        <v>1</v>
      </c>
      <c r="Z3872">
        <v>0</v>
      </c>
      <c r="AA3872">
        <v>9</v>
      </c>
      <c r="AB3872">
        <v>3</v>
      </c>
      <c r="AC3872">
        <v>0</v>
      </c>
      <c r="AD3872">
        <v>9</v>
      </c>
      <c r="AE3872">
        <v>0</v>
      </c>
      <c r="AF3872">
        <v>3</v>
      </c>
      <c r="AG3872">
        <v>1</v>
      </c>
      <c r="AH3872">
        <v>0</v>
      </c>
      <c r="AI3872" t="s">
        <v>1243</v>
      </c>
      <c r="AJ3872">
        <v>34.061565000000002</v>
      </c>
      <c r="AK3872" t="s">
        <v>1234</v>
      </c>
      <c r="AL3872">
        <v>-117.019565</v>
      </c>
      <c r="AM3872">
        <v>100</v>
      </c>
      <c r="AN3872">
        <v>5300</v>
      </c>
      <c r="AO3872" t="s">
        <v>118</v>
      </c>
      <c r="AP3872">
        <v>10</v>
      </c>
      <c r="AQ3872">
        <v>-92</v>
      </c>
      <c r="AR3872">
        <v>128</v>
      </c>
      <c r="AZ3872">
        <v>1200</v>
      </c>
      <c r="BA3872">
        <v>1</v>
      </c>
      <c r="BB3872" t="str">
        <f t="shared" si="2149"/>
        <v xml:space="preserve">N9217B  </v>
      </c>
      <c r="BC3872">
        <v>1</v>
      </c>
      <c r="BE3872">
        <v>0</v>
      </c>
      <c r="BF3872">
        <v>0</v>
      </c>
      <c r="BG3872">
        <v>0</v>
      </c>
      <c r="BH3872">
        <v>5100</v>
      </c>
      <c r="BI3872">
        <v>1</v>
      </c>
      <c r="BJ3872">
        <v>0</v>
      </c>
      <c r="BK3872">
        <v>0</v>
      </c>
      <c r="BL3872">
        <v>0</v>
      </c>
      <c r="BO3872">
        <v>0</v>
      </c>
      <c r="BP3872">
        <v>0</v>
      </c>
      <c r="BW3872" t="str">
        <f t="shared" si="2165"/>
        <v>14:58:33.147</v>
      </c>
      <c r="CJ3872">
        <v>0</v>
      </c>
      <c r="CK3872">
        <v>2</v>
      </c>
      <c r="CL3872">
        <v>0</v>
      </c>
      <c r="CM3872">
        <v>2</v>
      </c>
      <c r="CN3872">
        <v>0</v>
      </c>
      <c r="CO3872">
        <v>5</v>
      </c>
      <c r="CP3872" t="s">
        <v>119</v>
      </c>
      <c r="CQ3872">
        <v>285</v>
      </c>
      <c r="CR3872">
        <v>0</v>
      </c>
      <c r="CW3872">
        <v>8885008</v>
      </c>
      <c r="CY3872">
        <v>0</v>
      </c>
      <c r="CZ3872">
        <v>0</v>
      </c>
      <c r="DA3872">
        <v>1</v>
      </c>
      <c r="DB3872">
        <v>0</v>
      </c>
      <c r="DC3872">
        <v>0</v>
      </c>
      <c r="DD3872">
        <v>0</v>
      </c>
      <c r="DE3872">
        <v>0</v>
      </c>
      <c r="DF3872">
        <v>0</v>
      </c>
      <c r="DG3872">
        <v>0</v>
      </c>
      <c r="DH3872">
        <v>0</v>
      </c>
      <c r="DI3872">
        <v>0</v>
      </c>
    </row>
    <row r="3873" spans="1:113" x14ac:dyDescent="0.25">
      <c r="A3873" t="str">
        <f t="shared" si="2162"/>
        <v>06/05/2020 14:58:27.522</v>
      </c>
      <c r="C3873" t="str">
        <f t="shared" si="2129"/>
        <v>FFDFD3C0</v>
      </c>
      <c r="D3873" t="s">
        <v>141</v>
      </c>
      <c r="E3873">
        <v>20</v>
      </c>
      <c r="F3873">
        <v>1020</v>
      </c>
      <c r="G3873" t="s">
        <v>114</v>
      </c>
      <c r="J3873" t="s">
        <v>142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 t="shared" si="2163"/>
        <v>14:58:33.141</v>
      </c>
      <c r="T3873" t="str">
        <f t="shared" si="2164"/>
        <v>14:58:32.641</v>
      </c>
      <c r="U3873" t="str">
        <f t="shared" si="2145"/>
        <v>ACC530</v>
      </c>
      <c r="V3873">
        <v>0</v>
      </c>
      <c r="W3873">
        <v>0</v>
      </c>
      <c r="X3873">
        <v>1</v>
      </c>
      <c r="Z3873">
        <v>0</v>
      </c>
      <c r="AA3873">
        <v>9</v>
      </c>
      <c r="AB3873">
        <v>3</v>
      </c>
      <c r="AC3873">
        <v>0</v>
      </c>
      <c r="AD3873">
        <v>9</v>
      </c>
      <c r="AE3873">
        <v>0</v>
      </c>
      <c r="AF3873">
        <v>3</v>
      </c>
      <c r="AG3873">
        <v>1</v>
      </c>
      <c r="AH3873">
        <v>0</v>
      </c>
      <c r="AI3873" t="s">
        <v>1243</v>
      </c>
      <c r="AJ3873">
        <v>34.061565000000002</v>
      </c>
      <c r="AK3873" t="s">
        <v>1234</v>
      </c>
      <c r="AL3873">
        <v>-117.019565</v>
      </c>
      <c r="AM3873">
        <v>100</v>
      </c>
      <c r="AN3873">
        <v>5300</v>
      </c>
      <c r="AO3873" t="s">
        <v>118</v>
      </c>
      <c r="AP3873">
        <v>10</v>
      </c>
      <c r="AQ3873">
        <v>-92</v>
      </c>
      <c r="AR3873">
        <v>128</v>
      </c>
      <c r="AZ3873">
        <v>1200</v>
      </c>
      <c r="BA3873">
        <v>1</v>
      </c>
      <c r="BB3873" t="str">
        <f t="shared" si="2149"/>
        <v xml:space="preserve">N9217B  </v>
      </c>
      <c r="BC3873">
        <v>1</v>
      </c>
      <c r="BE3873">
        <v>0</v>
      </c>
      <c r="BF3873">
        <v>0</v>
      </c>
      <c r="BG3873">
        <v>0</v>
      </c>
      <c r="BH3873">
        <v>5100</v>
      </c>
      <c r="BI3873">
        <v>1</v>
      </c>
      <c r="BJ3873">
        <v>0</v>
      </c>
      <c r="BK3873">
        <v>0</v>
      </c>
      <c r="BL3873">
        <v>0</v>
      </c>
      <c r="BO3873">
        <v>0</v>
      </c>
      <c r="BP3873">
        <v>0</v>
      </c>
      <c r="BW3873" t="str">
        <f t="shared" si="2165"/>
        <v>14:58:33.147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5</v>
      </c>
      <c r="CP3873" t="s">
        <v>119</v>
      </c>
      <c r="CQ3873">
        <v>285</v>
      </c>
      <c r="CR3873">
        <v>0</v>
      </c>
      <c r="CW3873">
        <v>8885008</v>
      </c>
      <c r="CY3873">
        <v>0</v>
      </c>
      <c r="CZ3873">
        <v>0</v>
      </c>
      <c r="DA3873">
        <v>1</v>
      </c>
      <c r="DB3873">
        <v>0</v>
      </c>
      <c r="DC3873">
        <v>0</v>
      </c>
      <c r="DD3873">
        <v>0</v>
      </c>
      <c r="DE3873">
        <v>0</v>
      </c>
      <c r="DF3873">
        <v>0</v>
      </c>
      <c r="DG3873">
        <v>0</v>
      </c>
      <c r="DH3873">
        <v>0</v>
      </c>
      <c r="DI3873">
        <v>0</v>
      </c>
    </row>
    <row r="3874" spans="1:113" x14ac:dyDescent="0.25">
      <c r="A3874" t="str">
        <f t="shared" si="2162"/>
        <v>06/05/2020 14:58:27.522</v>
      </c>
      <c r="C3874" t="str">
        <f t="shared" si="2129"/>
        <v>FFDFD3C0</v>
      </c>
      <c r="D3874" t="s">
        <v>151</v>
      </c>
      <c r="E3874">
        <v>8</v>
      </c>
      <c r="H3874">
        <v>225</v>
      </c>
      <c r="I3874" t="s">
        <v>353</v>
      </c>
      <c r="J3874" t="s">
        <v>150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 t="shared" si="2163"/>
        <v>14:58:33.141</v>
      </c>
      <c r="T3874" t="str">
        <f t="shared" si="2164"/>
        <v>14:58:32.641</v>
      </c>
      <c r="U3874" t="str">
        <f t="shared" si="2145"/>
        <v>ACC530</v>
      </c>
      <c r="V3874">
        <v>0</v>
      </c>
      <c r="W3874">
        <v>0</v>
      </c>
      <c r="X3874">
        <v>1</v>
      </c>
      <c r="Z3874">
        <v>0</v>
      </c>
      <c r="AA3874">
        <v>9</v>
      </c>
      <c r="AB3874">
        <v>3</v>
      </c>
      <c r="AC3874">
        <v>0</v>
      </c>
      <c r="AD3874">
        <v>9</v>
      </c>
      <c r="AE3874">
        <v>0</v>
      </c>
      <c r="AF3874">
        <v>3</v>
      </c>
      <c r="AG3874">
        <v>1</v>
      </c>
      <c r="AH3874">
        <v>0</v>
      </c>
      <c r="AI3874" t="s">
        <v>1243</v>
      </c>
      <c r="AJ3874">
        <v>34.061565000000002</v>
      </c>
      <c r="AK3874" t="s">
        <v>1234</v>
      </c>
      <c r="AL3874">
        <v>-117.019565</v>
      </c>
      <c r="AM3874">
        <v>100</v>
      </c>
      <c r="AN3874">
        <v>5300</v>
      </c>
      <c r="AO3874" t="s">
        <v>118</v>
      </c>
      <c r="AP3874">
        <v>10</v>
      </c>
      <c r="AQ3874">
        <v>-92</v>
      </c>
      <c r="AR3874">
        <v>128</v>
      </c>
      <c r="AZ3874">
        <v>1200</v>
      </c>
      <c r="BA3874">
        <v>1</v>
      </c>
      <c r="BB3874" t="str">
        <f t="shared" si="2149"/>
        <v xml:space="preserve">N9217B  </v>
      </c>
      <c r="BC3874">
        <v>1</v>
      </c>
      <c r="BE3874">
        <v>0</v>
      </c>
      <c r="BF3874">
        <v>0</v>
      </c>
      <c r="BG3874">
        <v>0</v>
      </c>
      <c r="BH3874">
        <v>5100</v>
      </c>
      <c r="BI3874">
        <v>1</v>
      </c>
      <c r="BJ3874">
        <v>0</v>
      </c>
      <c r="BK3874">
        <v>0</v>
      </c>
      <c r="BL3874">
        <v>0</v>
      </c>
      <c r="BO3874">
        <v>0</v>
      </c>
      <c r="BP3874">
        <v>0</v>
      </c>
      <c r="BW3874" t="str">
        <f t="shared" si="2165"/>
        <v>14:58:33.147</v>
      </c>
      <c r="CJ3874">
        <v>0</v>
      </c>
      <c r="CK3874">
        <v>2</v>
      </c>
      <c r="CL3874">
        <v>0</v>
      </c>
      <c r="CM3874">
        <v>2</v>
      </c>
      <c r="CN3874">
        <v>0</v>
      </c>
      <c r="CO3874">
        <v>5</v>
      </c>
      <c r="CP3874" t="s">
        <v>119</v>
      </c>
      <c r="CQ3874">
        <v>285</v>
      </c>
      <c r="CR3874">
        <v>0</v>
      </c>
      <c r="CW3874">
        <v>8885008</v>
      </c>
      <c r="CY3874">
        <v>0</v>
      </c>
      <c r="CZ3874">
        <v>0</v>
      </c>
      <c r="DA3874">
        <v>1</v>
      </c>
      <c r="DB3874">
        <v>0</v>
      </c>
      <c r="DC3874">
        <v>0</v>
      </c>
      <c r="DD3874">
        <v>0</v>
      </c>
      <c r="DE3874">
        <v>0</v>
      </c>
      <c r="DF3874">
        <v>0</v>
      </c>
      <c r="DG3874">
        <v>0</v>
      </c>
      <c r="DH3874">
        <v>0</v>
      </c>
      <c r="DI3874">
        <v>0</v>
      </c>
    </row>
    <row r="3875" spans="1:113" x14ac:dyDescent="0.25">
      <c r="A3875" t="str">
        <f t="shared" si="2162"/>
        <v>06/05/2020 14:58:27.522</v>
      </c>
      <c r="C3875" t="str">
        <f t="shared" ref="C3875:C3938" si="2166">"FFDFD3C0"</f>
        <v>FFDFD3C0</v>
      </c>
      <c r="D3875" t="s">
        <v>148</v>
      </c>
      <c r="E3875">
        <v>8</v>
      </c>
      <c r="H3875">
        <v>50</v>
      </c>
      <c r="I3875" t="s">
        <v>149</v>
      </c>
      <c r="J3875" t="s">
        <v>150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 t="shared" si="2163"/>
        <v>14:58:33.141</v>
      </c>
      <c r="T3875" t="str">
        <f t="shared" si="2164"/>
        <v>14:58:32.641</v>
      </c>
      <c r="U3875" t="str">
        <f t="shared" si="2145"/>
        <v>ACC530</v>
      </c>
      <c r="V3875">
        <v>0</v>
      </c>
      <c r="W3875">
        <v>0</v>
      </c>
      <c r="X3875">
        <v>1</v>
      </c>
      <c r="Z3875">
        <v>0</v>
      </c>
      <c r="AA3875">
        <v>9</v>
      </c>
      <c r="AB3875">
        <v>3</v>
      </c>
      <c r="AC3875">
        <v>0</v>
      </c>
      <c r="AD3875">
        <v>9</v>
      </c>
      <c r="AE3875">
        <v>0</v>
      </c>
      <c r="AF3875">
        <v>3</v>
      </c>
      <c r="AG3875">
        <v>1</v>
      </c>
      <c r="AH3875">
        <v>0</v>
      </c>
      <c r="AI3875" t="s">
        <v>1243</v>
      </c>
      <c r="AJ3875">
        <v>34.061565000000002</v>
      </c>
      <c r="AK3875" t="s">
        <v>1234</v>
      </c>
      <c r="AL3875">
        <v>-117.019565</v>
      </c>
      <c r="AM3875">
        <v>100</v>
      </c>
      <c r="AN3875">
        <v>5300</v>
      </c>
      <c r="AO3875" t="s">
        <v>118</v>
      </c>
      <c r="AP3875">
        <v>10</v>
      </c>
      <c r="AQ3875">
        <v>-92</v>
      </c>
      <c r="AR3875">
        <v>128</v>
      </c>
      <c r="AZ3875">
        <v>1200</v>
      </c>
      <c r="BA3875">
        <v>1</v>
      </c>
      <c r="BB3875" t="str">
        <f t="shared" si="2149"/>
        <v xml:space="preserve">N9217B  </v>
      </c>
      <c r="BC3875">
        <v>1</v>
      </c>
      <c r="BE3875">
        <v>0</v>
      </c>
      <c r="BF3875">
        <v>0</v>
      </c>
      <c r="BG3875">
        <v>0</v>
      </c>
      <c r="BH3875">
        <v>5100</v>
      </c>
      <c r="BI3875">
        <v>1</v>
      </c>
      <c r="BJ3875">
        <v>0</v>
      </c>
      <c r="BK3875">
        <v>0</v>
      </c>
      <c r="BL3875">
        <v>0</v>
      </c>
      <c r="BO3875">
        <v>0</v>
      </c>
      <c r="BP3875">
        <v>0</v>
      </c>
      <c r="BW3875" t="str">
        <f t="shared" si="2165"/>
        <v>14:58:33.147</v>
      </c>
      <c r="CJ3875">
        <v>0</v>
      </c>
      <c r="CK3875">
        <v>2</v>
      </c>
      <c r="CL3875">
        <v>0</v>
      </c>
      <c r="CM3875">
        <v>2</v>
      </c>
      <c r="CN3875">
        <v>0</v>
      </c>
      <c r="CO3875">
        <v>5</v>
      </c>
      <c r="CP3875" t="s">
        <v>119</v>
      </c>
      <c r="CQ3875">
        <v>285</v>
      </c>
      <c r="CR3875">
        <v>0</v>
      </c>
      <c r="CW3875">
        <v>8885008</v>
      </c>
      <c r="CY3875">
        <v>0</v>
      </c>
      <c r="CZ3875">
        <v>0</v>
      </c>
      <c r="DA3875">
        <v>1</v>
      </c>
      <c r="DB3875">
        <v>0</v>
      </c>
      <c r="DC3875">
        <v>0</v>
      </c>
      <c r="DD3875">
        <v>0</v>
      </c>
      <c r="DE3875">
        <v>0</v>
      </c>
      <c r="DF3875">
        <v>0</v>
      </c>
      <c r="DG3875">
        <v>0</v>
      </c>
      <c r="DH3875">
        <v>0</v>
      </c>
      <c r="DI3875">
        <v>0</v>
      </c>
    </row>
    <row r="3876" spans="1:113" x14ac:dyDescent="0.25">
      <c r="A3876" t="str">
        <f t="shared" si="2162"/>
        <v>06/05/2020 14:58:27.522</v>
      </c>
      <c r="C3876" t="str">
        <f t="shared" si="2166"/>
        <v>FFDFD3C0</v>
      </c>
      <c r="D3876" t="s">
        <v>151</v>
      </c>
      <c r="E3876">
        <v>9</v>
      </c>
      <c r="H3876">
        <v>226</v>
      </c>
      <c r="I3876" t="s">
        <v>152</v>
      </c>
      <c r="J3876" t="s">
        <v>150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 t="shared" si="2163"/>
        <v>14:58:33.141</v>
      </c>
      <c r="T3876" t="str">
        <f t="shared" si="2164"/>
        <v>14:58:32.641</v>
      </c>
      <c r="U3876" t="str">
        <f t="shared" si="2145"/>
        <v>ACC530</v>
      </c>
      <c r="V3876">
        <v>0</v>
      </c>
      <c r="W3876">
        <v>0</v>
      </c>
      <c r="X3876">
        <v>1</v>
      </c>
      <c r="Z3876">
        <v>0</v>
      </c>
      <c r="AA3876">
        <v>9</v>
      </c>
      <c r="AB3876">
        <v>3</v>
      </c>
      <c r="AC3876">
        <v>0</v>
      </c>
      <c r="AD3876">
        <v>9</v>
      </c>
      <c r="AE3876">
        <v>0</v>
      </c>
      <c r="AF3876">
        <v>3</v>
      </c>
      <c r="AG3876">
        <v>1</v>
      </c>
      <c r="AH3876">
        <v>0</v>
      </c>
      <c r="AI3876" t="s">
        <v>1243</v>
      </c>
      <c r="AJ3876">
        <v>34.061565000000002</v>
      </c>
      <c r="AK3876" t="s">
        <v>1234</v>
      </c>
      <c r="AL3876">
        <v>-117.019565</v>
      </c>
      <c r="AM3876">
        <v>100</v>
      </c>
      <c r="AN3876">
        <v>5300</v>
      </c>
      <c r="AO3876" t="s">
        <v>118</v>
      </c>
      <c r="AP3876">
        <v>10</v>
      </c>
      <c r="AQ3876">
        <v>-92</v>
      </c>
      <c r="AR3876">
        <v>128</v>
      </c>
      <c r="AZ3876">
        <v>1200</v>
      </c>
      <c r="BA3876">
        <v>1</v>
      </c>
      <c r="BB3876" t="str">
        <f t="shared" si="2149"/>
        <v xml:space="preserve">N9217B  </v>
      </c>
      <c r="BC3876">
        <v>1</v>
      </c>
      <c r="BE3876">
        <v>0</v>
      </c>
      <c r="BF3876">
        <v>0</v>
      </c>
      <c r="BG3876">
        <v>0</v>
      </c>
      <c r="BH3876">
        <v>5100</v>
      </c>
      <c r="BI3876">
        <v>1</v>
      </c>
      <c r="BJ3876">
        <v>0</v>
      </c>
      <c r="BK3876">
        <v>0</v>
      </c>
      <c r="BL3876">
        <v>0</v>
      </c>
      <c r="BO3876">
        <v>0</v>
      </c>
      <c r="BP3876">
        <v>0</v>
      </c>
      <c r="BW3876" t="str">
        <f t="shared" si="2165"/>
        <v>14:58:33.147</v>
      </c>
      <c r="CJ3876">
        <v>0</v>
      </c>
      <c r="CK3876">
        <v>2</v>
      </c>
      <c r="CL3876">
        <v>0</v>
      </c>
      <c r="CM3876">
        <v>2</v>
      </c>
      <c r="CN3876">
        <v>0</v>
      </c>
      <c r="CO3876">
        <v>5</v>
      </c>
      <c r="CP3876" t="s">
        <v>119</v>
      </c>
      <c r="CQ3876">
        <v>285</v>
      </c>
      <c r="CR3876">
        <v>0</v>
      </c>
      <c r="CW3876">
        <v>8885008</v>
      </c>
      <c r="CY3876">
        <v>0</v>
      </c>
      <c r="CZ3876">
        <v>0</v>
      </c>
      <c r="DA3876">
        <v>1</v>
      </c>
      <c r="DB3876">
        <v>0</v>
      </c>
      <c r="DC3876">
        <v>0</v>
      </c>
      <c r="DD3876">
        <v>0</v>
      </c>
      <c r="DE3876">
        <v>0</v>
      </c>
      <c r="DF3876">
        <v>0</v>
      </c>
      <c r="DG3876">
        <v>0</v>
      </c>
      <c r="DH3876">
        <v>0</v>
      </c>
      <c r="DI3876">
        <v>0</v>
      </c>
    </row>
    <row r="3877" spans="1:113" x14ac:dyDescent="0.25">
      <c r="A3877" t="str">
        <f t="shared" si="2162"/>
        <v>06/05/2020 14:58:27.522</v>
      </c>
      <c r="C3877" t="str">
        <f t="shared" si="2166"/>
        <v>FFDFD3C0</v>
      </c>
      <c r="D3877" t="s">
        <v>113</v>
      </c>
      <c r="E3877">
        <v>3</v>
      </c>
      <c r="H3877">
        <v>166</v>
      </c>
      <c r="I3877" t="s">
        <v>114</v>
      </c>
      <c r="J3877" t="s">
        <v>115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 t="shared" si="2163"/>
        <v>14:58:33.141</v>
      </c>
      <c r="T3877" t="str">
        <f t="shared" si="2164"/>
        <v>14:58:32.641</v>
      </c>
      <c r="U3877" t="str">
        <f t="shared" si="2145"/>
        <v>ACC530</v>
      </c>
      <c r="V3877">
        <v>0</v>
      </c>
      <c r="W3877">
        <v>0</v>
      </c>
      <c r="X3877">
        <v>1</v>
      </c>
      <c r="Z3877">
        <v>0</v>
      </c>
      <c r="AA3877">
        <v>9</v>
      </c>
      <c r="AB3877">
        <v>3</v>
      </c>
      <c r="AC3877">
        <v>0</v>
      </c>
      <c r="AD3877">
        <v>9</v>
      </c>
      <c r="AE3877">
        <v>0</v>
      </c>
      <c r="AF3877">
        <v>3</v>
      </c>
      <c r="AG3877">
        <v>1</v>
      </c>
      <c r="AH3877">
        <v>0</v>
      </c>
      <c r="AI3877" t="s">
        <v>1243</v>
      </c>
      <c r="AJ3877">
        <v>34.061565000000002</v>
      </c>
      <c r="AK3877" t="s">
        <v>1234</v>
      </c>
      <c r="AL3877">
        <v>-117.019565</v>
      </c>
      <c r="AM3877">
        <v>100</v>
      </c>
      <c r="AN3877">
        <v>5300</v>
      </c>
      <c r="AO3877" t="s">
        <v>118</v>
      </c>
      <c r="AP3877">
        <v>10</v>
      </c>
      <c r="AQ3877">
        <v>-92</v>
      </c>
      <c r="AR3877">
        <v>128</v>
      </c>
      <c r="AZ3877">
        <v>1200</v>
      </c>
      <c r="BA3877">
        <v>1</v>
      </c>
      <c r="BB3877" t="str">
        <f t="shared" si="2149"/>
        <v xml:space="preserve">N9217B  </v>
      </c>
      <c r="BC3877">
        <v>1</v>
      </c>
      <c r="BE3877">
        <v>0</v>
      </c>
      <c r="BF3877">
        <v>0</v>
      </c>
      <c r="BG3877">
        <v>0</v>
      </c>
      <c r="BH3877">
        <v>5100</v>
      </c>
      <c r="BI3877">
        <v>1</v>
      </c>
      <c r="BJ3877">
        <v>0</v>
      </c>
      <c r="BK3877">
        <v>0</v>
      </c>
      <c r="BL3877">
        <v>0</v>
      </c>
      <c r="BO3877">
        <v>0</v>
      </c>
      <c r="BP3877">
        <v>0</v>
      </c>
      <c r="BW3877" t="str">
        <f t="shared" si="2165"/>
        <v>14:58:33.147</v>
      </c>
      <c r="CJ3877">
        <v>0</v>
      </c>
      <c r="CK3877">
        <v>2</v>
      </c>
      <c r="CL3877">
        <v>0</v>
      </c>
      <c r="CM3877">
        <v>2</v>
      </c>
      <c r="CN3877">
        <v>0</v>
      </c>
      <c r="CO3877">
        <v>5</v>
      </c>
      <c r="CP3877" t="s">
        <v>119</v>
      </c>
      <c r="CQ3877">
        <v>285</v>
      </c>
      <c r="CR3877">
        <v>0</v>
      </c>
      <c r="CW3877">
        <v>8885008</v>
      </c>
      <c r="CY3877">
        <v>0</v>
      </c>
      <c r="CZ3877">
        <v>0</v>
      </c>
      <c r="DA3877">
        <v>1</v>
      </c>
      <c r="DB3877">
        <v>0</v>
      </c>
      <c r="DC3877">
        <v>0</v>
      </c>
      <c r="DD3877">
        <v>0</v>
      </c>
      <c r="DE3877">
        <v>0</v>
      </c>
      <c r="DF3877">
        <v>0</v>
      </c>
      <c r="DG3877">
        <v>0</v>
      </c>
      <c r="DH3877">
        <v>0</v>
      </c>
      <c r="DI3877">
        <v>0</v>
      </c>
    </row>
    <row r="3878" spans="1:113" x14ac:dyDescent="0.25">
      <c r="A3878" t="str">
        <f t="shared" ref="A3878:A3884" si="2167">"06/05/2020 14:58:29.136"</f>
        <v>06/05/2020 14:58:29.136</v>
      </c>
      <c r="C3878" t="str">
        <f t="shared" si="2166"/>
        <v>FFDFD3C0</v>
      </c>
      <c r="D3878" t="s">
        <v>134</v>
      </c>
      <c r="E3878">
        <v>7</v>
      </c>
      <c r="F3878">
        <v>2007</v>
      </c>
      <c r="G3878" t="s">
        <v>135</v>
      </c>
      <c r="J3878" t="s">
        <v>136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 t="shared" ref="S3878:T3884" si="2168">"14:58:34.766"</f>
        <v>14:58:34.766</v>
      </c>
      <c r="T3878" t="str">
        <f t="shared" si="2168"/>
        <v>14:58:34.766</v>
      </c>
      <c r="U3878" t="str">
        <f t="shared" si="2145"/>
        <v>ACC530</v>
      </c>
      <c r="V3878">
        <v>0</v>
      </c>
      <c r="W3878">
        <v>0</v>
      </c>
      <c r="X3878">
        <v>1</v>
      </c>
      <c r="Z3878">
        <v>0</v>
      </c>
      <c r="AA3878">
        <v>9</v>
      </c>
      <c r="AB3878">
        <v>3</v>
      </c>
      <c r="AC3878">
        <v>0</v>
      </c>
      <c r="AD3878">
        <v>9</v>
      </c>
      <c r="AE3878">
        <v>0</v>
      </c>
      <c r="AF3878">
        <v>3</v>
      </c>
      <c r="AG3878">
        <v>1</v>
      </c>
      <c r="AH3878">
        <v>0</v>
      </c>
      <c r="AI3878" t="s">
        <v>1244</v>
      </c>
      <c r="AJ3878">
        <v>34.060921999999998</v>
      </c>
      <c r="AK3878" t="s">
        <v>1245</v>
      </c>
      <c r="AL3878">
        <v>-117.019351</v>
      </c>
      <c r="AM3878">
        <v>100</v>
      </c>
      <c r="AN3878">
        <v>5300</v>
      </c>
      <c r="AO3878" t="s">
        <v>118</v>
      </c>
      <c r="AP3878">
        <v>22</v>
      </c>
      <c r="AQ3878">
        <v>-88</v>
      </c>
      <c r="AR3878">
        <v>320</v>
      </c>
      <c r="AZ3878">
        <v>1200</v>
      </c>
      <c r="BA3878">
        <v>1</v>
      </c>
      <c r="BB3878" t="str">
        <f t="shared" si="2149"/>
        <v xml:space="preserve">N9217B  </v>
      </c>
      <c r="BC3878">
        <v>1</v>
      </c>
      <c r="BE3878">
        <v>0</v>
      </c>
      <c r="BF3878">
        <v>0</v>
      </c>
      <c r="BG3878">
        <v>0</v>
      </c>
      <c r="BH3878">
        <v>5125</v>
      </c>
      <c r="BI3878">
        <v>1</v>
      </c>
      <c r="BJ3878">
        <v>0</v>
      </c>
      <c r="BK3878">
        <v>0</v>
      </c>
      <c r="BL3878">
        <v>0</v>
      </c>
      <c r="BO3878">
        <v>0</v>
      </c>
      <c r="BP3878">
        <v>0</v>
      </c>
      <c r="BW3878" t="str">
        <f t="shared" ref="BW3878:BW3884" si="2169">"14:58:34.767"</f>
        <v>14:58:34.767</v>
      </c>
      <c r="CJ3878">
        <v>0</v>
      </c>
      <c r="CK3878">
        <v>2</v>
      </c>
      <c r="CL3878">
        <v>0</v>
      </c>
      <c r="CM3878">
        <v>2</v>
      </c>
      <c r="CN3878">
        <v>0</v>
      </c>
      <c r="CO3878">
        <v>4</v>
      </c>
      <c r="CP3878" t="s">
        <v>119</v>
      </c>
      <c r="CQ3878">
        <v>285</v>
      </c>
      <c r="CR3878">
        <v>0</v>
      </c>
      <c r="CW3878">
        <v>8885152</v>
      </c>
      <c r="CY3878">
        <v>0</v>
      </c>
      <c r="CZ3878">
        <v>0</v>
      </c>
      <c r="DA3878">
        <v>0</v>
      </c>
      <c r="DB3878">
        <v>0</v>
      </c>
      <c r="DC3878">
        <v>0</v>
      </c>
      <c r="DD3878">
        <v>0</v>
      </c>
      <c r="DE3878">
        <v>0</v>
      </c>
      <c r="DF3878">
        <v>0</v>
      </c>
      <c r="DG3878">
        <v>0</v>
      </c>
      <c r="DH3878">
        <v>0</v>
      </c>
      <c r="DI3878">
        <v>0</v>
      </c>
    </row>
    <row r="3879" spans="1:113" x14ac:dyDescent="0.25">
      <c r="A3879" t="str">
        <f t="shared" si="2167"/>
        <v>06/05/2020 14:58:29.136</v>
      </c>
      <c r="C3879" t="str">
        <f t="shared" si="2166"/>
        <v>FFDFD3C0</v>
      </c>
      <c r="D3879" t="s">
        <v>148</v>
      </c>
      <c r="E3879">
        <v>11</v>
      </c>
      <c r="H3879">
        <v>53</v>
      </c>
      <c r="I3879" t="s">
        <v>364</v>
      </c>
      <c r="J3879" t="s">
        <v>150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 t="shared" si="2168"/>
        <v>14:58:34.766</v>
      </c>
      <c r="T3879" t="str">
        <f t="shared" si="2168"/>
        <v>14:58:34.766</v>
      </c>
      <c r="U3879" t="str">
        <f t="shared" si="2145"/>
        <v>ACC530</v>
      </c>
      <c r="V3879">
        <v>0</v>
      </c>
      <c r="W3879">
        <v>0</v>
      </c>
      <c r="X3879">
        <v>1</v>
      </c>
      <c r="Z3879">
        <v>0</v>
      </c>
      <c r="AA3879">
        <v>9</v>
      </c>
      <c r="AB3879">
        <v>3</v>
      </c>
      <c r="AC3879">
        <v>0</v>
      </c>
      <c r="AD3879">
        <v>9</v>
      </c>
      <c r="AE3879">
        <v>0</v>
      </c>
      <c r="AF3879">
        <v>3</v>
      </c>
      <c r="AG3879">
        <v>1</v>
      </c>
      <c r="AH3879">
        <v>0</v>
      </c>
      <c r="AI3879" t="s">
        <v>1244</v>
      </c>
      <c r="AJ3879">
        <v>34.060921999999998</v>
      </c>
      <c r="AK3879" t="s">
        <v>1245</v>
      </c>
      <c r="AL3879">
        <v>-117.019351</v>
      </c>
      <c r="AM3879">
        <v>100</v>
      </c>
      <c r="AN3879">
        <v>5300</v>
      </c>
      <c r="AO3879" t="s">
        <v>118</v>
      </c>
      <c r="AP3879">
        <v>22</v>
      </c>
      <c r="AQ3879">
        <v>-88</v>
      </c>
      <c r="AR3879">
        <v>320</v>
      </c>
      <c r="AZ3879">
        <v>1200</v>
      </c>
      <c r="BA3879">
        <v>1</v>
      </c>
      <c r="BB3879" t="str">
        <f t="shared" si="2149"/>
        <v xml:space="preserve">N9217B  </v>
      </c>
      <c r="BC3879">
        <v>1</v>
      </c>
      <c r="BE3879">
        <v>0</v>
      </c>
      <c r="BF3879">
        <v>0</v>
      </c>
      <c r="BG3879">
        <v>0</v>
      </c>
      <c r="BH3879">
        <v>5125</v>
      </c>
      <c r="BI3879">
        <v>1</v>
      </c>
      <c r="BJ3879">
        <v>0</v>
      </c>
      <c r="BK3879">
        <v>0</v>
      </c>
      <c r="BL3879">
        <v>0</v>
      </c>
      <c r="BO3879">
        <v>0</v>
      </c>
      <c r="BP3879">
        <v>0</v>
      </c>
      <c r="BW3879" t="str">
        <f t="shared" si="2169"/>
        <v>14:58:34.767</v>
      </c>
      <c r="CJ3879">
        <v>0</v>
      </c>
      <c r="CK3879">
        <v>2</v>
      </c>
      <c r="CL3879">
        <v>0</v>
      </c>
      <c r="CM3879">
        <v>2</v>
      </c>
      <c r="CN3879">
        <v>0</v>
      </c>
      <c r="CO3879">
        <v>4</v>
      </c>
      <c r="CP3879" t="s">
        <v>119</v>
      </c>
      <c r="CQ3879">
        <v>285</v>
      </c>
      <c r="CR3879">
        <v>0</v>
      </c>
      <c r="CW3879">
        <v>8885152</v>
      </c>
      <c r="CY3879">
        <v>0</v>
      </c>
      <c r="CZ3879">
        <v>0</v>
      </c>
      <c r="DA3879">
        <v>1</v>
      </c>
      <c r="DB3879">
        <v>0</v>
      </c>
      <c r="DC3879">
        <v>0</v>
      </c>
      <c r="DD3879">
        <v>0</v>
      </c>
      <c r="DE3879">
        <v>0</v>
      </c>
      <c r="DF3879">
        <v>0</v>
      </c>
      <c r="DG3879">
        <v>0</v>
      </c>
      <c r="DH3879">
        <v>0</v>
      </c>
      <c r="DI3879">
        <v>0</v>
      </c>
    </row>
    <row r="3880" spans="1:113" x14ac:dyDescent="0.25">
      <c r="A3880" t="str">
        <f t="shared" si="2167"/>
        <v>06/05/2020 14:58:29.136</v>
      </c>
      <c r="C3880" t="str">
        <f t="shared" si="2166"/>
        <v>FFDFD3C0</v>
      </c>
      <c r="D3880" t="s">
        <v>141</v>
      </c>
      <c r="E3880">
        <v>20</v>
      </c>
      <c r="F3880">
        <v>1020</v>
      </c>
      <c r="G3880" t="s">
        <v>114</v>
      </c>
      <c r="J3880" t="s">
        <v>142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 t="shared" si="2168"/>
        <v>14:58:34.766</v>
      </c>
      <c r="T3880" t="str">
        <f t="shared" si="2168"/>
        <v>14:58:34.766</v>
      </c>
      <c r="U3880" t="str">
        <f t="shared" si="2145"/>
        <v>ACC530</v>
      </c>
      <c r="V3880">
        <v>0</v>
      </c>
      <c r="W3880">
        <v>0</v>
      </c>
      <c r="X3880">
        <v>1</v>
      </c>
      <c r="Z3880">
        <v>0</v>
      </c>
      <c r="AA3880">
        <v>9</v>
      </c>
      <c r="AB3880">
        <v>3</v>
      </c>
      <c r="AC3880">
        <v>0</v>
      </c>
      <c r="AD3880">
        <v>9</v>
      </c>
      <c r="AE3880">
        <v>0</v>
      </c>
      <c r="AF3880">
        <v>3</v>
      </c>
      <c r="AG3880">
        <v>1</v>
      </c>
      <c r="AH3880">
        <v>0</v>
      </c>
      <c r="AI3880" t="s">
        <v>1244</v>
      </c>
      <c r="AJ3880">
        <v>34.060921999999998</v>
      </c>
      <c r="AK3880" t="s">
        <v>1245</v>
      </c>
      <c r="AL3880">
        <v>-117.019351</v>
      </c>
      <c r="AM3880">
        <v>100</v>
      </c>
      <c r="AN3880">
        <v>5300</v>
      </c>
      <c r="AO3880" t="s">
        <v>118</v>
      </c>
      <c r="AP3880">
        <v>22</v>
      </c>
      <c r="AQ3880">
        <v>-88</v>
      </c>
      <c r="AR3880">
        <v>320</v>
      </c>
      <c r="AZ3880">
        <v>1200</v>
      </c>
      <c r="BA3880">
        <v>1</v>
      </c>
      <c r="BB3880" t="str">
        <f t="shared" si="2149"/>
        <v xml:space="preserve">N9217B  </v>
      </c>
      <c r="BC3880">
        <v>1</v>
      </c>
      <c r="BE3880">
        <v>0</v>
      </c>
      <c r="BF3880">
        <v>0</v>
      </c>
      <c r="BG3880">
        <v>0</v>
      </c>
      <c r="BH3880">
        <v>5125</v>
      </c>
      <c r="BI3880">
        <v>1</v>
      </c>
      <c r="BJ3880">
        <v>0</v>
      </c>
      <c r="BK3880">
        <v>0</v>
      </c>
      <c r="BL3880">
        <v>0</v>
      </c>
      <c r="BO3880">
        <v>0</v>
      </c>
      <c r="BP3880">
        <v>0</v>
      </c>
      <c r="BW3880" t="str">
        <f t="shared" si="2169"/>
        <v>14:58:34.767</v>
      </c>
      <c r="CJ3880">
        <v>0</v>
      </c>
      <c r="CK3880">
        <v>2</v>
      </c>
      <c r="CL3880">
        <v>0</v>
      </c>
      <c r="CM3880">
        <v>2</v>
      </c>
      <c r="CN3880">
        <v>0</v>
      </c>
      <c r="CO3880">
        <v>4</v>
      </c>
      <c r="CP3880" t="s">
        <v>119</v>
      </c>
      <c r="CQ3880">
        <v>285</v>
      </c>
      <c r="CR3880">
        <v>0</v>
      </c>
      <c r="CW3880">
        <v>8885152</v>
      </c>
      <c r="CY3880">
        <v>0</v>
      </c>
      <c r="CZ3880">
        <v>0</v>
      </c>
      <c r="DA3880">
        <v>1</v>
      </c>
      <c r="DB3880">
        <v>0</v>
      </c>
      <c r="DC3880">
        <v>0</v>
      </c>
      <c r="DD3880">
        <v>0</v>
      </c>
      <c r="DE3880">
        <v>0</v>
      </c>
      <c r="DF3880">
        <v>0</v>
      </c>
      <c r="DG3880">
        <v>0</v>
      </c>
      <c r="DH3880">
        <v>0</v>
      </c>
      <c r="DI3880">
        <v>0</v>
      </c>
    </row>
    <row r="3881" spans="1:113" x14ac:dyDescent="0.25">
      <c r="A3881" t="str">
        <f t="shared" si="2167"/>
        <v>06/05/2020 14:58:29.136</v>
      </c>
      <c r="C3881" t="str">
        <f t="shared" si="2166"/>
        <v>FFDFD3C0</v>
      </c>
      <c r="D3881" t="s">
        <v>151</v>
      </c>
      <c r="E3881">
        <v>8</v>
      </c>
      <c r="H3881">
        <v>225</v>
      </c>
      <c r="I3881" t="s">
        <v>353</v>
      </c>
      <c r="J3881" t="s">
        <v>150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 t="shared" si="2168"/>
        <v>14:58:34.766</v>
      </c>
      <c r="T3881" t="str">
        <f t="shared" si="2168"/>
        <v>14:58:34.766</v>
      </c>
      <c r="U3881" t="str">
        <f t="shared" si="2145"/>
        <v>ACC530</v>
      </c>
      <c r="V3881">
        <v>0</v>
      </c>
      <c r="W3881">
        <v>0</v>
      </c>
      <c r="X3881">
        <v>1</v>
      </c>
      <c r="Z3881">
        <v>0</v>
      </c>
      <c r="AA3881">
        <v>9</v>
      </c>
      <c r="AB3881">
        <v>3</v>
      </c>
      <c r="AC3881">
        <v>0</v>
      </c>
      <c r="AD3881">
        <v>9</v>
      </c>
      <c r="AE3881">
        <v>0</v>
      </c>
      <c r="AF3881">
        <v>3</v>
      </c>
      <c r="AG3881">
        <v>1</v>
      </c>
      <c r="AH3881">
        <v>0</v>
      </c>
      <c r="AI3881" t="s">
        <v>1244</v>
      </c>
      <c r="AJ3881">
        <v>34.060921999999998</v>
      </c>
      <c r="AK3881" t="s">
        <v>1245</v>
      </c>
      <c r="AL3881">
        <v>-117.019351</v>
      </c>
      <c r="AM3881">
        <v>100</v>
      </c>
      <c r="AN3881">
        <v>5300</v>
      </c>
      <c r="AO3881" t="s">
        <v>118</v>
      </c>
      <c r="AP3881">
        <v>22</v>
      </c>
      <c r="AQ3881">
        <v>-88</v>
      </c>
      <c r="AR3881">
        <v>320</v>
      </c>
      <c r="AZ3881">
        <v>1200</v>
      </c>
      <c r="BA3881">
        <v>1</v>
      </c>
      <c r="BB3881" t="str">
        <f t="shared" si="2149"/>
        <v xml:space="preserve">N9217B  </v>
      </c>
      <c r="BC3881">
        <v>1</v>
      </c>
      <c r="BE3881">
        <v>0</v>
      </c>
      <c r="BF3881">
        <v>0</v>
      </c>
      <c r="BG3881">
        <v>0</v>
      </c>
      <c r="BH3881">
        <v>5125</v>
      </c>
      <c r="BI3881">
        <v>1</v>
      </c>
      <c r="BJ3881">
        <v>0</v>
      </c>
      <c r="BK3881">
        <v>0</v>
      </c>
      <c r="BL3881">
        <v>0</v>
      </c>
      <c r="BO3881">
        <v>0</v>
      </c>
      <c r="BP3881">
        <v>0</v>
      </c>
      <c r="BW3881" t="str">
        <f t="shared" si="2169"/>
        <v>14:58:34.767</v>
      </c>
      <c r="CJ3881">
        <v>0</v>
      </c>
      <c r="CK3881">
        <v>2</v>
      </c>
      <c r="CL3881">
        <v>0</v>
      </c>
      <c r="CM3881">
        <v>2</v>
      </c>
      <c r="CN3881">
        <v>0</v>
      </c>
      <c r="CO3881">
        <v>4</v>
      </c>
      <c r="CP3881" t="s">
        <v>119</v>
      </c>
      <c r="CQ3881">
        <v>285</v>
      </c>
      <c r="CR3881">
        <v>0</v>
      </c>
      <c r="CW3881">
        <v>8885152</v>
      </c>
      <c r="CY3881">
        <v>0</v>
      </c>
      <c r="CZ3881">
        <v>0</v>
      </c>
      <c r="DA3881">
        <v>1</v>
      </c>
      <c r="DB3881">
        <v>0</v>
      </c>
      <c r="DC3881">
        <v>0</v>
      </c>
      <c r="DD3881">
        <v>0</v>
      </c>
      <c r="DE3881">
        <v>0</v>
      </c>
      <c r="DF3881">
        <v>0</v>
      </c>
      <c r="DG3881">
        <v>0</v>
      </c>
      <c r="DH3881">
        <v>0</v>
      </c>
      <c r="DI3881">
        <v>0</v>
      </c>
    </row>
    <row r="3882" spans="1:113" x14ac:dyDescent="0.25">
      <c r="A3882" t="str">
        <f t="shared" si="2167"/>
        <v>06/05/2020 14:58:29.136</v>
      </c>
      <c r="C3882" t="str">
        <f t="shared" si="2166"/>
        <v>FFDFD3C0</v>
      </c>
      <c r="D3882" t="s">
        <v>148</v>
      </c>
      <c r="E3882">
        <v>8</v>
      </c>
      <c r="H3882">
        <v>50</v>
      </c>
      <c r="I3882" t="s">
        <v>149</v>
      </c>
      <c r="J3882" t="s">
        <v>150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 t="shared" si="2168"/>
        <v>14:58:34.766</v>
      </c>
      <c r="T3882" t="str">
        <f t="shared" si="2168"/>
        <v>14:58:34.766</v>
      </c>
      <c r="U3882" t="str">
        <f t="shared" si="2145"/>
        <v>ACC530</v>
      </c>
      <c r="V3882">
        <v>0</v>
      </c>
      <c r="W3882">
        <v>0</v>
      </c>
      <c r="X3882">
        <v>1</v>
      </c>
      <c r="Z3882">
        <v>0</v>
      </c>
      <c r="AA3882">
        <v>9</v>
      </c>
      <c r="AB3882">
        <v>3</v>
      </c>
      <c r="AC3882">
        <v>0</v>
      </c>
      <c r="AD3882">
        <v>9</v>
      </c>
      <c r="AE3882">
        <v>0</v>
      </c>
      <c r="AF3882">
        <v>3</v>
      </c>
      <c r="AG3882">
        <v>1</v>
      </c>
      <c r="AH3882">
        <v>0</v>
      </c>
      <c r="AI3882" t="s">
        <v>1244</v>
      </c>
      <c r="AJ3882">
        <v>34.060921999999998</v>
      </c>
      <c r="AK3882" t="s">
        <v>1245</v>
      </c>
      <c r="AL3882">
        <v>-117.019351</v>
      </c>
      <c r="AM3882">
        <v>100</v>
      </c>
      <c r="AN3882">
        <v>5300</v>
      </c>
      <c r="AO3882" t="s">
        <v>118</v>
      </c>
      <c r="AP3882">
        <v>22</v>
      </c>
      <c r="AQ3882">
        <v>-88</v>
      </c>
      <c r="AR3882">
        <v>320</v>
      </c>
      <c r="AZ3882">
        <v>1200</v>
      </c>
      <c r="BA3882">
        <v>1</v>
      </c>
      <c r="BB3882" t="str">
        <f t="shared" si="2149"/>
        <v xml:space="preserve">N9217B  </v>
      </c>
      <c r="BC3882">
        <v>1</v>
      </c>
      <c r="BE3882">
        <v>0</v>
      </c>
      <c r="BF3882">
        <v>0</v>
      </c>
      <c r="BG3882">
        <v>0</v>
      </c>
      <c r="BH3882">
        <v>5125</v>
      </c>
      <c r="BI3882">
        <v>1</v>
      </c>
      <c r="BJ3882">
        <v>0</v>
      </c>
      <c r="BK3882">
        <v>0</v>
      </c>
      <c r="BL3882">
        <v>0</v>
      </c>
      <c r="BO3882">
        <v>0</v>
      </c>
      <c r="BP3882">
        <v>0</v>
      </c>
      <c r="BW3882" t="str">
        <f t="shared" si="2169"/>
        <v>14:58:34.767</v>
      </c>
      <c r="CJ3882">
        <v>0</v>
      </c>
      <c r="CK3882">
        <v>2</v>
      </c>
      <c r="CL3882">
        <v>0</v>
      </c>
      <c r="CM3882">
        <v>2</v>
      </c>
      <c r="CN3882">
        <v>0</v>
      </c>
      <c r="CO3882">
        <v>4</v>
      </c>
      <c r="CP3882" t="s">
        <v>119</v>
      </c>
      <c r="CQ3882">
        <v>285</v>
      </c>
      <c r="CR3882">
        <v>0</v>
      </c>
      <c r="CW3882">
        <v>8885152</v>
      </c>
      <c r="CY3882">
        <v>0</v>
      </c>
      <c r="CZ3882">
        <v>0</v>
      </c>
      <c r="DA3882">
        <v>1</v>
      </c>
      <c r="DB3882">
        <v>0</v>
      </c>
      <c r="DC3882">
        <v>0</v>
      </c>
      <c r="DD3882">
        <v>0</v>
      </c>
      <c r="DE3882">
        <v>0</v>
      </c>
      <c r="DF3882">
        <v>0</v>
      </c>
      <c r="DG3882">
        <v>0</v>
      </c>
      <c r="DH3882">
        <v>0</v>
      </c>
      <c r="DI3882">
        <v>0</v>
      </c>
    </row>
    <row r="3883" spans="1:113" x14ac:dyDescent="0.25">
      <c r="A3883" t="str">
        <f t="shared" si="2167"/>
        <v>06/05/2020 14:58:29.136</v>
      </c>
      <c r="C3883" t="str">
        <f t="shared" si="2166"/>
        <v>FFDFD3C0</v>
      </c>
      <c r="D3883" t="s">
        <v>113</v>
      </c>
      <c r="E3883">
        <v>3</v>
      </c>
      <c r="H3883">
        <v>166</v>
      </c>
      <c r="I3883" t="s">
        <v>114</v>
      </c>
      <c r="J3883" t="s">
        <v>115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 t="shared" si="2168"/>
        <v>14:58:34.766</v>
      </c>
      <c r="T3883" t="str">
        <f t="shared" si="2168"/>
        <v>14:58:34.766</v>
      </c>
      <c r="U3883" t="str">
        <f t="shared" si="2145"/>
        <v>ACC530</v>
      </c>
      <c r="V3883">
        <v>0</v>
      </c>
      <c r="W3883">
        <v>0</v>
      </c>
      <c r="X3883">
        <v>1</v>
      </c>
      <c r="Z3883">
        <v>0</v>
      </c>
      <c r="AA3883">
        <v>9</v>
      </c>
      <c r="AB3883">
        <v>3</v>
      </c>
      <c r="AC3883">
        <v>0</v>
      </c>
      <c r="AD3883">
        <v>9</v>
      </c>
      <c r="AE3883">
        <v>0</v>
      </c>
      <c r="AF3883">
        <v>3</v>
      </c>
      <c r="AG3883">
        <v>1</v>
      </c>
      <c r="AH3883">
        <v>0</v>
      </c>
      <c r="AI3883" t="s">
        <v>1244</v>
      </c>
      <c r="AJ3883">
        <v>34.060921999999998</v>
      </c>
      <c r="AK3883" t="s">
        <v>1245</v>
      </c>
      <c r="AL3883">
        <v>-117.019351</v>
      </c>
      <c r="AM3883">
        <v>100</v>
      </c>
      <c r="AN3883">
        <v>5300</v>
      </c>
      <c r="AO3883" t="s">
        <v>118</v>
      </c>
      <c r="AP3883">
        <v>22</v>
      </c>
      <c r="AQ3883">
        <v>-88</v>
      </c>
      <c r="AR3883">
        <v>320</v>
      </c>
      <c r="AZ3883">
        <v>1200</v>
      </c>
      <c r="BA3883">
        <v>1</v>
      </c>
      <c r="BB3883" t="str">
        <f t="shared" si="2149"/>
        <v xml:space="preserve">N9217B  </v>
      </c>
      <c r="BC3883">
        <v>1</v>
      </c>
      <c r="BE3883">
        <v>0</v>
      </c>
      <c r="BF3883">
        <v>0</v>
      </c>
      <c r="BG3883">
        <v>0</v>
      </c>
      <c r="BH3883">
        <v>5125</v>
      </c>
      <c r="BI3883">
        <v>1</v>
      </c>
      <c r="BJ3883">
        <v>0</v>
      </c>
      <c r="BK3883">
        <v>0</v>
      </c>
      <c r="BL3883">
        <v>0</v>
      </c>
      <c r="BO3883">
        <v>0</v>
      </c>
      <c r="BP3883">
        <v>0</v>
      </c>
      <c r="BW3883" t="str">
        <f t="shared" si="2169"/>
        <v>14:58:34.767</v>
      </c>
      <c r="CJ3883">
        <v>0</v>
      </c>
      <c r="CK3883">
        <v>2</v>
      </c>
      <c r="CL3883">
        <v>0</v>
      </c>
      <c r="CM3883">
        <v>2</v>
      </c>
      <c r="CN3883">
        <v>0</v>
      </c>
      <c r="CO3883">
        <v>4</v>
      </c>
      <c r="CP3883" t="s">
        <v>119</v>
      </c>
      <c r="CQ3883">
        <v>285</v>
      </c>
      <c r="CR3883">
        <v>0</v>
      </c>
      <c r="CW3883">
        <v>8885152</v>
      </c>
      <c r="CY3883">
        <v>0</v>
      </c>
      <c r="CZ3883">
        <v>0</v>
      </c>
      <c r="DA3883">
        <v>1</v>
      </c>
      <c r="DB3883">
        <v>0</v>
      </c>
      <c r="DC3883">
        <v>0</v>
      </c>
      <c r="DD3883">
        <v>0</v>
      </c>
      <c r="DE3883">
        <v>0</v>
      </c>
      <c r="DF3883">
        <v>0</v>
      </c>
      <c r="DG3883">
        <v>0</v>
      </c>
      <c r="DH3883">
        <v>0</v>
      </c>
      <c r="DI3883">
        <v>0</v>
      </c>
    </row>
    <row r="3884" spans="1:113" x14ac:dyDescent="0.25">
      <c r="A3884" t="str">
        <f t="shared" si="2167"/>
        <v>06/05/2020 14:58:29.136</v>
      </c>
      <c r="C3884" t="str">
        <f t="shared" si="2166"/>
        <v>FFDFD3C0</v>
      </c>
      <c r="D3884" t="s">
        <v>151</v>
      </c>
      <c r="E3884">
        <v>9</v>
      </c>
      <c r="H3884">
        <v>226</v>
      </c>
      <c r="I3884" t="s">
        <v>152</v>
      </c>
      <c r="J3884" t="s">
        <v>150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 t="shared" si="2168"/>
        <v>14:58:34.766</v>
      </c>
      <c r="T3884" t="str">
        <f t="shared" si="2168"/>
        <v>14:58:34.766</v>
      </c>
      <c r="U3884" t="str">
        <f t="shared" si="2145"/>
        <v>ACC530</v>
      </c>
      <c r="V3884">
        <v>0</v>
      </c>
      <c r="W3884">
        <v>0</v>
      </c>
      <c r="X3884">
        <v>1</v>
      </c>
      <c r="Z3884">
        <v>0</v>
      </c>
      <c r="AA3884">
        <v>9</v>
      </c>
      <c r="AB3884">
        <v>3</v>
      </c>
      <c r="AC3884">
        <v>0</v>
      </c>
      <c r="AD3884">
        <v>9</v>
      </c>
      <c r="AE3884">
        <v>0</v>
      </c>
      <c r="AF3884">
        <v>3</v>
      </c>
      <c r="AG3884">
        <v>1</v>
      </c>
      <c r="AH3884">
        <v>0</v>
      </c>
      <c r="AI3884" t="s">
        <v>1244</v>
      </c>
      <c r="AJ3884">
        <v>34.060921999999998</v>
      </c>
      <c r="AK3884" t="s">
        <v>1245</v>
      </c>
      <c r="AL3884">
        <v>-117.019351</v>
      </c>
      <c r="AM3884">
        <v>100</v>
      </c>
      <c r="AN3884">
        <v>5300</v>
      </c>
      <c r="AO3884" t="s">
        <v>118</v>
      </c>
      <c r="AP3884">
        <v>22</v>
      </c>
      <c r="AQ3884">
        <v>-88</v>
      </c>
      <c r="AR3884">
        <v>320</v>
      </c>
      <c r="AZ3884">
        <v>1200</v>
      </c>
      <c r="BA3884">
        <v>1</v>
      </c>
      <c r="BB3884" t="str">
        <f t="shared" si="2149"/>
        <v xml:space="preserve">N9217B  </v>
      </c>
      <c r="BC3884">
        <v>1</v>
      </c>
      <c r="BE3884">
        <v>0</v>
      </c>
      <c r="BF3884">
        <v>0</v>
      </c>
      <c r="BG3884">
        <v>0</v>
      </c>
      <c r="BH3884">
        <v>5125</v>
      </c>
      <c r="BI3884">
        <v>1</v>
      </c>
      <c r="BJ3884">
        <v>0</v>
      </c>
      <c r="BK3884">
        <v>0</v>
      </c>
      <c r="BL3884">
        <v>0</v>
      </c>
      <c r="BO3884">
        <v>0</v>
      </c>
      <c r="BP3884">
        <v>0</v>
      </c>
      <c r="BW3884" t="str">
        <f t="shared" si="2169"/>
        <v>14:58:34.767</v>
      </c>
      <c r="CJ3884">
        <v>0</v>
      </c>
      <c r="CK3884">
        <v>2</v>
      </c>
      <c r="CL3884">
        <v>0</v>
      </c>
      <c r="CM3884">
        <v>2</v>
      </c>
      <c r="CN3884">
        <v>0</v>
      </c>
      <c r="CO3884">
        <v>4</v>
      </c>
      <c r="CP3884" t="s">
        <v>119</v>
      </c>
      <c r="CQ3884">
        <v>285</v>
      </c>
      <c r="CR3884">
        <v>0</v>
      </c>
      <c r="CW3884">
        <v>8885152</v>
      </c>
      <c r="CY3884">
        <v>0</v>
      </c>
      <c r="CZ3884">
        <v>0</v>
      </c>
      <c r="DA3884">
        <v>1</v>
      </c>
      <c r="DB3884">
        <v>0</v>
      </c>
      <c r="DC3884">
        <v>0</v>
      </c>
      <c r="DD3884">
        <v>0</v>
      </c>
      <c r="DE3884">
        <v>0</v>
      </c>
      <c r="DF3884">
        <v>0</v>
      </c>
      <c r="DG3884">
        <v>0</v>
      </c>
      <c r="DH3884">
        <v>0</v>
      </c>
      <c r="DI3884">
        <v>0</v>
      </c>
    </row>
    <row r="3885" spans="1:113" x14ac:dyDescent="0.25">
      <c r="A3885" t="str">
        <f t="shared" ref="A3885:A3891" si="2170">"06/05/2020 14:58:29.979"</f>
        <v>06/05/2020 14:58:29.979</v>
      </c>
      <c r="C3885" t="str">
        <f t="shared" si="2166"/>
        <v>FFDFD3C0</v>
      </c>
      <c r="D3885" t="s">
        <v>151</v>
      </c>
      <c r="E3885">
        <v>9</v>
      </c>
      <c r="H3885">
        <v>226</v>
      </c>
      <c r="I3885" t="s">
        <v>152</v>
      </c>
      <c r="J3885" t="s">
        <v>150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 t="shared" ref="S3885:S3891" si="2171">"14:58:35.648"</f>
        <v>14:58:35.648</v>
      </c>
      <c r="T3885" t="str">
        <f t="shared" ref="T3885:T3891" si="2172">"14:58:35.248"</f>
        <v>14:58:35.248</v>
      </c>
      <c r="U3885" t="str">
        <f t="shared" si="2145"/>
        <v>ACC530</v>
      </c>
      <c r="V3885">
        <v>0</v>
      </c>
      <c r="W3885">
        <v>0</v>
      </c>
      <c r="X3885">
        <v>1</v>
      </c>
      <c r="Z3885">
        <v>0</v>
      </c>
      <c r="AA3885">
        <v>9</v>
      </c>
      <c r="AB3885">
        <v>3</v>
      </c>
      <c r="AC3885">
        <v>0</v>
      </c>
      <c r="AD3885">
        <v>9</v>
      </c>
      <c r="AE3885">
        <v>0</v>
      </c>
      <c r="AF3885">
        <v>3</v>
      </c>
      <c r="AG3885">
        <v>1</v>
      </c>
      <c r="AH3885">
        <v>0</v>
      </c>
      <c r="AI3885" t="s">
        <v>1246</v>
      </c>
      <c r="AJ3885">
        <v>34.060557000000003</v>
      </c>
      <c r="AK3885" t="s">
        <v>1247</v>
      </c>
      <c r="AL3885">
        <v>-117.019243</v>
      </c>
      <c r="AM3885">
        <v>100</v>
      </c>
      <c r="AN3885">
        <v>5300</v>
      </c>
      <c r="AO3885" t="s">
        <v>118</v>
      </c>
      <c r="AP3885">
        <v>25</v>
      </c>
      <c r="AQ3885">
        <v>-88</v>
      </c>
      <c r="AR3885">
        <v>320</v>
      </c>
      <c r="AZ3885">
        <v>1200</v>
      </c>
      <c r="BA3885">
        <v>1</v>
      </c>
      <c r="BB3885" t="str">
        <f t="shared" si="2149"/>
        <v xml:space="preserve">N9217B  </v>
      </c>
      <c r="BC3885">
        <v>1</v>
      </c>
      <c r="BE3885">
        <v>0</v>
      </c>
      <c r="BF3885">
        <v>0</v>
      </c>
      <c r="BG3885">
        <v>0</v>
      </c>
      <c r="BH3885">
        <v>5125</v>
      </c>
      <c r="BI3885">
        <v>1</v>
      </c>
      <c r="BJ3885">
        <v>0</v>
      </c>
      <c r="BK3885">
        <v>0</v>
      </c>
      <c r="BL3885">
        <v>0</v>
      </c>
      <c r="BO3885">
        <v>0</v>
      </c>
      <c r="BP3885">
        <v>0</v>
      </c>
      <c r="BW3885" t="str">
        <f t="shared" ref="BW3885:BW3891" si="2173">"14:58:35.652"</f>
        <v>14:58:35.652</v>
      </c>
      <c r="CJ3885">
        <v>0</v>
      </c>
      <c r="CK3885">
        <v>2</v>
      </c>
      <c r="CL3885">
        <v>0</v>
      </c>
      <c r="CM3885">
        <v>2</v>
      </c>
      <c r="CN3885">
        <v>0</v>
      </c>
      <c r="CO3885">
        <v>6</v>
      </c>
      <c r="CP3885" t="s">
        <v>119</v>
      </c>
      <c r="CQ3885">
        <v>285</v>
      </c>
      <c r="CR3885">
        <v>0</v>
      </c>
      <c r="CW3885">
        <v>8885229</v>
      </c>
      <c r="CY3885">
        <v>0</v>
      </c>
      <c r="CZ3885">
        <v>0</v>
      </c>
      <c r="DA3885">
        <v>0</v>
      </c>
      <c r="DB3885">
        <v>0</v>
      </c>
      <c r="DC3885">
        <v>0</v>
      </c>
      <c r="DD3885">
        <v>0</v>
      </c>
      <c r="DE3885">
        <v>0</v>
      </c>
      <c r="DF3885">
        <v>0</v>
      </c>
      <c r="DG3885">
        <v>0</v>
      </c>
      <c r="DH3885">
        <v>0</v>
      </c>
      <c r="DI3885">
        <v>0</v>
      </c>
    </row>
    <row r="3886" spans="1:113" x14ac:dyDescent="0.25">
      <c r="A3886" t="str">
        <f t="shared" si="2170"/>
        <v>06/05/2020 14:58:29.979</v>
      </c>
      <c r="C3886" t="str">
        <f t="shared" si="2166"/>
        <v>FFDFD3C0</v>
      </c>
      <c r="D3886" t="s">
        <v>113</v>
      </c>
      <c r="E3886">
        <v>3</v>
      </c>
      <c r="H3886">
        <v>166</v>
      </c>
      <c r="I3886" t="s">
        <v>114</v>
      </c>
      <c r="J3886" t="s">
        <v>115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 t="shared" si="2171"/>
        <v>14:58:35.648</v>
      </c>
      <c r="T3886" t="str">
        <f t="shared" si="2172"/>
        <v>14:58:35.248</v>
      </c>
      <c r="U3886" t="str">
        <f t="shared" si="2145"/>
        <v>ACC530</v>
      </c>
      <c r="V3886">
        <v>0</v>
      </c>
      <c r="W3886">
        <v>0</v>
      </c>
      <c r="X3886">
        <v>1</v>
      </c>
      <c r="Z3886">
        <v>0</v>
      </c>
      <c r="AA3886">
        <v>9</v>
      </c>
      <c r="AB3886">
        <v>3</v>
      </c>
      <c r="AC3886">
        <v>0</v>
      </c>
      <c r="AD3886">
        <v>9</v>
      </c>
      <c r="AE3886">
        <v>0</v>
      </c>
      <c r="AF3886">
        <v>3</v>
      </c>
      <c r="AG3886">
        <v>1</v>
      </c>
      <c r="AH3886">
        <v>0</v>
      </c>
      <c r="AI3886" t="s">
        <v>1246</v>
      </c>
      <c r="AJ3886">
        <v>34.060557000000003</v>
      </c>
      <c r="AK3886" t="s">
        <v>1247</v>
      </c>
      <c r="AL3886">
        <v>-117.019243</v>
      </c>
      <c r="AM3886">
        <v>100</v>
      </c>
      <c r="AN3886">
        <v>5300</v>
      </c>
      <c r="AO3886" t="s">
        <v>118</v>
      </c>
      <c r="AP3886">
        <v>25</v>
      </c>
      <c r="AQ3886">
        <v>-88</v>
      </c>
      <c r="AR3886">
        <v>320</v>
      </c>
      <c r="AZ3886">
        <v>1200</v>
      </c>
      <c r="BA3886">
        <v>1</v>
      </c>
      <c r="BB3886" t="str">
        <f t="shared" si="2149"/>
        <v xml:space="preserve">N9217B  </v>
      </c>
      <c r="BC3886">
        <v>1</v>
      </c>
      <c r="BE3886">
        <v>0</v>
      </c>
      <c r="BF3886">
        <v>0</v>
      </c>
      <c r="BG3886">
        <v>0</v>
      </c>
      <c r="BH3886">
        <v>5125</v>
      </c>
      <c r="BI3886">
        <v>1</v>
      </c>
      <c r="BJ3886">
        <v>0</v>
      </c>
      <c r="BK3886">
        <v>0</v>
      </c>
      <c r="BL3886">
        <v>0</v>
      </c>
      <c r="BO3886">
        <v>0</v>
      </c>
      <c r="BP3886">
        <v>0</v>
      </c>
      <c r="BW3886" t="str">
        <f t="shared" si="2173"/>
        <v>14:58:35.652</v>
      </c>
      <c r="CJ3886">
        <v>0</v>
      </c>
      <c r="CK3886">
        <v>2</v>
      </c>
      <c r="CL3886">
        <v>0</v>
      </c>
      <c r="CM3886">
        <v>2</v>
      </c>
      <c r="CN3886">
        <v>0</v>
      </c>
      <c r="CO3886">
        <v>6</v>
      </c>
      <c r="CP3886" t="s">
        <v>119</v>
      </c>
      <c r="CQ3886">
        <v>285</v>
      </c>
      <c r="CR3886">
        <v>0</v>
      </c>
      <c r="CW3886">
        <v>8885229</v>
      </c>
      <c r="CY3886">
        <v>0</v>
      </c>
      <c r="CZ3886">
        <v>0</v>
      </c>
      <c r="DA3886">
        <v>1</v>
      </c>
      <c r="DB3886">
        <v>0</v>
      </c>
      <c r="DC3886">
        <v>0</v>
      </c>
      <c r="DD3886">
        <v>0</v>
      </c>
      <c r="DE3886">
        <v>0</v>
      </c>
      <c r="DF3886">
        <v>0</v>
      </c>
      <c r="DG3886">
        <v>0</v>
      </c>
      <c r="DH3886">
        <v>0</v>
      </c>
      <c r="DI3886">
        <v>0</v>
      </c>
    </row>
    <row r="3887" spans="1:113" x14ac:dyDescent="0.25">
      <c r="A3887" t="str">
        <f t="shared" si="2170"/>
        <v>06/05/2020 14:58:29.979</v>
      </c>
      <c r="C3887" t="str">
        <f t="shared" si="2166"/>
        <v>FFDFD3C0</v>
      </c>
      <c r="D3887" t="s">
        <v>134</v>
      </c>
      <c r="E3887">
        <v>7</v>
      </c>
      <c r="F3887">
        <v>2007</v>
      </c>
      <c r="G3887" t="s">
        <v>135</v>
      </c>
      <c r="J3887" t="s">
        <v>136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 t="shared" si="2171"/>
        <v>14:58:35.648</v>
      </c>
      <c r="T3887" t="str">
        <f t="shared" si="2172"/>
        <v>14:58:35.248</v>
      </c>
      <c r="U3887" t="str">
        <f t="shared" si="2145"/>
        <v>ACC530</v>
      </c>
      <c r="V3887">
        <v>0</v>
      </c>
      <c r="W3887">
        <v>0</v>
      </c>
      <c r="X3887">
        <v>1</v>
      </c>
      <c r="Z3887">
        <v>0</v>
      </c>
      <c r="AA3887">
        <v>9</v>
      </c>
      <c r="AB3887">
        <v>3</v>
      </c>
      <c r="AC3887">
        <v>0</v>
      </c>
      <c r="AD3887">
        <v>9</v>
      </c>
      <c r="AE3887">
        <v>0</v>
      </c>
      <c r="AF3887">
        <v>3</v>
      </c>
      <c r="AG3887">
        <v>1</v>
      </c>
      <c r="AH3887">
        <v>0</v>
      </c>
      <c r="AI3887" t="s">
        <v>1246</v>
      </c>
      <c r="AJ3887">
        <v>34.060557000000003</v>
      </c>
      <c r="AK3887" t="s">
        <v>1247</v>
      </c>
      <c r="AL3887">
        <v>-117.019243</v>
      </c>
      <c r="AM3887">
        <v>100</v>
      </c>
      <c r="AN3887">
        <v>5300</v>
      </c>
      <c r="AO3887" t="s">
        <v>118</v>
      </c>
      <c r="AP3887">
        <v>25</v>
      </c>
      <c r="AQ3887">
        <v>-88</v>
      </c>
      <c r="AR3887">
        <v>320</v>
      </c>
      <c r="AZ3887">
        <v>1200</v>
      </c>
      <c r="BA3887">
        <v>1</v>
      </c>
      <c r="BB3887" t="str">
        <f t="shared" si="2149"/>
        <v xml:space="preserve">N9217B  </v>
      </c>
      <c r="BC3887">
        <v>1</v>
      </c>
      <c r="BE3887">
        <v>0</v>
      </c>
      <c r="BF3887">
        <v>0</v>
      </c>
      <c r="BG3887">
        <v>0</v>
      </c>
      <c r="BH3887">
        <v>5125</v>
      </c>
      <c r="BI3887">
        <v>1</v>
      </c>
      <c r="BJ3887">
        <v>0</v>
      </c>
      <c r="BK3887">
        <v>0</v>
      </c>
      <c r="BL3887">
        <v>0</v>
      </c>
      <c r="BO3887">
        <v>0</v>
      </c>
      <c r="BP3887">
        <v>0</v>
      </c>
      <c r="BW3887" t="str">
        <f t="shared" si="2173"/>
        <v>14:58:35.652</v>
      </c>
      <c r="CJ3887">
        <v>0</v>
      </c>
      <c r="CK3887">
        <v>2</v>
      </c>
      <c r="CL3887">
        <v>0</v>
      </c>
      <c r="CM3887">
        <v>2</v>
      </c>
      <c r="CN3887">
        <v>0</v>
      </c>
      <c r="CO3887">
        <v>6</v>
      </c>
      <c r="CP3887" t="s">
        <v>119</v>
      </c>
      <c r="CQ3887">
        <v>285</v>
      </c>
      <c r="CR3887">
        <v>0</v>
      </c>
      <c r="CW3887">
        <v>8885229</v>
      </c>
      <c r="CY3887">
        <v>0</v>
      </c>
      <c r="CZ3887">
        <v>0</v>
      </c>
      <c r="DA3887">
        <v>1</v>
      </c>
      <c r="DB3887">
        <v>0</v>
      </c>
      <c r="DC3887">
        <v>0</v>
      </c>
      <c r="DD3887">
        <v>0</v>
      </c>
      <c r="DE3887">
        <v>0</v>
      </c>
      <c r="DF3887">
        <v>0</v>
      </c>
      <c r="DG3887">
        <v>0</v>
      </c>
      <c r="DH3887">
        <v>0</v>
      </c>
      <c r="DI3887">
        <v>0</v>
      </c>
    </row>
    <row r="3888" spans="1:113" x14ac:dyDescent="0.25">
      <c r="A3888" t="str">
        <f t="shared" si="2170"/>
        <v>06/05/2020 14:58:29.979</v>
      </c>
      <c r="C3888" t="str">
        <f t="shared" si="2166"/>
        <v>FFDFD3C0</v>
      </c>
      <c r="D3888" t="s">
        <v>148</v>
      </c>
      <c r="E3888">
        <v>11</v>
      </c>
      <c r="H3888">
        <v>53</v>
      </c>
      <c r="I3888" t="s">
        <v>364</v>
      </c>
      <c r="J3888" t="s">
        <v>150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 t="shared" si="2171"/>
        <v>14:58:35.648</v>
      </c>
      <c r="T3888" t="str">
        <f t="shared" si="2172"/>
        <v>14:58:35.248</v>
      </c>
      <c r="U3888" t="str">
        <f t="shared" si="2145"/>
        <v>ACC530</v>
      </c>
      <c r="V3888">
        <v>0</v>
      </c>
      <c r="W3888">
        <v>0</v>
      </c>
      <c r="X3888">
        <v>1</v>
      </c>
      <c r="Z3888">
        <v>0</v>
      </c>
      <c r="AA3888">
        <v>9</v>
      </c>
      <c r="AB3888">
        <v>3</v>
      </c>
      <c r="AC3888">
        <v>0</v>
      </c>
      <c r="AD3888">
        <v>9</v>
      </c>
      <c r="AE3888">
        <v>0</v>
      </c>
      <c r="AF3888">
        <v>3</v>
      </c>
      <c r="AG3888">
        <v>1</v>
      </c>
      <c r="AH3888">
        <v>0</v>
      </c>
      <c r="AI3888" t="s">
        <v>1246</v>
      </c>
      <c r="AJ3888">
        <v>34.060557000000003</v>
      </c>
      <c r="AK3888" t="s">
        <v>1247</v>
      </c>
      <c r="AL3888">
        <v>-117.019243</v>
      </c>
      <c r="AM3888">
        <v>100</v>
      </c>
      <c r="AN3888">
        <v>5300</v>
      </c>
      <c r="AO3888" t="s">
        <v>118</v>
      </c>
      <c r="AP3888">
        <v>25</v>
      </c>
      <c r="AQ3888">
        <v>-88</v>
      </c>
      <c r="AR3888">
        <v>320</v>
      </c>
      <c r="AZ3888">
        <v>1200</v>
      </c>
      <c r="BA3888">
        <v>1</v>
      </c>
      <c r="BB3888" t="str">
        <f t="shared" si="2149"/>
        <v xml:space="preserve">N9217B  </v>
      </c>
      <c r="BC3888">
        <v>1</v>
      </c>
      <c r="BE3888">
        <v>0</v>
      </c>
      <c r="BF3888">
        <v>0</v>
      </c>
      <c r="BG3888">
        <v>0</v>
      </c>
      <c r="BH3888">
        <v>5125</v>
      </c>
      <c r="BI3888">
        <v>1</v>
      </c>
      <c r="BJ3888">
        <v>0</v>
      </c>
      <c r="BK3888">
        <v>0</v>
      </c>
      <c r="BL3888">
        <v>0</v>
      </c>
      <c r="BO3888">
        <v>0</v>
      </c>
      <c r="BP3888">
        <v>0</v>
      </c>
      <c r="BW3888" t="str">
        <f t="shared" si="2173"/>
        <v>14:58:35.652</v>
      </c>
      <c r="CJ3888">
        <v>0</v>
      </c>
      <c r="CK3888">
        <v>2</v>
      </c>
      <c r="CL3888">
        <v>0</v>
      </c>
      <c r="CM3888">
        <v>2</v>
      </c>
      <c r="CN3888">
        <v>0</v>
      </c>
      <c r="CO3888">
        <v>6</v>
      </c>
      <c r="CP3888" t="s">
        <v>119</v>
      </c>
      <c r="CQ3888">
        <v>285</v>
      </c>
      <c r="CR3888">
        <v>0</v>
      </c>
      <c r="CW3888">
        <v>8885229</v>
      </c>
      <c r="CY3888">
        <v>0</v>
      </c>
      <c r="CZ3888">
        <v>0</v>
      </c>
      <c r="DA3888">
        <v>1</v>
      </c>
      <c r="DB3888">
        <v>0</v>
      </c>
      <c r="DC3888">
        <v>0</v>
      </c>
      <c r="DD3888">
        <v>0</v>
      </c>
      <c r="DE3888">
        <v>0</v>
      </c>
      <c r="DF3888">
        <v>0</v>
      </c>
      <c r="DG3888">
        <v>0</v>
      </c>
      <c r="DH3888">
        <v>0</v>
      </c>
      <c r="DI3888">
        <v>0</v>
      </c>
    </row>
    <row r="3889" spans="1:113" x14ac:dyDescent="0.25">
      <c r="A3889" t="str">
        <f t="shared" si="2170"/>
        <v>06/05/2020 14:58:29.979</v>
      </c>
      <c r="C3889" t="str">
        <f t="shared" si="2166"/>
        <v>FFDFD3C0</v>
      </c>
      <c r="D3889" t="s">
        <v>141</v>
      </c>
      <c r="E3889">
        <v>20</v>
      </c>
      <c r="F3889">
        <v>1020</v>
      </c>
      <c r="G3889" t="s">
        <v>114</v>
      </c>
      <c r="J3889" t="s">
        <v>142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 t="shared" si="2171"/>
        <v>14:58:35.648</v>
      </c>
      <c r="T3889" t="str">
        <f t="shared" si="2172"/>
        <v>14:58:35.248</v>
      </c>
      <c r="U3889" t="str">
        <f t="shared" si="2145"/>
        <v>ACC530</v>
      </c>
      <c r="V3889">
        <v>0</v>
      </c>
      <c r="W3889">
        <v>0</v>
      </c>
      <c r="X3889">
        <v>1</v>
      </c>
      <c r="Z3889">
        <v>0</v>
      </c>
      <c r="AA3889">
        <v>9</v>
      </c>
      <c r="AB3889">
        <v>3</v>
      </c>
      <c r="AC3889">
        <v>0</v>
      </c>
      <c r="AD3889">
        <v>9</v>
      </c>
      <c r="AE3889">
        <v>0</v>
      </c>
      <c r="AF3889">
        <v>3</v>
      </c>
      <c r="AG3889">
        <v>1</v>
      </c>
      <c r="AH3889">
        <v>0</v>
      </c>
      <c r="AI3889" t="s">
        <v>1246</v>
      </c>
      <c r="AJ3889">
        <v>34.060557000000003</v>
      </c>
      <c r="AK3889" t="s">
        <v>1247</v>
      </c>
      <c r="AL3889">
        <v>-117.019243</v>
      </c>
      <c r="AM3889">
        <v>100</v>
      </c>
      <c r="AN3889">
        <v>5300</v>
      </c>
      <c r="AO3889" t="s">
        <v>118</v>
      </c>
      <c r="AP3889">
        <v>25</v>
      </c>
      <c r="AQ3889">
        <v>-88</v>
      </c>
      <c r="AR3889">
        <v>320</v>
      </c>
      <c r="AZ3889">
        <v>1200</v>
      </c>
      <c r="BA3889">
        <v>1</v>
      </c>
      <c r="BB3889" t="str">
        <f t="shared" si="2149"/>
        <v xml:space="preserve">N9217B  </v>
      </c>
      <c r="BC3889">
        <v>1</v>
      </c>
      <c r="BE3889">
        <v>0</v>
      </c>
      <c r="BF3889">
        <v>0</v>
      </c>
      <c r="BG3889">
        <v>0</v>
      </c>
      <c r="BH3889">
        <v>5125</v>
      </c>
      <c r="BI3889">
        <v>1</v>
      </c>
      <c r="BJ3889">
        <v>0</v>
      </c>
      <c r="BK3889">
        <v>0</v>
      </c>
      <c r="BL3889">
        <v>0</v>
      </c>
      <c r="BO3889">
        <v>0</v>
      </c>
      <c r="BP3889">
        <v>0</v>
      </c>
      <c r="BW3889" t="str">
        <f t="shared" si="2173"/>
        <v>14:58:35.652</v>
      </c>
      <c r="CJ3889">
        <v>0</v>
      </c>
      <c r="CK3889">
        <v>2</v>
      </c>
      <c r="CL3889">
        <v>0</v>
      </c>
      <c r="CM3889">
        <v>2</v>
      </c>
      <c r="CN3889">
        <v>0</v>
      </c>
      <c r="CO3889">
        <v>6</v>
      </c>
      <c r="CP3889" t="s">
        <v>119</v>
      </c>
      <c r="CQ3889">
        <v>285</v>
      </c>
      <c r="CR3889">
        <v>0</v>
      </c>
      <c r="CW3889">
        <v>8885229</v>
      </c>
      <c r="CY3889">
        <v>0</v>
      </c>
      <c r="CZ3889">
        <v>0</v>
      </c>
      <c r="DA3889">
        <v>1</v>
      </c>
      <c r="DB3889">
        <v>0</v>
      </c>
      <c r="DC3889">
        <v>0</v>
      </c>
      <c r="DD3889">
        <v>0</v>
      </c>
      <c r="DE3889">
        <v>0</v>
      </c>
      <c r="DF3889">
        <v>0</v>
      </c>
      <c r="DG3889">
        <v>0</v>
      </c>
      <c r="DH3889">
        <v>0</v>
      </c>
      <c r="DI3889">
        <v>0</v>
      </c>
    </row>
    <row r="3890" spans="1:113" x14ac:dyDescent="0.25">
      <c r="A3890" t="str">
        <f t="shared" si="2170"/>
        <v>06/05/2020 14:58:29.979</v>
      </c>
      <c r="C3890" t="str">
        <f t="shared" si="2166"/>
        <v>FFDFD3C0</v>
      </c>
      <c r="D3890" t="s">
        <v>151</v>
      </c>
      <c r="E3890">
        <v>8</v>
      </c>
      <c r="H3890">
        <v>225</v>
      </c>
      <c r="I3890" t="s">
        <v>353</v>
      </c>
      <c r="J3890" t="s">
        <v>150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 t="shared" si="2171"/>
        <v>14:58:35.648</v>
      </c>
      <c r="T3890" t="str">
        <f t="shared" si="2172"/>
        <v>14:58:35.248</v>
      </c>
      <c r="U3890" t="str">
        <f t="shared" si="2145"/>
        <v>ACC530</v>
      </c>
      <c r="V3890">
        <v>0</v>
      </c>
      <c r="W3890">
        <v>0</v>
      </c>
      <c r="X3890">
        <v>1</v>
      </c>
      <c r="Z3890">
        <v>0</v>
      </c>
      <c r="AA3890">
        <v>9</v>
      </c>
      <c r="AB3890">
        <v>3</v>
      </c>
      <c r="AC3890">
        <v>0</v>
      </c>
      <c r="AD3890">
        <v>9</v>
      </c>
      <c r="AE3890">
        <v>0</v>
      </c>
      <c r="AF3890">
        <v>3</v>
      </c>
      <c r="AG3890">
        <v>1</v>
      </c>
      <c r="AH3890">
        <v>0</v>
      </c>
      <c r="AI3890" t="s">
        <v>1246</v>
      </c>
      <c r="AJ3890">
        <v>34.060557000000003</v>
      </c>
      <c r="AK3890" t="s">
        <v>1247</v>
      </c>
      <c r="AL3890">
        <v>-117.019243</v>
      </c>
      <c r="AM3890">
        <v>100</v>
      </c>
      <c r="AN3890">
        <v>5300</v>
      </c>
      <c r="AO3890" t="s">
        <v>118</v>
      </c>
      <c r="AP3890">
        <v>25</v>
      </c>
      <c r="AQ3890">
        <v>-88</v>
      </c>
      <c r="AR3890">
        <v>320</v>
      </c>
      <c r="AZ3890">
        <v>1200</v>
      </c>
      <c r="BA3890">
        <v>1</v>
      </c>
      <c r="BB3890" t="str">
        <f t="shared" si="2149"/>
        <v xml:space="preserve">N9217B  </v>
      </c>
      <c r="BC3890">
        <v>1</v>
      </c>
      <c r="BE3890">
        <v>0</v>
      </c>
      <c r="BF3890">
        <v>0</v>
      </c>
      <c r="BG3890">
        <v>0</v>
      </c>
      <c r="BH3890">
        <v>5125</v>
      </c>
      <c r="BI3890">
        <v>1</v>
      </c>
      <c r="BJ3890">
        <v>0</v>
      </c>
      <c r="BK3890">
        <v>0</v>
      </c>
      <c r="BL3890">
        <v>0</v>
      </c>
      <c r="BO3890">
        <v>0</v>
      </c>
      <c r="BP3890">
        <v>0</v>
      </c>
      <c r="BW3890" t="str">
        <f t="shared" si="2173"/>
        <v>14:58:35.652</v>
      </c>
      <c r="CJ3890">
        <v>0</v>
      </c>
      <c r="CK3890">
        <v>2</v>
      </c>
      <c r="CL3890">
        <v>0</v>
      </c>
      <c r="CM3890">
        <v>2</v>
      </c>
      <c r="CN3890">
        <v>0</v>
      </c>
      <c r="CO3890">
        <v>6</v>
      </c>
      <c r="CP3890" t="s">
        <v>119</v>
      </c>
      <c r="CQ3890">
        <v>285</v>
      </c>
      <c r="CR3890">
        <v>0</v>
      </c>
      <c r="CW3890">
        <v>8885229</v>
      </c>
      <c r="CY3890">
        <v>0</v>
      </c>
      <c r="CZ3890">
        <v>0</v>
      </c>
      <c r="DA3890">
        <v>1</v>
      </c>
      <c r="DB3890">
        <v>0</v>
      </c>
      <c r="DC3890">
        <v>0</v>
      </c>
      <c r="DD3890">
        <v>0</v>
      </c>
      <c r="DE3890">
        <v>0</v>
      </c>
      <c r="DF3890">
        <v>0</v>
      </c>
      <c r="DG3890">
        <v>0</v>
      </c>
      <c r="DH3890">
        <v>0</v>
      </c>
      <c r="DI3890">
        <v>0</v>
      </c>
    </row>
    <row r="3891" spans="1:113" x14ac:dyDescent="0.25">
      <c r="A3891" t="str">
        <f t="shared" si="2170"/>
        <v>06/05/2020 14:58:29.979</v>
      </c>
      <c r="C3891" t="str">
        <f t="shared" si="2166"/>
        <v>FFDFD3C0</v>
      </c>
      <c r="D3891" t="s">
        <v>148</v>
      </c>
      <c r="E3891">
        <v>8</v>
      </c>
      <c r="H3891">
        <v>50</v>
      </c>
      <c r="I3891" t="s">
        <v>149</v>
      </c>
      <c r="J3891" t="s">
        <v>150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 t="shared" si="2171"/>
        <v>14:58:35.648</v>
      </c>
      <c r="T3891" t="str">
        <f t="shared" si="2172"/>
        <v>14:58:35.248</v>
      </c>
      <c r="U3891" t="str">
        <f t="shared" si="2145"/>
        <v>ACC530</v>
      </c>
      <c r="V3891">
        <v>0</v>
      </c>
      <c r="W3891">
        <v>0</v>
      </c>
      <c r="X3891">
        <v>1</v>
      </c>
      <c r="Z3891">
        <v>0</v>
      </c>
      <c r="AA3891">
        <v>9</v>
      </c>
      <c r="AB3891">
        <v>3</v>
      </c>
      <c r="AC3891">
        <v>0</v>
      </c>
      <c r="AD3891">
        <v>9</v>
      </c>
      <c r="AE3891">
        <v>0</v>
      </c>
      <c r="AF3891">
        <v>3</v>
      </c>
      <c r="AG3891">
        <v>1</v>
      </c>
      <c r="AH3891">
        <v>0</v>
      </c>
      <c r="AI3891" t="s">
        <v>1246</v>
      </c>
      <c r="AJ3891">
        <v>34.060557000000003</v>
      </c>
      <c r="AK3891" t="s">
        <v>1247</v>
      </c>
      <c r="AL3891">
        <v>-117.019243</v>
      </c>
      <c r="AM3891">
        <v>100</v>
      </c>
      <c r="AN3891">
        <v>5300</v>
      </c>
      <c r="AO3891" t="s">
        <v>118</v>
      </c>
      <c r="AP3891">
        <v>25</v>
      </c>
      <c r="AQ3891">
        <v>-88</v>
      </c>
      <c r="AR3891">
        <v>320</v>
      </c>
      <c r="AZ3891">
        <v>1200</v>
      </c>
      <c r="BA3891">
        <v>1</v>
      </c>
      <c r="BB3891" t="str">
        <f t="shared" si="2149"/>
        <v xml:space="preserve">N9217B  </v>
      </c>
      <c r="BC3891">
        <v>1</v>
      </c>
      <c r="BE3891">
        <v>0</v>
      </c>
      <c r="BF3891">
        <v>0</v>
      </c>
      <c r="BG3891">
        <v>0</v>
      </c>
      <c r="BH3891">
        <v>5125</v>
      </c>
      <c r="BI3891">
        <v>1</v>
      </c>
      <c r="BJ3891">
        <v>0</v>
      </c>
      <c r="BK3891">
        <v>0</v>
      </c>
      <c r="BL3891">
        <v>0</v>
      </c>
      <c r="BO3891">
        <v>0</v>
      </c>
      <c r="BP3891">
        <v>0</v>
      </c>
      <c r="BW3891" t="str">
        <f t="shared" si="2173"/>
        <v>14:58:35.652</v>
      </c>
      <c r="CJ3891">
        <v>0</v>
      </c>
      <c r="CK3891">
        <v>2</v>
      </c>
      <c r="CL3891">
        <v>0</v>
      </c>
      <c r="CM3891">
        <v>2</v>
      </c>
      <c r="CN3891">
        <v>0</v>
      </c>
      <c r="CO3891">
        <v>6</v>
      </c>
      <c r="CP3891" t="s">
        <v>119</v>
      </c>
      <c r="CQ3891">
        <v>285</v>
      </c>
      <c r="CR3891">
        <v>0</v>
      </c>
      <c r="CW3891">
        <v>8885229</v>
      </c>
      <c r="CY3891">
        <v>0</v>
      </c>
      <c r="CZ3891">
        <v>0</v>
      </c>
      <c r="DA3891">
        <v>1</v>
      </c>
      <c r="DB3891">
        <v>0</v>
      </c>
      <c r="DC3891">
        <v>0</v>
      </c>
      <c r="DD3891">
        <v>0</v>
      </c>
      <c r="DE3891">
        <v>0</v>
      </c>
      <c r="DF3891">
        <v>0</v>
      </c>
      <c r="DG3891">
        <v>0</v>
      </c>
      <c r="DH3891">
        <v>0</v>
      </c>
      <c r="DI3891">
        <v>0</v>
      </c>
    </row>
    <row r="3892" spans="1:113" x14ac:dyDescent="0.25">
      <c r="A3892" t="str">
        <f t="shared" ref="A3892:A3898" si="2174">"06/05/2020 14:58:31.041"</f>
        <v>06/05/2020 14:58:31.041</v>
      </c>
      <c r="C3892" t="str">
        <f t="shared" si="2166"/>
        <v>FFDFD3C0</v>
      </c>
      <c r="D3892" t="s">
        <v>113</v>
      </c>
      <c r="E3892">
        <v>3</v>
      </c>
      <c r="H3892">
        <v>166</v>
      </c>
      <c r="I3892" t="s">
        <v>114</v>
      </c>
      <c r="J3892" t="s">
        <v>115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 t="shared" ref="S3892:S3898" si="2175">"14:58:36.680"</f>
        <v>14:58:36.680</v>
      </c>
      <c r="T3892" t="str">
        <f t="shared" ref="T3892:T3898" si="2176">"14:58:36.380"</f>
        <v>14:58:36.380</v>
      </c>
      <c r="U3892" t="str">
        <f t="shared" si="2145"/>
        <v>ACC530</v>
      </c>
      <c r="V3892">
        <v>0</v>
      </c>
      <c r="W3892">
        <v>0</v>
      </c>
      <c r="X3892">
        <v>1</v>
      </c>
      <c r="Z3892">
        <v>0</v>
      </c>
      <c r="AA3892">
        <v>9</v>
      </c>
      <c r="AB3892">
        <v>3</v>
      </c>
      <c r="AC3892">
        <v>0</v>
      </c>
      <c r="AD3892">
        <v>9</v>
      </c>
      <c r="AE3892">
        <v>0</v>
      </c>
      <c r="AF3892">
        <v>3</v>
      </c>
      <c r="AG3892">
        <v>1</v>
      </c>
      <c r="AH3892">
        <v>0</v>
      </c>
      <c r="AI3892" t="s">
        <v>1248</v>
      </c>
      <c r="AJ3892">
        <v>34.060127999999999</v>
      </c>
      <c r="AK3892" t="s">
        <v>1249</v>
      </c>
      <c r="AL3892">
        <v>-117.01904999999999</v>
      </c>
      <c r="AM3892">
        <v>100</v>
      </c>
      <c r="AN3892">
        <v>5300</v>
      </c>
      <c r="AO3892" t="s">
        <v>118</v>
      </c>
      <c r="AP3892">
        <v>31</v>
      </c>
      <c r="AQ3892">
        <v>-85</v>
      </c>
      <c r="AR3892">
        <v>256</v>
      </c>
      <c r="AZ3892">
        <v>1200</v>
      </c>
      <c r="BA3892">
        <v>1</v>
      </c>
      <c r="BB3892" t="str">
        <f t="shared" si="2149"/>
        <v xml:space="preserve">N9217B  </v>
      </c>
      <c r="BC3892">
        <v>1</v>
      </c>
      <c r="BE3892">
        <v>0</v>
      </c>
      <c r="BF3892">
        <v>0</v>
      </c>
      <c r="BG3892">
        <v>0</v>
      </c>
      <c r="BH3892">
        <v>5125</v>
      </c>
      <c r="BI3892">
        <v>1</v>
      </c>
      <c r="BJ3892">
        <v>0</v>
      </c>
      <c r="BK3892">
        <v>0</v>
      </c>
      <c r="BL3892">
        <v>0</v>
      </c>
      <c r="BO3892">
        <v>0</v>
      </c>
      <c r="BP3892">
        <v>0</v>
      </c>
      <c r="BW3892" t="str">
        <f t="shared" ref="BW3892:BW3898" si="2177">"14:58:36.686"</f>
        <v>14:58:36.686</v>
      </c>
      <c r="CJ3892">
        <v>0</v>
      </c>
      <c r="CK3892">
        <v>2</v>
      </c>
      <c r="CL3892">
        <v>0</v>
      </c>
      <c r="CM3892">
        <v>2</v>
      </c>
      <c r="CN3892">
        <v>0</v>
      </c>
      <c r="CO3892">
        <v>5</v>
      </c>
      <c r="CP3892" t="s">
        <v>119</v>
      </c>
      <c r="CQ3892">
        <v>285</v>
      </c>
      <c r="CR3892">
        <v>0</v>
      </c>
      <c r="CW3892">
        <v>8885325</v>
      </c>
      <c r="CY3892">
        <v>0</v>
      </c>
      <c r="CZ3892">
        <v>0</v>
      </c>
      <c r="DA3892">
        <v>0</v>
      </c>
      <c r="DB3892">
        <v>0</v>
      </c>
      <c r="DC3892">
        <v>0</v>
      </c>
      <c r="DD3892">
        <v>0</v>
      </c>
      <c r="DE3892">
        <v>0</v>
      </c>
      <c r="DF3892">
        <v>0</v>
      </c>
      <c r="DG3892">
        <v>0</v>
      </c>
      <c r="DH3892">
        <v>0</v>
      </c>
      <c r="DI3892">
        <v>0</v>
      </c>
    </row>
    <row r="3893" spans="1:113" x14ac:dyDescent="0.25">
      <c r="A3893" t="str">
        <f t="shared" si="2174"/>
        <v>06/05/2020 14:58:31.041</v>
      </c>
      <c r="C3893" t="str">
        <f t="shared" si="2166"/>
        <v>FFDFD3C0</v>
      </c>
      <c r="D3893" t="s">
        <v>151</v>
      </c>
      <c r="E3893">
        <v>9</v>
      </c>
      <c r="H3893">
        <v>226</v>
      </c>
      <c r="I3893" t="s">
        <v>152</v>
      </c>
      <c r="J3893" t="s">
        <v>150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 t="shared" si="2175"/>
        <v>14:58:36.680</v>
      </c>
      <c r="T3893" t="str">
        <f t="shared" si="2176"/>
        <v>14:58:36.380</v>
      </c>
      <c r="U3893" t="str">
        <f t="shared" si="2145"/>
        <v>ACC530</v>
      </c>
      <c r="V3893">
        <v>0</v>
      </c>
      <c r="W3893">
        <v>0</v>
      </c>
      <c r="X3893">
        <v>1</v>
      </c>
      <c r="Z3893">
        <v>0</v>
      </c>
      <c r="AA3893">
        <v>9</v>
      </c>
      <c r="AB3893">
        <v>3</v>
      </c>
      <c r="AC3893">
        <v>0</v>
      </c>
      <c r="AD3893">
        <v>9</v>
      </c>
      <c r="AE3893">
        <v>0</v>
      </c>
      <c r="AF3893">
        <v>3</v>
      </c>
      <c r="AG3893">
        <v>1</v>
      </c>
      <c r="AH3893">
        <v>0</v>
      </c>
      <c r="AI3893" t="s">
        <v>1248</v>
      </c>
      <c r="AJ3893">
        <v>34.060127999999999</v>
      </c>
      <c r="AK3893" t="s">
        <v>1249</v>
      </c>
      <c r="AL3893">
        <v>-117.01904999999999</v>
      </c>
      <c r="AM3893">
        <v>100</v>
      </c>
      <c r="AN3893">
        <v>5300</v>
      </c>
      <c r="AO3893" t="s">
        <v>118</v>
      </c>
      <c r="AP3893">
        <v>31</v>
      </c>
      <c r="AQ3893">
        <v>-85</v>
      </c>
      <c r="AR3893">
        <v>256</v>
      </c>
      <c r="AZ3893">
        <v>1200</v>
      </c>
      <c r="BA3893">
        <v>1</v>
      </c>
      <c r="BB3893" t="str">
        <f t="shared" si="2149"/>
        <v xml:space="preserve">N9217B  </v>
      </c>
      <c r="BC3893">
        <v>1</v>
      </c>
      <c r="BE3893">
        <v>0</v>
      </c>
      <c r="BF3893">
        <v>0</v>
      </c>
      <c r="BG3893">
        <v>0</v>
      </c>
      <c r="BH3893">
        <v>5125</v>
      </c>
      <c r="BI3893">
        <v>1</v>
      </c>
      <c r="BJ3893">
        <v>0</v>
      </c>
      <c r="BK3893">
        <v>0</v>
      </c>
      <c r="BL3893">
        <v>0</v>
      </c>
      <c r="BO3893">
        <v>0</v>
      </c>
      <c r="BP3893">
        <v>0</v>
      </c>
      <c r="BW3893" t="str">
        <f t="shared" si="2177"/>
        <v>14:58:36.686</v>
      </c>
      <c r="CJ3893">
        <v>0</v>
      </c>
      <c r="CK3893">
        <v>2</v>
      </c>
      <c r="CL3893">
        <v>0</v>
      </c>
      <c r="CM3893">
        <v>2</v>
      </c>
      <c r="CN3893">
        <v>0</v>
      </c>
      <c r="CO3893">
        <v>5</v>
      </c>
      <c r="CP3893" t="s">
        <v>119</v>
      </c>
      <c r="CQ3893">
        <v>285</v>
      </c>
      <c r="CR3893">
        <v>0</v>
      </c>
      <c r="CW3893">
        <v>8885325</v>
      </c>
      <c r="CY3893">
        <v>0</v>
      </c>
      <c r="CZ3893">
        <v>0</v>
      </c>
      <c r="DA3893">
        <v>1</v>
      </c>
      <c r="DB3893">
        <v>0</v>
      </c>
      <c r="DC3893">
        <v>0</v>
      </c>
      <c r="DD3893">
        <v>0</v>
      </c>
      <c r="DE3893">
        <v>0</v>
      </c>
      <c r="DF3893">
        <v>0</v>
      </c>
      <c r="DG3893">
        <v>0</v>
      </c>
      <c r="DH3893">
        <v>0</v>
      </c>
      <c r="DI3893">
        <v>0</v>
      </c>
    </row>
    <row r="3894" spans="1:113" x14ac:dyDescent="0.25">
      <c r="A3894" t="str">
        <f t="shared" si="2174"/>
        <v>06/05/2020 14:58:31.041</v>
      </c>
      <c r="C3894" t="str">
        <f t="shared" si="2166"/>
        <v>FFDFD3C0</v>
      </c>
      <c r="D3894" t="s">
        <v>134</v>
      </c>
      <c r="E3894">
        <v>7</v>
      </c>
      <c r="F3894">
        <v>2007</v>
      </c>
      <c r="G3894" t="s">
        <v>135</v>
      </c>
      <c r="J3894" t="s">
        <v>136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 t="shared" si="2175"/>
        <v>14:58:36.680</v>
      </c>
      <c r="T3894" t="str">
        <f t="shared" si="2176"/>
        <v>14:58:36.380</v>
      </c>
      <c r="U3894" t="str">
        <f t="shared" si="2145"/>
        <v>ACC530</v>
      </c>
      <c r="V3894">
        <v>0</v>
      </c>
      <c r="W3894">
        <v>0</v>
      </c>
      <c r="X3894">
        <v>1</v>
      </c>
      <c r="Z3894">
        <v>0</v>
      </c>
      <c r="AA3894">
        <v>9</v>
      </c>
      <c r="AB3894">
        <v>3</v>
      </c>
      <c r="AC3894">
        <v>0</v>
      </c>
      <c r="AD3894">
        <v>9</v>
      </c>
      <c r="AE3894">
        <v>0</v>
      </c>
      <c r="AF3894">
        <v>3</v>
      </c>
      <c r="AG3894">
        <v>1</v>
      </c>
      <c r="AH3894">
        <v>0</v>
      </c>
      <c r="AI3894" t="s">
        <v>1248</v>
      </c>
      <c r="AJ3894">
        <v>34.060127999999999</v>
      </c>
      <c r="AK3894" t="s">
        <v>1249</v>
      </c>
      <c r="AL3894">
        <v>-117.01904999999999</v>
      </c>
      <c r="AM3894">
        <v>100</v>
      </c>
      <c r="AN3894">
        <v>5300</v>
      </c>
      <c r="AO3894" t="s">
        <v>118</v>
      </c>
      <c r="AP3894">
        <v>31</v>
      </c>
      <c r="AQ3894">
        <v>-85</v>
      </c>
      <c r="AR3894">
        <v>256</v>
      </c>
      <c r="AZ3894">
        <v>1200</v>
      </c>
      <c r="BA3894">
        <v>1</v>
      </c>
      <c r="BB3894" t="str">
        <f t="shared" si="2149"/>
        <v xml:space="preserve">N9217B  </v>
      </c>
      <c r="BC3894">
        <v>1</v>
      </c>
      <c r="BE3894">
        <v>0</v>
      </c>
      <c r="BF3894">
        <v>0</v>
      </c>
      <c r="BG3894">
        <v>0</v>
      </c>
      <c r="BH3894">
        <v>5125</v>
      </c>
      <c r="BI3894">
        <v>1</v>
      </c>
      <c r="BJ3894">
        <v>0</v>
      </c>
      <c r="BK3894">
        <v>0</v>
      </c>
      <c r="BL3894">
        <v>0</v>
      </c>
      <c r="BO3894">
        <v>0</v>
      </c>
      <c r="BP3894">
        <v>0</v>
      </c>
      <c r="BW3894" t="str">
        <f t="shared" si="2177"/>
        <v>14:58:36.686</v>
      </c>
      <c r="CJ3894">
        <v>0</v>
      </c>
      <c r="CK3894">
        <v>2</v>
      </c>
      <c r="CL3894">
        <v>0</v>
      </c>
      <c r="CM3894">
        <v>2</v>
      </c>
      <c r="CN3894">
        <v>0</v>
      </c>
      <c r="CO3894">
        <v>5</v>
      </c>
      <c r="CP3894" t="s">
        <v>119</v>
      </c>
      <c r="CQ3894">
        <v>285</v>
      </c>
      <c r="CR3894">
        <v>0</v>
      </c>
      <c r="CW3894">
        <v>8885325</v>
      </c>
      <c r="CY3894">
        <v>0</v>
      </c>
      <c r="CZ3894">
        <v>0</v>
      </c>
      <c r="DA3894">
        <v>1</v>
      </c>
      <c r="DB3894">
        <v>0</v>
      </c>
      <c r="DC3894">
        <v>0</v>
      </c>
      <c r="DD3894">
        <v>0</v>
      </c>
      <c r="DE3894">
        <v>0</v>
      </c>
      <c r="DF3894">
        <v>0</v>
      </c>
      <c r="DG3894">
        <v>0</v>
      </c>
      <c r="DH3894">
        <v>0</v>
      </c>
      <c r="DI3894">
        <v>0</v>
      </c>
    </row>
    <row r="3895" spans="1:113" x14ac:dyDescent="0.25">
      <c r="A3895" t="str">
        <f t="shared" si="2174"/>
        <v>06/05/2020 14:58:31.041</v>
      </c>
      <c r="C3895" t="str">
        <f t="shared" si="2166"/>
        <v>FFDFD3C0</v>
      </c>
      <c r="D3895" t="s">
        <v>148</v>
      </c>
      <c r="E3895">
        <v>11</v>
      </c>
      <c r="H3895">
        <v>53</v>
      </c>
      <c r="I3895" t="s">
        <v>364</v>
      </c>
      <c r="J3895" t="s">
        <v>150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 t="shared" si="2175"/>
        <v>14:58:36.680</v>
      </c>
      <c r="T3895" t="str">
        <f t="shared" si="2176"/>
        <v>14:58:36.380</v>
      </c>
      <c r="U3895" t="str">
        <f t="shared" si="2145"/>
        <v>ACC530</v>
      </c>
      <c r="V3895">
        <v>0</v>
      </c>
      <c r="W3895">
        <v>0</v>
      </c>
      <c r="X3895">
        <v>1</v>
      </c>
      <c r="Z3895">
        <v>0</v>
      </c>
      <c r="AA3895">
        <v>9</v>
      </c>
      <c r="AB3895">
        <v>3</v>
      </c>
      <c r="AC3895">
        <v>0</v>
      </c>
      <c r="AD3895">
        <v>9</v>
      </c>
      <c r="AE3895">
        <v>0</v>
      </c>
      <c r="AF3895">
        <v>3</v>
      </c>
      <c r="AG3895">
        <v>1</v>
      </c>
      <c r="AH3895">
        <v>0</v>
      </c>
      <c r="AI3895" t="s">
        <v>1248</v>
      </c>
      <c r="AJ3895">
        <v>34.060127999999999</v>
      </c>
      <c r="AK3895" t="s">
        <v>1249</v>
      </c>
      <c r="AL3895">
        <v>-117.01904999999999</v>
      </c>
      <c r="AM3895">
        <v>100</v>
      </c>
      <c r="AN3895">
        <v>5300</v>
      </c>
      <c r="AO3895" t="s">
        <v>118</v>
      </c>
      <c r="AP3895">
        <v>31</v>
      </c>
      <c r="AQ3895">
        <v>-85</v>
      </c>
      <c r="AR3895">
        <v>256</v>
      </c>
      <c r="AZ3895">
        <v>1200</v>
      </c>
      <c r="BA3895">
        <v>1</v>
      </c>
      <c r="BB3895" t="str">
        <f t="shared" si="2149"/>
        <v xml:space="preserve">N9217B  </v>
      </c>
      <c r="BC3895">
        <v>1</v>
      </c>
      <c r="BE3895">
        <v>0</v>
      </c>
      <c r="BF3895">
        <v>0</v>
      </c>
      <c r="BG3895">
        <v>0</v>
      </c>
      <c r="BH3895">
        <v>5125</v>
      </c>
      <c r="BI3895">
        <v>1</v>
      </c>
      <c r="BJ3895">
        <v>0</v>
      </c>
      <c r="BK3895">
        <v>0</v>
      </c>
      <c r="BL3895">
        <v>0</v>
      </c>
      <c r="BO3895">
        <v>0</v>
      </c>
      <c r="BP3895">
        <v>0</v>
      </c>
      <c r="BW3895" t="str">
        <f t="shared" si="2177"/>
        <v>14:58:36.686</v>
      </c>
      <c r="CJ3895">
        <v>0</v>
      </c>
      <c r="CK3895">
        <v>2</v>
      </c>
      <c r="CL3895">
        <v>0</v>
      </c>
      <c r="CM3895">
        <v>2</v>
      </c>
      <c r="CN3895">
        <v>0</v>
      </c>
      <c r="CO3895">
        <v>5</v>
      </c>
      <c r="CP3895" t="s">
        <v>119</v>
      </c>
      <c r="CQ3895">
        <v>285</v>
      </c>
      <c r="CR3895">
        <v>0</v>
      </c>
      <c r="CW3895">
        <v>8885325</v>
      </c>
      <c r="CY3895">
        <v>0</v>
      </c>
      <c r="CZ3895">
        <v>0</v>
      </c>
      <c r="DA3895">
        <v>1</v>
      </c>
      <c r="DB3895">
        <v>0</v>
      </c>
      <c r="DC3895">
        <v>0</v>
      </c>
      <c r="DD3895">
        <v>0</v>
      </c>
      <c r="DE3895">
        <v>0</v>
      </c>
      <c r="DF3895">
        <v>0</v>
      </c>
      <c r="DG3895">
        <v>0</v>
      </c>
      <c r="DH3895">
        <v>0</v>
      </c>
      <c r="DI3895">
        <v>0</v>
      </c>
    </row>
    <row r="3896" spans="1:113" x14ac:dyDescent="0.25">
      <c r="A3896" t="str">
        <f t="shared" si="2174"/>
        <v>06/05/2020 14:58:31.041</v>
      </c>
      <c r="C3896" t="str">
        <f t="shared" si="2166"/>
        <v>FFDFD3C0</v>
      </c>
      <c r="D3896" t="s">
        <v>141</v>
      </c>
      <c r="E3896">
        <v>20</v>
      </c>
      <c r="F3896">
        <v>1020</v>
      </c>
      <c r="G3896" t="s">
        <v>114</v>
      </c>
      <c r="J3896" t="s">
        <v>142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 t="shared" si="2175"/>
        <v>14:58:36.680</v>
      </c>
      <c r="T3896" t="str">
        <f t="shared" si="2176"/>
        <v>14:58:36.380</v>
      </c>
      <c r="U3896" t="str">
        <f t="shared" si="2145"/>
        <v>ACC530</v>
      </c>
      <c r="V3896">
        <v>0</v>
      </c>
      <c r="W3896">
        <v>0</v>
      </c>
      <c r="X3896">
        <v>1</v>
      </c>
      <c r="Z3896">
        <v>0</v>
      </c>
      <c r="AA3896">
        <v>9</v>
      </c>
      <c r="AB3896">
        <v>3</v>
      </c>
      <c r="AC3896">
        <v>0</v>
      </c>
      <c r="AD3896">
        <v>9</v>
      </c>
      <c r="AE3896">
        <v>0</v>
      </c>
      <c r="AF3896">
        <v>3</v>
      </c>
      <c r="AG3896">
        <v>1</v>
      </c>
      <c r="AH3896">
        <v>0</v>
      </c>
      <c r="AI3896" t="s">
        <v>1248</v>
      </c>
      <c r="AJ3896">
        <v>34.060127999999999</v>
      </c>
      <c r="AK3896" t="s">
        <v>1249</v>
      </c>
      <c r="AL3896">
        <v>-117.01904999999999</v>
      </c>
      <c r="AM3896">
        <v>100</v>
      </c>
      <c r="AN3896">
        <v>5300</v>
      </c>
      <c r="AO3896" t="s">
        <v>118</v>
      </c>
      <c r="AP3896">
        <v>31</v>
      </c>
      <c r="AQ3896">
        <v>-85</v>
      </c>
      <c r="AR3896">
        <v>256</v>
      </c>
      <c r="AZ3896">
        <v>1200</v>
      </c>
      <c r="BA3896">
        <v>1</v>
      </c>
      <c r="BB3896" t="str">
        <f t="shared" si="2149"/>
        <v xml:space="preserve">N9217B  </v>
      </c>
      <c r="BC3896">
        <v>1</v>
      </c>
      <c r="BE3896">
        <v>0</v>
      </c>
      <c r="BF3896">
        <v>0</v>
      </c>
      <c r="BG3896">
        <v>0</v>
      </c>
      <c r="BH3896">
        <v>5125</v>
      </c>
      <c r="BI3896">
        <v>1</v>
      </c>
      <c r="BJ3896">
        <v>0</v>
      </c>
      <c r="BK3896">
        <v>0</v>
      </c>
      <c r="BL3896">
        <v>0</v>
      </c>
      <c r="BO3896">
        <v>0</v>
      </c>
      <c r="BP3896">
        <v>0</v>
      </c>
      <c r="BW3896" t="str">
        <f t="shared" si="2177"/>
        <v>14:58:36.686</v>
      </c>
      <c r="CJ3896">
        <v>0</v>
      </c>
      <c r="CK3896">
        <v>2</v>
      </c>
      <c r="CL3896">
        <v>0</v>
      </c>
      <c r="CM3896">
        <v>2</v>
      </c>
      <c r="CN3896">
        <v>0</v>
      </c>
      <c r="CO3896">
        <v>5</v>
      </c>
      <c r="CP3896" t="s">
        <v>119</v>
      </c>
      <c r="CQ3896">
        <v>285</v>
      </c>
      <c r="CR3896">
        <v>0</v>
      </c>
      <c r="CW3896">
        <v>8885325</v>
      </c>
      <c r="CY3896">
        <v>0</v>
      </c>
      <c r="CZ3896">
        <v>0</v>
      </c>
      <c r="DA3896">
        <v>1</v>
      </c>
      <c r="DB3896">
        <v>0</v>
      </c>
      <c r="DC3896">
        <v>0</v>
      </c>
      <c r="DD3896">
        <v>0</v>
      </c>
      <c r="DE3896">
        <v>0</v>
      </c>
      <c r="DF3896">
        <v>0</v>
      </c>
      <c r="DG3896">
        <v>0</v>
      </c>
      <c r="DH3896">
        <v>0</v>
      </c>
      <c r="DI3896">
        <v>0</v>
      </c>
    </row>
    <row r="3897" spans="1:113" x14ac:dyDescent="0.25">
      <c r="A3897" t="str">
        <f t="shared" si="2174"/>
        <v>06/05/2020 14:58:31.041</v>
      </c>
      <c r="C3897" t="str">
        <f t="shared" si="2166"/>
        <v>FFDFD3C0</v>
      </c>
      <c r="D3897" t="s">
        <v>151</v>
      </c>
      <c r="E3897">
        <v>8</v>
      </c>
      <c r="H3897">
        <v>225</v>
      </c>
      <c r="I3897" t="s">
        <v>353</v>
      </c>
      <c r="J3897" t="s">
        <v>150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 t="shared" si="2175"/>
        <v>14:58:36.680</v>
      </c>
      <c r="T3897" t="str">
        <f t="shared" si="2176"/>
        <v>14:58:36.380</v>
      </c>
      <c r="U3897" t="str">
        <f t="shared" si="2145"/>
        <v>ACC530</v>
      </c>
      <c r="V3897">
        <v>0</v>
      </c>
      <c r="W3897">
        <v>0</v>
      </c>
      <c r="X3897">
        <v>1</v>
      </c>
      <c r="Z3897">
        <v>0</v>
      </c>
      <c r="AA3897">
        <v>9</v>
      </c>
      <c r="AB3897">
        <v>3</v>
      </c>
      <c r="AC3897">
        <v>0</v>
      </c>
      <c r="AD3897">
        <v>9</v>
      </c>
      <c r="AE3897">
        <v>0</v>
      </c>
      <c r="AF3897">
        <v>3</v>
      </c>
      <c r="AG3897">
        <v>1</v>
      </c>
      <c r="AH3897">
        <v>0</v>
      </c>
      <c r="AI3897" t="s">
        <v>1248</v>
      </c>
      <c r="AJ3897">
        <v>34.060127999999999</v>
      </c>
      <c r="AK3897" t="s">
        <v>1249</v>
      </c>
      <c r="AL3897">
        <v>-117.01904999999999</v>
      </c>
      <c r="AM3897">
        <v>100</v>
      </c>
      <c r="AN3897">
        <v>5300</v>
      </c>
      <c r="AO3897" t="s">
        <v>118</v>
      </c>
      <c r="AP3897">
        <v>31</v>
      </c>
      <c r="AQ3897">
        <v>-85</v>
      </c>
      <c r="AR3897">
        <v>256</v>
      </c>
      <c r="AZ3897">
        <v>1200</v>
      </c>
      <c r="BA3897">
        <v>1</v>
      </c>
      <c r="BB3897" t="str">
        <f t="shared" si="2149"/>
        <v xml:space="preserve">N9217B  </v>
      </c>
      <c r="BC3897">
        <v>1</v>
      </c>
      <c r="BE3897">
        <v>0</v>
      </c>
      <c r="BF3897">
        <v>0</v>
      </c>
      <c r="BG3897">
        <v>0</v>
      </c>
      <c r="BH3897">
        <v>5125</v>
      </c>
      <c r="BI3897">
        <v>1</v>
      </c>
      <c r="BJ3897">
        <v>0</v>
      </c>
      <c r="BK3897">
        <v>0</v>
      </c>
      <c r="BL3897">
        <v>0</v>
      </c>
      <c r="BO3897">
        <v>0</v>
      </c>
      <c r="BP3897">
        <v>0</v>
      </c>
      <c r="BW3897" t="str">
        <f t="shared" si="2177"/>
        <v>14:58:36.686</v>
      </c>
      <c r="CJ3897">
        <v>0</v>
      </c>
      <c r="CK3897">
        <v>2</v>
      </c>
      <c r="CL3897">
        <v>0</v>
      </c>
      <c r="CM3897">
        <v>2</v>
      </c>
      <c r="CN3897">
        <v>0</v>
      </c>
      <c r="CO3897">
        <v>5</v>
      </c>
      <c r="CP3897" t="s">
        <v>119</v>
      </c>
      <c r="CQ3897">
        <v>285</v>
      </c>
      <c r="CR3897">
        <v>0</v>
      </c>
      <c r="CW3897">
        <v>8885325</v>
      </c>
      <c r="CY3897">
        <v>0</v>
      </c>
      <c r="CZ3897">
        <v>0</v>
      </c>
      <c r="DA3897">
        <v>1</v>
      </c>
      <c r="DB3897">
        <v>0</v>
      </c>
      <c r="DC3897">
        <v>0</v>
      </c>
      <c r="DD3897">
        <v>0</v>
      </c>
      <c r="DE3897">
        <v>0</v>
      </c>
      <c r="DF3897">
        <v>0</v>
      </c>
      <c r="DG3897">
        <v>0</v>
      </c>
      <c r="DH3897">
        <v>0</v>
      </c>
      <c r="DI3897">
        <v>0</v>
      </c>
    </row>
    <row r="3898" spans="1:113" x14ac:dyDescent="0.25">
      <c r="A3898" t="str">
        <f t="shared" si="2174"/>
        <v>06/05/2020 14:58:31.041</v>
      </c>
      <c r="C3898" t="str">
        <f t="shared" si="2166"/>
        <v>FFDFD3C0</v>
      </c>
      <c r="D3898" t="s">
        <v>148</v>
      </c>
      <c r="E3898">
        <v>8</v>
      </c>
      <c r="H3898">
        <v>50</v>
      </c>
      <c r="I3898" t="s">
        <v>149</v>
      </c>
      <c r="J3898" t="s">
        <v>150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 t="shared" si="2175"/>
        <v>14:58:36.680</v>
      </c>
      <c r="T3898" t="str">
        <f t="shared" si="2176"/>
        <v>14:58:36.380</v>
      </c>
      <c r="U3898" t="str">
        <f t="shared" si="2145"/>
        <v>ACC530</v>
      </c>
      <c r="V3898">
        <v>0</v>
      </c>
      <c r="W3898">
        <v>0</v>
      </c>
      <c r="X3898">
        <v>1</v>
      </c>
      <c r="Z3898">
        <v>0</v>
      </c>
      <c r="AA3898">
        <v>9</v>
      </c>
      <c r="AB3898">
        <v>3</v>
      </c>
      <c r="AC3898">
        <v>0</v>
      </c>
      <c r="AD3898">
        <v>9</v>
      </c>
      <c r="AE3898">
        <v>0</v>
      </c>
      <c r="AF3898">
        <v>3</v>
      </c>
      <c r="AG3898">
        <v>1</v>
      </c>
      <c r="AH3898">
        <v>0</v>
      </c>
      <c r="AI3898" t="s">
        <v>1248</v>
      </c>
      <c r="AJ3898">
        <v>34.060127999999999</v>
      </c>
      <c r="AK3898" t="s">
        <v>1249</v>
      </c>
      <c r="AL3898">
        <v>-117.01904999999999</v>
      </c>
      <c r="AM3898">
        <v>100</v>
      </c>
      <c r="AN3898">
        <v>5300</v>
      </c>
      <c r="AO3898" t="s">
        <v>118</v>
      </c>
      <c r="AP3898">
        <v>31</v>
      </c>
      <c r="AQ3898">
        <v>-85</v>
      </c>
      <c r="AR3898">
        <v>256</v>
      </c>
      <c r="AZ3898">
        <v>1200</v>
      </c>
      <c r="BA3898">
        <v>1</v>
      </c>
      <c r="BB3898" t="str">
        <f t="shared" si="2149"/>
        <v xml:space="preserve">N9217B  </v>
      </c>
      <c r="BC3898">
        <v>1</v>
      </c>
      <c r="BE3898">
        <v>0</v>
      </c>
      <c r="BF3898">
        <v>0</v>
      </c>
      <c r="BG3898">
        <v>0</v>
      </c>
      <c r="BH3898">
        <v>5125</v>
      </c>
      <c r="BI3898">
        <v>1</v>
      </c>
      <c r="BJ3898">
        <v>0</v>
      </c>
      <c r="BK3898">
        <v>0</v>
      </c>
      <c r="BL3898">
        <v>0</v>
      </c>
      <c r="BO3898">
        <v>0</v>
      </c>
      <c r="BP3898">
        <v>0</v>
      </c>
      <c r="BW3898" t="str">
        <f t="shared" si="2177"/>
        <v>14:58:36.686</v>
      </c>
      <c r="CJ3898">
        <v>0</v>
      </c>
      <c r="CK3898">
        <v>2</v>
      </c>
      <c r="CL3898">
        <v>0</v>
      </c>
      <c r="CM3898">
        <v>2</v>
      </c>
      <c r="CN3898">
        <v>0</v>
      </c>
      <c r="CO3898">
        <v>5</v>
      </c>
      <c r="CP3898" t="s">
        <v>119</v>
      </c>
      <c r="CQ3898">
        <v>285</v>
      </c>
      <c r="CR3898">
        <v>0</v>
      </c>
      <c r="CW3898">
        <v>8885325</v>
      </c>
      <c r="CY3898">
        <v>0</v>
      </c>
      <c r="CZ3898">
        <v>0</v>
      </c>
      <c r="DA3898">
        <v>1</v>
      </c>
      <c r="DB3898">
        <v>0</v>
      </c>
      <c r="DC3898">
        <v>0</v>
      </c>
      <c r="DD3898">
        <v>0</v>
      </c>
      <c r="DE3898">
        <v>0</v>
      </c>
      <c r="DF3898">
        <v>0</v>
      </c>
      <c r="DG3898">
        <v>0</v>
      </c>
      <c r="DH3898">
        <v>0</v>
      </c>
      <c r="DI3898">
        <v>0</v>
      </c>
    </row>
    <row r="3899" spans="1:113" x14ac:dyDescent="0.25">
      <c r="A3899" t="str">
        <f t="shared" ref="A3899:A3905" si="2178">"06/05/2020 14:58:32.042"</f>
        <v>06/05/2020 14:58:32.042</v>
      </c>
      <c r="C3899" t="str">
        <f t="shared" si="2166"/>
        <v>FFDFD3C0</v>
      </c>
      <c r="D3899" t="s">
        <v>151</v>
      </c>
      <c r="E3899">
        <v>8</v>
      </c>
      <c r="H3899">
        <v>225</v>
      </c>
      <c r="I3899" t="s">
        <v>353</v>
      </c>
      <c r="J3899" t="s">
        <v>150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 t="shared" ref="S3899:S3905" si="2179">"14:58:37.656"</f>
        <v>14:58:37.656</v>
      </c>
      <c r="T3899" t="str">
        <f t="shared" ref="T3899:T3905" si="2180">"14:58:36.856"</f>
        <v>14:58:36.856</v>
      </c>
      <c r="U3899" t="str">
        <f t="shared" si="2145"/>
        <v>ACC530</v>
      </c>
      <c r="V3899">
        <v>0</v>
      </c>
      <c r="W3899">
        <v>0</v>
      </c>
      <c r="X3899">
        <v>1</v>
      </c>
      <c r="Z3899">
        <v>0</v>
      </c>
      <c r="AA3899">
        <v>9</v>
      </c>
      <c r="AB3899">
        <v>3</v>
      </c>
      <c r="AC3899">
        <v>0</v>
      </c>
      <c r="AD3899">
        <v>9</v>
      </c>
      <c r="AE3899">
        <v>0</v>
      </c>
      <c r="AF3899">
        <v>3</v>
      </c>
      <c r="AG3899">
        <v>1</v>
      </c>
      <c r="AH3899">
        <v>0</v>
      </c>
      <c r="AI3899" t="s">
        <v>1250</v>
      </c>
      <c r="AJ3899">
        <v>34.059762999999997</v>
      </c>
      <c r="AK3899" t="s">
        <v>1251</v>
      </c>
      <c r="AL3899">
        <v>-117.018793</v>
      </c>
      <c r="AM3899">
        <v>100</v>
      </c>
      <c r="AN3899">
        <v>5300</v>
      </c>
      <c r="AO3899" t="s">
        <v>118</v>
      </c>
      <c r="AP3899">
        <v>34</v>
      </c>
      <c r="AQ3899">
        <v>-84</v>
      </c>
      <c r="AR3899">
        <v>256</v>
      </c>
      <c r="AZ3899">
        <v>1200</v>
      </c>
      <c r="BA3899">
        <v>1</v>
      </c>
      <c r="BB3899" t="str">
        <f t="shared" si="2149"/>
        <v xml:space="preserve">N9217B  </v>
      </c>
      <c r="BC3899">
        <v>1</v>
      </c>
      <c r="BE3899">
        <v>0</v>
      </c>
      <c r="BF3899">
        <v>0</v>
      </c>
      <c r="BG3899">
        <v>0</v>
      </c>
      <c r="BH3899">
        <v>5125</v>
      </c>
      <c r="BI3899">
        <v>1</v>
      </c>
      <c r="BJ3899">
        <v>0</v>
      </c>
      <c r="BK3899">
        <v>0</v>
      </c>
      <c r="BL3899">
        <v>0</v>
      </c>
      <c r="BO3899">
        <v>0</v>
      </c>
      <c r="BP3899">
        <v>0</v>
      </c>
      <c r="BW3899" t="str">
        <f t="shared" ref="BW3899:BW3905" si="2181">"14:58:37.661"</f>
        <v>14:58:37.661</v>
      </c>
      <c r="CJ3899">
        <v>0</v>
      </c>
      <c r="CK3899">
        <v>2</v>
      </c>
      <c r="CL3899">
        <v>0</v>
      </c>
      <c r="CM3899">
        <v>2</v>
      </c>
      <c r="CN3899">
        <v>0</v>
      </c>
      <c r="CO3899">
        <v>5</v>
      </c>
      <c r="CP3899" t="s">
        <v>119</v>
      </c>
      <c r="CQ3899">
        <v>285</v>
      </c>
      <c r="CR3899">
        <v>0</v>
      </c>
      <c r="CW3899">
        <v>8885413</v>
      </c>
      <c r="CY3899">
        <v>0</v>
      </c>
      <c r="CZ3899">
        <v>0</v>
      </c>
      <c r="DA3899">
        <v>0</v>
      </c>
      <c r="DB3899">
        <v>0</v>
      </c>
      <c r="DC3899">
        <v>0</v>
      </c>
      <c r="DD3899">
        <v>0</v>
      </c>
      <c r="DE3899">
        <v>0</v>
      </c>
      <c r="DF3899">
        <v>0</v>
      </c>
      <c r="DG3899">
        <v>0</v>
      </c>
      <c r="DH3899">
        <v>0</v>
      </c>
      <c r="DI3899">
        <v>0</v>
      </c>
    </row>
    <row r="3900" spans="1:113" x14ac:dyDescent="0.25">
      <c r="A3900" t="str">
        <f t="shared" si="2178"/>
        <v>06/05/2020 14:58:32.042</v>
      </c>
      <c r="C3900" t="str">
        <f t="shared" si="2166"/>
        <v>FFDFD3C0</v>
      </c>
      <c r="D3900" t="s">
        <v>148</v>
      </c>
      <c r="E3900">
        <v>8</v>
      </c>
      <c r="H3900">
        <v>50</v>
      </c>
      <c r="I3900" t="s">
        <v>149</v>
      </c>
      <c r="J3900" t="s">
        <v>150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 t="shared" si="2179"/>
        <v>14:58:37.656</v>
      </c>
      <c r="T3900" t="str">
        <f t="shared" si="2180"/>
        <v>14:58:36.856</v>
      </c>
      <c r="U3900" t="str">
        <f t="shared" si="2145"/>
        <v>ACC530</v>
      </c>
      <c r="V3900">
        <v>0</v>
      </c>
      <c r="W3900">
        <v>0</v>
      </c>
      <c r="X3900">
        <v>1</v>
      </c>
      <c r="Z3900">
        <v>0</v>
      </c>
      <c r="AA3900">
        <v>9</v>
      </c>
      <c r="AB3900">
        <v>3</v>
      </c>
      <c r="AC3900">
        <v>0</v>
      </c>
      <c r="AD3900">
        <v>9</v>
      </c>
      <c r="AE3900">
        <v>0</v>
      </c>
      <c r="AF3900">
        <v>3</v>
      </c>
      <c r="AG3900">
        <v>1</v>
      </c>
      <c r="AH3900">
        <v>0</v>
      </c>
      <c r="AI3900" t="s">
        <v>1250</v>
      </c>
      <c r="AJ3900">
        <v>34.059762999999997</v>
      </c>
      <c r="AK3900" t="s">
        <v>1251</v>
      </c>
      <c r="AL3900">
        <v>-117.018793</v>
      </c>
      <c r="AM3900">
        <v>100</v>
      </c>
      <c r="AN3900">
        <v>5300</v>
      </c>
      <c r="AO3900" t="s">
        <v>118</v>
      </c>
      <c r="AP3900">
        <v>34</v>
      </c>
      <c r="AQ3900">
        <v>-84</v>
      </c>
      <c r="AR3900">
        <v>256</v>
      </c>
      <c r="AZ3900">
        <v>1200</v>
      </c>
      <c r="BA3900">
        <v>1</v>
      </c>
      <c r="BB3900" t="str">
        <f t="shared" si="2149"/>
        <v xml:space="preserve">N9217B  </v>
      </c>
      <c r="BC3900">
        <v>1</v>
      </c>
      <c r="BE3900">
        <v>0</v>
      </c>
      <c r="BF3900">
        <v>0</v>
      </c>
      <c r="BG3900">
        <v>0</v>
      </c>
      <c r="BH3900">
        <v>5125</v>
      </c>
      <c r="BI3900">
        <v>1</v>
      </c>
      <c r="BJ3900">
        <v>0</v>
      </c>
      <c r="BK3900">
        <v>0</v>
      </c>
      <c r="BL3900">
        <v>0</v>
      </c>
      <c r="BO3900">
        <v>0</v>
      </c>
      <c r="BP3900">
        <v>0</v>
      </c>
      <c r="BW3900" t="str">
        <f t="shared" si="2181"/>
        <v>14:58:37.661</v>
      </c>
      <c r="CJ3900">
        <v>0</v>
      </c>
      <c r="CK3900">
        <v>2</v>
      </c>
      <c r="CL3900">
        <v>0</v>
      </c>
      <c r="CM3900">
        <v>2</v>
      </c>
      <c r="CN3900">
        <v>0</v>
      </c>
      <c r="CO3900">
        <v>5</v>
      </c>
      <c r="CP3900" t="s">
        <v>119</v>
      </c>
      <c r="CQ3900">
        <v>285</v>
      </c>
      <c r="CR3900">
        <v>0</v>
      </c>
      <c r="CW3900">
        <v>8885413</v>
      </c>
      <c r="CY3900">
        <v>0</v>
      </c>
      <c r="CZ3900">
        <v>0</v>
      </c>
      <c r="DA3900">
        <v>1</v>
      </c>
      <c r="DB3900">
        <v>0</v>
      </c>
      <c r="DC3900">
        <v>0</v>
      </c>
      <c r="DD3900">
        <v>0</v>
      </c>
      <c r="DE3900">
        <v>0</v>
      </c>
      <c r="DF3900">
        <v>0</v>
      </c>
      <c r="DG3900">
        <v>0</v>
      </c>
      <c r="DH3900">
        <v>0</v>
      </c>
      <c r="DI3900">
        <v>0</v>
      </c>
    </row>
    <row r="3901" spans="1:113" x14ac:dyDescent="0.25">
      <c r="A3901" t="str">
        <f t="shared" si="2178"/>
        <v>06/05/2020 14:58:32.042</v>
      </c>
      <c r="C3901" t="str">
        <f t="shared" si="2166"/>
        <v>FFDFD3C0</v>
      </c>
      <c r="D3901" t="s">
        <v>113</v>
      </c>
      <c r="E3901">
        <v>3</v>
      </c>
      <c r="H3901">
        <v>166</v>
      </c>
      <c r="I3901" t="s">
        <v>114</v>
      </c>
      <c r="J3901" t="s">
        <v>115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 t="shared" si="2179"/>
        <v>14:58:37.656</v>
      </c>
      <c r="T3901" t="str">
        <f t="shared" si="2180"/>
        <v>14:58:36.856</v>
      </c>
      <c r="U3901" t="str">
        <f t="shared" si="2145"/>
        <v>ACC530</v>
      </c>
      <c r="V3901">
        <v>0</v>
      </c>
      <c r="W3901">
        <v>0</v>
      </c>
      <c r="X3901">
        <v>1</v>
      </c>
      <c r="Z3901">
        <v>0</v>
      </c>
      <c r="AA3901">
        <v>9</v>
      </c>
      <c r="AB3901">
        <v>3</v>
      </c>
      <c r="AC3901">
        <v>0</v>
      </c>
      <c r="AD3901">
        <v>9</v>
      </c>
      <c r="AE3901">
        <v>0</v>
      </c>
      <c r="AF3901">
        <v>3</v>
      </c>
      <c r="AG3901">
        <v>1</v>
      </c>
      <c r="AH3901">
        <v>0</v>
      </c>
      <c r="AI3901" t="s">
        <v>1250</v>
      </c>
      <c r="AJ3901">
        <v>34.059762999999997</v>
      </c>
      <c r="AK3901" t="s">
        <v>1251</v>
      </c>
      <c r="AL3901">
        <v>-117.018793</v>
      </c>
      <c r="AM3901">
        <v>100</v>
      </c>
      <c r="AN3901">
        <v>5300</v>
      </c>
      <c r="AO3901" t="s">
        <v>118</v>
      </c>
      <c r="AP3901">
        <v>34</v>
      </c>
      <c r="AQ3901">
        <v>-84</v>
      </c>
      <c r="AR3901">
        <v>256</v>
      </c>
      <c r="AZ3901">
        <v>1200</v>
      </c>
      <c r="BA3901">
        <v>1</v>
      </c>
      <c r="BB3901" t="str">
        <f t="shared" si="2149"/>
        <v xml:space="preserve">N9217B  </v>
      </c>
      <c r="BC3901">
        <v>1</v>
      </c>
      <c r="BE3901">
        <v>0</v>
      </c>
      <c r="BF3901">
        <v>0</v>
      </c>
      <c r="BG3901">
        <v>0</v>
      </c>
      <c r="BH3901">
        <v>5125</v>
      </c>
      <c r="BI3901">
        <v>1</v>
      </c>
      <c r="BJ3901">
        <v>0</v>
      </c>
      <c r="BK3901">
        <v>0</v>
      </c>
      <c r="BL3901">
        <v>0</v>
      </c>
      <c r="BO3901">
        <v>0</v>
      </c>
      <c r="BP3901">
        <v>0</v>
      </c>
      <c r="BW3901" t="str">
        <f t="shared" si="2181"/>
        <v>14:58:37.661</v>
      </c>
      <c r="CJ3901">
        <v>0</v>
      </c>
      <c r="CK3901">
        <v>2</v>
      </c>
      <c r="CL3901">
        <v>0</v>
      </c>
      <c r="CM3901">
        <v>2</v>
      </c>
      <c r="CN3901">
        <v>0</v>
      </c>
      <c r="CO3901">
        <v>5</v>
      </c>
      <c r="CP3901" t="s">
        <v>119</v>
      </c>
      <c r="CQ3901">
        <v>285</v>
      </c>
      <c r="CR3901">
        <v>0</v>
      </c>
      <c r="CW3901">
        <v>8885413</v>
      </c>
      <c r="CY3901">
        <v>0</v>
      </c>
      <c r="CZ3901">
        <v>0</v>
      </c>
      <c r="DA3901">
        <v>1</v>
      </c>
      <c r="DB3901">
        <v>0</v>
      </c>
      <c r="DC3901">
        <v>0</v>
      </c>
      <c r="DD3901">
        <v>0</v>
      </c>
      <c r="DE3901">
        <v>0</v>
      </c>
      <c r="DF3901">
        <v>0</v>
      </c>
      <c r="DG3901">
        <v>0</v>
      </c>
      <c r="DH3901">
        <v>0</v>
      </c>
      <c r="DI3901">
        <v>0</v>
      </c>
    </row>
    <row r="3902" spans="1:113" x14ac:dyDescent="0.25">
      <c r="A3902" t="str">
        <f t="shared" si="2178"/>
        <v>06/05/2020 14:58:32.042</v>
      </c>
      <c r="C3902" t="str">
        <f t="shared" si="2166"/>
        <v>FFDFD3C0</v>
      </c>
      <c r="D3902" t="s">
        <v>151</v>
      </c>
      <c r="E3902">
        <v>9</v>
      </c>
      <c r="H3902">
        <v>226</v>
      </c>
      <c r="I3902" t="s">
        <v>152</v>
      </c>
      <c r="J3902" t="s">
        <v>150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 t="shared" si="2179"/>
        <v>14:58:37.656</v>
      </c>
      <c r="T3902" t="str">
        <f t="shared" si="2180"/>
        <v>14:58:36.856</v>
      </c>
      <c r="U3902" t="str">
        <f t="shared" si="2145"/>
        <v>ACC530</v>
      </c>
      <c r="V3902">
        <v>0</v>
      </c>
      <c r="W3902">
        <v>0</v>
      </c>
      <c r="X3902">
        <v>1</v>
      </c>
      <c r="Z3902">
        <v>0</v>
      </c>
      <c r="AA3902">
        <v>9</v>
      </c>
      <c r="AB3902">
        <v>3</v>
      </c>
      <c r="AC3902">
        <v>0</v>
      </c>
      <c r="AD3902">
        <v>9</v>
      </c>
      <c r="AE3902">
        <v>0</v>
      </c>
      <c r="AF3902">
        <v>3</v>
      </c>
      <c r="AG3902">
        <v>1</v>
      </c>
      <c r="AH3902">
        <v>0</v>
      </c>
      <c r="AI3902" t="s">
        <v>1250</v>
      </c>
      <c r="AJ3902">
        <v>34.059762999999997</v>
      </c>
      <c r="AK3902" t="s">
        <v>1251</v>
      </c>
      <c r="AL3902">
        <v>-117.018793</v>
      </c>
      <c r="AM3902">
        <v>100</v>
      </c>
      <c r="AN3902">
        <v>5300</v>
      </c>
      <c r="AO3902" t="s">
        <v>118</v>
      </c>
      <c r="AP3902">
        <v>34</v>
      </c>
      <c r="AQ3902">
        <v>-84</v>
      </c>
      <c r="AR3902">
        <v>256</v>
      </c>
      <c r="AZ3902">
        <v>1200</v>
      </c>
      <c r="BA3902">
        <v>1</v>
      </c>
      <c r="BB3902" t="str">
        <f t="shared" si="2149"/>
        <v xml:space="preserve">N9217B  </v>
      </c>
      <c r="BC3902">
        <v>1</v>
      </c>
      <c r="BE3902">
        <v>0</v>
      </c>
      <c r="BF3902">
        <v>0</v>
      </c>
      <c r="BG3902">
        <v>0</v>
      </c>
      <c r="BH3902">
        <v>5125</v>
      </c>
      <c r="BI3902">
        <v>1</v>
      </c>
      <c r="BJ3902">
        <v>0</v>
      </c>
      <c r="BK3902">
        <v>0</v>
      </c>
      <c r="BL3902">
        <v>0</v>
      </c>
      <c r="BO3902">
        <v>0</v>
      </c>
      <c r="BP3902">
        <v>0</v>
      </c>
      <c r="BW3902" t="str">
        <f t="shared" si="2181"/>
        <v>14:58:37.661</v>
      </c>
      <c r="CJ3902">
        <v>0</v>
      </c>
      <c r="CK3902">
        <v>2</v>
      </c>
      <c r="CL3902">
        <v>0</v>
      </c>
      <c r="CM3902">
        <v>2</v>
      </c>
      <c r="CN3902">
        <v>0</v>
      </c>
      <c r="CO3902">
        <v>5</v>
      </c>
      <c r="CP3902" t="s">
        <v>119</v>
      </c>
      <c r="CQ3902">
        <v>285</v>
      </c>
      <c r="CR3902">
        <v>0</v>
      </c>
      <c r="CW3902">
        <v>8885413</v>
      </c>
      <c r="CY3902">
        <v>0</v>
      </c>
      <c r="CZ3902">
        <v>0</v>
      </c>
      <c r="DA3902">
        <v>1</v>
      </c>
      <c r="DB3902">
        <v>0</v>
      </c>
      <c r="DC3902">
        <v>0</v>
      </c>
      <c r="DD3902">
        <v>0</v>
      </c>
      <c r="DE3902">
        <v>0</v>
      </c>
      <c r="DF3902">
        <v>0</v>
      </c>
      <c r="DG3902">
        <v>0</v>
      </c>
      <c r="DH3902">
        <v>0</v>
      </c>
      <c r="DI3902">
        <v>0</v>
      </c>
    </row>
    <row r="3903" spans="1:113" x14ac:dyDescent="0.25">
      <c r="A3903" t="str">
        <f t="shared" si="2178"/>
        <v>06/05/2020 14:58:32.042</v>
      </c>
      <c r="C3903" t="str">
        <f t="shared" si="2166"/>
        <v>FFDFD3C0</v>
      </c>
      <c r="D3903" t="s">
        <v>134</v>
      </c>
      <c r="E3903">
        <v>7</v>
      </c>
      <c r="F3903">
        <v>2007</v>
      </c>
      <c r="G3903" t="s">
        <v>135</v>
      </c>
      <c r="J3903" t="s">
        <v>136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 t="shared" si="2179"/>
        <v>14:58:37.656</v>
      </c>
      <c r="T3903" t="str">
        <f t="shared" si="2180"/>
        <v>14:58:36.856</v>
      </c>
      <c r="U3903" t="str">
        <f t="shared" si="2145"/>
        <v>ACC530</v>
      </c>
      <c r="V3903">
        <v>0</v>
      </c>
      <c r="W3903">
        <v>0</v>
      </c>
      <c r="X3903">
        <v>1</v>
      </c>
      <c r="Z3903">
        <v>0</v>
      </c>
      <c r="AA3903">
        <v>9</v>
      </c>
      <c r="AB3903">
        <v>3</v>
      </c>
      <c r="AC3903">
        <v>0</v>
      </c>
      <c r="AD3903">
        <v>9</v>
      </c>
      <c r="AE3903">
        <v>0</v>
      </c>
      <c r="AF3903">
        <v>3</v>
      </c>
      <c r="AG3903">
        <v>1</v>
      </c>
      <c r="AH3903">
        <v>0</v>
      </c>
      <c r="AI3903" t="s">
        <v>1250</v>
      </c>
      <c r="AJ3903">
        <v>34.059762999999997</v>
      </c>
      <c r="AK3903" t="s">
        <v>1251</v>
      </c>
      <c r="AL3903">
        <v>-117.018793</v>
      </c>
      <c r="AM3903">
        <v>100</v>
      </c>
      <c r="AN3903">
        <v>5300</v>
      </c>
      <c r="AO3903" t="s">
        <v>118</v>
      </c>
      <c r="AP3903">
        <v>34</v>
      </c>
      <c r="AQ3903">
        <v>-84</v>
      </c>
      <c r="AR3903">
        <v>256</v>
      </c>
      <c r="AZ3903">
        <v>1200</v>
      </c>
      <c r="BA3903">
        <v>1</v>
      </c>
      <c r="BB3903" t="str">
        <f t="shared" si="2149"/>
        <v xml:space="preserve">N9217B  </v>
      </c>
      <c r="BC3903">
        <v>1</v>
      </c>
      <c r="BE3903">
        <v>0</v>
      </c>
      <c r="BF3903">
        <v>0</v>
      </c>
      <c r="BG3903">
        <v>0</v>
      </c>
      <c r="BH3903">
        <v>5125</v>
      </c>
      <c r="BI3903">
        <v>1</v>
      </c>
      <c r="BJ3903">
        <v>0</v>
      </c>
      <c r="BK3903">
        <v>0</v>
      </c>
      <c r="BL3903">
        <v>0</v>
      </c>
      <c r="BO3903">
        <v>0</v>
      </c>
      <c r="BP3903">
        <v>0</v>
      </c>
      <c r="BW3903" t="str">
        <f t="shared" si="2181"/>
        <v>14:58:37.661</v>
      </c>
      <c r="CJ3903">
        <v>0</v>
      </c>
      <c r="CK3903">
        <v>2</v>
      </c>
      <c r="CL3903">
        <v>0</v>
      </c>
      <c r="CM3903">
        <v>2</v>
      </c>
      <c r="CN3903">
        <v>0</v>
      </c>
      <c r="CO3903">
        <v>5</v>
      </c>
      <c r="CP3903" t="s">
        <v>119</v>
      </c>
      <c r="CQ3903">
        <v>285</v>
      </c>
      <c r="CR3903">
        <v>0</v>
      </c>
      <c r="CW3903">
        <v>8885413</v>
      </c>
      <c r="CY3903">
        <v>0</v>
      </c>
      <c r="CZ3903">
        <v>0</v>
      </c>
      <c r="DA3903">
        <v>1</v>
      </c>
      <c r="DB3903">
        <v>0</v>
      </c>
      <c r="DC3903">
        <v>0</v>
      </c>
      <c r="DD3903">
        <v>0</v>
      </c>
      <c r="DE3903">
        <v>0</v>
      </c>
      <c r="DF3903">
        <v>0</v>
      </c>
      <c r="DG3903">
        <v>0</v>
      </c>
      <c r="DH3903">
        <v>0</v>
      </c>
      <c r="DI3903">
        <v>0</v>
      </c>
    </row>
    <row r="3904" spans="1:113" x14ac:dyDescent="0.25">
      <c r="A3904" t="str">
        <f t="shared" si="2178"/>
        <v>06/05/2020 14:58:32.042</v>
      </c>
      <c r="C3904" t="str">
        <f t="shared" si="2166"/>
        <v>FFDFD3C0</v>
      </c>
      <c r="D3904" t="s">
        <v>141</v>
      </c>
      <c r="E3904">
        <v>20</v>
      </c>
      <c r="F3904">
        <v>1020</v>
      </c>
      <c r="G3904" t="s">
        <v>114</v>
      </c>
      <c r="J3904" t="s">
        <v>142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 t="shared" si="2179"/>
        <v>14:58:37.656</v>
      </c>
      <c r="T3904" t="str">
        <f t="shared" si="2180"/>
        <v>14:58:36.856</v>
      </c>
      <c r="U3904" t="str">
        <f t="shared" si="2145"/>
        <v>ACC530</v>
      </c>
      <c r="V3904">
        <v>0</v>
      </c>
      <c r="W3904">
        <v>0</v>
      </c>
      <c r="X3904">
        <v>1</v>
      </c>
      <c r="Z3904">
        <v>0</v>
      </c>
      <c r="AA3904">
        <v>9</v>
      </c>
      <c r="AB3904">
        <v>3</v>
      </c>
      <c r="AC3904">
        <v>0</v>
      </c>
      <c r="AD3904">
        <v>9</v>
      </c>
      <c r="AE3904">
        <v>0</v>
      </c>
      <c r="AF3904">
        <v>3</v>
      </c>
      <c r="AG3904">
        <v>1</v>
      </c>
      <c r="AH3904">
        <v>0</v>
      </c>
      <c r="AI3904" t="s">
        <v>1250</v>
      </c>
      <c r="AJ3904">
        <v>34.059762999999997</v>
      </c>
      <c r="AK3904" t="s">
        <v>1251</v>
      </c>
      <c r="AL3904">
        <v>-117.018793</v>
      </c>
      <c r="AM3904">
        <v>100</v>
      </c>
      <c r="AN3904">
        <v>5300</v>
      </c>
      <c r="AO3904" t="s">
        <v>118</v>
      </c>
      <c r="AP3904">
        <v>34</v>
      </c>
      <c r="AQ3904">
        <v>-84</v>
      </c>
      <c r="AR3904">
        <v>256</v>
      </c>
      <c r="AZ3904">
        <v>1200</v>
      </c>
      <c r="BA3904">
        <v>1</v>
      </c>
      <c r="BB3904" t="str">
        <f t="shared" si="2149"/>
        <v xml:space="preserve">N9217B  </v>
      </c>
      <c r="BC3904">
        <v>1</v>
      </c>
      <c r="BE3904">
        <v>0</v>
      </c>
      <c r="BF3904">
        <v>0</v>
      </c>
      <c r="BG3904">
        <v>0</v>
      </c>
      <c r="BH3904">
        <v>5125</v>
      </c>
      <c r="BI3904">
        <v>1</v>
      </c>
      <c r="BJ3904">
        <v>0</v>
      </c>
      <c r="BK3904">
        <v>0</v>
      </c>
      <c r="BL3904">
        <v>0</v>
      </c>
      <c r="BO3904">
        <v>0</v>
      </c>
      <c r="BP3904">
        <v>0</v>
      </c>
      <c r="BW3904" t="str">
        <f t="shared" si="2181"/>
        <v>14:58:37.661</v>
      </c>
      <c r="CJ3904">
        <v>0</v>
      </c>
      <c r="CK3904">
        <v>2</v>
      </c>
      <c r="CL3904">
        <v>0</v>
      </c>
      <c r="CM3904">
        <v>2</v>
      </c>
      <c r="CN3904">
        <v>0</v>
      </c>
      <c r="CO3904">
        <v>5</v>
      </c>
      <c r="CP3904" t="s">
        <v>119</v>
      </c>
      <c r="CQ3904">
        <v>285</v>
      </c>
      <c r="CR3904">
        <v>0</v>
      </c>
      <c r="CW3904">
        <v>8885413</v>
      </c>
      <c r="CY3904">
        <v>0</v>
      </c>
      <c r="CZ3904">
        <v>0</v>
      </c>
      <c r="DA3904">
        <v>1</v>
      </c>
      <c r="DB3904">
        <v>0</v>
      </c>
      <c r="DC3904">
        <v>0</v>
      </c>
      <c r="DD3904">
        <v>0</v>
      </c>
      <c r="DE3904">
        <v>0</v>
      </c>
      <c r="DF3904">
        <v>0</v>
      </c>
      <c r="DG3904">
        <v>0</v>
      </c>
      <c r="DH3904">
        <v>0</v>
      </c>
      <c r="DI3904">
        <v>0</v>
      </c>
    </row>
    <row r="3905" spans="1:113" x14ac:dyDescent="0.25">
      <c r="A3905" t="str">
        <f t="shared" si="2178"/>
        <v>06/05/2020 14:58:32.042</v>
      </c>
      <c r="C3905" t="str">
        <f t="shared" si="2166"/>
        <v>FFDFD3C0</v>
      </c>
      <c r="D3905" t="s">
        <v>148</v>
      </c>
      <c r="E3905">
        <v>11</v>
      </c>
      <c r="H3905">
        <v>53</v>
      </c>
      <c r="I3905" t="s">
        <v>364</v>
      </c>
      <c r="J3905" t="s">
        <v>150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 t="shared" si="2179"/>
        <v>14:58:37.656</v>
      </c>
      <c r="T3905" t="str">
        <f t="shared" si="2180"/>
        <v>14:58:36.856</v>
      </c>
      <c r="U3905" t="str">
        <f t="shared" si="2145"/>
        <v>ACC530</v>
      </c>
      <c r="V3905">
        <v>0</v>
      </c>
      <c r="W3905">
        <v>0</v>
      </c>
      <c r="X3905">
        <v>1</v>
      </c>
      <c r="Z3905">
        <v>0</v>
      </c>
      <c r="AA3905">
        <v>9</v>
      </c>
      <c r="AB3905">
        <v>3</v>
      </c>
      <c r="AC3905">
        <v>0</v>
      </c>
      <c r="AD3905">
        <v>9</v>
      </c>
      <c r="AE3905">
        <v>0</v>
      </c>
      <c r="AF3905">
        <v>3</v>
      </c>
      <c r="AG3905">
        <v>1</v>
      </c>
      <c r="AH3905">
        <v>0</v>
      </c>
      <c r="AI3905" t="s">
        <v>1250</v>
      </c>
      <c r="AJ3905">
        <v>34.059762999999997</v>
      </c>
      <c r="AK3905" t="s">
        <v>1251</v>
      </c>
      <c r="AL3905">
        <v>-117.018793</v>
      </c>
      <c r="AM3905">
        <v>100</v>
      </c>
      <c r="AN3905">
        <v>5300</v>
      </c>
      <c r="AO3905" t="s">
        <v>118</v>
      </c>
      <c r="AP3905">
        <v>34</v>
      </c>
      <c r="AQ3905">
        <v>-84</v>
      </c>
      <c r="AR3905">
        <v>256</v>
      </c>
      <c r="AZ3905">
        <v>1200</v>
      </c>
      <c r="BA3905">
        <v>1</v>
      </c>
      <c r="BB3905" t="str">
        <f t="shared" si="2149"/>
        <v xml:space="preserve">N9217B  </v>
      </c>
      <c r="BC3905">
        <v>1</v>
      </c>
      <c r="BE3905">
        <v>0</v>
      </c>
      <c r="BF3905">
        <v>0</v>
      </c>
      <c r="BG3905">
        <v>0</v>
      </c>
      <c r="BH3905">
        <v>5125</v>
      </c>
      <c r="BI3905">
        <v>1</v>
      </c>
      <c r="BJ3905">
        <v>0</v>
      </c>
      <c r="BK3905">
        <v>0</v>
      </c>
      <c r="BL3905">
        <v>0</v>
      </c>
      <c r="BO3905">
        <v>0</v>
      </c>
      <c r="BP3905">
        <v>0</v>
      </c>
      <c r="BW3905" t="str">
        <f t="shared" si="2181"/>
        <v>14:58:37.661</v>
      </c>
      <c r="CJ3905">
        <v>0</v>
      </c>
      <c r="CK3905">
        <v>2</v>
      </c>
      <c r="CL3905">
        <v>0</v>
      </c>
      <c r="CM3905">
        <v>2</v>
      </c>
      <c r="CN3905">
        <v>0</v>
      </c>
      <c r="CO3905">
        <v>5</v>
      </c>
      <c r="CP3905" t="s">
        <v>119</v>
      </c>
      <c r="CQ3905">
        <v>285</v>
      </c>
      <c r="CR3905">
        <v>0</v>
      </c>
      <c r="CW3905">
        <v>8885413</v>
      </c>
      <c r="CY3905">
        <v>0</v>
      </c>
      <c r="CZ3905">
        <v>0</v>
      </c>
      <c r="DA3905">
        <v>1</v>
      </c>
      <c r="DB3905">
        <v>0</v>
      </c>
      <c r="DC3905">
        <v>0</v>
      </c>
      <c r="DD3905">
        <v>0</v>
      </c>
      <c r="DE3905">
        <v>0</v>
      </c>
      <c r="DF3905">
        <v>0</v>
      </c>
      <c r="DG3905">
        <v>0</v>
      </c>
      <c r="DH3905">
        <v>0</v>
      </c>
      <c r="DI3905">
        <v>0</v>
      </c>
    </row>
    <row r="3906" spans="1:113" x14ac:dyDescent="0.25">
      <c r="A3906" t="str">
        <f t="shared" ref="A3906:A3912" si="2182">"06/05/2020 14:58:33.016"</f>
        <v>06/05/2020 14:58:33.016</v>
      </c>
      <c r="C3906" t="str">
        <f t="shared" si="2166"/>
        <v>FFDFD3C0</v>
      </c>
      <c r="D3906" t="s">
        <v>151</v>
      </c>
      <c r="E3906">
        <v>9</v>
      </c>
      <c r="H3906">
        <v>226</v>
      </c>
      <c r="I3906" t="s">
        <v>152</v>
      </c>
      <c r="J3906" t="s">
        <v>150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 t="shared" ref="S3906:S3912" si="2183">"14:58:38.633"</f>
        <v>14:58:38.633</v>
      </c>
      <c r="T3906" t="str">
        <f t="shared" ref="T3906:T3912" si="2184">"14:58:38.333"</f>
        <v>14:58:38.333</v>
      </c>
      <c r="U3906" t="str">
        <f t="shared" ref="U3906:U3969" si="2185">"ACC530"</f>
        <v>ACC530</v>
      </c>
      <c r="V3906">
        <v>0</v>
      </c>
      <c r="W3906">
        <v>0</v>
      </c>
      <c r="X3906">
        <v>1</v>
      </c>
      <c r="Z3906">
        <v>0</v>
      </c>
      <c r="AA3906">
        <v>9</v>
      </c>
      <c r="AB3906">
        <v>3</v>
      </c>
      <c r="AC3906">
        <v>0</v>
      </c>
      <c r="AD3906">
        <v>9</v>
      </c>
      <c r="AE3906">
        <v>0</v>
      </c>
      <c r="AF3906">
        <v>3</v>
      </c>
      <c r="AG3906">
        <v>1</v>
      </c>
      <c r="AH3906">
        <v>0</v>
      </c>
      <c r="AI3906" t="s">
        <v>1252</v>
      </c>
      <c r="AJ3906">
        <v>34.059376999999998</v>
      </c>
      <c r="AK3906" t="s">
        <v>1253</v>
      </c>
      <c r="AL3906">
        <v>-117.01857800000001</v>
      </c>
      <c r="AM3906">
        <v>100</v>
      </c>
      <c r="AN3906">
        <v>5300</v>
      </c>
      <c r="AO3906" t="s">
        <v>118</v>
      </c>
      <c r="AP3906">
        <v>44</v>
      </c>
      <c r="AQ3906">
        <v>-80</v>
      </c>
      <c r="AR3906">
        <v>384</v>
      </c>
      <c r="AZ3906">
        <v>1200</v>
      </c>
      <c r="BA3906">
        <v>1</v>
      </c>
      <c r="BB3906" t="str">
        <f t="shared" si="2149"/>
        <v xml:space="preserve">N9217B  </v>
      </c>
      <c r="BC3906">
        <v>1</v>
      </c>
      <c r="BE3906">
        <v>0</v>
      </c>
      <c r="BF3906">
        <v>0</v>
      </c>
      <c r="BG3906">
        <v>0</v>
      </c>
      <c r="BH3906">
        <v>5150</v>
      </c>
      <c r="BI3906">
        <v>1</v>
      </c>
      <c r="BJ3906">
        <v>0</v>
      </c>
      <c r="BK3906">
        <v>0</v>
      </c>
      <c r="BL3906">
        <v>0</v>
      </c>
      <c r="BO3906">
        <v>0</v>
      </c>
      <c r="BP3906">
        <v>0</v>
      </c>
      <c r="BW3906" t="str">
        <f t="shared" ref="BW3906:BW3912" si="2186">"14:58:38.636"</f>
        <v>14:58:38.636</v>
      </c>
      <c r="CJ3906">
        <v>0</v>
      </c>
      <c r="CK3906">
        <v>2</v>
      </c>
      <c r="CL3906">
        <v>0</v>
      </c>
      <c r="CM3906">
        <v>2</v>
      </c>
      <c r="CN3906">
        <v>0</v>
      </c>
      <c r="CO3906">
        <v>6</v>
      </c>
      <c r="CP3906" t="s">
        <v>119</v>
      </c>
      <c r="CQ3906">
        <v>285</v>
      </c>
      <c r="CR3906">
        <v>0</v>
      </c>
      <c r="CW3906">
        <v>8885498</v>
      </c>
      <c r="CY3906">
        <v>0</v>
      </c>
      <c r="CZ3906">
        <v>0</v>
      </c>
      <c r="DA3906">
        <v>0</v>
      </c>
      <c r="DB3906">
        <v>0</v>
      </c>
      <c r="DC3906">
        <v>0</v>
      </c>
      <c r="DD3906">
        <v>0</v>
      </c>
      <c r="DE3906">
        <v>0</v>
      </c>
      <c r="DF3906">
        <v>0</v>
      </c>
      <c r="DG3906">
        <v>0</v>
      </c>
      <c r="DH3906">
        <v>0</v>
      </c>
      <c r="DI3906">
        <v>0</v>
      </c>
    </row>
    <row r="3907" spans="1:113" x14ac:dyDescent="0.25">
      <c r="A3907" t="str">
        <f t="shared" si="2182"/>
        <v>06/05/2020 14:58:33.016</v>
      </c>
      <c r="C3907" t="str">
        <f t="shared" si="2166"/>
        <v>FFDFD3C0</v>
      </c>
      <c r="D3907" t="s">
        <v>134</v>
      </c>
      <c r="E3907">
        <v>7</v>
      </c>
      <c r="F3907">
        <v>2007</v>
      </c>
      <c r="G3907" t="s">
        <v>135</v>
      </c>
      <c r="J3907" t="s">
        <v>136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 t="shared" si="2183"/>
        <v>14:58:38.633</v>
      </c>
      <c r="T3907" t="str">
        <f t="shared" si="2184"/>
        <v>14:58:38.333</v>
      </c>
      <c r="U3907" t="str">
        <f t="shared" si="2185"/>
        <v>ACC530</v>
      </c>
      <c r="V3907">
        <v>0</v>
      </c>
      <c r="W3907">
        <v>0</v>
      </c>
      <c r="X3907">
        <v>1</v>
      </c>
      <c r="Z3907">
        <v>0</v>
      </c>
      <c r="AA3907">
        <v>9</v>
      </c>
      <c r="AB3907">
        <v>3</v>
      </c>
      <c r="AC3907">
        <v>0</v>
      </c>
      <c r="AD3907">
        <v>9</v>
      </c>
      <c r="AE3907">
        <v>0</v>
      </c>
      <c r="AF3907">
        <v>3</v>
      </c>
      <c r="AG3907">
        <v>1</v>
      </c>
      <c r="AH3907">
        <v>0</v>
      </c>
      <c r="AI3907" t="s">
        <v>1252</v>
      </c>
      <c r="AJ3907">
        <v>34.059376999999998</v>
      </c>
      <c r="AK3907" t="s">
        <v>1253</v>
      </c>
      <c r="AL3907">
        <v>-117.01857800000001</v>
      </c>
      <c r="AM3907">
        <v>100</v>
      </c>
      <c r="AN3907">
        <v>5300</v>
      </c>
      <c r="AO3907" t="s">
        <v>118</v>
      </c>
      <c r="AP3907">
        <v>44</v>
      </c>
      <c r="AQ3907">
        <v>-80</v>
      </c>
      <c r="AR3907">
        <v>384</v>
      </c>
      <c r="AZ3907">
        <v>1200</v>
      </c>
      <c r="BA3907">
        <v>1</v>
      </c>
      <c r="BB3907" t="str">
        <f t="shared" si="2149"/>
        <v xml:space="preserve">N9217B  </v>
      </c>
      <c r="BC3907">
        <v>1</v>
      </c>
      <c r="BE3907">
        <v>0</v>
      </c>
      <c r="BF3907">
        <v>0</v>
      </c>
      <c r="BG3907">
        <v>0</v>
      </c>
      <c r="BH3907">
        <v>5150</v>
      </c>
      <c r="BI3907">
        <v>1</v>
      </c>
      <c r="BJ3907">
        <v>0</v>
      </c>
      <c r="BK3907">
        <v>0</v>
      </c>
      <c r="BL3907">
        <v>0</v>
      </c>
      <c r="BO3907">
        <v>0</v>
      </c>
      <c r="BP3907">
        <v>0</v>
      </c>
      <c r="BW3907" t="str">
        <f t="shared" si="2186"/>
        <v>14:58:38.636</v>
      </c>
      <c r="CJ3907">
        <v>0</v>
      </c>
      <c r="CK3907">
        <v>2</v>
      </c>
      <c r="CL3907">
        <v>0</v>
      </c>
      <c r="CM3907">
        <v>2</v>
      </c>
      <c r="CN3907">
        <v>0</v>
      </c>
      <c r="CO3907">
        <v>6</v>
      </c>
      <c r="CP3907" t="s">
        <v>119</v>
      </c>
      <c r="CQ3907">
        <v>285</v>
      </c>
      <c r="CR3907">
        <v>0</v>
      </c>
      <c r="CW3907">
        <v>8885498</v>
      </c>
      <c r="CY3907">
        <v>0</v>
      </c>
      <c r="CZ3907">
        <v>0</v>
      </c>
      <c r="DA3907">
        <v>1</v>
      </c>
      <c r="DB3907">
        <v>0</v>
      </c>
      <c r="DC3907">
        <v>0</v>
      </c>
      <c r="DD3907">
        <v>0</v>
      </c>
      <c r="DE3907">
        <v>0</v>
      </c>
      <c r="DF3907">
        <v>0</v>
      </c>
      <c r="DG3907">
        <v>0</v>
      </c>
      <c r="DH3907">
        <v>0</v>
      </c>
      <c r="DI3907">
        <v>0</v>
      </c>
    </row>
    <row r="3908" spans="1:113" x14ac:dyDescent="0.25">
      <c r="A3908" t="str">
        <f t="shared" si="2182"/>
        <v>06/05/2020 14:58:33.016</v>
      </c>
      <c r="C3908" t="str">
        <f t="shared" si="2166"/>
        <v>FFDFD3C0</v>
      </c>
      <c r="D3908" t="s">
        <v>141</v>
      </c>
      <c r="E3908">
        <v>20</v>
      </c>
      <c r="F3908">
        <v>1020</v>
      </c>
      <c r="G3908" t="s">
        <v>114</v>
      </c>
      <c r="J3908" t="s">
        <v>142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 t="shared" si="2183"/>
        <v>14:58:38.633</v>
      </c>
      <c r="T3908" t="str">
        <f t="shared" si="2184"/>
        <v>14:58:38.333</v>
      </c>
      <c r="U3908" t="str">
        <f t="shared" si="2185"/>
        <v>ACC530</v>
      </c>
      <c r="V3908">
        <v>0</v>
      </c>
      <c r="W3908">
        <v>0</v>
      </c>
      <c r="X3908">
        <v>1</v>
      </c>
      <c r="Z3908">
        <v>0</v>
      </c>
      <c r="AA3908">
        <v>9</v>
      </c>
      <c r="AB3908">
        <v>3</v>
      </c>
      <c r="AC3908">
        <v>0</v>
      </c>
      <c r="AD3908">
        <v>9</v>
      </c>
      <c r="AE3908">
        <v>0</v>
      </c>
      <c r="AF3908">
        <v>3</v>
      </c>
      <c r="AG3908">
        <v>1</v>
      </c>
      <c r="AH3908">
        <v>0</v>
      </c>
      <c r="AI3908" t="s">
        <v>1252</v>
      </c>
      <c r="AJ3908">
        <v>34.059376999999998</v>
      </c>
      <c r="AK3908" t="s">
        <v>1253</v>
      </c>
      <c r="AL3908">
        <v>-117.01857800000001</v>
      </c>
      <c r="AM3908">
        <v>100</v>
      </c>
      <c r="AN3908">
        <v>5300</v>
      </c>
      <c r="AO3908" t="s">
        <v>118</v>
      </c>
      <c r="AP3908">
        <v>44</v>
      </c>
      <c r="AQ3908">
        <v>-80</v>
      </c>
      <c r="AR3908">
        <v>384</v>
      </c>
      <c r="AZ3908">
        <v>1200</v>
      </c>
      <c r="BA3908">
        <v>1</v>
      </c>
      <c r="BB3908" t="str">
        <f t="shared" si="2149"/>
        <v xml:space="preserve">N9217B  </v>
      </c>
      <c r="BC3908">
        <v>1</v>
      </c>
      <c r="BE3908">
        <v>0</v>
      </c>
      <c r="BF3908">
        <v>0</v>
      </c>
      <c r="BG3908">
        <v>0</v>
      </c>
      <c r="BH3908">
        <v>5150</v>
      </c>
      <c r="BI3908">
        <v>1</v>
      </c>
      <c r="BJ3908">
        <v>0</v>
      </c>
      <c r="BK3908">
        <v>0</v>
      </c>
      <c r="BL3908">
        <v>0</v>
      </c>
      <c r="BO3908">
        <v>0</v>
      </c>
      <c r="BP3908">
        <v>0</v>
      </c>
      <c r="BW3908" t="str">
        <f t="shared" si="2186"/>
        <v>14:58:38.636</v>
      </c>
      <c r="CJ3908">
        <v>0</v>
      </c>
      <c r="CK3908">
        <v>2</v>
      </c>
      <c r="CL3908">
        <v>0</v>
      </c>
      <c r="CM3908">
        <v>2</v>
      </c>
      <c r="CN3908">
        <v>0</v>
      </c>
      <c r="CO3908">
        <v>6</v>
      </c>
      <c r="CP3908" t="s">
        <v>119</v>
      </c>
      <c r="CQ3908">
        <v>285</v>
      </c>
      <c r="CR3908">
        <v>0</v>
      </c>
      <c r="CW3908">
        <v>8885498</v>
      </c>
      <c r="CY3908">
        <v>0</v>
      </c>
      <c r="CZ3908">
        <v>0</v>
      </c>
      <c r="DA3908">
        <v>1</v>
      </c>
      <c r="DB3908">
        <v>0</v>
      </c>
      <c r="DC3908">
        <v>0</v>
      </c>
      <c r="DD3908">
        <v>0</v>
      </c>
      <c r="DE3908">
        <v>0</v>
      </c>
      <c r="DF3908">
        <v>0</v>
      </c>
      <c r="DG3908">
        <v>0</v>
      </c>
      <c r="DH3908">
        <v>0</v>
      </c>
      <c r="DI3908">
        <v>0</v>
      </c>
    </row>
    <row r="3909" spans="1:113" x14ac:dyDescent="0.25">
      <c r="A3909" t="str">
        <f t="shared" si="2182"/>
        <v>06/05/2020 14:58:33.016</v>
      </c>
      <c r="C3909" t="str">
        <f t="shared" si="2166"/>
        <v>FFDFD3C0</v>
      </c>
      <c r="D3909" t="s">
        <v>148</v>
      </c>
      <c r="E3909">
        <v>11</v>
      </c>
      <c r="H3909">
        <v>53</v>
      </c>
      <c r="I3909" t="s">
        <v>364</v>
      </c>
      <c r="J3909" t="s">
        <v>150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 t="shared" si="2183"/>
        <v>14:58:38.633</v>
      </c>
      <c r="T3909" t="str">
        <f t="shared" si="2184"/>
        <v>14:58:38.333</v>
      </c>
      <c r="U3909" t="str">
        <f t="shared" si="2185"/>
        <v>ACC530</v>
      </c>
      <c r="V3909">
        <v>0</v>
      </c>
      <c r="W3909">
        <v>0</v>
      </c>
      <c r="X3909">
        <v>1</v>
      </c>
      <c r="Z3909">
        <v>0</v>
      </c>
      <c r="AA3909">
        <v>9</v>
      </c>
      <c r="AB3909">
        <v>3</v>
      </c>
      <c r="AC3909">
        <v>0</v>
      </c>
      <c r="AD3909">
        <v>9</v>
      </c>
      <c r="AE3909">
        <v>0</v>
      </c>
      <c r="AF3909">
        <v>3</v>
      </c>
      <c r="AG3909">
        <v>1</v>
      </c>
      <c r="AH3909">
        <v>0</v>
      </c>
      <c r="AI3909" t="s">
        <v>1252</v>
      </c>
      <c r="AJ3909">
        <v>34.059376999999998</v>
      </c>
      <c r="AK3909" t="s">
        <v>1253</v>
      </c>
      <c r="AL3909">
        <v>-117.01857800000001</v>
      </c>
      <c r="AM3909">
        <v>100</v>
      </c>
      <c r="AN3909">
        <v>5300</v>
      </c>
      <c r="AO3909" t="s">
        <v>118</v>
      </c>
      <c r="AP3909">
        <v>44</v>
      </c>
      <c r="AQ3909">
        <v>-80</v>
      </c>
      <c r="AR3909">
        <v>384</v>
      </c>
      <c r="AZ3909">
        <v>1200</v>
      </c>
      <c r="BA3909">
        <v>1</v>
      </c>
      <c r="BB3909" t="str">
        <f t="shared" ref="BB3909:BB3972" si="2187">"N9217B  "</f>
        <v xml:space="preserve">N9217B  </v>
      </c>
      <c r="BC3909">
        <v>1</v>
      </c>
      <c r="BE3909">
        <v>0</v>
      </c>
      <c r="BF3909">
        <v>0</v>
      </c>
      <c r="BG3909">
        <v>0</v>
      </c>
      <c r="BH3909">
        <v>5150</v>
      </c>
      <c r="BI3909">
        <v>1</v>
      </c>
      <c r="BJ3909">
        <v>0</v>
      </c>
      <c r="BK3909">
        <v>0</v>
      </c>
      <c r="BL3909">
        <v>0</v>
      </c>
      <c r="BO3909">
        <v>0</v>
      </c>
      <c r="BP3909">
        <v>0</v>
      </c>
      <c r="BW3909" t="str">
        <f t="shared" si="2186"/>
        <v>14:58:38.636</v>
      </c>
      <c r="CJ3909">
        <v>0</v>
      </c>
      <c r="CK3909">
        <v>2</v>
      </c>
      <c r="CL3909">
        <v>0</v>
      </c>
      <c r="CM3909">
        <v>2</v>
      </c>
      <c r="CN3909">
        <v>0</v>
      </c>
      <c r="CO3909">
        <v>6</v>
      </c>
      <c r="CP3909" t="s">
        <v>119</v>
      </c>
      <c r="CQ3909">
        <v>285</v>
      </c>
      <c r="CR3909">
        <v>0</v>
      </c>
      <c r="CW3909">
        <v>8885498</v>
      </c>
      <c r="CY3909">
        <v>0</v>
      </c>
      <c r="CZ3909">
        <v>0</v>
      </c>
      <c r="DA3909">
        <v>1</v>
      </c>
      <c r="DB3909">
        <v>0</v>
      </c>
      <c r="DC3909">
        <v>0</v>
      </c>
      <c r="DD3909">
        <v>0</v>
      </c>
      <c r="DE3909">
        <v>0</v>
      </c>
      <c r="DF3909">
        <v>0</v>
      </c>
      <c r="DG3909">
        <v>0</v>
      </c>
      <c r="DH3909">
        <v>0</v>
      </c>
      <c r="DI3909">
        <v>0</v>
      </c>
    </row>
    <row r="3910" spans="1:113" x14ac:dyDescent="0.25">
      <c r="A3910" t="str">
        <f t="shared" si="2182"/>
        <v>06/05/2020 14:58:33.016</v>
      </c>
      <c r="C3910" t="str">
        <f t="shared" si="2166"/>
        <v>FFDFD3C0</v>
      </c>
      <c r="D3910" t="s">
        <v>151</v>
      </c>
      <c r="E3910">
        <v>8</v>
      </c>
      <c r="H3910">
        <v>225</v>
      </c>
      <c r="I3910" t="s">
        <v>353</v>
      </c>
      <c r="J3910" t="s">
        <v>150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 t="shared" si="2183"/>
        <v>14:58:38.633</v>
      </c>
      <c r="T3910" t="str">
        <f t="shared" si="2184"/>
        <v>14:58:38.333</v>
      </c>
      <c r="U3910" t="str">
        <f t="shared" si="2185"/>
        <v>ACC530</v>
      </c>
      <c r="V3910">
        <v>0</v>
      </c>
      <c r="W3910">
        <v>0</v>
      </c>
      <c r="X3910">
        <v>1</v>
      </c>
      <c r="Z3910">
        <v>0</v>
      </c>
      <c r="AA3910">
        <v>9</v>
      </c>
      <c r="AB3910">
        <v>3</v>
      </c>
      <c r="AC3910">
        <v>0</v>
      </c>
      <c r="AD3910">
        <v>9</v>
      </c>
      <c r="AE3910">
        <v>0</v>
      </c>
      <c r="AF3910">
        <v>3</v>
      </c>
      <c r="AG3910">
        <v>1</v>
      </c>
      <c r="AH3910">
        <v>0</v>
      </c>
      <c r="AI3910" t="s">
        <v>1252</v>
      </c>
      <c r="AJ3910">
        <v>34.059376999999998</v>
      </c>
      <c r="AK3910" t="s">
        <v>1253</v>
      </c>
      <c r="AL3910">
        <v>-117.01857800000001</v>
      </c>
      <c r="AM3910">
        <v>100</v>
      </c>
      <c r="AN3910">
        <v>5300</v>
      </c>
      <c r="AO3910" t="s">
        <v>118</v>
      </c>
      <c r="AP3910">
        <v>44</v>
      </c>
      <c r="AQ3910">
        <v>-80</v>
      </c>
      <c r="AR3910">
        <v>384</v>
      </c>
      <c r="AZ3910">
        <v>1200</v>
      </c>
      <c r="BA3910">
        <v>1</v>
      </c>
      <c r="BB3910" t="str">
        <f t="shared" si="2187"/>
        <v xml:space="preserve">N9217B  </v>
      </c>
      <c r="BC3910">
        <v>1</v>
      </c>
      <c r="BE3910">
        <v>0</v>
      </c>
      <c r="BF3910">
        <v>0</v>
      </c>
      <c r="BG3910">
        <v>0</v>
      </c>
      <c r="BH3910">
        <v>5150</v>
      </c>
      <c r="BI3910">
        <v>1</v>
      </c>
      <c r="BJ3910">
        <v>0</v>
      </c>
      <c r="BK3910">
        <v>0</v>
      </c>
      <c r="BL3910">
        <v>0</v>
      </c>
      <c r="BO3910">
        <v>0</v>
      </c>
      <c r="BP3910">
        <v>0</v>
      </c>
      <c r="BW3910" t="str">
        <f t="shared" si="2186"/>
        <v>14:58:38.636</v>
      </c>
      <c r="CJ3910">
        <v>0</v>
      </c>
      <c r="CK3910">
        <v>2</v>
      </c>
      <c r="CL3910">
        <v>0</v>
      </c>
      <c r="CM3910">
        <v>2</v>
      </c>
      <c r="CN3910">
        <v>0</v>
      </c>
      <c r="CO3910">
        <v>6</v>
      </c>
      <c r="CP3910" t="s">
        <v>119</v>
      </c>
      <c r="CQ3910">
        <v>285</v>
      </c>
      <c r="CR3910">
        <v>0</v>
      </c>
      <c r="CW3910">
        <v>8885498</v>
      </c>
      <c r="CY3910">
        <v>0</v>
      </c>
      <c r="CZ3910">
        <v>0</v>
      </c>
      <c r="DA3910">
        <v>1</v>
      </c>
      <c r="DB3910">
        <v>0</v>
      </c>
      <c r="DC3910">
        <v>0</v>
      </c>
      <c r="DD3910">
        <v>0</v>
      </c>
      <c r="DE3910">
        <v>0</v>
      </c>
      <c r="DF3910">
        <v>0</v>
      </c>
      <c r="DG3910">
        <v>0</v>
      </c>
      <c r="DH3910">
        <v>0</v>
      </c>
      <c r="DI3910">
        <v>0</v>
      </c>
    </row>
    <row r="3911" spans="1:113" x14ac:dyDescent="0.25">
      <c r="A3911" t="str">
        <f t="shared" si="2182"/>
        <v>06/05/2020 14:58:33.016</v>
      </c>
      <c r="C3911" t="str">
        <f t="shared" si="2166"/>
        <v>FFDFD3C0</v>
      </c>
      <c r="D3911" t="s">
        <v>148</v>
      </c>
      <c r="E3911">
        <v>8</v>
      </c>
      <c r="H3911">
        <v>50</v>
      </c>
      <c r="I3911" t="s">
        <v>149</v>
      </c>
      <c r="J3911" t="s">
        <v>150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 t="shared" si="2183"/>
        <v>14:58:38.633</v>
      </c>
      <c r="T3911" t="str">
        <f t="shared" si="2184"/>
        <v>14:58:38.333</v>
      </c>
      <c r="U3911" t="str">
        <f t="shared" si="2185"/>
        <v>ACC530</v>
      </c>
      <c r="V3911">
        <v>0</v>
      </c>
      <c r="W3911">
        <v>0</v>
      </c>
      <c r="X3911">
        <v>1</v>
      </c>
      <c r="Z3911">
        <v>0</v>
      </c>
      <c r="AA3911">
        <v>9</v>
      </c>
      <c r="AB3911">
        <v>3</v>
      </c>
      <c r="AC3911">
        <v>0</v>
      </c>
      <c r="AD3911">
        <v>9</v>
      </c>
      <c r="AE3911">
        <v>0</v>
      </c>
      <c r="AF3911">
        <v>3</v>
      </c>
      <c r="AG3911">
        <v>1</v>
      </c>
      <c r="AH3911">
        <v>0</v>
      </c>
      <c r="AI3911" t="s">
        <v>1252</v>
      </c>
      <c r="AJ3911">
        <v>34.059376999999998</v>
      </c>
      <c r="AK3911" t="s">
        <v>1253</v>
      </c>
      <c r="AL3911">
        <v>-117.01857800000001</v>
      </c>
      <c r="AM3911">
        <v>100</v>
      </c>
      <c r="AN3911">
        <v>5300</v>
      </c>
      <c r="AO3911" t="s">
        <v>118</v>
      </c>
      <c r="AP3911">
        <v>44</v>
      </c>
      <c r="AQ3911">
        <v>-80</v>
      </c>
      <c r="AR3911">
        <v>384</v>
      </c>
      <c r="AZ3911">
        <v>1200</v>
      </c>
      <c r="BA3911">
        <v>1</v>
      </c>
      <c r="BB3911" t="str">
        <f t="shared" si="2187"/>
        <v xml:space="preserve">N9217B  </v>
      </c>
      <c r="BC3911">
        <v>1</v>
      </c>
      <c r="BE3911">
        <v>0</v>
      </c>
      <c r="BF3911">
        <v>0</v>
      </c>
      <c r="BG3911">
        <v>0</v>
      </c>
      <c r="BH3911">
        <v>5150</v>
      </c>
      <c r="BI3911">
        <v>1</v>
      </c>
      <c r="BJ3911">
        <v>0</v>
      </c>
      <c r="BK3911">
        <v>0</v>
      </c>
      <c r="BL3911">
        <v>0</v>
      </c>
      <c r="BO3911">
        <v>0</v>
      </c>
      <c r="BP3911">
        <v>0</v>
      </c>
      <c r="BW3911" t="str">
        <f t="shared" si="2186"/>
        <v>14:58:38.636</v>
      </c>
      <c r="CJ3911">
        <v>0</v>
      </c>
      <c r="CK3911">
        <v>2</v>
      </c>
      <c r="CL3911">
        <v>0</v>
      </c>
      <c r="CM3911">
        <v>2</v>
      </c>
      <c r="CN3911">
        <v>0</v>
      </c>
      <c r="CO3911">
        <v>6</v>
      </c>
      <c r="CP3911" t="s">
        <v>119</v>
      </c>
      <c r="CQ3911">
        <v>285</v>
      </c>
      <c r="CR3911">
        <v>0</v>
      </c>
      <c r="CW3911">
        <v>8885498</v>
      </c>
      <c r="CY3911">
        <v>0</v>
      </c>
      <c r="CZ3911">
        <v>0</v>
      </c>
      <c r="DA3911">
        <v>1</v>
      </c>
      <c r="DB3911">
        <v>0</v>
      </c>
      <c r="DC3911">
        <v>0</v>
      </c>
      <c r="DD3911">
        <v>0</v>
      </c>
      <c r="DE3911">
        <v>0</v>
      </c>
      <c r="DF3911">
        <v>0</v>
      </c>
      <c r="DG3911">
        <v>0</v>
      </c>
      <c r="DH3911">
        <v>0</v>
      </c>
      <c r="DI3911">
        <v>0</v>
      </c>
    </row>
    <row r="3912" spans="1:113" x14ac:dyDescent="0.25">
      <c r="A3912" t="str">
        <f t="shared" si="2182"/>
        <v>06/05/2020 14:58:33.016</v>
      </c>
      <c r="C3912" t="str">
        <f t="shared" si="2166"/>
        <v>FFDFD3C0</v>
      </c>
      <c r="D3912" t="s">
        <v>113</v>
      </c>
      <c r="E3912">
        <v>3</v>
      </c>
      <c r="H3912">
        <v>166</v>
      </c>
      <c r="I3912" t="s">
        <v>114</v>
      </c>
      <c r="J3912" t="s">
        <v>115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 t="shared" si="2183"/>
        <v>14:58:38.633</v>
      </c>
      <c r="T3912" t="str">
        <f t="shared" si="2184"/>
        <v>14:58:38.333</v>
      </c>
      <c r="U3912" t="str">
        <f t="shared" si="2185"/>
        <v>ACC530</v>
      </c>
      <c r="V3912">
        <v>0</v>
      </c>
      <c r="W3912">
        <v>0</v>
      </c>
      <c r="X3912">
        <v>1</v>
      </c>
      <c r="Z3912">
        <v>0</v>
      </c>
      <c r="AA3912">
        <v>9</v>
      </c>
      <c r="AB3912">
        <v>3</v>
      </c>
      <c r="AC3912">
        <v>0</v>
      </c>
      <c r="AD3912">
        <v>9</v>
      </c>
      <c r="AE3912">
        <v>0</v>
      </c>
      <c r="AF3912">
        <v>3</v>
      </c>
      <c r="AG3912">
        <v>1</v>
      </c>
      <c r="AH3912">
        <v>0</v>
      </c>
      <c r="AI3912" t="s">
        <v>1252</v>
      </c>
      <c r="AJ3912">
        <v>34.059376999999998</v>
      </c>
      <c r="AK3912" t="s">
        <v>1253</v>
      </c>
      <c r="AL3912">
        <v>-117.01857800000001</v>
      </c>
      <c r="AM3912">
        <v>100</v>
      </c>
      <c r="AN3912">
        <v>5300</v>
      </c>
      <c r="AO3912" t="s">
        <v>118</v>
      </c>
      <c r="AP3912">
        <v>44</v>
      </c>
      <c r="AQ3912">
        <v>-80</v>
      </c>
      <c r="AR3912">
        <v>384</v>
      </c>
      <c r="AZ3912">
        <v>1200</v>
      </c>
      <c r="BA3912">
        <v>1</v>
      </c>
      <c r="BB3912" t="str">
        <f t="shared" si="2187"/>
        <v xml:space="preserve">N9217B  </v>
      </c>
      <c r="BC3912">
        <v>1</v>
      </c>
      <c r="BE3912">
        <v>0</v>
      </c>
      <c r="BF3912">
        <v>0</v>
      </c>
      <c r="BG3912">
        <v>0</v>
      </c>
      <c r="BH3912">
        <v>5150</v>
      </c>
      <c r="BI3912">
        <v>1</v>
      </c>
      <c r="BJ3912">
        <v>0</v>
      </c>
      <c r="BK3912">
        <v>0</v>
      </c>
      <c r="BL3912">
        <v>0</v>
      </c>
      <c r="BO3912">
        <v>0</v>
      </c>
      <c r="BP3912">
        <v>0</v>
      </c>
      <c r="BW3912" t="str">
        <f t="shared" si="2186"/>
        <v>14:58:38.636</v>
      </c>
      <c r="CJ3912">
        <v>0</v>
      </c>
      <c r="CK3912">
        <v>2</v>
      </c>
      <c r="CL3912">
        <v>0</v>
      </c>
      <c r="CM3912">
        <v>2</v>
      </c>
      <c r="CN3912">
        <v>0</v>
      </c>
      <c r="CO3912">
        <v>6</v>
      </c>
      <c r="CP3912" t="s">
        <v>119</v>
      </c>
      <c r="CQ3912">
        <v>285</v>
      </c>
      <c r="CR3912">
        <v>0</v>
      </c>
      <c r="CW3912">
        <v>8885498</v>
      </c>
      <c r="CY3912">
        <v>0</v>
      </c>
      <c r="CZ3912">
        <v>0</v>
      </c>
      <c r="DA3912">
        <v>1</v>
      </c>
      <c r="DB3912">
        <v>0</v>
      </c>
      <c r="DC3912">
        <v>0</v>
      </c>
      <c r="DD3912">
        <v>0</v>
      </c>
      <c r="DE3912">
        <v>0</v>
      </c>
      <c r="DF3912">
        <v>0</v>
      </c>
      <c r="DG3912">
        <v>0</v>
      </c>
      <c r="DH3912">
        <v>0</v>
      </c>
      <c r="DI3912">
        <v>0</v>
      </c>
    </row>
    <row r="3913" spans="1:113" x14ac:dyDescent="0.25">
      <c r="A3913" t="str">
        <f t="shared" ref="A3913:A3919" si="2188">"06/05/2020 14:58:34.126"</f>
        <v>06/05/2020 14:58:34.126</v>
      </c>
      <c r="C3913" t="str">
        <f t="shared" si="2166"/>
        <v>FFDFD3C0</v>
      </c>
      <c r="D3913" t="s">
        <v>134</v>
      </c>
      <c r="E3913">
        <v>7</v>
      </c>
      <c r="F3913">
        <v>2007</v>
      </c>
      <c r="G3913" t="s">
        <v>135</v>
      </c>
      <c r="J3913" t="s">
        <v>136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 t="shared" ref="S3913:T3919" si="2189">"14:58:39.758"</f>
        <v>14:58:39.758</v>
      </c>
      <c r="T3913" t="str">
        <f t="shared" si="2189"/>
        <v>14:58:39.758</v>
      </c>
      <c r="U3913" t="str">
        <f t="shared" si="2185"/>
        <v>ACC530</v>
      </c>
      <c r="V3913">
        <v>0</v>
      </c>
      <c r="W3913">
        <v>0</v>
      </c>
      <c r="X3913">
        <v>1</v>
      </c>
      <c r="Z3913">
        <v>0</v>
      </c>
      <c r="AA3913">
        <v>9</v>
      </c>
      <c r="AB3913">
        <v>3</v>
      </c>
      <c r="AC3913">
        <v>0</v>
      </c>
      <c r="AD3913">
        <v>9</v>
      </c>
      <c r="AE3913">
        <v>0</v>
      </c>
      <c r="AF3913">
        <v>3</v>
      </c>
      <c r="AG3913">
        <v>1</v>
      </c>
      <c r="AH3913">
        <v>0</v>
      </c>
      <c r="AI3913" t="s">
        <v>1254</v>
      </c>
      <c r="AJ3913">
        <v>34.059012000000003</v>
      </c>
      <c r="AK3913" t="s">
        <v>1255</v>
      </c>
      <c r="AL3913">
        <v>-117.018235</v>
      </c>
      <c r="AM3913">
        <v>100</v>
      </c>
      <c r="AN3913">
        <v>5300</v>
      </c>
      <c r="AO3913" t="s">
        <v>118</v>
      </c>
      <c r="AP3913">
        <v>54</v>
      </c>
      <c r="AQ3913">
        <v>-74</v>
      </c>
      <c r="AR3913">
        <v>384</v>
      </c>
      <c r="AZ3913">
        <v>1200</v>
      </c>
      <c r="BA3913">
        <v>1</v>
      </c>
      <c r="BB3913" t="str">
        <f t="shared" si="2187"/>
        <v xml:space="preserve">N9217B  </v>
      </c>
      <c r="BC3913">
        <v>1</v>
      </c>
      <c r="BE3913">
        <v>0</v>
      </c>
      <c r="BF3913">
        <v>0</v>
      </c>
      <c r="BG3913">
        <v>0</v>
      </c>
      <c r="BH3913">
        <v>5150</v>
      </c>
      <c r="BI3913">
        <v>1</v>
      </c>
      <c r="BJ3913">
        <v>0</v>
      </c>
      <c r="BK3913">
        <v>0</v>
      </c>
      <c r="BL3913">
        <v>0</v>
      </c>
      <c r="BO3913">
        <v>0</v>
      </c>
      <c r="BP3913">
        <v>0</v>
      </c>
      <c r="BW3913" t="str">
        <f t="shared" ref="BW3913:BW3919" si="2190">"14:58:39.761"</f>
        <v>14:58:39.761</v>
      </c>
      <c r="CJ3913">
        <v>0</v>
      </c>
      <c r="CK3913">
        <v>2</v>
      </c>
      <c r="CL3913">
        <v>0</v>
      </c>
      <c r="CM3913">
        <v>2</v>
      </c>
      <c r="CN3913">
        <v>0</v>
      </c>
      <c r="CO3913">
        <v>6</v>
      </c>
      <c r="CP3913" t="s">
        <v>119</v>
      </c>
      <c r="CQ3913">
        <v>285</v>
      </c>
      <c r="CR3913">
        <v>0</v>
      </c>
      <c r="CW3913">
        <v>8885599</v>
      </c>
      <c r="CY3913">
        <v>0</v>
      </c>
      <c r="CZ3913">
        <v>0</v>
      </c>
      <c r="DA3913">
        <v>0</v>
      </c>
      <c r="DB3913">
        <v>0</v>
      </c>
      <c r="DC3913">
        <v>0</v>
      </c>
      <c r="DD3913">
        <v>0</v>
      </c>
      <c r="DE3913">
        <v>0</v>
      </c>
      <c r="DF3913">
        <v>0</v>
      </c>
      <c r="DG3913">
        <v>0</v>
      </c>
      <c r="DH3913">
        <v>0</v>
      </c>
      <c r="DI3913">
        <v>0</v>
      </c>
    </row>
    <row r="3914" spans="1:113" x14ac:dyDescent="0.25">
      <c r="A3914" t="str">
        <f t="shared" si="2188"/>
        <v>06/05/2020 14:58:34.126</v>
      </c>
      <c r="C3914" t="str">
        <f t="shared" si="2166"/>
        <v>FFDFD3C0</v>
      </c>
      <c r="D3914" t="s">
        <v>151</v>
      </c>
      <c r="E3914">
        <v>9</v>
      </c>
      <c r="H3914">
        <v>226</v>
      </c>
      <c r="I3914" t="s">
        <v>152</v>
      </c>
      <c r="J3914" t="s">
        <v>150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 t="shared" si="2189"/>
        <v>14:58:39.758</v>
      </c>
      <c r="T3914" t="str">
        <f t="shared" si="2189"/>
        <v>14:58:39.758</v>
      </c>
      <c r="U3914" t="str">
        <f t="shared" si="2185"/>
        <v>ACC530</v>
      </c>
      <c r="V3914">
        <v>0</v>
      </c>
      <c r="W3914">
        <v>0</v>
      </c>
      <c r="X3914">
        <v>1</v>
      </c>
      <c r="Z3914">
        <v>0</v>
      </c>
      <c r="AA3914">
        <v>9</v>
      </c>
      <c r="AB3914">
        <v>3</v>
      </c>
      <c r="AC3914">
        <v>0</v>
      </c>
      <c r="AD3914">
        <v>9</v>
      </c>
      <c r="AE3914">
        <v>0</v>
      </c>
      <c r="AF3914">
        <v>3</v>
      </c>
      <c r="AG3914">
        <v>1</v>
      </c>
      <c r="AH3914">
        <v>0</v>
      </c>
      <c r="AI3914" t="s">
        <v>1254</v>
      </c>
      <c r="AJ3914">
        <v>34.059012000000003</v>
      </c>
      <c r="AK3914" t="s">
        <v>1255</v>
      </c>
      <c r="AL3914">
        <v>-117.018235</v>
      </c>
      <c r="AM3914">
        <v>100</v>
      </c>
      <c r="AN3914">
        <v>5300</v>
      </c>
      <c r="AO3914" t="s">
        <v>118</v>
      </c>
      <c r="AP3914">
        <v>54</v>
      </c>
      <c r="AQ3914">
        <v>-74</v>
      </c>
      <c r="AR3914">
        <v>384</v>
      </c>
      <c r="AZ3914">
        <v>1200</v>
      </c>
      <c r="BA3914">
        <v>1</v>
      </c>
      <c r="BB3914" t="str">
        <f t="shared" si="2187"/>
        <v xml:space="preserve">N9217B  </v>
      </c>
      <c r="BC3914">
        <v>1</v>
      </c>
      <c r="BE3914">
        <v>0</v>
      </c>
      <c r="BF3914">
        <v>0</v>
      </c>
      <c r="BG3914">
        <v>0</v>
      </c>
      <c r="BH3914">
        <v>5150</v>
      </c>
      <c r="BI3914">
        <v>1</v>
      </c>
      <c r="BJ3914">
        <v>0</v>
      </c>
      <c r="BK3914">
        <v>0</v>
      </c>
      <c r="BL3914">
        <v>0</v>
      </c>
      <c r="BO3914">
        <v>0</v>
      </c>
      <c r="BP3914">
        <v>0</v>
      </c>
      <c r="BW3914" t="str">
        <f t="shared" si="2190"/>
        <v>14:58:39.761</v>
      </c>
      <c r="CJ3914">
        <v>0</v>
      </c>
      <c r="CK3914">
        <v>2</v>
      </c>
      <c r="CL3914">
        <v>0</v>
      </c>
      <c r="CM3914">
        <v>2</v>
      </c>
      <c r="CN3914">
        <v>0</v>
      </c>
      <c r="CO3914">
        <v>6</v>
      </c>
      <c r="CP3914" t="s">
        <v>119</v>
      </c>
      <c r="CQ3914">
        <v>285</v>
      </c>
      <c r="CR3914">
        <v>0</v>
      </c>
      <c r="CW3914">
        <v>8885599</v>
      </c>
      <c r="CY3914">
        <v>0</v>
      </c>
      <c r="CZ3914">
        <v>0</v>
      </c>
      <c r="DA3914">
        <v>1</v>
      </c>
      <c r="DB3914">
        <v>0</v>
      </c>
      <c r="DC3914">
        <v>0</v>
      </c>
      <c r="DD3914">
        <v>0</v>
      </c>
      <c r="DE3914">
        <v>0</v>
      </c>
      <c r="DF3914">
        <v>0</v>
      </c>
      <c r="DG3914">
        <v>0</v>
      </c>
      <c r="DH3914">
        <v>0</v>
      </c>
      <c r="DI3914">
        <v>0</v>
      </c>
    </row>
    <row r="3915" spans="1:113" x14ac:dyDescent="0.25">
      <c r="A3915" t="str">
        <f t="shared" si="2188"/>
        <v>06/05/2020 14:58:34.126</v>
      </c>
      <c r="C3915" t="str">
        <f t="shared" si="2166"/>
        <v>FFDFD3C0</v>
      </c>
      <c r="D3915" t="s">
        <v>141</v>
      </c>
      <c r="E3915">
        <v>20</v>
      </c>
      <c r="F3915">
        <v>1020</v>
      </c>
      <c r="G3915" t="s">
        <v>114</v>
      </c>
      <c r="J3915" t="s">
        <v>142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 t="shared" si="2189"/>
        <v>14:58:39.758</v>
      </c>
      <c r="T3915" t="str">
        <f t="shared" si="2189"/>
        <v>14:58:39.758</v>
      </c>
      <c r="U3915" t="str">
        <f t="shared" si="2185"/>
        <v>ACC530</v>
      </c>
      <c r="V3915">
        <v>0</v>
      </c>
      <c r="W3915">
        <v>0</v>
      </c>
      <c r="X3915">
        <v>1</v>
      </c>
      <c r="Z3915">
        <v>0</v>
      </c>
      <c r="AA3915">
        <v>9</v>
      </c>
      <c r="AB3915">
        <v>3</v>
      </c>
      <c r="AC3915">
        <v>0</v>
      </c>
      <c r="AD3915">
        <v>9</v>
      </c>
      <c r="AE3915">
        <v>0</v>
      </c>
      <c r="AF3915">
        <v>3</v>
      </c>
      <c r="AG3915">
        <v>1</v>
      </c>
      <c r="AH3915">
        <v>0</v>
      </c>
      <c r="AI3915" t="s">
        <v>1254</v>
      </c>
      <c r="AJ3915">
        <v>34.059012000000003</v>
      </c>
      <c r="AK3915" t="s">
        <v>1255</v>
      </c>
      <c r="AL3915">
        <v>-117.018235</v>
      </c>
      <c r="AM3915">
        <v>100</v>
      </c>
      <c r="AN3915">
        <v>5300</v>
      </c>
      <c r="AO3915" t="s">
        <v>118</v>
      </c>
      <c r="AP3915">
        <v>54</v>
      </c>
      <c r="AQ3915">
        <v>-74</v>
      </c>
      <c r="AR3915">
        <v>384</v>
      </c>
      <c r="AZ3915">
        <v>1200</v>
      </c>
      <c r="BA3915">
        <v>1</v>
      </c>
      <c r="BB3915" t="str">
        <f t="shared" si="2187"/>
        <v xml:space="preserve">N9217B  </v>
      </c>
      <c r="BC3915">
        <v>1</v>
      </c>
      <c r="BE3915">
        <v>0</v>
      </c>
      <c r="BF3915">
        <v>0</v>
      </c>
      <c r="BG3915">
        <v>0</v>
      </c>
      <c r="BH3915">
        <v>5150</v>
      </c>
      <c r="BI3915">
        <v>1</v>
      </c>
      <c r="BJ3915">
        <v>0</v>
      </c>
      <c r="BK3915">
        <v>0</v>
      </c>
      <c r="BL3915">
        <v>0</v>
      </c>
      <c r="BO3915">
        <v>0</v>
      </c>
      <c r="BP3915">
        <v>0</v>
      </c>
      <c r="BW3915" t="str">
        <f t="shared" si="2190"/>
        <v>14:58:39.761</v>
      </c>
      <c r="CJ3915">
        <v>0</v>
      </c>
      <c r="CK3915">
        <v>2</v>
      </c>
      <c r="CL3915">
        <v>0</v>
      </c>
      <c r="CM3915">
        <v>2</v>
      </c>
      <c r="CN3915">
        <v>0</v>
      </c>
      <c r="CO3915">
        <v>6</v>
      </c>
      <c r="CP3915" t="s">
        <v>119</v>
      </c>
      <c r="CQ3915">
        <v>285</v>
      </c>
      <c r="CR3915">
        <v>0</v>
      </c>
      <c r="CW3915">
        <v>8885599</v>
      </c>
      <c r="CY3915">
        <v>0</v>
      </c>
      <c r="CZ3915">
        <v>0</v>
      </c>
      <c r="DA3915">
        <v>1</v>
      </c>
      <c r="DB3915">
        <v>0</v>
      </c>
      <c r="DC3915">
        <v>0</v>
      </c>
      <c r="DD3915">
        <v>0</v>
      </c>
      <c r="DE3915">
        <v>0</v>
      </c>
      <c r="DF3915">
        <v>0</v>
      </c>
      <c r="DG3915">
        <v>0</v>
      </c>
      <c r="DH3915">
        <v>0</v>
      </c>
      <c r="DI3915">
        <v>0</v>
      </c>
    </row>
    <row r="3916" spans="1:113" x14ac:dyDescent="0.25">
      <c r="A3916" t="str">
        <f t="shared" si="2188"/>
        <v>06/05/2020 14:58:34.126</v>
      </c>
      <c r="C3916" t="str">
        <f t="shared" si="2166"/>
        <v>FFDFD3C0</v>
      </c>
      <c r="D3916" t="s">
        <v>148</v>
      </c>
      <c r="E3916">
        <v>11</v>
      </c>
      <c r="H3916">
        <v>53</v>
      </c>
      <c r="I3916" t="s">
        <v>364</v>
      </c>
      <c r="J3916" t="s">
        <v>150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 t="shared" si="2189"/>
        <v>14:58:39.758</v>
      </c>
      <c r="T3916" t="str">
        <f t="shared" si="2189"/>
        <v>14:58:39.758</v>
      </c>
      <c r="U3916" t="str">
        <f t="shared" si="2185"/>
        <v>ACC530</v>
      </c>
      <c r="V3916">
        <v>0</v>
      </c>
      <c r="W3916">
        <v>0</v>
      </c>
      <c r="X3916">
        <v>1</v>
      </c>
      <c r="Z3916">
        <v>0</v>
      </c>
      <c r="AA3916">
        <v>9</v>
      </c>
      <c r="AB3916">
        <v>3</v>
      </c>
      <c r="AC3916">
        <v>0</v>
      </c>
      <c r="AD3916">
        <v>9</v>
      </c>
      <c r="AE3916">
        <v>0</v>
      </c>
      <c r="AF3916">
        <v>3</v>
      </c>
      <c r="AG3916">
        <v>1</v>
      </c>
      <c r="AH3916">
        <v>0</v>
      </c>
      <c r="AI3916" t="s">
        <v>1254</v>
      </c>
      <c r="AJ3916">
        <v>34.059012000000003</v>
      </c>
      <c r="AK3916" t="s">
        <v>1255</v>
      </c>
      <c r="AL3916">
        <v>-117.018235</v>
      </c>
      <c r="AM3916">
        <v>100</v>
      </c>
      <c r="AN3916">
        <v>5300</v>
      </c>
      <c r="AO3916" t="s">
        <v>118</v>
      </c>
      <c r="AP3916">
        <v>54</v>
      </c>
      <c r="AQ3916">
        <v>-74</v>
      </c>
      <c r="AR3916">
        <v>384</v>
      </c>
      <c r="AZ3916">
        <v>1200</v>
      </c>
      <c r="BA3916">
        <v>1</v>
      </c>
      <c r="BB3916" t="str">
        <f t="shared" si="2187"/>
        <v xml:space="preserve">N9217B  </v>
      </c>
      <c r="BC3916">
        <v>1</v>
      </c>
      <c r="BE3916">
        <v>0</v>
      </c>
      <c r="BF3916">
        <v>0</v>
      </c>
      <c r="BG3916">
        <v>0</v>
      </c>
      <c r="BH3916">
        <v>5150</v>
      </c>
      <c r="BI3916">
        <v>1</v>
      </c>
      <c r="BJ3916">
        <v>0</v>
      </c>
      <c r="BK3916">
        <v>0</v>
      </c>
      <c r="BL3916">
        <v>0</v>
      </c>
      <c r="BO3916">
        <v>0</v>
      </c>
      <c r="BP3916">
        <v>0</v>
      </c>
      <c r="BW3916" t="str">
        <f t="shared" si="2190"/>
        <v>14:58:39.761</v>
      </c>
      <c r="CJ3916">
        <v>0</v>
      </c>
      <c r="CK3916">
        <v>2</v>
      </c>
      <c r="CL3916">
        <v>0</v>
      </c>
      <c r="CM3916">
        <v>2</v>
      </c>
      <c r="CN3916">
        <v>0</v>
      </c>
      <c r="CO3916">
        <v>6</v>
      </c>
      <c r="CP3916" t="s">
        <v>119</v>
      </c>
      <c r="CQ3916">
        <v>285</v>
      </c>
      <c r="CR3916">
        <v>0</v>
      </c>
      <c r="CW3916">
        <v>8885599</v>
      </c>
      <c r="CY3916">
        <v>0</v>
      </c>
      <c r="CZ3916">
        <v>0</v>
      </c>
      <c r="DA3916">
        <v>1</v>
      </c>
      <c r="DB3916">
        <v>0</v>
      </c>
      <c r="DC3916">
        <v>0</v>
      </c>
      <c r="DD3916">
        <v>0</v>
      </c>
      <c r="DE3916">
        <v>0</v>
      </c>
      <c r="DF3916">
        <v>0</v>
      </c>
      <c r="DG3916">
        <v>0</v>
      </c>
      <c r="DH3916">
        <v>0</v>
      </c>
      <c r="DI3916">
        <v>0</v>
      </c>
    </row>
    <row r="3917" spans="1:113" x14ac:dyDescent="0.25">
      <c r="A3917" t="str">
        <f t="shared" si="2188"/>
        <v>06/05/2020 14:58:34.126</v>
      </c>
      <c r="C3917" t="str">
        <f t="shared" si="2166"/>
        <v>FFDFD3C0</v>
      </c>
      <c r="D3917" t="s">
        <v>148</v>
      </c>
      <c r="E3917">
        <v>8</v>
      </c>
      <c r="H3917">
        <v>50</v>
      </c>
      <c r="I3917" t="s">
        <v>149</v>
      </c>
      <c r="J3917" t="s">
        <v>150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 t="shared" si="2189"/>
        <v>14:58:39.758</v>
      </c>
      <c r="T3917" t="str">
        <f t="shared" si="2189"/>
        <v>14:58:39.758</v>
      </c>
      <c r="U3917" t="str">
        <f t="shared" si="2185"/>
        <v>ACC530</v>
      </c>
      <c r="V3917">
        <v>0</v>
      </c>
      <c r="W3917">
        <v>0</v>
      </c>
      <c r="X3917">
        <v>1</v>
      </c>
      <c r="Z3917">
        <v>0</v>
      </c>
      <c r="AA3917">
        <v>9</v>
      </c>
      <c r="AB3917">
        <v>3</v>
      </c>
      <c r="AC3917">
        <v>0</v>
      </c>
      <c r="AD3917">
        <v>9</v>
      </c>
      <c r="AE3917">
        <v>0</v>
      </c>
      <c r="AF3917">
        <v>3</v>
      </c>
      <c r="AG3917">
        <v>1</v>
      </c>
      <c r="AH3917">
        <v>0</v>
      </c>
      <c r="AI3917" t="s">
        <v>1254</v>
      </c>
      <c r="AJ3917">
        <v>34.059012000000003</v>
      </c>
      <c r="AK3917" t="s">
        <v>1255</v>
      </c>
      <c r="AL3917">
        <v>-117.018235</v>
      </c>
      <c r="AM3917">
        <v>100</v>
      </c>
      <c r="AN3917">
        <v>5300</v>
      </c>
      <c r="AO3917" t="s">
        <v>118</v>
      </c>
      <c r="AP3917">
        <v>54</v>
      </c>
      <c r="AQ3917">
        <v>-74</v>
      </c>
      <c r="AR3917">
        <v>384</v>
      </c>
      <c r="AZ3917">
        <v>1200</v>
      </c>
      <c r="BA3917">
        <v>1</v>
      </c>
      <c r="BB3917" t="str">
        <f t="shared" si="2187"/>
        <v xml:space="preserve">N9217B  </v>
      </c>
      <c r="BC3917">
        <v>1</v>
      </c>
      <c r="BE3917">
        <v>0</v>
      </c>
      <c r="BF3917">
        <v>0</v>
      </c>
      <c r="BG3917">
        <v>0</v>
      </c>
      <c r="BH3917">
        <v>5150</v>
      </c>
      <c r="BI3917">
        <v>1</v>
      </c>
      <c r="BJ3917">
        <v>0</v>
      </c>
      <c r="BK3917">
        <v>0</v>
      </c>
      <c r="BL3917">
        <v>0</v>
      </c>
      <c r="BO3917">
        <v>0</v>
      </c>
      <c r="BP3917">
        <v>0</v>
      </c>
      <c r="BW3917" t="str">
        <f t="shared" si="2190"/>
        <v>14:58:39.761</v>
      </c>
      <c r="CJ3917">
        <v>0</v>
      </c>
      <c r="CK3917">
        <v>2</v>
      </c>
      <c r="CL3917">
        <v>0</v>
      </c>
      <c r="CM3917">
        <v>2</v>
      </c>
      <c r="CN3917">
        <v>0</v>
      </c>
      <c r="CO3917">
        <v>6</v>
      </c>
      <c r="CP3917" t="s">
        <v>119</v>
      </c>
      <c r="CQ3917">
        <v>285</v>
      </c>
      <c r="CR3917">
        <v>0</v>
      </c>
      <c r="CW3917">
        <v>8885599</v>
      </c>
      <c r="CY3917">
        <v>0</v>
      </c>
      <c r="CZ3917">
        <v>0</v>
      </c>
      <c r="DA3917">
        <v>1</v>
      </c>
      <c r="DB3917">
        <v>0</v>
      </c>
      <c r="DC3917">
        <v>0</v>
      </c>
      <c r="DD3917">
        <v>0</v>
      </c>
      <c r="DE3917">
        <v>0</v>
      </c>
      <c r="DF3917">
        <v>0</v>
      </c>
      <c r="DG3917">
        <v>0</v>
      </c>
      <c r="DH3917">
        <v>0</v>
      </c>
      <c r="DI3917">
        <v>0</v>
      </c>
    </row>
    <row r="3918" spans="1:113" x14ac:dyDescent="0.25">
      <c r="A3918" t="str">
        <f t="shared" si="2188"/>
        <v>06/05/2020 14:58:34.126</v>
      </c>
      <c r="C3918" t="str">
        <f t="shared" si="2166"/>
        <v>FFDFD3C0</v>
      </c>
      <c r="D3918" t="s">
        <v>151</v>
      </c>
      <c r="E3918">
        <v>8</v>
      </c>
      <c r="H3918">
        <v>225</v>
      </c>
      <c r="I3918" t="s">
        <v>353</v>
      </c>
      <c r="J3918" t="s">
        <v>150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 t="shared" si="2189"/>
        <v>14:58:39.758</v>
      </c>
      <c r="T3918" t="str">
        <f t="shared" si="2189"/>
        <v>14:58:39.758</v>
      </c>
      <c r="U3918" t="str">
        <f t="shared" si="2185"/>
        <v>ACC530</v>
      </c>
      <c r="V3918">
        <v>0</v>
      </c>
      <c r="W3918">
        <v>0</v>
      </c>
      <c r="X3918">
        <v>1</v>
      </c>
      <c r="Z3918">
        <v>0</v>
      </c>
      <c r="AA3918">
        <v>9</v>
      </c>
      <c r="AB3918">
        <v>3</v>
      </c>
      <c r="AC3918">
        <v>0</v>
      </c>
      <c r="AD3918">
        <v>9</v>
      </c>
      <c r="AE3918">
        <v>0</v>
      </c>
      <c r="AF3918">
        <v>3</v>
      </c>
      <c r="AG3918">
        <v>1</v>
      </c>
      <c r="AH3918">
        <v>0</v>
      </c>
      <c r="AI3918" t="s">
        <v>1254</v>
      </c>
      <c r="AJ3918">
        <v>34.059012000000003</v>
      </c>
      <c r="AK3918" t="s">
        <v>1255</v>
      </c>
      <c r="AL3918">
        <v>-117.018235</v>
      </c>
      <c r="AM3918">
        <v>100</v>
      </c>
      <c r="AN3918">
        <v>5300</v>
      </c>
      <c r="AO3918" t="s">
        <v>118</v>
      </c>
      <c r="AP3918">
        <v>54</v>
      </c>
      <c r="AQ3918">
        <v>-74</v>
      </c>
      <c r="AR3918">
        <v>384</v>
      </c>
      <c r="AZ3918">
        <v>1200</v>
      </c>
      <c r="BA3918">
        <v>1</v>
      </c>
      <c r="BB3918" t="str">
        <f t="shared" si="2187"/>
        <v xml:space="preserve">N9217B  </v>
      </c>
      <c r="BC3918">
        <v>1</v>
      </c>
      <c r="BE3918">
        <v>0</v>
      </c>
      <c r="BF3918">
        <v>0</v>
      </c>
      <c r="BG3918">
        <v>0</v>
      </c>
      <c r="BH3918">
        <v>5150</v>
      </c>
      <c r="BI3918">
        <v>1</v>
      </c>
      <c r="BJ3918">
        <v>0</v>
      </c>
      <c r="BK3918">
        <v>0</v>
      </c>
      <c r="BL3918">
        <v>0</v>
      </c>
      <c r="BO3918">
        <v>0</v>
      </c>
      <c r="BP3918">
        <v>0</v>
      </c>
      <c r="BW3918" t="str">
        <f t="shared" si="2190"/>
        <v>14:58:39.761</v>
      </c>
      <c r="CJ3918">
        <v>0</v>
      </c>
      <c r="CK3918">
        <v>2</v>
      </c>
      <c r="CL3918">
        <v>0</v>
      </c>
      <c r="CM3918">
        <v>2</v>
      </c>
      <c r="CN3918">
        <v>0</v>
      </c>
      <c r="CO3918">
        <v>6</v>
      </c>
      <c r="CP3918" t="s">
        <v>119</v>
      </c>
      <c r="CQ3918">
        <v>285</v>
      </c>
      <c r="CR3918">
        <v>0</v>
      </c>
      <c r="CW3918">
        <v>8885599</v>
      </c>
      <c r="CY3918">
        <v>0</v>
      </c>
      <c r="CZ3918">
        <v>0</v>
      </c>
      <c r="DA3918">
        <v>1</v>
      </c>
      <c r="DB3918">
        <v>0</v>
      </c>
      <c r="DC3918">
        <v>0</v>
      </c>
      <c r="DD3918">
        <v>0</v>
      </c>
      <c r="DE3918">
        <v>0</v>
      </c>
      <c r="DF3918">
        <v>0</v>
      </c>
      <c r="DG3918">
        <v>0</v>
      </c>
      <c r="DH3918">
        <v>0</v>
      </c>
      <c r="DI3918">
        <v>0</v>
      </c>
    </row>
    <row r="3919" spans="1:113" x14ac:dyDescent="0.25">
      <c r="A3919" t="str">
        <f t="shared" si="2188"/>
        <v>06/05/2020 14:58:34.126</v>
      </c>
      <c r="C3919" t="str">
        <f t="shared" si="2166"/>
        <v>FFDFD3C0</v>
      </c>
      <c r="D3919" t="s">
        <v>113</v>
      </c>
      <c r="E3919">
        <v>3</v>
      </c>
      <c r="H3919">
        <v>166</v>
      </c>
      <c r="I3919" t="s">
        <v>114</v>
      </c>
      <c r="J3919" t="s">
        <v>115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 t="shared" si="2189"/>
        <v>14:58:39.758</v>
      </c>
      <c r="T3919" t="str">
        <f t="shared" si="2189"/>
        <v>14:58:39.758</v>
      </c>
      <c r="U3919" t="str">
        <f t="shared" si="2185"/>
        <v>ACC530</v>
      </c>
      <c r="V3919">
        <v>0</v>
      </c>
      <c r="W3919">
        <v>0</v>
      </c>
      <c r="X3919">
        <v>1</v>
      </c>
      <c r="Z3919">
        <v>0</v>
      </c>
      <c r="AA3919">
        <v>9</v>
      </c>
      <c r="AB3919">
        <v>3</v>
      </c>
      <c r="AC3919">
        <v>0</v>
      </c>
      <c r="AD3919">
        <v>9</v>
      </c>
      <c r="AE3919">
        <v>0</v>
      </c>
      <c r="AF3919">
        <v>3</v>
      </c>
      <c r="AG3919">
        <v>1</v>
      </c>
      <c r="AH3919">
        <v>0</v>
      </c>
      <c r="AI3919" t="s">
        <v>1254</v>
      </c>
      <c r="AJ3919">
        <v>34.059012000000003</v>
      </c>
      <c r="AK3919" t="s">
        <v>1255</v>
      </c>
      <c r="AL3919">
        <v>-117.018235</v>
      </c>
      <c r="AM3919">
        <v>100</v>
      </c>
      <c r="AN3919">
        <v>5300</v>
      </c>
      <c r="AO3919" t="s">
        <v>118</v>
      </c>
      <c r="AP3919">
        <v>54</v>
      </c>
      <c r="AQ3919">
        <v>-74</v>
      </c>
      <c r="AR3919">
        <v>384</v>
      </c>
      <c r="AZ3919">
        <v>1200</v>
      </c>
      <c r="BA3919">
        <v>1</v>
      </c>
      <c r="BB3919" t="str">
        <f t="shared" si="2187"/>
        <v xml:space="preserve">N9217B  </v>
      </c>
      <c r="BC3919">
        <v>1</v>
      </c>
      <c r="BE3919">
        <v>0</v>
      </c>
      <c r="BF3919">
        <v>0</v>
      </c>
      <c r="BG3919">
        <v>0</v>
      </c>
      <c r="BH3919">
        <v>5150</v>
      </c>
      <c r="BI3919">
        <v>1</v>
      </c>
      <c r="BJ3919">
        <v>0</v>
      </c>
      <c r="BK3919">
        <v>0</v>
      </c>
      <c r="BL3919">
        <v>0</v>
      </c>
      <c r="BO3919">
        <v>0</v>
      </c>
      <c r="BP3919">
        <v>0</v>
      </c>
      <c r="BW3919" t="str">
        <f t="shared" si="2190"/>
        <v>14:58:39.761</v>
      </c>
      <c r="CJ3919">
        <v>0</v>
      </c>
      <c r="CK3919">
        <v>2</v>
      </c>
      <c r="CL3919">
        <v>0</v>
      </c>
      <c r="CM3919">
        <v>2</v>
      </c>
      <c r="CN3919">
        <v>0</v>
      </c>
      <c r="CO3919">
        <v>6</v>
      </c>
      <c r="CP3919" t="s">
        <v>119</v>
      </c>
      <c r="CQ3919">
        <v>285</v>
      </c>
      <c r="CR3919">
        <v>0</v>
      </c>
      <c r="CW3919">
        <v>8885599</v>
      </c>
      <c r="CY3919">
        <v>0</v>
      </c>
      <c r="CZ3919">
        <v>0</v>
      </c>
      <c r="DA3919">
        <v>1</v>
      </c>
      <c r="DB3919">
        <v>0</v>
      </c>
      <c r="DC3919">
        <v>0</v>
      </c>
      <c r="DD3919">
        <v>0</v>
      </c>
      <c r="DE3919">
        <v>0</v>
      </c>
      <c r="DF3919">
        <v>0</v>
      </c>
      <c r="DG3919">
        <v>0</v>
      </c>
      <c r="DH3919">
        <v>0</v>
      </c>
      <c r="DI3919">
        <v>0</v>
      </c>
    </row>
    <row r="3920" spans="1:113" x14ac:dyDescent="0.25">
      <c r="A3920" t="str">
        <f t="shared" ref="A3920:A3926" si="2191">"06/05/2020 14:58:35.129"</f>
        <v>06/05/2020 14:58:35.129</v>
      </c>
      <c r="C3920" t="str">
        <f t="shared" si="2166"/>
        <v>FFDFD3C0</v>
      </c>
      <c r="D3920" t="s">
        <v>148</v>
      </c>
      <c r="E3920">
        <v>8</v>
      </c>
      <c r="H3920">
        <v>50</v>
      </c>
      <c r="I3920" t="s">
        <v>149</v>
      </c>
      <c r="J3920" t="s">
        <v>150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 t="shared" ref="S3920:T3926" si="2192">"14:58:40.773"</f>
        <v>14:58:40.773</v>
      </c>
      <c r="T3920" t="str">
        <f t="shared" si="2192"/>
        <v>14:58:40.773</v>
      </c>
      <c r="U3920" t="str">
        <f t="shared" si="2185"/>
        <v>ACC530</v>
      </c>
      <c r="V3920">
        <v>0</v>
      </c>
      <c r="W3920">
        <v>0</v>
      </c>
      <c r="X3920">
        <v>1</v>
      </c>
      <c r="Z3920">
        <v>0</v>
      </c>
      <c r="AA3920">
        <v>9</v>
      </c>
      <c r="AB3920">
        <v>3</v>
      </c>
      <c r="AC3920">
        <v>0</v>
      </c>
      <c r="AD3920">
        <v>9</v>
      </c>
      <c r="AE3920">
        <v>0</v>
      </c>
      <c r="AF3920">
        <v>3</v>
      </c>
      <c r="AG3920">
        <v>1</v>
      </c>
      <c r="AH3920">
        <v>0</v>
      </c>
      <c r="AI3920" t="s">
        <v>1256</v>
      </c>
      <c r="AJ3920">
        <v>34.058669000000002</v>
      </c>
      <c r="AK3920" t="s">
        <v>1257</v>
      </c>
      <c r="AL3920">
        <v>-117.01791299999999</v>
      </c>
      <c r="AM3920">
        <v>100</v>
      </c>
      <c r="AN3920">
        <v>5300</v>
      </c>
      <c r="AO3920" t="s">
        <v>118</v>
      </c>
      <c r="AP3920">
        <v>61</v>
      </c>
      <c r="AQ3920">
        <v>-69</v>
      </c>
      <c r="AR3920">
        <v>384</v>
      </c>
      <c r="AZ3920">
        <v>1200</v>
      </c>
      <c r="BA3920">
        <v>1</v>
      </c>
      <c r="BB3920" t="str">
        <f t="shared" si="2187"/>
        <v xml:space="preserve">N9217B  </v>
      </c>
      <c r="BC3920">
        <v>1</v>
      </c>
      <c r="BE3920">
        <v>0</v>
      </c>
      <c r="BF3920">
        <v>0</v>
      </c>
      <c r="BG3920">
        <v>0</v>
      </c>
      <c r="BH3920">
        <v>5150</v>
      </c>
      <c r="BI3920">
        <v>1</v>
      </c>
      <c r="BJ3920">
        <v>0</v>
      </c>
      <c r="BK3920">
        <v>0</v>
      </c>
      <c r="BL3920">
        <v>0</v>
      </c>
      <c r="BO3920">
        <v>0</v>
      </c>
      <c r="BP3920">
        <v>0</v>
      </c>
      <c r="BW3920" t="str">
        <f t="shared" ref="BW3920:BW3926" si="2193">"14:58:40.781"</f>
        <v>14:58:40.781</v>
      </c>
      <c r="CJ3920">
        <v>0</v>
      </c>
      <c r="CK3920">
        <v>2</v>
      </c>
      <c r="CL3920">
        <v>0</v>
      </c>
      <c r="CM3920">
        <v>2</v>
      </c>
      <c r="CN3920">
        <v>0</v>
      </c>
      <c r="CO3920">
        <v>5</v>
      </c>
      <c r="CP3920" t="s">
        <v>119</v>
      </c>
      <c r="CQ3920">
        <v>285</v>
      </c>
      <c r="CR3920">
        <v>0</v>
      </c>
      <c r="CW3920">
        <v>8885697</v>
      </c>
      <c r="CY3920">
        <v>0</v>
      </c>
      <c r="CZ3920">
        <v>0</v>
      </c>
      <c r="DA3920">
        <v>0</v>
      </c>
      <c r="DB3920">
        <v>0</v>
      </c>
      <c r="DC3920">
        <v>0</v>
      </c>
      <c r="DD3920">
        <v>0</v>
      </c>
      <c r="DE3920">
        <v>0</v>
      </c>
      <c r="DF3920">
        <v>0</v>
      </c>
      <c r="DG3920">
        <v>0</v>
      </c>
      <c r="DH3920">
        <v>0</v>
      </c>
      <c r="DI3920">
        <v>0</v>
      </c>
    </row>
    <row r="3921" spans="1:113" x14ac:dyDescent="0.25">
      <c r="A3921" t="str">
        <f t="shared" si="2191"/>
        <v>06/05/2020 14:58:35.129</v>
      </c>
      <c r="C3921" t="str">
        <f t="shared" si="2166"/>
        <v>FFDFD3C0</v>
      </c>
      <c r="D3921" t="s">
        <v>113</v>
      </c>
      <c r="E3921">
        <v>3</v>
      </c>
      <c r="H3921">
        <v>166</v>
      </c>
      <c r="I3921" t="s">
        <v>114</v>
      </c>
      <c r="J3921" t="s">
        <v>115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 t="shared" si="2192"/>
        <v>14:58:40.773</v>
      </c>
      <c r="T3921" t="str">
        <f t="shared" si="2192"/>
        <v>14:58:40.773</v>
      </c>
      <c r="U3921" t="str">
        <f t="shared" si="2185"/>
        <v>ACC530</v>
      </c>
      <c r="V3921">
        <v>0</v>
      </c>
      <c r="W3921">
        <v>0</v>
      </c>
      <c r="X3921">
        <v>1</v>
      </c>
      <c r="Z3921">
        <v>0</v>
      </c>
      <c r="AA3921">
        <v>9</v>
      </c>
      <c r="AB3921">
        <v>3</v>
      </c>
      <c r="AC3921">
        <v>0</v>
      </c>
      <c r="AD3921">
        <v>9</v>
      </c>
      <c r="AE3921">
        <v>0</v>
      </c>
      <c r="AF3921">
        <v>3</v>
      </c>
      <c r="AG3921">
        <v>1</v>
      </c>
      <c r="AH3921">
        <v>0</v>
      </c>
      <c r="AI3921" t="s">
        <v>1256</v>
      </c>
      <c r="AJ3921">
        <v>34.058669000000002</v>
      </c>
      <c r="AK3921" t="s">
        <v>1257</v>
      </c>
      <c r="AL3921">
        <v>-117.01791299999999</v>
      </c>
      <c r="AM3921">
        <v>100</v>
      </c>
      <c r="AN3921">
        <v>5300</v>
      </c>
      <c r="AO3921" t="s">
        <v>118</v>
      </c>
      <c r="AP3921">
        <v>61</v>
      </c>
      <c r="AQ3921">
        <v>-69</v>
      </c>
      <c r="AR3921">
        <v>384</v>
      </c>
      <c r="AZ3921">
        <v>1200</v>
      </c>
      <c r="BA3921">
        <v>1</v>
      </c>
      <c r="BB3921" t="str">
        <f t="shared" si="2187"/>
        <v xml:space="preserve">N9217B  </v>
      </c>
      <c r="BC3921">
        <v>1</v>
      </c>
      <c r="BE3921">
        <v>0</v>
      </c>
      <c r="BF3921">
        <v>0</v>
      </c>
      <c r="BG3921">
        <v>0</v>
      </c>
      <c r="BH3921">
        <v>5150</v>
      </c>
      <c r="BI3921">
        <v>1</v>
      </c>
      <c r="BJ3921">
        <v>0</v>
      </c>
      <c r="BK3921">
        <v>0</v>
      </c>
      <c r="BL3921">
        <v>0</v>
      </c>
      <c r="BO3921">
        <v>0</v>
      </c>
      <c r="BP3921">
        <v>0</v>
      </c>
      <c r="BW3921" t="str">
        <f t="shared" si="2193"/>
        <v>14:58:40.781</v>
      </c>
      <c r="CJ3921">
        <v>0</v>
      </c>
      <c r="CK3921">
        <v>2</v>
      </c>
      <c r="CL3921">
        <v>0</v>
      </c>
      <c r="CM3921">
        <v>2</v>
      </c>
      <c r="CN3921">
        <v>0</v>
      </c>
      <c r="CO3921">
        <v>5</v>
      </c>
      <c r="CP3921" t="s">
        <v>119</v>
      </c>
      <c r="CQ3921">
        <v>285</v>
      </c>
      <c r="CR3921">
        <v>0</v>
      </c>
      <c r="CW3921">
        <v>8885697</v>
      </c>
      <c r="CY3921">
        <v>0</v>
      </c>
      <c r="CZ3921">
        <v>0</v>
      </c>
      <c r="DA3921">
        <v>1</v>
      </c>
      <c r="DB3921">
        <v>0</v>
      </c>
      <c r="DC3921">
        <v>0</v>
      </c>
      <c r="DD3921">
        <v>0</v>
      </c>
      <c r="DE3921">
        <v>0</v>
      </c>
      <c r="DF3921">
        <v>0</v>
      </c>
      <c r="DG3921">
        <v>0</v>
      </c>
      <c r="DH3921">
        <v>0</v>
      </c>
      <c r="DI3921">
        <v>0</v>
      </c>
    </row>
    <row r="3922" spans="1:113" x14ac:dyDescent="0.25">
      <c r="A3922" t="str">
        <f t="shared" si="2191"/>
        <v>06/05/2020 14:58:35.129</v>
      </c>
      <c r="C3922" t="str">
        <f t="shared" si="2166"/>
        <v>FFDFD3C0</v>
      </c>
      <c r="D3922" t="s">
        <v>134</v>
      </c>
      <c r="E3922">
        <v>7</v>
      </c>
      <c r="F3922">
        <v>2007</v>
      </c>
      <c r="G3922" t="s">
        <v>135</v>
      </c>
      <c r="J3922" t="s">
        <v>136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 t="shared" si="2192"/>
        <v>14:58:40.773</v>
      </c>
      <c r="T3922" t="str">
        <f t="shared" si="2192"/>
        <v>14:58:40.773</v>
      </c>
      <c r="U3922" t="str">
        <f t="shared" si="2185"/>
        <v>ACC530</v>
      </c>
      <c r="V3922">
        <v>0</v>
      </c>
      <c r="W3922">
        <v>0</v>
      </c>
      <c r="X3922">
        <v>1</v>
      </c>
      <c r="Z3922">
        <v>0</v>
      </c>
      <c r="AA3922">
        <v>9</v>
      </c>
      <c r="AB3922">
        <v>3</v>
      </c>
      <c r="AC3922">
        <v>0</v>
      </c>
      <c r="AD3922">
        <v>9</v>
      </c>
      <c r="AE3922">
        <v>0</v>
      </c>
      <c r="AF3922">
        <v>3</v>
      </c>
      <c r="AG3922">
        <v>1</v>
      </c>
      <c r="AH3922">
        <v>0</v>
      </c>
      <c r="AI3922" t="s">
        <v>1256</v>
      </c>
      <c r="AJ3922">
        <v>34.058669000000002</v>
      </c>
      <c r="AK3922" t="s">
        <v>1257</v>
      </c>
      <c r="AL3922">
        <v>-117.01791299999999</v>
      </c>
      <c r="AM3922">
        <v>100</v>
      </c>
      <c r="AN3922">
        <v>5300</v>
      </c>
      <c r="AO3922" t="s">
        <v>118</v>
      </c>
      <c r="AP3922">
        <v>61</v>
      </c>
      <c r="AQ3922">
        <v>-69</v>
      </c>
      <c r="AR3922">
        <v>384</v>
      </c>
      <c r="AZ3922">
        <v>1200</v>
      </c>
      <c r="BA3922">
        <v>1</v>
      </c>
      <c r="BB3922" t="str">
        <f t="shared" si="2187"/>
        <v xml:space="preserve">N9217B  </v>
      </c>
      <c r="BC3922">
        <v>1</v>
      </c>
      <c r="BE3922">
        <v>0</v>
      </c>
      <c r="BF3922">
        <v>0</v>
      </c>
      <c r="BG3922">
        <v>0</v>
      </c>
      <c r="BH3922">
        <v>5150</v>
      </c>
      <c r="BI3922">
        <v>1</v>
      </c>
      <c r="BJ3922">
        <v>0</v>
      </c>
      <c r="BK3922">
        <v>0</v>
      </c>
      <c r="BL3922">
        <v>0</v>
      </c>
      <c r="BO3922">
        <v>0</v>
      </c>
      <c r="BP3922">
        <v>0</v>
      </c>
      <c r="BW3922" t="str">
        <f t="shared" si="2193"/>
        <v>14:58:40.781</v>
      </c>
      <c r="CJ3922">
        <v>0</v>
      </c>
      <c r="CK3922">
        <v>2</v>
      </c>
      <c r="CL3922">
        <v>0</v>
      </c>
      <c r="CM3922">
        <v>2</v>
      </c>
      <c r="CN3922">
        <v>0</v>
      </c>
      <c r="CO3922">
        <v>5</v>
      </c>
      <c r="CP3922" t="s">
        <v>119</v>
      </c>
      <c r="CQ3922">
        <v>285</v>
      </c>
      <c r="CR3922">
        <v>0</v>
      </c>
      <c r="CW3922">
        <v>8885697</v>
      </c>
      <c r="CY3922">
        <v>0</v>
      </c>
      <c r="CZ3922">
        <v>0</v>
      </c>
      <c r="DA3922">
        <v>1</v>
      </c>
      <c r="DB3922">
        <v>0</v>
      </c>
      <c r="DC3922">
        <v>0</v>
      </c>
      <c r="DD3922">
        <v>0</v>
      </c>
      <c r="DE3922">
        <v>0</v>
      </c>
      <c r="DF3922">
        <v>0</v>
      </c>
      <c r="DG3922">
        <v>0</v>
      </c>
      <c r="DH3922">
        <v>0</v>
      </c>
      <c r="DI3922">
        <v>0</v>
      </c>
    </row>
    <row r="3923" spans="1:113" x14ac:dyDescent="0.25">
      <c r="A3923" t="str">
        <f t="shared" si="2191"/>
        <v>06/05/2020 14:58:35.129</v>
      </c>
      <c r="C3923" t="str">
        <f t="shared" si="2166"/>
        <v>FFDFD3C0</v>
      </c>
      <c r="D3923" t="s">
        <v>151</v>
      </c>
      <c r="E3923">
        <v>9</v>
      </c>
      <c r="H3923">
        <v>226</v>
      </c>
      <c r="I3923" t="s">
        <v>152</v>
      </c>
      <c r="J3923" t="s">
        <v>150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 t="shared" si="2192"/>
        <v>14:58:40.773</v>
      </c>
      <c r="T3923" t="str">
        <f t="shared" si="2192"/>
        <v>14:58:40.773</v>
      </c>
      <c r="U3923" t="str">
        <f t="shared" si="2185"/>
        <v>ACC530</v>
      </c>
      <c r="V3923">
        <v>0</v>
      </c>
      <c r="W3923">
        <v>0</v>
      </c>
      <c r="X3923">
        <v>1</v>
      </c>
      <c r="Z3923">
        <v>0</v>
      </c>
      <c r="AA3923">
        <v>9</v>
      </c>
      <c r="AB3923">
        <v>3</v>
      </c>
      <c r="AC3923">
        <v>0</v>
      </c>
      <c r="AD3923">
        <v>9</v>
      </c>
      <c r="AE3923">
        <v>0</v>
      </c>
      <c r="AF3923">
        <v>3</v>
      </c>
      <c r="AG3923">
        <v>1</v>
      </c>
      <c r="AH3923">
        <v>0</v>
      </c>
      <c r="AI3923" t="s">
        <v>1256</v>
      </c>
      <c r="AJ3923">
        <v>34.058669000000002</v>
      </c>
      <c r="AK3923" t="s">
        <v>1257</v>
      </c>
      <c r="AL3923">
        <v>-117.01791299999999</v>
      </c>
      <c r="AM3923">
        <v>100</v>
      </c>
      <c r="AN3923">
        <v>5300</v>
      </c>
      <c r="AO3923" t="s">
        <v>118</v>
      </c>
      <c r="AP3923">
        <v>61</v>
      </c>
      <c r="AQ3923">
        <v>-69</v>
      </c>
      <c r="AR3923">
        <v>384</v>
      </c>
      <c r="AZ3923">
        <v>1200</v>
      </c>
      <c r="BA3923">
        <v>1</v>
      </c>
      <c r="BB3923" t="str">
        <f t="shared" si="2187"/>
        <v xml:space="preserve">N9217B  </v>
      </c>
      <c r="BC3923">
        <v>1</v>
      </c>
      <c r="BE3923">
        <v>0</v>
      </c>
      <c r="BF3923">
        <v>0</v>
      </c>
      <c r="BG3923">
        <v>0</v>
      </c>
      <c r="BH3923">
        <v>5150</v>
      </c>
      <c r="BI3923">
        <v>1</v>
      </c>
      <c r="BJ3923">
        <v>0</v>
      </c>
      <c r="BK3923">
        <v>0</v>
      </c>
      <c r="BL3923">
        <v>0</v>
      </c>
      <c r="BO3923">
        <v>0</v>
      </c>
      <c r="BP3923">
        <v>0</v>
      </c>
      <c r="BW3923" t="str">
        <f t="shared" si="2193"/>
        <v>14:58:40.781</v>
      </c>
      <c r="CJ3923">
        <v>0</v>
      </c>
      <c r="CK3923">
        <v>2</v>
      </c>
      <c r="CL3923">
        <v>0</v>
      </c>
      <c r="CM3923">
        <v>2</v>
      </c>
      <c r="CN3923">
        <v>0</v>
      </c>
      <c r="CO3923">
        <v>5</v>
      </c>
      <c r="CP3923" t="s">
        <v>119</v>
      </c>
      <c r="CQ3923">
        <v>285</v>
      </c>
      <c r="CR3923">
        <v>0</v>
      </c>
      <c r="CW3923">
        <v>8885697</v>
      </c>
      <c r="CY3923">
        <v>0</v>
      </c>
      <c r="CZ3923">
        <v>0</v>
      </c>
      <c r="DA3923">
        <v>1</v>
      </c>
      <c r="DB3923">
        <v>0</v>
      </c>
      <c r="DC3923">
        <v>0</v>
      </c>
      <c r="DD3923">
        <v>0</v>
      </c>
      <c r="DE3923">
        <v>0</v>
      </c>
      <c r="DF3923">
        <v>0</v>
      </c>
      <c r="DG3923">
        <v>0</v>
      </c>
      <c r="DH3923">
        <v>0</v>
      </c>
      <c r="DI3923">
        <v>0</v>
      </c>
    </row>
    <row r="3924" spans="1:113" x14ac:dyDescent="0.25">
      <c r="A3924" t="str">
        <f t="shared" si="2191"/>
        <v>06/05/2020 14:58:35.129</v>
      </c>
      <c r="C3924" t="str">
        <f t="shared" si="2166"/>
        <v>FFDFD3C0</v>
      </c>
      <c r="D3924" t="s">
        <v>141</v>
      </c>
      <c r="E3924">
        <v>20</v>
      </c>
      <c r="F3924">
        <v>1020</v>
      </c>
      <c r="G3924" t="s">
        <v>114</v>
      </c>
      <c r="J3924" t="s">
        <v>142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 t="shared" si="2192"/>
        <v>14:58:40.773</v>
      </c>
      <c r="T3924" t="str">
        <f t="shared" si="2192"/>
        <v>14:58:40.773</v>
      </c>
      <c r="U3924" t="str">
        <f t="shared" si="2185"/>
        <v>ACC530</v>
      </c>
      <c r="V3924">
        <v>0</v>
      </c>
      <c r="W3924">
        <v>0</v>
      </c>
      <c r="X3924">
        <v>1</v>
      </c>
      <c r="Z3924">
        <v>0</v>
      </c>
      <c r="AA3924">
        <v>9</v>
      </c>
      <c r="AB3924">
        <v>3</v>
      </c>
      <c r="AC3924">
        <v>0</v>
      </c>
      <c r="AD3924">
        <v>9</v>
      </c>
      <c r="AE3924">
        <v>0</v>
      </c>
      <c r="AF3924">
        <v>3</v>
      </c>
      <c r="AG3924">
        <v>1</v>
      </c>
      <c r="AH3924">
        <v>0</v>
      </c>
      <c r="AI3924" t="s">
        <v>1256</v>
      </c>
      <c r="AJ3924">
        <v>34.058669000000002</v>
      </c>
      <c r="AK3924" t="s">
        <v>1257</v>
      </c>
      <c r="AL3924">
        <v>-117.01791299999999</v>
      </c>
      <c r="AM3924">
        <v>100</v>
      </c>
      <c r="AN3924">
        <v>5300</v>
      </c>
      <c r="AO3924" t="s">
        <v>118</v>
      </c>
      <c r="AP3924">
        <v>61</v>
      </c>
      <c r="AQ3924">
        <v>-69</v>
      </c>
      <c r="AR3924">
        <v>384</v>
      </c>
      <c r="AZ3924">
        <v>1200</v>
      </c>
      <c r="BA3924">
        <v>1</v>
      </c>
      <c r="BB3924" t="str">
        <f t="shared" si="2187"/>
        <v xml:space="preserve">N9217B  </v>
      </c>
      <c r="BC3924">
        <v>1</v>
      </c>
      <c r="BE3924">
        <v>0</v>
      </c>
      <c r="BF3924">
        <v>0</v>
      </c>
      <c r="BG3924">
        <v>0</v>
      </c>
      <c r="BH3924">
        <v>5150</v>
      </c>
      <c r="BI3924">
        <v>1</v>
      </c>
      <c r="BJ3924">
        <v>0</v>
      </c>
      <c r="BK3924">
        <v>0</v>
      </c>
      <c r="BL3924">
        <v>0</v>
      </c>
      <c r="BO3924">
        <v>0</v>
      </c>
      <c r="BP3924">
        <v>0</v>
      </c>
      <c r="BW3924" t="str">
        <f t="shared" si="2193"/>
        <v>14:58:40.781</v>
      </c>
      <c r="CJ3924">
        <v>0</v>
      </c>
      <c r="CK3924">
        <v>2</v>
      </c>
      <c r="CL3924">
        <v>0</v>
      </c>
      <c r="CM3924">
        <v>2</v>
      </c>
      <c r="CN3924">
        <v>0</v>
      </c>
      <c r="CO3924">
        <v>5</v>
      </c>
      <c r="CP3924" t="s">
        <v>119</v>
      </c>
      <c r="CQ3924">
        <v>285</v>
      </c>
      <c r="CR3924">
        <v>0</v>
      </c>
      <c r="CW3924">
        <v>8885697</v>
      </c>
      <c r="CY3924">
        <v>0</v>
      </c>
      <c r="CZ3924">
        <v>0</v>
      </c>
      <c r="DA3924">
        <v>1</v>
      </c>
      <c r="DB3924">
        <v>0</v>
      </c>
      <c r="DC3924">
        <v>0</v>
      </c>
      <c r="DD3924">
        <v>0</v>
      </c>
      <c r="DE3924">
        <v>0</v>
      </c>
      <c r="DF3924">
        <v>0</v>
      </c>
      <c r="DG3924">
        <v>0</v>
      </c>
      <c r="DH3924">
        <v>0</v>
      </c>
      <c r="DI3924">
        <v>0</v>
      </c>
    </row>
    <row r="3925" spans="1:113" x14ac:dyDescent="0.25">
      <c r="A3925" t="str">
        <f t="shared" si="2191"/>
        <v>06/05/2020 14:58:35.129</v>
      </c>
      <c r="C3925" t="str">
        <f t="shared" si="2166"/>
        <v>FFDFD3C0</v>
      </c>
      <c r="D3925" t="s">
        <v>148</v>
      </c>
      <c r="E3925">
        <v>11</v>
      </c>
      <c r="H3925">
        <v>53</v>
      </c>
      <c r="I3925" t="s">
        <v>364</v>
      </c>
      <c r="J3925" t="s">
        <v>150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 t="shared" si="2192"/>
        <v>14:58:40.773</v>
      </c>
      <c r="T3925" t="str">
        <f t="shared" si="2192"/>
        <v>14:58:40.773</v>
      </c>
      <c r="U3925" t="str">
        <f t="shared" si="2185"/>
        <v>ACC530</v>
      </c>
      <c r="V3925">
        <v>0</v>
      </c>
      <c r="W3925">
        <v>0</v>
      </c>
      <c r="X3925">
        <v>1</v>
      </c>
      <c r="Z3925">
        <v>0</v>
      </c>
      <c r="AA3925">
        <v>9</v>
      </c>
      <c r="AB3925">
        <v>3</v>
      </c>
      <c r="AC3925">
        <v>0</v>
      </c>
      <c r="AD3925">
        <v>9</v>
      </c>
      <c r="AE3925">
        <v>0</v>
      </c>
      <c r="AF3925">
        <v>3</v>
      </c>
      <c r="AG3925">
        <v>1</v>
      </c>
      <c r="AH3925">
        <v>0</v>
      </c>
      <c r="AI3925" t="s">
        <v>1256</v>
      </c>
      <c r="AJ3925">
        <v>34.058669000000002</v>
      </c>
      <c r="AK3925" t="s">
        <v>1257</v>
      </c>
      <c r="AL3925">
        <v>-117.01791299999999</v>
      </c>
      <c r="AM3925">
        <v>100</v>
      </c>
      <c r="AN3925">
        <v>5300</v>
      </c>
      <c r="AO3925" t="s">
        <v>118</v>
      </c>
      <c r="AP3925">
        <v>61</v>
      </c>
      <c r="AQ3925">
        <v>-69</v>
      </c>
      <c r="AR3925">
        <v>384</v>
      </c>
      <c r="AZ3925">
        <v>1200</v>
      </c>
      <c r="BA3925">
        <v>1</v>
      </c>
      <c r="BB3925" t="str">
        <f t="shared" si="2187"/>
        <v xml:space="preserve">N9217B  </v>
      </c>
      <c r="BC3925">
        <v>1</v>
      </c>
      <c r="BE3925">
        <v>0</v>
      </c>
      <c r="BF3925">
        <v>0</v>
      </c>
      <c r="BG3925">
        <v>0</v>
      </c>
      <c r="BH3925">
        <v>5150</v>
      </c>
      <c r="BI3925">
        <v>1</v>
      </c>
      <c r="BJ3925">
        <v>0</v>
      </c>
      <c r="BK3925">
        <v>0</v>
      </c>
      <c r="BL3925">
        <v>0</v>
      </c>
      <c r="BO3925">
        <v>0</v>
      </c>
      <c r="BP3925">
        <v>0</v>
      </c>
      <c r="BW3925" t="str">
        <f t="shared" si="2193"/>
        <v>14:58:40.781</v>
      </c>
      <c r="CJ3925">
        <v>0</v>
      </c>
      <c r="CK3925">
        <v>2</v>
      </c>
      <c r="CL3925">
        <v>0</v>
      </c>
      <c r="CM3925">
        <v>2</v>
      </c>
      <c r="CN3925">
        <v>0</v>
      </c>
      <c r="CO3925">
        <v>5</v>
      </c>
      <c r="CP3925" t="s">
        <v>119</v>
      </c>
      <c r="CQ3925">
        <v>285</v>
      </c>
      <c r="CR3925">
        <v>0</v>
      </c>
      <c r="CW3925">
        <v>8885697</v>
      </c>
      <c r="CY3925">
        <v>0</v>
      </c>
      <c r="CZ3925">
        <v>0</v>
      </c>
      <c r="DA3925">
        <v>1</v>
      </c>
      <c r="DB3925">
        <v>0</v>
      </c>
      <c r="DC3925">
        <v>0</v>
      </c>
      <c r="DD3925">
        <v>0</v>
      </c>
      <c r="DE3925">
        <v>0</v>
      </c>
      <c r="DF3925">
        <v>0</v>
      </c>
      <c r="DG3925">
        <v>0</v>
      </c>
      <c r="DH3925">
        <v>0</v>
      </c>
      <c r="DI3925">
        <v>0</v>
      </c>
    </row>
    <row r="3926" spans="1:113" x14ac:dyDescent="0.25">
      <c r="A3926" t="str">
        <f t="shared" si="2191"/>
        <v>06/05/2020 14:58:35.129</v>
      </c>
      <c r="C3926" t="str">
        <f t="shared" si="2166"/>
        <v>FFDFD3C0</v>
      </c>
      <c r="D3926" t="s">
        <v>151</v>
      </c>
      <c r="E3926">
        <v>8</v>
      </c>
      <c r="H3926">
        <v>225</v>
      </c>
      <c r="I3926" t="s">
        <v>353</v>
      </c>
      <c r="J3926" t="s">
        <v>150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 t="shared" si="2192"/>
        <v>14:58:40.773</v>
      </c>
      <c r="T3926" t="str">
        <f t="shared" si="2192"/>
        <v>14:58:40.773</v>
      </c>
      <c r="U3926" t="str">
        <f t="shared" si="2185"/>
        <v>ACC530</v>
      </c>
      <c r="V3926">
        <v>0</v>
      </c>
      <c r="W3926">
        <v>0</v>
      </c>
      <c r="X3926">
        <v>1</v>
      </c>
      <c r="Z3926">
        <v>0</v>
      </c>
      <c r="AA3926">
        <v>9</v>
      </c>
      <c r="AB3926">
        <v>3</v>
      </c>
      <c r="AC3926">
        <v>0</v>
      </c>
      <c r="AD3926">
        <v>9</v>
      </c>
      <c r="AE3926">
        <v>0</v>
      </c>
      <c r="AF3926">
        <v>3</v>
      </c>
      <c r="AG3926">
        <v>1</v>
      </c>
      <c r="AH3926">
        <v>0</v>
      </c>
      <c r="AI3926" t="s">
        <v>1256</v>
      </c>
      <c r="AJ3926">
        <v>34.058669000000002</v>
      </c>
      <c r="AK3926" t="s">
        <v>1257</v>
      </c>
      <c r="AL3926">
        <v>-117.01791299999999</v>
      </c>
      <c r="AM3926">
        <v>100</v>
      </c>
      <c r="AN3926">
        <v>5300</v>
      </c>
      <c r="AO3926" t="s">
        <v>118</v>
      </c>
      <c r="AP3926">
        <v>61</v>
      </c>
      <c r="AQ3926">
        <v>-69</v>
      </c>
      <c r="AR3926">
        <v>384</v>
      </c>
      <c r="AZ3926">
        <v>1200</v>
      </c>
      <c r="BA3926">
        <v>1</v>
      </c>
      <c r="BB3926" t="str">
        <f t="shared" si="2187"/>
        <v xml:space="preserve">N9217B  </v>
      </c>
      <c r="BC3926">
        <v>1</v>
      </c>
      <c r="BE3926">
        <v>0</v>
      </c>
      <c r="BF3926">
        <v>0</v>
      </c>
      <c r="BG3926">
        <v>0</v>
      </c>
      <c r="BH3926">
        <v>5150</v>
      </c>
      <c r="BI3926">
        <v>1</v>
      </c>
      <c r="BJ3926">
        <v>0</v>
      </c>
      <c r="BK3926">
        <v>0</v>
      </c>
      <c r="BL3926">
        <v>0</v>
      </c>
      <c r="BO3926">
        <v>0</v>
      </c>
      <c r="BP3926">
        <v>0</v>
      </c>
      <c r="BW3926" t="str">
        <f t="shared" si="2193"/>
        <v>14:58:40.781</v>
      </c>
      <c r="CJ3926">
        <v>0</v>
      </c>
      <c r="CK3926">
        <v>2</v>
      </c>
      <c r="CL3926">
        <v>0</v>
      </c>
      <c r="CM3926">
        <v>2</v>
      </c>
      <c r="CN3926">
        <v>0</v>
      </c>
      <c r="CO3926">
        <v>5</v>
      </c>
      <c r="CP3926" t="s">
        <v>119</v>
      </c>
      <c r="CQ3926">
        <v>285</v>
      </c>
      <c r="CR3926">
        <v>0</v>
      </c>
      <c r="CW3926">
        <v>8885697</v>
      </c>
      <c r="CY3926">
        <v>0</v>
      </c>
      <c r="CZ3926">
        <v>0</v>
      </c>
      <c r="DA3926">
        <v>1</v>
      </c>
      <c r="DB3926">
        <v>0</v>
      </c>
      <c r="DC3926">
        <v>0</v>
      </c>
      <c r="DD3926">
        <v>0</v>
      </c>
      <c r="DE3926">
        <v>0</v>
      </c>
      <c r="DF3926">
        <v>0</v>
      </c>
      <c r="DG3926">
        <v>0</v>
      </c>
      <c r="DH3926">
        <v>0</v>
      </c>
      <c r="DI3926">
        <v>0</v>
      </c>
    </row>
    <row r="3927" spans="1:113" x14ac:dyDescent="0.25">
      <c r="A3927" t="str">
        <f t="shared" ref="A3927:A3933" si="2194">"06/05/2020 14:58:36.151"</f>
        <v>06/05/2020 14:58:36.151</v>
      </c>
      <c r="C3927" t="str">
        <f t="shared" si="2166"/>
        <v>FFDFD3C0</v>
      </c>
      <c r="D3927" t="s">
        <v>151</v>
      </c>
      <c r="E3927">
        <v>9</v>
      </c>
      <c r="H3927">
        <v>226</v>
      </c>
      <c r="I3927" t="s">
        <v>152</v>
      </c>
      <c r="J3927" t="s">
        <v>150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 t="shared" ref="S3927:T3933" si="2195">"14:58:41.797"</f>
        <v>14:58:41.797</v>
      </c>
      <c r="T3927" t="str">
        <f t="shared" si="2195"/>
        <v>14:58:41.797</v>
      </c>
      <c r="U3927" t="str">
        <f t="shared" si="2185"/>
        <v>ACC530</v>
      </c>
      <c r="V3927">
        <v>0</v>
      </c>
      <c r="W3927">
        <v>0</v>
      </c>
      <c r="X3927">
        <v>1</v>
      </c>
      <c r="Z3927">
        <v>0</v>
      </c>
      <c r="AA3927">
        <v>9</v>
      </c>
      <c r="AB3927">
        <v>3</v>
      </c>
      <c r="AC3927">
        <v>0</v>
      </c>
      <c r="AD3927">
        <v>9</v>
      </c>
      <c r="AE3927">
        <v>0</v>
      </c>
      <c r="AF3927">
        <v>3</v>
      </c>
      <c r="AG3927">
        <v>1</v>
      </c>
      <c r="AH3927">
        <v>0</v>
      </c>
      <c r="AI3927" t="s">
        <v>1258</v>
      </c>
      <c r="AJ3927">
        <v>34.058368000000002</v>
      </c>
      <c r="AK3927" t="s">
        <v>1259</v>
      </c>
      <c r="AL3927">
        <v>-117.01754800000001</v>
      </c>
      <c r="AM3927">
        <v>100</v>
      </c>
      <c r="AN3927">
        <v>5300</v>
      </c>
      <c r="AO3927" t="s">
        <v>118</v>
      </c>
      <c r="AP3927">
        <v>69</v>
      </c>
      <c r="AQ3927">
        <v>-62</v>
      </c>
      <c r="AR3927">
        <v>320</v>
      </c>
      <c r="AZ3927">
        <v>1200</v>
      </c>
      <c r="BA3927">
        <v>1</v>
      </c>
      <c r="BB3927" t="str">
        <f t="shared" si="2187"/>
        <v xml:space="preserve">N9217B  </v>
      </c>
      <c r="BC3927">
        <v>1</v>
      </c>
      <c r="BE3927">
        <v>0</v>
      </c>
      <c r="BF3927">
        <v>0</v>
      </c>
      <c r="BG3927">
        <v>0</v>
      </c>
      <c r="BH3927">
        <v>5150</v>
      </c>
      <c r="BI3927">
        <v>1</v>
      </c>
      <c r="BJ3927">
        <v>0</v>
      </c>
      <c r="BK3927">
        <v>0</v>
      </c>
      <c r="BL3927">
        <v>0</v>
      </c>
      <c r="BO3927">
        <v>0</v>
      </c>
      <c r="BP3927">
        <v>0</v>
      </c>
      <c r="BW3927" t="str">
        <f t="shared" ref="BW3927:BW3933" si="2196">"14:58:41.801"</f>
        <v>14:58:41.801</v>
      </c>
      <c r="CJ3927">
        <v>0</v>
      </c>
      <c r="CK3927">
        <v>2</v>
      </c>
      <c r="CL3927">
        <v>0</v>
      </c>
      <c r="CM3927">
        <v>2</v>
      </c>
      <c r="CN3927">
        <v>0</v>
      </c>
      <c r="CO3927">
        <v>4</v>
      </c>
      <c r="CP3927" t="s">
        <v>119</v>
      </c>
      <c r="CQ3927">
        <v>285</v>
      </c>
      <c r="CR3927">
        <v>0</v>
      </c>
      <c r="CW3927">
        <v>8885798</v>
      </c>
      <c r="CY3927">
        <v>0</v>
      </c>
      <c r="CZ3927">
        <v>0</v>
      </c>
      <c r="DA3927">
        <v>0</v>
      </c>
      <c r="DB3927">
        <v>0</v>
      </c>
      <c r="DC3927">
        <v>0</v>
      </c>
      <c r="DD3927">
        <v>0</v>
      </c>
      <c r="DE3927">
        <v>0</v>
      </c>
      <c r="DF3927">
        <v>0</v>
      </c>
      <c r="DG3927">
        <v>0</v>
      </c>
      <c r="DH3927">
        <v>0</v>
      </c>
      <c r="DI3927">
        <v>0</v>
      </c>
    </row>
    <row r="3928" spans="1:113" x14ac:dyDescent="0.25">
      <c r="A3928" t="str">
        <f t="shared" si="2194"/>
        <v>06/05/2020 14:58:36.151</v>
      </c>
      <c r="C3928" t="str">
        <f t="shared" si="2166"/>
        <v>FFDFD3C0</v>
      </c>
      <c r="D3928" t="s">
        <v>141</v>
      </c>
      <c r="E3928">
        <v>20</v>
      </c>
      <c r="F3928">
        <v>1020</v>
      </c>
      <c r="G3928" t="s">
        <v>114</v>
      </c>
      <c r="J3928" t="s">
        <v>142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 t="shared" si="2195"/>
        <v>14:58:41.797</v>
      </c>
      <c r="T3928" t="str">
        <f t="shared" si="2195"/>
        <v>14:58:41.797</v>
      </c>
      <c r="U3928" t="str">
        <f t="shared" si="2185"/>
        <v>ACC530</v>
      </c>
      <c r="V3928">
        <v>0</v>
      </c>
      <c r="W3928">
        <v>0</v>
      </c>
      <c r="X3928">
        <v>1</v>
      </c>
      <c r="Z3928">
        <v>0</v>
      </c>
      <c r="AA3928">
        <v>9</v>
      </c>
      <c r="AB3928">
        <v>3</v>
      </c>
      <c r="AC3928">
        <v>0</v>
      </c>
      <c r="AD3928">
        <v>9</v>
      </c>
      <c r="AE3928">
        <v>0</v>
      </c>
      <c r="AF3928">
        <v>3</v>
      </c>
      <c r="AG3928">
        <v>1</v>
      </c>
      <c r="AH3928">
        <v>0</v>
      </c>
      <c r="AI3928" t="s">
        <v>1258</v>
      </c>
      <c r="AJ3928">
        <v>34.058368000000002</v>
      </c>
      <c r="AK3928" t="s">
        <v>1259</v>
      </c>
      <c r="AL3928">
        <v>-117.01754800000001</v>
      </c>
      <c r="AM3928">
        <v>100</v>
      </c>
      <c r="AN3928">
        <v>5300</v>
      </c>
      <c r="AO3928" t="s">
        <v>118</v>
      </c>
      <c r="AP3928">
        <v>69</v>
      </c>
      <c r="AQ3928">
        <v>-62</v>
      </c>
      <c r="AR3928">
        <v>320</v>
      </c>
      <c r="AZ3928">
        <v>1200</v>
      </c>
      <c r="BA3928">
        <v>1</v>
      </c>
      <c r="BB3928" t="str">
        <f t="shared" si="2187"/>
        <v xml:space="preserve">N9217B  </v>
      </c>
      <c r="BC3928">
        <v>1</v>
      </c>
      <c r="BE3928">
        <v>0</v>
      </c>
      <c r="BF3928">
        <v>0</v>
      </c>
      <c r="BG3928">
        <v>0</v>
      </c>
      <c r="BH3928">
        <v>5150</v>
      </c>
      <c r="BI3928">
        <v>1</v>
      </c>
      <c r="BJ3928">
        <v>0</v>
      </c>
      <c r="BK3928">
        <v>0</v>
      </c>
      <c r="BL3928">
        <v>0</v>
      </c>
      <c r="BO3928">
        <v>0</v>
      </c>
      <c r="BP3928">
        <v>0</v>
      </c>
      <c r="BW3928" t="str">
        <f t="shared" si="2196"/>
        <v>14:58:41.801</v>
      </c>
      <c r="CJ3928">
        <v>0</v>
      </c>
      <c r="CK3928">
        <v>2</v>
      </c>
      <c r="CL3928">
        <v>0</v>
      </c>
      <c r="CM3928">
        <v>2</v>
      </c>
      <c r="CN3928">
        <v>0</v>
      </c>
      <c r="CO3928">
        <v>4</v>
      </c>
      <c r="CP3928" t="s">
        <v>119</v>
      </c>
      <c r="CQ3928">
        <v>285</v>
      </c>
      <c r="CR3928">
        <v>0</v>
      </c>
      <c r="CW3928">
        <v>8885798</v>
      </c>
      <c r="CY3928">
        <v>0</v>
      </c>
      <c r="CZ3928">
        <v>0</v>
      </c>
      <c r="DA3928">
        <v>1</v>
      </c>
      <c r="DB3928">
        <v>0</v>
      </c>
      <c r="DC3928">
        <v>0</v>
      </c>
      <c r="DD3928">
        <v>0</v>
      </c>
      <c r="DE3928">
        <v>0</v>
      </c>
      <c r="DF3928">
        <v>0</v>
      </c>
      <c r="DG3928">
        <v>0</v>
      </c>
      <c r="DH3928">
        <v>0</v>
      </c>
      <c r="DI3928">
        <v>0</v>
      </c>
    </row>
    <row r="3929" spans="1:113" x14ac:dyDescent="0.25">
      <c r="A3929" t="str">
        <f t="shared" si="2194"/>
        <v>06/05/2020 14:58:36.151</v>
      </c>
      <c r="C3929" t="str">
        <f t="shared" si="2166"/>
        <v>FFDFD3C0</v>
      </c>
      <c r="D3929" t="s">
        <v>148</v>
      </c>
      <c r="E3929">
        <v>11</v>
      </c>
      <c r="H3929">
        <v>53</v>
      </c>
      <c r="I3929" t="s">
        <v>364</v>
      </c>
      <c r="J3929" t="s">
        <v>150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 t="shared" si="2195"/>
        <v>14:58:41.797</v>
      </c>
      <c r="T3929" t="str">
        <f t="shared" si="2195"/>
        <v>14:58:41.797</v>
      </c>
      <c r="U3929" t="str">
        <f t="shared" si="2185"/>
        <v>ACC530</v>
      </c>
      <c r="V3929">
        <v>0</v>
      </c>
      <c r="W3929">
        <v>0</v>
      </c>
      <c r="X3929">
        <v>1</v>
      </c>
      <c r="Z3929">
        <v>0</v>
      </c>
      <c r="AA3929">
        <v>9</v>
      </c>
      <c r="AB3929">
        <v>3</v>
      </c>
      <c r="AC3929">
        <v>0</v>
      </c>
      <c r="AD3929">
        <v>9</v>
      </c>
      <c r="AE3929">
        <v>0</v>
      </c>
      <c r="AF3929">
        <v>3</v>
      </c>
      <c r="AG3929">
        <v>1</v>
      </c>
      <c r="AH3929">
        <v>0</v>
      </c>
      <c r="AI3929" t="s">
        <v>1258</v>
      </c>
      <c r="AJ3929">
        <v>34.058368000000002</v>
      </c>
      <c r="AK3929" t="s">
        <v>1259</v>
      </c>
      <c r="AL3929">
        <v>-117.01754800000001</v>
      </c>
      <c r="AM3929">
        <v>100</v>
      </c>
      <c r="AN3929">
        <v>5300</v>
      </c>
      <c r="AO3929" t="s">
        <v>118</v>
      </c>
      <c r="AP3929">
        <v>69</v>
      </c>
      <c r="AQ3929">
        <v>-62</v>
      </c>
      <c r="AR3929">
        <v>320</v>
      </c>
      <c r="AZ3929">
        <v>1200</v>
      </c>
      <c r="BA3929">
        <v>1</v>
      </c>
      <c r="BB3929" t="str">
        <f t="shared" si="2187"/>
        <v xml:space="preserve">N9217B  </v>
      </c>
      <c r="BC3929">
        <v>1</v>
      </c>
      <c r="BE3929">
        <v>0</v>
      </c>
      <c r="BF3929">
        <v>0</v>
      </c>
      <c r="BG3929">
        <v>0</v>
      </c>
      <c r="BH3929">
        <v>5150</v>
      </c>
      <c r="BI3929">
        <v>1</v>
      </c>
      <c r="BJ3929">
        <v>0</v>
      </c>
      <c r="BK3929">
        <v>0</v>
      </c>
      <c r="BL3929">
        <v>0</v>
      </c>
      <c r="BO3929">
        <v>0</v>
      </c>
      <c r="BP3929">
        <v>0</v>
      </c>
      <c r="BW3929" t="str">
        <f t="shared" si="2196"/>
        <v>14:58:41.801</v>
      </c>
      <c r="CJ3929">
        <v>0</v>
      </c>
      <c r="CK3929">
        <v>2</v>
      </c>
      <c r="CL3929">
        <v>0</v>
      </c>
      <c r="CM3929">
        <v>2</v>
      </c>
      <c r="CN3929">
        <v>0</v>
      </c>
      <c r="CO3929">
        <v>4</v>
      </c>
      <c r="CP3929" t="s">
        <v>119</v>
      </c>
      <c r="CQ3929">
        <v>285</v>
      </c>
      <c r="CR3929">
        <v>0</v>
      </c>
      <c r="CW3929">
        <v>8885798</v>
      </c>
      <c r="CY3929">
        <v>0</v>
      </c>
      <c r="CZ3929">
        <v>0</v>
      </c>
      <c r="DA3929">
        <v>1</v>
      </c>
      <c r="DB3929">
        <v>0</v>
      </c>
      <c r="DC3929">
        <v>0</v>
      </c>
      <c r="DD3929">
        <v>0</v>
      </c>
      <c r="DE3929">
        <v>0</v>
      </c>
      <c r="DF3929">
        <v>0</v>
      </c>
      <c r="DG3929">
        <v>0</v>
      </c>
      <c r="DH3929">
        <v>0</v>
      </c>
      <c r="DI3929">
        <v>0</v>
      </c>
    </row>
    <row r="3930" spans="1:113" x14ac:dyDescent="0.25">
      <c r="A3930" t="str">
        <f t="shared" si="2194"/>
        <v>06/05/2020 14:58:36.151</v>
      </c>
      <c r="C3930" t="str">
        <f t="shared" si="2166"/>
        <v>FFDFD3C0</v>
      </c>
      <c r="D3930" t="s">
        <v>113</v>
      </c>
      <c r="E3930">
        <v>3</v>
      </c>
      <c r="H3930">
        <v>166</v>
      </c>
      <c r="I3930" t="s">
        <v>114</v>
      </c>
      <c r="J3930" t="s">
        <v>115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 t="shared" si="2195"/>
        <v>14:58:41.797</v>
      </c>
      <c r="T3930" t="str">
        <f t="shared" si="2195"/>
        <v>14:58:41.797</v>
      </c>
      <c r="U3930" t="str">
        <f t="shared" si="2185"/>
        <v>ACC530</v>
      </c>
      <c r="V3930">
        <v>0</v>
      </c>
      <c r="W3930">
        <v>0</v>
      </c>
      <c r="X3930">
        <v>1</v>
      </c>
      <c r="Z3930">
        <v>0</v>
      </c>
      <c r="AA3930">
        <v>9</v>
      </c>
      <c r="AB3930">
        <v>3</v>
      </c>
      <c r="AC3930">
        <v>0</v>
      </c>
      <c r="AD3930">
        <v>9</v>
      </c>
      <c r="AE3930">
        <v>0</v>
      </c>
      <c r="AF3930">
        <v>3</v>
      </c>
      <c r="AG3930">
        <v>1</v>
      </c>
      <c r="AH3930">
        <v>0</v>
      </c>
      <c r="AI3930" t="s">
        <v>1258</v>
      </c>
      <c r="AJ3930">
        <v>34.058368000000002</v>
      </c>
      <c r="AK3930" t="s">
        <v>1259</v>
      </c>
      <c r="AL3930">
        <v>-117.01754800000001</v>
      </c>
      <c r="AM3930">
        <v>100</v>
      </c>
      <c r="AN3930">
        <v>5300</v>
      </c>
      <c r="AO3930" t="s">
        <v>118</v>
      </c>
      <c r="AP3930">
        <v>69</v>
      </c>
      <c r="AQ3930">
        <v>-62</v>
      </c>
      <c r="AR3930">
        <v>320</v>
      </c>
      <c r="AZ3930">
        <v>1200</v>
      </c>
      <c r="BA3930">
        <v>1</v>
      </c>
      <c r="BB3930" t="str">
        <f t="shared" si="2187"/>
        <v xml:space="preserve">N9217B  </v>
      </c>
      <c r="BC3930">
        <v>1</v>
      </c>
      <c r="BE3930">
        <v>0</v>
      </c>
      <c r="BF3930">
        <v>0</v>
      </c>
      <c r="BG3930">
        <v>0</v>
      </c>
      <c r="BH3930">
        <v>5150</v>
      </c>
      <c r="BI3930">
        <v>1</v>
      </c>
      <c r="BJ3930">
        <v>0</v>
      </c>
      <c r="BK3930">
        <v>0</v>
      </c>
      <c r="BL3930">
        <v>0</v>
      </c>
      <c r="BO3930">
        <v>0</v>
      </c>
      <c r="BP3930">
        <v>0</v>
      </c>
      <c r="BW3930" t="str">
        <f t="shared" si="2196"/>
        <v>14:58:41.801</v>
      </c>
      <c r="CJ3930">
        <v>0</v>
      </c>
      <c r="CK3930">
        <v>2</v>
      </c>
      <c r="CL3930">
        <v>0</v>
      </c>
      <c r="CM3930">
        <v>2</v>
      </c>
      <c r="CN3930">
        <v>0</v>
      </c>
      <c r="CO3930">
        <v>4</v>
      </c>
      <c r="CP3930" t="s">
        <v>119</v>
      </c>
      <c r="CQ3930">
        <v>285</v>
      </c>
      <c r="CR3930">
        <v>0</v>
      </c>
      <c r="CW3930">
        <v>8885798</v>
      </c>
      <c r="CY3930">
        <v>0</v>
      </c>
      <c r="CZ3930">
        <v>0</v>
      </c>
      <c r="DA3930">
        <v>1</v>
      </c>
      <c r="DB3930">
        <v>0</v>
      </c>
      <c r="DC3930">
        <v>0</v>
      </c>
      <c r="DD3930">
        <v>0</v>
      </c>
      <c r="DE3930">
        <v>0</v>
      </c>
      <c r="DF3930">
        <v>0</v>
      </c>
      <c r="DG3930">
        <v>0</v>
      </c>
      <c r="DH3930">
        <v>0</v>
      </c>
      <c r="DI3930">
        <v>0</v>
      </c>
    </row>
    <row r="3931" spans="1:113" x14ac:dyDescent="0.25">
      <c r="A3931" t="str">
        <f t="shared" si="2194"/>
        <v>06/05/2020 14:58:36.151</v>
      </c>
      <c r="C3931" t="str">
        <f t="shared" si="2166"/>
        <v>FFDFD3C0</v>
      </c>
      <c r="D3931" t="s">
        <v>151</v>
      </c>
      <c r="E3931">
        <v>8</v>
      </c>
      <c r="H3931">
        <v>225</v>
      </c>
      <c r="I3931" t="s">
        <v>353</v>
      </c>
      <c r="J3931" t="s">
        <v>150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 t="shared" si="2195"/>
        <v>14:58:41.797</v>
      </c>
      <c r="T3931" t="str">
        <f t="shared" si="2195"/>
        <v>14:58:41.797</v>
      </c>
      <c r="U3931" t="str">
        <f t="shared" si="2185"/>
        <v>ACC530</v>
      </c>
      <c r="V3931">
        <v>0</v>
      </c>
      <c r="W3931">
        <v>0</v>
      </c>
      <c r="X3931">
        <v>1</v>
      </c>
      <c r="Z3931">
        <v>0</v>
      </c>
      <c r="AA3931">
        <v>9</v>
      </c>
      <c r="AB3931">
        <v>3</v>
      </c>
      <c r="AC3931">
        <v>0</v>
      </c>
      <c r="AD3931">
        <v>9</v>
      </c>
      <c r="AE3931">
        <v>0</v>
      </c>
      <c r="AF3931">
        <v>3</v>
      </c>
      <c r="AG3931">
        <v>1</v>
      </c>
      <c r="AH3931">
        <v>0</v>
      </c>
      <c r="AI3931" t="s">
        <v>1258</v>
      </c>
      <c r="AJ3931">
        <v>34.058368000000002</v>
      </c>
      <c r="AK3931" t="s">
        <v>1259</v>
      </c>
      <c r="AL3931">
        <v>-117.01754800000001</v>
      </c>
      <c r="AM3931">
        <v>100</v>
      </c>
      <c r="AN3931">
        <v>5300</v>
      </c>
      <c r="AO3931" t="s">
        <v>118</v>
      </c>
      <c r="AP3931">
        <v>69</v>
      </c>
      <c r="AQ3931">
        <v>-62</v>
      </c>
      <c r="AR3931">
        <v>320</v>
      </c>
      <c r="AZ3931">
        <v>1200</v>
      </c>
      <c r="BA3931">
        <v>1</v>
      </c>
      <c r="BB3931" t="str">
        <f t="shared" si="2187"/>
        <v xml:space="preserve">N9217B  </v>
      </c>
      <c r="BC3931">
        <v>1</v>
      </c>
      <c r="BE3931">
        <v>0</v>
      </c>
      <c r="BF3931">
        <v>0</v>
      </c>
      <c r="BG3931">
        <v>0</v>
      </c>
      <c r="BH3931">
        <v>5150</v>
      </c>
      <c r="BI3931">
        <v>1</v>
      </c>
      <c r="BJ3931">
        <v>0</v>
      </c>
      <c r="BK3931">
        <v>0</v>
      </c>
      <c r="BL3931">
        <v>0</v>
      </c>
      <c r="BO3931">
        <v>0</v>
      </c>
      <c r="BP3931">
        <v>0</v>
      </c>
      <c r="BW3931" t="str">
        <f t="shared" si="2196"/>
        <v>14:58:41.801</v>
      </c>
      <c r="CJ3931">
        <v>0</v>
      </c>
      <c r="CK3931">
        <v>2</v>
      </c>
      <c r="CL3931">
        <v>0</v>
      </c>
      <c r="CM3931">
        <v>2</v>
      </c>
      <c r="CN3931">
        <v>0</v>
      </c>
      <c r="CO3931">
        <v>4</v>
      </c>
      <c r="CP3931" t="s">
        <v>119</v>
      </c>
      <c r="CQ3931">
        <v>285</v>
      </c>
      <c r="CR3931">
        <v>0</v>
      </c>
      <c r="CW3931">
        <v>8885798</v>
      </c>
      <c r="CY3931">
        <v>0</v>
      </c>
      <c r="CZ3931">
        <v>0</v>
      </c>
      <c r="DA3931">
        <v>1</v>
      </c>
      <c r="DB3931">
        <v>0</v>
      </c>
      <c r="DC3931">
        <v>0</v>
      </c>
      <c r="DD3931">
        <v>0</v>
      </c>
      <c r="DE3931">
        <v>0</v>
      </c>
      <c r="DF3931">
        <v>0</v>
      </c>
      <c r="DG3931">
        <v>0</v>
      </c>
      <c r="DH3931">
        <v>0</v>
      </c>
      <c r="DI3931">
        <v>0</v>
      </c>
    </row>
    <row r="3932" spans="1:113" x14ac:dyDescent="0.25">
      <c r="A3932" t="str">
        <f t="shared" si="2194"/>
        <v>06/05/2020 14:58:36.151</v>
      </c>
      <c r="C3932" t="str">
        <f t="shared" si="2166"/>
        <v>FFDFD3C0</v>
      </c>
      <c r="D3932" t="s">
        <v>134</v>
      </c>
      <c r="E3932">
        <v>7</v>
      </c>
      <c r="F3932">
        <v>2007</v>
      </c>
      <c r="G3932" t="s">
        <v>135</v>
      </c>
      <c r="J3932" t="s">
        <v>136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 t="shared" si="2195"/>
        <v>14:58:41.797</v>
      </c>
      <c r="T3932" t="str">
        <f t="shared" si="2195"/>
        <v>14:58:41.797</v>
      </c>
      <c r="U3932" t="str">
        <f t="shared" si="2185"/>
        <v>ACC530</v>
      </c>
      <c r="V3932">
        <v>0</v>
      </c>
      <c r="W3932">
        <v>0</v>
      </c>
      <c r="X3932">
        <v>1</v>
      </c>
      <c r="Z3932">
        <v>0</v>
      </c>
      <c r="AA3932">
        <v>9</v>
      </c>
      <c r="AB3932">
        <v>3</v>
      </c>
      <c r="AC3932">
        <v>0</v>
      </c>
      <c r="AD3932">
        <v>9</v>
      </c>
      <c r="AE3932">
        <v>0</v>
      </c>
      <c r="AF3932">
        <v>3</v>
      </c>
      <c r="AG3932">
        <v>1</v>
      </c>
      <c r="AH3932">
        <v>0</v>
      </c>
      <c r="AI3932" t="s">
        <v>1258</v>
      </c>
      <c r="AJ3932">
        <v>34.058368000000002</v>
      </c>
      <c r="AK3932" t="s">
        <v>1259</v>
      </c>
      <c r="AL3932">
        <v>-117.01754800000001</v>
      </c>
      <c r="AM3932">
        <v>100</v>
      </c>
      <c r="AN3932">
        <v>5300</v>
      </c>
      <c r="AO3932" t="s">
        <v>118</v>
      </c>
      <c r="AP3932">
        <v>69</v>
      </c>
      <c r="AQ3932">
        <v>-62</v>
      </c>
      <c r="AR3932">
        <v>320</v>
      </c>
      <c r="AZ3932">
        <v>1200</v>
      </c>
      <c r="BA3932">
        <v>1</v>
      </c>
      <c r="BB3932" t="str">
        <f t="shared" si="2187"/>
        <v xml:space="preserve">N9217B  </v>
      </c>
      <c r="BC3932">
        <v>1</v>
      </c>
      <c r="BE3932">
        <v>0</v>
      </c>
      <c r="BF3932">
        <v>0</v>
      </c>
      <c r="BG3932">
        <v>0</v>
      </c>
      <c r="BH3932">
        <v>5150</v>
      </c>
      <c r="BI3932">
        <v>1</v>
      </c>
      <c r="BJ3932">
        <v>0</v>
      </c>
      <c r="BK3932">
        <v>0</v>
      </c>
      <c r="BL3932">
        <v>0</v>
      </c>
      <c r="BO3932">
        <v>0</v>
      </c>
      <c r="BP3932">
        <v>0</v>
      </c>
      <c r="BW3932" t="str">
        <f t="shared" si="2196"/>
        <v>14:58:41.801</v>
      </c>
      <c r="CJ3932">
        <v>0</v>
      </c>
      <c r="CK3932">
        <v>2</v>
      </c>
      <c r="CL3932">
        <v>0</v>
      </c>
      <c r="CM3932">
        <v>2</v>
      </c>
      <c r="CN3932">
        <v>0</v>
      </c>
      <c r="CO3932">
        <v>4</v>
      </c>
      <c r="CP3932" t="s">
        <v>119</v>
      </c>
      <c r="CQ3932">
        <v>285</v>
      </c>
      <c r="CR3932">
        <v>0</v>
      </c>
      <c r="CW3932">
        <v>8885798</v>
      </c>
      <c r="CY3932">
        <v>0</v>
      </c>
      <c r="CZ3932">
        <v>0</v>
      </c>
      <c r="DA3932">
        <v>1</v>
      </c>
      <c r="DB3932">
        <v>0</v>
      </c>
      <c r="DC3932">
        <v>0</v>
      </c>
      <c r="DD3932">
        <v>0</v>
      </c>
      <c r="DE3932">
        <v>0</v>
      </c>
      <c r="DF3932">
        <v>0</v>
      </c>
      <c r="DG3932">
        <v>0</v>
      </c>
      <c r="DH3932">
        <v>0</v>
      </c>
      <c r="DI3932">
        <v>0</v>
      </c>
    </row>
    <row r="3933" spans="1:113" x14ac:dyDescent="0.25">
      <c r="A3933" t="str">
        <f t="shared" si="2194"/>
        <v>06/05/2020 14:58:36.151</v>
      </c>
      <c r="C3933" t="str">
        <f t="shared" si="2166"/>
        <v>FFDFD3C0</v>
      </c>
      <c r="D3933" t="s">
        <v>148</v>
      </c>
      <c r="E3933">
        <v>8</v>
      </c>
      <c r="H3933">
        <v>50</v>
      </c>
      <c r="I3933" t="s">
        <v>149</v>
      </c>
      <c r="J3933" t="s">
        <v>150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 t="shared" si="2195"/>
        <v>14:58:41.797</v>
      </c>
      <c r="T3933" t="str">
        <f t="shared" si="2195"/>
        <v>14:58:41.797</v>
      </c>
      <c r="U3933" t="str">
        <f t="shared" si="2185"/>
        <v>ACC530</v>
      </c>
      <c r="V3933">
        <v>0</v>
      </c>
      <c r="W3933">
        <v>0</v>
      </c>
      <c r="X3933">
        <v>1</v>
      </c>
      <c r="Z3933">
        <v>0</v>
      </c>
      <c r="AA3933">
        <v>9</v>
      </c>
      <c r="AB3933">
        <v>3</v>
      </c>
      <c r="AC3933">
        <v>0</v>
      </c>
      <c r="AD3933">
        <v>9</v>
      </c>
      <c r="AE3933">
        <v>0</v>
      </c>
      <c r="AF3933">
        <v>3</v>
      </c>
      <c r="AG3933">
        <v>1</v>
      </c>
      <c r="AH3933">
        <v>0</v>
      </c>
      <c r="AI3933" t="s">
        <v>1258</v>
      </c>
      <c r="AJ3933">
        <v>34.058368000000002</v>
      </c>
      <c r="AK3933" t="s">
        <v>1259</v>
      </c>
      <c r="AL3933">
        <v>-117.01754800000001</v>
      </c>
      <c r="AM3933">
        <v>100</v>
      </c>
      <c r="AN3933">
        <v>5300</v>
      </c>
      <c r="AO3933" t="s">
        <v>118</v>
      </c>
      <c r="AP3933">
        <v>69</v>
      </c>
      <c r="AQ3933">
        <v>-62</v>
      </c>
      <c r="AR3933">
        <v>320</v>
      </c>
      <c r="AZ3933">
        <v>1200</v>
      </c>
      <c r="BA3933">
        <v>1</v>
      </c>
      <c r="BB3933" t="str">
        <f t="shared" si="2187"/>
        <v xml:space="preserve">N9217B  </v>
      </c>
      <c r="BC3933">
        <v>1</v>
      </c>
      <c r="BE3933">
        <v>0</v>
      </c>
      <c r="BF3933">
        <v>0</v>
      </c>
      <c r="BG3933">
        <v>0</v>
      </c>
      <c r="BH3933">
        <v>5150</v>
      </c>
      <c r="BI3933">
        <v>1</v>
      </c>
      <c r="BJ3933">
        <v>0</v>
      </c>
      <c r="BK3933">
        <v>0</v>
      </c>
      <c r="BL3933">
        <v>0</v>
      </c>
      <c r="BO3933">
        <v>0</v>
      </c>
      <c r="BP3933">
        <v>0</v>
      </c>
      <c r="BW3933" t="str">
        <f t="shared" si="2196"/>
        <v>14:58:41.801</v>
      </c>
      <c r="CJ3933">
        <v>0</v>
      </c>
      <c r="CK3933">
        <v>2</v>
      </c>
      <c r="CL3933">
        <v>0</v>
      </c>
      <c r="CM3933">
        <v>2</v>
      </c>
      <c r="CN3933">
        <v>0</v>
      </c>
      <c r="CO3933">
        <v>4</v>
      </c>
      <c r="CP3933" t="s">
        <v>119</v>
      </c>
      <c r="CQ3933">
        <v>285</v>
      </c>
      <c r="CR3933">
        <v>0</v>
      </c>
      <c r="CW3933">
        <v>8885798</v>
      </c>
      <c r="CY3933">
        <v>0</v>
      </c>
      <c r="CZ3933">
        <v>0</v>
      </c>
      <c r="DA3933">
        <v>1</v>
      </c>
      <c r="DB3933">
        <v>0</v>
      </c>
      <c r="DC3933">
        <v>0</v>
      </c>
      <c r="DD3933">
        <v>0</v>
      </c>
      <c r="DE3933">
        <v>0</v>
      </c>
      <c r="DF3933">
        <v>0</v>
      </c>
      <c r="DG3933">
        <v>0</v>
      </c>
      <c r="DH3933">
        <v>0</v>
      </c>
      <c r="DI3933">
        <v>0</v>
      </c>
    </row>
    <row r="3934" spans="1:113" x14ac:dyDescent="0.25">
      <c r="A3934" t="str">
        <f t="shared" ref="A3934:A3940" si="2197">"06/05/2020 14:58:37.047"</f>
        <v>06/05/2020 14:58:37.047</v>
      </c>
      <c r="C3934" t="str">
        <f t="shared" si="2166"/>
        <v>FFDFD3C0</v>
      </c>
      <c r="D3934" t="s">
        <v>113</v>
      </c>
      <c r="E3934">
        <v>3</v>
      </c>
      <c r="H3934">
        <v>166</v>
      </c>
      <c r="I3934" t="s">
        <v>114</v>
      </c>
      <c r="J3934" t="s">
        <v>115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 t="shared" ref="S3934:S3940" si="2198">"14:58:42.695"</f>
        <v>14:58:42.695</v>
      </c>
      <c r="T3934" t="str">
        <f t="shared" ref="T3934:T3940" si="2199">"14:58:42.395"</f>
        <v>14:58:42.395</v>
      </c>
      <c r="U3934" t="str">
        <f t="shared" si="2185"/>
        <v>ACC530</v>
      </c>
      <c r="V3934">
        <v>0</v>
      </c>
      <c r="W3934">
        <v>0</v>
      </c>
      <c r="X3934">
        <v>1</v>
      </c>
      <c r="Z3934">
        <v>0</v>
      </c>
      <c r="AA3934">
        <v>9</v>
      </c>
      <c r="AB3934">
        <v>3</v>
      </c>
      <c r="AC3934">
        <v>0</v>
      </c>
      <c r="AD3934">
        <v>9</v>
      </c>
      <c r="AE3934">
        <v>0</v>
      </c>
      <c r="AF3934">
        <v>3</v>
      </c>
      <c r="AG3934">
        <v>1</v>
      </c>
      <c r="AH3934">
        <v>0</v>
      </c>
      <c r="AI3934" t="s">
        <v>1260</v>
      </c>
      <c r="AJ3934">
        <v>34.058132000000001</v>
      </c>
      <c r="AK3934" t="s">
        <v>1261</v>
      </c>
      <c r="AL3934">
        <v>-117.017162</v>
      </c>
      <c r="AM3934">
        <v>100</v>
      </c>
      <c r="AN3934">
        <v>5300</v>
      </c>
      <c r="AO3934" t="s">
        <v>118</v>
      </c>
      <c r="AP3934">
        <v>70</v>
      </c>
      <c r="AQ3934">
        <v>-60</v>
      </c>
      <c r="AR3934">
        <v>128</v>
      </c>
      <c r="AZ3934">
        <v>1200</v>
      </c>
      <c r="BA3934">
        <v>1</v>
      </c>
      <c r="BB3934" t="str">
        <f t="shared" si="2187"/>
        <v xml:space="preserve">N9217B  </v>
      </c>
      <c r="BC3934">
        <v>1</v>
      </c>
      <c r="BE3934">
        <v>0</v>
      </c>
      <c r="BF3934">
        <v>0</v>
      </c>
      <c r="BG3934">
        <v>0</v>
      </c>
      <c r="BH3934">
        <v>5150</v>
      </c>
      <c r="BI3934">
        <v>1</v>
      </c>
      <c r="BJ3934">
        <v>0</v>
      </c>
      <c r="BK3934">
        <v>0</v>
      </c>
      <c r="BL3934">
        <v>0</v>
      </c>
      <c r="BO3934">
        <v>0</v>
      </c>
      <c r="BP3934">
        <v>0</v>
      </c>
      <c r="BW3934" t="str">
        <f t="shared" ref="BW3934:BW3940" si="2200">"14:58:42.701"</f>
        <v>14:58:42.701</v>
      </c>
      <c r="CJ3934">
        <v>0</v>
      </c>
      <c r="CK3934">
        <v>2</v>
      </c>
      <c r="CL3934">
        <v>0</v>
      </c>
      <c r="CM3934">
        <v>2</v>
      </c>
      <c r="CN3934">
        <v>0</v>
      </c>
      <c r="CO3934">
        <v>5</v>
      </c>
      <c r="CP3934" t="s">
        <v>119</v>
      </c>
      <c r="CQ3934">
        <v>285</v>
      </c>
      <c r="CR3934">
        <v>0</v>
      </c>
      <c r="CW3934">
        <v>8885879</v>
      </c>
      <c r="CY3934">
        <v>0</v>
      </c>
      <c r="CZ3934">
        <v>0</v>
      </c>
      <c r="DA3934">
        <v>0</v>
      </c>
      <c r="DB3934">
        <v>0</v>
      </c>
      <c r="DC3934">
        <v>0</v>
      </c>
      <c r="DD3934">
        <v>0</v>
      </c>
      <c r="DE3934">
        <v>0</v>
      </c>
      <c r="DF3934">
        <v>0</v>
      </c>
      <c r="DG3934">
        <v>0</v>
      </c>
      <c r="DH3934">
        <v>0</v>
      </c>
      <c r="DI3934">
        <v>0</v>
      </c>
    </row>
    <row r="3935" spans="1:113" x14ac:dyDescent="0.25">
      <c r="A3935" t="str">
        <f t="shared" si="2197"/>
        <v>06/05/2020 14:58:37.047</v>
      </c>
      <c r="C3935" t="str">
        <f t="shared" si="2166"/>
        <v>FFDFD3C0</v>
      </c>
      <c r="D3935" t="s">
        <v>151</v>
      </c>
      <c r="E3935">
        <v>8</v>
      </c>
      <c r="H3935">
        <v>225</v>
      </c>
      <c r="I3935" t="s">
        <v>353</v>
      </c>
      <c r="J3935" t="s">
        <v>150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 t="shared" si="2198"/>
        <v>14:58:42.695</v>
      </c>
      <c r="T3935" t="str">
        <f t="shared" si="2199"/>
        <v>14:58:42.395</v>
      </c>
      <c r="U3935" t="str">
        <f t="shared" si="2185"/>
        <v>ACC530</v>
      </c>
      <c r="V3935">
        <v>0</v>
      </c>
      <c r="W3935">
        <v>0</v>
      </c>
      <c r="X3935">
        <v>1</v>
      </c>
      <c r="Z3935">
        <v>0</v>
      </c>
      <c r="AA3935">
        <v>9</v>
      </c>
      <c r="AB3935">
        <v>3</v>
      </c>
      <c r="AC3935">
        <v>0</v>
      </c>
      <c r="AD3935">
        <v>9</v>
      </c>
      <c r="AE3935">
        <v>0</v>
      </c>
      <c r="AF3935">
        <v>3</v>
      </c>
      <c r="AG3935">
        <v>1</v>
      </c>
      <c r="AH3935">
        <v>0</v>
      </c>
      <c r="AI3935" t="s">
        <v>1260</v>
      </c>
      <c r="AJ3935">
        <v>34.058132000000001</v>
      </c>
      <c r="AK3935" t="s">
        <v>1261</v>
      </c>
      <c r="AL3935">
        <v>-117.017162</v>
      </c>
      <c r="AM3935">
        <v>100</v>
      </c>
      <c r="AN3935">
        <v>5300</v>
      </c>
      <c r="AO3935" t="s">
        <v>118</v>
      </c>
      <c r="AP3935">
        <v>70</v>
      </c>
      <c r="AQ3935">
        <v>-60</v>
      </c>
      <c r="AR3935">
        <v>128</v>
      </c>
      <c r="AZ3935">
        <v>1200</v>
      </c>
      <c r="BA3935">
        <v>1</v>
      </c>
      <c r="BB3935" t="str">
        <f t="shared" si="2187"/>
        <v xml:space="preserve">N9217B  </v>
      </c>
      <c r="BC3935">
        <v>1</v>
      </c>
      <c r="BE3935">
        <v>0</v>
      </c>
      <c r="BF3935">
        <v>0</v>
      </c>
      <c r="BG3935">
        <v>0</v>
      </c>
      <c r="BH3935">
        <v>5150</v>
      </c>
      <c r="BI3935">
        <v>1</v>
      </c>
      <c r="BJ3935">
        <v>0</v>
      </c>
      <c r="BK3935">
        <v>0</v>
      </c>
      <c r="BL3935">
        <v>0</v>
      </c>
      <c r="BO3935">
        <v>0</v>
      </c>
      <c r="BP3935">
        <v>0</v>
      </c>
      <c r="BW3935" t="str">
        <f t="shared" si="2200"/>
        <v>14:58:42.701</v>
      </c>
      <c r="CJ3935">
        <v>0</v>
      </c>
      <c r="CK3935">
        <v>2</v>
      </c>
      <c r="CL3935">
        <v>0</v>
      </c>
      <c r="CM3935">
        <v>2</v>
      </c>
      <c r="CN3935">
        <v>0</v>
      </c>
      <c r="CO3935">
        <v>5</v>
      </c>
      <c r="CP3935" t="s">
        <v>119</v>
      </c>
      <c r="CQ3935">
        <v>285</v>
      </c>
      <c r="CR3935">
        <v>0</v>
      </c>
      <c r="CW3935">
        <v>8885879</v>
      </c>
      <c r="CY3935">
        <v>0</v>
      </c>
      <c r="CZ3935">
        <v>0</v>
      </c>
      <c r="DA3935">
        <v>1</v>
      </c>
      <c r="DB3935">
        <v>0</v>
      </c>
      <c r="DC3935">
        <v>0</v>
      </c>
      <c r="DD3935">
        <v>0</v>
      </c>
      <c r="DE3935">
        <v>0</v>
      </c>
      <c r="DF3935">
        <v>0</v>
      </c>
      <c r="DG3935">
        <v>0</v>
      </c>
      <c r="DH3935">
        <v>0</v>
      </c>
      <c r="DI3935">
        <v>0</v>
      </c>
    </row>
    <row r="3936" spans="1:113" x14ac:dyDescent="0.25">
      <c r="A3936" t="str">
        <f t="shared" si="2197"/>
        <v>06/05/2020 14:58:37.047</v>
      </c>
      <c r="C3936" t="str">
        <f t="shared" si="2166"/>
        <v>FFDFD3C0</v>
      </c>
      <c r="D3936" t="s">
        <v>148</v>
      </c>
      <c r="E3936">
        <v>8</v>
      </c>
      <c r="H3936">
        <v>50</v>
      </c>
      <c r="I3936" t="s">
        <v>149</v>
      </c>
      <c r="J3936" t="s">
        <v>150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 t="shared" si="2198"/>
        <v>14:58:42.695</v>
      </c>
      <c r="T3936" t="str">
        <f t="shared" si="2199"/>
        <v>14:58:42.395</v>
      </c>
      <c r="U3936" t="str">
        <f t="shared" si="2185"/>
        <v>ACC530</v>
      </c>
      <c r="V3936">
        <v>0</v>
      </c>
      <c r="W3936">
        <v>0</v>
      </c>
      <c r="X3936">
        <v>1</v>
      </c>
      <c r="Z3936">
        <v>0</v>
      </c>
      <c r="AA3936">
        <v>9</v>
      </c>
      <c r="AB3936">
        <v>3</v>
      </c>
      <c r="AC3936">
        <v>0</v>
      </c>
      <c r="AD3936">
        <v>9</v>
      </c>
      <c r="AE3936">
        <v>0</v>
      </c>
      <c r="AF3936">
        <v>3</v>
      </c>
      <c r="AG3936">
        <v>1</v>
      </c>
      <c r="AH3936">
        <v>0</v>
      </c>
      <c r="AI3936" t="s">
        <v>1260</v>
      </c>
      <c r="AJ3936">
        <v>34.058132000000001</v>
      </c>
      <c r="AK3936" t="s">
        <v>1261</v>
      </c>
      <c r="AL3936">
        <v>-117.017162</v>
      </c>
      <c r="AM3936">
        <v>100</v>
      </c>
      <c r="AN3936">
        <v>5300</v>
      </c>
      <c r="AO3936" t="s">
        <v>118</v>
      </c>
      <c r="AP3936">
        <v>70</v>
      </c>
      <c r="AQ3936">
        <v>-60</v>
      </c>
      <c r="AR3936">
        <v>128</v>
      </c>
      <c r="AZ3936">
        <v>1200</v>
      </c>
      <c r="BA3936">
        <v>1</v>
      </c>
      <c r="BB3936" t="str">
        <f t="shared" si="2187"/>
        <v xml:space="preserve">N9217B  </v>
      </c>
      <c r="BC3936">
        <v>1</v>
      </c>
      <c r="BE3936">
        <v>0</v>
      </c>
      <c r="BF3936">
        <v>0</v>
      </c>
      <c r="BG3936">
        <v>0</v>
      </c>
      <c r="BH3936">
        <v>5150</v>
      </c>
      <c r="BI3936">
        <v>1</v>
      </c>
      <c r="BJ3936">
        <v>0</v>
      </c>
      <c r="BK3936">
        <v>0</v>
      </c>
      <c r="BL3936">
        <v>0</v>
      </c>
      <c r="BO3936">
        <v>0</v>
      </c>
      <c r="BP3936">
        <v>0</v>
      </c>
      <c r="BW3936" t="str">
        <f t="shared" si="2200"/>
        <v>14:58:42.701</v>
      </c>
      <c r="CJ3936">
        <v>0</v>
      </c>
      <c r="CK3936">
        <v>2</v>
      </c>
      <c r="CL3936">
        <v>0</v>
      </c>
      <c r="CM3936">
        <v>2</v>
      </c>
      <c r="CN3936">
        <v>0</v>
      </c>
      <c r="CO3936">
        <v>5</v>
      </c>
      <c r="CP3936" t="s">
        <v>119</v>
      </c>
      <c r="CQ3936">
        <v>285</v>
      </c>
      <c r="CR3936">
        <v>0</v>
      </c>
      <c r="CW3936">
        <v>8885879</v>
      </c>
      <c r="CY3936">
        <v>0</v>
      </c>
      <c r="CZ3936">
        <v>0</v>
      </c>
      <c r="DA3936">
        <v>1</v>
      </c>
      <c r="DB3936">
        <v>0</v>
      </c>
      <c r="DC3936">
        <v>0</v>
      </c>
      <c r="DD3936">
        <v>0</v>
      </c>
      <c r="DE3936">
        <v>0</v>
      </c>
      <c r="DF3936">
        <v>0</v>
      </c>
      <c r="DG3936">
        <v>0</v>
      </c>
      <c r="DH3936">
        <v>0</v>
      </c>
      <c r="DI3936">
        <v>0</v>
      </c>
    </row>
    <row r="3937" spans="1:113" x14ac:dyDescent="0.25">
      <c r="A3937" t="str">
        <f t="shared" si="2197"/>
        <v>06/05/2020 14:58:37.047</v>
      </c>
      <c r="C3937" t="str">
        <f t="shared" si="2166"/>
        <v>FFDFD3C0</v>
      </c>
      <c r="D3937" t="s">
        <v>141</v>
      </c>
      <c r="E3937">
        <v>20</v>
      </c>
      <c r="F3937">
        <v>1020</v>
      </c>
      <c r="G3937" t="s">
        <v>114</v>
      </c>
      <c r="J3937" t="s">
        <v>142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 t="shared" si="2198"/>
        <v>14:58:42.695</v>
      </c>
      <c r="T3937" t="str">
        <f t="shared" si="2199"/>
        <v>14:58:42.395</v>
      </c>
      <c r="U3937" t="str">
        <f t="shared" si="2185"/>
        <v>ACC530</v>
      </c>
      <c r="V3937">
        <v>0</v>
      </c>
      <c r="W3937">
        <v>0</v>
      </c>
      <c r="X3937">
        <v>1</v>
      </c>
      <c r="Z3937">
        <v>0</v>
      </c>
      <c r="AA3937">
        <v>9</v>
      </c>
      <c r="AB3937">
        <v>3</v>
      </c>
      <c r="AC3937">
        <v>0</v>
      </c>
      <c r="AD3937">
        <v>9</v>
      </c>
      <c r="AE3937">
        <v>0</v>
      </c>
      <c r="AF3937">
        <v>3</v>
      </c>
      <c r="AG3937">
        <v>1</v>
      </c>
      <c r="AH3937">
        <v>0</v>
      </c>
      <c r="AI3937" t="s">
        <v>1260</v>
      </c>
      <c r="AJ3937">
        <v>34.058132000000001</v>
      </c>
      <c r="AK3937" t="s">
        <v>1261</v>
      </c>
      <c r="AL3937">
        <v>-117.017162</v>
      </c>
      <c r="AM3937">
        <v>100</v>
      </c>
      <c r="AN3937">
        <v>5300</v>
      </c>
      <c r="AO3937" t="s">
        <v>118</v>
      </c>
      <c r="AP3937">
        <v>70</v>
      </c>
      <c r="AQ3937">
        <v>-60</v>
      </c>
      <c r="AR3937">
        <v>128</v>
      </c>
      <c r="AZ3937">
        <v>1200</v>
      </c>
      <c r="BA3937">
        <v>1</v>
      </c>
      <c r="BB3937" t="str">
        <f t="shared" si="2187"/>
        <v xml:space="preserve">N9217B  </v>
      </c>
      <c r="BC3937">
        <v>1</v>
      </c>
      <c r="BE3937">
        <v>0</v>
      </c>
      <c r="BF3937">
        <v>0</v>
      </c>
      <c r="BG3937">
        <v>0</v>
      </c>
      <c r="BH3937">
        <v>5150</v>
      </c>
      <c r="BI3937">
        <v>1</v>
      </c>
      <c r="BJ3937">
        <v>0</v>
      </c>
      <c r="BK3937">
        <v>0</v>
      </c>
      <c r="BL3937">
        <v>0</v>
      </c>
      <c r="BO3937">
        <v>0</v>
      </c>
      <c r="BP3937">
        <v>0</v>
      </c>
      <c r="BW3937" t="str">
        <f t="shared" si="2200"/>
        <v>14:58:42.701</v>
      </c>
      <c r="CJ3937">
        <v>0</v>
      </c>
      <c r="CK3937">
        <v>2</v>
      </c>
      <c r="CL3937">
        <v>0</v>
      </c>
      <c r="CM3937">
        <v>2</v>
      </c>
      <c r="CN3937">
        <v>0</v>
      </c>
      <c r="CO3937">
        <v>5</v>
      </c>
      <c r="CP3937" t="s">
        <v>119</v>
      </c>
      <c r="CQ3937">
        <v>285</v>
      </c>
      <c r="CR3937">
        <v>0</v>
      </c>
      <c r="CW3937">
        <v>8885879</v>
      </c>
      <c r="CY3937">
        <v>0</v>
      </c>
      <c r="CZ3937">
        <v>0</v>
      </c>
      <c r="DA3937">
        <v>1</v>
      </c>
      <c r="DB3937">
        <v>0</v>
      </c>
      <c r="DC3937">
        <v>0</v>
      </c>
      <c r="DD3937">
        <v>0</v>
      </c>
      <c r="DE3937">
        <v>0</v>
      </c>
      <c r="DF3937">
        <v>0</v>
      </c>
      <c r="DG3937">
        <v>0</v>
      </c>
      <c r="DH3937">
        <v>0</v>
      </c>
      <c r="DI3937">
        <v>0</v>
      </c>
    </row>
    <row r="3938" spans="1:113" x14ac:dyDescent="0.25">
      <c r="A3938" t="str">
        <f t="shared" si="2197"/>
        <v>06/05/2020 14:58:37.047</v>
      </c>
      <c r="C3938" t="str">
        <f t="shared" si="2166"/>
        <v>FFDFD3C0</v>
      </c>
      <c r="D3938" t="s">
        <v>151</v>
      </c>
      <c r="E3938">
        <v>9</v>
      </c>
      <c r="H3938">
        <v>226</v>
      </c>
      <c r="I3938" t="s">
        <v>152</v>
      </c>
      <c r="J3938" t="s">
        <v>150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 t="shared" si="2198"/>
        <v>14:58:42.695</v>
      </c>
      <c r="T3938" t="str">
        <f t="shared" si="2199"/>
        <v>14:58:42.395</v>
      </c>
      <c r="U3938" t="str">
        <f t="shared" si="2185"/>
        <v>ACC530</v>
      </c>
      <c r="V3938">
        <v>0</v>
      </c>
      <c r="W3938">
        <v>0</v>
      </c>
      <c r="X3938">
        <v>1</v>
      </c>
      <c r="Z3938">
        <v>0</v>
      </c>
      <c r="AA3938">
        <v>9</v>
      </c>
      <c r="AB3938">
        <v>3</v>
      </c>
      <c r="AC3938">
        <v>0</v>
      </c>
      <c r="AD3938">
        <v>9</v>
      </c>
      <c r="AE3938">
        <v>0</v>
      </c>
      <c r="AF3938">
        <v>3</v>
      </c>
      <c r="AG3938">
        <v>1</v>
      </c>
      <c r="AH3938">
        <v>0</v>
      </c>
      <c r="AI3938" t="s">
        <v>1260</v>
      </c>
      <c r="AJ3938">
        <v>34.058132000000001</v>
      </c>
      <c r="AK3938" t="s">
        <v>1261</v>
      </c>
      <c r="AL3938">
        <v>-117.017162</v>
      </c>
      <c r="AM3938">
        <v>100</v>
      </c>
      <c r="AN3938">
        <v>5300</v>
      </c>
      <c r="AO3938" t="s">
        <v>118</v>
      </c>
      <c r="AP3938">
        <v>70</v>
      </c>
      <c r="AQ3938">
        <v>-60</v>
      </c>
      <c r="AR3938">
        <v>128</v>
      </c>
      <c r="AZ3938">
        <v>1200</v>
      </c>
      <c r="BA3938">
        <v>1</v>
      </c>
      <c r="BB3938" t="str">
        <f t="shared" si="2187"/>
        <v xml:space="preserve">N9217B  </v>
      </c>
      <c r="BC3938">
        <v>1</v>
      </c>
      <c r="BE3938">
        <v>0</v>
      </c>
      <c r="BF3938">
        <v>0</v>
      </c>
      <c r="BG3938">
        <v>0</v>
      </c>
      <c r="BH3938">
        <v>5150</v>
      </c>
      <c r="BI3938">
        <v>1</v>
      </c>
      <c r="BJ3938">
        <v>0</v>
      </c>
      <c r="BK3938">
        <v>0</v>
      </c>
      <c r="BL3938">
        <v>0</v>
      </c>
      <c r="BO3938">
        <v>0</v>
      </c>
      <c r="BP3938">
        <v>0</v>
      </c>
      <c r="BW3938" t="str">
        <f t="shared" si="2200"/>
        <v>14:58:42.701</v>
      </c>
      <c r="CJ3938">
        <v>0</v>
      </c>
      <c r="CK3938">
        <v>2</v>
      </c>
      <c r="CL3938">
        <v>0</v>
      </c>
      <c r="CM3938">
        <v>2</v>
      </c>
      <c r="CN3938">
        <v>0</v>
      </c>
      <c r="CO3938">
        <v>5</v>
      </c>
      <c r="CP3938" t="s">
        <v>119</v>
      </c>
      <c r="CQ3938">
        <v>285</v>
      </c>
      <c r="CR3938">
        <v>0</v>
      </c>
      <c r="CW3938">
        <v>8885879</v>
      </c>
      <c r="CY3938">
        <v>0</v>
      </c>
      <c r="CZ3938">
        <v>0</v>
      </c>
      <c r="DA3938">
        <v>1</v>
      </c>
      <c r="DB3938">
        <v>0</v>
      </c>
      <c r="DC3938">
        <v>0</v>
      </c>
      <c r="DD3938">
        <v>0</v>
      </c>
      <c r="DE3938">
        <v>0</v>
      </c>
      <c r="DF3938">
        <v>0</v>
      </c>
      <c r="DG3938">
        <v>0</v>
      </c>
      <c r="DH3938">
        <v>0</v>
      </c>
      <c r="DI3938">
        <v>0</v>
      </c>
    </row>
    <row r="3939" spans="1:113" x14ac:dyDescent="0.25">
      <c r="A3939" t="str">
        <f t="shared" si="2197"/>
        <v>06/05/2020 14:58:37.047</v>
      </c>
      <c r="C3939" t="str">
        <f t="shared" ref="C3939:C4002" si="2201">"FFDFD3C0"</f>
        <v>FFDFD3C0</v>
      </c>
      <c r="D3939" t="s">
        <v>148</v>
      </c>
      <c r="E3939">
        <v>11</v>
      </c>
      <c r="H3939">
        <v>53</v>
      </c>
      <c r="I3939" t="s">
        <v>364</v>
      </c>
      <c r="J3939" t="s">
        <v>150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 t="shared" si="2198"/>
        <v>14:58:42.695</v>
      </c>
      <c r="T3939" t="str">
        <f t="shared" si="2199"/>
        <v>14:58:42.395</v>
      </c>
      <c r="U3939" t="str">
        <f t="shared" si="2185"/>
        <v>ACC530</v>
      </c>
      <c r="V3939">
        <v>0</v>
      </c>
      <c r="W3939">
        <v>0</v>
      </c>
      <c r="X3939">
        <v>1</v>
      </c>
      <c r="Z3939">
        <v>0</v>
      </c>
      <c r="AA3939">
        <v>9</v>
      </c>
      <c r="AB3939">
        <v>3</v>
      </c>
      <c r="AC3939">
        <v>0</v>
      </c>
      <c r="AD3939">
        <v>9</v>
      </c>
      <c r="AE3939">
        <v>0</v>
      </c>
      <c r="AF3939">
        <v>3</v>
      </c>
      <c r="AG3939">
        <v>1</v>
      </c>
      <c r="AH3939">
        <v>0</v>
      </c>
      <c r="AI3939" t="s">
        <v>1260</v>
      </c>
      <c r="AJ3939">
        <v>34.058132000000001</v>
      </c>
      <c r="AK3939" t="s">
        <v>1261</v>
      </c>
      <c r="AL3939">
        <v>-117.017162</v>
      </c>
      <c r="AM3939">
        <v>100</v>
      </c>
      <c r="AN3939">
        <v>5300</v>
      </c>
      <c r="AO3939" t="s">
        <v>118</v>
      </c>
      <c r="AP3939">
        <v>70</v>
      </c>
      <c r="AQ3939">
        <v>-60</v>
      </c>
      <c r="AR3939">
        <v>128</v>
      </c>
      <c r="AZ3939">
        <v>1200</v>
      </c>
      <c r="BA3939">
        <v>1</v>
      </c>
      <c r="BB3939" t="str">
        <f t="shared" si="2187"/>
        <v xml:space="preserve">N9217B  </v>
      </c>
      <c r="BC3939">
        <v>1</v>
      </c>
      <c r="BE3939">
        <v>0</v>
      </c>
      <c r="BF3939">
        <v>0</v>
      </c>
      <c r="BG3939">
        <v>0</v>
      </c>
      <c r="BH3939">
        <v>5150</v>
      </c>
      <c r="BI3939">
        <v>1</v>
      </c>
      <c r="BJ3939">
        <v>0</v>
      </c>
      <c r="BK3939">
        <v>0</v>
      </c>
      <c r="BL3939">
        <v>0</v>
      </c>
      <c r="BO3939">
        <v>0</v>
      </c>
      <c r="BP3939">
        <v>0</v>
      </c>
      <c r="BW3939" t="str">
        <f t="shared" si="2200"/>
        <v>14:58:42.701</v>
      </c>
      <c r="CJ3939">
        <v>0</v>
      </c>
      <c r="CK3939">
        <v>2</v>
      </c>
      <c r="CL3939">
        <v>0</v>
      </c>
      <c r="CM3939">
        <v>2</v>
      </c>
      <c r="CN3939">
        <v>0</v>
      </c>
      <c r="CO3939">
        <v>5</v>
      </c>
      <c r="CP3939" t="s">
        <v>119</v>
      </c>
      <c r="CQ3939">
        <v>285</v>
      </c>
      <c r="CR3939">
        <v>0</v>
      </c>
      <c r="CW3939">
        <v>8885879</v>
      </c>
      <c r="CY3939">
        <v>0</v>
      </c>
      <c r="CZ3939">
        <v>0</v>
      </c>
      <c r="DA3939">
        <v>1</v>
      </c>
      <c r="DB3939">
        <v>0</v>
      </c>
      <c r="DC3939">
        <v>0</v>
      </c>
      <c r="DD3939">
        <v>0</v>
      </c>
      <c r="DE3939">
        <v>0</v>
      </c>
      <c r="DF3939">
        <v>0</v>
      </c>
      <c r="DG3939">
        <v>0</v>
      </c>
      <c r="DH3939">
        <v>0</v>
      </c>
      <c r="DI3939">
        <v>0</v>
      </c>
    </row>
    <row r="3940" spans="1:113" x14ac:dyDescent="0.25">
      <c r="A3940" t="str">
        <f t="shared" si="2197"/>
        <v>06/05/2020 14:58:37.047</v>
      </c>
      <c r="C3940" t="str">
        <f t="shared" si="2201"/>
        <v>FFDFD3C0</v>
      </c>
      <c r="D3940" t="s">
        <v>134</v>
      </c>
      <c r="E3940">
        <v>7</v>
      </c>
      <c r="F3940">
        <v>2007</v>
      </c>
      <c r="G3940" t="s">
        <v>135</v>
      </c>
      <c r="J3940" t="s">
        <v>136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 t="shared" si="2198"/>
        <v>14:58:42.695</v>
      </c>
      <c r="T3940" t="str">
        <f t="shared" si="2199"/>
        <v>14:58:42.395</v>
      </c>
      <c r="U3940" t="str">
        <f t="shared" si="2185"/>
        <v>ACC530</v>
      </c>
      <c r="V3940">
        <v>0</v>
      </c>
      <c r="W3940">
        <v>0</v>
      </c>
      <c r="X3940">
        <v>1</v>
      </c>
      <c r="Z3940">
        <v>0</v>
      </c>
      <c r="AA3940">
        <v>9</v>
      </c>
      <c r="AB3940">
        <v>3</v>
      </c>
      <c r="AC3940">
        <v>0</v>
      </c>
      <c r="AD3940">
        <v>9</v>
      </c>
      <c r="AE3940">
        <v>0</v>
      </c>
      <c r="AF3940">
        <v>3</v>
      </c>
      <c r="AG3940">
        <v>1</v>
      </c>
      <c r="AH3940">
        <v>0</v>
      </c>
      <c r="AI3940" t="s">
        <v>1260</v>
      </c>
      <c r="AJ3940">
        <v>34.058132000000001</v>
      </c>
      <c r="AK3940" t="s">
        <v>1261</v>
      </c>
      <c r="AL3940">
        <v>-117.017162</v>
      </c>
      <c r="AM3940">
        <v>100</v>
      </c>
      <c r="AN3940">
        <v>5300</v>
      </c>
      <c r="AO3940" t="s">
        <v>118</v>
      </c>
      <c r="AP3940">
        <v>70</v>
      </c>
      <c r="AQ3940">
        <v>-60</v>
      </c>
      <c r="AR3940">
        <v>128</v>
      </c>
      <c r="AZ3940">
        <v>1200</v>
      </c>
      <c r="BA3940">
        <v>1</v>
      </c>
      <c r="BB3940" t="str">
        <f t="shared" si="2187"/>
        <v xml:space="preserve">N9217B  </v>
      </c>
      <c r="BC3940">
        <v>1</v>
      </c>
      <c r="BE3940">
        <v>0</v>
      </c>
      <c r="BF3940">
        <v>0</v>
      </c>
      <c r="BG3940">
        <v>0</v>
      </c>
      <c r="BH3940">
        <v>5150</v>
      </c>
      <c r="BI3940">
        <v>1</v>
      </c>
      <c r="BJ3940">
        <v>0</v>
      </c>
      <c r="BK3940">
        <v>0</v>
      </c>
      <c r="BL3940">
        <v>0</v>
      </c>
      <c r="BO3940">
        <v>0</v>
      </c>
      <c r="BP3940">
        <v>0</v>
      </c>
      <c r="BW3940" t="str">
        <f t="shared" si="2200"/>
        <v>14:58:42.701</v>
      </c>
      <c r="CJ3940">
        <v>0</v>
      </c>
      <c r="CK3940">
        <v>2</v>
      </c>
      <c r="CL3940">
        <v>0</v>
      </c>
      <c r="CM3940">
        <v>2</v>
      </c>
      <c r="CN3940">
        <v>0</v>
      </c>
      <c r="CO3940">
        <v>5</v>
      </c>
      <c r="CP3940" t="s">
        <v>119</v>
      </c>
      <c r="CQ3940">
        <v>285</v>
      </c>
      <c r="CR3940">
        <v>0</v>
      </c>
      <c r="CW3940">
        <v>8885879</v>
      </c>
      <c r="CY3940">
        <v>0</v>
      </c>
      <c r="CZ3940">
        <v>0</v>
      </c>
      <c r="DA3940">
        <v>1</v>
      </c>
      <c r="DB3940">
        <v>0</v>
      </c>
      <c r="DC3940">
        <v>0</v>
      </c>
      <c r="DD3940">
        <v>0</v>
      </c>
      <c r="DE3940">
        <v>0</v>
      </c>
      <c r="DF3940">
        <v>0</v>
      </c>
      <c r="DG3940">
        <v>0</v>
      </c>
      <c r="DH3940">
        <v>0</v>
      </c>
      <c r="DI3940">
        <v>0</v>
      </c>
    </row>
    <row r="3941" spans="1:113" x14ac:dyDescent="0.25">
      <c r="A3941" t="str">
        <f t="shared" ref="A3941:A3947" si="2202">"06/05/2020 14:58:37.961"</f>
        <v>06/05/2020 14:58:37.961</v>
      </c>
      <c r="C3941" t="str">
        <f t="shared" si="2201"/>
        <v>FFDFD3C0</v>
      </c>
      <c r="D3941" t="s">
        <v>151</v>
      </c>
      <c r="E3941">
        <v>8</v>
      </c>
      <c r="H3941">
        <v>225</v>
      </c>
      <c r="I3941" t="s">
        <v>353</v>
      </c>
      <c r="J3941" t="s">
        <v>150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 t="shared" ref="S3941:S3947" si="2203">"14:58:43.625"</f>
        <v>14:58:43.625</v>
      </c>
      <c r="T3941" t="str">
        <f t="shared" ref="T3941:T3947" si="2204">"14:58:43.225"</f>
        <v>14:58:43.225</v>
      </c>
      <c r="U3941" t="str">
        <f t="shared" si="2185"/>
        <v>ACC530</v>
      </c>
      <c r="V3941">
        <v>0</v>
      </c>
      <c r="W3941">
        <v>0</v>
      </c>
      <c r="X3941">
        <v>1</v>
      </c>
      <c r="Z3941">
        <v>0</v>
      </c>
      <c r="AA3941">
        <v>9</v>
      </c>
      <c r="AB3941">
        <v>3</v>
      </c>
      <c r="AC3941">
        <v>0</v>
      </c>
      <c r="AD3941">
        <v>9</v>
      </c>
      <c r="AE3941">
        <v>0</v>
      </c>
      <c r="AF3941">
        <v>3</v>
      </c>
      <c r="AG3941">
        <v>1</v>
      </c>
      <c r="AH3941">
        <v>0</v>
      </c>
      <c r="AI3941" t="s">
        <v>1262</v>
      </c>
      <c r="AJ3941">
        <v>34.057896</v>
      </c>
      <c r="AK3941" t="s">
        <v>1192</v>
      </c>
      <c r="AL3941">
        <v>-117.016733</v>
      </c>
      <c r="AM3941">
        <v>100</v>
      </c>
      <c r="AN3941">
        <v>5300</v>
      </c>
      <c r="AO3941" t="s">
        <v>118</v>
      </c>
      <c r="AP3941">
        <v>77</v>
      </c>
      <c r="AQ3941">
        <v>-52</v>
      </c>
      <c r="AR3941">
        <v>448</v>
      </c>
      <c r="AZ3941">
        <v>1200</v>
      </c>
      <c r="BA3941">
        <v>1</v>
      </c>
      <c r="BB3941" t="str">
        <f t="shared" si="2187"/>
        <v xml:space="preserve">N9217B  </v>
      </c>
      <c r="BC3941">
        <v>1</v>
      </c>
      <c r="BE3941">
        <v>0</v>
      </c>
      <c r="BF3941">
        <v>0</v>
      </c>
      <c r="BG3941">
        <v>0</v>
      </c>
      <c r="BH3941">
        <v>5175</v>
      </c>
      <c r="BI3941">
        <v>1</v>
      </c>
      <c r="BJ3941">
        <v>0</v>
      </c>
      <c r="BK3941">
        <v>0</v>
      </c>
      <c r="BL3941">
        <v>0</v>
      </c>
      <c r="BO3941">
        <v>0</v>
      </c>
      <c r="BP3941">
        <v>0</v>
      </c>
      <c r="BW3941" t="str">
        <f t="shared" ref="BW3941:BW3947" si="2205">"14:58:43.631"</f>
        <v>14:58:43.631</v>
      </c>
      <c r="CJ3941">
        <v>0</v>
      </c>
      <c r="CK3941">
        <v>2</v>
      </c>
      <c r="CL3941">
        <v>0</v>
      </c>
      <c r="CM3941">
        <v>2</v>
      </c>
      <c r="CN3941">
        <v>0</v>
      </c>
      <c r="CO3941">
        <v>5</v>
      </c>
      <c r="CP3941" t="s">
        <v>119</v>
      </c>
      <c r="CQ3941">
        <v>285</v>
      </c>
      <c r="CR3941">
        <v>0</v>
      </c>
      <c r="CW3941">
        <v>8885967</v>
      </c>
      <c r="CY3941">
        <v>0</v>
      </c>
      <c r="CZ3941">
        <v>0</v>
      </c>
      <c r="DA3941">
        <v>0</v>
      </c>
      <c r="DB3941">
        <v>0</v>
      </c>
      <c r="DC3941">
        <v>0</v>
      </c>
      <c r="DD3941">
        <v>0</v>
      </c>
      <c r="DE3941">
        <v>0</v>
      </c>
      <c r="DF3941">
        <v>0</v>
      </c>
      <c r="DG3941">
        <v>0</v>
      </c>
      <c r="DH3941">
        <v>0</v>
      </c>
      <c r="DI3941">
        <v>0</v>
      </c>
    </row>
    <row r="3942" spans="1:113" x14ac:dyDescent="0.25">
      <c r="A3942" t="str">
        <f t="shared" si="2202"/>
        <v>06/05/2020 14:58:37.961</v>
      </c>
      <c r="C3942" t="str">
        <f t="shared" si="2201"/>
        <v>FFDFD3C0</v>
      </c>
      <c r="D3942" t="s">
        <v>141</v>
      </c>
      <c r="E3942">
        <v>20</v>
      </c>
      <c r="F3942">
        <v>1020</v>
      </c>
      <c r="G3942" t="s">
        <v>114</v>
      </c>
      <c r="J3942" t="s">
        <v>142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 t="shared" si="2203"/>
        <v>14:58:43.625</v>
      </c>
      <c r="T3942" t="str">
        <f t="shared" si="2204"/>
        <v>14:58:43.225</v>
      </c>
      <c r="U3942" t="str">
        <f t="shared" si="2185"/>
        <v>ACC530</v>
      </c>
      <c r="V3942">
        <v>0</v>
      </c>
      <c r="W3942">
        <v>0</v>
      </c>
      <c r="X3942">
        <v>1</v>
      </c>
      <c r="Z3942">
        <v>0</v>
      </c>
      <c r="AA3942">
        <v>9</v>
      </c>
      <c r="AB3942">
        <v>3</v>
      </c>
      <c r="AC3942">
        <v>0</v>
      </c>
      <c r="AD3942">
        <v>9</v>
      </c>
      <c r="AE3942">
        <v>0</v>
      </c>
      <c r="AF3942">
        <v>3</v>
      </c>
      <c r="AG3942">
        <v>1</v>
      </c>
      <c r="AH3942">
        <v>0</v>
      </c>
      <c r="AI3942" t="s">
        <v>1262</v>
      </c>
      <c r="AJ3942">
        <v>34.057896</v>
      </c>
      <c r="AK3942" t="s">
        <v>1192</v>
      </c>
      <c r="AL3942">
        <v>-117.016733</v>
      </c>
      <c r="AM3942">
        <v>100</v>
      </c>
      <c r="AN3942">
        <v>5300</v>
      </c>
      <c r="AO3942" t="s">
        <v>118</v>
      </c>
      <c r="AP3942">
        <v>77</v>
      </c>
      <c r="AQ3942">
        <v>-52</v>
      </c>
      <c r="AR3942">
        <v>448</v>
      </c>
      <c r="AZ3942">
        <v>1200</v>
      </c>
      <c r="BA3942">
        <v>1</v>
      </c>
      <c r="BB3942" t="str">
        <f t="shared" si="2187"/>
        <v xml:space="preserve">N9217B  </v>
      </c>
      <c r="BC3942">
        <v>1</v>
      </c>
      <c r="BE3942">
        <v>0</v>
      </c>
      <c r="BF3942">
        <v>0</v>
      </c>
      <c r="BG3942">
        <v>0</v>
      </c>
      <c r="BH3942">
        <v>5175</v>
      </c>
      <c r="BI3942">
        <v>1</v>
      </c>
      <c r="BJ3942">
        <v>0</v>
      </c>
      <c r="BK3942">
        <v>0</v>
      </c>
      <c r="BL3942">
        <v>0</v>
      </c>
      <c r="BO3942">
        <v>0</v>
      </c>
      <c r="BP3942">
        <v>0</v>
      </c>
      <c r="BW3942" t="str">
        <f t="shared" si="2205"/>
        <v>14:58:43.631</v>
      </c>
      <c r="CJ3942">
        <v>0</v>
      </c>
      <c r="CK3942">
        <v>2</v>
      </c>
      <c r="CL3942">
        <v>0</v>
      </c>
      <c r="CM3942">
        <v>2</v>
      </c>
      <c r="CN3942">
        <v>0</v>
      </c>
      <c r="CO3942">
        <v>5</v>
      </c>
      <c r="CP3942" t="s">
        <v>119</v>
      </c>
      <c r="CQ3942">
        <v>285</v>
      </c>
      <c r="CR3942">
        <v>0</v>
      </c>
      <c r="CW3942">
        <v>8885967</v>
      </c>
      <c r="CY3942">
        <v>0</v>
      </c>
      <c r="CZ3942">
        <v>0</v>
      </c>
      <c r="DA3942">
        <v>1</v>
      </c>
      <c r="DB3942">
        <v>0</v>
      </c>
      <c r="DC3942">
        <v>0</v>
      </c>
      <c r="DD3942">
        <v>0</v>
      </c>
      <c r="DE3942">
        <v>0</v>
      </c>
      <c r="DF3942">
        <v>0</v>
      </c>
      <c r="DG3942">
        <v>0</v>
      </c>
      <c r="DH3942">
        <v>0</v>
      </c>
      <c r="DI3942">
        <v>0</v>
      </c>
    </row>
    <row r="3943" spans="1:113" x14ac:dyDescent="0.25">
      <c r="A3943" t="str">
        <f t="shared" si="2202"/>
        <v>06/05/2020 14:58:37.961</v>
      </c>
      <c r="C3943" t="str">
        <f t="shared" si="2201"/>
        <v>FFDFD3C0</v>
      </c>
      <c r="D3943" t="s">
        <v>148</v>
      </c>
      <c r="E3943">
        <v>8</v>
      </c>
      <c r="H3943">
        <v>50</v>
      </c>
      <c r="I3943" t="s">
        <v>149</v>
      </c>
      <c r="J3943" t="s">
        <v>150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 t="shared" si="2203"/>
        <v>14:58:43.625</v>
      </c>
      <c r="T3943" t="str">
        <f t="shared" si="2204"/>
        <v>14:58:43.225</v>
      </c>
      <c r="U3943" t="str">
        <f t="shared" si="2185"/>
        <v>ACC530</v>
      </c>
      <c r="V3943">
        <v>0</v>
      </c>
      <c r="W3943">
        <v>0</v>
      </c>
      <c r="X3943">
        <v>1</v>
      </c>
      <c r="Z3943">
        <v>0</v>
      </c>
      <c r="AA3943">
        <v>9</v>
      </c>
      <c r="AB3943">
        <v>3</v>
      </c>
      <c r="AC3943">
        <v>0</v>
      </c>
      <c r="AD3943">
        <v>9</v>
      </c>
      <c r="AE3943">
        <v>0</v>
      </c>
      <c r="AF3943">
        <v>3</v>
      </c>
      <c r="AG3943">
        <v>1</v>
      </c>
      <c r="AH3943">
        <v>0</v>
      </c>
      <c r="AI3943" t="s">
        <v>1262</v>
      </c>
      <c r="AJ3943">
        <v>34.057896</v>
      </c>
      <c r="AK3943" t="s">
        <v>1192</v>
      </c>
      <c r="AL3943">
        <v>-117.016733</v>
      </c>
      <c r="AM3943">
        <v>100</v>
      </c>
      <c r="AN3943">
        <v>5300</v>
      </c>
      <c r="AO3943" t="s">
        <v>118</v>
      </c>
      <c r="AP3943">
        <v>77</v>
      </c>
      <c r="AQ3943">
        <v>-52</v>
      </c>
      <c r="AR3943">
        <v>448</v>
      </c>
      <c r="AZ3943">
        <v>1200</v>
      </c>
      <c r="BA3943">
        <v>1</v>
      </c>
      <c r="BB3943" t="str">
        <f t="shared" si="2187"/>
        <v xml:space="preserve">N9217B  </v>
      </c>
      <c r="BC3943">
        <v>1</v>
      </c>
      <c r="BE3943">
        <v>0</v>
      </c>
      <c r="BF3943">
        <v>0</v>
      </c>
      <c r="BG3943">
        <v>0</v>
      </c>
      <c r="BH3943">
        <v>5175</v>
      </c>
      <c r="BI3943">
        <v>1</v>
      </c>
      <c r="BJ3943">
        <v>0</v>
      </c>
      <c r="BK3943">
        <v>0</v>
      </c>
      <c r="BL3943">
        <v>0</v>
      </c>
      <c r="BO3943">
        <v>0</v>
      </c>
      <c r="BP3943">
        <v>0</v>
      </c>
      <c r="BW3943" t="str">
        <f t="shared" si="2205"/>
        <v>14:58:43.631</v>
      </c>
      <c r="CJ3943">
        <v>0</v>
      </c>
      <c r="CK3943">
        <v>2</v>
      </c>
      <c r="CL3943">
        <v>0</v>
      </c>
      <c r="CM3943">
        <v>2</v>
      </c>
      <c r="CN3943">
        <v>0</v>
      </c>
      <c r="CO3943">
        <v>5</v>
      </c>
      <c r="CP3943" t="s">
        <v>119</v>
      </c>
      <c r="CQ3943">
        <v>285</v>
      </c>
      <c r="CR3943">
        <v>0</v>
      </c>
      <c r="CW3943">
        <v>8885967</v>
      </c>
      <c r="CY3943">
        <v>0</v>
      </c>
      <c r="CZ3943">
        <v>0</v>
      </c>
      <c r="DA3943">
        <v>1</v>
      </c>
      <c r="DB3943">
        <v>0</v>
      </c>
      <c r="DC3943">
        <v>0</v>
      </c>
      <c r="DD3943">
        <v>0</v>
      </c>
      <c r="DE3943">
        <v>0</v>
      </c>
      <c r="DF3943">
        <v>0</v>
      </c>
      <c r="DG3943">
        <v>0</v>
      </c>
      <c r="DH3943">
        <v>0</v>
      </c>
      <c r="DI3943">
        <v>0</v>
      </c>
    </row>
    <row r="3944" spans="1:113" x14ac:dyDescent="0.25">
      <c r="A3944" t="str">
        <f t="shared" si="2202"/>
        <v>06/05/2020 14:58:37.961</v>
      </c>
      <c r="C3944" t="str">
        <f t="shared" si="2201"/>
        <v>FFDFD3C0</v>
      </c>
      <c r="D3944" t="s">
        <v>151</v>
      </c>
      <c r="E3944">
        <v>9</v>
      </c>
      <c r="H3944">
        <v>226</v>
      </c>
      <c r="I3944" t="s">
        <v>152</v>
      </c>
      <c r="J3944" t="s">
        <v>150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 t="shared" si="2203"/>
        <v>14:58:43.625</v>
      </c>
      <c r="T3944" t="str">
        <f t="shared" si="2204"/>
        <v>14:58:43.225</v>
      </c>
      <c r="U3944" t="str">
        <f t="shared" si="2185"/>
        <v>ACC530</v>
      </c>
      <c r="V3944">
        <v>0</v>
      </c>
      <c r="W3944">
        <v>0</v>
      </c>
      <c r="X3944">
        <v>1</v>
      </c>
      <c r="Z3944">
        <v>0</v>
      </c>
      <c r="AA3944">
        <v>9</v>
      </c>
      <c r="AB3944">
        <v>3</v>
      </c>
      <c r="AC3944">
        <v>0</v>
      </c>
      <c r="AD3944">
        <v>9</v>
      </c>
      <c r="AE3944">
        <v>0</v>
      </c>
      <c r="AF3944">
        <v>3</v>
      </c>
      <c r="AG3944">
        <v>1</v>
      </c>
      <c r="AH3944">
        <v>0</v>
      </c>
      <c r="AI3944" t="s">
        <v>1262</v>
      </c>
      <c r="AJ3944">
        <v>34.057896</v>
      </c>
      <c r="AK3944" t="s">
        <v>1192</v>
      </c>
      <c r="AL3944">
        <v>-117.016733</v>
      </c>
      <c r="AM3944">
        <v>100</v>
      </c>
      <c r="AN3944">
        <v>5300</v>
      </c>
      <c r="AO3944" t="s">
        <v>118</v>
      </c>
      <c r="AP3944">
        <v>77</v>
      </c>
      <c r="AQ3944">
        <v>-52</v>
      </c>
      <c r="AR3944">
        <v>448</v>
      </c>
      <c r="AZ3944">
        <v>1200</v>
      </c>
      <c r="BA3944">
        <v>1</v>
      </c>
      <c r="BB3944" t="str">
        <f t="shared" si="2187"/>
        <v xml:space="preserve">N9217B  </v>
      </c>
      <c r="BC3944">
        <v>1</v>
      </c>
      <c r="BE3944">
        <v>0</v>
      </c>
      <c r="BF3944">
        <v>0</v>
      </c>
      <c r="BG3944">
        <v>0</v>
      </c>
      <c r="BH3944">
        <v>5175</v>
      </c>
      <c r="BI3944">
        <v>1</v>
      </c>
      <c r="BJ3944">
        <v>0</v>
      </c>
      <c r="BK3944">
        <v>0</v>
      </c>
      <c r="BL3944">
        <v>0</v>
      </c>
      <c r="BO3944">
        <v>0</v>
      </c>
      <c r="BP3944">
        <v>0</v>
      </c>
      <c r="BW3944" t="str">
        <f t="shared" si="2205"/>
        <v>14:58:43.631</v>
      </c>
      <c r="CJ3944">
        <v>0</v>
      </c>
      <c r="CK3944">
        <v>2</v>
      </c>
      <c r="CL3944">
        <v>0</v>
      </c>
      <c r="CM3944">
        <v>2</v>
      </c>
      <c r="CN3944">
        <v>0</v>
      </c>
      <c r="CO3944">
        <v>5</v>
      </c>
      <c r="CP3944" t="s">
        <v>119</v>
      </c>
      <c r="CQ3944">
        <v>285</v>
      </c>
      <c r="CR3944">
        <v>0</v>
      </c>
      <c r="CW3944">
        <v>8885967</v>
      </c>
      <c r="CY3944">
        <v>0</v>
      </c>
      <c r="CZ3944">
        <v>0</v>
      </c>
      <c r="DA3944">
        <v>1</v>
      </c>
      <c r="DB3944">
        <v>0</v>
      </c>
      <c r="DC3944">
        <v>0</v>
      </c>
      <c r="DD3944">
        <v>0</v>
      </c>
      <c r="DE3944">
        <v>0</v>
      </c>
      <c r="DF3944">
        <v>0</v>
      </c>
      <c r="DG3944">
        <v>0</v>
      </c>
      <c r="DH3944">
        <v>0</v>
      </c>
      <c r="DI3944">
        <v>0</v>
      </c>
    </row>
    <row r="3945" spans="1:113" x14ac:dyDescent="0.25">
      <c r="A3945" t="str">
        <f t="shared" si="2202"/>
        <v>06/05/2020 14:58:37.961</v>
      </c>
      <c r="C3945" t="str">
        <f t="shared" si="2201"/>
        <v>FFDFD3C0</v>
      </c>
      <c r="D3945" t="s">
        <v>148</v>
      </c>
      <c r="E3945">
        <v>11</v>
      </c>
      <c r="H3945">
        <v>53</v>
      </c>
      <c r="I3945" t="s">
        <v>364</v>
      </c>
      <c r="J3945" t="s">
        <v>150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 t="shared" si="2203"/>
        <v>14:58:43.625</v>
      </c>
      <c r="T3945" t="str">
        <f t="shared" si="2204"/>
        <v>14:58:43.225</v>
      </c>
      <c r="U3945" t="str">
        <f t="shared" si="2185"/>
        <v>ACC530</v>
      </c>
      <c r="V3945">
        <v>0</v>
      </c>
      <c r="W3945">
        <v>0</v>
      </c>
      <c r="X3945">
        <v>1</v>
      </c>
      <c r="Z3945">
        <v>0</v>
      </c>
      <c r="AA3945">
        <v>9</v>
      </c>
      <c r="AB3945">
        <v>3</v>
      </c>
      <c r="AC3945">
        <v>0</v>
      </c>
      <c r="AD3945">
        <v>9</v>
      </c>
      <c r="AE3945">
        <v>0</v>
      </c>
      <c r="AF3945">
        <v>3</v>
      </c>
      <c r="AG3945">
        <v>1</v>
      </c>
      <c r="AH3945">
        <v>0</v>
      </c>
      <c r="AI3945" t="s">
        <v>1262</v>
      </c>
      <c r="AJ3945">
        <v>34.057896</v>
      </c>
      <c r="AK3945" t="s">
        <v>1192</v>
      </c>
      <c r="AL3945">
        <v>-117.016733</v>
      </c>
      <c r="AM3945">
        <v>100</v>
      </c>
      <c r="AN3945">
        <v>5300</v>
      </c>
      <c r="AO3945" t="s">
        <v>118</v>
      </c>
      <c r="AP3945">
        <v>77</v>
      </c>
      <c r="AQ3945">
        <v>-52</v>
      </c>
      <c r="AR3945">
        <v>448</v>
      </c>
      <c r="AZ3945">
        <v>1200</v>
      </c>
      <c r="BA3945">
        <v>1</v>
      </c>
      <c r="BB3945" t="str">
        <f t="shared" si="2187"/>
        <v xml:space="preserve">N9217B  </v>
      </c>
      <c r="BC3945">
        <v>1</v>
      </c>
      <c r="BE3945">
        <v>0</v>
      </c>
      <c r="BF3945">
        <v>0</v>
      </c>
      <c r="BG3945">
        <v>0</v>
      </c>
      <c r="BH3945">
        <v>5175</v>
      </c>
      <c r="BI3945">
        <v>1</v>
      </c>
      <c r="BJ3945">
        <v>0</v>
      </c>
      <c r="BK3945">
        <v>0</v>
      </c>
      <c r="BL3945">
        <v>0</v>
      </c>
      <c r="BO3945">
        <v>0</v>
      </c>
      <c r="BP3945">
        <v>0</v>
      </c>
      <c r="BW3945" t="str">
        <f t="shared" si="2205"/>
        <v>14:58:43.631</v>
      </c>
      <c r="CJ3945">
        <v>0</v>
      </c>
      <c r="CK3945">
        <v>2</v>
      </c>
      <c r="CL3945">
        <v>0</v>
      </c>
      <c r="CM3945">
        <v>2</v>
      </c>
      <c r="CN3945">
        <v>0</v>
      </c>
      <c r="CO3945">
        <v>5</v>
      </c>
      <c r="CP3945" t="s">
        <v>119</v>
      </c>
      <c r="CQ3945">
        <v>285</v>
      </c>
      <c r="CR3945">
        <v>0</v>
      </c>
      <c r="CW3945">
        <v>8885967</v>
      </c>
      <c r="CY3945">
        <v>0</v>
      </c>
      <c r="CZ3945">
        <v>0</v>
      </c>
      <c r="DA3945">
        <v>1</v>
      </c>
      <c r="DB3945">
        <v>0</v>
      </c>
      <c r="DC3945">
        <v>0</v>
      </c>
      <c r="DD3945">
        <v>0</v>
      </c>
      <c r="DE3945">
        <v>0</v>
      </c>
      <c r="DF3945">
        <v>0</v>
      </c>
      <c r="DG3945">
        <v>0</v>
      </c>
      <c r="DH3945">
        <v>0</v>
      </c>
      <c r="DI3945">
        <v>0</v>
      </c>
    </row>
    <row r="3946" spans="1:113" x14ac:dyDescent="0.25">
      <c r="A3946" t="str">
        <f t="shared" si="2202"/>
        <v>06/05/2020 14:58:37.961</v>
      </c>
      <c r="C3946" t="str">
        <f t="shared" si="2201"/>
        <v>FFDFD3C0</v>
      </c>
      <c r="D3946" t="s">
        <v>134</v>
      </c>
      <c r="E3946">
        <v>7</v>
      </c>
      <c r="F3946">
        <v>2007</v>
      </c>
      <c r="G3946" t="s">
        <v>135</v>
      </c>
      <c r="J3946" t="s">
        <v>136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 t="shared" si="2203"/>
        <v>14:58:43.625</v>
      </c>
      <c r="T3946" t="str">
        <f t="shared" si="2204"/>
        <v>14:58:43.225</v>
      </c>
      <c r="U3946" t="str">
        <f t="shared" si="2185"/>
        <v>ACC530</v>
      </c>
      <c r="V3946">
        <v>0</v>
      </c>
      <c r="W3946">
        <v>0</v>
      </c>
      <c r="X3946">
        <v>1</v>
      </c>
      <c r="Z3946">
        <v>0</v>
      </c>
      <c r="AA3946">
        <v>9</v>
      </c>
      <c r="AB3946">
        <v>3</v>
      </c>
      <c r="AC3946">
        <v>0</v>
      </c>
      <c r="AD3946">
        <v>9</v>
      </c>
      <c r="AE3946">
        <v>0</v>
      </c>
      <c r="AF3946">
        <v>3</v>
      </c>
      <c r="AG3946">
        <v>1</v>
      </c>
      <c r="AH3946">
        <v>0</v>
      </c>
      <c r="AI3946" t="s">
        <v>1262</v>
      </c>
      <c r="AJ3946">
        <v>34.057896</v>
      </c>
      <c r="AK3946" t="s">
        <v>1192</v>
      </c>
      <c r="AL3946">
        <v>-117.016733</v>
      </c>
      <c r="AM3946">
        <v>100</v>
      </c>
      <c r="AN3946">
        <v>5300</v>
      </c>
      <c r="AO3946" t="s">
        <v>118</v>
      </c>
      <c r="AP3946">
        <v>77</v>
      </c>
      <c r="AQ3946">
        <v>-52</v>
      </c>
      <c r="AR3946">
        <v>448</v>
      </c>
      <c r="AZ3946">
        <v>1200</v>
      </c>
      <c r="BA3946">
        <v>1</v>
      </c>
      <c r="BB3946" t="str">
        <f t="shared" si="2187"/>
        <v xml:space="preserve">N9217B  </v>
      </c>
      <c r="BC3946">
        <v>1</v>
      </c>
      <c r="BE3946">
        <v>0</v>
      </c>
      <c r="BF3946">
        <v>0</v>
      </c>
      <c r="BG3946">
        <v>0</v>
      </c>
      <c r="BH3946">
        <v>5175</v>
      </c>
      <c r="BI3946">
        <v>1</v>
      </c>
      <c r="BJ3946">
        <v>0</v>
      </c>
      <c r="BK3946">
        <v>0</v>
      </c>
      <c r="BL3946">
        <v>0</v>
      </c>
      <c r="BO3946">
        <v>0</v>
      </c>
      <c r="BP3946">
        <v>0</v>
      </c>
      <c r="BW3946" t="str">
        <f t="shared" si="2205"/>
        <v>14:58:43.631</v>
      </c>
      <c r="CJ3946">
        <v>0</v>
      </c>
      <c r="CK3946">
        <v>2</v>
      </c>
      <c r="CL3946">
        <v>0</v>
      </c>
      <c r="CM3946">
        <v>2</v>
      </c>
      <c r="CN3946">
        <v>0</v>
      </c>
      <c r="CO3946">
        <v>5</v>
      </c>
      <c r="CP3946" t="s">
        <v>119</v>
      </c>
      <c r="CQ3946">
        <v>285</v>
      </c>
      <c r="CR3946">
        <v>0</v>
      </c>
      <c r="CW3946">
        <v>8885967</v>
      </c>
      <c r="CY3946">
        <v>0</v>
      </c>
      <c r="CZ3946">
        <v>0</v>
      </c>
      <c r="DA3946">
        <v>1</v>
      </c>
      <c r="DB3946">
        <v>0</v>
      </c>
      <c r="DC3946">
        <v>0</v>
      </c>
      <c r="DD3946">
        <v>0</v>
      </c>
      <c r="DE3946">
        <v>0</v>
      </c>
      <c r="DF3946">
        <v>0</v>
      </c>
      <c r="DG3946">
        <v>0</v>
      </c>
      <c r="DH3946">
        <v>0</v>
      </c>
      <c r="DI3946">
        <v>0</v>
      </c>
    </row>
    <row r="3947" spans="1:113" x14ac:dyDescent="0.25">
      <c r="A3947" t="str">
        <f t="shared" si="2202"/>
        <v>06/05/2020 14:58:37.961</v>
      </c>
      <c r="C3947" t="str">
        <f t="shared" si="2201"/>
        <v>FFDFD3C0</v>
      </c>
      <c r="D3947" t="s">
        <v>113</v>
      </c>
      <c r="E3947">
        <v>3</v>
      </c>
      <c r="H3947">
        <v>166</v>
      </c>
      <c r="I3947" t="s">
        <v>114</v>
      </c>
      <c r="J3947" t="s">
        <v>115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 t="shared" si="2203"/>
        <v>14:58:43.625</v>
      </c>
      <c r="T3947" t="str">
        <f t="shared" si="2204"/>
        <v>14:58:43.225</v>
      </c>
      <c r="U3947" t="str">
        <f t="shared" si="2185"/>
        <v>ACC530</v>
      </c>
      <c r="V3947">
        <v>0</v>
      </c>
      <c r="W3947">
        <v>0</v>
      </c>
      <c r="X3947">
        <v>1</v>
      </c>
      <c r="Z3947">
        <v>0</v>
      </c>
      <c r="AA3947">
        <v>9</v>
      </c>
      <c r="AB3947">
        <v>3</v>
      </c>
      <c r="AC3947">
        <v>0</v>
      </c>
      <c r="AD3947">
        <v>9</v>
      </c>
      <c r="AE3947">
        <v>0</v>
      </c>
      <c r="AF3947">
        <v>3</v>
      </c>
      <c r="AG3947">
        <v>1</v>
      </c>
      <c r="AH3947">
        <v>0</v>
      </c>
      <c r="AI3947" t="s">
        <v>1262</v>
      </c>
      <c r="AJ3947">
        <v>34.057896</v>
      </c>
      <c r="AK3947" t="s">
        <v>1192</v>
      </c>
      <c r="AL3947">
        <v>-117.016733</v>
      </c>
      <c r="AM3947">
        <v>100</v>
      </c>
      <c r="AN3947">
        <v>5300</v>
      </c>
      <c r="AO3947" t="s">
        <v>118</v>
      </c>
      <c r="AP3947">
        <v>77</v>
      </c>
      <c r="AQ3947">
        <v>-52</v>
      </c>
      <c r="AR3947">
        <v>448</v>
      </c>
      <c r="AZ3947">
        <v>1200</v>
      </c>
      <c r="BA3947">
        <v>1</v>
      </c>
      <c r="BB3947" t="str">
        <f t="shared" si="2187"/>
        <v xml:space="preserve">N9217B  </v>
      </c>
      <c r="BC3947">
        <v>1</v>
      </c>
      <c r="BE3947">
        <v>0</v>
      </c>
      <c r="BF3947">
        <v>0</v>
      </c>
      <c r="BG3947">
        <v>0</v>
      </c>
      <c r="BH3947">
        <v>5175</v>
      </c>
      <c r="BI3947">
        <v>1</v>
      </c>
      <c r="BJ3947">
        <v>0</v>
      </c>
      <c r="BK3947">
        <v>0</v>
      </c>
      <c r="BL3947">
        <v>0</v>
      </c>
      <c r="BO3947">
        <v>0</v>
      </c>
      <c r="BP3947">
        <v>0</v>
      </c>
      <c r="BW3947" t="str">
        <f t="shared" si="2205"/>
        <v>14:58:43.631</v>
      </c>
      <c r="CJ3947">
        <v>0</v>
      </c>
      <c r="CK3947">
        <v>2</v>
      </c>
      <c r="CL3947">
        <v>0</v>
      </c>
      <c r="CM3947">
        <v>2</v>
      </c>
      <c r="CN3947">
        <v>0</v>
      </c>
      <c r="CO3947">
        <v>5</v>
      </c>
      <c r="CP3947" t="s">
        <v>119</v>
      </c>
      <c r="CQ3947">
        <v>285</v>
      </c>
      <c r="CR3947">
        <v>0</v>
      </c>
      <c r="CW3947">
        <v>8885967</v>
      </c>
      <c r="CY3947">
        <v>0</v>
      </c>
      <c r="CZ3947">
        <v>0</v>
      </c>
      <c r="DA3947">
        <v>1</v>
      </c>
      <c r="DB3947">
        <v>0</v>
      </c>
      <c r="DC3947">
        <v>0</v>
      </c>
      <c r="DD3947">
        <v>0</v>
      </c>
      <c r="DE3947">
        <v>0</v>
      </c>
      <c r="DF3947">
        <v>0</v>
      </c>
      <c r="DG3947">
        <v>0</v>
      </c>
      <c r="DH3947">
        <v>0</v>
      </c>
      <c r="DI3947">
        <v>0</v>
      </c>
    </row>
    <row r="3948" spans="1:113" x14ac:dyDescent="0.25">
      <c r="A3948" t="str">
        <f t="shared" ref="A3948:A3954" si="2206">"06/05/2020 14:58:39.017"</f>
        <v>06/05/2020 14:58:39.017</v>
      </c>
      <c r="C3948" t="str">
        <f t="shared" si="2201"/>
        <v>FFDFD3C0</v>
      </c>
      <c r="D3948" t="s">
        <v>113</v>
      </c>
      <c r="E3948">
        <v>3</v>
      </c>
      <c r="H3948">
        <v>166</v>
      </c>
      <c r="I3948" t="s">
        <v>114</v>
      </c>
      <c r="J3948" t="s">
        <v>115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 t="shared" ref="S3948:S3954" si="2207">"14:58:44.664"</f>
        <v>14:58:44.664</v>
      </c>
      <c r="T3948" t="str">
        <f t="shared" ref="T3948:T3954" si="2208">"14:58:44.364"</f>
        <v>14:58:44.364</v>
      </c>
      <c r="U3948" t="str">
        <f t="shared" si="2185"/>
        <v>ACC530</v>
      </c>
      <c r="V3948">
        <v>0</v>
      </c>
      <c r="W3948">
        <v>0</v>
      </c>
      <c r="X3948">
        <v>1</v>
      </c>
      <c r="Z3948">
        <v>0</v>
      </c>
      <c r="AA3948">
        <v>9</v>
      </c>
      <c r="AB3948">
        <v>3</v>
      </c>
      <c r="AC3948">
        <v>0</v>
      </c>
      <c r="AD3948">
        <v>9</v>
      </c>
      <c r="AE3948">
        <v>0</v>
      </c>
      <c r="AF3948">
        <v>3</v>
      </c>
      <c r="AG3948">
        <v>1</v>
      </c>
      <c r="AH3948">
        <v>0</v>
      </c>
      <c r="AI3948" t="s">
        <v>1263</v>
      </c>
      <c r="AJ3948">
        <v>34.057702999999997</v>
      </c>
      <c r="AK3948" t="s">
        <v>1264</v>
      </c>
      <c r="AL3948">
        <v>-117.016239</v>
      </c>
      <c r="AM3948">
        <v>100</v>
      </c>
      <c r="AN3948">
        <v>5300</v>
      </c>
      <c r="AO3948" t="s">
        <v>118</v>
      </c>
      <c r="AP3948">
        <v>82</v>
      </c>
      <c r="AQ3948">
        <v>-43</v>
      </c>
      <c r="AR3948">
        <v>576</v>
      </c>
      <c r="AZ3948">
        <v>1200</v>
      </c>
      <c r="BA3948">
        <v>1</v>
      </c>
      <c r="BB3948" t="str">
        <f t="shared" si="2187"/>
        <v xml:space="preserve">N9217B  </v>
      </c>
      <c r="BC3948">
        <v>1</v>
      </c>
      <c r="BE3948">
        <v>0</v>
      </c>
      <c r="BF3948">
        <v>0</v>
      </c>
      <c r="BG3948">
        <v>0</v>
      </c>
      <c r="BH3948">
        <v>5175</v>
      </c>
      <c r="BI3948">
        <v>1</v>
      </c>
      <c r="BJ3948">
        <v>0</v>
      </c>
      <c r="BK3948">
        <v>0</v>
      </c>
      <c r="BL3948">
        <v>0</v>
      </c>
      <c r="BO3948">
        <v>0</v>
      </c>
      <c r="BP3948">
        <v>0</v>
      </c>
      <c r="BW3948" t="str">
        <f t="shared" ref="BW3948:BW3954" si="2209">"14:58:44.666"</f>
        <v>14:58:44.666</v>
      </c>
      <c r="CJ3948">
        <v>0</v>
      </c>
      <c r="CK3948">
        <v>2</v>
      </c>
      <c r="CL3948">
        <v>0</v>
      </c>
      <c r="CM3948">
        <v>2</v>
      </c>
      <c r="CN3948">
        <v>0</v>
      </c>
      <c r="CO3948">
        <v>5</v>
      </c>
      <c r="CP3948" t="s">
        <v>119</v>
      </c>
      <c r="CQ3948">
        <v>285</v>
      </c>
      <c r="CR3948">
        <v>0</v>
      </c>
      <c r="CW3948">
        <v>8886054</v>
      </c>
      <c r="CY3948">
        <v>0</v>
      </c>
      <c r="CZ3948">
        <v>0</v>
      </c>
      <c r="DA3948">
        <v>0</v>
      </c>
      <c r="DB3948">
        <v>0</v>
      </c>
      <c r="DC3948">
        <v>0</v>
      </c>
      <c r="DD3948">
        <v>0</v>
      </c>
      <c r="DE3948">
        <v>0</v>
      </c>
      <c r="DF3948">
        <v>0</v>
      </c>
      <c r="DG3948">
        <v>0</v>
      </c>
      <c r="DH3948">
        <v>0</v>
      </c>
      <c r="DI3948">
        <v>0</v>
      </c>
    </row>
    <row r="3949" spans="1:113" x14ac:dyDescent="0.25">
      <c r="A3949" t="str">
        <f t="shared" si="2206"/>
        <v>06/05/2020 14:58:39.017</v>
      </c>
      <c r="C3949" t="str">
        <f t="shared" si="2201"/>
        <v>FFDFD3C0</v>
      </c>
      <c r="D3949" t="s">
        <v>141</v>
      </c>
      <c r="E3949">
        <v>20</v>
      </c>
      <c r="F3949">
        <v>1020</v>
      </c>
      <c r="G3949" t="s">
        <v>114</v>
      </c>
      <c r="J3949" t="s">
        <v>142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 t="shared" si="2207"/>
        <v>14:58:44.664</v>
      </c>
      <c r="T3949" t="str">
        <f t="shared" si="2208"/>
        <v>14:58:44.364</v>
      </c>
      <c r="U3949" t="str">
        <f t="shared" si="2185"/>
        <v>ACC530</v>
      </c>
      <c r="V3949">
        <v>0</v>
      </c>
      <c r="W3949">
        <v>0</v>
      </c>
      <c r="X3949">
        <v>1</v>
      </c>
      <c r="Z3949">
        <v>0</v>
      </c>
      <c r="AA3949">
        <v>9</v>
      </c>
      <c r="AB3949">
        <v>3</v>
      </c>
      <c r="AC3949">
        <v>0</v>
      </c>
      <c r="AD3949">
        <v>9</v>
      </c>
      <c r="AE3949">
        <v>0</v>
      </c>
      <c r="AF3949">
        <v>3</v>
      </c>
      <c r="AG3949">
        <v>1</v>
      </c>
      <c r="AH3949">
        <v>0</v>
      </c>
      <c r="AI3949" t="s">
        <v>1263</v>
      </c>
      <c r="AJ3949">
        <v>34.057702999999997</v>
      </c>
      <c r="AK3949" t="s">
        <v>1264</v>
      </c>
      <c r="AL3949">
        <v>-117.016239</v>
      </c>
      <c r="AM3949">
        <v>100</v>
      </c>
      <c r="AN3949">
        <v>5300</v>
      </c>
      <c r="AO3949" t="s">
        <v>118</v>
      </c>
      <c r="AP3949">
        <v>82</v>
      </c>
      <c r="AQ3949">
        <v>-43</v>
      </c>
      <c r="AR3949">
        <v>576</v>
      </c>
      <c r="AZ3949">
        <v>1200</v>
      </c>
      <c r="BA3949">
        <v>1</v>
      </c>
      <c r="BB3949" t="str">
        <f t="shared" si="2187"/>
        <v xml:space="preserve">N9217B  </v>
      </c>
      <c r="BC3949">
        <v>1</v>
      </c>
      <c r="BE3949">
        <v>0</v>
      </c>
      <c r="BF3949">
        <v>0</v>
      </c>
      <c r="BG3949">
        <v>0</v>
      </c>
      <c r="BH3949">
        <v>5175</v>
      </c>
      <c r="BI3949">
        <v>1</v>
      </c>
      <c r="BJ3949">
        <v>0</v>
      </c>
      <c r="BK3949">
        <v>0</v>
      </c>
      <c r="BL3949">
        <v>0</v>
      </c>
      <c r="BO3949">
        <v>0</v>
      </c>
      <c r="BP3949">
        <v>0</v>
      </c>
      <c r="BW3949" t="str">
        <f t="shared" si="2209"/>
        <v>14:58:44.666</v>
      </c>
      <c r="CJ3949">
        <v>0</v>
      </c>
      <c r="CK3949">
        <v>2</v>
      </c>
      <c r="CL3949">
        <v>0</v>
      </c>
      <c r="CM3949">
        <v>2</v>
      </c>
      <c r="CN3949">
        <v>0</v>
      </c>
      <c r="CO3949">
        <v>5</v>
      </c>
      <c r="CP3949" t="s">
        <v>119</v>
      </c>
      <c r="CQ3949">
        <v>285</v>
      </c>
      <c r="CR3949">
        <v>0</v>
      </c>
      <c r="CW3949">
        <v>8886054</v>
      </c>
      <c r="CY3949">
        <v>0</v>
      </c>
      <c r="CZ3949">
        <v>0</v>
      </c>
      <c r="DA3949">
        <v>1</v>
      </c>
      <c r="DB3949">
        <v>0</v>
      </c>
      <c r="DC3949">
        <v>0</v>
      </c>
      <c r="DD3949">
        <v>0</v>
      </c>
      <c r="DE3949">
        <v>0</v>
      </c>
      <c r="DF3949">
        <v>0</v>
      </c>
      <c r="DG3949">
        <v>0</v>
      </c>
      <c r="DH3949">
        <v>0</v>
      </c>
      <c r="DI3949">
        <v>0</v>
      </c>
    </row>
    <row r="3950" spans="1:113" x14ac:dyDescent="0.25">
      <c r="A3950" t="str">
        <f t="shared" si="2206"/>
        <v>06/05/2020 14:58:39.017</v>
      </c>
      <c r="C3950" t="str">
        <f t="shared" si="2201"/>
        <v>FFDFD3C0</v>
      </c>
      <c r="D3950" t="s">
        <v>151</v>
      </c>
      <c r="E3950">
        <v>8</v>
      </c>
      <c r="H3950">
        <v>225</v>
      </c>
      <c r="I3950" t="s">
        <v>353</v>
      </c>
      <c r="J3950" t="s">
        <v>150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 t="shared" si="2207"/>
        <v>14:58:44.664</v>
      </c>
      <c r="T3950" t="str">
        <f t="shared" si="2208"/>
        <v>14:58:44.364</v>
      </c>
      <c r="U3950" t="str">
        <f t="shared" si="2185"/>
        <v>ACC530</v>
      </c>
      <c r="V3950">
        <v>0</v>
      </c>
      <c r="W3950">
        <v>0</v>
      </c>
      <c r="X3950">
        <v>1</v>
      </c>
      <c r="Z3950">
        <v>0</v>
      </c>
      <c r="AA3950">
        <v>9</v>
      </c>
      <c r="AB3950">
        <v>3</v>
      </c>
      <c r="AC3950">
        <v>0</v>
      </c>
      <c r="AD3950">
        <v>9</v>
      </c>
      <c r="AE3950">
        <v>0</v>
      </c>
      <c r="AF3950">
        <v>3</v>
      </c>
      <c r="AG3950">
        <v>1</v>
      </c>
      <c r="AH3950">
        <v>0</v>
      </c>
      <c r="AI3950" t="s">
        <v>1263</v>
      </c>
      <c r="AJ3950">
        <v>34.057702999999997</v>
      </c>
      <c r="AK3950" t="s">
        <v>1264</v>
      </c>
      <c r="AL3950">
        <v>-117.016239</v>
      </c>
      <c r="AM3950">
        <v>100</v>
      </c>
      <c r="AN3950">
        <v>5300</v>
      </c>
      <c r="AO3950" t="s">
        <v>118</v>
      </c>
      <c r="AP3950">
        <v>82</v>
      </c>
      <c r="AQ3950">
        <v>-43</v>
      </c>
      <c r="AR3950">
        <v>576</v>
      </c>
      <c r="AZ3950">
        <v>1200</v>
      </c>
      <c r="BA3950">
        <v>1</v>
      </c>
      <c r="BB3950" t="str">
        <f t="shared" si="2187"/>
        <v xml:space="preserve">N9217B  </v>
      </c>
      <c r="BC3950">
        <v>1</v>
      </c>
      <c r="BE3950">
        <v>0</v>
      </c>
      <c r="BF3950">
        <v>0</v>
      </c>
      <c r="BG3950">
        <v>0</v>
      </c>
      <c r="BH3950">
        <v>5175</v>
      </c>
      <c r="BI3950">
        <v>1</v>
      </c>
      <c r="BJ3950">
        <v>0</v>
      </c>
      <c r="BK3950">
        <v>0</v>
      </c>
      <c r="BL3950">
        <v>0</v>
      </c>
      <c r="BO3950">
        <v>0</v>
      </c>
      <c r="BP3950">
        <v>0</v>
      </c>
      <c r="BW3950" t="str">
        <f t="shared" si="2209"/>
        <v>14:58:44.666</v>
      </c>
      <c r="CJ3950">
        <v>0</v>
      </c>
      <c r="CK3950">
        <v>2</v>
      </c>
      <c r="CL3950">
        <v>0</v>
      </c>
      <c r="CM3950">
        <v>2</v>
      </c>
      <c r="CN3950">
        <v>0</v>
      </c>
      <c r="CO3950">
        <v>5</v>
      </c>
      <c r="CP3950" t="s">
        <v>119</v>
      </c>
      <c r="CQ3950">
        <v>285</v>
      </c>
      <c r="CR3950">
        <v>0</v>
      </c>
      <c r="CW3950">
        <v>8886054</v>
      </c>
      <c r="CY3950">
        <v>0</v>
      </c>
      <c r="CZ3950">
        <v>0</v>
      </c>
      <c r="DA3950">
        <v>1</v>
      </c>
      <c r="DB3950">
        <v>0</v>
      </c>
      <c r="DC3950">
        <v>0</v>
      </c>
      <c r="DD3950">
        <v>0</v>
      </c>
      <c r="DE3950">
        <v>0</v>
      </c>
      <c r="DF3950">
        <v>0</v>
      </c>
      <c r="DG3950">
        <v>0</v>
      </c>
      <c r="DH3950">
        <v>0</v>
      </c>
      <c r="DI3950">
        <v>0</v>
      </c>
    </row>
    <row r="3951" spans="1:113" x14ac:dyDescent="0.25">
      <c r="A3951" t="str">
        <f t="shared" si="2206"/>
        <v>06/05/2020 14:58:39.017</v>
      </c>
      <c r="C3951" t="str">
        <f t="shared" si="2201"/>
        <v>FFDFD3C0</v>
      </c>
      <c r="D3951" t="s">
        <v>148</v>
      </c>
      <c r="E3951">
        <v>8</v>
      </c>
      <c r="H3951">
        <v>50</v>
      </c>
      <c r="I3951" t="s">
        <v>149</v>
      </c>
      <c r="J3951" t="s">
        <v>150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 t="shared" si="2207"/>
        <v>14:58:44.664</v>
      </c>
      <c r="T3951" t="str">
        <f t="shared" si="2208"/>
        <v>14:58:44.364</v>
      </c>
      <c r="U3951" t="str">
        <f t="shared" si="2185"/>
        <v>ACC530</v>
      </c>
      <c r="V3951">
        <v>0</v>
      </c>
      <c r="W3951">
        <v>0</v>
      </c>
      <c r="X3951">
        <v>1</v>
      </c>
      <c r="Z3951">
        <v>0</v>
      </c>
      <c r="AA3951">
        <v>9</v>
      </c>
      <c r="AB3951">
        <v>3</v>
      </c>
      <c r="AC3951">
        <v>0</v>
      </c>
      <c r="AD3951">
        <v>9</v>
      </c>
      <c r="AE3951">
        <v>0</v>
      </c>
      <c r="AF3951">
        <v>3</v>
      </c>
      <c r="AG3951">
        <v>1</v>
      </c>
      <c r="AH3951">
        <v>0</v>
      </c>
      <c r="AI3951" t="s">
        <v>1263</v>
      </c>
      <c r="AJ3951">
        <v>34.057702999999997</v>
      </c>
      <c r="AK3951" t="s">
        <v>1264</v>
      </c>
      <c r="AL3951">
        <v>-117.016239</v>
      </c>
      <c r="AM3951">
        <v>100</v>
      </c>
      <c r="AN3951">
        <v>5300</v>
      </c>
      <c r="AO3951" t="s">
        <v>118</v>
      </c>
      <c r="AP3951">
        <v>82</v>
      </c>
      <c r="AQ3951">
        <v>-43</v>
      </c>
      <c r="AR3951">
        <v>576</v>
      </c>
      <c r="AZ3951">
        <v>1200</v>
      </c>
      <c r="BA3951">
        <v>1</v>
      </c>
      <c r="BB3951" t="str">
        <f t="shared" si="2187"/>
        <v xml:space="preserve">N9217B  </v>
      </c>
      <c r="BC3951">
        <v>1</v>
      </c>
      <c r="BE3951">
        <v>0</v>
      </c>
      <c r="BF3951">
        <v>0</v>
      </c>
      <c r="BG3951">
        <v>0</v>
      </c>
      <c r="BH3951">
        <v>5175</v>
      </c>
      <c r="BI3951">
        <v>1</v>
      </c>
      <c r="BJ3951">
        <v>0</v>
      </c>
      <c r="BK3951">
        <v>0</v>
      </c>
      <c r="BL3951">
        <v>0</v>
      </c>
      <c r="BO3951">
        <v>0</v>
      </c>
      <c r="BP3951">
        <v>0</v>
      </c>
      <c r="BW3951" t="str">
        <f t="shared" si="2209"/>
        <v>14:58:44.666</v>
      </c>
      <c r="CJ3951">
        <v>0</v>
      </c>
      <c r="CK3951">
        <v>2</v>
      </c>
      <c r="CL3951">
        <v>0</v>
      </c>
      <c r="CM3951">
        <v>2</v>
      </c>
      <c r="CN3951">
        <v>0</v>
      </c>
      <c r="CO3951">
        <v>5</v>
      </c>
      <c r="CP3951" t="s">
        <v>119</v>
      </c>
      <c r="CQ3951">
        <v>285</v>
      </c>
      <c r="CR3951">
        <v>0</v>
      </c>
      <c r="CW3951">
        <v>8886054</v>
      </c>
      <c r="CY3951">
        <v>0</v>
      </c>
      <c r="CZ3951">
        <v>0</v>
      </c>
      <c r="DA3951">
        <v>1</v>
      </c>
      <c r="DB3951">
        <v>0</v>
      </c>
      <c r="DC3951">
        <v>0</v>
      </c>
      <c r="DD3951">
        <v>0</v>
      </c>
      <c r="DE3951">
        <v>0</v>
      </c>
      <c r="DF3951">
        <v>0</v>
      </c>
      <c r="DG3951">
        <v>0</v>
      </c>
      <c r="DH3951">
        <v>0</v>
      </c>
      <c r="DI3951">
        <v>0</v>
      </c>
    </row>
    <row r="3952" spans="1:113" x14ac:dyDescent="0.25">
      <c r="A3952" t="str">
        <f t="shared" si="2206"/>
        <v>06/05/2020 14:58:39.017</v>
      </c>
      <c r="C3952" t="str">
        <f t="shared" si="2201"/>
        <v>FFDFD3C0</v>
      </c>
      <c r="D3952" t="s">
        <v>151</v>
      </c>
      <c r="E3952">
        <v>9</v>
      </c>
      <c r="H3952">
        <v>226</v>
      </c>
      <c r="I3952" t="s">
        <v>152</v>
      </c>
      <c r="J3952" t="s">
        <v>150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 t="shared" si="2207"/>
        <v>14:58:44.664</v>
      </c>
      <c r="T3952" t="str">
        <f t="shared" si="2208"/>
        <v>14:58:44.364</v>
      </c>
      <c r="U3952" t="str">
        <f t="shared" si="2185"/>
        <v>ACC530</v>
      </c>
      <c r="V3952">
        <v>0</v>
      </c>
      <c r="W3952">
        <v>0</v>
      </c>
      <c r="X3952">
        <v>1</v>
      </c>
      <c r="Z3952">
        <v>0</v>
      </c>
      <c r="AA3952">
        <v>9</v>
      </c>
      <c r="AB3952">
        <v>3</v>
      </c>
      <c r="AC3952">
        <v>0</v>
      </c>
      <c r="AD3952">
        <v>9</v>
      </c>
      <c r="AE3952">
        <v>0</v>
      </c>
      <c r="AF3952">
        <v>3</v>
      </c>
      <c r="AG3952">
        <v>1</v>
      </c>
      <c r="AH3952">
        <v>0</v>
      </c>
      <c r="AI3952" t="s">
        <v>1263</v>
      </c>
      <c r="AJ3952">
        <v>34.057702999999997</v>
      </c>
      <c r="AK3952" t="s">
        <v>1264</v>
      </c>
      <c r="AL3952">
        <v>-117.016239</v>
      </c>
      <c r="AM3952">
        <v>100</v>
      </c>
      <c r="AN3952">
        <v>5300</v>
      </c>
      <c r="AO3952" t="s">
        <v>118</v>
      </c>
      <c r="AP3952">
        <v>82</v>
      </c>
      <c r="AQ3952">
        <v>-43</v>
      </c>
      <c r="AR3952">
        <v>576</v>
      </c>
      <c r="AZ3952">
        <v>1200</v>
      </c>
      <c r="BA3952">
        <v>1</v>
      </c>
      <c r="BB3952" t="str">
        <f t="shared" si="2187"/>
        <v xml:space="preserve">N9217B  </v>
      </c>
      <c r="BC3952">
        <v>1</v>
      </c>
      <c r="BE3952">
        <v>0</v>
      </c>
      <c r="BF3952">
        <v>0</v>
      </c>
      <c r="BG3952">
        <v>0</v>
      </c>
      <c r="BH3952">
        <v>5175</v>
      </c>
      <c r="BI3952">
        <v>1</v>
      </c>
      <c r="BJ3952">
        <v>0</v>
      </c>
      <c r="BK3952">
        <v>0</v>
      </c>
      <c r="BL3952">
        <v>0</v>
      </c>
      <c r="BO3952">
        <v>0</v>
      </c>
      <c r="BP3952">
        <v>0</v>
      </c>
      <c r="BW3952" t="str">
        <f t="shared" si="2209"/>
        <v>14:58:44.666</v>
      </c>
      <c r="CJ3952">
        <v>0</v>
      </c>
      <c r="CK3952">
        <v>2</v>
      </c>
      <c r="CL3952">
        <v>0</v>
      </c>
      <c r="CM3952">
        <v>2</v>
      </c>
      <c r="CN3952">
        <v>0</v>
      </c>
      <c r="CO3952">
        <v>5</v>
      </c>
      <c r="CP3952" t="s">
        <v>119</v>
      </c>
      <c r="CQ3952">
        <v>285</v>
      </c>
      <c r="CR3952">
        <v>0</v>
      </c>
      <c r="CW3952">
        <v>8886054</v>
      </c>
      <c r="CY3952">
        <v>0</v>
      </c>
      <c r="CZ3952">
        <v>0</v>
      </c>
      <c r="DA3952">
        <v>1</v>
      </c>
      <c r="DB3952">
        <v>0</v>
      </c>
      <c r="DC3952">
        <v>0</v>
      </c>
      <c r="DD3952">
        <v>0</v>
      </c>
      <c r="DE3952">
        <v>0</v>
      </c>
      <c r="DF3952">
        <v>0</v>
      </c>
      <c r="DG3952">
        <v>0</v>
      </c>
      <c r="DH3952">
        <v>0</v>
      </c>
      <c r="DI3952">
        <v>0</v>
      </c>
    </row>
    <row r="3953" spans="1:113" x14ac:dyDescent="0.25">
      <c r="A3953" t="str">
        <f t="shared" si="2206"/>
        <v>06/05/2020 14:58:39.017</v>
      </c>
      <c r="C3953" t="str">
        <f t="shared" si="2201"/>
        <v>FFDFD3C0</v>
      </c>
      <c r="D3953" t="s">
        <v>148</v>
      </c>
      <c r="E3953">
        <v>11</v>
      </c>
      <c r="H3953">
        <v>53</v>
      </c>
      <c r="I3953" t="s">
        <v>364</v>
      </c>
      <c r="J3953" t="s">
        <v>150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 t="shared" si="2207"/>
        <v>14:58:44.664</v>
      </c>
      <c r="T3953" t="str">
        <f t="shared" si="2208"/>
        <v>14:58:44.364</v>
      </c>
      <c r="U3953" t="str">
        <f t="shared" si="2185"/>
        <v>ACC530</v>
      </c>
      <c r="V3953">
        <v>0</v>
      </c>
      <c r="W3953">
        <v>0</v>
      </c>
      <c r="X3953">
        <v>1</v>
      </c>
      <c r="Z3953">
        <v>0</v>
      </c>
      <c r="AA3953">
        <v>9</v>
      </c>
      <c r="AB3953">
        <v>3</v>
      </c>
      <c r="AC3953">
        <v>0</v>
      </c>
      <c r="AD3953">
        <v>9</v>
      </c>
      <c r="AE3953">
        <v>0</v>
      </c>
      <c r="AF3953">
        <v>3</v>
      </c>
      <c r="AG3953">
        <v>1</v>
      </c>
      <c r="AH3953">
        <v>0</v>
      </c>
      <c r="AI3953" t="s">
        <v>1263</v>
      </c>
      <c r="AJ3953">
        <v>34.057702999999997</v>
      </c>
      <c r="AK3953" t="s">
        <v>1264</v>
      </c>
      <c r="AL3953">
        <v>-117.016239</v>
      </c>
      <c r="AM3953">
        <v>100</v>
      </c>
      <c r="AN3953">
        <v>5300</v>
      </c>
      <c r="AO3953" t="s">
        <v>118</v>
      </c>
      <c r="AP3953">
        <v>82</v>
      </c>
      <c r="AQ3953">
        <v>-43</v>
      </c>
      <c r="AR3953">
        <v>576</v>
      </c>
      <c r="AZ3953">
        <v>1200</v>
      </c>
      <c r="BA3953">
        <v>1</v>
      </c>
      <c r="BB3953" t="str">
        <f t="shared" si="2187"/>
        <v xml:space="preserve">N9217B  </v>
      </c>
      <c r="BC3953">
        <v>1</v>
      </c>
      <c r="BE3953">
        <v>0</v>
      </c>
      <c r="BF3953">
        <v>0</v>
      </c>
      <c r="BG3953">
        <v>0</v>
      </c>
      <c r="BH3953">
        <v>5175</v>
      </c>
      <c r="BI3953">
        <v>1</v>
      </c>
      <c r="BJ3953">
        <v>0</v>
      </c>
      <c r="BK3953">
        <v>0</v>
      </c>
      <c r="BL3953">
        <v>0</v>
      </c>
      <c r="BO3953">
        <v>0</v>
      </c>
      <c r="BP3953">
        <v>0</v>
      </c>
      <c r="BW3953" t="str">
        <f t="shared" si="2209"/>
        <v>14:58:44.666</v>
      </c>
      <c r="CJ3953">
        <v>0</v>
      </c>
      <c r="CK3953">
        <v>2</v>
      </c>
      <c r="CL3953">
        <v>0</v>
      </c>
      <c r="CM3953">
        <v>2</v>
      </c>
      <c r="CN3953">
        <v>0</v>
      </c>
      <c r="CO3953">
        <v>5</v>
      </c>
      <c r="CP3953" t="s">
        <v>119</v>
      </c>
      <c r="CQ3953">
        <v>285</v>
      </c>
      <c r="CR3953">
        <v>0</v>
      </c>
      <c r="CW3953">
        <v>8886054</v>
      </c>
      <c r="CY3953">
        <v>0</v>
      </c>
      <c r="CZ3953">
        <v>0</v>
      </c>
      <c r="DA3953">
        <v>1</v>
      </c>
      <c r="DB3953">
        <v>0</v>
      </c>
      <c r="DC3953">
        <v>0</v>
      </c>
      <c r="DD3953">
        <v>0</v>
      </c>
      <c r="DE3953">
        <v>0</v>
      </c>
      <c r="DF3953">
        <v>0</v>
      </c>
      <c r="DG3953">
        <v>0</v>
      </c>
      <c r="DH3953">
        <v>0</v>
      </c>
      <c r="DI3953">
        <v>0</v>
      </c>
    </row>
    <row r="3954" spans="1:113" x14ac:dyDescent="0.25">
      <c r="A3954" t="str">
        <f t="shared" si="2206"/>
        <v>06/05/2020 14:58:39.017</v>
      </c>
      <c r="C3954" t="str">
        <f t="shared" si="2201"/>
        <v>FFDFD3C0</v>
      </c>
      <c r="D3954" t="s">
        <v>134</v>
      </c>
      <c r="E3954">
        <v>7</v>
      </c>
      <c r="F3954">
        <v>2007</v>
      </c>
      <c r="G3954" t="s">
        <v>135</v>
      </c>
      <c r="J3954" t="s">
        <v>136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 t="shared" si="2207"/>
        <v>14:58:44.664</v>
      </c>
      <c r="T3954" t="str">
        <f t="shared" si="2208"/>
        <v>14:58:44.364</v>
      </c>
      <c r="U3954" t="str">
        <f t="shared" si="2185"/>
        <v>ACC530</v>
      </c>
      <c r="V3954">
        <v>0</v>
      </c>
      <c r="W3954">
        <v>0</v>
      </c>
      <c r="X3954">
        <v>1</v>
      </c>
      <c r="Z3954">
        <v>0</v>
      </c>
      <c r="AA3954">
        <v>9</v>
      </c>
      <c r="AB3954">
        <v>3</v>
      </c>
      <c r="AC3954">
        <v>0</v>
      </c>
      <c r="AD3954">
        <v>9</v>
      </c>
      <c r="AE3954">
        <v>0</v>
      </c>
      <c r="AF3954">
        <v>3</v>
      </c>
      <c r="AG3954">
        <v>1</v>
      </c>
      <c r="AH3954">
        <v>0</v>
      </c>
      <c r="AI3954" t="s">
        <v>1263</v>
      </c>
      <c r="AJ3954">
        <v>34.057702999999997</v>
      </c>
      <c r="AK3954" t="s">
        <v>1264</v>
      </c>
      <c r="AL3954">
        <v>-117.016239</v>
      </c>
      <c r="AM3954">
        <v>100</v>
      </c>
      <c r="AN3954">
        <v>5300</v>
      </c>
      <c r="AO3954" t="s">
        <v>118</v>
      </c>
      <c r="AP3954">
        <v>82</v>
      </c>
      <c r="AQ3954">
        <v>-43</v>
      </c>
      <c r="AR3954">
        <v>576</v>
      </c>
      <c r="AZ3954">
        <v>1200</v>
      </c>
      <c r="BA3954">
        <v>1</v>
      </c>
      <c r="BB3954" t="str">
        <f t="shared" si="2187"/>
        <v xml:space="preserve">N9217B  </v>
      </c>
      <c r="BC3954">
        <v>1</v>
      </c>
      <c r="BE3954">
        <v>0</v>
      </c>
      <c r="BF3954">
        <v>0</v>
      </c>
      <c r="BG3954">
        <v>0</v>
      </c>
      <c r="BH3954">
        <v>5175</v>
      </c>
      <c r="BI3954">
        <v>1</v>
      </c>
      <c r="BJ3954">
        <v>0</v>
      </c>
      <c r="BK3954">
        <v>0</v>
      </c>
      <c r="BL3954">
        <v>0</v>
      </c>
      <c r="BO3954">
        <v>0</v>
      </c>
      <c r="BP3954">
        <v>0</v>
      </c>
      <c r="BW3954" t="str">
        <f t="shared" si="2209"/>
        <v>14:58:44.666</v>
      </c>
      <c r="CJ3954">
        <v>0</v>
      </c>
      <c r="CK3954">
        <v>2</v>
      </c>
      <c r="CL3954">
        <v>0</v>
      </c>
      <c r="CM3954">
        <v>2</v>
      </c>
      <c r="CN3954">
        <v>0</v>
      </c>
      <c r="CO3954">
        <v>5</v>
      </c>
      <c r="CP3954" t="s">
        <v>119</v>
      </c>
      <c r="CQ3954">
        <v>285</v>
      </c>
      <c r="CR3954">
        <v>0</v>
      </c>
      <c r="CW3954">
        <v>8886054</v>
      </c>
      <c r="CY3954">
        <v>0</v>
      </c>
      <c r="CZ3954">
        <v>0</v>
      </c>
      <c r="DA3954">
        <v>1</v>
      </c>
      <c r="DB3954">
        <v>0</v>
      </c>
      <c r="DC3954">
        <v>0</v>
      </c>
      <c r="DD3954">
        <v>0</v>
      </c>
      <c r="DE3954">
        <v>0</v>
      </c>
      <c r="DF3954">
        <v>0</v>
      </c>
      <c r="DG3954">
        <v>0</v>
      </c>
      <c r="DH3954">
        <v>0</v>
      </c>
      <c r="DI3954">
        <v>0</v>
      </c>
    </row>
    <row r="3955" spans="1:113" x14ac:dyDescent="0.25">
      <c r="A3955" t="str">
        <f t="shared" ref="A3955:A3961" si="2210">"06/05/2020 14:58:40.545"</f>
        <v>06/05/2020 14:58:40.545</v>
      </c>
      <c r="C3955" t="str">
        <f t="shared" si="2201"/>
        <v>FFDFD3C0</v>
      </c>
      <c r="D3955" t="s">
        <v>148</v>
      </c>
      <c r="E3955">
        <v>8</v>
      </c>
      <c r="H3955">
        <v>50</v>
      </c>
      <c r="I3955" t="s">
        <v>149</v>
      </c>
      <c r="J3955" t="s">
        <v>150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 t="shared" ref="S3955:S3961" si="2211">"14:58:46.164"</f>
        <v>14:58:46.164</v>
      </c>
      <c r="T3955" t="str">
        <f t="shared" ref="T3955:T3961" si="2212">"14:58:45.964"</f>
        <v>14:58:45.964</v>
      </c>
      <c r="U3955" t="str">
        <f t="shared" si="2185"/>
        <v>ACC530</v>
      </c>
      <c r="V3955">
        <v>0</v>
      </c>
      <c r="W3955">
        <v>0</v>
      </c>
      <c r="X3955">
        <v>1</v>
      </c>
      <c r="Z3955">
        <v>0</v>
      </c>
      <c r="AA3955">
        <v>9</v>
      </c>
      <c r="AB3955">
        <v>3</v>
      </c>
      <c r="AC3955">
        <v>0</v>
      </c>
      <c r="AD3955">
        <v>9</v>
      </c>
      <c r="AE3955">
        <v>0</v>
      </c>
      <c r="AF3955">
        <v>3</v>
      </c>
      <c r="AG3955">
        <v>1</v>
      </c>
      <c r="AH3955">
        <v>0</v>
      </c>
      <c r="AI3955" t="s">
        <v>1265</v>
      </c>
      <c r="AJ3955">
        <v>34.057530999999997</v>
      </c>
      <c r="AK3955" t="s">
        <v>1266</v>
      </c>
      <c r="AL3955">
        <v>-117.015553</v>
      </c>
      <c r="AM3955">
        <v>100</v>
      </c>
      <c r="AN3955">
        <v>5300</v>
      </c>
      <c r="AO3955" t="s">
        <v>118</v>
      </c>
      <c r="AP3955">
        <v>87</v>
      </c>
      <c r="AQ3955">
        <v>-28</v>
      </c>
      <c r="AR3955">
        <v>576</v>
      </c>
      <c r="AZ3955">
        <v>1200</v>
      </c>
      <c r="BA3955">
        <v>1</v>
      </c>
      <c r="BB3955" t="str">
        <f t="shared" si="2187"/>
        <v xml:space="preserve">N9217B  </v>
      </c>
      <c r="BC3955">
        <v>1</v>
      </c>
      <c r="BE3955">
        <v>0</v>
      </c>
      <c r="BF3955">
        <v>0</v>
      </c>
      <c r="BG3955">
        <v>0</v>
      </c>
      <c r="BH3955">
        <v>5200</v>
      </c>
      <c r="BI3955">
        <v>1</v>
      </c>
      <c r="BJ3955">
        <v>0</v>
      </c>
      <c r="BK3955">
        <v>0</v>
      </c>
      <c r="BL3955">
        <v>0</v>
      </c>
      <c r="BO3955">
        <v>0</v>
      </c>
      <c r="BP3955">
        <v>0</v>
      </c>
      <c r="BW3955" t="str">
        <f t="shared" ref="BW3955:BW3961" si="2213">"14:58:46.166"</f>
        <v>14:58:46.166</v>
      </c>
      <c r="CJ3955">
        <v>0</v>
      </c>
      <c r="CK3955">
        <v>2</v>
      </c>
      <c r="CL3955">
        <v>0</v>
      </c>
      <c r="CM3955">
        <v>2</v>
      </c>
      <c r="CN3955">
        <v>0</v>
      </c>
      <c r="CO3955">
        <v>4</v>
      </c>
      <c r="CP3955" t="s">
        <v>119</v>
      </c>
      <c r="CQ3955">
        <v>285</v>
      </c>
      <c r="CR3955">
        <v>0</v>
      </c>
      <c r="CW3955">
        <v>8886192</v>
      </c>
      <c r="CY3955">
        <v>0</v>
      </c>
      <c r="CZ3955">
        <v>0</v>
      </c>
      <c r="DA3955">
        <v>0</v>
      </c>
      <c r="DB3955">
        <v>0</v>
      </c>
      <c r="DC3955">
        <v>0</v>
      </c>
      <c r="DD3955">
        <v>0</v>
      </c>
      <c r="DE3955">
        <v>0</v>
      </c>
      <c r="DF3955">
        <v>0</v>
      </c>
      <c r="DG3955">
        <v>0</v>
      </c>
      <c r="DH3955">
        <v>0</v>
      </c>
      <c r="DI3955">
        <v>0</v>
      </c>
    </row>
    <row r="3956" spans="1:113" x14ac:dyDescent="0.25">
      <c r="A3956" t="str">
        <f t="shared" si="2210"/>
        <v>06/05/2020 14:58:40.545</v>
      </c>
      <c r="C3956" t="str">
        <f t="shared" si="2201"/>
        <v>FFDFD3C0</v>
      </c>
      <c r="D3956" t="s">
        <v>151</v>
      </c>
      <c r="E3956">
        <v>9</v>
      </c>
      <c r="H3956">
        <v>226</v>
      </c>
      <c r="I3956" t="s">
        <v>152</v>
      </c>
      <c r="J3956" t="s">
        <v>150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 t="shared" si="2211"/>
        <v>14:58:46.164</v>
      </c>
      <c r="T3956" t="str">
        <f t="shared" si="2212"/>
        <v>14:58:45.964</v>
      </c>
      <c r="U3956" t="str">
        <f t="shared" si="2185"/>
        <v>ACC530</v>
      </c>
      <c r="V3956">
        <v>0</v>
      </c>
      <c r="W3956">
        <v>0</v>
      </c>
      <c r="X3956">
        <v>1</v>
      </c>
      <c r="Z3956">
        <v>0</v>
      </c>
      <c r="AA3956">
        <v>9</v>
      </c>
      <c r="AB3956">
        <v>3</v>
      </c>
      <c r="AC3956">
        <v>0</v>
      </c>
      <c r="AD3956">
        <v>9</v>
      </c>
      <c r="AE3956">
        <v>0</v>
      </c>
      <c r="AF3956">
        <v>3</v>
      </c>
      <c r="AG3956">
        <v>1</v>
      </c>
      <c r="AH3956">
        <v>0</v>
      </c>
      <c r="AI3956" t="s">
        <v>1265</v>
      </c>
      <c r="AJ3956">
        <v>34.057530999999997</v>
      </c>
      <c r="AK3956" t="s">
        <v>1266</v>
      </c>
      <c r="AL3956">
        <v>-117.015553</v>
      </c>
      <c r="AM3956">
        <v>100</v>
      </c>
      <c r="AN3956">
        <v>5300</v>
      </c>
      <c r="AO3956" t="s">
        <v>118</v>
      </c>
      <c r="AP3956">
        <v>87</v>
      </c>
      <c r="AQ3956">
        <v>-28</v>
      </c>
      <c r="AR3956">
        <v>576</v>
      </c>
      <c r="AZ3956">
        <v>1200</v>
      </c>
      <c r="BA3956">
        <v>1</v>
      </c>
      <c r="BB3956" t="str">
        <f t="shared" si="2187"/>
        <v xml:space="preserve">N9217B  </v>
      </c>
      <c r="BC3956">
        <v>1</v>
      </c>
      <c r="BE3956">
        <v>0</v>
      </c>
      <c r="BF3956">
        <v>0</v>
      </c>
      <c r="BG3956">
        <v>0</v>
      </c>
      <c r="BH3956">
        <v>5200</v>
      </c>
      <c r="BI3956">
        <v>1</v>
      </c>
      <c r="BJ3956">
        <v>0</v>
      </c>
      <c r="BK3956">
        <v>0</v>
      </c>
      <c r="BL3956">
        <v>0</v>
      </c>
      <c r="BO3956">
        <v>0</v>
      </c>
      <c r="BP3956">
        <v>0</v>
      </c>
      <c r="BW3956" t="str">
        <f t="shared" si="2213"/>
        <v>14:58:46.166</v>
      </c>
      <c r="CJ3956">
        <v>0</v>
      </c>
      <c r="CK3956">
        <v>2</v>
      </c>
      <c r="CL3956">
        <v>0</v>
      </c>
      <c r="CM3956">
        <v>2</v>
      </c>
      <c r="CN3956">
        <v>0</v>
      </c>
      <c r="CO3956">
        <v>4</v>
      </c>
      <c r="CP3956" t="s">
        <v>119</v>
      </c>
      <c r="CQ3956">
        <v>285</v>
      </c>
      <c r="CR3956">
        <v>0</v>
      </c>
      <c r="CW3956">
        <v>8886192</v>
      </c>
      <c r="CY3956">
        <v>0</v>
      </c>
      <c r="CZ3956">
        <v>0</v>
      </c>
      <c r="DA3956">
        <v>1</v>
      </c>
      <c r="DB3956">
        <v>0</v>
      </c>
      <c r="DC3956">
        <v>0</v>
      </c>
      <c r="DD3956">
        <v>0</v>
      </c>
      <c r="DE3956">
        <v>0</v>
      </c>
      <c r="DF3956">
        <v>0</v>
      </c>
      <c r="DG3956">
        <v>0</v>
      </c>
      <c r="DH3956">
        <v>0</v>
      </c>
      <c r="DI3956">
        <v>0</v>
      </c>
    </row>
    <row r="3957" spans="1:113" x14ac:dyDescent="0.25">
      <c r="A3957" t="str">
        <f t="shared" si="2210"/>
        <v>06/05/2020 14:58:40.545</v>
      </c>
      <c r="C3957" t="str">
        <f t="shared" si="2201"/>
        <v>FFDFD3C0</v>
      </c>
      <c r="D3957" t="s">
        <v>134</v>
      </c>
      <c r="E3957">
        <v>7</v>
      </c>
      <c r="F3957">
        <v>2007</v>
      </c>
      <c r="G3957" t="s">
        <v>135</v>
      </c>
      <c r="J3957" t="s">
        <v>136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 t="shared" si="2211"/>
        <v>14:58:46.164</v>
      </c>
      <c r="T3957" t="str">
        <f t="shared" si="2212"/>
        <v>14:58:45.964</v>
      </c>
      <c r="U3957" t="str">
        <f t="shared" si="2185"/>
        <v>ACC530</v>
      </c>
      <c r="V3957">
        <v>0</v>
      </c>
      <c r="W3957">
        <v>0</v>
      </c>
      <c r="X3957">
        <v>1</v>
      </c>
      <c r="Z3957">
        <v>0</v>
      </c>
      <c r="AA3957">
        <v>9</v>
      </c>
      <c r="AB3957">
        <v>3</v>
      </c>
      <c r="AC3957">
        <v>0</v>
      </c>
      <c r="AD3957">
        <v>9</v>
      </c>
      <c r="AE3957">
        <v>0</v>
      </c>
      <c r="AF3957">
        <v>3</v>
      </c>
      <c r="AG3957">
        <v>1</v>
      </c>
      <c r="AH3957">
        <v>0</v>
      </c>
      <c r="AI3957" t="s">
        <v>1265</v>
      </c>
      <c r="AJ3957">
        <v>34.057530999999997</v>
      </c>
      <c r="AK3957" t="s">
        <v>1266</v>
      </c>
      <c r="AL3957">
        <v>-117.015553</v>
      </c>
      <c r="AM3957">
        <v>100</v>
      </c>
      <c r="AN3957">
        <v>5300</v>
      </c>
      <c r="AO3957" t="s">
        <v>118</v>
      </c>
      <c r="AP3957">
        <v>87</v>
      </c>
      <c r="AQ3957">
        <v>-28</v>
      </c>
      <c r="AR3957">
        <v>576</v>
      </c>
      <c r="AZ3957">
        <v>1200</v>
      </c>
      <c r="BA3957">
        <v>1</v>
      </c>
      <c r="BB3957" t="str">
        <f t="shared" si="2187"/>
        <v xml:space="preserve">N9217B  </v>
      </c>
      <c r="BC3957">
        <v>1</v>
      </c>
      <c r="BE3957">
        <v>0</v>
      </c>
      <c r="BF3957">
        <v>0</v>
      </c>
      <c r="BG3957">
        <v>0</v>
      </c>
      <c r="BH3957">
        <v>5200</v>
      </c>
      <c r="BI3957">
        <v>1</v>
      </c>
      <c r="BJ3957">
        <v>0</v>
      </c>
      <c r="BK3957">
        <v>0</v>
      </c>
      <c r="BL3957">
        <v>0</v>
      </c>
      <c r="BO3957">
        <v>0</v>
      </c>
      <c r="BP3957">
        <v>0</v>
      </c>
      <c r="BW3957" t="str">
        <f t="shared" si="2213"/>
        <v>14:58:46.166</v>
      </c>
      <c r="CJ3957">
        <v>0</v>
      </c>
      <c r="CK3957">
        <v>2</v>
      </c>
      <c r="CL3957">
        <v>0</v>
      </c>
      <c r="CM3957">
        <v>2</v>
      </c>
      <c r="CN3957">
        <v>0</v>
      </c>
      <c r="CO3957">
        <v>4</v>
      </c>
      <c r="CP3957" t="s">
        <v>119</v>
      </c>
      <c r="CQ3957">
        <v>285</v>
      </c>
      <c r="CR3957">
        <v>0</v>
      </c>
      <c r="CW3957">
        <v>8886192</v>
      </c>
      <c r="CY3957">
        <v>0</v>
      </c>
      <c r="CZ3957">
        <v>0</v>
      </c>
      <c r="DA3957">
        <v>1</v>
      </c>
      <c r="DB3957">
        <v>0</v>
      </c>
      <c r="DC3957">
        <v>0</v>
      </c>
      <c r="DD3957">
        <v>0</v>
      </c>
      <c r="DE3957">
        <v>0</v>
      </c>
      <c r="DF3957">
        <v>0</v>
      </c>
      <c r="DG3957">
        <v>0</v>
      </c>
      <c r="DH3957">
        <v>0</v>
      </c>
      <c r="DI3957">
        <v>0</v>
      </c>
    </row>
    <row r="3958" spans="1:113" x14ac:dyDescent="0.25">
      <c r="A3958" t="str">
        <f t="shared" si="2210"/>
        <v>06/05/2020 14:58:40.545</v>
      </c>
      <c r="C3958" t="str">
        <f t="shared" si="2201"/>
        <v>FFDFD3C0</v>
      </c>
      <c r="D3958" t="s">
        <v>148</v>
      </c>
      <c r="E3958">
        <v>11</v>
      </c>
      <c r="H3958">
        <v>53</v>
      </c>
      <c r="I3958" t="s">
        <v>364</v>
      </c>
      <c r="J3958" t="s">
        <v>150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 t="shared" si="2211"/>
        <v>14:58:46.164</v>
      </c>
      <c r="T3958" t="str">
        <f t="shared" si="2212"/>
        <v>14:58:45.964</v>
      </c>
      <c r="U3958" t="str">
        <f t="shared" si="2185"/>
        <v>ACC530</v>
      </c>
      <c r="V3958">
        <v>0</v>
      </c>
      <c r="W3958">
        <v>0</v>
      </c>
      <c r="X3958">
        <v>1</v>
      </c>
      <c r="Z3958">
        <v>0</v>
      </c>
      <c r="AA3958">
        <v>9</v>
      </c>
      <c r="AB3958">
        <v>3</v>
      </c>
      <c r="AC3958">
        <v>0</v>
      </c>
      <c r="AD3958">
        <v>9</v>
      </c>
      <c r="AE3958">
        <v>0</v>
      </c>
      <c r="AF3958">
        <v>3</v>
      </c>
      <c r="AG3958">
        <v>1</v>
      </c>
      <c r="AH3958">
        <v>0</v>
      </c>
      <c r="AI3958" t="s">
        <v>1265</v>
      </c>
      <c r="AJ3958">
        <v>34.057530999999997</v>
      </c>
      <c r="AK3958" t="s">
        <v>1266</v>
      </c>
      <c r="AL3958">
        <v>-117.015553</v>
      </c>
      <c r="AM3958">
        <v>100</v>
      </c>
      <c r="AN3958">
        <v>5300</v>
      </c>
      <c r="AO3958" t="s">
        <v>118</v>
      </c>
      <c r="AP3958">
        <v>87</v>
      </c>
      <c r="AQ3958">
        <v>-28</v>
      </c>
      <c r="AR3958">
        <v>576</v>
      </c>
      <c r="AZ3958">
        <v>1200</v>
      </c>
      <c r="BA3958">
        <v>1</v>
      </c>
      <c r="BB3958" t="str">
        <f t="shared" si="2187"/>
        <v xml:space="preserve">N9217B  </v>
      </c>
      <c r="BC3958">
        <v>1</v>
      </c>
      <c r="BE3958">
        <v>0</v>
      </c>
      <c r="BF3958">
        <v>0</v>
      </c>
      <c r="BG3958">
        <v>0</v>
      </c>
      <c r="BH3958">
        <v>5200</v>
      </c>
      <c r="BI3958">
        <v>1</v>
      </c>
      <c r="BJ3958">
        <v>0</v>
      </c>
      <c r="BK3958">
        <v>0</v>
      </c>
      <c r="BL3958">
        <v>0</v>
      </c>
      <c r="BO3958">
        <v>0</v>
      </c>
      <c r="BP3958">
        <v>0</v>
      </c>
      <c r="BW3958" t="str">
        <f t="shared" si="2213"/>
        <v>14:58:46.166</v>
      </c>
      <c r="CJ3958">
        <v>0</v>
      </c>
      <c r="CK3958">
        <v>2</v>
      </c>
      <c r="CL3958">
        <v>0</v>
      </c>
      <c r="CM3958">
        <v>2</v>
      </c>
      <c r="CN3958">
        <v>0</v>
      </c>
      <c r="CO3958">
        <v>4</v>
      </c>
      <c r="CP3958" t="s">
        <v>119</v>
      </c>
      <c r="CQ3958">
        <v>285</v>
      </c>
      <c r="CR3958">
        <v>0</v>
      </c>
      <c r="CW3958">
        <v>8886192</v>
      </c>
      <c r="CY3958">
        <v>0</v>
      </c>
      <c r="CZ3958">
        <v>0</v>
      </c>
      <c r="DA3958">
        <v>1</v>
      </c>
      <c r="DB3958">
        <v>0</v>
      </c>
      <c r="DC3958">
        <v>0</v>
      </c>
      <c r="DD3958">
        <v>0</v>
      </c>
      <c r="DE3958">
        <v>0</v>
      </c>
      <c r="DF3958">
        <v>0</v>
      </c>
      <c r="DG3958">
        <v>0</v>
      </c>
      <c r="DH3958">
        <v>0</v>
      </c>
      <c r="DI3958">
        <v>0</v>
      </c>
    </row>
    <row r="3959" spans="1:113" x14ac:dyDescent="0.25">
      <c r="A3959" t="str">
        <f t="shared" si="2210"/>
        <v>06/05/2020 14:58:40.545</v>
      </c>
      <c r="C3959" t="str">
        <f t="shared" si="2201"/>
        <v>FFDFD3C0</v>
      </c>
      <c r="D3959" t="s">
        <v>141</v>
      </c>
      <c r="E3959">
        <v>20</v>
      </c>
      <c r="F3959">
        <v>1020</v>
      </c>
      <c r="G3959" t="s">
        <v>114</v>
      </c>
      <c r="J3959" t="s">
        <v>142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 t="shared" si="2211"/>
        <v>14:58:46.164</v>
      </c>
      <c r="T3959" t="str">
        <f t="shared" si="2212"/>
        <v>14:58:45.964</v>
      </c>
      <c r="U3959" t="str">
        <f t="shared" si="2185"/>
        <v>ACC530</v>
      </c>
      <c r="V3959">
        <v>0</v>
      </c>
      <c r="W3959">
        <v>0</v>
      </c>
      <c r="X3959">
        <v>1</v>
      </c>
      <c r="Z3959">
        <v>0</v>
      </c>
      <c r="AA3959">
        <v>9</v>
      </c>
      <c r="AB3959">
        <v>3</v>
      </c>
      <c r="AC3959">
        <v>0</v>
      </c>
      <c r="AD3959">
        <v>9</v>
      </c>
      <c r="AE3959">
        <v>0</v>
      </c>
      <c r="AF3959">
        <v>3</v>
      </c>
      <c r="AG3959">
        <v>1</v>
      </c>
      <c r="AH3959">
        <v>0</v>
      </c>
      <c r="AI3959" t="s">
        <v>1265</v>
      </c>
      <c r="AJ3959">
        <v>34.057530999999997</v>
      </c>
      <c r="AK3959" t="s">
        <v>1266</v>
      </c>
      <c r="AL3959">
        <v>-117.015553</v>
      </c>
      <c r="AM3959">
        <v>100</v>
      </c>
      <c r="AN3959">
        <v>5300</v>
      </c>
      <c r="AO3959" t="s">
        <v>118</v>
      </c>
      <c r="AP3959">
        <v>87</v>
      </c>
      <c r="AQ3959">
        <v>-28</v>
      </c>
      <c r="AR3959">
        <v>576</v>
      </c>
      <c r="AZ3959">
        <v>1200</v>
      </c>
      <c r="BA3959">
        <v>1</v>
      </c>
      <c r="BB3959" t="str">
        <f t="shared" si="2187"/>
        <v xml:space="preserve">N9217B  </v>
      </c>
      <c r="BC3959">
        <v>1</v>
      </c>
      <c r="BE3959">
        <v>0</v>
      </c>
      <c r="BF3959">
        <v>0</v>
      </c>
      <c r="BG3959">
        <v>0</v>
      </c>
      <c r="BH3959">
        <v>5200</v>
      </c>
      <c r="BI3959">
        <v>1</v>
      </c>
      <c r="BJ3959">
        <v>0</v>
      </c>
      <c r="BK3959">
        <v>0</v>
      </c>
      <c r="BL3959">
        <v>0</v>
      </c>
      <c r="BO3959">
        <v>0</v>
      </c>
      <c r="BP3959">
        <v>0</v>
      </c>
      <c r="BW3959" t="str">
        <f t="shared" si="2213"/>
        <v>14:58:46.166</v>
      </c>
      <c r="CJ3959">
        <v>0</v>
      </c>
      <c r="CK3959">
        <v>2</v>
      </c>
      <c r="CL3959">
        <v>0</v>
      </c>
      <c r="CM3959">
        <v>2</v>
      </c>
      <c r="CN3959">
        <v>0</v>
      </c>
      <c r="CO3959">
        <v>4</v>
      </c>
      <c r="CP3959" t="s">
        <v>119</v>
      </c>
      <c r="CQ3959">
        <v>285</v>
      </c>
      <c r="CR3959">
        <v>0</v>
      </c>
      <c r="CW3959">
        <v>8886192</v>
      </c>
      <c r="CY3959">
        <v>0</v>
      </c>
      <c r="CZ3959">
        <v>0</v>
      </c>
      <c r="DA3959">
        <v>1</v>
      </c>
      <c r="DB3959">
        <v>0</v>
      </c>
      <c r="DC3959">
        <v>0</v>
      </c>
      <c r="DD3959">
        <v>0</v>
      </c>
      <c r="DE3959">
        <v>0</v>
      </c>
      <c r="DF3959">
        <v>0</v>
      </c>
      <c r="DG3959">
        <v>0</v>
      </c>
      <c r="DH3959">
        <v>0</v>
      </c>
      <c r="DI3959">
        <v>0</v>
      </c>
    </row>
    <row r="3960" spans="1:113" x14ac:dyDescent="0.25">
      <c r="A3960" t="str">
        <f t="shared" si="2210"/>
        <v>06/05/2020 14:58:40.545</v>
      </c>
      <c r="C3960" t="str">
        <f t="shared" si="2201"/>
        <v>FFDFD3C0</v>
      </c>
      <c r="D3960" t="s">
        <v>113</v>
      </c>
      <c r="E3960">
        <v>3</v>
      </c>
      <c r="H3960">
        <v>166</v>
      </c>
      <c r="I3960" t="s">
        <v>114</v>
      </c>
      <c r="J3960" t="s">
        <v>115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 t="shared" si="2211"/>
        <v>14:58:46.164</v>
      </c>
      <c r="T3960" t="str">
        <f t="shared" si="2212"/>
        <v>14:58:45.964</v>
      </c>
      <c r="U3960" t="str">
        <f t="shared" si="2185"/>
        <v>ACC530</v>
      </c>
      <c r="V3960">
        <v>0</v>
      </c>
      <c r="W3960">
        <v>0</v>
      </c>
      <c r="X3960">
        <v>1</v>
      </c>
      <c r="Z3960">
        <v>0</v>
      </c>
      <c r="AA3960">
        <v>9</v>
      </c>
      <c r="AB3960">
        <v>3</v>
      </c>
      <c r="AC3960">
        <v>0</v>
      </c>
      <c r="AD3960">
        <v>9</v>
      </c>
      <c r="AE3960">
        <v>0</v>
      </c>
      <c r="AF3960">
        <v>3</v>
      </c>
      <c r="AG3960">
        <v>1</v>
      </c>
      <c r="AH3960">
        <v>0</v>
      </c>
      <c r="AI3960" t="s">
        <v>1265</v>
      </c>
      <c r="AJ3960">
        <v>34.057530999999997</v>
      </c>
      <c r="AK3960" t="s">
        <v>1266</v>
      </c>
      <c r="AL3960">
        <v>-117.015553</v>
      </c>
      <c r="AM3960">
        <v>100</v>
      </c>
      <c r="AN3960">
        <v>5300</v>
      </c>
      <c r="AO3960" t="s">
        <v>118</v>
      </c>
      <c r="AP3960">
        <v>87</v>
      </c>
      <c r="AQ3960">
        <v>-28</v>
      </c>
      <c r="AR3960">
        <v>576</v>
      </c>
      <c r="AZ3960">
        <v>1200</v>
      </c>
      <c r="BA3960">
        <v>1</v>
      </c>
      <c r="BB3960" t="str">
        <f t="shared" si="2187"/>
        <v xml:space="preserve">N9217B  </v>
      </c>
      <c r="BC3960">
        <v>1</v>
      </c>
      <c r="BE3960">
        <v>0</v>
      </c>
      <c r="BF3960">
        <v>0</v>
      </c>
      <c r="BG3960">
        <v>0</v>
      </c>
      <c r="BH3960">
        <v>5200</v>
      </c>
      <c r="BI3960">
        <v>1</v>
      </c>
      <c r="BJ3960">
        <v>0</v>
      </c>
      <c r="BK3960">
        <v>0</v>
      </c>
      <c r="BL3960">
        <v>0</v>
      </c>
      <c r="BO3960">
        <v>0</v>
      </c>
      <c r="BP3960">
        <v>0</v>
      </c>
      <c r="BW3960" t="str">
        <f t="shared" si="2213"/>
        <v>14:58:46.166</v>
      </c>
      <c r="CJ3960">
        <v>0</v>
      </c>
      <c r="CK3960">
        <v>2</v>
      </c>
      <c r="CL3960">
        <v>0</v>
      </c>
      <c r="CM3960">
        <v>2</v>
      </c>
      <c r="CN3960">
        <v>0</v>
      </c>
      <c r="CO3960">
        <v>4</v>
      </c>
      <c r="CP3960" t="s">
        <v>119</v>
      </c>
      <c r="CQ3960">
        <v>285</v>
      </c>
      <c r="CR3960">
        <v>0</v>
      </c>
      <c r="CW3960">
        <v>8886192</v>
      </c>
      <c r="CY3960">
        <v>0</v>
      </c>
      <c r="CZ3960">
        <v>0</v>
      </c>
      <c r="DA3960">
        <v>1</v>
      </c>
      <c r="DB3960">
        <v>0</v>
      </c>
      <c r="DC3960">
        <v>0</v>
      </c>
      <c r="DD3960">
        <v>0</v>
      </c>
      <c r="DE3960">
        <v>0</v>
      </c>
      <c r="DF3960">
        <v>0</v>
      </c>
      <c r="DG3960">
        <v>0</v>
      </c>
      <c r="DH3960">
        <v>0</v>
      </c>
      <c r="DI3960">
        <v>0</v>
      </c>
    </row>
    <row r="3961" spans="1:113" x14ac:dyDescent="0.25">
      <c r="A3961" t="str">
        <f t="shared" si="2210"/>
        <v>06/05/2020 14:58:40.545</v>
      </c>
      <c r="C3961" t="str">
        <f t="shared" si="2201"/>
        <v>FFDFD3C0</v>
      </c>
      <c r="D3961" t="s">
        <v>151</v>
      </c>
      <c r="E3961">
        <v>8</v>
      </c>
      <c r="H3961">
        <v>225</v>
      </c>
      <c r="I3961" t="s">
        <v>353</v>
      </c>
      <c r="J3961" t="s">
        <v>150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 t="shared" si="2211"/>
        <v>14:58:46.164</v>
      </c>
      <c r="T3961" t="str">
        <f t="shared" si="2212"/>
        <v>14:58:45.964</v>
      </c>
      <c r="U3961" t="str">
        <f t="shared" si="2185"/>
        <v>ACC530</v>
      </c>
      <c r="V3961">
        <v>0</v>
      </c>
      <c r="W3961">
        <v>0</v>
      </c>
      <c r="X3961">
        <v>1</v>
      </c>
      <c r="Z3961">
        <v>0</v>
      </c>
      <c r="AA3961">
        <v>9</v>
      </c>
      <c r="AB3961">
        <v>3</v>
      </c>
      <c r="AC3961">
        <v>0</v>
      </c>
      <c r="AD3961">
        <v>9</v>
      </c>
      <c r="AE3961">
        <v>0</v>
      </c>
      <c r="AF3961">
        <v>3</v>
      </c>
      <c r="AG3961">
        <v>1</v>
      </c>
      <c r="AH3961">
        <v>0</v>
      </c>
      <c r="AI3961" t="s">
        <v>1265</v>
      </c>
      <c r="AJ3961">
        <v>34.057530999999997</v>
      </c>
      <c r="AK3961" t="s">
        <v>1266</v>
      </c>
      <c r="AL3961">
        <v>-117.015553</v>
      </c>
      <c r="AM3961">
        <v>100</v>
      </c>
      <c r="AN3961">
        <v>5300</v>
      </c>
      <c r="AO3961" t="s">
        <v>118</v>
      </c>
      <c r="AP3961">
        <v>87</v>
      </c>
      <c r="AQ3961">
        <v>-28</v>
      </c>
      <c r="AR3961">
        <v>576</v>
      </c>
      <c r="AZ3961">
        <v>1200</v>
      </c>
      <c r="BA3961">
        <v>1</v>
      </c>
      <c r="BB3961" t="str">
        <f t="shared" si="2187"/>
        <v xml:space="preserve">N9217B  </v>
      </c>
      <c r="BC3961">
        <v>1</v>
      </c>
      <c r="BE3961">
        <v>0</v>
      </c>
      <c r="BF3961">
        <v>0</v>
      </c>
      <c r="BG3961">
        <v>0</v>
      </c>
      <c r="BH3961">
        <v>5200</v>
      </c>
      <c r="BI3961">
        <v>1</v>
      </c>
      <c r="BJ3961">
        <v>0</v>
      </c>
      <c r="BK3961">
        <v>0</v>
      </c>
      <c r="BL3961">
        <v>0</v>
      </c>
      <c r="BO3961">
        <v>0</v>
      </c>
      <c r="BP3961">
        <v>0</v>
      </c>
      <c r="BW3961" t="str">
        <f t="shared" si="2213"/>
        <v>14:58:46.166</v>
      </c>
      <c r="CJ3961">
        <v>0</v>
      </c>
      <c r="CK3961">
        <v>2</v>
      </c>
      <c r="CL3961">
        <v>0</v>
      </c>
      <c r="CM3961">
        <v>2</v>
      </c>
      <c r="CN3961">
        <v>0</v>
      </c>
      <c r="CO3961">
        <v>4</v>
      </c>
      <c r="CP3961" t="s">
        <v>119</v>
      </c>
      <c r="CQ3961">
        <v>285</v>
      </c>
      <c r="CR3961">
        <v>0</v>
      </c>
      <c r="CW3961">
        <v>8886192</v>
      </c>
      <c r="CY3961">
        <v>0</v>
      </c>
      <c r="CZ3961">
        <v>0</v>
      </c>
      <c r="DA3961">
        <v>1</v>
      </c>
      <c r="DB3961">
        <v>0</v>
      </c>
      <c r="DC3961">
        <v>0</v>
      </c>
      <c r="DD3961">
        <v>0</v>
      </c>
      <c r="DE3961">
        <v>0</v>
      </c>
      <c r="DF3961">
        <v>0</v>
      </c>
      <c r="DG3961">
        <v>0</v>
      </c>
      <c r="DH3961">
        <v>0</v>
      </c>
      <c r="DI3961">
        <v>0</v>
      </c>
    </row>
    <row r="3962" spans="1:113" x14ac:dyDescent="0.25">
      <c r="A3962" t="str">
        <f t="shared" ref="A3962:A3968" si="2214">"06/05/2020 14:58:41.667"</f>
        <v>06/05/2020 14:58:41.667</v>
      </c>
      <c r="C3962" t="str">
        <f t="shared" si="2201"/>
        <v>FFDFD3C0</v>
      </c>
      <c r="D3962" t="s">
        <v>151</v>
      </c>
      <c r="E3962">
        <v>9</v>
      </c>
      <c r="H3962">
        <v>226</v>
      </c>
      <c r="I3962" t="s">
        <v>152</v>
      </c>
      <c r="J3962" t="s">
        <v>150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 t="shared" ref="S3962:S3968" si="2215">"14:58:47.328"</f>
        <v>14:58:47.328</v>
      </c>
      <c r="T3962" t="str">
        <f t="shared" ref="T3962:T3968" si="2216">"14:58:46.828"</f>
        <v>14:58:46.828</v>
      </c>
      <c r="U3962" t="str">
        <f t="shared" si="2185"/>
        <v>ACC530</v>
      </c>
      <c r="V3962">
        <v>0</v>
      </c>
      <c r="W3962">
        <v>0</v>
      </c>
      <c r="X3962">
        <v>1</v>
      </c>
      <c r="Z3962">
        <v>0</v>
      </c>
      <c r="AA3962">
        <v>9</v>
      </c>
      <c r="AB3962">
        <v>3</v>
      </c>
      <c r="AC3962">
        <v>0</v>
      </c>
      <c r="AD3962">
        <v>9</v>
      </c>
      <c r="AE3962">
        <v>0</v>
      </c>
      <c r="AF3962">
        <v>3</v>
      </c>
      <c r="AG3962">
        <v>1</v>
      </c>
      <c r="AH3962">
        <v>0</v>
      </c>
      <c r="AI3962" t="s">
        <v>1267</v>
      </c>
      <c r="AJ3962">
        <v>34.057423999999997</v>
      </c>
      <c r="AK3962" t="s">
        <v>1268</v>
      </c>
      <c r="AL3962">
        <v>-117.01493000000001</v>
      </c>
      <c r="AM3962">
        <v>100</v>
      </c>
      <c r="AN3962">
        <v>5400</v>
      </c>
      <c r="AO3962" t="s">
        <v>118</v>
      </c>
      <c r="AP3962">
        <v>90</v>
      </c>
      <c r="AQ3962">
        <v>-18</v>
      </c>
      <c r="AR3962">
        <v>576</v>
      </c>
      <c r="AZ3962">
        <v>1200</v>
      </c>
      <c r="BA3962">
        <v>1</v>
      </c>
      <c r="BB3962" t="str">
        <f t="shared" si="2187"/>
        <v xml:space="preserve">N9217B  </v>
      </c>
      <c r="BC3962">
        <v>1</v>
      </c>
      <c r="BE3962">
        <v>0</v>
      </c>
      <c r="BF3962">
        <v>0</v>
      </c>
      <c r="BG3962">
        <v>0</v>
      </c>
      <c r="BH3962">
        <v>5200</v>
      </c>
      <c r="BI3962">
        <v>1</v>
      </c>
      <c r="BJ3962">
        <v>0</v>
      </c>
      <c r="BK3962">
        <v>0</v>
      </c>
      <c r="BL3962">
        <v>0</v>
      </c>
      <c r="BO3962">
        <v>0</v>
      </c>
      <c r="BP3962">
        <v>0</v>
      </c>
      <c r="BW3962" t="str">
        <f t="shared" ref="BW3962:BW3968" si="2217">"14:58:47.335"</f>
        <v>14:58:47.335</v>
      </c>
      <c r="CJ3962">
        <v>0</v>
      </c>
      <c r="CK3962">
        <v>2</v>
      </c>
      <c r="CL3962">
        <v>0</v>
      </c>
      <c r="CM3962">
        <v>2</v>
      </c>
      <c r="CN3962">
        <v>0</v>
      </c>
      <c r="CO3962">
        <v>5</v>
      </c>
      <c r="CP3962" t="s">
        <v>119</v>
      </c>
      <c r="CQ3962">
        <v>285</v>
      </c>
      <c r="CR3962">
        <v>0</v>
      </c>
      <c r="CW3962">
        <v>8886303</v>
      </c>
      <c r="CY3962">
        <v>0</v>
      </c>
      <c r="CZ3962">
        <v>0</v>
      </c>
      <c r="DA3962">
        <v>0</v>
      </c>
      <c r="DB3962">
        <v>0</v>
      </c>
      <c r="DC3962">
        <v>0</v>
      </c>
      <c r="DD3962">
        <v>0</v>
      </c>
      <c r="DE3962">
        <v>0</v>
      </c>
      <c r="DF3962">
        <v>0</v>
      </c>
      <c r="DG3962">
        <v>0</v>
      </c>
      <c r="DH3962">
        <v>0</v>
      </c>
      <c r="DI3962">
        <v>0</v>
      </c>
    </row>
    <row r="3963" spans="1:113" x14ac:dyDescent="0.25">
      <c r="A3963" t="str">
        <f t="shared" si="2214"/>
        <v>06/05/2020 14:58:41.667</v>
      </c>
      <c r="C3963" t="str">
        <f t="shared" si="2201"/>
        <v>FFDFD3C0</v>
      </c>
      <c r="D3963" t="s">
        <v>134</v>
      </c>
      <c r="E3963">
        <v>7</v>
      </c>
      <c r="F3963">
        <v>2007</v>
      </c>
      <c r="G3963" t="s">
        <v>135</v>
      </c>
      <c r="J3963" t="s">
        <v>136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 t="shared" si="2215"/>
        <v>14:58:47.328</v>
      </c>
      <c r="T3963" t="str">
        <f t="shared" si="2216"/>
        <v>14:58:46.828</v>
      </c>
      <c r="U3963" t="str">
        <f t="shared" si="2185"/>
        <v>ACC530</v>
      </c>
      <c r="V3963">
        <v>0</v>
      </c>
      <c r="W3963">
        <v>0</v>
      </c>
      <c r="X3963">
        <v>1</v>
      </c>
      <c r="Z3963">
        <v>0</v>
      </c>
      <c r="AA3963">
        <v>9</v>
      </c>
      <c r="AB3963">
        <v>3</v>
      </c>
      <c r="AC3963">
        <v>0</v>
      </c>
      <c r="AD3963">
        <v>9</v>
      </c>
      <c r="AE3963">
        <v>0</v>
      </c>
      <c r="AF3963">
        <v>3</v>
      </c>
      <c r="AG3963">
        <v>1</v>
      </c>
      <c r="AH3963">
        <v>0</v>
      </c>
      <c r="AI3963" t="s">
        <v>1267</v>
      </c>
      <c r="AJ3963">
        <v>34.057423999999997</v>
      </c>
      <c r="AK3963" t="s">
        <v>1268</v>
      </c>
      <c r="AL3963">
        <v>-117.01493000000001</v>
      </c>
      <c r="AM3963">
        <v>100</v>
      </c>
      <c r="AN3963">
        <v>5400</v>
      </c>
      <c r="AO3963" t="s">
        <v>118</v>
      </c>
      <c r="AP3963">
        <v>90</v>
      </c>
      <c r="AQ3963">
        <v>-18</v>
      </c>
      <c r="AR3963">
        <v>576</v>
      </c>
      <c r="AZ3963">
        <v>1200</v>
      </c>
      <c r="BA3963">
        <v>1</v>
      </c>
      <c r="BB3963" t="str">
        <f t="shared" si="2187"/>
        <v xml:space="preserve">N9217B  </v>
      </c>
      <c r="BC3963">
        <v>1</v>
      </c>
      <c r="BE3963">
        <v>0</v>
      </c>
      <c r="BF3963">
        <v>0</v>
      </c>
      <c r="BG3963">
        <v>0</v>
      </c>
      <c r="BH3963">
        <v>5200</v>
      </c>
      <c r="BI3963">
        <v>1</v>
      </c>
      <c r="BJ3963">
        <v>0</v>
      </c>
      <c r="BK3963">
        <v>0</v>
      </c>
      <c r="BL3963">
        <v>0</v>
      </c>
      <c r="BO3963">
        <v>0</v>
      </c>
      <c r="BP3963">
        <v>0</v>
      </c>
      <c r="BW3963" t="str">
        <f t="shared" si="2217"/>
        <v>14:58:47.335</v>
      </c>
      <c r="CJ3963">
        <v>0</v>
      </c>
      <c r="CK3963">
        <v>2</v>
      </c>
      <c r="CL3963">
        <v>0</v>
      </c>
      <c r="CM3963">
        <v>2</v>
      </c>
      <c r="CN3963">
        <v>0</v>
      </c>
      <c r="CO3963">
        <v>5</v>
      </c>
      <c r="CP3963" t="s">
        <v>119</v>
      </c>
      <c r="CQ3963">
        <v>285</v>
      </c>
      <c r="CR3963">
        <v>0</v>
      </c>
      <c r="CW3963">
        <v>8886303</v>
      </c>
      <c r="CY3963">
        <v>0</v>
      </c>
      <c r="CZ3963">
        <v>0</v>
      </c>
      <c r="DA3963">
        <v>1</v>
      </c>
      <c r="DB3963">
        <v>0</v>
      </c>
      <c r="DC3963">
        <v>0</v>
      </c>
      <c r="DD3963">
        <v>0</v>
      </c>
      <c r="DE3963">
        <v>0</v>
      </c>
      <c r="DF3963">
        <v>0</v>
      </c>
      <c r="DG3963">
        <v>0</v>
      </c>
      <c r="DH3963">
        <v>0</v>
      </c>
      <c r="DI3963">
        <v>0</v>
      </c>
    </row>
    <row r="3964" spans="1:113" x14ac:dyDescent="0.25">
      <c r="A3964" t="str">
        <f t="shared" si="2214"/>
        <v>06/05/2020 14:58:41.667</v>
      </c>
      <c r="C3964" t="str">
        <f t="shared" si="2201"/>
        <v>FFDFD3C0</v>
      </c>
      <c r="D3964" t="s">
        <v>148</v>
      </c>
      <c r="E3964">
        <v>11</v>
      </c>
      <c r="H3964">
        <v>53</v>
      </c>
      <c r="I3964" t="s">
        <v>364</v>
      </c>
      <c r="J3964" t="s">
        <v>150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 t="shared" si="2215"/>
        <v>14:58:47.328</v>
      </c>
      <c r="T3964" t="str">
        <f t="shared" si="2216"/>
        <v>14:58:46.828</v>
      </c>
      <c r="U3964" t="str">
        <f t="shared" si="2185"/>
        <v>ACC530</v>
      </c>
      <c r="V3964">
        <v>0</v>
      </c>
      <c r="W3964">
        <v>0</v>
      </c>
      <c r="X3964">
        <v>1</v>
      </c>
      <c r="Z3964">
        <v>0</v>
      </c>
      <c r="AA3964">
        <v>9</v>
      </c>
      <c r="AB3964">
        <v>3</v>
      </c>
      <c r="AC3964">
        <v>0</v>
      </c>
      <c r="AD3964">
        <v>9</v>
      </c>
      <c r="AE3964">
        <v>0</v>
      </c>
      <c r="AF3964">
        <v>3</v>
      </c>
      <c r="AG3964">
        <v>1</v>
      </c>
      <c r="AH3964">
        <v>0</v>
      </c>
      <c r="AI3964" t="s">
        <v>1267</v>
      </c>
      <c r="AJ3964">
        <v>34.057423999999997</v>
      </c>
      <c r="AK3964" t="s">
        <v>1268</v>
      </c>
      <c r="AL3964">
        <v>-117.01493000000001</v>
      </c>
      <c r="AM3964">
        <v>100</v>
      </c>
      <c r="AN3964">
        <v>5400</v>
      </c>
      <c r="AO3964" t="s">
        <v>118</v>
      </c>
      <c r="AP3964">
        <v>90</v>
      </c>
      <c r="AQ3964">
        <v>-18</v>
      </c>
      <c r="AR3964">
        <v>576</v>
      </c>
      <c r="AZ3964">
        <v>1200</v>
      </c>
      <c r="BA3964">
        <v>1</v>
      </c>
      <c r="BB3964" t="str">
        <f t="shared" si="2187"/>
        <v xml:space="preserve">N9217B  </v>
      </c>
      <c r="BC3964">
        <v>1</v>
      </c>
      <c r="BE3964">
        <v>0</v>
      </c>
      <c r="BF3964">
        <v>0</v>
      </c>
      <c r="BG3964">
        <v>0</v>
      </c>
      <c r="BH3964">
        <v>5200</v>
      </c>
      <c r="BI3964">
        <v>1</v>
      </c>
      <c r="BJ3964">
        <v>0</v>
      </c>
      <c r="BK3964">
        <v>0</v>
      </c>
      <c r="BL3964">
        <v>0</v>
      </c>
      <c r="BO3964">
        <v>0</v>
      </c>
      <c r="BP3964">
        <v>0</v>
      </c>
      <c r="BW3964" t="str">
        <f t="shared" si="2217"/>
        <v>14:58:47.335</v>
      </c>
      <c r="CJ3964">
        <v>0</v>
      </c>
      <c r="CK3964">
        <v>2</v>
      </c>
      <c r="CL3964">
        <v>0</v>
      </c>
      <c r="CM3964">
        <v>2</v>
      </c>
      <c r="CN3964">
        <v>0</v>
      </c>
      <c r="CO3964">
        <v>5</v>
      </c>
      <c r="CP3964" t="s">
        <v>119</v>
      </c>
      <c r="CQ3964">
        <v>285</v>
      </c>
      <c r="CR3964">
        <v>0</v>
      </c>
      <c r="CW3964">
        <v>8886303</v>
      </c>
      <c r="CY3964">
        <v>0</v>
      </c>
      <c r="CZ3964">
        <v>0</v>
      </c>
      <c r="DA3964">
        <v>1</v>
      </c>
      <c r="DB3964">
        <v>0</v>
      </c>
      <c r="DC3964">
        <v>0</v>
      </c>
      <c r="DD3964">
        <v>0</v>
      </c>
      <c r="DE3964">
        <v>0</v>
      </c>
      <c r="DF3964">
        <v>0</v>
      </c>
      <c r="DG3964">
        <v>0</v>
      </c>
      <c r="DH3964">
        <v>0</v>
      </c>
      <c r="DI3964">
        <v>0</v>
      </c>
    </row>
    <row r="3965" spans="1:113" x14ac:dyDescent="0.25">
      <c r="A3965" t="str">
        <f t="shared" si="2214"/>
        <v>06/05/2020 14:58:41.667</v>
      </c>
      <c r="C3965" t="str">
        <f t="shared" si="2201"/>
        <v>FFDFD3C0</v>
      </c>
      <c r="D3965" t="s">
        <v>141</v>
      </c>
      <c r="E3965">
        <v>20</v>
      </c>
      <c r="F3965">
        <v>1020</v>
      </c>
      <c r="G3965" t="s">
        <v>114</v>
      </c>
      <c r="J3965" t="s">
        <v>142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 t="shared" si="2215"/>
        <v>14:58:47.328</v>
      </c>
      <c r="T3965" t="str">
        <f t="shared" si="2216"/>
        <v>14:58:46.828</v>
      </c>
      <c r="U3965" t="str">
        <f t="shared" si="2185"/>
        <v>ACC530</v>
      </c>
      <c r="V3965">
        <v>0</v>
      </c>
      <c r="W3965">
        <v>0</v>
      </c>
      <c r="X3965">
        <v>1</v>
      </c>
      <c r="Z3965">
        <v>0</v>
      </c>
      <c r="AA3965">
        <v>9</v>
      </c>
      <c r="AB3965">
        <v>3</v>
      </c>
      <c r="AC3965">
        <v>0</v>
      </c>
      <c r="AD3965">
        <v>9</v>
      </c>
      <c r="AE3965">
        <v>0</v>
      </c>
      <c r="AF3965">
        <v>3</v>
      </c>
      <c r="AG3965">
        <v>1</v>
      </c>
      <c r="AH3965">
        <v>0</v>
      </c>
      <c r="AI3965" t="s">
        <v>1267</v>
      </c>
      <c r="AJ3965">
        <v>34.057423999999997</v>
      </c>
      <c r="AK3965" t="s">
        <v>1268</v>
      </c>
      <c r="AL3965">
        <v>-117.01493000000001</v>
      </c>
      <c r="AM3965">
        <v>100</v>
      </c>
      <c r="AN3965">
        <v>5400</v>
      </c>
      <c r="AO3965" t="s">
        <v>118</v>
      </c>
      <c r="AP3965">
        <v>90</v>
      </c>
      <c r="AQ3965">
        <v>-18</v>
      </c>
      <c r="AR3965">
        <v>576</v>
      </c>
      <c r="AZ3965">
        <v>1200</v>
      </c>
      <c r="BA3965">
        <v>1</v>
      </c>
      <c r="BB3965" t="str">
        <f t="shared" si="2187"/>
        <v xml:space="preserve">N9217B  </v>
      </c>
      <c r="BC3965">
        <v>1</v>
      </c>
      <c r="BE3965">
        <v>0</v>
      </c>
      <c r="BF3965">
        <v>0</v>
      </c>
      <c r="BG3965">
        <v>0</v>
      </c>
      <c r="BH3965">
        <v>5200</v>
      </c>
      <c r="BI3965">
        <v>1</v>
      </c>
      <c r="BJ3965">
        <v>0</v>
      </c>
      <c r="BK3965">
        <v>0</v>
      </c>
      <c r="BL3965">
        <v>0</v>
      </c>
      <c r="BO3965">
        <v>0</v>
      </c>
      <c r="BP3965">
        <v>0</v>
      </c>
      <c r="BW3965" t="str">
        <f t="shared" si="2217"/>
        <v>14:58:47.335</v>
      </c>
      <c r="CJ3965">
        <v>0</v>
      </c>
      <c r="CK3965">
        <v>2</v>
      </c>
      <c r="CL3965">
        <v>0</v>
      </c>
      <c r="CM3965">
        <v>2</v>
      </c>
      <c r="CN3965">
        <v>0</v>
      </c>
      <c r="CO3965">
        <v>5</v>
      </c>
      <c r="CP3965" t="s">
        <v>119</v>
      </c>
      <c r="CQ3965">
        <v>285</v>
      </c>
      <c r="CR3965">
        <v>0</v>
      </c>
      <c r="CW3965">
        <v>8886303</v>
      </c>
      <c r="CY3965">
        <v>0</v>
      </c>
      <c r="CZ3965">
        <v>0</v>
      </c>
      <c r="DA3965">
        <v>1</v>
      </c>
      <c r="DB3965">
        <v>0</v>
      </c>
      <c r="DC3965">
        <v>0</v>
      </c>
      <c r="DD3965">
        <v>0</v>
      </c>
      <c r="DE3965">
        <v>0</v>
      </c>
      <c r="DF3965">
        <v>0</v>
      </c>
      <c r="DG3965">
        <v>0</v>
      </c>
      <c r="DH3965">
        <v>0</v>
      </c>
      <c r="DI3965">
        <v>0</v>
      </c>
    </row>
    <row r="3966" spans="1:113" x14ac:dyDescent="0.25">
      <c r="A3966" t="str">
        <f t="shared" si="2214"/>
        <v>06/05/2020 14:58:41.667</v>
      </c>
      <c r="C3966" t="str">
        <f t="shared" si="2201"/>
        <v>FFDFD3C0</v>
      </c>
      <c r="D3966" t="s">
        <v>113</v>
      </c>
      <c r="E3966">
        <v>3</v>
      </c>
      <c r="H3966">
        <v>166</v>
      </c>
      <c r="I3966" t="s">
        <v>114</v>
      </c>
      <c r="J3966" t="s">
        <v>115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 t="shared" si="2215"/>
        <v>14:58:47.328</v>
      </c>
      <c r="T3966" t="str">
        <f t="shared" si="2216"/>
        <v>14:58:46.828</v>
      </c>
      <c r="U3966" t="str">
        <f t="shared" si="2185"/>
        <v>ACC530</v>
      </c>
      <c r="V3966">
        <v>0</v>
      </c>
      <c r="W3966">
        <v>0</v>
      </c>
      <c r="X3966">
        <v>1</v>
      </c>
      <c r="Z3966">
        <v>0</v>
      </c>
      <c r="AA3966">
        <v>9</v>
      </c>
      <c r="AB3966">
        <v>3</v>
      </c>
      <c r="AC3966">
        <v>0</v>
      </c>
      <c r="AD3966">
        <v>9</v>
      </c>
      <c r="AE3966">
        <v>0</v>
      </c>
      <c r="AF3966">
        <v>3</v>
      </c>
      <c r="AG3966">
        <v>1</v>
      </c>
      <c r="AH3966">
        <v>0</v>
      </c>
      <c r="AI3966" t="s">
        <v>1267</v>
      </c>
      <c r="AJ3966">
        <v>34.057423999999997</v>
      </c>
      <c r="AK3966" t="s">
        <v>1268</v>
      </c>
      <c r="AL3966">
        <v>-117.01493000000001</v>
      </c>
      <c r="AM3966">
        <v>100</v>
      </c>
      <c r="AN3966">
        <v>5400</v>
      </c>
      <c r="AO3966" t="s">
        <v>118</v>
      </c>
      <c r="AP3966">
        <v>90</v>
      </c>
      <c r="AQ3966">
        <v>-18</v>
      </c>
      <c r="AR3966">
        <v>576</v>
      </c>
      <c r="AZ3966">
        <v>1200</v>
      </c>
      <c r="BA3966">
        <v>1</v>
      </c>
      <c r="BB3966" t="str">
        <f t="shared" si="2187"/>
        <v xml:space="preserve">N9217B  </v>
      </c>
      <c r="BC3966">
        <v>1</v>
      </c>
      <c r="BE3966">
        <v>0</v>
      </c>
      <c r="BF3966">
        <v>0</v>
      </c>
      <c r="BG3966">
        <v>0</v>
      </c>
      <c r="BH3966">
        <v>5200</v>
      </c>
      <c r="BI3966">
        <v>1</v>
      </c>
      <c r="BJ3966">
        <v>0</v>
      </c>
      <c r="BK3966">
        <v>0</v>
      </c>
      <c r="BL3966">
        <v>0</v>
      </c>
      <c r="BO3966">
        <v>0</v>
      </c>
      <c r="BP3966">
        <v>0</v>
      </c>
      <c r="BW3966" t="str">
        <f t="shared" si="2217"/>
        <v>14:58:47.335</v>
      </c>
      <c r="CJ3966">
        <v>0</v>
      </c>
      <c r="CK3966">
        <v>2</v>
      </c>
      <c r="CL3966">
        <v>0</v>
      </c>
      <c r="CM3966">
        <v>2</v>
      </c>
      <c r="CN3966">
        <v>0</v>
      </c>
      <c r="CO3966">
        <v>5</v>
      </c>
      <c r="CP3966" t="s">
        <v>119</v>
      </c>
      <c r="CQ3966">
        <v>285</v>
      </c>
      <c r="CR3966">
        <v>0</v>
      </c>
      <c r="CW3966">
        <v>8886303</v>
      </c>
      <c r="CY3966">
        <v>0</v>
      </c>
      <c r="CZ3966">
        <v>0</v>
      </c>
      <c r="DA3966">
        <v>1</v>
      </c>
      <c r="DB3966">
        <v>0</v>
      </c>
      <c r="DC3966">
        <v>0</v>
      </c>
      <c r="DD3966">
        <v>0</v>
      </c>
      <c r="DE3966">
        <v>0</v>
      </c>
      <c r="DF3966">
        <v>0</v>
      </c>
      <c r="DG3966">
        <v>0</v>
      </c>
      <c r="DH3966">
        <v>0</v>
      </c>
      <c r="DI3966">
        <v>0</v>
      </c>
    </row>
    <row r="3967" spans="1:113" x14ac:dyDescent="0.25">
      <c r="A3967" t="str">
        <f t="shared" si="2214"/>
        <v>06/05/2020 14:58:41.667</v>
      </c>
      <c r="C3967" t="str">
        <f t="shared" si="2201"/>
        <v>FFDFD3C0</v>
      </c>
      <c r="D3967" t="s">
        <v>151</v>
      </c>
      <c r="E3967">
        <v>8</v>
      </c>
      <c r="H3967">
        <v>225</v>
      </c>
      <c r="I3967" t="s">
        <v>353</v>
      </c>
      <c r="J3967" t="s">
        <v>150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 t="shared" si="2215"/>
        <v>14:58:47.328</v>
      </c>
      <c r="T3967" t="str">
        <f t="shared" si="2216"/>
        <v>14:58:46.828</v>
      </c>
      <c r="U3967" t="str">
        <f t="shared" si="2185"/>
        <v>ACC530</v>
      </c>
      <c r="V3967">
        <v>0</v>
      </c>
      <c r="W3967">
        <v>0</v>
      </c>
      <c r="X3967">
        <v>1</v>
      </c>
      <c r="Z3967">
        <v>0</v>
      </c>
      <c r="AA3967">
        <v>9</v>
      </c>
      <c r="AB3967">
        <v>3</v>
      </c>
      <c r="AC3967">
        <v>0</v>
      </c>
      <c r="AD3967">
        <v>9</v>
      </c>
      <c r="AE3967">
        <v>0</v>
      </c>
      <c r="AF3967">
        <v>3</v>
      </c>
      <c r="AG3967">
        <v>1</v>
      </c>
      <c r="AH3967">
        <v>0</v>
      </c>
      <c r="AI3967" t="s">
        <v>1267</v>
      </c>
      <c r="AJ3967">
        <v>34.057423999999997</v>
      </c>
      <c r="AK3967" t="s">
        <v>1268</v>
      </c>
      <c r="AL3967">
        <v>-117.01493000000001</v>
      </c>
      <c r="AM3967">
        <v>100</v>
      </c>
      <c r="AN3967">
        <v>5400</v>
      </c>
      <c r="AO3967" t="s">
        <v>118</v>
      </c>
      <c r="AP3967">
        <v>90</v>
      </c>
      <c r="AQ3967">
        <v>-18</v>
      </c>
      <c r="AR3967">
        <v>576</v>
      </c>
      <c r="AZ3967">
        <v>1200</v>
      </c>
      <c r="BA3967">
        <v>1</v>
      </c>
      <c r="BB3967" t="str">
        <f t="shared" si="2187"/>
        <v xml:space="preserve">N9217B  </v>
      </c>
      <c r="BC3967">
        <v>1</v>
      </c>
      <c r="BE3967">
        <v>0</v>
      </c>
      <c r="BF3967">
        <v>0</v>
      </c>
      <c r="BG3967">
        <v>0</v>
      </c>
      <c r="BH3967">
        <v>5200</v>
      </c>
      <c r="BI3967">
        <v>1</v>
      </c>
      <c r="BJ3967">
        <v>0</v>
      </c>
      <c r="BK3967">
        <v>0</v>
      </c>
      <c r="BL3967">
        <v>0</v>
      </c>
      <c r="BO3967">
        <v>0</v>
      </c>
      <c r="BP3967">
        <v>0</v>
      </c>
      <c r="BW3967" t="str">
        <f t="shared" si="2217"/>
        <v>14:58:47.335</v>
      </c>
      <c r="CJ3967">
        <v>0</v>
      </c>
      <c r="CK3967">
        <v>2</v>
      </c>
      <c r="CL3967">
        <v>0</v>
      </c>
      <c r="CM3967">
        <v>2</v>
      </c>
      <c r="CN3967">
        <v>0</v>
      </c>
      <c r="CO3967">
        <v>5</v>
      </c>
      <c r="CP3967" t="s">
        <v>119</v>
      </c>
      <c r="CQ3967">
        <v>285</v>
      </c>
      <c r="CR3967">
        <v>0</v>
      </c>
      <c r="CW3967">
        <v>8886303</v>
      </c>
      <c r="CY3967">
        <v>0</v>
      </c>
      <c r="CZ3967">
        <v>0</v>
      </c>
      <c r="DA3967">
        <v>1</v>
      </c>
      <c r="DB3967">
        <v>0</v>
      </c>
      <c r="DC3967">
        <v>0</v>
      </c>
      <c r="DD3967">
        <v>0</v>
      </c>
      <c r="DE3967">
        <v>0</v>
      </c>
      <c r="DF3967">
        <v>0</v>
      </c>
      <c r="DG3967">
        <v>0</v>
      </c>
      <c r="DH3967">
        <v>0</v>
      </c>
      <c r="DI3967">
        <v>0</v>
      </c>
    </row>
    <row r="3968" spans="1:113" x14ac:dyDescent="0.25">
      <c r="A3968" t="str">
        <f t="shared" si="2214"/>
        <v>06/05/2020 14:58:41.667</v>
      </c>
      <c r="C3968" t="str">
        <f t="shared" si="2201"/>
        <v>FFDFD3C0</v>
      </c>
      <c r="D3968" t="s">
        <v>148</v>
      </c>
      <c r="E3968">
        <v>8</v>
      </c>
      <c r="H3968">
        <v>50</v>
      </c>
      <c r="I3968" t="s">
        <v>149</v>
      </c>
      <c r="J3968" t="s">
        <v>150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 t="shared" si="2215"/>
        <v>14:58:47.328</v>
      </c>
      <c r="T3968" t="str">
        <f t="shared" si="2216"/>
        <v>14:58:46.828</v>
      </c>
      <c r="U3968" t="str">
        <f t="shared" si="2185"/>
        <v>ACC530</v>
      </c>
      <c r="V3968">
        <v>0</v>
      </c>
      <c r="W3968">
        <v>0</v>
      </c>
      <c r="X3968">
        <v>1</v>
      </c>
      <c r="Z3968">
        <v>0</v>
      </c>
      <c r="AA3968">
        <v>9</v>
      </c>
      <c r="AB3968">
        <v>3</v>
      </c>
      <c r="AC3968">
        <v>0</v>
      </c>
      <c r="AD3968">
        <v>9</v>
      </c>
      <c r="AE3968">
        <v>0</v>
      </c>
      <c r="AF3968">
        <v>3</v>
      </c>
      <c r="AG3968">
        <v>1</v>
      </c>
      <c r="AH3968">
        <v>0</v>
      </c>
      <c r="AI3968" t="s">
        <v>1267</v>
      </c>
      <c r="AJ3968">
        <v>34.057423999999997</v>
      </c>
      <c r="AK3968" t="s">
        <v>1268</v>
      </c>
      <c r="AL3968">
        <v>-117.01493000000001</v>
      </c>
      <c r="AM3968">
        <v>100</v>
      </c>
      <c r="AN3968">
        <v>5400</v>
      </c>
      <c r="AO3968" t="s">
        <v>118</v>
      </c>
      <c r="AP3968">
        <v>90</v>
      </c>
      <c r="AQ3968">
        <v>-18</v>
      </c>
      <c r="AR3968">
        <v>576</v>
      </c>
      <c r="AZ3968">
        <v>1200</v>
      </c>
      <c r="BA3968">
        <v>1</v>
      </c>
      <c r="BB3968" t="str">
        <f t="shared" si="2187"/>
        <v xml:space="preserve">N9217B  </v>
      </c>
      <c r="BC3968">
        <v>1</v>
      </c>
      <c r="BE3968">
        <v>0</v>
      </c>
      <c r="BF3968">
        <v>0</v>
      </c>
      <c r="BG3968">
        <v>0</v>
      </c>
      <c r="BH3968">
        <v>5200</v>
      </c>
      <c r="BI3968">
        <v>1</v>
      </c>
      <c r="BJ3968">
        <v>0</v>
      </c>
      <c r="BK3968">
        <v>0</v>
      </c>
      <c r="BL3968">
        <v>0</v>
      </c>
      <c r="BO3968">
        <v>0</v>
      </c>
      <c r="BP3968">
        <v>0</v>
      </c>
      <c r="BW3968" t="str">
        <f t="shared" si="2217"/>
        <v>14:58:47.335</v>
      </c>
      <c r="CJ3968">
        <v>0</v>
      </c>
      <c r="CK3968">
        <v>2</v>
      </c>
      <c r="CL3968">
        <v>0</v>
      </c>
      <c r="CM3968">
        <v>2</v>
      </c>
      <c r="CN3968">
        <v>0</v>
      </c>
      <c r="CO3968">
        <v>5</v>
      </c>
      <c r="CP3968" t="s">
        <v>119</v>
      </c>
      <c r="CQ3968">
        <v>285</v>
      </c>
      <c r="CR3968">
        <v>0</v>
      </c>
      <c r="CW3968">
        <v>8886303</v>
      </c>
      <c r="CY3968">
        <v>0</v>
      </c>
      <c r="CZ3968">
        <v>0</v>
      </c>
      <c r="DA3968">
        <v>1</v>
      </c>
      <c r="DB3968">
        <v>0</v>
      </c>
      <c r="DC3968">
        <v>0</v>
      </c>
      <c r="DD3968">
        <v>0</v>
      </c>
      <c r="DE3968">
        <v>0</v>
      </c>
      <c r="DF3968">
        <v>0</v>
      </c>
      <c r="DG3968">
        <v>0</v>
      </c>
      <c r="DH3968">
        <v>0</v>
      </c>
      <c r="DI3968">
        <v>0</v>
      </c>
    </row>
    <row r="3969" spans="1:113" x14ac:dyDescent="0.25">
      <c r="A3969" t="str">
        <f t="shared" ref="A3969:A3975" si="2218">"06/05/2020 14:58:42.715"</f>
        <v>06/05/2020 14:58:42.715</v>
      </c>
      <c r="C3969" t="str">
        <f t="shared" si="2201"/>
        <v>FFDFD3C0</v>
      </c>
      <c r="D3969" t="s">
        <v>151</v>
      </c>
      <c r="E3969">
        <v>8</v>
      </c>
      <c r="H3969">
        <v>225</v>
      </c>
      <c r="I3969" t="s">
        <v>353</v>
      </c>
      <c r="J3969" t="s">
        <v>150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 t="shared" ref="S3969:T3975" si="2219">"14:58:48.367"</f>
        <v>14:58:48.367</v>
      </c>
      <c r="T3969" t="str">
        <f t="shared" si="2219"/>
        <v>14:58:48.367</v>
      </c>
      <c r="U3969" t="str">
        <f t="shared" si="2185"/>
        <v>ACC530</v>
      </c>
      <c r="V3969">
        <v>0</v>
      </c>
      <c r="W3969">
        <v>0</v>
      </c>
      <c r="X3969">
        <v>1</v>
      </c>
      <c r="Z3969">
        <v>0</v>
      </c>
      <c r="AA3969">
        <v>9</v>
      </c>
      <c r="AB3969">
        <v>3</v>
      </c>
      <c r="AC3969">
        <v>0</v>
      </c>
      <c r="AD3969">
        <v>9</v>
      </c>
      <c r="AE3969">
        <v>0</v>
      </c>
      <c r="AF3969">
        <v>3</v>
      </c>
      <c r="AG3969">
        <v>1</v>
      </c>
      <c r="AH3969">
        <v>0</v>
      </c>
      <c r="AI3969" t="s">
        <v>1269</v>
      </c>
      <c r="AJ3969">
        <v>34.057380999999999</v>
      </c>
      <c r="AK3969" t="s">
        <v>1270</v>
      </c>
      <c r="AL3969">
        <v>-117.01437199999999</v>
      </c>
      <c r="AM3969">
        <v>100</v>
      </c>
      <c r="AN3969">
        <v>5400</v>
      </c>
      <c r="AO3969" t="s">
        <v>118</v>
      </c>
      <c r="AP3969">
        <v>91</v>
      </c>
      <c r="AQ3969">
        <v>-1</v>
      </c>
      <c r="AR3969">
        <v>448</v>
      </c>
      <c r="AZ3969">
        <v>1200</v>
      </c>
      <c r="BA3969">
        <v>1</v>
      </c>
      <c r="BB3969" t="str">
        <f t="shared" si="2187"/>
        <v xml:space="preserve">N9217B  </v>
      </c>
      <c r="BC3969">
        <v>1</v>
      </c>
      <c r="BE3969">
        <v>0</v>
      </c>
      <c r="BF3969">
        <v>0</v>
      </c>
      <c r="BG3969">
        <v>0</v>
      </c>
      <c r="BH3969">
        <v>5225</v>
      </c>
      <c r="BI3969">
        <v>1</v>
      </c>
      <c r="BJ3969">
        <v>0</v>
      </c>
      <c r="BK3969">
        <v>0</v>
      </c>
      <c r="BL3969">
        <v>0</v>
      </c>
      <c r="BO3969">
        <v>0</v>
      </c>
      <c r="BP3969">
        <v>0</v>
      </c>
      <c r="BW3969" t="str">
        <f t="shared" ref="BW3969:BW3975" si="2220">"14:58:48.370"</f>
        <v>14:58:48.370</v>
      </c>
      <c r="CJ3969">
        <v>0</v>
      </c>
      <c r="CK3969">
        <v>2</v>
      </c>
      <c r="CL3969">
        <v>0</v>
      </c>
      <c r="CM3969">
        <v>2</v>
      </c>
      <c r="CN3969">
        <v>0</v>
      </c>
      <c r="CO3969">
        <v>6</v>
      </c>
      <c r="CP3969" t="s">
        <v>119</v>
      </c>
      <c r="CQ3969">
        <v>285</v>
      </c>
      <c r="CR3969">
        <v>0</v>
      </c>
      <c r="CW3969">
        <v>8886402</v>
      </c>
      <c r="CY3969">
        <v>0</v>
      </c>
      <c r="CZ3969">
        <v>0</v>
      </c>
      <c r="DA3969">
        <v>0</v>
      </c>
      <c r="DB3969">
        <v>0</v>
      </c>
      <c r="DC3969">
        <v>0</v>
      </c>
      <c r="DD3969">
        <v>0</v>
      </c>
      <c r="DE3969">
        <v>0</v>
      </c>
      <c r="DF3969">
        <v>0</v>
      </c>
      <c r="DG3969">
        <v>0</v>
      </c>
      <c r="DH3969">
        <v>0</v>
      </c>
      <c r="DI3969">
        <v>0</v>
      </c>
    </row>
    <row r="3970" spans="1:113" x14ac:dyDescent="0.25">
      <c r="A3970" t="str">
        <f t="shared" si="2218"/>
        <v>06/05/2020 14:58:42.715</v>
      </c>
      <c r="C3970" t="str">
        <f t="shared" si="2201"/>
        <v>FFDFD3C0</v>
      </c>
      <c r="D3970" t="s">
        <v>148</v>
      </c>
      <c r="E3970">
        <v>8</v>
      </c>
      <c r="H3970">
        <v>50</v>
      </c>
      <c r="I3970" t="s">
        <v>149</v>
      </c>
      <c r="J3970" t="s">
        <v>150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 t="shared" si="2219"/>
        <v>14:58:48.367</v>
      </c>
      <c r="T3970" t="str">
        <f t="shared" si="2219"/>
        <v>14:58:48.367</v>
      </c>
      <c r="U3970" t="str">
        <f t="shared" ref="U3970:U4033" si="2221">"ACC530"</f>
        <v>ACC530</v>
      </c>
      <c r="V3970">
        <v>0</v>
      </c>
      <c r="W3970">
        <v>0</v>
      </c>
      <c r="X3970">
        <v>1</v>
      </c>
      <c r="Z3970">
        <v>0</v>
      </c>
      <c r="AA3970">
        <v>9</v>
      </c>
      <c r="AB3970">
        <v>3</v>
      </c>
      <c r="AC3970">
        <v>0</v>
      </c>
      <c r="AD3970">
        <v>9</v>
      </c>
      <c r="AE3970">
        <v>0</v>
      </c>
      <c r="AF3970">
        <v>3</v>
      </c>
      <c r="AG3970">
        <v>1</v>
      </c>
      <c r="AH3970">
        <v>0</v>
      </c>
      <c r="AI3970" t="s">
        <v>1269</v>
      </c>
      <c r="AJ3970">
        <v>34.057380999999999</v>
      </c>
      <c r="AK3970" t="s">
        <v>1270</v>
      </c>
      <c r="AL3970">
        <v>-117.01437199999999</v>
      </c>
      <c r="AM3970">
        <v>100</v>
      </c>
      <c r="AN3970">
        <v>5400</v>
      </c>
      <c r="AO3970" t="s">
        <v>118</v>
      </c>
      <c r="AP3970">
        <v>91</v>
      </c>
      <c r="AQ3970">
        <v>-1</v>
      </c>
      <c r="AR3970">
        <v>448</v>
      </c>
      <c r="AZ3970">
        <v>1200</v>
      </c>
      <c r="BA3970">
        <v>1</v>
      </c>
      <c r="BB3970" t="str">
        <f t="shared" si="2187"/>
        <v xml:space="preserve">N9217B  </v>
      </c>
      <c r="BC3970">
        <v>1</v>
      </c>
      <c r="BE3970">
        <v>0</v>
      </c>
      <c r="BF3970">
        <v>0</v>
      </c>
      <c r="BG3970">
        <v>0</v>
      </c>
      <c r="BH3970">
        <v>5225</v>
      </c>
      <c r="BI3970">
        <v>1</v>
      </c>
      <c r="BJ3970">
        <v>0</v>
      </c>
      <c r="BK3970">
        <v>0</v>
      </c>
      <c r="BL3970">
        <v>0</v>
      </c>
      <c r="BO3970">
        <v>0</v>
      </c>
      <c r="BP3970">
        <v>0</v>
      </c>
      <c r="BW3970" t="str">
        <f t="shared" si="2220"/>
        <v>14:58:48.370</v>
      </c>
      <c r="CJ3970">
        <v>0</v>
      </c>
      <c r="CK3970">
        <v>2</v>
      </c>
      <c r="CL3970">
        <v>0</v>
      </c>
      <c r="CM3970">
        <v>2</v>
      </c>
      <c r="CN3970">
        <v>0</v>
      </c>
      <c r="CO3970">
        <v>6</v>
      </c>
      <c r="CP3970" t="s">
        <v>119</v>
      </c>
      <c r="CQ3970">
        <v>285</v>
      </c>
      <c r="CR3970">
        <v>0</v>
      </c>
      <c r="CW3970">
        <v>8886402</v>
      </c>
      <c r="CY3970">
        <v>0</v>
      </c>
      <c r="CZ3970">
        <v>0</v>
      </c>
      <c r="DA3970">
        <v>1</v>
      </c>
      <c r="DB3970">
        <v>0</v>
      </c>
      <c r="DC3970">
        <v>0</v>
      </c>
      <c r="DD3970">
        <v>0</v>
      </c>
      <c r="DE3970">
        <v>0</v>
      </c>
      <c r="DF3970">
        <v>0</v>
      </c>
      <c r="DG3970">
        <v>0</v>
      </c>
      <c r="DH3970">
        <v>0</v>
      </c>
      <c r="DI3970">
        <v>0</v>
      </c>
    </row>
    <row r="3971" spans="1:113" x14ac:dyDescent="0.25">
      <c r="A3971" t="str">
        <f t="shared" si="2218"/>
        <v>06/05/2020 14:58:42.715</v>
      </c>
      <c r="C3971" t="str">
        <f t="shared" si="2201"/>
        <v>FFDFD3C0</v>
      </c>
      <c r="D3971" t="s">
        <v>151</v>
      </c>
      <c r="E3971">
        <v>9</v>
      </c>
      <c r="H3971">
        <v>226</v>
      </c>
      <c r="I3971" t="s">
        <v>152</v>
      </c>
      <c r="J3971" t="s">
        <v>150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 t="shared" si="2219"/>
        <v>14:58:48.367</v>
      </c>
      <c r="T3971" t="str">
        <f t="shared" si="2219"/>
        <v>14:58:48.367</v>
      </c>
      <c r="U3971" t="str">
        <f t="shared" si="2221"/>
        <v>ACC530</v>
      </c>
      <c r="V3971">
        <v>0</v>
      </c>
      <c r="W3971">
        <v>0</v>
      </c>
      <c r="X3971">
        <v>1</v>
      </c>
      <c r="Z3971">
        <v>0</v>
      </c>
      <c r="AA3971">
        <v>9</v>
      </c>
      <c r="AB3971">
        <v>3</v>
      </c>
      <c r="AC3971">
        <v>0</v>
      </c>
      <c r="AD3971">
        <v>9</v>
      </c>
      <c r="AE3971">
        <v>0</v>
      </c>
      <c r="AF3971">
        <v>3</v>
      </c>
      <c r="AG3971">
        <v>1</v>
      </c>
      <c r="AH3971">
        <v>0</v>
      </c>
      <c r="AI3971" t="s">
        <v>1269</v>
      </c>
      <c r="AJ3971">
        <v>34.057380999999999</v>
      </c>
      <c r="AK3971" t="s">
        <v>1270</v>
      </c>
      <c r="AL3971">
        <v>-117.01437199999999</v>
      </c>
      <c r="AM3971">
        <v>100</v>
      </c>
      <c r="AN3971">
        <v>5400</v>
      </c>
      <c r="AO3971" t="s">
        <v>118</v>
      </c>
      <c r="AP3971">
        <v>91</v>
      </c>
      <c r="AQ3971">
        <v>-1</v>
      </c>
      <c r="AR3971">
        <v>448</v>
      </c>
      <c r="AZ3971">
        <v>1200</v>
      </c>
      <c r="BA3971">
        <v>1</v>
      </c>
      <c r="BB3971" t="str">
        <f t="shared" si="2187"/>
        <v xml:space="preserve">N9217B  </v>
      </c>
      <c r="BC3971">
        <v>1</v>
      </c>
      <c r="BE3971">
        <v>0</v>
      </c>
      <c r="BF3971">
        <v>0</v>
      </c>
      <c r="BG3971">
        <v>0</v>
      </c>
      <c r="BH3971">
        <v>5225</v>
      </c>
      <c r="BI3971">
        <v>1</v>
      </c>
      <c r="BJ3971">
        <v>0</v>
      </c>
      <c r="BK3971">
        <v>0</v>
      </c>
      <c r="BL3971">
        <v>0</v>
      </c>
      <c r="BO3971">
        <v>0</v>
      </c>
      <c r="BP3971">
        <v>0</v>
      </c>
      <c r="BW3971" t="str">
        <f t="shared" si="2220"/>
        <v>14:58:48.370</v>
      </c>
      <c r="CJ3971">
        <v>0</v>
      </c>
      <c r="CK3971">
        <v>2</v>
      </c>
      <c r="CL3971">
        <v>0</v>
      </c>
      <c r="CM3971">
        <v>2</v>
      </c>
      <c r="CN3971">
        <v>0</v>
      </c>
      <c r="CO3971">
        <v>6</v>
      </c>
      <c r="CP3971" t="s">
        <v>119</v>
      </c>
      <c r="CQ3971">
        <v>285</v>
      </c>
      <c r="CR3971">
        <v>0</v>
      </c>
      <c r="CW3971">
        <v>8886402</v>
      </c>
      <c r="CY3971">
        <v>0</v>
      </c>
      <c r="CZ3971">
        <v>0</v>
      </c>
      <c r="DA3971">
        <v>1</v>
      </c>
      <c r="DB3971">
        <v>0</v>
      </c>
      <c r="DC3971">
        <v>0</v>
      </c>
      <c r="DD3971">
        <v>0</v>
      </c>
      <c r="DE3971">
        <v>0</v>
      </c>
      <c r="DF3971">
        <v>0</v>
      </c>
      <c r="DG3971">
        <v>0</v>
      </c>
      <c r="DH3971">
        <v>0</v>
      </c>
      <c r="DI3971">
        <v>0</v>
      </c>
    </row>
    <row r="3972" spans="1:113" x14ac:dyDescent="0.25">
      <c r="A3972" t="str">
        <f t="shared" si="2218"/>
        <v>06/05/2020 14:58:42.715</v>
      </c>
      <c r="C3972" t="str">
        <f t="shared" si="2201"/>
        <v>FFDFD3C0</v>
      </c>
      <c r="D3972" t="s">
        <v>134</v>
      </c>
      <c r="E3972">
        <v>7</v>
      </c>
      <c r="F3972">
        <v>2007</v>
      </c>
      <c r="G3972" t="s">
        <v>135</v>
      </c>
      <c r="J3972" t="s">
        <v>136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 t="shared" si="2219"/>
        <v>14:58:48.367</v>
      </c>
      <c r="T3972" t="str">
        <f t="shared" si="2219"/>
        <v>14:58:48.367</v>
      </c>
      <c r="U3972" t="str">
        <f t="shared" si="2221"/>
        <v>ACC530</v>
      </c>
      <c r="V3972">
        <v>0</v>
      </c>
      <c r="W3972">
        <v>0</v>
      </c>
      <c r="X3972">
        <v>1</v>
      </c>
      <c r="Z3972">
        <v>0</v>
      </c>
      <c r="AA3972">
        <v>9</v>
      </c>
      <c r="AB3972">
        <v>3</v>
      </c>
      <c r="AC3972">
        <v>0</v>
      </c>
      <c r="AD3972">
        <v>9</v>
      </c>
      <c r="AE3972">
        <v>0</v>
      </c>
      <c r="AF3972">
        <v>3</v>
      </c>
      <c r="AG3972">
        <v>1</v>
      </c>
      <c r="AH3972">
        <v>0</v>
      </c>
      <c r="AI3972" t="s">
        <v>1269</v>
      </c>
      <c r="AJ3972">
        <v>34.057380999999999</v>
      </c>
      <c r="AK3972" t="s">
        <v>1270</v>
      </c>
      <c r="AL3972">
        <v>-117.01437199999999</v>
      </c>
      <c r="AM3972">
        <v>100</v>
      </c>
      <c r="AN3972">
        <v>5400</v>
      </c>
      <c r="AO3972" t="s">
        <v>118</v>
      </c>
      <c r="AP3972">
        <v>91</v>
      </c>
      <c r="AQ3972">
        <v>-1</v>
      </c>
      <c r="AR3972">
        <v>448</v>
      </c>
      <c r="AZ3972">
        <v>1200</v>
      </c>
      <c r="BA3972">
        <v>1</v>
      </c>
      <c r="BB3972" t="str">
        <f t="shared" si="2187"/>
        <v xml:space="preserve">N9217B  </v>
      </c>
      <c r="BC3972">
        <v>1</v>
      </c>
      <c r="BE3972">
        <v>0</v>
      </c>
      <c r="BF3972">
        <v>0</v>
      </c>
      <c r="BG3972">
        <v>0</v>
      </c>
      <c r="BH3972">
        <v>5225</v>
      </c>
      <c r="BI3972">
        <v>1</v>
      </c>
      <c r="BJ3972">
        <v>0</v>
      </c>
      <c r="BK3972">
        <v>0</v>
      </c>
      <c r="BL3972">
        <v>0</v>
      </c>
      <c r="BO3972">
        <v>0</v>
      </c>
      <c r="BP3972">
        <v>0</v>
      </c>
      <c r="BW3972" t="str">
        <f t="shared" si="2220"/>
        <v>14:58:48.370</v>
      </c>
      <c r="CJ3972">
        <v>0</v>
      </c>
      <c r="CK3972">
        <v>2</v>
      </c>
      <c r="CL3972">
        <v>0</v>
      </c>
      <c r="CM3972">
        <v>2</v>
      </c>
      <c r="CN3972">
        <v>0</v>
      </c>
      <c r="CO3972">
        <v>6</v>
      </c>
      <c r="CP3972" t="s">
        <v>119</v>
      </c>
      <c r="CQ3972">
        <v>285</v>
      </c>
      <c r="CR3972">
        <v>0</v>
      </c>
      <c r="CW3972">
        <v>8886402</v>
      </c>
      <c r="CY3972">
        <v>0</v>
      </c>
      <c r="CZ3972">
        <v>0</v>
      </c>
      <c r="DA3972">
        <v>1</v>
      </c>
      <c r="DB3972">
        <v>0</v>
      </c>
      <c r="DC3972">
        <v>0</v>
      </c>
      <c r="DD3972">
        <v>0</v>
      </c>
      <c r="DE3972">
        <v>0</v>
      </c>
      <c r="DF3972">
        <v>0</v>
      </c>
      <c r="DG3972">
        <v>0</v>
      </c>
      <c r="DH3972">
        <v>0</v>
      </c>
      <c r="DI3972">
        <v>0</v>
      </c>
    </row>
    <row r="3973" spans="1:113" x14ac:dyDescent="0.25">
      <c r="A3973" t="str">
        <f t="shared" si="2218"/>
        <v>06/05/2020 14:58:42.715</v>
      </c>
      <c r="C3973" t="str">
        <f t="shared" si="2201"/>
        <v>FFDFD3C0</v>
      </c>
      <c r="D3973" t="s">
        <v>141</v>
      </c>
      <c r="E3973">
        <v>20</v>
      </c>
      <c r="F3973">
        <v>1020</v>
      </c>
      <c r="G3973" t="s">
        <v>114</v>
      </c>
      <c r="J3973" t="s">
        <v>142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 t="shared" si="2219"/>
        <v>14:58:48.367</v>
      </c>
      <c r="T3973" t="str">
        <f t="shared" si="2219"/>
        <v>14:58:48.367</v>
      </c>
      <c r="U3973" t="str">
        <f t="shared" si="2221"/>
        <v>ACC530</v>
      </c>
      <c r="V3973">
        <v>0</v>
      </c>
      <c r="W3973">
        <v>0</v>
      </c>
      <c r="X3973">
        <v>1</v>
      </c>
      <c r="Z3973">
        <v>0</v>
      </c>
      <c r="AA3973">
        <v>9</v>
      </c>
      <c r="AB3973">
        <v>3</v>
      </c>
      <c r="AC3973">
        <v>0</v>
      </c>
      <c r="AD3973">
        <v>9</v>
      </c>
      <c r="AE3973">
        <v>0</v>
      </c>
      <c r="AF3973">
        <v>3</v>
      </c>
      <c r="AG3973">
        <v>1</v>
      </c>
      <c r="AH3973">
        <v>0</v>
      </c>
      <c r="AI3973" t="s">
        <v>1269</v>
      </c>
      <c r="AJ3973">
        <v>34.057380999999999</v>
      </c>
      <c r="AK3973" t="s">
        <v>1270</v>
      </c>
      <c r="AL3973">
        <v>-117.01437199999999</v>
      </c>
      <c r="AM3973">
        <v>100</v>
      </c>
      <c r="AN3973">
        <v>5400</v>
      </c>
      <c r="AO3973" t="s">
        <v>118</v>
      </c>
      <c r="AP3973">
        <v>91</v>
      </c>
      <c r="AQ3973">
        <v>-1</v>
      </c>
      <c r="AR3973">
        <v>448</v>
      </c>
      <c r="AZ3973">
        <v>1200</v>
      </c>
      <c r="BA3973">
        <v>1</v>
      </c>
      <c r="BB3973" t="str">
        <f t="shared" ref="BB3973:BB4036" si="2222">"N9217B  "</f>
        <v xml:space="preserve">N9217B  </v>
      </c>
      <c r="BC3973">
        <v>1</v>
      </c>
      <c r="BE3973">
        <v>0</v>
      </c>
      <c r="BF3973">
        <v>0</v>
      </c>
      <c r="BG3973">
        <v>0</v>
      </c>
      <c r="BH3973">
        <v>5225</v>
      </c>
      <c r="BI3973">
        <v>1</v>
      </c>
      <c r="BJ3973">
        <v>0</v>
      </c>
      <c r="BK3973">
        <v>0</v>
      </c>
      <c r="BL3973">
        <v>0</v>
      </c>
      <c r="BO3973">
        <v>0</v>
      </c>
      <c r="BP3973">
        <v>0</v>
      </c>
      <c r="BW3973" t="str">
        <f t="shared" si="2220"/>
        <v>14:58:48.370</v>
      </c>
      <c r="CJ3973">
        <v>0</v>
      </c>
      <c r="CK3973">
        <v>2</v>
      </c>
      <c r="CL3973">
        <v>0</v>
      </c>
      <c r="CM3973">
        <v>2</v>
      </c>
      <c r="CN3973">
        <v>0</v>
      </c>
      <c r="CO3973">
        <v>6</v>
      </c>
      <c r="CP3973" t="s">
        <v>119</v>
      </c>
      <c r="CQ3973">
        <v>285</v>
      </c>
      <c r="CR3973">
        <v>0</v>
      </c>
      <c r="CW3973">
        <v>8886402</v>
      </c>
      <c r="CY3973">
        <v>0</v>
      </c>
      <c r="CZ3973">
        <v>0</v>
      </c>
      <c r="DA3973">
        <v>1</v>
      </c>
      <c r="DB3973">
        <v>0</v>
      </c>
      <c r="DC3973">
        <v>0</v>
      </c>
      <c r="DD3973">
        <v>0</v>
      </c>
      <c r="DE3973">
        <v>0</v>
      </c>
      <c r="DF3973">
        <v>0</v>
      </c>
      <c r="DG3973">
        <v>0</v>
      </c>
      <c r="DH3973">
        <v>0</v>
      </c>
      <c r="DI3973">
        <v>0</v>
      </c>
    </row>
    <row r="3974" spans="1:113" x14ac:dyDescent="0.25">
      <c r="A3974" t="str">
        <f t="shared" si="2218"/>
        <v>06/05/2020 14:58:42.715</v>
      </c>
      <c r="C3974" t="str">
        <f t="shared" si="2201"/>
        <v>FFDFD3C0</v>
      </c>
      <c r="D3974" t="s">
        <v>148</v>
      </c>
      <c r="E3974">
        <v>11</v>
      </c>
      <c r="H3974">
        <v>53</v>
      </c>
      <c r="I3974" t="s">
        <v>364</v>
      </c>
      <c r="J3974" t="s">
        <v>150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 t="shared" si="2219"/>
        <v>14:58:48.367</v>
      </c>
      <c r="T3974" t="str">
        <f t="shared" si="2219"/>
        <v>14:58:48.367</v>
      </c>
      <c r="U3974" t="str">
        <f t="shared" si="2221"/>
        <v>ACC530</v>
      </c>
      <c r="V3974">
        <v>0</v>
      </c>
      <c r="W3974">
        <v>0</v>
      </c>
      <c r="X3974">
        <v>1</v>
      </c>
      <c r="Z3974">
        <v>0</v>
      </c>
      <c r="AA3974">
        <v>9</v>
      </c>
      <c r="AB3974">
        <v>3</v>
      </c>
      <c r="AC3974">
        <v>0</v>
      </c>
      <c r="AD3974">
        <v>9</v>
      </c>
      <c r="AE3974">
        <v>0</v>
      </c>
      <c r="AF3974">
        <v>3</v>
      </c>
      <c r="AG3974">
        <v>1</v>
      </c>
      <c r="AH3974">
        <v>0</v>
      </c>
      <c r="AI3974" t="s">
        <v>1269</v>
      </c>
      <c r="AJ3974">
        <v>34.057380999999999</v>
      </c>
      <c r="AK3974" t="s">
        <v>1270</v>
      </c>
      <c r="AL3974">
        <v>-117.01437199999999</v>
      </c>
      <c r="AM3974">
        <v>100</v>
      </c>
      <c r="AN3974">
        <v>5400</v>
      </c>
      <c r="AO3974" t="s">
        <v>118</v>
      </c>
      <c r="AP3974">
        <v>91</v>
      </c>
      <c r="AQ3974">
        <v>-1</v>
      </c>
      <c r="AR3974">
        <v>448</v>
      </c>
      <c r="AZ3974">
        <v>1200</v>
      </c>
      <c r="BA3974">
        <v>1</v>
      </c>
      <c r="BB3974" t="str">
        <f t="shared" si="2222"/>
        <v xml:space="preserve">N9217B  </v>
      </c>
      <c r="BC3974">
        <v>1</v>
      </c>
      <c r="BE3974">
        <v>0</v>
      </c>
      <c r="BF3974">
        <v>0</v>
      </c>
      <c r="BG3974">
        <v>0</v>
      </c>
      <c r="BH3974">
        <v>5225</v>
      </c>
      <c r="BI3974">
        <v>1</v>
      </c>
      <c r="BJ3974">
        <v>0</v>
      </c>
      <c r="BK3974">
        <v>0</v>
      </c>
      <c r="BL3974">
        <v>0</v>
      </c>
      <c r="BO3974">
        <v>0</v>
      </c>
      <c r="BP3974">
        <v>0</v>
      </c>
      <c r="BW3974" t="str">
        <f t="shared" si="2220"/>
        <v>14:58:48.370</v>
      </c>
      <c r="CJ3974">
        <v>0</v>
      </c>
      <c r="CK3974">
        <v>2</v>
      </c>
      <c r="CL3974">
        <v>0</v>
      </c>
      <c r="CM3974">
        <v>2</v>
      </c>
      <c r="CN3974">
        <v>0</v>
      </c>
      <c r="CO3974">
        <v>6</v>
      </c>
      <c r="CP3974" t="s">
        <v>119</v>
      </c>
      <c r="CQ3974">
        <v>285</v>
      </c>
      <c r="CR3974">
        <v>0</v>
      </c>
      <c r="CW3974">
        <v>8886402</v>
      </c>
      <c r="CY3974">
        <v>0</v>
      </c>
      <c r="CZ3974">
        <v>0</v>
      </c>
      <c r="DA3974">
        <v>1</v>
      </c>
      <c r="DB3974">
        <v>0</v>
      </c>
      <c r="DC3974">
        <v>0</v>
      </c>
      <c r="DD3974">
        <v>0</v>
      </c>
      <c r="DE3974">
        <v>0</v>
      </c>
      <c r="DF3974">
        <v>0</v>
      </c>
      <c r="DG3974">
        <v>0</v>
      </c>
      <c r="DH3974">
        <v>0</v>
      </c>
      <c r="DI3974">
        <v>0</v>
      </c>
    </row>
    <row r="3975" spans="1:113" x14ac:dyDescent="0.25">
      <c r="A3975" t="str">
        <f t="shared" si="2218"/>
        <v>06/05/2020 14:58:42.715</v>
      </c>
      <c r="C3975" t="str">
        <f t="shared" si="2201"/>
        <v>FFDFD3C0</v>
      </c>
      <c r="D3975" t="s">
        <v>113</v>
      </c>
      <c r="E3975">
        <v>3</v>
      </c>
      <c r="H3975">
        <v>166</v>
      </c>
      <c r="I3975" t="s">
        <v>114</v>
      </c>
      <c r="J3975" t="s">
        <v>115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 t="shared" si="2219"/>
        <v>14:58:48.367</v>
      </c>
      <c r="T3975" t="str">
        <f t="shared" si="2219"/>
        <v>14:58:48.367</v>
      </c>
      <c r="U3975" t="str">
        <f t="shared" si="2221"/>
        <v>ACC530</v>
      </c>
      <c r="V3975">
        <v>0</v>
      </c>
      <c r="W3975">
        <v>0</v>
      </c>
      <c r="X3975">
        <v>1</v>
      </c>
      <c r="Z3975">
        <v>0</v>
      </c>
      <c r="AA3975">
        <v>9</v>
      </c>
      <c r="AB3975">
        <v>3</v>
      </c>
      <c r="AC3975">
        <v>0</v>
      </c>
      <c r="AD3975">
        <v>9</v>
      </c>
      <c r="AE3975">
        <v>0</v>
      </c>
      <c r="AF3975">
        <v>3</v>
      </c>
      <c r="AG3975">
        <v>1</v>
      </c>
      <c r="AH3975">
        <v>0</v>
      </c>
      <c r="AI3975" t="s">
        <v>1269</v>
      </c>
      <c r="AJ3975">
        <v>34.057380999999999</v>
      </c>
      <c r="AK3975" t="s">
        <v>1270</v>
      </c>
      <c r="AL3975">
        <v>-117.01437199999999</v>
      </c>
      <c r="AM3975">
        <v>100</v>
      </c>
      <c r="AN3975">
        <v>5400</v>
      </c>
      <c r="AO3975" t="s">
        <v>118</v>
      </c>
      <c r="AP3975">
        <v>91</v>
      </c>
      <c r="AQ3975">
        <v>-1</v>
      </c>
      <c r="AR3975">
        <v>448</v>
      </c>
      <c r="AZ3975">
        <v>1200</v>
      </c>
      <c r="BA3975">
        <v>1</v>
      </c>
      <c r="BB3975" t="str">
        <f t="shared" si="2222"/>
        <v xml:space="preserve">N9217B  </v>
      </c>
      <c r="BC3975">
        <v>1</v>
      </c>
      <c r="BE3975">
        <v>0</v>
      </c>
      <c r="BF3975">
        <v>0</v>
      </c>
      <c r="BG3975">
        <v>0</v>
      </c>
      <c r="BH3975">
        <v>5225</v>
      </c>
      <c r="BI3975">
        <v>1</v>
      </c>
      <c r="BJ3975">
        <v>0</v>
      </c>
      <c r="BK3975">
        <v>0</v>
      </c>
      <c r="BL3975">
        <v>0</v>
      </c>
      <c r="BO3975">
        <v>0</v>
      </c>
      <c r="BP3975">
        <v>0</v>
      </c>
      <c r="BW3975" t="str">
        <f t="shared" si="2220"/>
        <v>14:58:48.370</v>
      </c>
      <c r="CJ3975">
        <v>0</v>
      </c>
      <c r="CK3975">
        <v>2</v>
      </c>
      <c r="CL3975">
        <v>0</v>
      </c>
      <c r="CM3975">
        <v>2</v>
      </c>
      <c r="CN3975">
        <v>0</v>
      </c>
      <c r="CO3975">
        <v>6</v>
      </c>
      <c r="CP3975" t="s">
        <v>119</v>
      </c>
      <c r="CQ3975">
        <v>285</v>
      </c>
      <c r="CR3975">
        <v>0</v>
      </c>
      <c r="CW3975">
        <v>8886402</v>
      </c>
      <c r="CY3975">
        <v>0</v>
      </c>
      <c r="CZ3975">
        <v>0</v>
      </c>
      <c r="DA3975">
        <v>1</v>
      </c>
      <c r="DB3975">
        <v>0</v>
      </c>
      <c r="DC3975">
        <v>0</v>
      </c>
      <c r="DD3975">
        <v>0</v>
      </c>
      <c r="DE3975">
        <v>0</v>
      </c>
      <c r="DF3975">
        <v>0</v>
      </c>
      <c r="DG3975">
        <v>0</v>
      </c>
      <c r="DH3975">
        <v>0</v>
      </c>
      <c r="DI3975">
        <v>0</v>
      </c>
    </row>
    <row r="3976" spans="1:113" x14ac:dyDescent="0.25">
      <c r="A3976" t="str">
        <f t="shared" ref="A3976:A3982" si="2223">"06/05/2020 14:58:43.725"</f>
        <v>06/05/2020 14:58:43.725</v>
      </c>
      <c r="C3976" t="str">
        <f t="shared" si="2201"/>
        <v>FFDFD3C0</v>
      </c>
      <c r="D3976" t="s">
        <v>151</v>
      </c>
      <c r="E3976">
        <v>8</v>
      </c>
      <c r="H3976">
        <v>225</v>
      </c>
      <c r="I3976" t="s">
        <v>353</v>
      </c>
      <c r="J3976" t="s">
        <v>150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 t="shared" ref="S3976:S3982" si="2224">"14:58:49.344"</f>
        <v>14:58:49.344</v>
      </c>
      <c r="T3976" t="str">
        <f t="shared" ref="T3976:T3982" si="2225">"14:58:49.244"</f>
        <v>14:58:49.244</v>
      </c>
      <c r="U3976" t="str">
        <f t="shared" si="2221"/>
        <v>ACC530</v>
      </c>
      <c r="V3976">
        <v>0</v>
      </c>
      <c r="W3976">
        <v>0</v>
      </c>
      <c r="X3976">
        <v>1</v>
      </c>
      <c r="Z3976">
        <v>0</v>
      </c>
      <c r="AA3976">
        <v>9</v>
      </c>
      <c r="AB3976">
        <v>3</v>
      </c>
      <c r="AC3976">
        <v>0</v>
      </c>
      <c r="AD3976">
        <v>9</v>
      </c>
      <c r="AE3976">
        <v>0</v>
      </c>
      <c r="AF3976">
        <v>3</v>
      </c>
      <c r="AG3976">
        <v>1</v>
      </c>
      <c r="AH3976">
        <v>0</v>
      </c>
      <c r="AI3976" t="s">
        <v>1267</v>
      </c>
      <c r="AJ3976">
        <v>34.057423999999997</v>
      </c>
      <c r="AK3976" t="s">
        <v>1271</v>
      </c>
      <c r="AL3976">
        <v>-117.01390000000001</v>
      </c>
      <c r="AM3976">
        <v>100</v>
      </c>
      <c r="AN3976">
        <v>5400</v>
      </c>
      <c r="AO3976" t="s">
        <v>118</v>
      </c>
      <c r="AP3976">
        <v>91</v>
      </c>
      <c r="AQ3976">
        <v>8</v>
      </c>
      <c r="AR3976">
        <v>384</v>
      </c>
      <c r="AZ3976">
        <v>1200</v>
      </c>
      <c r="BA3976">
        <v>1</v>
      </c>
      <c r="BB3976" t="str">
        <f t="shared" si="2222"/>
        <v xml:space="preserve">N9217B  </v>
      </c>
      <c r="BC3976">
        <v>1</v>
      </c>
      <c r="BE3976">
        <v>0</v>
      </c>
      <c r="BF3976">
        <v>0</v>
      </c>
      <c r="BG3976">
        <v>0</v>
      </c>
      <c r="BH3976">
        <v>5225</v>
      </c>
      <c r="BI3976">
        <v>1</v>
      </c>
      <c r="BJ3976">
        <v>0</v>
      </c>
      <c r="BK3976">
        <v>0</v>
      </c>
      <c r="BL3976">
        <v>0</v>
      </c>
      <c r="BO3976">
        <v>0</v>
      </c>
      <c r="BP3976">
        <v>0</v>
      </c>
      <c r="BW3976" t="str">
        <f t="shared" ref="BW3976:BW3982" si="2226">"14:58:49.345"</f>
        <v>14:58:49.345</v>
      </c>
      <c r="CJ3976">
        <v>0</v>
      </c>
      <c r="CK3976">
        <v>2</v>
      </c>
      <c r="CL3976">
        <v>0</v>
      </c>
      <c r="CM3976">
        <v>2</v>
      </c>
      <c r="CN3976">
        <v>0</v>
      </c>
      <c r="CO3976">
        <v>5</v>
      </c>
      <c r="CP3976" t="s">
        <v>119</v>
      </c>
      <c r="CQ3976">
        <v>285</v>
      </c>
      <c r="CR3976">
        <v>0</v>
      </c>
      <c r="CW3976">
        <v>8886492</v>
      </c>
      <c r="CY3976">
        <v>0</v>
      </c>
      <c r="CZ3976">
        <v>0</v>
      </c>
      <c r="DA3976">
        <v>0</v>
      </c>
      <c r="DB3976">
        <v>0</v>
      </c>
      <c r="DC3976">
        <v>0</v>
      </c>
      <c r="DD3976">
        <v>0</v>
      </c>
      <c r="DE3976">
        <v>0</v>
      </c>
      <c r="DF3976">
        <v>0</v>
      </c>
      <c r="DG3976">
        <v>0</v>
      </c>
      <c r="DH3976">
        <v>0</v>
      </c>
      <c r="DI3976">
        <v>0</v>
      </c>
    </row>
    <row r="3977" spans="1:113" x14ac:dyDescent="0.25">
      <c r="A3977" t="str">
        <f t="shared" si="2223"/>
        <v>06/05/2020 14:58:43.725</v>
      </c>
      <c r="C3977" t="str">
        <f t="shared" si="2201"/>
        <v>FFDFD3C0</v>
      </c>
      <c r="D3977" t="s">
        <v>148</v>
      </c>
      <c r="E3977">
        <v>8</v>
      </c>
      <c r="H3977">
        <v>50</v>
      </c>
      <c r="I3977" t="s">
        <v>149</v>
      </c>
      <c r="J3977" t="s">
        <v>150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 t="shared" si="2224"/>
        <v>14:58:49.344</v>
      </c>
      <c r="T3977" t="str">
        <f t="shared" si="2225"/>
        <v>14:58:49.244</v>
      </c>
      <c r="U3977" t="str">
        <f t="shared" si="2221"/>
        <v>ACC530</v>
      </c>
      <c r="V3977">
        <v>0</v>
      </c>
      <c r="W3977">
        <v>0</v>
      </c>
      <c r="X3977">
        <v>1</v>
      </c>
      <c r="Z3977">
        <v>0</v>
      </c>
      <c r="AA3977">
        <v>9</v>
      </c>
      <c r="AB3977">
        <v>3</v>
      </c>
      <c r="AC3977">
        <v>0</v>
      </c>
      <c r="AD3977">
        <v>9</v>
      </c>
      <c r="AE3977">
        <v>0</v>
      </c>
      <c r="AF3977">
        <v>3</v>
      </c>
      <c r="AG3977">
        <v>1</v>
      </c>
      <c r="AH3977">
        <v>0</v>
      </c>
      <c r="AI3977" t="s">
        <v>1267</v>
      </c>
      <c r="AJ3977">
        <v>34.057423999999997</v>
      </c>
      <c r="AK3977" t="s">
        <v>1271</v>
      </c>
      <c r="AL3977">
        <v>-117.01390000000001</v>
      </c>
      <c r="AM3977">
        <v>100</v>
      </c>
      <c r="AN3977">
        <v>5400</v>
      </c>
      <c r="AO3977" t="s">
        <v>118</v>
      </c>
      <c r="AP3977">
        <v>91</v>
      </c>
      <c r="AQ3977">
        <v>8</v>
      </c>
      <c r="AR3977">
        <v>384</v>
      </c>
      <c r="AZ3977">
        <v>1200</v>
      </c>
      <c r="BA3977">
        <v>1</v>
      </c>
      <c r="BB3977" t="str">
        <f t="shared" si="2222"/>
        <v xml:space="preserve">N9217B  </v>
      </c>
      <c r="BC3977">
        <v>1</v>
      </c>
      <c r="BE3977">
        <v>0</v>
      </c>
      <c r="BF3977">
        <v>0</v>
      </c>
      <c r="BG3977">
        <v>0</v>
      </c>
      <c r="BH3977">
        <v>5225</v>
      </c>
      <c r="BI3977">
        <v>1</v>
      </c>
      <c r="BJ3977">
        <v>0</v>
      </c>
      <c r="BK3977">
        <v>0</v>
      </c>
      <c r="BL3977">
        <v>0</v>
      </c>
      <c r="BO3977">
        <v>0</v>
      </c>
      <c r="BP3977">
        <v>0</v>
      </c>
      <c r="BW3977" t="str">
        <f t="shared" si="2226"/>
        <v>14:58:49.345</v>
      </c>
      <c r="CJ3977">
        <v>0</v>
      </c>
      <c r="CK3977">
        <v>2</v>
      </c>
      <c r="CL3977">
        <v>0</v>
      </c>
      <c r="CM3977">
        <v>2</v>
      </c>
      <c r="CN3977">
        <v>0</v>
      </c>
      <c r="CO3977">
        <v>5</v>
      </c>
      <c r="CP3977" t="s">
        <v>119</v>
      </c>
      <c r="CQ3977">
        <v>285</v>
      </c>
      <c r="CR3977">
        <v>0</v>
      </c>
      <c r="CW3977">
        <v>8886492</v>
      </c>
      <c r="CY3977">
        <v>0</v>
      </c>
      <c r="CZ3977">
        <v>0</v>
      </c>
      <c r="DA3977">
        <v>1</v>
      </c>
      <c r="DB3977">
        <v>0</v>
      </c>
      <c r="DC3977">
        <v>0</v>
      </c>
      <c r="DD3977">
        <v>0</v>
      </c>
      <c r="DE3977">
        <v>0</v>
      </c>
      <c r="DF3977">
        <v>0</v>
      </c>
      <c r="DG3977">
        <v>0</v>
      </c>
      <c r="DH3977">
        <v>0</v>
      </c>
      <c r="DI3977">
        <v>0</v>
      </c>
    </row>
    <row r="3978" spans="1:113" x14ac:dyDescent="0.25">
      <c r="A3978" t="str">
        <f t="shared" si="2223"/>
        <v>06/05/2020 14:58:43.725</v>
      </c>
      <c r="C3978" t="str">
        <f t="shared" si="2201"/>
        <v>FFDFD3C0</v>
      </c>
      <c r="D3978" t="s">
        <v>151</v>
      </c>
      <c r="E3978">
        <v>9</v>
      </c>
      <c r="H3978">
        <v>226</v>
      </c>
      <c r="I3978" t="s">
        <v>152</v>
      </c>
      <c r="J3978" t="s">
        <v>150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 t="shared" si="2224"/>
        <v>14:58:49.344</v>
      </c>
      <c r="T3978" t="str">
        <f t="shared" si="2225"/>
        <v>14:58:49.244</v>
      </c>
      <c r="U3978" t="str">
        <f t="shared" si="2221"/>
        <v>ACC530</v>
      </c>
      <c r="V3978">
        <v>0</v>
      </c>
      <c r="W3978">
        <v>0</v>
      </c>
      <c r="X3978">
        <v>1</v>
      </c>
      <c r="Z3978">
        <v>0</v>
      </c>
      <c r="AA3978">
        <v>9</v>
      </c>
      <c r="AB3978">
        <v>3</v>
      </c>
      <c r="AC3978">
        <v>0</v>
      </c>
      <c r="AD3978">
        <v>9</v>
      </c>
      <c r="AE3978">
        <v>0</v>
      </c>
      <c r="AF3978">
        <v>3</v>
      </c>
      <c r="AG3978">
        <v>1</v>
      </c>
      <c r="AH3978">
        <v>0</v>
      </c>
      <c r="AI3978" t="s">
        <v>1267</v>
      </c>
      <c r="AJ3978">
        <v>34.057423999999997</v>
      </c>
      <c r="AK3978" t="s">
        <v>1271</v>
      </c>
      <c r="AL3978">
        <v>-117.01390000000001</v>
      </c>
      <c r="AM3978">
        <v>100</v>
      </c>
      <c r="AN3978">
        <v>5400</v>
      </c>
      <c r="AO3978" t="s">
        <v>118</v>
      </c>
      <c r="AP3978">
        <v>91</v>
      </c>
      <c r="AQ3978">
        <v>8</v>
      </c>
      <c r="AR3978">
        <v>384</v>
      </c>
      <c r="AZ3978">
        <v>1200</v>
      </c>
      <c r="BA3978">
        <v>1</v>
      </c>
      <c r="BB3978" t="str">
        <f t="shared" si="2222"/>
        <v xml:space="preserve">N9217B  </v>
      </c>
      <c r="BC3978">
        <v>1</v>
      </c>
      <c r="BE3978">
        <v>0</v>
      </c>
      <c r="BF3978">
        <v>0</v>
      </c>
      <c r="BG3978">
        <v>0</v>
      </c>
      <c r="BH3978">
        <v>5225</v>
      </c>
      <c r="BI3978">
        <v>1</v>
      </c>
      <c r="BJ3978">
        <v>0</v>
      </c>
      <c r="BK3978">
        <v>0</v>
      </c>
      <c r="BL3978">
        <v>0</v>
      </c>
      <c r="BO3978">
        <v>0</v>
      </c>
      <c r="BP3978">
        <v>0</v>
      </c>
      <c r="BW3978" t="str">
        <f t="shared" si="2226"/>
        <v>14:58:49.345</v>
      </c>
      <c r="CJ3978">
        <v>0</v>
      </c>
      <c r="CK3978">
        <v>2</v>
      </c>
      <c r="CL3978">
        <v>0</v>
      </c>
      <c r="CM3978">
        <v>2</v>
      </c>
      <c r="CN3978">
        <v>0</v>
      </c>
      <c r="CO3978">
        <v>5</v>
      </c>
      <c r="CP3978" t="s">
        <v>119</v>
      </c>
      <c r="CQ3978">
        <v>285</v>
      </c>
      <c r="CR3978">
        <v>0</v>
      </c>
      <c r="CW3978">
        <v>8886492</v>
      </c>
      <c r="CY3978">
        <v>0</v>
      </c>
      <c r="CZ3978">
        <v>0</v>
      </c>
      <c r="DA3978">
        <v>1</v>
      </c>
      <c r="DB3978">
        <v>0</v>
      </c>
      <c r="DC3978">
        <v>0</v>
      </c>
      <c r="DD3978">
        <v>0</v>
      </c>
      <c r="DE3978">
        <v>0</v>
      </c>
      <c r="DF3978">
        <v>0</v>
      </c>
      <c r="DG3978">
        <v>0</v>
      </c>
      <c r="DH3978">
        <v>0</v>
      </c>
      <c r="DI3978">
        <v>0</v>
      </c>
    </row>
    <row r="3979" spans="1:113" x14ac:dyDescent="0.25">
      <c r="A3979" t="str">
        <f t="shared" si="2223"/>
        <v>06/05/2020 14:58:43.725</v>
      </c>
      <c r="C3979" t="str">
        <f t="shared" si="2201"/>
        <v>FFDFD3C0</v>
      </c>
      <c r="D3979" t="s">
        <v>134</v>
      </c>
      <c r="E3979">
        <v>7</v>
      </c>
      <c r="F3979">
        <v>2007</v>
      </c>
      <c r="G3979" t="s">
        <v>135</v>
      </c>
      <c r="J3979" t="s">
        <v>136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 t="shared" si="2224"/>
        <v>14:58:49.344</v>
      </c>
      <c r="T3979" t="str">
        <f t="shared" si="2225"/>
        <v>14:58:49.244</v>
      </c>
      <c r="U3979" t="str">
        <f t="shared" si="2221"/>
        <v>ACC530</v>
      </c>
      <c r="V3979">
        <v>0</v>
      </c>
      <c r="W3979">
        <v>0</v>
      </c>
      <c r="X3979">
        <v>1</v>
      </c>
      <c r="Z3979">
        <v>0</v>
      </c>
      <c r="AA3979">
        <v>9</v>
      </c>
      <c r="AB3979">
        <v>3</v>
      </c>
      <c r="AC3979">
        <v>0</v>
      </c>
      <c r="AD3979">
        <v>9</v>
      </c>
      <c r="AE3979">
        <v>0</v>
      </c>
      <c r="AF3979">
        <v>3</v>
      </c>
      <c r="AG3979">
        <v>1</v>
      </c>
      <c r="AH3979">
        <v>0</v>
      </c>
      <c r="AI3979" t="s">
        <v>1267</v>
      </c>
      <c r="AJ3979">
        <v>34.057423999999997</v>
      </c>
      <c r="AK3979" t="s">
        <v>1271</v>
      </c>
      <c r="AL3979">
        <v>-117.01390000000001</v>
      </c>
      <c r="AM3979">
        <v>100</v>
      </c>
      <c r="AN3979">
        <v>5400</v>
      </c>
      <c r="AO3979" t="s">
        <v>118</v>
      </c>
      <c r="AP3979">
        <v>91</v>
      </c>
      <c r="AQ3979">
        <v>8</v>
      </c>
      <c r="AR3979">
        <v>384</v>
      </c>
      <c r="AZ3979">
        <v>1200</v>
      </c>
      <c r="BA3979">
        <v>1</v>
      </c>
      <c r="BB3979" t="str">
        <f t="shared" si="2222"/>
        <v xml:space="preserve">N9217B  </v>
      </c>
      <c r="BC3979">
        <v>1</v>
      </c>
      <c r="BE3979">
        <v>0</v>
      </c>
      <c r="BF3979">
        <v>0</v>
      </c>
      <c r="BG3979">
        <v>0</v>
      </c>
      <c r="BH3979">
        <v>5225</v>
      </c>
      <c r="BI3979">
        <v>1</v>
      </c>
      <c r="BJ3979">
        <v>0</v>
      </c>
      <c r="BK3979">
        <v>0</v>
      </c>
      <c r="BL3979">
        <v>0</v>
      </c>
      <c r="BO3979">
        <v>0</v>
      </c>
      <c r="BP3979">
        <v>0</v>
      </c>
      <c r="BW3979" t="str">
        <f t="shared" si="2226"/>
        <v>14:58:49.345</v>
      </c>
      <c r="CJ3979">
        <v>0</v>
      </c>
      <c r="CK3979">
        <v>2</v>
      </c>
      <c r="CL3979">
        <v>0</v>
      </c>
      <c r="CM3979">
        <v>2</v>
      </c>
      <c r="CN3979">
        <v>0</v>
      </c>
      <c r="CO3979">
        <v>5</v>
      </c>
      <c r="CP3979" t="s">
        <v>119</v>
      </c>
      <c r="CQ3979">
        <v>285</v>
      </c>
      <c r="CR3979">
        <v>0</v>
      </c>
      <c r="CW3979">
        <v>8886492</v>
      </c>
      <c r="CY3979">
        <v>0</v>
      </c>
      <c r="CZ3979">
        <v>0</v>
      </c>
      <c r="DA3979">
        <v>1</v>
      </c>
      <c r="DB3979">
        <v>0</v>
      </c>
      <c r="DC3979">
        <v>0</v>
      </c>
      <c r="DD3979">
        <v>0</v>
      </c>
      <c r="DE3979">
        <v>0</v>
      </c>
      <c r="DF3979">
        <v>0</v>
      </c>
      <c r="DG3979">
        <v>0</v>
      </c>
      <c r="DH3979">
        <v>0</v>
      </c>
      <c r="DI3979">
        <v>0</v>
      </c>
    </row>
    <row r="3980" spans="1:113" x14ac:dyDescent="0.25">
      <c r="A3980" t="str">
        <f t="shared" si="2223"/>
        <v>06/05/2020 14:58:43.725</v>
      </c>
      <c r="C3980" t="str">
        <f t="shared" si="2201"/>
        <v>FFDFD3C0</v>
      </c>
      <c r="D3980" t="s">
        <v>141</v>
      </c>
      <c r="E3980">
        <v>20</v>
      </c>
      <c r="F3980">
        <v>1020</v>
      </c>
      <c r="G3980" t="s">
        <v>114</v>
      </c>
      <c r="J3980" t="s">
        <v>142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 t="shared" si="2224"/>
        <v>14:58:49.344</v>
      </c>
      <c r="T3980" t="str">
        <f t="shared" si="2225"/>
        <v>14:58:49.244</v>
      </c>
      <c r="U3980" t="str">
        <f t="shared" si="2221"/>
        <v>ACC530</v>
      </c>
      <c r="V3980">
        <v>0</v>
      </c>
      <c r="W3980">
        <v>0</v>
      </c>
      <c r="X3980">
        <v>1</v>
      </c>
      <c r="Z3980">
        <v>0</v>
      </c>
      <c r="AA3980">
        <v>9</v>
      </c>
      <c r="AB3980">
        <v>3</v>
      </c>
      <c r="AC3980">
        <v>0</v>
      </c>
      <c r="AD3980">
        <v>9</v>
      </c>
      <c r="AE3980">
        <v>0</v>
      </c>
      <c r="AF3980">
        <v>3</v>
      </c>
      <c r="AG3980">
        <v>1</v>
      </c>
      <c r="AH3980">
        <v>0</v>
      </c>
      <c r="AI3980" t="s">
        <v>1267</v>
      </c>
      <c r="AJ3980">
        <v>34.057423999999997</v>
      </c>
      <c r="AK3980" t="s">
        <v>1271</v>
      </c>
      <c r="AL3980">
        <v>-117.01390000000001</v>
      </c>
      <c r="AM3980">
        <v>100</v>
      </c>
      <c r="AN3980">
        <v>5400</v>
      </c>
      <c r="AO3980" t="s">
        <v>118</v>
      </c>
      <c r="AP3980">
        <v>91</v>
      </c>
      <c r="AQ3980">
        <v>8</v>
      </c>
      <c r="AR3980">
        <v>384</v>
      </c>
      <c r="AZ3980">
        <v>1200</v>
      </c>
      <c r="BA3980">
        <v>1</v>
      </c>
      <c r="BB3980" t="str">
        <f t="shared" si="2222"/>
        <v xml:space="preserve">N9217B  </v>
      </c>
      <c r="BC3980">
        <v>1</v>
      </c>
      <c r="BE3980">
        <v>0</v>
      </c>
      <c r="BF3980">
        <v>0</v>
      </c>
      <c r="BG3980">
        <v>0</v>
      </c>
      <c r="BH3980">
        <v>5225</v>
      </c>
      <c r="BI3980">
        <v>1</v>
      </c>
      <c r="BJ3980">
        <v>0</v>
      </c>
      <c r="BK3980">
        <v>0</v>
      </c>
      <c r="BL3980">
        <v>0</v>
      </c>
      <c r="BO3980">
        <v>0</v>
      </c>
      <c r="BP3980">
        <v>0</v>
      </c>
      <c r="BW3980" t="str">
        <f t="shared" si="2226"/>
        <v>14:58:49.345</v>
      </c>
      <c r="CJ3980">
        <v>0</v>
      </c>
      <c r="CK3980">
        <v>2</v>
      </c>
      <c r="CL3980">
        <v>0</v>
      </c>
      <c r="CM3980">
        <v>2</v>
      </c>
      <c r="CN3980">
        <v>0</v>
      </c>
      <c r="CO3980">
        <v>5</v>
      </c>
      <c r="CP3980" t="s">
        <v>119</v>
      </c>
      <c r="CQ3980">
        <v>285</v>
      </c>
      <c r="CR3980">
        <v>0</v>
      </c>
      <c r="CW3980">
        <v>8886492</v>
      </c>
      <c r="CY3980">
        <v>0</v>
      </c>
      <c r="CZ3980">
        <v>0</v>
      </c>
      <c r="DA3980">
        <v>1</v>
      </c>
      <c r="DB3980">
        <v>0</v>
      </c>
      <c r="DC3980">
        <v>0</v>
      </c>
      <c r="DD3980">
        <v>0</v>
      </c>
      <c r="DE3980">
        <v>0</v>
      </c>
      <c r="DF3980">
        <v>0</v>
      </c>
      <c r="DG3980">
        <v>0</v>
      </c>
      <c r="DH3980">
        <v>0</v>
      </c>
      <c r="DI3980">
        <v>0</v>
      </c>
    </row>
    <row r="3981" spans="1:113" x14ac:dyDescent="0.25">
      <c r="A3981" t="str">
        <f t="shared" si="2223"/>
        <v>06/05/2020 14:58:43.725</v>
      </c>
      <c r="C3981" t="str">
        <f t="shared" si="2201"/>
        <v>FFDFD3C0</v>
      </c>
      <c r="D3981" t="s">
        <v>148</v>
      </c>
      <c r="E3981">
        <v>11</v>
      </c>
      <c r="H3981">
        <v>53</v>
      </c>
      <c r="I3981" t="s">
        <v>364</v>
      </c>
      <c r="J3981" t="s">
        <v>150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 t="shared" si="2224"/>
        <v>14:58:49.344</v>
      </c>
      <c r="T3981" t="str">
        <f t="shared" si="2225"/>
        <v>14:58:49.244</v>
      </c>
      <c r="U3981" t="str">
        <f t="shared" si="2221"/>
        <v>ACC530</v>
      </c>
      <c r="V3981">
        <v>0</v>
      </c>
      <c r="W3981">
        <v>0</v>
      </c>
      <c r="X3981">
        <v>1</v>
      </c>
      <c r="Z3981">
        <v>0</v>
      </c>
      <c r="AA3981">
        <v>9</v>
      </c>
      <c r="AB3981">
        <v>3</v>
      </c>
      <c r="AC3981">
        <v>0</v>
      </c>
      <c r="AD3981">
        <v>9</v>
      </c>
      <c r="AE3981">
        <v>0</v>
      </c>
      <c r="AF3981">
        <v>3</v>
      </c>
      <c r="AG3981">
        <v>1</v>
      </c>
      <c r="AH3981">
        <v>0</v>
      </c>
      <c r="AI3981" t="s">
        <v>1267</v>
      </c>
      <c r="AJ3981">
        <v>34.057423999999997</v>
      </c>
      <c r="AK3981" t="s">
        <v>1271</v>
      </c>
      <c r="AL3981">
        <v>-117.01390000000001</v>
      </c>
      <c r="AM3981">
        <v>100</v>
      </c>
      <c r="AN3981">
        <v>5400</v>
      </c>
      <c r="AO3981" t="s">
        <v>118</v>
      </c>
      <c r="AP3981">
        <v>91</v>
      </c>
      <c r="AQ3981">
        <v>8</v>
      </c>
      <c r="AR3981">
        <v>384</v>
      </c>
      <c r="AZ3981">
        <v>1200</v>
      </c>
      <c r="BA3981">
        <v>1</v>
      </c>
      <c r="BB3981" t="str">
        <f t="shared" si="2222"/>
        <v xml:space="preserve">N9217B  </v>
      </c>
      <c r="BC3981">
        <v>1</v>
      </c>
      <c r="BE3981">
        <v>0</v>
      </c>
      <c r="BF3981">
        <v>0</v>
      </c>
      <c r="BG3981">
        <v>0</v>
      </c>
      <c r="BH3981">
        <v>5225</v>
      </c>
      <c r="BI3981">
        <v>1</v>
      </c>
      <c r="BJ3981">
        <v>0</v>
      </c>
      <c r="BK3981">
        <v>0</v>
      </c>
      <c r="BL3981">
        <v>0</v>
      </c>
      <c r="BO3981">
        <v>0</v>
      </c>
      <c r="BP3981">
        <v>0</v>
      </c>
      <c r="BW3981" t="str">
        <f t="shared" si="2226"/>
        <v>14:58:49.345</v>
      </c>
      <c r="CJ3981">
        <v>0</v>
      </c>
      <c r="CK3981">
        <v>2</v>
      </c>
      <c r="CL3981">
        <v>0</v>
      </c>
      <c r="CM3981">
        <v>2</v>
      </c>
      <c r="CN3981">
        <v>0</v>
      </c>
      <c r="CO3981">
        <v>5</v>
      </c>
      <c r="CP3981" t="s">
        <v>119</v>
      </c>
      <c r="CQ3981">
        <v>285</v>
      </c>
      <c r="CR3981">
        <v>0</v>
      </c>
      <c r="CW3981">
        <v>8886492</v>
      </c>
      <c r="CY3981">
        <v>0</v>
      </c>
      <c r="CZ3981">
        <v>0</v>
      </c>
      <c r="DA3981">
        <v>1</v>
      </c>
      <c r="DB3981">
        <v>0</v>
      </c>
      <c r="DC3981">
        <v>0</v>
      </c>
      <c r="DD3981">
        <v>0</v>
      </c>
      <c r="DE3981">
        <v>0</v>
      </c>
      <c r="DF3981">
        <v>0</v>
      </c>
      <c r="DG3981">
        <v>0</v>
      </c>
      <c r="DH3981">
        <v>0</v>
      </c>
      <c r="DI3981">
        <v>0</v>
      </c>
    </row>
    <row r="3982" spans="1:113" x14ac:dyDescent="0.25">
      <c r="A3982" t="str">
        <f t="shared" si="2223"/>
        <v>06/05/2020 14:58:43.725</v>
      </c>
      <c r="C3982" t="str">
        <f t="shared" si="2201"/>
        <v>FFDFD3C0</v>
      </c>
      <c r="D3982" t="s">
        <v>113</v>
      </c>
      <c r="E3982">
        <v>3</v>
      </c>
      <c r="H3982">
        <v>166</v>
      </c>
      <c r="I3982" t="s">
        <v>114</v>
      </c>
      <c r="J3982" t="s">
        <v>115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 t="shared" si="2224"/>
        <v>14:58:49.344</v>
      </c>
      <c r="T3982" t="str">
        <f t="shared" si="2225"/>
        <v>14:58:49.244</v>
      </c>
      <c r="U3982" t="str">
        <f t="shared" si="2221"/>
        <v>ACC530</v>
      </c>
      <c r="V3982">
        <v>0</v>
      </c>
      <c r="W3982">
        <v>0</v>
      </c>
      <c r="X3982">
        <v>1</v>
      </c>
      <c r="Z3982">
        <v>0</v>
      </c>
      <c r="AA3982">
        <v>9</v>
      </c>
      <c r="AB3982">
        <v>3</v>
      </c>
      <c r="AC3982">
        <v>0</v>
      </c>
      <c r="AD3982">
        <v>9</v>
      </c>
      <c r="AE3982">
        <v>0</v>
      </c>
      <c r="AF3982">
        <v>3</v>
      </c>
      <c r="AG3982">
        <v>1</v>
      </c>
      <c r="AH3982">
        <v>0</v>
      </c>
      <c r="AI3982" t="s">
        <v>1267</v>
      </c>
      <c r="AJ3982">
        <v>34.057423999999997</v>
      </c>
      <c r="AK3982" t="s">
        <v>1271</v>
      </c>
      <c r="AL3982">
        <v>-117.01390000000001</v>
      </c>
      <c r="AM3982">
        <v>100</v>
      </c>
      <c r="AN3982">
        <v>5400</v>
      </c>
      <c r="AO3982" t="s">
        <v>118</v>
      </c>
      <c r="AP3982">
        <v>91</v>
      </c>
      <c r="AQ3982">
        <v>8</v>
      </c>
      <c r="AR3982">
        <v>384</v>
      </c>
      <c r="AZ3982">
        <v>1200</v>
      </c>
      <c r="BA3982">
        <v>1</v>
      </c>
      <c r="BB3982" t="str">
        <f t="shared" si="2222"/>
        <v xml:space="preserve">N9217B  </v>
      </c>
      <c r="BC3982">
        <v>1</v>
      </c>
      <c r="BE3982">
        <v>0</v>
      </c>
      <c r="BF3982">
        <v>0</v>
      </c>
      <c r="BG3982">
        <v>0</v>
      </c>
      <c r="BH3982">
        <v>5225</v>
      </c>
      <c r="BI3982">
        <v>1</v>
      </c>
      <c r="BJ3982">
        <v>0</v>
      </c>
      <c r="BK3982">
        <v>0</v>
      </c>
      <c r="BL3982">
        <v>0</v>
      </c>
      <c r="BO3982">
        <v>0</v>
      </c>
      <c r="BP3982">
        <v>0</v>
      </c>
      <c r="BW3982" t="str">
        <f t="shared" si="2226"/>
        <v>14:58:49.345</v>
      </c>
      <c r="CJ3982">
        <v>0</v>
      </c>
      <c r="CK3982">
        <v>2</v>
      </c>
      <c r="CL3982">
        <v>0</v>
      </c>
      <c r="CM3982">
        <v>2</v>
      </c>
      <c r="CN3982">
        <v>0</v>
      </c>
      <c r="CO3982">
        <v>5</v>
      </c>
      <c r="CP3982" t="s">
        <v>119</v>
      </c>
      <c r="CQ3982">
        <v>285</v>
      </c>
      <c r="CR3982">
        <v>0</v>
      </c>
      <c r="CW3982">
        <v>8886492</v>
      </c>
      <c r="CY3982">
        <v>0</v>
      </c>
      <c r="CZ3982">
        <v>0</v>
      </c>
      <c r="DA3982">
        <v>1</v>
      </c>
      <c r="DB3982">
        <v>0</v>
      </c>
      <c r="DC3982">
        <v>0</v>
      </c>
      <c r="DD3982">
        <v>0</v>
      </c>
      <c r="DE3982">
        <v>0</v>
      </c>
      <c r="DF3982">
        <v>0</v>
      </c>
      <c r="DG3982">
        <v>0</v>
      </c>
      <c r="DH3982">
        <v>0</v>
      </c>
      <c r="DI3982">
        <v>0</v>
      </c>
    </row>
    <row r="3983" spans="1:113" x14ac:dyDescent="0.25">
      <c r="A3983" t="str">
        <f t="shared" ref="A3983:A3989" si="2227">"06/05/2020 14:58:44.899"</f>
        <v>06/05/2020 14:58:44.899</v>
      </c>
      <c r="C3983" t="str">
        <f t="shared" si="2201"/>
        <v>FFDFD3C0</v>
      </c>
      <c r="D3983" t="s">
        <v>134</v>
      </c>
      <c r="E3983">
        <v>7</v>
      </c>
      <c r="F3983">
        <v>2007</v>
      </c>
      <c r="G3983" t="s">
        <v>135</v>
      </c>
      <c r="J3983" t="s">
        <v>136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 t="shared" ref="S3983:S3989" si="2228">"14:58:50.523"</f>
        <v>14:58:50.523</v>
      </c>
      <c r="T3983" t="str">
        <f t="shared" ref="T3983:T3989" si="2229">"14:58:50.223"</f>
        <v>14:58:50.223</v>
      </c>
      <c r="U3983" t="str">
        <f t="shared" si="2221"/>
        <v>ACC530</v>
      </c>
      <c r="V3983">
        <v>0</v>
      </c>
      <c r="W3983">
        <v>0</v>
      </c>
      <c r="X3983">
        <v>1</v>
      </c>
      <c r="Z3983">
        <v>0</v>
      </c>
      <c r="AA3983">
        <v>9</v>
      </c>
      <c r="AB3983">
        <v>3</v>
      </c>
      <c r="AC3983">
        <v>0</v>
      </c>
      <c r="AD3983">
        <v>9</v>
      </c>
      <c r="AE3983">
        <v>0</v>
      </c>
      <c r="AF3983">
        <v>3</v>
      </c>
      <c r="AG3983">
        <v>1</v>
      </c>
      <c r="AH3983">
        <v>0</v>
      </c>
      <c r="AI3983" t="s">
        <v>1272</v>
      </c>
      <c r="AJ3983">
        <v>34.057574000000002</v>
      </c>
      <c r="AK3983" t="s">
        <v>1273</v>
      </c>
      <c r="AL3983">
        <v>-117.013299</v>
      </c>
      <c r="AM3983">
        <v>100</v>
      </c>
      <c r="AN3983">
        <v>5400</v>
      </c>
      <c r="AO3983" t="s">
        <v>118</v>
      </c>
      <c r="AP3983">
        <v>90</v>
      </c>
      <c r="AQ3983">
        <v>18</v>
      </c>
      <c r="AR3983">
        <v>256</v>
      </c>
      <c r="AZ3983">
        <v>1200</v>
      </c>
      <c r="BA3983">
        <v>1</v>
      </c>
      <c r="BB3983" t="str">
        <f t="shared" si="2222"/>
        <v xml:space="preserve">N9217B  </v>
      </c>
      <c r="BC3983">
        <v>1</v>
      </c>
      <c r="BE3983">
        <v>0</v>
      </c>
      <c r="BF3983">
        <v>0</v>
      </c>
      <c r="BG3983">
        <v>0</v>
      </c>
      <c r="BH3983">
        <v>5250</v>
      </c>
      <c r="BI3983">
        <v>1</v>
      </c>
      <c r="BJ3983">
        <v>0</v>
      </c>
      <c r="BK3983">
        <v>0</v>
      </c>
      <c r="BL3983">
        <v>0</v>
      </c>
      <c r="BO3983">
        <v>0</v>
      </c>
      <c r="BP3983">
        <v>0</v>
      </c>
      <c r="BW3983" t="str">
        <f t="shared" ref="BW3983:BW3989" si="2230">"14:58:50.530"</f>
        <v>14:58:50.530</v>
      </c>
      <c r="CJ3983">
        <v>0</v>
      </c>
      <c r="CK3983">
        <v>2</v>
      </c>
      <c r="CL3983">
        <v>0</v>
      </c>
      <c r="CM3983">
        <v>2</v>
      </c>
      <c r="CN3983">
        <v>0</v>
      </c>
      <c r="CO3983">
        <v>5</v>
      </c>
      <c r="CP3983" t="s">
        <v>119</v>
      </c>
      <c r="CQ3983">
        <v>285</v>
      </c>
      <c r="CR3983">
        <v>0</v>
      </c>
      <c r="CW3983">
        <v>8886600</v>
      </c>
      <c r="CY3983">
        <v>0</v>
      </c>
      <c r="CZ3983">
        <v>0</v>
      </c>
      <c r="DA3983">
        <v>0</v>
      </c>
      <c r="DB3983">
        <v>0</v>
      </c>
      <c r="DC3983">
        <v>0</v>
      </c>
      <c r="DD3983">
        <v>0</v>
      </c>
      <c r="DE3983">
        <v>0</v>
      </c>
      <c r="DF3983">
        <v>0</v>
      </c>
      <c r="DG3983">
        <v>0</v>
      </c>
      <c r="DH3983">
        <v>0</v>
      </c>
      <c r="DI3983">
        <v>0</v>
      </c>
    </row>
    <row r="3984" spans="1:113" x14ac:dyDescent="0.25">
      <c r="A3984" t="str">
        <f t="shared" si="2227"/>
        <v>06/05/2020 14:58:44.899</v>
      </c>
      <c r="C3984" t="str">
        <f t="shared" si="2201"/>
        <v>FFDFD3C0</v>
      </c>
      <c r="D3984" t="s">
        <v>151</v>
      </c>
      <c r="E3984">
        <v>9</v>
      </c>
      <c r="H3984">
        <v>226</v>
      </c>
      <c r="I3984" t="s">
        <v>152</v>
      </c>
      <c r="J3984" t="s">
        <v>150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 t="shared" si="2228"/>
        <v>14:58:50.523</v>
      </c>
      <c r="T3984" t="str">
        <f t="shared" si="2229"/>
        <v>14:58:50.223</v>
      </c>
      <c r="U3984" t="str">
        <f t="shared" si="2221"/>
        <v>ACC530</v>
      </c>
      <c r="V3984">
        <v>0</v>
      </c>
      <c r="W3984">
        <v>0</v>
      </c>
      <c r="X3984">
        <v>1</v>
      </c>
      <c r="Z3984">
        <v>0</v>
      </c>
      <c r="AA3984">
        <v>9</v>
      </c>
      <c r="AB3984">
        <v>3</v>
      </c>
      <c r="AC3984">
        <v>0</v>
      </c>
      <c r="AD3984">
        <v>9</v>
      </c>
      <c r="AE3984">
        <v>0</v>
      </c>
      <c r="AF3984">
        <v>3</v>
      </c>
      <c r="AG3984">
        <v>1</v>
      </c>
      <c r="AH3984">
        <v>0</v>
      </c>
      <c r="AI3984" t="s">
        <v>1272</v>
      </c>
      <c r="AJ3984">
        <v>34.057574000000002</v>
      </c>
      <c r="AK3984" t="s">
        <v>1273</v>
      </c>
      <c r="AL3984">
        <v>-117.013299</v>
      </c>
      <c r="AM3984">
        <v>100</v>
      </c>
      <c r="AN3984">
        <v>5400</v>
      </c>
      <c r="AO3984" t="s">
        <v>118</v>
      </c>
      <c r="AP3984">
        <v>90</v>
      </c>
      <c r="AQ3984">
        <v>18</v>
      </c>
      <c r="AR3984">
        <v>256</v>
      </c>
      <c r="AZ3984">
        <v>1200</v>
      </c>
      <c r="BA3984">
        <v>1</v>
      </c>
      <c r="BB3984" t="str">
        <f t="shared" si="2222"/>
        <v xml:space="preserve">N9217B  </v>
      </c>
      <c r="BC3984">
        <v>1</v>
      </c>
      <c r="BE3984">
        <v>0</v>
      </c>
      <c r="BF3984">
        <v>0</v>
      </c>
      <c r="BG3984">
        <v>0</v>
      </c>
      <c r="BH3984">
        <v>5250</v>
      </c>
      <c r="BI3984">
        <v>1</v>
      </c>
      <c r="BJ3984">
        <v>0</v>
      </c>
      <c r="BK3984">
        <v>0</v>
      </c>
      <c r="BL3984">
        <v>0</v>
      </c>
      <c r="BO3984">
        <v>0</v>
      </c>
      <c r="BP3984">
        <v>0</v>
      </c>
      <c r="BW3984" t="str">
        <f t="shared" si="2230"/>
        <v>14:58:50.530</v>
      </c>
      <c r="CJ3984">
        <v>0</v>
      </c>
      <c r="CK3984">
        <v>2</v>
      </c>
      <c r="CL3984">
        <v>0</v>
      </c>
      <c r="CM3984">
        <v>2</v>
      </c>
      <c r="CN3984">
        <v>0</v>
      </c>
      <c r="CO3984">
        <v>5</v>
      </c>
      <c r="CP3984" t="s">
        <v>119</v>
      </c>
      <c r="CQ3984">
        <v>285</v>
      </c>
      <c r="CR3984">
        <v>0</v>
      </c>
      <c r="CW3984">
        <v>8886600</v>
      </c>
      <c r="CY3984">
        <v>0</v>
      </c>
      <c r="CZ3984">
        <v>0</v>
      </c>
      <c r="DA3984">
        <v>1</v>
      </c>
      <c r="DB3984">
        <v>0</v>
      </c>
      <c r="DC3984">
        <v>0</v>
      </c>
      <c r="DD3984">
        <v>0</v>
      </c>
      <c r="DE3984">
        <v>0</v>
      </c>
      <c r="DF3984">
        <v>0</v>
      </c>
      <c r="DG3984">
        <v>0</v>
      </c>
      <c r="DH3984">
        <v>0</v>
      </c>
      <c r="DI3984">
        <v>0</v>
      </c>
    </row>
    <row r="3985" spans="1:113" x14ac:dyDescent="0.25">
      <c r="A3985" t="str">
        <f t="shared" si="2227"/>
        <v>06/05/2020 14:58:44.899</v>
      </c>
      <c r="C3985" t="str">
        <f t="shared" si="2201"/>
        <v>FFDFD3C0</v>
      </c>
      <c r="D3985" t="s">
        <v>141</v>
      </c>
      <c r="E3985">
        <v>20</v>
      </c>
      <c r="F3985">
        <v>1020</v>
      </c>
      <c r="G3985" t="s">
        <v>114</v>
      </c>
      <c r="J3985" t="s">
        <v>142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 t="shared" si="2228"/>
        <v>14:58:50.523</v>
      </c>
      <c r="T3985" t="str">
        <f t="shared" si="2229"/>
        <v>14:58:50.223</v>
      </c>
      <c r="U3985" t="str">
        <f t="shared" si="2221"/>
        <v>ACC530</v>
      </c>
      <c r="V3985">
        <v>0</v>
      </c>
      <c r="W3985">
        <v>0</v>
      </c>
      <c r="X3985">
        <v>1</v>
      </c>
      <c r="Z3985">
        <v>0</v>
      </c>
      <c r="AA3985">
        <v>9</v>
      </c>
      <c r="AB3985">
        <v>3</v>
      </c>
      <c r="AC3985">
        <v>0</v>
      </c>
      <c r="AD3985">
        <v>9</v>
      </c>
      <c r="AE3985">
        <v>0</v>
      </c>
      <c r="AF3985">
        <v>3</v>
      </c>
      <c r="AG3985">
        <v>1</v>
      </c>
      <c r="AH3985">
        <v>0</v>
      </c>
      <c r="AI3985" t="s">
        <v>1272</v>
      </c>
      <c r="AJ3985">
        <v>34.057574000000002</v>
      </c>
      <c r="AK3985" t="s">
        <v>1273</v>
      </c>
      <c r="AL3985">
        <v>-117.013299</v>
      </c>
      <c r="AM3985">
        <v>100</v>
      </c>
      <c r="AN3985">
        <v>5400</v>
      </c>
      <c r="AO3985" t="s">
        <v>118</v>
      </c>
      <c r="AP3985">
        <v>90</v>
      </c>
      <c r="AQ3985">
        <v>18</v>
      </c>
      <c r="AR3985">
        <v>256</v>
      </c>
      <c r="AZ3985">
        <v>1200</v>
      </c>
      <c r="BA3985">
        <v>1</v>
      </c>
      <c r="BB3985" t="str">
        <f t="shared" si="2222"/>
        <v xml:space="preserve">N9217B  </v>
      </c>
      <c r="BC3985">
        <v>1</v>
      </c>
      <c r="BE3985">
        <v>0</v>
      </c>
      <c r="BF3985">
        <v>0</v>
      </c>
      <c r="BG3985">
        <v>0</v>
      </c>
      <c r="BH3985">
        <v>5250</v>
      </c>
      <c r="BI3985">
        <v>1</v>
      </c>
      <c r="BJ3985">
        <v>0</v>
      </c>
      <c r="BK3985">
        <v>0</v>
      </c>
      <c r="BL3985">
        <v>0</v>
      </c>
      <c r="BO3985">
        <v>0</v>
      </c>
      <c r="BP3985">
        <v>0</v>
      </c>
      <c r="BW3985" t="str">
        <f t="shared" si="2230"/>
        <v>14:58:50.530</v>
      </c>
      <c r="CJ3985">
        <v>0</v>
      </c>
      <c r="CK3985">
        <v>2</v>
      </c>
      <c r="CL3985">
        <v>0</v>
      </c>
      <c r="CM3985">
        <v>2</v>
      </c>
      <c r="CN3985">
        <v>0</v>
      </c>
      <c r="CO3985">
        <v>5</v>
      </c>
      <c r="CP3985" t="s">
        <v>119</v>
      </c>
      <c r="CQ3985">
        <v>285</v>
      </c>
      <c r="CR3985">
        <v>0</v>
      </c>
      <c r="CW3985">
        <v>8886600</v>
      </c>
      <c r="CY3985">
        <v>0</v>
      </c>
      <c r="CZ3985">
        <v>0</v>
      </c>
      <c r="DA3985">
        <v>1</v>
      </c>
      <c r="DB3985">
        <v>0</v>
      </c>
      <c r="DC3985">
        <v>0</v>
      </c>
      <c r="DD3985">
        <v>0</v>
      </c>
      <c r="DE3985">
        <v>0</v>
      </c>
      <c r="DF3985">
        <v>0</v>
      </c>
      <c r="DG3985">
        <v>0</v>
      </c>
      <c r="DH3985">
        <v>0</v>
      </c>
      <c r="DI3985">
        <v>0</v>
      </c>
    </row>
    <row r="3986" spans="1:113" x14ac:dyDescent="0.25">
      <c r="A3986" t="str">
        <f t="shared" si="2227"/>
        <v>06/05/2020 14:58:44.899</v>
      </c>
      <c r="C3986" t="str">
        <f t="shared" si="2201"/>
        <v>FFDFD3C0</v>
      </c>
      <c r="D3986" t="s">
        <v>148</v>
      </c>
      <c r="E3986">
        <v>11</v>
      </c>
      <c r="H3986">
        <v>53</v>
      </c>
      <c r="I3986" t="s">
        <v>364</v>
      </c>
      <c r="J3986" t="s">
        <v>150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 t="shared" si="2228"/>
        <v>14:58:50.523</v>
      </c>
      <c r="T3986" t="str">
        <f t="shared" si="2229"/>
        <v>14:58:50.223</v>
      </c>
      <c r="U3986" t="str">
        <f t="shared" si="2221"/>
        <v>ACC530</v>
      </c>
      <c r="V3986">
        <v>0</v>
      </c>
      <c r="W3986">
        <v>0</v>
      </c>
      <c r="X3986">
        <v>1</v>
      </c>
      <c r="Z3986">
        <v>0</v>
      </c>
      <c r="AA3986">
        <v>9</v>
      </c>
      <c r="AB3986">
        <v>3</v>
      </c>
      <c r="AC3986">
        <v>0</v>
      </c>
      <c r="AD3986">
        <v>9</v>
      </c>
      <c r="AE3986">
        <v>0</v>
      </c>
      <c r="AF3986">
        <v>3</v>
      </c>
      <c r="AG3986">
        <v>1</v>
      </c>
      <c r="AH3986">
        <v>0</v>
      </c>
      <c r="AI3986" t="s">
        <v>1272</v>
      </c>
      <c r="AJ3986">
        <v>34.057574000000002</v>
      </c>
      <c r="AK3986" t="s">
        <v>1273</v>
      </c>
      <c r="AL3986">
        <v>-117.013299</v>
      </c>
      <c r="AM3986">
        <v>100</v>
      </c>
      <c r="AN3986">
        <v>5400</v>
      </c>
      <c r="AO3986" t="s">
        <v>118</v>
      </c>
      <c r="AP3986">
        <v>90</v>
      </c>
      <c r="AQ3986">
        <v>18</v>
      </c>
      <c r="AR3986">
        <v>256</v>
      </c>
      <c r="AZ3986">
        <v>1200</v>
      </c>
      <c r="BA3986">
        <v>1</v>
      </c>
      <c r="BB3986" t="str">
        <f t="shared" si="2222"/>
        <v xml:space="preserve">N9217B  </v>
      </c>
      <c r="BC3986">
        <v>1</v>
      </c>
      <c r="BE3986">
        <v>0</v>
      </c>
      <c r="BF3986">
        <v>0</v>
      </c>
      <c r="BG3986">
        <v>0</v>
      </c>
      <c r="BH3986">
        <v>5250</v>
      </c>
      <c r="BI3986">
        <v>1</v>
      </c>
      <c r="BJ3986">
        <v>0</v>
      </c>
      <c r="BK3986">
        <v>0</v>
      </c>
      <c r="BL3986">
        <v>0</v>
      </c>
      <c r="BO3986">
        <v>0</v>
      </c>
      <c r="BP3986">
        <v>0</v>
      </c>
      <c r="BW3986" t="str">
        <f t="shared" si="2230"/>
        <v>14:58:50.530</v>
      </c>
      <c r="CJ3986">
        <v>0</v>
      </c>
      <c r="CK3986">
        <v>2</v>
      </c>
      <c r="CL3986">
        <v>0</v>
      </c>
      <c r="CM3986">
        <v>2</v>
      </c>
      <c r="CN3986">
        <v>0</v>
      </c>
      <c r="CO3986">
        <v>5</v>
      </c>
      <c r="CP3986" t="s">
        <v>119</v>
      </c>
      <c r="CQ3986">
        <v>285</v>
      </c>
      <c r="CR3986">
        <v>0</v>
      </c>
      <c r="CW3986">
        <v>8886600</v>
      </c>
      <c r="CY3986">
        <v>0</v>
      </c>
      <c r="CZ3986">
        <v>0</v>
      </c>
      <c r="DA3986">
        <v>1</v>
      </c>
      <c r="DB3986">
        <v>0</v>
      </c>
      <c r="DC3986">
        <v>0</v>
      </c>
      <c r="DD3986">
        <v>0</v>
      </c>
      <c r="DE3986">
        <v>0</v>
      </c>
      <c r="DF3986">
        <v>0</v>
      </c>
      <c r="DG3986">
        <v>0</v>
      </c>
      <c r="DH3986">
        <v>0</v>
      </c>
      <c r="DI3986">
        <v>0</v>
      </c>
    </row>
    <row r="3987" spans="1:113" x14ac:dyDescent="0.25">
      <c r="A3987" t="str">
        <f t="shared" si="2227"/>
        <v>06/05/2020 14:58:44.899</v>
      </c>
      <c r="C3987" t="str">
        <f t="shared" si="2201"/>
        <v>FFDFD3C0</v>
      </c>
      <c r="D3987" t="s">
        <v>113</v>
      </c>
      <c r="E3987">
        <v>3</v>
      </c>
      <c r="H3987">
        <v>166</v>
      </c>
      <c r="I3987" t="s">
        <v>114</v>
      </c>
      <c r="J3987" t="s">
        <v>115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 t="shared" si="2228"/>
        <v>14:58:50.523</v>
      </c>
      <c r="T3987" t="str">
        <f t="shared" si="2229"/>
        <v>14:58:50.223</v>
      </c>
      <c r="U3987" t="str">
        <f t="shared" si="2221"/>
        <v>ACC530</v>
      </c>
      <c r="V3987">
        <v>0</v>
      </c>
      <c r="W3987">
        <v>0</v>
      </c>
      <c r="X3987">
        <v>1</v>
      </c>
      <c r="Z3987">
        <v>0</v>
      </c>
      <c r="AA3987">
        <v>9</v>
      </c>
      <c r="AB3987">
        <v>3</v>
      </c>
      <c r="AC3987">
        <v>0</v>
      </c>
      <c r="AD3987">
        <v>9</v>
      </c>
      <c r="AE3987">
        <v>0</v>
      </c>
      <c r="AF3987">
        <v>3</v>
      </c>
      <c r="AG3987">
        <v>1</v>
      </c>
      <c r="AH3987">
        <v>0</v>
      </c>
      <c r="AI3987" t="s">
        <v>1272</v>
      </c>
      <c r="AJ3987">
        <v>34.057574000000002</v>
      </c>
      <c r="AK3987" t="s">
        <v>1273</v>
      </c>
      <c r="AL3987">
        <v>-117.013299</v>
      </c>
      <c r="AM3987">
        <v>100</v>
      </c>
      <c r="AN3987">
        <v>5400</v>
      </c>
      <c r="AO3987" t="s">
        <v>118</v>
      </c>
      <c r="AP3987">
        <v>90</v>
      </c>
      <c r="AQ3987">
        <v>18</v>
      </c>
      <c r="AR3987">
        <v>256</v>
      </c>
      <c r="AZ3987">
        <v>1200</v>
      </c>
      <c r="BA3987">
        <v>1</v>
      </c>
      <c r="BB3987" t="str">
        <f t="shared" si="2222"/>
        <v xml:space="preserve">N9217B  </v>
      </c>
      <c r="BC3987">
        <v>1</v>
      </c>
      <c r="BE3987">
        <v>0</v>
      </c>
      <c r="BF3987">
        <v>0</v>
      </c>
      <c r="BG3987">
        <v>0</v>
      </c>
      <c r="BH3987">
        <v>5250</v>
      </c>
      <c r="BI3987">
        <v>1</v>
      </c>
      <c r="BJ3987">
        <v>0</v>
      </c>
      <c r="BK3987">
        <v>0</v>
      </c>
      <c r="BL3987">
        <v>0</v>
      </c>
      <c r="BO3987">
        <v>0</v>
      </c>
      <c r="BP3987">
        <v>0</v>
      </c>
      <c r="BW3987" t="str">
        <f t="shared" si="2230"/>
        <v>14:58:50.530</v>
      </c>
      <c r="CJ3987">
        <v>0</v>
      </c>
      <c r="CK3987">
        <v>2</v>
      </c>
      <c r="CL3987">
        <v>0</v>
      </c>
      <c r="CM3987">
        <v>2</v>
      </c>
      <c r="CN3987">
        <v>0</v>
      </c>
      <c r="CO3987">
        <v>5</v>
      </c>
      <c r="CP3987" t="s">
        <v>119</v>
      </c>
      <c r="CQ3987">
        <v>285</v>
      </c>
      <c r="CR3987">
        <v>0</v>
      </c>
      <c r="CW3987">
        <v>8886600</v>
      </c>
      <c r="CY3987">
        <v>0</v>
      </c>
      <c r="CZ3987">
        <v>0</v>
      </c>
      <c r="DA3987">
        <v>1</v>
      </c>
      <c r="DB3987">
        <v>0</v>
      </c>
      <c r="DC3987">
        <v>0</v>
      </c>
      <c r="DD3987">
        <v>0</v>
      </c>
      <c r="DE3987">
        <v>0</v>
      </c>
      <c r="DF3987">
        <v>0</v>
      </c>
      <c r="DG3987">
        <v>0</v>
      </c>
      <c r="DH3987">
        <v>0</v>
      </c>
      <c r="DI3987">
        <v>0</v>
      </c>
    </row>
    <row r="3988" spans="1:113" x14ac:dyDescent="0.25">
      <c r="A3988" t="str">
        <f t="shared" si="2227"/>
        <v>06/05/2020 14:58:44.899</v>
      </c>
      <c r="C3988" t="str">
        <f t="shared" si="2201"/>
        <v>FFDFD3C0</v>
      </c>
      <c r="D3988" t="s">
        <v>151</v>
      </c>
      <c r="E3988">
        <v>8</v>
      </c>
      <c r="H3988">
        <v>225</v>
      </c>
      <c r="I3988" t="s">
        <v>353</v>
      </c>
      <c r="J3988" t="s">
        <v>150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 t="shared" si="2228"/>
        <v>14:58:50.523</v>
      </c>
      <c r="T3988" t="str">
        <f t="shared" si="2229"/>
        <v>14:58:50.223</v>
      </c>
      <c r="U3988" t="str">
        <f t="shared" si="2221"/>
        <v>ACC530</v>
      </c>
      <c r="V3988">
        <v>0</v>
      </c>
      <c r="W3988">
        <v>0</v>
      </c>
      <c r="X3988">
        <v>1</v>
      </c>
      <c r="Z3988">
        <v>0</v>
      </c>
      <c r="AA3988">
        <v>9</v>
      </c>
      <c r="AB3988">
        <v>3</v>
      </c>
      <c r="AC3988">
        <v>0</v>
      </c>
      <c r="AD3988">
        <v>9</v>
      </c>
      <c r="AE3988">
        <v>0</v>
      </c>
      <c r="AF3988">
        <v>3</v>
      </c>
      <c r="AG3988">
        <v>1</v>
      </c>
      <c r="AH3988">
        <v>0</v>
      </c>
      <c r="AI3988" t="s">
        <v>1272</v>
      </c>
      <c r="AJ3988">
        <v>34.057574000000002</v>
      </c>
      <c r="AK3988" t="s">
        <v>1273</v>
      </c>
      <c r="AL3988">
        <v>-117.013299</v>
      </c>
      <c r="AM3988">
        <v>100</v>
      </c>
      <c r="AN3988">
        <v>5400</v>
      </c>
      <c r="AO3988" t="s">
        <v>118</v>
      </c>
      <c r="AP3988">
        <v>90</v>
      </c>
      <c r="AQ3988">
        <v>18</v>
      </c>
      <c r="AR3988">
        <v>256</v>
      </c>
      <c r="AZ3988">
        <v>1200</v>
      </c>
      <c r="BA3988">
        <v>1</v>
      </c>
      <c r="BB3988" t="str">
        <f t="shared" si="2222"/>
        <v xml:space="preserve">N9217B  </v>
      </c>
      <c r="BC3988">
        <v>1</v>
      </c>
      <c r="BE3988">
        <v>0</v>
      </c>
      <c r="BF3988">
        <v>0</v>
      </c>
      <c r="BG3988">
        <v>0</v>
      </c>
      <c r="BH3988">
        <v>5250</v>
      </c>
      <c r="BI3988">
        <v>1</v>
      </c>
      <c r="BJ3988">
        <v>0</v>
      </c>
      <c r="BK3988">
        <v>0</v>
      </c>
      <c r="BL3988">
        <v>0</v>
      </c>
      <c r="BO3988">
        <v>0</v>
      </c>
      <c r="BP3988">
        <v>0</v>
      </c>
      <c r="BW3988" t="str">
        <f t="shared" si="2230"/>
        <v>14:58:50.530</v>
      </c>
      <c r="CJ3988">
        <v>0</v>
      </c>
      <c r="CK3988">
        <v>2</v>
      </c>
      <c r="CL3988">
        <v>0</v>
      </c>
      <c r="CM3988">
        <v>2</v>
      </c>
      <c r="CN3988">
        <v>0</v>
      </c>
      <c r="CO3988">
        <v>5</v>
      </c>
      <c r="CP3988" t="s">
        <v>119</v>
      </c>
      <c r="CQ3988">
        <v>285</v>
      </c>
      <c r="CR3988">
        <v>0</v>
      </c>
      <c r="CW3988">
        <v>8886600</v>
      </c>
      <c r="CY3988">
        <v>0</v>
      </c>
      <c r="CZ3988">
        <v>0</v>
      </c>
      <c r="DA3988">
        <v>1</v>
      </c>
      <c r="DB3988">
        <v>0</v>
      </c>
      <c r="DC3988">
        <v>0</v>
      </c>
      <c r="DD3988">
        <v>0</v>
      </c>
      <c r="DE3988">
        <v>0</v>
      </c>
      <c r="DF3988">
        <v>0</v>
      </c>
      <c r="DG3988">
        <v>0</v>
      </c>
      <c r="DH3988">
        <v>0</v>
      </c>
      <c r="DI3988">
        <v>0</v>
      </c>
    </row>
    <row r="3989" spans="1:113" x14ac:dyDescent="0.25">
      <c r="A3989" t="str">
        <f t="shared" si="2227"/>
        <v>06/05/2020 14:58:44.899</v>
      </c>
      <c r="C3989" t="str">
        <f t="shared" si="2201"/>
        <v>FFDFD3C0</v>
      </c>
      <c r="D3989" t="s">
        <v>148</v>
      </c>
      <c r="E3989">
        <v>8</v>
      </c>
      <c r="H3989">
        <v>50</v>
      </c>
      <c r="I3989" t="s">
        <v>149</v>
      </c>
      <c r="J3989" t="s">
        <v>150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 t="shared" si="2228"/>
        <v>14:58:50.523</v>
      </c>
      <c r="T3989" t="str">
        <f t="shared" si="2229"/>
        <v>14:58:50.223</v>
      </c>
      <c r="U3989" t="str">
        <f t="shared" si="2221"/>
        <v>ACC530</v>
      </c>
      <c r="V3989">
        <v>0</v>
      </c>
      <c r="W3989">
        <v>0</v>
      </c>
      <c r="X3989">
        <v>1</v>
      </c>
      <c r="Z3989">
        <v>0</v>
      </c>
      <c r="AA3989">
        <v>9</v>
      </c>
      <c r="AB3989">
        <v>3</v>
      </c>
      <c r="AC3989">
        <v>0</v>
      </c>
      <c r="AD3989">
        <v>9</v>
      </c>
      <c r="AE3989">
        <v>0</v>
      </c>
      <c r="AF3989">
        <v>3</v>
      </c>
      <c r="AG3989">
        <v>1</v>
      </c>
      <c r="AH3989">
        <v>0</v>
      </c>
      <c r="AI3989" t="s">
        <v>1272</v>
      </c>
      <c r="AJ3989">
        <v>34.057574000000002</v>
      </c>
      <c r="AK3989" t="s">
        <v>1273</v>
      </c>
      <c r="AL3989">
        <v>-117.013299</v>
      </c>
      <c r="AM3989">
        <v>100</v>
      </c>
      <c r="AN3989">
        <v>5400</v>
      </c>
      <c r="AO3989" t="s">
        <v>118</v>
      </c>
      <c r="AP3989">
        <v>90</v>
      </c>
      <c r="AQ3989">
        <v>18</v>
      </c>
      <c r="AR3989">
        <v>256</v>
      </c>
      <c r="AZ3989">
        <v>1200</v>
      </c>
      <c r="BA3989">
        <v>1</v>
      </c>
      <c r="BB3989" t="str">
        <f t="shared" si="2222"/>
        <v xml:space="preserve">N9217B  </v>
      </c>
      <c r="BC3989">
        <v>1</v>
      </c>
      <c r="BE3989">
        <v>0</v>
      </c>
      <c r="BF3989">
        <v>0</v>
      </c>
      <c r="BG3989">
        <v>0</v>
      </c>
      <c r="BH3989">
        <v>5250</v>
      </c>
      <c r="BI3989">
        <v>1</v>
      </c>
      <c r="BJ3989">
        <v>0</v>
      </c>
      <c r="BK3989">
        <v>0</v>
      </c>
      <c r="BL3989">
        <v>0</v>
      </c>
      <c r="BO3989">
        <v>0</v>
      </c>
      <c r="BP3989">
        <v>0</v>
      </c>
      <c r="BW3989" t="str">
        <f t="shared" si="2230"/>
        <v>14:58:50.530</v>
      </c>
      <c r="CJ3989">
        <v>0</v>
      </c>
      <c r="CK3989">
        <v>2</v>
      </c>
      <c r="CL3989">
        <v>0</v>
      </c>
      <c r="CM3989">
        <v>2</v>
      </c>
      <c r="CN3989">
        <v>0</v>
      </c>
      <c r="CO3989">
        <v>5</v>
      </c>
      <c r="CP3989" t="s">
        <v>119</v>
      </c>
      <c r="CQ3989">
        <v>285</v>
      </c>
      <c r="CR3989">
        <v>0</v>
      </c>
      <c r="CW3989">
        <v>8886600</v>
      </c>
      <c r="CY3989">
        <v>0</v>
      </c>
      <c r="CZ3989">
        <v>0</v>
      </c>
      <c r="DA3989">
        <v>1</v>
      </c>
      <c r="DB3989">
        <v>0</v>
      </c>
      <c r="DC3989">
        <v>0</v>
      </c>
      <c r="DD3989">
        <v>0</v>
      </c>
      <c r="DE3989">
        <v>0</v>
      </c>
      <c r="DF3989">
        <v>0</v>
      </c>
      <c r="DG3989">
        <v>0</v>
      </c>
      <c r="DH3989">
        <v>0</v>
      </c>
      <c r="DI3989">
        <v>0</v>
      </c>
    </row>
    <row r="3990" spans="1:113" x14ac:dyDescent="0.25">
      <c r="A3990" t="str">
        <f t="shared" ref="A3990:A3996" si="2231">"06/05/2020 14:58:46.442"</f>
        <v>06/05/2020 14:58:46.442</v>
      </c>
      <c r="C3990" t="str">
        <f t="shared" si="2201"/>
        <v>FFDFD3C0</v>
      </c>
      <c r="D3990" t="s">
        <v>113</v>
      </c>
      <c r="E3990">
        <v>3</v>
      </c>
      <c r="H3990">
        <v>166</v>
      </c>
      <c r="I3990" t="s">
        <v>114</v>
      </c>
      <c r="J3990" t="s">
        <v>115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 t="shared" ref="S3990:S3996" si="2232">"14:58:52.086"</f>
        <v>14:58:52.086</v>
      </c>
      <c r="T3990" t="str">
        <f t="shared" ref="T3990:T3996" si="2233">"14:58:51.786"</f>
        <v>14:58:51.786</v>
      </c>
      <c r="U3990" t="str">
        <f t="shared" si="2221"/>
        <v>ACC530</v>
      </c>
      <c r="V3990">
        <v>0</v>
      </c>
      <c r="W3990">
        <v>0</v>
      </c>
      <c r="X3990">
        <v>1</v>
      </c>
      <c r="Z3990">
        <v>0</v>
      </c>
      <c r="AA3990">
        <v>9</v>
      </c>
      <c r="AB3990">
        <v>3</v>
      </c>
      <c r="AC3990">
        <v>0</v>
      </c>
      <c r="AD3990">
        <v>9</v>
      </c>
      <c r="AE3990">
        <v>0</v>
      </c>
      <c r="AF3990">
        <v>3</v>
      </c>
      <c r="AG3990">
        <v>1</v>
      </c>
      <c r="AH3990">
        <v>0</v>
      </c>
      <c r="AI3990" t="s">
        <v>1274</v>
      </c>
      <c r="AJ3990">
        <v>34.057810000000003</v>
      </c>
      <c r="AK3990" t="s">
        <v>1275</v>
      </c>
      <c r="AL3990">
        <v>-117.01257</v>
      </c>
      <c r="AM3990">
        <v>100</v>
      </c>
      <c r="AN3990">
        <v>5400</v>
      </c>
      <c r="AO3990" t="s">
        <v>118</v>
      </c>
      <c r="AP3990">
        <v>84</v>
      </c>
      <c r="AQ3990">
        <v>37</v>
      </c>
      <c r="AR3990">
        <v>-64</v>
      </c>
      <c r="AZ3990">
        <v>1200</v>
      </c>
      <c r="BA3990">
        <v>1</v>
      </c>
      <c r="BB3990" t="str">
        <f t="shared" si="2222"/>
        <v xml:space="preserve">N9217B  </v>
      </c>
      <c r="BC3990">
        <v>1</v>
      </c>
      <c r="BE3990">
        <v>0</v>
      </c>
      <c r="BF3990">
        <v>0</v>
      </c>
      <c r="BG3990">
        <v>0</v>
      </c>
      <c r="BH3990">
        <v>5225</v>
      </c>
      <c r="BI3990">
        <v>1</v>
      </c>
      <c r="BJ3990">
        <v>0</v>
      </c>
      <c r="BK3990">
        <v>0</v>
      </c>
      <c r="BL3990">
        <v>0</v>
      </c>
      <c r="BO3990">
        <v>0</v>
      </c>
      <c r="BP3990">
        <v>0</v>
      </c>
      <c r="BW3990" t="str">
        <f t="shared" ref="BW3990:BW3996" si="2234">"14:58:52.090"</f>
        <v>14:58:52.090</v>
      </c>
      <c r="CJ3990">
        <v>0</v>
      </c>
      <c r="CK3990">
        <v>2</v>
      </c>
      <c r="CL3990">
        <v>0</v>
      </c>
      <c r="CM3990">
        <v>2</v>
      </c>
      <c r="CN3990">
        <v>0</v>
      </c>
      <c r="CO3990">
        <v>2</v>
      </c>
      <c r="CP3990" t="s">
        <v>119</v>
      </c>
      <c r="CQ3990">
        <v>285</v>
      </c>
      <c r="CR3990">
        <v>0</v>
      </c>
      <c r="CW3990">
        <v>8886745</v>
      </c>
      <c r="CY3990">
        <v>0</v>
      </c>
      <c r="CZ3990">
        <v>0</v>
      </c>
      <c r="DA3990">
        <v>0</v>
      </c>
      <c r="DB3990">
        <v>0</v>
      </c>
      <c r="DC3990">
        <v>0</v>
      </c>
      <c r="DD3990">
        <v>0</v>
      </c>
      <c r="DE3990">
        <v>0</v>
      </c>
      <c r="DF3990">
        <v>0</v>
      </c>
      <c r="DG3990">
        <v>0</v>
      </c>
      <c r="DH3990">
        <v>0</v>
      </c>
      <c r="DI3990">
        <v>0</v>
      </c>
    </row>
    <row r="3991" spans="1:113" x14ac:dyDescent="0.25">
      <c r="A3991" t="str">
        <f t="shared" si="2231"/>
        <v>06/05/2020 14:58:46.442</v>
      </c>
      <c r="C3991" t="str">
        <f t="shared" si="2201"/>
        <v>FFDFD3C0</v>
      </c>
      <c r="D3991" t="s">
        <v>148</v>
      </c>
      <c r="E3991">
        <v>11</v>
      </c>
      <c r="H3991">
        <v>53</v>
      </c>
      <c r="I3991" t="s">
        <v>364</v>
      </c>
      <c r="J3991" t="s">
        <v>150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 t="shared" si="2232"/>
        <v>14:58:52.086</v>
      </c>
      <c r="T3991" t="str">
        <f t="shared" si="2233"/>
        <v>14:58:51.786</v>
      </c>
      <c r="U3991" t="str">
        <f t="shared" si="2221"/>
        <v>ACC530</v>
      </c>
      <c r="V3991">
        <v>0</v>
      </c>
      <c r="W3991">
        <v>0</v>
      </c>
      <c r="X3991">
        <v>1</v>
      </c>
      <c r="Z3991">
        <v>0</v>
      </c>
      <c r="AA3991">
        <v>9</v>
      </c>
      <c r="AB3991">
        <v>3</v>
      </c>
      <c r="AC3991">
        <v>0</v>
      </c>
      <c r="AD3991">
        <v>9</v>
      </c>
      <c r="AE3991">
        <v>0</v>
      </c>
      <c r="AF3991">
        <v>3</v>
      </c>
      <c r="AG3991">
        <v>1</v>
      </c>
      <c r="AH3991">
        <v>0</v>
      </c>
      <c r="AI3991" t="s">
        <v>1274</v>
      </c>
      <c r="AJ3991">
        <v>34.057810000000003</v>
      </c>
      <c r="AK3991" t="s">
        <v>1275</v>
      </c>
      <c r="AL3991">
        <v>-117.01257</v>
      </c>
      <c r="AM3991">
        <v>100</v>
      </c>
      <c r="AN3991">
        <v>5400</v>
      </c>
      <c r="AO3991" t="s">
        <v>118</v>
      </c>
      <c r="AP3991">
        <v>84</v>
      </c>
      <c r="AQ3991">
        <v>37</v>
      </c>
      <c r="AR3991">
        <v>-64</v>
      </c>
      <c r="AZ3991">
        <v>1200</v>
      </c>
      <c r="BA3991">
        <v>1</v>
      </c>
      <c r="BB3991" t="str">
        <f t="shared" si="2222"/>
        <v xml:space="preserve">N9217B  </v>
      </c>
      <c r="BC3991">
        <v>1</v>
      </c>
      <c r="BE3991">
        <v>0</v>
      </c>
      <c r="BF3991">
        <v>0</v>
      </c>
      <c r="BG3991">
        <v>0</v>
      </c>
      <c r="BH3991">
        <v>5225</v>
      </c>
      <c r="BI3991">
        <v>1</v>
      </c>
      <c r="BJ3991">
        <v>0</v>
      </c>
      <c r="BK3991">
        <v>0</v>
      </c>
      <c r="BL3991">
        <v>0</v>
      </c>
      <c r="BO3991">
        <v>0</v>
      </c>
      <c r="BP3991">
        <v>0</v>
      </c>
      <c r="BW3991" t="str">
        <f t="shared" si="2234"/>
        <v>14:58:52.090</v>
      </c>
      <c r="CJ3991">
        <v>0</v>
      </c>
      <c r="CK3991">
        <v>2</v>
      </c>
      <c r="CL3991">
        <v>0</v>
      </c>
      <c r="CM3991">
        <v>2</v>
      </c>
      <c r="CN3991">
        <v>0</v>
      </c>
      <c r="CO3991">
        <v>2</v>
      </c>
      <c r="CP3991" t="s">
        <v>119</v>
      </c>
      <c r="CQ3991">
        <v>285</v>
      </c>
      <c r="CR3991">
        <v>0</v>
      </c>
      <c r="CW3991">
        <v>8886745</v>
      </c>
      <c r="CY3991">
        <v>0</v>
      </c>
      <c r="CZ3991">
        <v>0</v>
      </c>
      <c r="DA3991">
        <v>1</v>
      </c>
      <c r="DB3991">
        <v>0</v>
      </c>
      <c r="DC3991">
        <v>0</v>
      </c>
      <c r="DD3991">
        <v>0</v>
      </c>
      <c r="DE3991">
        <v>0</v>
      </c>
      <c r="DF3991">
        <v>0</v>
      </c>
      <c r="DG3991">
        <v>0</v>
      </c>
      <c r="DH3991">
        <v>0</v>
      </c>
      <c r="DI3991">
        <v>0</v>
      </c>
    </row>
    <row r="3992" spans="1:113" x14ac:dyDescent="0.25">
      <c r="A3992" t="str">
        <f t="shared" si="2231"/>
        <v>06/05/2020 14:58:46.442</v>
      </c>
      <c r="C3992" t="str">
        <f t="shared" si="2201"/>
        <v>FFDFD3C0</v>
      </c>
      <c r="D3992" t="s">
        <v>151</v>
      </c>
      <c r="E3992">
        <v>8</v>
      </c>
      <c r="H3992">
        <v>225</v>
      </c>
      <c r="I3992" t="s">
        <v>353</v>
      </c>
      <c r="J3992" t="s">
        <v>150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 t="shared" si="2232"/>
        <v>14:58:52.086</v>
      </c>
      <c r="T3992" t="str">
        <f t="shared" si="2233"/>
        <v>14:58:51.786</v>
      </c>
      <c r="U3992" t="str">
        <f t="shared" si="2221"/>
        <v>ACC530</v>
      </c>
      <c r="V3992">
        <v>0</v>
      </c>
      <c r="W3992">
        <v>0</v>
      </c>
      <c r="X3992">
        <v>1</v>
      </c>
      <c r="Z3992">
        <v>0</v>
      </c>
      <c r="AA3992">
        <v>9</v>
      </c>
      <c r="AB3992">
        <v>3</v>
      </c>
      <c r="AC3992">
        <v>0</v>
      </c>
      <c r="AD3992">
        <v>9</v>
      </c>
      <c r="AE3992">
        <v>0</v>
      </c>
      <c r="AF3992">
        <v>3</v>
      </c>
      <c r="AG3992">
        <v>1</v>
      </c>
      <c r="AH3992">
        <v>0</v>
      </c>
      <c r="AI3992" t="s">
        <v>1274</v>
      </c>
      <c r="AJ3992">
        <v>34.057810000000003</v>
      </c>
      <c r="AK3992" t="s">
        <v>1275</v>
      </c>
      <c r="AL3992">
        <v>-117.01257</v>
      </c>
      <c r="AM3992">
        <v>100</v>
      </c>
      <c r="AN3992">
        <v>5400</v>
      </c>
      <c r="AO3992" t="s">
        <v>118</v>
      </c>
      <c r="AP3992">
        <v>84</v>
      </c>
      <c r="AQ3992">
        <v>37</v>
      </c>
      <c r="AR3992">
        <v>-64</v>
      </c>
      <c r="AZ3992">
        <v>1200</v>
      </c>
      <c r="BA3992">
        <v>1</v>
      </c>
      <c r="BB3992" t="str">
        <f t="shared" si="2222"/>
        <v xml:space="preserve">N9217B  </v>
      </c>
      <c r="BC3992">
        <v>1</v>
      </c>
      <c r="BE3992">
        <v>0</v>
      </c>
      <c r="BF3992">
        <v>0</v>
      </c>
      <c r="BG3992">
        <v>0</v>
      </c>
      <c r="BH3992">
        <v>5225</v>
      </c>
      <c r="BI3992">
        <v>1</v>
      </c>
      <c r="BJ3992">
        <v>0</v>
      </c>
      <c r="BK3992">
        <v>0</v>
      </c>
      <c r="BL3992">
        <v>0</v>
      </c>
      <c r="BO3992">
        <v>0</v>
      </c>
      <c r="BP3992">
        <v>0</v>
      </c>
      <c r="BW3992" t="str">
        <f t="shared" si="2234"/>
        <v>14:58:52.090</v>
      </c>
      <c r="CJ3992">
        <v>0</v>
      </c>
      <c r="CK3992">
        <v>2</v>
      </c>
      <c r="CL3992">
        <v>0</v>
      </c>
      <c r="CM3992">
        <v>2</v>
      </c>
      <c r="CN3992">
        <v>0</v>
      </c>
      <c r="CO3992">
        <v>2</v>
      </c>
      <c r="CP3992" t="s">
        <v>119</v>
      </c>
      <c r="CQ3992">
        <v>285</v>
      </c>
      <c r="CR3992">
        <v>0</v>
      </c>
      <c r="CW3992">
        <v>8886745</v>
      </c>
      <c r="CY3992">
        <v>0</v>
      </c>
      <c r="CZ3992">
        <v>0</v>
      </c>
      <c r="DA3992">
        <v>1</v>
      </c>
      <c r="DB3992">
        <v>0</v>
      </c>
      <c r="DC3992">
        <v>0</v>
      </c>
      <c r="DD3992">
        <v>0</v>
      </c>
      <c r="DE3992">
        <v>0</v>
      </c>
      <c r="DF3992">
        <v>0</v>
      </c>
      <c r="DG3992">
        <v>0</v>
      </c>
      <c r="DH3992">
        <v>0</v>
      </c>
      <c r="DI3992">
        <v>0</v>
      </c>
    </row>
    <row r="3993" spans="1:113" x14ac:dyDescent="0.25">
      <c r="A3993" t="str">
        <f t="shared" si="2231"/>
        <v>06/05/2020 14:58:46.442</v>
      </c>
      <c r="C3993" t="str">
        <f t="shared" si="2201"/>
        <v>FFDFD3C0</v>
      </c>
      <c r="D3993" t="s">
        <v>134</v>
      </c>
      <c r="E3993">
        <v>7</v>
      </c>
      <c r="F3993">
        <v>2007</v>
      </c>
      <c r="G3993" t="s">
        <v>135</v>
      </c>
      <c r="J3993" t="s">
        <v>136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 t="shared" si="2232"/>
        <v>14:58:52.086</v>
      </c>
      <c r="T3993" t="str">
        <f t="shared" si="2233"/>
        <v>14:58:51.786</v>
      </c>
      <c r="U3993" t="str">
        <f t="shared" si="2221"/>
        <v>ACC530</v>
      </c>
      <c r="V3993">
        <v>0</v>
      </c>
      <c r="W3993">
        <v>0</v>
      </c>
      <c r="X3993">
        <v>1</v>
      </c>
      <c r="Z3993">
        <v>0</v>
      </c>
      <c r="AA3993">
        <v>9</v>
      </c>
      <c r="AB3993">
        <v>3</v>
      </c>
      <c r="AC3993">
        <v>0</v>
      </c>
      <c r="AD3993">
        <v>9</v>
      </c>
      <c r="AE3993">
        <v>0</v>
      </c>
      <c r="AF3993">
        <v>3</v>
      </c>
      <c r="AG3993">
        <v>1</v>
      </c>
      <c r="AH3993">
        <v>0</v>
      </c>
      <c r="AI3993" t="s">
        <v>1274</v>
      </c>
      <c r="AJ3993">
        <v>34.057810000000003</v>
      </c>
      <c r="AK3993" t="s">
        <v>1275</v>
      </c>
      <c r="AL3993">
        <v>-117.01257</v>
      </c>
      <c r="AM3993">
        <v>100</v>
      </c>
      <c r="AN3993">
        <v>5400</v>
      </c>
      <c r="AO3993" t="s">
        <v>118</v>
      </c>
      <c r="AP3993">
        <v>84</v>
      </c>
      <c r="AQ3993">
        <v>37</v>
      </c>
      <c r="AR3993">
        <v>-64</v>
      </c>
      <c r="AZ3993">
        <v>1200</v>
      </c>
      <c r="BA3993">
        <v>1</v>
      </c>
      <c r="BB3993" t="str">
        <f t="shared" si="2222"/>
        <v xml:space="preserve">N9217B  </v>
      </c>
      <c r="BC3993">
        <v>1</v>
      </c>
      <c r="BE3993">
        <v>0</v>
      </c>
      <c r="BF3993">
        <v>0</v>
      </c>
      <c r="BG3993">
        <v>0</v>
      </c>
      <c r="BH3993">
        <v>5225</v>
      </c>
      <c r="BI3993">
        <v>1</v>
      </c>
      <c r="BJ3993">
        <v>0</v>
      </c>
      <c r="BK3993">
        <v>0</v>
      </c>
      <c r="BL3993">
        <v>0</v>
      </c>
      <c r="BO3993">
        <v>0</v>
      </c>
      <c r="BP3993">
        <v>0</v>
      </c>
      <c r="BW3993" t="str">
        <f t="shared" si="2234"/>
        <v>14:58:52.090</v>
      </c>
      <c r="CJ3993">
        <v>0</v>
      </c>
      <c r="CK3993">
        <v>2</v>
      </c>
      <c r="CL3993">
        <v>0</v>
      </c>
      <c r="CM3993">
        <v>2</v>
      </c>
      <c r="CN3993">
        <v>0</v>
      </c>
      <c r="CO3993">
        <v>2</v>
      </c>
      <c r="CP3993" t="s">
        <v>119</v>
      </c>
      <c r="CQ3993">
        <v>285</v>
      </c>
      <c r="CR3993">
        <v>0</v>
      </c>
      <c r="CW3993">
        <v>8886745</v>
      </c>
      <c r="CY3993">
        <v>0</v>
      </c>
      <c r="CZ3993">
        <v>0</v>
      </c>
      <c r="DA3993">
        <v>1</v>
      </c>
      <c r="DB3993">
        <v>0</v>
      </c>
      <c r="DC3993">
        <v>0</v>
      </c>
      <c r="DD3993">
        <v>0</v>
      </c>
      <c r="DE3993">
        <v>0</v>
      </c>
      <c r="DF3993">
        <v>0</v>
      </c>
      <c r="DG3993">
        <v>0</v>
      </c>
      <c r="DH3993">
        <v>0</v>
      </c>
      <c r="DI3993">
        <v>0</v>
      </c>
    </row>
    <row r="3994" spans="1:113" x14ac:dyDescent="0.25">
      <c r="A3994" t="str">
        <f t="shared" si="2231"/>
        <v>06/05/2020 14:58:46.442</v>
      </c>
      <c r="C3994" t="str">
        <f t="shared" si="2201"/>
        <v>FFDFD3C0</v>
      </c>
      <c r="D3994" t="s">
        <v>148</v>
      </c>
      <c r="E3994">
        <v>8</v>
      </c>
      <c r="H3994">
        <v>50</v>
      </c>
      <c r="I3994" t="s">
        <v>149</v>
      </c>
      <c r="J3994" t="s">
        <v>150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 t="shared" si="2232"/>
        <v>14:58:52.086</v>
      </c>
      <c r="T3994" t="str">
        <f t="shared" si="2233"/>
        <v>14:58:51.786</v>
      </c>
      <c r="U3994" t="str">
        <f t="shared" si="2221"/>
        <v>ACC530</v>
      </c>
      <c r="V3994">
        <v>0</v>
      </c>
      <c r="W3994">
        <v>0</v>
      </c>
      <c r="X3994">
        <v>1</v>
      </c>
      <c r="Z3994">
        <v>0</v>
      </c>
      <c r="AA3994">
        <v>9</v>
      </c>
      <c r="AB3994">
        <v>3</v>
      </c>
      <c r="AC3994">
        <v>0</v>
      </c>
      <c r="AD3994">
        <v>9</v>
      </c>
      <c r="AE3994">
        <v>0</v>
      </c>
      <c r="AF3994">
        <v>3</v>
      </c>
      <c r="AG3994">
        <v>1</v>
      </c>
      <c r="AH3994">
        <v>0</v>
      </c>
      <c r="AI3994" t="s">
        <v>1274</v>
      </c>
      <c r="AJ3994">
        <v>34.057810000000003</v>
      </c>
      <c r="AK3994" t="s">
        <v>1275</v>
      </c>
      <c r="AL3994">
        <v>-117.01257</v>
      </c>
      <c r="AM3994">
        <v>100</v>
      </c>
      <c r="AN3994">
        <v>5400</v>
      </c>
      <c r="AO3994" t="s">
        <v>118</v>
      </c>
      <c r="AP3994">
        <v>84</v>
      </c>
      <c r="AQ3994">
        <v>37</v>
      </c>
      <c r="AR3994">
        <v>-64</v>
      </c>
      <c r="AZ3994">
        <v>1200</v>
      </c>
      <c r="BA3994">
        <v>1</v>
      </c>
      <c r="BB3994" t="str">
        <f t="shared" si="2222"/>
        <v xml:space="preserve">N9217B  </v>
      </c>
      <c r="BC3994">
        <v>1</v>
      </c>
      <c r="BE3994">
        <v>0</v>
      </c>
      <c r="BF3994">
        <v>0</v>
      </c>
      <c r="BG3994">
        <v>0</v>
      </c>
      <c r="BH3994">
        <v>5225</v>
      </c>
      <c r="BI3994">
        <v>1</v>
      </c>
      <c r="BJ3994">
        <v>0</v>
      </c>
      <c r="BK3994">
        <v>0</v>
      </c>
      <c r="BL3994">
        <v>0</v>
      </c>
      <c r="BO3994">
        <v>0</v>
      </c>
      <c r="BP3994">
        <v>0</v>
      </c>
      <c r="BW3994" t="str">
        <f t="shared" si="2234"/>
        <v>14:58:52.090</v>
      </c>
      <c r="CJ3994">
        <v>0</v>
      </c>
      <c r="CK3994">
        <v>2</v>
      </c>
      <c r="CL3994">
        <v>0</v>
      </c>
      <c r="CM3994">
        <v>2</v>
      </c>
      <c r="CN3994">
        <v>0</v>
      </c>
      <c r="CO3994">
        <v>2</v>
      </c>
      <c r="CP3994" t="s">
        <v>119</v>
      </c>
      <c r="CQ3994">
        <v>285</v>
      </c>
      <c r="CR3994">
        <v>0</v>
      </c>
      <c r="CW3994">
        <v>8886745</v>
      </c>
      <c r="CY3994">
        <v>0</v>
      </c>
      <c r="CZ3994">
        <v>0</v>
      </c>
      <c r="DA3994">
        <v>1</v>
      </c>
      <c r="DB3994">
        <v>0</v>
      </c>
      <c r="DC3994">
        <v>0</v>
      </c>
      <c r="DD3994">
        <v>0</v>
      </c>
      <c r="DE3994">
        <v>0</v>
      </c>
      <c r="DF3994">
        <v>0</v>
      </c>
      <c r="DG3994">
        <v>0</v>
      </c>
      <c r="DH3994">
        <v>0</v>
      </c>
      <c r="DI3994">
        <v>0</v>
      </c>
    </row>
    <row r="3995" spans="1:113" x14ac:dyDescent="0.25">
      <c r="A3995" t="str">
        <f t="shared" si="2231"/>
        <v>06/05/2020 14:58:46.442</v>
      </c>
      <c r="C3995" t="str">
        <f t="shared" si="2201"/>
        <v>FFDFD3C0</v>
      </c>
      <c r="D3995" t="s">
        <v>141</v>
      </c>
      <c r="E3995">
        <v>20</v>
      </c>
      <c r="F3995">
        <v>1020</v>
      </c>
      <c r="G3995" t="s">
        <v>114</v>
      </c>
      <c r="J3995" t="s">
        <v>142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 t="shared" si="2232"/>
        <v>14:58:52.086</v>
      </c>
      <c r="T3995" t="str">
        <f t="shared" si="2233"/>
        <v>14:58:51.786</v>
      </c>
      <c r="U3995" t="str">
        <f t="shared" si="2221"/>
        <v>ACC530</v>
      </c>
      <c r="V3995">
        <v>0</v>
      </c>
      <c r="W3995">
        <v>0</v>
      </c>
      <c r="X3995">
        <v>1</v>
      </c>
      <c r="Z3995">
        <v>0</v>
      </c>
      <c r="AA3995">
        <v>9</v>
      </c>
      <c r="AB3995">
        <v>3</v>
      </c>
      <c r="AC3995">
        <v>0</v>
      </c>
      <c r="AD3995">
        <v>9</v>
      </c>
      <c r="AE3995">
        <v>0</v>
      </c>
      <c r="AF3995">
        <v>3</v>
      </c>
      <c r="AG3995">
        <v>1</v>
      </c>
      <c r="AH3995">
        <v>0</v>
      </c>
      <c r="AI3995" t="s">
        <v>1274</v>
      </c>
      <c r="AJ3995">
        <v>34.057810000000003</v>
      </c>
      <c r="AK3995" t="s">
        <v>1275</v>
      </c>
      <c r="AL3995">
        <v>-117.01257</v>
      </c>
      <c r="AM3995">
        <v>100</v>
      </c>
      <c r="AN3995">
        <v>5400</v>
      </c>
      <c r="AO3995" t="s">
        <v>118</v>
      </c>
      <c r="AP3995">
        <v>84</v>
      </c>
      <c r="AQ3995">
        <v>37</v>
      </c>
      <c r="AR3995">
        <v>-64</v>
      </c>
      <c r="AZ3995">
        <v>1200</v>
      </c>
      <c r="BA3995">
        <v>1</v>
      </c>
      <c r="BB3995" t="str">
        <f t="shared" si="2222"/>
        <v xml:space="preserve">N9217B  </v>
      </c>
      <c r="BC3995">
        <v>1</v>
      </c>
      <c r="BE3995">
        <v>0</v>
      </c>
      <c r="BF3995">
        <v>0</v>
      </c>
      <c r="BG3995">
        <v>0</v>
      </c>
      <c r="BH3995">
        <v>5225</v>
      </c>
      <c r="BI3995">
        <v>1</v>
      </c>
      <c r="BJ3995">
        <v>0</v>
      </c>
      <c r="BK3995">
        <v>0</v>
      </c>
      <c r="BL3995">
        <v>0</v>
      </c>
      <c r="BO3995">
        <v>0</v>
      </c>
      <c r="BP3995">
        <v>0</v>
      </c>
      <c r="BW3995" t="str">
        <f t="shared" si="2234"/>
        <v>14:58:52.090</v>
      </c>
      <c r="CJ3995">
        <v>0</v>
      </c>
      <c r="CK3995">
        <v>2</v>
      </c>
      <c r="CL3995">
        <v>0</v>
      </c>
      <c r="CM3995">
        <v>2</v>
      </c>
      <c r="CN3995">
        <v>0</v>
      </c>
      <c r="CO3995">
        <v>2</v>
      </c>
      <c r="CP3995" t="s">
        <v>119</v>
      </c>
      <c r="CQ3995">
        <v>285</v>
      </c>
      <c r="CR3995">
        <v>0</v>
      </c>
      <c r="CW3995">
        <v>8886745</v>
      </c>
      <c r="CY3995">
        <v>0</v>
      </c>
      <c r="CZ3995">
        <v>0</v>
      </c>
      <c r="DA3995">
        <v>1</v>
      </c>
      <c r="DB3995">
        <v>0</v>
      </c>
      <c r="DC3995">
        <v>0</v>
      </c>
      <c r="DD3995">
        <v>0</v>
      </c>
      <c r="DE3995">
        <v>0</v>
      </c>
      <c r="DF3995">
        <v>0</v>
      </c>
      <c r="DG3995">
        <v>0</v>
      </c>
      <c r="DH3995">
        <v>0</v>
      </c>
      <c r="DI3995">
        <v>0</v>
      </c>
    </row>
    <row r="3996" spans="1:113" x14ac:dyDescent="0.25">
      <c r="A3996" t="str">
        <f t="shared" si="2231"/>
        <v>06/05/2020 14:58:46.442</v>
      </c>
      <c r="C3996" t="str">
        <f t="shared" si="2201"/>
        <v>FFDFD3C0</v>
      </c>
      <c r="D3996" t="s">
        <v>151</v>
      </c>
      <c r="E3996">
        <v>9</v>
      </c>
      <c r="H3996">
        <v>226</v>
      </c>
      <c r="I3996" t="s">
        <v>152</v>
      </c>
      <c r="J3996" t="s">
        <v>150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 t="shared" si="2232"/>
        <v>14:58:52.086</v>
      </c>
      <c r="T3996" t="str">
        <f t="shared" si="2233"/>
        <v>14:58:51.786</v>
      </c>
      <c r="U3996" t="str">
        <f t="shared" si="2221"/>
        <v>ACC530</v>
      </c>
      <c r="V3996">
        <v>0</v>
      </c>
      <c r="W3996">
        <v>0</v>
      </c>
      <c r="X3996">
        <v>1</v>
      </c>
      <c r="Z3996">
        <v>0</v>
      </c>
      <c r="AA3996">
        <v>9</v>
      </c>
      <c r="AB3996">
        <v>3</v>
      </c>
      <c r="AC3996">
        <v>0</v>
      </c>
      <c r="AD3996">
        <v>9</v>
      </c>
      <c r="AE3996">
        <v>0</v>
      </c>
      <c r="AF3996">
        <v>3</v>
      </c>
      <c r="AG3996">
        <v>1</v>
      </c>
      <c r="AH3996">
        <v>0</v>
      </c>
      <c r="AI3996" t="s">
        <v>1274</v>
      </c>
      <c r="AJ3996">
        <v>34.057810000000003</v>
      </c>
      <c r="AK3996" t="s">
        <v>1275</v>
      </c>
      <c r="AL3996">
        <v>-117.01257</v>
      </c>
      <c r="AM3996">
        <v>100</v>
      </c>
      <c r="AN3996">
        <v>5400</v>
      </c>
      <c r="AO3996" t="s">
        <v>118</v>
      </c>
      <c r="AP3996">
        <v>84</v>
      </c>
      <c r="AQ3996">
        <v>37</v>
      </c>
      <c r="AR3996">
        <v>-64</v>
      </c>
      <c r="AZ3996">
        <v>1200</v>
      </c>
      <c r="BA3996">
        <v>1</v>
      </c>
      <c r="BB3996" t="str">
        <f t="shared" si="2222"/>
        <v xml:space="preserve">N9217B  </v>
      </c>
      <c r="BC3996">
        <v>1</v>
      </c>
      <c r="BE3996">
        <v>0</v>
      </c>
      <c r="BF3996">
        <v>0</v>
      </c>
      <c r="BG3996">
        <v>0</v>
      </c>
      <c r="BH3996">
        <v>5225</v>
      </c>
      <c r="BI3996">
        <v>1</v>
      </c>
      <c r="BJ3996">
        <v>0</v>
      </c>
      <c r="BK3996">
        <v>0</v>
      </c>
      <c r="BL3996">
        <v>0</v>
      </c>
      <c r="BO3996">
        <v>0</v>
      </c>
      <c r="BP3996">
        <v>0</v>
      </c>
      <c r="BW3996" t="str">
        <f t="shared" si="2234"/>
        <v>14:58:52.090</v>
      </c>
      <c r="CJ3996">
        <v>0</v>
      </c>
      <c r="CK3996">
        <v>2</v>
      </c>
      <c r="CL3996">
        <v>0</v>
      </c>
      <c r="CM3996">
        <v>2</v>
      </c>
      <c r="CN3996">
        <v>0</v>
      </c>
      <c r="CO3996">
        <v>2</v>
      </c>
      <c r="CP3996" t="s">
        <v>119</v>
      </c>
      <c r="CQ3996">
        <v>285</v>
      </c>
      <c r="CR3996">
        <v>0</v>
      </c>
      <c r="CW3996">
        <v>8886745</v>
      </c>
      <c r="CY3996">
        <v>0</v>
      </c>
      <c r="CZ3996">
        <v>0</v>
      </c>
      <c r="DA3996">
        <v>1</v>
      </c>
      <c r="DB3996">
        <v>0</v>
      </c>
      <c r="DC3996">
        <v>0</v>
      </c>
      <c r="DD3996">
        <v>0</v>
      </c>
      <c r="DE3996">
        <v>0</v>
      </c>
      <c r="DF3996">
        <v>0</v>
      </c>
      <c r="DG3996">
        <v>0</v>
      </c>
      <c r="DH3996">
        <v>0</v>
      </c>
      <c r="DI3996">
        <v>0</v>
      </c>
    </row>
    <row r="3997" spans="1:113" x14ac:dyDescent="0.25">
      <c r="A3997" t="str">
        <f t="shared" ref="A3997:A4003" si="2235">"06/05/2020 14:58:48.815"</f>
        <v>06/05/2020 14:58:48.815</v>
      </c>
      <c r="C3997" t="str">
        <f t="shared" si="2201"/>
        <v>FFDFD3C0</v>
      </c>
      <c r="D3997" t="s">
        <v>113</v>
      </c>
      <c r="E3997">
        <v>3</v>
      </c>
      <c r="H3997">
        <v>166</v>
      </c>
      <c r="I3997" t="s">
        <v>114</v>
      </c>
      <c r="J3997" t="s">
        <v>115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 t="shared" ref="S3997:S4003" si="2236">"14:58:54.430"</f>
        <v>14:58:54.430</v>
      </c>
      <c r="T3997" t="str">
        <f t="shared" ref="T3997:T4003" si="2237">"14:58:53.730"</f>
        <v>14:58:53.730</v>
      </c>
      <c r="U3997" t="str">
        <f t="shared" si="2221"/>
        <v>ACC530</v>
      </c>
      <c r="V3997">
        <v>0</v>
      </c>
      <c r="W3997">
        <v>0</v>
      </c>
      <c r="X3997">
        <v>1</v>
      </c>
      <c r="Z3997">
        <v>0</v>
      </c>
      <c r="AA3997">
        <v>9</v>
      </c>
      <c r="AB3997">
        <v>3</v>
      </c>
      <c r="AC3997">
        <v>0</v>
      </c>
      <c r="AD3997">
        <v>9</v>
      </c>
      <c r="AE3997">
        <v>0</v>
      </c>
      <c r="AF3997">
        <v>3</v>
      </c>
      <c r="AG3997">
        <v>1</v>
      </c>
      <c r="AH3997">
        <v>0</v>
      </c>
      <c r="AI3997" t="s">
        <v>1276</v>
      </c>
      <c r="AJ3997">
        <v>34.058497000000003</v>
      </c>
      <c r="AK3997" t="s">
        <v>1277</v>
      </c>
      <c r="AL3997">
        <v>-117.01169</v>
      </c>
      <c r="AM3997">
        <v>100</v>
      </c>
      <c r="AN3997">
        <v>5400</v>
      </c>
      <c r="AO3997" t="s">
        <v>118</v>
      </c>
      <c r="AP3997">
        <v>68</v>
      </c>
      <c r="AQ3997">
        <v>63</v>
      </c>
      <c r="AR3997">
        <v>-64</v>
      </c>
      <c r="AZ3997">
        <v>1200</v>
      </c>
      <c r="BA3997">
        <v>1</v>
      </c>
      <c r="BB3997" t="str">
        <f t="shared" si="2222"/>
        <v xml:space="preserve">N9217B  </v>
      </c>
      <c r="BC3997">
        <v>1</v>
      </c>
      <c r="BE3997">
        <v>0</v>
      </c>
      <c r="BF3997">
        <v>0</v>
      </c>
      <c r="BG3997">
        <v>0</v>
      </c>
      <c r="BH3997">
        <v>5225</v>
      </c>
      <c r="BI3997">
        <v>1</v>
      </c>
      <c r="BJ3997">
        <v>0</v>
      </c>
      <c r="BK3997">
        <v>0</v>
      </c>
      <c r="BL3997">
        <v>0</v>
      </c>
      <c r="BO3997">
        <v>0</v>
      </c>
      <c r="BP3997">
        <v>0</v>
      </c>
      <c r="BW3997" t="str">
        <f t="shared" ref="BW3997:BW4003" si="2238">"14:58:54.430"</f>
        <v>14:58:54.430</v>
      </c>
      <c r="CJ3997">
        <v>0</v>
      </c>
      <c r="CK3997">
        <v>2</v>
      </c>
      <c r="CL3997">
        <v>0</v>
      </c>
      <c r="CM3997">
        <v>2</v>
      </c>
      <c r="CN3997">
        <v>0</v>
      </c>
      <c r="CO3997">
        <v>2</v>
      </c>
      <c r="CP3997" t="s">
        <v>119</v>
      </c>
      <c r="CQ3997">
        <v>285</v>
      </c>
      <c r="CR3997">
        <v>0</v>
      </c>
      <c r="CW3997">
        <v>8886953</v>
      </c>
      <c r="CY3997">
        <v>0</v>
      </c>
      <c r="CZ3997">
        <v>0</v>
      </c>
      <c r="DA3997">
        <v>0</v>
      </c>
      <c r="DB3997">
        <v>0</v>
      </c>
      <c r="DC3997">
        <v>0</v>
      </c>
      <c r="DD3997">
        <v>0</v>
      </c>
      <c r="DE3997">
        <v>0</v>
      </c>
      <c r="DF3997">
        <v>0</v>
      </c>
      <c r="DG3997">
        <v>0</v>
      </c>
      <c r="DH3997">
        <v>0</v>
      </c>
      <c r="DI3997">
        <v>0</v>
      </c>
    </row>
    <row r="3998" spans="1:113" x14ac:dyDescent="0.25">
      <c r="A3998" t="str">
        <f t="shared" si="2235"/>
        <v>06/05/2020 14:58:48.815</v>
      </c>
      <c r="C3998" t="str">
        <f t="shared" si="2201"/>
        <v>FFDFD3C0</v>
      </c>
      <c r="D3998" t="s">
        <v>148</v>
      </c>
      <c r="E3998">
        <v>11</v>
      </c>
      <c r="H3998">
        <v>53</v>
      </c>
      <c r="I3998" t="s">
        <v>364</v>
      </c>
      <c r="J3998" t="s">
        <v>150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 t="shared" si="2236"/>
        <v>14:58:54.430</v>
      </c>
      <c r="T3998" t="str">
        <f t="shared" si="2237"/>
        <v>14:58:53.730</v>
      </c>
      <c r="U3998" t="str">
        <f t="shared" si="2221"/>
        <v>ACC530</v>
      </c>
      <c r="V3998">
        <v>0</v>
      </c>
      <c r="W3998">
        <v>0</v>
      </c>
      <c r="X3998">
        <v>1</v>
      </c>
      <c r="Z3998">
        <v>0</v>
      </c>
      <c r="AA3998">
        <v>9</v>
      </c>
      <c r="AB3998">
        <v>3</v>
      </c>
      <c r="AC3998">
        <v>0</v>
      </c>
      <c r="AD3998">
        <v>9</v>
      </c>
      <c r="AE3998">
        <v>0</v>
      </c>
      <c r="AF3998">
        <v>3</v>
      </c>
      <c r="AG3998">
        <v>1</v>
      </c>
      <c r="AH3998">
        <v>0</v>
      </c>
      <c r="AI3998" t="s">
        <v>1276</v>
      </c>
      <c r="AJ3998">
        <v>34.058497000000003</v>
      </c>
      <c r="AK3998" t="s">
        <v>1277</v>
      </c>
      <c r="AL3998">
        <v>-117.01169</v>
      </c>
      <c r="AM3998">
        <v>100</v>
      </c>
      <c r="AN3998">
        <v>5400</v>
      </c>
      <c r="AO3998" t="s">
        <v>118</v>
      </c>
      <c r="AP3998">
        <v>68</v>
      </c>
      <c r="AQ3998">
        <v>63</v>
      </c>
      <c r="AR3998">
        <v>-64</v>
      </c>
      <c r="AZ3998">
        <v>1200</v>
      </c>
      <c r="BA3998">
        <v>1</v>
      </c>
      <c r="BB3998" t="str">
        <f t="shared" si="2222"/>
        <v xml:space="preserve">N9217B  </v>
      </c>
      <c r="BC3998">
        <v>1</v>
      </c>
      <c r="BE3998">
        <v>0</v>
      </c>
      <c r="BF3998">
        <v>0</v>
      </c>
      <c r="BG3998">
        <v>0</v>
      </c>
      <c r="BH3998">
        <v>5225</v>
      </c>
      <c r="BI3998">
        <v>1</v>
      </c>
      <c r="BJ3998">
        <v>0</v>
      </c>
      <c r="BK3998">
        <v>0</v>
      </c>
      <c r="BL3998">
        <v>0</v>
      </c>
      <c r="BO3998">
        <v>0</v>
      </c>
      <c r="BP3998">
        <v>0</v>
      </c>
      <c r="BW3998" t="str">
        <f t="shared" si="2238"/>
        <v>14:58:54.430</v>
      </c>
      <c r="CJ3998">
        <v>0</v>
      </c>
      <c r="CK3998">
        <v>2</v>
      </c>
      <c r="CL3998">
        <v>0</v>
      </c>
      <c r="CM3998">
        <v>2</v>
      </c>
      <c r="CN3998">
        <v>0</v>
      </c>
      <c r="CO3998">
        <v>2</v>
      </c>
      <c r="CP3998" t="s">
        <v>119</v>
      </c>
      <c r="CQ3998">
        <v>285</v>
      </c>
      <c r="CR3998">
        <v>0</v>
      </c>
      <c r="CW3998">
        <v>8886953</v>
      </c>
      <c r="CY3998">
        <v>0</v>
      </c>
      <c r="CZ3998">
        <v>0</v>
      </c>
      <c r="DA3998">
        <v>1</v>
      </c>
      <c r="DB3998">
        <v>0</v>
      </c>
      <c r="DC3998">
        <v>0</v>
      </c>
      <c r="DD3998">
        <v>0</v>
      </c>
      <c r="DE3998">
        <v>0</v>
      </c>
      <c r="DF3998">
        <v>0</v>
      </c>
      <c r="DG3998">
        <v>0</v>
      </c>
      <c r="DH3998">
        <v>0</v>
      </c>
      <c r="DI3998">
        <v>0</v>
      </c>
    </row>
    <row r="3999" spans="1:113" x14ac:dyDescent="0.25">
      <c r="A3999" t="str">
        <f t="shared" si="2235"/>
        <v>06/05/2020 14:58:48.815</v>
      </c>
      <c r="C3999" t="str">
        <f t="shared" si="2201"/>
        <v>FFDFD3C0</v>
      </c>
      <c r="D3999" t="s">
        <v>134</v>
      </c>
      <c r="E3999">
        <v>7</v>
      </c>
      <c r="F3999">
        <v>2007</v>
      </c>
      <c r="G3999" t="s">
        <v>135</v>
      </c>
      <c r="J3999" t="s">
        <v>136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 t="shared" si="2236"/>
        <v>14:58:54.430</v>
      </c>
      <c r="T3999" t="str">
        <f t="shared" si="2237"/>
        <v>14:58:53.730</v>
      </c>
      <c r="U3999" t="str">
        <f t="shared" si="2221"/>
        <v>ACC530</v>
      </c>
      <c r="V3999">
        <v>0</v>
      </c>
      <c r="W3999">
        <v>0</v>
      </c>
      <c r="X3999">
        <v>1</v>
      </c>
      <c r="Z3999">
        <v>0</v>
      </c>
      <c r="AA3999">
        <v>9</v>
      </c>
      <c r="AB3999">
        <v>3</v>
      </c>
      <c r="AC3999">
        <v>0</v>
      </c>
      <c r="AD3999">
        <v>9</v>
      </c>
      <c r="AE3999">
        <v>0</v>
      </c>
      <c r="AF3999">
        <v>3</v>
      </c>
      <c r="AG3999">
        <v>1</v>
      </c>
      <c r="AH3999">
        <v>0</v>
      </c>
      <c r="AI3999" t="s">
        <v>1276</v>
      </c>
      <c r="AJ3999">
        <v>34.058497000000003</v>
      </c>
      <c r="AK3999" t="s">
        <v>1277</v>
      </c>
      <c r="AL3999">
        <v>-117.01169</v>
      </c>
      <c r="AM3999">
        <v>100</v>
      </c>
      <c r="AN3999">
        <v>5400</v>
      </c>
      <c r="AO3999" t="s">
        <v>118</v>
      </c>
      <c r="AP3999">
        <v>68</v>
      </c>
      <c r="AQ3999">
        <v>63</v>
      </c>
      <c r="AR3999">
        <v>-64</v>
      </c>
      <c r="AZ3999">
        <v>1200</v>
      </c>
      <c r="BA3999">
        <v>1</v>
      </c>
      <c r="BB3999" t="str">
        <f t="shared" si="2222"/>
        <v xml:space="preserve">N9217B  </v>
      </c>
      <c r="BC3999">
        <v>1</v>
      </c>
      <c r="BE3999">
        <v>0</v>
      </c>
      <c r="BF3999">
        <v>0</v>
      </c>
      <c r="BG3999">
        <v>0</v>
      </c>
      <c r="BH3999">
        <v>5225</v>
      </c>
      <c r="BI3999">
        <v>1</v>
      </c>
      <c r="BJ3999">
        <v>0</v>
      </c>
      <c r="BK3999">
        <v>0</v>
      </c>
      <c r="BL3999">
        <v>0</v>
      </c>
      <c r="BO3999">
        <v>0</v>
      </c>
      <c r="BP3999">
        <v>0</v>
      </c>
      <c r="BW3999" t="str">
        <f t="shared" si="2238"/>
        <v>14:58:54.430</v>
      </c>
      <c r="CJ3999">
        <v>0</v>
      </c>
      <c r="CK3999">
        <v>2</v>
      </c>
      <c r="CL3999">
        <v>0</v>
      </c>
      <c r="CM3999">
        <v>2</v>
      </c>
      <c r="CN3999">
        <v>0</v>
      </c>
      <c r="CO3999">
        <v>2</v>
      </c>
      <c r="CP3999" t="s">
        <v>119</v>
      </c>
      <c r="CQ3999">
        <v>285</v>
      </c>
      <c r="CR3999">
        <v>0</v>
      </c>
      <c r="CW3999">
        <v>8886953</v>
      </c>
      <c r="CY3999">
        <v>0</v>
      </c>
      <c r="CZ3999">
        <v>0</v>
      </c>
      <c r="DA3999">
        <v>1</v>
      </c>
      <c r="DB3999">
        <v>0</v>
      </c>
      <c r="DC3999">
        <v>0</v>
      </c>
      <c r="DD3999">
        <v>0</v>
      </c>
      <c r="DE3999">
        <v>0</v>
      </c>
      <c r="DF3999">
        <v>0</v>
      </c>
      <c r="DG3999">
        <v>0</v>
      </c>
      <c r="DH3999">
        <v>0</v>
      </c>
      <c r="DI3999">
        <v>0</v>
      </c>
    </row>
    <row r="4000" spans="1:113" x14ac:dyDescent="0.25">
      <c r="A4000" t="str">
        <f t="shared" si="2235"/>
        <v>06/05/2020 14:58:48.815</v>
      </c>
      <c r="C4000" t="str">
        <f t="shared" si="2201"/>
        <v>FFDFD3C0</v>
      </c>
      <c r="D4000" t="s">
        <v>151</v>
      </c>
      <c r="E4000">
        <v>8</v>
      </c>
      <c r="H4000">
        <v>225</v>
      </c>
      <c r="I4000" t="s">
        <v>353</v>
      </c>
      <c r="J4000" t="s">
        <v>150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 t="shared" si="2236"/>
        <v>14:58:54.430</v>
      </c>
      <c r="T4000" t="str">
        <f t="shared" si="2237"/>
        <v>14:58:53.730</v>
      </c>
      <c r="U4000" t="str">
        <f t="shared" si="2221"/>
        <v>ACC530</v>
      </c>
      <c r="V4000">
        <v>0</v>
      </c>
      <c r="W4000">
        <v>0</v>
      </c>
      <c r="X4000">
        <v>1</v>
      </c>
      <c r="Z4000">
        <v>0</v>
      </c>
      <c r="AA4000">
        <v>9</v>
      </c>
      <c r="AB4000">
        <v>3</v>
      </c>
      <c r="AC4000">
        <v>0</v>
      </c>
      <c r="AD4000">
        <v>9</v>
      </c>
      <c r="AE4000">
        <v>0</v>
      </c>
      <c r="AF4000">
        <v>3</v>
      </c>
      <c r="AG4000">
        <v>1</v>
      </c>
      <c r="AH4000">
        <v>0</v>
      </c>
      <c r="AI4000" t="s">
        <v>1276</v>
      </c>
      <c r="AJ4000">
        <v>34.058497000000003</v>
      </c>
      <c r="AK4000" t="s">
        <v>1277</v>
      </c>
      <c r="AL4000">
        <v>-117.01169</v>
      </c>
      <c r="AM4000">
        <v>100</v>
      </c>
      <c r="AN4000">
        <v>5400</v>
      </c>
      <c r="AO4000" t="s">
        <v>118</v>
      </c>
      <c r="AP4000">
        <v>68</v>
      </c>
      <c r="AQ4000">
        <v>63</v>
      </c>
      <c r="AR4000">
        <v>-64</v>
      </c>
      <c r="AZ4000">
        <v>1200</v>
      </c>
      <c r="BA4000">
        <v>1</v>
      </c>
      <c r="BB4000" t="str">
        <f t="shared" si="2222"/>
        <v xml:space="preserve">N9217B  </v>
      </c>
      <c r="BC4000">
        <v>1</v>
      </c>
      <c r="BE4000">
        <v>0</v>
      </c>
      <c r="BF4000">
        <v>0</v>
      </c>
      <c r="BG4000">
        <v>0</v>
      </c>
      <c r="BH4000">
        <v>5225</v>
      </c>
      <c r="BI4000">
        <v>1</v>
      </c>
      <c r="BJ4000">
        <v>0</v>
      </c>
      <c r="BK4000">
        <v>0</v>
      </c>
      <c r="BL4000">
        <v>0</v>
      </c>
      <c r="BO4000">
        <v>0</v>
      </c>
      <c r="BP4000">
        <v>0</v>
      </c>
      <c r="BW4000" t="str">
        <f t="shared" si="2238"/>
        <v>14:58:54.430</v>
      </c>
      <c r="CJ4000">
        <v>0</v>
      </c>
      <c r="CK4000">
        <v>2</v>
      </c>
      <c r="CL4000">
        <v>0</v>
      </c>
      <c r="CM4000">
        <v>2</v>
      </c>
      <c r="CN4000">
        <v>0</v>
      </c>
      <c r="CO4000">
        <v>2</v>
      </c>
      <c r="CP4000" t="s">
        <v>119</v>
      </c>
      <c r="CQ4000">
        <v>285</v>
      </c>
      <c r="CR4000">
        <v>0</v>
      </c>
      <c r="CW4000">
        <v>8886953</v>
      </c>
      <c r="CY4000">
        <v>0</v>
      </c>
      <c r="CZ4000">
        <v>0</v>
      </c>
      <c r="DA4000">
        <v>1</v>
      </c>
      <c r="DB4000">
        <v>0</v>
      </c>
      <c r="DC4000">
        <v>0</v>
      </c>
      <c r="DD4000">
        <v>0</v>
      </c>
      <c r="DE4000">
        <v>0</v>
      </c>
      <c r="DF4000">
        <v>0</v>
      </c>
      <c r="DG4000">
        <v>0</v>
      </c>
      <c r="DH4000">
        <v>0</v>
      </c>
      <c r="DI4000">
        <v>0</v>
      </c>
    </row>
    <row r="4001" spans="1:113" x14ac:dyDescent="0.25">
      <c r="A4001" t="str">
        <f t="shared" si="2235"/>
        <v>06/05/2020 14:58:48.815</v>
      </c>
      <c r="C4001" t="str">
        <f t="shared" si="2201"/>
        <v>FFDFD3C0</v>
      </c>
      <c r="D4001" t="s">
        <v>141</v>
      </c>
      <c r="E4001">
        <v>20</v>
      </c>
      <c r="F4001">
        <v>1020</v>
      </c>
      <c r="G4001" t="s">
        <v>114</v>
      </c>
      <c r="J4001" t="s">
        <v>142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 t="shared" si="2236"/>
        <v>14:58:54.430</v>
      </c>
      <c r="T4001" t="str">
        <f t="shared" si="2237"/>
        <v>14:58:53.730</v>
      </c>
      <c r="U4001" t="str">
        <f t="shared" si="2221"/>
        <v>ACC530</v>
      </c>
      <c r="V4001">
        <v>0</v>
      </c>
      <c r="W4001">
        <v>0</v>
      </c>
      <c r="X4001">
        <v>1</v>
      </c>
      <c r="Z4001">
        <v>0</v>
      </c>
      <c r="AA4001">
        <v>9</v>
      </c>
      <c r="AB4001">
        <v>3</v>
      </c>
      <c r="AC4001">
        <v>0</v>
      </c>
      <c r="AD4001">
        <v>9</v>
      </c>
      <c r="AE4001">
        <v>0</v>
      </c>
      <c r="AF4001">
        <v>3</v>
      </c>
      <c r="AG4001">
        <v>1</v>
      </c>
      <c r="AH4001">
        <v>0</v>
      </c>
      <c r="AI4001" t="s">
        <v>1276</v>
      </c>
      <c r="AJ4001">
        <v>34.058497000000003</v>
      </c>
      <c r="AK4001" t="s">
        <v>1277</v>
      </c>
      <c r="AL4001">
        <v>-117.01169</v>
      </c>
      <c r="AM4001">
        <v>100</v>
      </c>
      <c r="AN4001">
        <v>5400</v>
      </c>
      <c r="AO4001" t="s">
        <v>118</v>
      </c>
      <c r="AP4001">
        <v>68</v>
      </c>
      <c r="AQ4001">
        <v>63</v>
      </c>
      <c r="AR4001">
        <v>-64</v>
      </c>
      <c r="AZ4001">
        <v>1200</v>
      </c>
      <c r="BA4001">
        <v>1</v>
      </c>
      <c r="BB4001" t="str">
        <f t="shared" si="2222"/>
        <v xml:space="preserve">N9217B  </v>
      </c>
      <c r="BC4001">
        <v>1</v>
      </c>
      <c r="BE4001">
        <v>0</v>
      </c>
      <c r="BF4001">
        <v>0</v>
      </c>
      <c r="BG4001">
        <v>0</v>
      </c>
      <c r="BH4001">
        <v>5225</v>
      </c>
      <c r="BI4001">
        <v>1</v>
      </c>
      <c r="BJ4001">
        <v>0</v>
      </c>
      <c r="BK4001">
        <v>0</v>
      </c>
      <c r="BL4001">
        <v>0</v>
      </c>
      <c r="BO4001">
        <v>0</v>
      </c>
      <c r="BP4001">
        <v>0</v>
      </c>
      <c r="BW4001" t="str">
        <f t="shared" si="2238"/>
        <v>14:58:54.430</v>
      </c>
      <c r="CJ4001">
        <v>0</v>
      </c>
      <c r="CK4001">
        <v>2</v>
      </c>
      <c r="CL4001">
        <v>0</v>
      </c>
      <c r="CM4001">
        <v>2</v>
      </c>
      <c r="CN4001">
        <v>0</v>
      </c>
      <c r="CO4001">
        <v>2</v>
      </c>
      <c r="CP4001" t="s">
        <v>119</v>
      </c>
      <c r="CQ4001">
        <v>285</v>
      </c>
      <c r="CR4001">
        <v>0</v>
      </c>
      <c r="CW4001">
        <v>8886953</v>
      </c>
      <c r="CY4001">
        <v>0</v>
      </c>
      <c r="CZ4001">
        <v>0</v>
      </c>
      <c r="DA4001">
        <v>1</v>
      </c>
      <c r="DB4001">
        <v>0</v>
      </c>
      <c r="DC4001">
        <v>0</v>
      </c>
      <c r="DD4001">
        <v>0</v>
      </c>
      <c r="DE4001">
        <v>0</v>
      </c>
      <c r="DF4001">
        <v>0</v>
      </c>
      <c r="DG4001">
        <v>0</v>
      </c>
      <c r="DH4001">
        <v>0</v>
      </c>
      <c r="DI4001">
        <v>0</v>
      </c>
    </row>
    <row r="4002" spans="1:113" x14ac:dyDescent="0.25">
      <c r="A4002" t="str">
        <f t="shared" si="2235"/>
        <v>06/05/2020 14:58:48.815</v>
      </c>
      <c r="C4002" t="str">
        <f t="shared" si="2201"/>
        <v>FFDFD3C0</v>
      </c>
      <c r="D4002" t="s">
        <v>148</v>
      </c>
      <c r="E4002">
        <v>8</v>
      </c>
      <c r="H4002">
        <v>50</v>
      </c>
      <c r="I4002" t="s">
        <v>149</v>
      </c>
      <c r="J4002" t="s">
        <v>150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 t="shared" si="2236"/>
        <v>14:58:54.430</v>
      </c>
      <c r="T4002" t="str">
        <f t="shared" si="2237"/>
        <v>14:58:53.730</v>
      </c>
      <c r="U4002" t="str">
        <f t="shared" si="2221"/>
        <v>ACC530</v>
      </c>
      <c r="V4002">
        <v>0</v>
      </c>
      <c r="W4002">
        <v>0</v>
      </c>
      <c r="X4002">
        <v>1</v>
      </c>
      <c r="Z4002">
        <v>0</v>
      </c>
      <c r="AA4002">
        <v>9</v>
      </c>
      <c r="AB4002">
        <v>3</v>
      </c>
      <c r="AC4002">
        <v>0</v>
      </c>
      <c r="AD4002">
        <v>9</v>
      </c>
      <c r="AE4002">
        <v>0</v>
      </c>
      <c r="AF4002">
        <v>3</v>
      </c>
      <c r="AG4002">
        <v>1</v>
      </c>
      <c r="AH4002">
        <v>0</v>
      </c>
      <c r="AI4002" t="s">
        <v>1276</v>
      </c>
      <c r="AJ4002">
        <v>34.058497000000003</v>
      </c>
      <c r="AK4002" t="s">
        <v>1277</v>
      </c>
      <c r="AL4002">
        <v>-117.01169</v>
      </c>
      <c r="AM4002">
        <v>100</v>
      </c>
      <c r="AN4002">
        <v>5400</v>
      </c>
      <c r="AO4002" t="s">
        <v>118</v>
      </c>
      <c r="AP4002">
        <v>68</v>
      </c>
      <c r="AQ4002">
        <v>63</v>
      </c>
      <c r="AR4002">
        <v>-64</v>
      </c>
      <c r="AZ4002">
        <v>1200</v>
      </c>
      <c r="BA4002">
        <v>1</v>
      </c>
      <c r="BB4002" t="str">
        <f t="shared" si="2222"/>
        <v xml:space="preserve">N9217B  </v>
      </c>
      <c r="BC4002">
        <v>1</v>
      </c>
      <c r="BE4002">
        <v>0</v>
      </c>
      <c r="BF4002">
        <v>0</v>
      </c>
      <c r="BG4002">
        <v>0</v>
      </c>
      <c r="BH4002">
        <v>5225</v>
      </c>
      <c r="BI4002">
        <v>1</v>
      </c>
      <c r="BJ4002">
        <v>0</v>
      </c>
      <c r="BK4002">
        <v>0</v>
      </c>
      <c r="BL4002">
        <v>0</v>
      </c>
      <c r="BO4002">
        <v>0</v>
      </c>
      <c r="BP4002">
        <v>0</v>
      </c>
      <c r="BW4002" t="str">
        <f t="shared" si="2238"/>
        <v>14:58:54.430</v>
      </c>
      <c r="CJ4002">
        <v>0</v>
      </c>
      <c r="CK4002">
        <v>2</v>
      </c>
      <c r="CL4002">
        <v>0</v>
      </c>
      <c r="CM4002">
        <v>2</v>
      </c>
      <c r="CN4002">
        <v>0</v>
      </c>
      <c r="CO4002">
        <v>2</v>
      </c>
      <c r="CP4002" t="s">
        <v>119</v>
      </c>
      <c r="CQ4002">
        <v>285</v>
      </c>
      <c r="CR4002">
        <v>0</v>
      </c>
      <c r="CW4002">
        <v>8886953</v>
      </c>
      <c r="CY4002">
        <v>0</v>
      </c>
      <c r="CZ4002">
        <v>0</v>
      </c>
      <c r="DA4002">
        <v>1</v>
      </c>
      <c r="DB4002">
        <v>0</v>
      </c>
      <c r="DC4002">
        <v>0</v>
      </c>
      <c r="DD4002">
        <v>0</v>
      </c>
      <c r="DE4002">
        <v>0</v>
      </c>
      <c r="DF4002">
        <v>0</v>
      </c>
      <c r="DG4002">
        <v>0</v>
      </c>
      <c r="DH4002">
        <v>0</v>
      </c>
      <c r="DI4002">
        <v>0</v>
      </c>
    </row>
    <row r="4003" spans="1:113" x14ac:dyDescent="0.25">
      <c r="A4003" t="str">
        <f t="shared" si="2235"/>
        <v>06/05/2020 14:58:48.815</v>
      </c>
      <c r="C4003" t="str">
        <f t="shared" ref="C4003:C4066" si="2239">"FFDFD3C0"</f>
        <v>FFDFD3C0</v>
      </c>
      <c r="D4003" t="s">
        <v>151</v>
      </c>
      <c r="E4003">
        <v>9</v>
      </c>
      <c r="H4003">
        <v>226</v>
      </c>
      <c r="I4003" t="s">
        <v>152</v>
      </c>
      <c r="J4003" t="s">
        <v>150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 t="shared" si="2236"/>
        <v>14:58:54.430</v>
      </c>
      <c r="T4003" t="str">
        <f t="shared" si="2237"/>
        <v>14:58:53.730</v>
      </c>
      <c r="U4003" t="str">
        <f t="shared" si="2221"/>
        <v>ACC530</v>
      </c>
      <c r="V4003">
        <v>0</v>
      </c>
      <c r="W4003">
        <v>0</v>
      </c>
      <c r="X4003">
        <v>1</v>
      </c>
      <c r="Z4003">
        <v>0</v>
      </c>
      <c r="AA4003">
        <v>9</v>
      </c>
      <c r="AB4003">
        <v>3</v>
      </c>
      <c r="AC4003">
        <v>0</v>
      </c>
      <c r="AD4003">
        <v>9</v>
      </c>
      <c r="AE4003">
        <v>0</v>
      </c>
      <c r="AF4003">
        <v>3</v>
      </c>
      <c r="AG4003">
        <v>1</v>
      </c>
      <c r="AH4003">
        <v>0</v>
      </c>
      <c r="AI4003" t="s">
        <v>1276</v>
      </c>
      <c r="AJ4003">
        <v>34.058497000000003</v>
      </c>
      <c r="AK4003" t="s">
        <v>1277</v>
      </c>
      <c r="AL4003">
        <v>-117.01169</v>
      </c>
      <c r="AM4003">
        <v>100</v>
      </c>
      <c r="AN4003">
        <v>5400</v>
      </c>
      <c r="AO4003" t="s">
        <v>118</v>
      </c>
      <c r="AP4003">
        <v>68</v>
      </c>
      <c r="AQ4003">
        <v>63</v>
      </c>
      <c r="AR4003">
        <v>-64</v>
      </c>
      <c r="AZ4003">
        <v>1200</v>
      </c>
      <c r="BA4003">
        <v>1</v>
      </c>
      <c r="BB4003" t="str">
        <f t="shared" si="2222"/>
        <v xml:space="preserve">N9217B  </v>
      </c>
      <c r="BC4003">
        <v>1</v>
      </c>
      <c r="BE4003">
        <v>0</v>
      </c>
      <c r="BF4003">
        <v>0</v>
      </c>
      <c r="BG4003">
        <v>0</v>
      </c>
      <c r="BH4003">
        <v>5225</v>
      </c>
      <c r="BI4003">
        <v>1</v>
      </c>
      <c r="BJ4003">
        <v>0</v>
      </c>
      <c r="BK4003">
        <v>0</v>
      </c>
      <c r="BL4003">
        <v>0</v>
      </c>
      <c r="BO4003">
        <v>0</v>
      </c>
      <c r="BP4003">
        <v>0</v>
      </c>
      <c r="BW4003" t="str">
        <f t="shared" si="2238"/>
        <v>14:58:54.430</v>
      </c>
      <c r="CJ4003">
        <v>0</v>
      </c>
      <c r="CK4003">
        <v>2</v>
      </c>
      <c r="CL4003">
        <v>0</v>
      </c>
      <c r="CM4003">
        <v>2</v>
      </c>
      <c r="CN4003">
        <v>0</v>
      </c>
      <c r="CO4003">
        <v>2</v>
      </c>
      <c r="CP4003" t="s">
        <v>119</v>
      </c>
      <c r="CQ4003">
        <v>285</v>
      </c>
      <c r="CR4003">
        <v>0</v>
      </c>
      <c r="CW4003">
        <v>8886953</v>
      </c>
      <c r="CY4003">
        <v>0</v>
      </c>
      <c r="CZ4003">
        <v>0</v>
      </c>
      <c r="DA4003">
        <v>1</v>
      </c>
      <c r="DB4003">
        <v>0</v>
      </c>
      <c r="DC4003">
        <v>0</v>
      </c>
      <c r="DD4003">
        <v>0</v>
      </c>
      <c r="DE4003">
        <v>0</v>
      </c>
      <c r="DF4003">
        <v>0</v>
      </c>
      <c r="DG4003">
        <v>0</v>
      </c>
      <c r="DH4003">
        <v>0</v>
      </c>
      <c r="DI4003">
        <v>0</v>
      </c>
    </row>
    <row r="4004" spans="1:113" x14ac:dyDescent="0.25">
      <c r="A4004" t="str">
        <f t="shared" ref="A4004:A4009" si="2240">"06/05/2020 14:58:54.377"</f>
        <v>06/05/2020 14:58:54.377</v>
      </c>
      <c r="C4004" t="str">
        <f t="shared" si="2239"/>
        <v>FFDFD3C0</v>
      </c>
      <c r="D4004" t="s">
        <v>141</v>
      </c>
      <c r="E4004">
        <v>20</v>
      </c>
      <c r="F4004">
        <v>1020</v>
      </c>
      <c r="G4004" t="s">
        <v>114</v>
      </c>
      <c r="J4004" t="s">
        <v>142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 t="shared" ref="S4004:S4009" si="2241">"14:59:00.023"</f>
        <v>14:59:00.023</v>
      </c>
      <c r="T4004" t="str">
        <f t="shared" ref="T4004:T4009" si="2242">"14:58:59.823"</f>
        <v>14:58:59.823</v>
      </c>
      <c r="U4004" t="str">
        <f t="shared" si="2221"/>
        <v>ACC530</v>
      </c>
      <c r="V4004">
        <v>0</v>
      </c>
      <c r="W4004">
        <v>0</v>
      </c>
      <c r="X4004">
        <v>1</v>
      </c>
      <c r="Z4004">
        <v>0</v>
      </c>
      <c r="AA4004">
        <v>9</v>
      </c>
      <c r="AB4004">
        <v>3</v>
      </c>
      <c r="AC4004">
        <v>0</v>
      </c>
      <c r="AD4004">
        <v>9</v>
      </c>
      <c r="AE4004">
        <v>0</v>
      </c>
      <c r="AF4004">
        <v>3</v>
      </c>
      <c r="AG4004">
        <v>1</v>
      </c>
      <c r="AH4004">
        <v>0</v>
      </c>
      <c r="AI4004" t="s">
        <v>1278</v>
      </c>
      <c r="AJ4004">
        <v>34.060814000000001</v>
      </c>
      <c r="AK4004" t="s">
        <v>1279</v>
      </c>
      <c r="AL4004">
        <v>-117.011111</v>
      </c>
      <c r="AM4004">
        <v>100</v>
      </c>
      <c r="AN4004">
        <v>5400</v>
      </c>
      <c r="AO4004" t="s">
        <v>118</v>
      </c>
      <c r="AP4004">
        <v>-13</v>
      </c>
      <c r="AQ4004">
        <v>93</v>
      </c>
      <c r="AR4004">
        <v>0</v>
      </c>
      <c r="AZ4004">
        <v>1200</v>
      </c>
      <c r="BA4004">
        <v>1</v>
      </c>
      <c r="BB4004" t="str">
        <f t="shared" si="2222"/>
        <v xml:space="preserve">N9217B  </v>
      </c>
      <c r="BC4004">
        <v>1</v>
      </c>
      <c r="BE4004">
        <v>0</v>
      </c>
      <c r="BF4004">
        <v>0</v>
      </c>
      <c r="BG4004">
        <v>0</v>
      </c>
      <c r="BH4004">
        <v>5200</v>
      </c>
      <c r="BI4004">
        <v>1</v>
      </c>
      <c r="BJ4004">
        <v>0</v>
      </c>
      <c r="BK4004">
        <v>0</v>
      </c>
      <c r="BL4004">
        <v>0</v>
      </c>
      <c r="BO4004">
        <v>0</v>
      </c>
      <c r="BP4004">
        <v>0</v>
      </c>
      <c r="BW4004" t="str">
        <f t="shared" ref="BW4004:BW4009" si="2243">"14:59:00.024"</f>
        <v>14:59:00.024</v>
      </c>
      <c r="CJ4004">
        <v>0</v>
      </c>
      <c r="CK4004">
        <v>2</v>
      </c>
      <c r="CL4004">
        <v>0</v>
      </c>
      <c r="CM4004">
        <v>2</v>
      </c>
      <c r="CN4004">
        <v>0</v>
      </c>
      <c r="CO4004">
        <v>4</v>
      </c>
      <c r="CP4004" t="s">
        <v>119</v>
      </c>
      <c r="CQ4004">
        <v>298</v>
      </c>
      <c r="CR4004">
        <v>0</v>
      </c>
      <c r="CW4004">
        <v>10471234</v>
      </c>
      <c r="CY4004">
        <v>0</v>
      </c>
      <c r="CZ4004">
        <v>0</v>
      </c>
      <c r="DA4004">
        <v>0</v>
      </c>
      <c r="DB4004">
        <v>0</v>
      </c>
      <c r="DC4004">
        <v>0</v>
      </c>
      <c r="DD4004">
        <v>0</v>
      </c>
      <c r="DE4004">
        <v>0</v>
      </c>
      <c r="DF4004">
        <v>0</v>
      </c>
      <c r="DG4004">
        <v>0</v>
      </c>
      <c r="DH4004">
        <v>0</v>
      </c>
      <c r="DI4004">
        <v>0</v>
      </c>
    </row>
    <row r="4005" spans="1:113" x14ac:dyDescent="0.25">
      <c r="A4005" t="str">
        <f t="shared" si="2240"/>
        <v>06/05/2020 14:58:54.377</v>
      </c>
      <c r="C4005" t="str">
        <f t="shared" si="2239"/>
        <v>FFDFD3C0</v>
      </c>
      <c r="D4005" t="s">
        <v>148</v>
      </c>
      <c r="E4005">
        <v>11</v>
      </c>
      <c r="H4005">
        <v>53</v>
      </c>
      <c r="I4005" t="s">
        <v>364</v>
      </c>
      <c r="J4005" t="s">
        <v>150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 t="shared" si="2241"/>
        <v>14:59:00.023</v>
      </c>
      <c r="T4005" t="str">
        <f t="shared" si="2242"/>
        <v>14:58:59.823</v>
      </c>
      <c r="U4005" t="str">
        <f t="shared" si="2221"/>
        <v>ACC530</v>
      </c>
      <c r="V4005">
        <v>0</v>
      </c>
      <c r="W4005">
        <v>0</v>
      </c>
      <c r="X4005">
        <v>1</v>
      </c>
      <c r="Z4005">
        <v>0</v>
      </c>
      <c r="AA4005">
        <v>9</v>
      </c>
      <c r="AB4005">
        <v>3</v>
      </c>
      <c r="AC4005">
        <v>0</v>
      </c>
      <c r="AD4005">
        <v>9</v>
      </c>
      <c r="AE4005">
        <v>0</v>
      </c>
      <c r="AF4005">
        <v>3</v>
      </c>
      <c r="AG4005">
        <v>1</v>
      </c>
      <c r="AH4005">
        <v>0</v>
      </c>
      <c r="AI4005" t="s">
        <v>1278</v>
      </c>
      <c r="AJ4005">
        <v>34.060814000000001</v>
      </c>
      <c r="AK4005" t="s">
        <v>1279</v>
      </c>
      <c r="AL4005">
        <v>-117.011111</v>
      </c>
      <c r="AM4005">
        <v>100</v>
      </c>
      <c r="AN4005">
        <v>5400</v>
      </c>
      <c r="AO4005" t="s">
        <v>118</v>
      </c>
      <c r="AP4005">
        <v>-13</v>
      </c>
      <c r="AQ4005">
        <v>93</v>
      </c>
      <c r="AR4005">
        <v>0</v>
      </c>
      <c r="AZ4005">
        <v>1200</v>
      </c>
      <c r="BA4005">
        <v>1</v>
      </c>
      <c r="BB4005" t="str">
        <f t="shared" si="2222"/>
        <v xml:space="preserve">N9217B  </v>
      </c>
      <c r="BC4005">
        <v>1</v>
      </c>
      <c r="BE4005">
        <v>0</v>
      </c>
      <c r="BF4005">
        <v>0</v>
      </c>
      <c r="BG4005">
        <v>0</v>
      </c>
      <c r="BH4005">
        <v>5200</v>
      </c>
      <c r="BI4005">
        <v>1</v>
      </c>
      <c r="BJ4005">
        <v>0</v>
      </c>
      <c r="BK4005">
        <v>0</v>
      </c>
      <c r="BL4005">
        <v>0</v>
      </c>
      <c r="BO4005">
        <v>0</v>
      </c>
      <c r="BP4005">
        <v>0</v>
      </c>
      <c r="BW4005" t="str">
        <f t="shared" si="2243"/>
        <v>14:59:00.024</v>
      </c>
      <c r="CJ4005">
        <v>0</v>
      </c>
      <c r="CK4005">
        <v>2</v>
      </c>
      <c r="CL4005">
        <v>0</v>
      </c>
      <c r="CM4005">
        <v>2</v>
      </c>
      <c r="CN4005">
        <v>0</v>
      </c>
      <c r="CO4005">
        <v>4</v>
      </c>
      <c r="CP4005" t="s">
        <v>119</v>
      </c>
      <c r="CQ4005">
        <v>298</v>
      </c>
      <c r="CR4005">
        <v>0</v>
      </c>
      <c r="CW4005">
        <v>10471234</v>
      </c>
      <c r="CY4005">
        <v>0</v>
      </c>
      <c r="CZ4005">
        <v>0</v>
      </c>
      <c r="DA4005">
        <v>1</v>
      </c>
      <c r="DB4005">
        <v>0</v>
      </c>
      <c r="DC4005">
        <v>0</v>
      </c>
      <c r="DD4005">
        <v>0</v>
      </c>
      <c r="DE4005">
        <v>0</v>
      </c>
      <c r="DF4005">
        <v>0</v>
      </c>
      <c r="DG4005">
        <v>0</v>
      </c>
      <c r="DH4005">
        <v>0</v>
      </c>
      <c r="DI4005">
        <v>0</v>
      </c>
    </row>
    <row r="4006" spans="1:113" x14ac:dyDescent="0.25">
      <c r="A4006" t="str">
        <f t="shared" si="2240"/>
        <v>06/05/2020 14:58:54.377</v>
      </c>
      <c r="C4006" t="str">
        <f t="shared" si="2239"/>
        <v>FFDFD3C0</v>
      </c>
      <c r="D4006" t="s">
        <v>151</v>
      </c>
      <c r="E4006">
        <v>8</v>
      </c>
      <c r="H4006">
        <v>225</v>
      </c>
      <c r="I4006" t="s">
        <v>353</v>
      </c>
      <c r="J4006" t="s">
        <v>150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 t="shared" si="2241"/>
        <v>14:59:00.023</v>
      </c>
      <c r="T4006" t="str">
        <f t="shared" si="2242"/>
        <v>14:58:59.823</v>
      </c>
      <c r="U4006" t="str">
        <f t="shared" si="2221"/>
        <v>ACC530</v>
      </c>
      <c r="V4006">
        <v>0</v>
      </c>
      <c r="W4006">
        <v>0</v>
      </c>
      <c r="X4006">
        <v>1</v>
      </c>
      <c r="Z4006">
        <v>0</v>
      </c>
      <c r="AA4006">
        <v>9</v>
      </c>
      <c r="AB4006">
        <v>3</v>
      </c>
      <c r="AC4006">
        <v>0</v>
      </c>
      <c r="AD4006">
        <v>9</v>
      </c>
      <c r="AE4006">
        <v>0</v>
      </c>
      <c r="AF4006">
        <v>3</v>
      </c>
      <c r="AG4006">
        <v>1</v>
      </c>
      <c r="AH4006">
        <v>0</v>
      </c>
      <c r="AI4006" t="s">
        <v>1278</v>
      </c>
      <c r="AJ4006">
        <v>34.060814000000001</v>
      </c>
      <c r="AK4006" t="s">
        <v>1279</v>
      </c>
      <c r="AL4006">
        <v>-117.011111</v>
      </c>
      <c r="AM4006">
        <v>100</v>
      </c>
      <c r="AN4006">
        <v>5400</v>
      </c>
      <c r="AO4006" t="s">
        <v>118</v>
      </c>
      <c r="AP4006">
        <v>-13</v>
      </c>
      <c r="AQ4006">
        <v>93</v>
      </c>
      <c r="AR4006">
        <v>0</v>
      </c>
      <c r="AZ4006">
        <v>1200</v>
      </c>
      <c r="BA4006">
        <v>1</v>
      </c>
      <c r="BB4006" t="str">
        <f t="shared" si="2222"/>
        <v xml:space="preserve">N9217B  </v>
      </c>
      <c r="BC4006">
        <v>1</v>
      </c>
      <c r="BE4006">
        <v>0</v>
      </c>
      <c r="BF4006">
        <v>0</v>
      </c>
      <c r="BG4006">
        <v>0</v>
      </c>
      <c r="BH4006">
        <v>5200</v>
      </c>
      <c r="BI4006">
        <v>1</v>
      </c>
      <c r="BJ4006">
        <v>0</v>
      </c>
      <c r="BK4006">
        <v>0</v>
      </c>
      <c r="BL4006">
        <v>0</v>
      </c>
      <c r="BO4006">
        <v>0</v>
      </c>
      <c r="BP4006">
        <v>0</v>
      </c>
      <c r="BW4006" t="str">
        <f t="shared" si="2243"/>
        <v>14:59:00.024</v>
      </c>
      <c r="CJ4006">
        <v>0</v>
      </c>
      <c r="CK4006">
        <v>2</v>
      </c>
      <c r="CL4006">
        <v>0</v>
      </c>
      <c r="CM4006">
        <v>2</v>
      </c>
      <c r="CN4006">
        <v>0</v>
      </c>
      <c r="CO4006">
        <v>4</v>
      </c>
      <c r="CP4006" t="s">
        <v>119</v>
      </c>
      <c r="CQ4006">
        <v>298</v>
      </c>
      <c r="CR4006">
        <v>0</v>
      </c>
      <c r="CW4006">
        <v>10471234</v>
      </c>
      <c r="CY4006">
        <v>0</v>
      </c>
      <c r="CZ4006">
        <v>0</v>
      </c>
      <c r="DA4006">
        <v>1</v>
      </c>
      <c r="DB4006">
        <v>0</v>
      </c>
      <c r="DC4006">
        <v>0</v>
      </c>
      <c r="DD4006">
        <v>0</v>
      </c>
      <c r="DE4006">
        <v>0</v>
      </c>
      <c r="DF4006">
        <v>0</v>
      </c>
      <c r="DG4006">
        <v>0</v>
      </c>
      <c r="DH4006">
        <v>0</v>
      </c>
      <c r="DI4006">
        <v>0</v>
      </c>
    </row>
    <row r="4007" spans="1:113" x14ac:dyDescent="0.25">
      <c r="A4007" t="str">
        <f t="shared" si="2240"/>
        <v>06/05/2020 14:58:54.377</v>
      </c>
      <c r="C4007" t="str">
        <f t="shared" si="2239"/>
        <v>FFDFD3C0</v>
      </c>
      <c r="D4007" t="s">
        <v>148</v>
      </c>
      <c r="E4007">
        <v>8</v>
      </c>
      <c r="H4007">
        <v>50</v>
      </c>
      <c r="I4007" t="s">
        <v>149</v>
      </c>
      <c r="J4007" t="s">
        <v>150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 t="shared" si="2241"/>
        <v>14:59:00.023</v>
      </c>
      <c r="T4007" t="str">
        <f t="shared" si="2242"/>
        <v>14:58:59.823</v>
      </c>
      <c r="U4007" t="str">
        <f t="shared" si="2221"/>
        <v>ACC530</v>
      </c>
      <c r="V4007">
        <v>0</v>
      </c>
      <c r="W4007">
        <v>0</v>
      </c>
      <c r="X4007">
        <v>1</v>
      </c>
      <c r="Z4007">
        <v>0</v>
      </c>
      <c r="AA4007">
        <v>9</v>
      </c>
      <c r="AB4007">
        <v>3</v>
      </c>
      <c r="AC4007">
        <v>0</v>
      </c>
      <c r="AD4007">
        <v>9</v>
      </c>
      <c r="AE4007">
        <v>0</v>
      </c>
      <c r="AF4007">
        <v>3</v>
      </c>
      <c r="AG4007">
        <v>1</v>
      </c>
      <c r="AH4007">
        <v>0</v>
      </c>
      <c r="AI4007" t="s">
        <v>1278</v>
      </c>
      <c r="AJ4007">
        <v>34.060814000000001</v>
      </c>
      <c r="AK4007" t="s">
        <v>1279</v>
      </c>
      <c r="AL4007">
        <v>-117.011111</v>
      </c>
      <c r="AM4007">
        <v>100</v>
      </c>
      <c r="AN4007">
        <v>5400</v>
      </c>
      <c r="AO4007" t="s">
        <v>118</v>
      </c>
      <c r="AP4007">
        <v>-13</v>
      </c>
      <c r="AQ4007">
        <v>93</v>
      </c>
      <c r="AR4007">
        <v>0</v>
      </c>
      <c r="AZ4007">
        <v>1200</v>
      </c>
      <c r="BA4007">
        <v>1</v>
      </c>
      <c r="BB4007" t="str">
        <f t="shared" si="2222"/>
        <v xml:space="preserve">N9217B  </v>
      </c>
      <c r="BC4007">
        <v>1</v>
      </c>
      <c r="BE4007">
        <v>0</v>
      </c>
      <c r="BF4007">
        <v>0</v>
      </c>
      <c r="BG4007">
        <v>0</v>
      </c>
      <c r="BH4007">
        <v>5200</v>
      </c>
      <c r="BI4007">
        <v>1</v>
      </c>
      <c r="BJ4007">
        <v>0</v>
      </c>
      <c r="BK4007">
        <v>0</v>
      </c>
      <c r="BL4007">
        <v>0</v>
      </c>
      <c r="BO4007">
        <v>0</v>
      </c>
      <c r="BP4007">
        <v>0</v>
      </c>
      <c r="BW4007" t="str">
        <f t="shared" si="2243"/>
        <v>14:59:00.024</v>
      </c>
      <c r="CJ4007">
        <v>0</v>
      </c>
      <c r="CK4007">
        <v>2</v>
      </c>
      <c r="CL4007">
        <v>0</v>
      </c>
      <c r="CM4007">
        <v>2</v>
      </c>
      <c r="CN4007">
        <v>0</v>
      </c>
      <c r="CO4007">
        <v>4</v>
      </c>
      <c r="CP4007" t="s">
        <v>119</v>
      </c>
      <c r="CQ4007">
        <v>298</v>
      </c>
      <c r="CR4007">
        <v>0</v>
      </c>
      <c r="CW4007">
        <v>10471234</v>
      </c>
      <c r="CY4007">
        <v>0</v>
      </c>
      <c r="CZ4007">
        <v>0</v>
      </c>
      <c r="DA4007">
        <v>1</v>
      </c>
      <c r="DB4007">
        <v>0</v>
      </c>
      <c r="DC4007">
        <v>0</v>
      </c>
      <c r="DD4007">
        <v>0</v>
      </c>
      <c r="DE4007">
        <v>0</v>
      </c>
      <c r="DF4007">
        <v>0</v>
      </c>
      <c r="DG4007">
        <v>0</v>
      </c>
      <c r="DH4007">
        <v>0</v>
      </c>
      <c r="DI4007">
        <v>0</v>
      </c>
    </row>
    <row r="4008" spans="1:113" x14ac:dyDescent="0.25">
      <c r="A4008" t="str">
        <f t="shared" si="2240"/>
        <v>06/05/2020 14:58:54.377</v>
      </c>
      <c r="C4008" t="str">
        <f t="shared" si="2239"/>
        <v>FFDFD3C0</v>
      </c>
      <c r="D4008" t="s">
        <v>134</v>
      </c>
      <c r="E4008">
        <v>7</v>
      </c>
      <c r="F4008">
        <v>2007</v>
      </c>
      <c r="G4008" t="s">
        <v>135</v>
      </c>
      <c r="J4008" t="s">
        <v>136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 t="shared" si="2241"/>
        <v>14:59:00.023</v>
      </c>
      <c r="T4008" t="str">
        <f t="shared" si="2242"/>
        <v>14:58:59.823</v>
      </c>
      <c r="U4008" t="str">
        <f t="shared" si="2221"/>
        <v>ACC530</v>
      </c>
      <c r="V4008">
        <v>0</v>
      </c>
      <c r="W4008">
        <v>0</v>
      </c>
      <c r="X4008">
        <v>1</v>
      </c>
      <c r="Z4008">
        <v>0</v>
      </c>
      <c r="AA4008">
        <v>9</v>
      </c>
      <c r="AB4008">
        <v>3</v>
      </c>
      <c r="AC4008">
        <v>0</v>
      </c>
      <c r="AD4008">
        <v>9</v>
      </c>
      <c r="AE4008">
        <v>0</v>
      </c>
      <c r="AF4008">
        <v>3</v>
      </c>
      <c r="AG4008">
        <v>1</v>
      </c>
      <c r="AH4008">
        <v>0</v>
      </c>
      <c r="AI4008" t="s">
        <v>1278</v>
      </c>
      <c r="AJ4008">
        <v>34.060814000000001</v>
      </c>
      <c r="AK4008" t="s">
        <v>1279</v>
      </c>
      <c r="AL4008">
        <v>-117.011111</v>
      </c>
      <c r="AM4008">
        <v>100</v>
      </c>
      <c r="AN4008">
        <v>5400</v>
      </c>
      <c r="AO4008" t="s">
        <v>118</v>
      </c>
      <c r="AP4008">
        <v>-13</v>
      </c>
      <c r="AQ4008">
        <v>93</v>
      </c>
      <c r="AR4008">
        <v>0</v>
      </c>
      <c r="AZ4008">
        <v>1200</v>
      </c>
      <c r="BA4008">
        <v>1</v>
      </c>
      <c r="BB4008" t="str">
        <f t="shared" si="2222"/>
        <v xml:space="preserve">N9217B  </v>
      </c>
      <c r="BC4008">
        <v>1</v>
      </c>
      <c r="BE4008">
        <v>0</v>
      </c>
      <c r="BF4008">
        <v>0</v>
      </c>
      <c r="BG4008">
        <v>0</v>
      </c>
      <c r="BH4008">
        <v>5200</v>
      </c>
      <c r="BI4008">
        <v>1</v>
      </c>
      <c r="BJ4008">
        <v>0</v>
      </c>
      <c r="BK4008">
        <v>0</v>
      </c>
      <c r="BL4008">
        <v>0</v>
      </c>
      <c r="BO4008">
        <v>0</v>
      </c>
      <c r="BP4008">
        <v>0</v>
      </c>
      <c r="BW4008" t="str">
        <f t="shared" si="2243"/>
        <v>14:59:00.024</v>
      </c>
      <c r="CJ4008">
        <v>0</v>
      </c>
      <c r="CK4008">
        <v>2</v>
      </c>
      <c r="CL4008">
        <v>0</v>
      </c>
      <c r="CM4008">
        <v>2</v>
      </c>
      <c r="CN4008">
        <v>0</v>
      </c>
      <c r="CO4008">
        <v>4</v>
      </c>
      <c r="CP4008" t="s">
        <v>119</v>
      </c>
      <c r="CQ4008">
        <v>298</v>
      </c>
      <c r="CR4008">
        <v>0</v>
      </c>
      <c r="CW4008">
        <v>10471234</v>
      </c>
      <c r="CY4008">
        <v>0</v>
      </c>
      <c r="CZ4008">
        <v>0</v>
      </c>
      <c r="DA4008">
        <v>1</v>
      </c>
      <c r="DB4008">
        <v>0</v>
      </c>
      <c r="DC4008">
        <v>0</v>
      </c>
      <c r="DD4008">
        <v>0</v>
      </c>
      <c r="DE4008">
        <v>0</v>
      </c>
      <c r="DF4008">
        <v>0</v>
      </c>
      <c r="DG4008">
        <v>0</v>
      </c>
      <c r="DH4008">
        <v>0</v>
      </c>
      <c r="DI4008">
        <v>0</v>
      </c>
    </row>
    <row r="4009" spans="1:113" x14ac:dyDescent="0.25">
      <c r="A4009" t="str">
        <f t="shared" si="2240"/>
        <v>06/05/2020 14:58:54.377</v>
      </c>
      <c r="C4009" t="str">
        <f t="shared" si="2239"/>
        <v>FFDFD3C0</v>
      </c>
      <c r="D4009" t="s">
        <v>113</v>
      </c>
      <c r="E4009">
        <v>3</v>
      </c>
      <c r="H4009">
        <v>166</v>
      </c>
      <c r="I4009" t="s">
        <v>114</v>
      </c>
      <c r="J4009" t="s">
        <v>115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 t="shared" si="2241"/>
        <v>14:59:00.023</v>
      </c>
      <c r="T4009" t="str">
        <f t="shared" si="2242"/>
        <v>14:58:59.823</v>
      </c>
      <c r="U4009" t="str">
        <f t="shared" si="2221"/>
        <v>ACC530</v>
      </c>
      <c r="V4009">
        <v>0</v>
      </c>
      <c r="W4009">
        <v>0</v>
      </c>
      <c r="X4009">
        <v>1</v>
      </c>
      <c r="Z4009">
        <v>0</v>
      </c>
      <c r="AA4009">
        <v>9</v>
      </c>
      <c r="AB4009">
        <v>3</v>
      </c>
      <c r="AC4009">
        <v>0</v>
      </c>
      <c r="AD4009">
        <v>9</v>
      </c>
      <c r="AE4009">
        <v>0</v>
      </c>
      <c r="AF4009">
        <v>3</v>
      </c>
      <c r="AG4009">
        <v>1</v>
      </c>
      <c r="AH4009">
        <v>0</v>
      </c>
      <c r="AI4009" t="s">
        <v>1278</v>
      </c>
      <c r="AJ4009">
        <v>34.060814000000001</v>
      </c>
      <c r="AK4009" t="s">
        <v>1279</v>
      </c>
      <c r="AL4009">
        <v>-117.011111</v>
      </c>
      <c r="AM4009">
        <v>100</v>
      </c>
      <c r="AN4009">
        <v>5400</v>
      </c>
      <c r="AO4009" t="s">
        <v>118</v>
      </c>
      <c r="AP4009">
        <v>-13</v>
      </c>
      <c r="AQ4009">
        <v>93</v>
      </c>
      <c r="AR4009">
        <v>0</v>
      </c>
      <c r="AZ4009">
        <v>1200</v>
      </c>
      <c r="BA4009">
        <v>1</v>
      </c>
      <c r="BB4009" t="str">
        <f t="shared" si="2222"/>
        <v xml:space="preserve">N9217B  </v>
      </c>
      <c r="BC4009">
        <v>1</v>
      </c>
      <c r="BE4009">
        <v>0</v>
      </c>
      <c r="BF4009">
        <v>0</v>
      </c>
      <c r="BG4009">
        <v>0</v>
      </c>
      <c r="BH4009">
        <v>5200</v>
      </c>
      <c r="BI4009">
        <v>1</v>
      </c>
      <c r="BJ4009">
        <v>0</v>
      </c>
      <c r="BK4009">
        <v>0</v>
      </c>
      <c r="BL4009">
        <v>0</v>
      </c>
      <c r="BO4009">
        <v>0</v>
      </c>
      <c r="BP4009">
        <v>0</v>
      </c>
      <c r="BW4009" t="str">
        <f t="shared" si="2243"/>
        <v>14:59:00.024</v>
      </c>
      <c r="CJ4009">
        <v>0</v>
      </c>
      <c r="CK4009">
        <v>2</v>
      </c>
      <c r="CL4009">
        <v>0</v>
      </c>
      <c r="CM4009">
        <v>2</v>
      </c>
      <c r="CN4009">
        <v>0</v>
      </c>
      <c r="CO4009">
        <v>4</v>
      </c>
      <c r="CP4009" t="s">
        <v>119</v>
      </c>
      <c r="CQ4009">
        <v>298</v>
      </c>
      <c r="CR4009">
        <v>0</v>
      </c>
      <c r="CW4009">
        <v>10471234</v>
      </c>
      <c r="CY4009">
        <v>0</v>
      </c>
      <c r="CZ4009">
        <v>0</v>
      </c>
      <c r="DA4009">
        <v>1</v>
      </c>
      <c r="DB4009">
        <v>0</v>
      </c>
      <c r="DC4009">
        <v>0</v>
      </c>
      <c r="DD4009">
        <v>0</v>
      </c>
      <c r="DE4009">
        <v>0</v>
      </c>
      <c r="DF4009">
        <v>0</v>
      </c>
      <c r="DG4009">
        <v>0</v>
      </c>
      <c r="DH4009">
        <v>0</v>
      </c>
      <c r="DI4009">
        <v>0</v>
      </c>
    </row>
    <row r="4010" spans="1:113" x14ac:dyDescent="0.25">
      <c r="A4010" t="str">
        <f t="shared" ref="A4010:A4015" si="2244">"06/05/2020 14:58:55.214"</f>
        <v>06/05/2020 14:58:55.214</v>
      </c>
      <c r="C4010" t="str">
        <f t="shared" si="2239"/>
        <v>FFDFD3C0</v>
      </c>
      <c r="D4010" t="s">
        <v>148</v>
      </c>
      <c r="E4010">
        <v>8</v>
      </c>
      <c r="H4010">
        <v>50</v>
      </c>
      <c r="I4010" t="s">
        <v>149</v>
      </c>
      <c r="J4010" t="s">
        <v>150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 t="shared" ref="S4010:S4015" si="2245">"14:59:00.875"</f>
        <v>14:59:00.875</v>
      </c>
      <c r="T4010" t="str">
        <f t="shared" ref="T4010:T4015" si="2246">"14:59:00.375"</f>
        <v>14:59:00.375</v>
      </c>
      <c r="U4010" t="str">
        <f t="shared" si="2221"/>
        <v>ACC530</v>
      </c>
      <c r="V4010">
        <v>0</v>
      </c>
      <c r="W4010">
        <v>0</v>
      </c>
      <c r="X4010">
        <v>1</v>
      </c>
      <c r="Z4010">
        <v>0</v>
      </c>
      <c r="AA4010">
        <v>9</v>
      </c>
      <c r="AB4010">
        <v>3</v>
      </c>
      <c r="AC4010">
        <v>0</v>
      </c>
      <c r="AD4010">
        <v>9</v>
      </c>
      <c r="AE4010">
        <v>0</v>
      </c>
      <c r="AF4010">
        <v>3</v>
      </c>
      <c r="AG4010">
        <v>1</v>
      </c>
      <c r="AH4010">
        <v>0</v>
      </c>
      <c r="AI4010" t="s">
        <v>1280</v>
      </c>
      <c r="AJ4010">
        <v>34.061244000000002</v>
      </c>
      <c r="AK4010" t="s">
        <v>1281</v>
      </c>
      <c r="AL4010">
        <v>-117.01117499999999</v>
      </c>
      <c r="AM4010">
        <v>100</v>
      </c>
      <c r="AN4010">
        <v>5400</v>
      </c>
      <c r="AO4010" t="s">
        <v>118</v>
      </c>
      <c r="AP4010">
        <v>-16</v>
      </c>
      <c r="AQ4010">
        <v>92</v>
      </c>
      <c r="AR4010">
        <v>0</v>
      </c>
      <c r="AZ4010">
        <v>1200</v>
      </c>
      <c r="BA4010">
        <v>1</v>
      </c>
      <c r="BB4010" t="str">
        <f t="shared" si="2222"/>
        <v xml:space="preserve">N9217B  </v>
      </c>
      <c r="BC4010">
        <v>1</v>
      </c>
      <c r="BE4010">
        <v>0</v>
      </c>
      <c r="BF4010">
        <v>0</v>
      </c>
      <c r="BG4010">
        <v>0</v>
      </c>
      <c r="BH4010">
        <v>5225</v>
      </c>
      <c r="BI4010">
        <v>1</v>
      </c>
      <c r="BJ4010">
        <v>0</v>
      </c>
      <c r="BK4010">
        <v>0</v>
      </c>
      <c r="BL4010">
        <v>0</v>
      </c>
      <c r="BO4010">
        <v>0</v>
      </c>
      <c r="BP4010">
        <v>0</v>
      </c>
      <c r="BW4010" t="str">
        <f t="shared" ref="BW4010:BW4015" si="2247">"14:59:00.879"</f>
        <v>14:59:00.879</v>
      </c>
      <c r="CJ4010">
        <v>0</v>
      </c>
      <c r="CK4010">
        <v>2</v>
      </c>
      <c r="CL4010">
        <v>0</v>
      </c>
      <c r="CM4010">
        <v>2</v>
      </c>
      <c r="CN4010">
        <v>0</v>
      </c>
      <c r="CO4010">
        <v>3</v>
      </c>
      <c r="CP4010" t="s">
        <v>119</v>
      </c>
      <c r="CQ4010">
        <v>298</v>
      </c>
      <c r="CR4010">
        <v>0</v>
      </c>
      <c r="CW4010">
        <v>10471340</v>
      </c>
      <c r="CY4010">
        <v>0</v>
      </c>
      <c r="CZ4010">
        <v>0</v>
      </c>
      <c r="DA4010">
        <v>0</v>
      </c>
      <c r="DB4010">
        <v>0</v>
      </c>
      <c r="DC4010">
        <v>0</v>
      </c>
      <c r="DD4010">
        <v>0</v>
      </c>
      <c r="DE4010">
        <v>0</v>
      </c>
      <c r="DF4010">
        <v>0</v>
      </c>
      <c r="DG4010">
        <v>0</v>
      </c>
      <c r="DH4010">
        <v>0</v>
      </c>
      <c r="DI4010">
        <v>0</v>
      </c>
    </row>
    <row r="4011" spans="1:113" x14ac:dyDescent="0.25">
      <c r="A4011" t="str">
        <f t="shared" si="2244"/>
        <v>06/05/2020 14:58:55.214</v>
      </c>
      <c r="C4011" t="str">
        <f t="shared" si="2239"/>
        <v>FFDFD3C0</v>
      </c>
      <c r="D4011" t="s">
        <v>134</v>
      </c>
      <c r="E4011">
        <v>7</v>
      </c>
      <c r="F4011">
        <v>2007</v>
      </c>
      <c r="G4011" t="s">
        <v>135</v>
      </c>
      <c r="J4011" t="s">
        <v>136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 t="shared" si="2245"/>
        <v>14:59:00.875</v>
      </c>
      <c r="T4011" t="str">
        <f t="shared" si="2246"/>
        <v>14:59:00.375</v>
      </c>
      <c r="U4011" t="str">
        <f t="shared" si="2221"/>
        <v>ACC530</v>
      </c>
      <c r="V4011">
        <v>0</v>
      </c>
      <c r="W4011">
        <v>0</v>
      </c>
      <c r="X4011">
        <v>1</v>
      </c>
      <c r="Z4011">
        <v>0</v>
      </c>
      <c r="AA4011">
        <v>9</v>
      </c>
      <c r="AB4011">
        <v>3</v>
      </c>
      <c r="AC4011">
        <v>0</v>
      </c>
      <c r="AD4011">
        <v>9</v>
      </c>
      <c r="AE4011">
        <v>0</v>
      </c>
      <c r="AF4011">
        <v>3</v>
      </c>
      <c r="AG4011">
        <v>1</v>
      </c>
      <c r="AH4011">
        <v>0</v>
      </c>
      <c r="AI4011" t="s">
        <v>1280</v>
      </c>
      <c r="AJ4011">
        <v>34.061244000000002</v>
      </c>
      <c r="AK4011" t="s">
        <v>1281</v>
      </c>
      <c r="AL4011">
        <v>-117.01117499999999</v>
      </c>
      <c r="AM4011">
        <v>100</v>
      </c>
      <c r="AN4011">
        <v>5400</v>
      </c>
      <c r="AO4011" t="s">
        <v>118</v>
      </c>
      <c r="AP4011">
        <v>-16</v>
      </c>
      <c r="AQ4011">
        <v>92</v>
      </c>
      <c r="AR4011">
        <v>0</v>
      </c>
      <c r="AZ4011">
        <v>1200</v>
      </c>
      <c r="BA4011">
        <v>1</v>
      </c>
      <c r="BB4011" t="str">
        <f t="shared" si="2222"/>
        <v xml:space="preserve">N9217B  </v>
      </c>
      <c r="BC4011">
        <v>1</v>
      </c>
      <c r="BE4011">
        <v>0</v>
      </c>
      <c r="BF4011">
        <v>0</v>
      </c>
      <c r="BG4011">
        <v>0</v>
      </c>
      <c r="BH4011">
        <v>5225</v>
      </c>
      <c r="BI4011">
        <v>1</v>
      </c>
      <c r="BJ4011">
        <v>0</v>
      </c>
      <c r="BK4011">
        <v>0</v>
      </c>
      <c r="BL4011">
        <v>0</v>
      </c>
      <c r="BO4011">
        <v>0</v>
      </c>
      <c r="BP4011">
        <v>0</v>
      </c>
      <c r="BW4011" t="str">
        <f t="shared" si="2247"/>
        <v>14:59:00.879</v>
      </c>
      <c r="CJ4011">
        <v>0</v>
      </c>
      <c r="CK4011">
        <v>2</v>
      </c>
      <c r="CL4011">
        <v>0</v>
      </c>
      <c r="CM4011">
        <v>2</v>
      </c>
      <c r="CN4011">
        <v>0</v>
      </c>
      <c r="CO4011">
        <v>3</v>
      </c>
      <c r="CP4011" t="s">
        <v>119</v>
      </c>
      <c r="CQ4011">
        <v>298</v>
      </c>
      <c r="CR4011">
        <v>0</v>
      </c>
      <c r="CW4011">
        <v>10471340</v>
      </c>
      <c r="CY4011">
        <v>0</v>
      </c>
      <c r="CZ4011">
        <v>0</v>
      </c>
      <c r="DA4011">
        <v>1</v>
      </c>
      <c r="DB4011">
        <v>0</v>
      </c>
      <c r="DC4011">
        <v>0</v>
      </c>
      <c r="DD4011">
        <v>0</v>
      </c>
      <c r="DE4011">
        <v>0</v>
      </c>
      <c r="DF4011">
        <v>0</v>
      </c>
      <c r="DG4011">
        <v>0</v>
      </c>
      <c r="DH4011">
        <v>0</v>
      </c>
      <c r="DI4011">
        <v>0</v>
      </c>
    </row>
    <row r="4012" spans="1:113" x14ac:dyDescent="0.25">
      <c r="A4012" t="str">
        <f t="shared" si="2244"/>
        <v>06/05/2020 14:58:55.214</v>
      </c>
      <c r="C4012" t="str">
        <f t="shared" si="2239"/>
        <v>FFDFD3C0</v>
      </c>
      <c r="D4012" t="s">
        <v>113</v>
      </c>
      <c r="E4012">
        <v>3</v>
      </c>
      <c r="H4012">
        <v>166</v>
      </c>
      <c r="I4012" t="s">
        <v>114</v>
      </c>
      <c r="J4012" t="s">
        <v>115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 t="shared" si="2245"/>
        <v>14:59:00.875</v>
      </c>
      <c r="T4012" t="str">
        <f t="shared" si="2246"/>
        <v>14:59:00.375</v>
      </c>
      <c r="U4012" t="str">
        <f t="shared" si="2221"/>
        <v>ACC530</v>
      </c>
      <c r="V4012">
        <v>0</v>
      </c>
      <c r="W4012">
        <v>0</v>
      </c>
      <c r="X4012">
        <v>1</v>
      </c>
      <c r="Z4012">
        <v>0</v>
      </c>
      <c r="AA4012">
        <v>9</v>
      </c>
      <c r="AB4012">
        <v>3</v>
      </c>
      <c r="AC4012">
        <v>0</v>
      </c>
      <c r="AD4012">
        <v>9</v>
      </c>
      <c r="AE4012">
        <v>0</v>
      </c>
      <c r="AF4012">
        <v>3</v>
      </c>
      <c r="AG4012">
        <v>1</v>
      </c>
      <c r="AH4012">
        <v>0</v>
      </c>
      <c r="AI4012" t="s">
        <v>1280</v>
      </c>
      <c r="AJ4012">
        <v>34.061244000000002</v>
      </c>
      <c r="AK4012" t="s">
        <v>1281</v>
      </c>
      <c r="AL4012">
        <v>-117.01117499999999</v>
      </c>
      <c r="AM4012">
        <v>100</v>
      </c>
      <c r="AN4012">
        <v>5400</v>
      </c>
      <c r="AO4012" t="s">
        <v>118</v>
      </c>
      <c r="AP4012">
        <v>-16</v>
      </c>
      <c r="AQ4012">
        <v>92</v>
      </c>
      <c r="AR4012">
        <v>0</v>
      </c>
      <c r="AZ4012">
        <v>1200</v>
      </c>
      <c r="BA4012">
        <v>1</v>
      </c>
      <c r="BB4012" t="str">
        <f t="shared" si="2222"/>
        <v xml:space="preserve">N9217B  </v>
      </c>
      <c r="BC4012">
        <v>1</v>
      </c>
      <c r="BE4012">
        <v>0</v>
      </c>
      <c r="BF4012">
        <v>0</v>
      </c>
      <c r="BG4012">
        <v>0</v>
      </c>
      <c r="BH4012">
        <v>5225</v>
      </c>
      <c r="BI4012">
        <v>1</v>
      </c>
      <c r="BJ4012">
        <v>0</v>
      </c>
      <c r="BK4012">
        <v>0</v>
      </c>
      <c r="BL4012">
        <v>0</v>
      </c>
      <c r="BO4012">
        <v>0</v>
      </c>
      <c r="BP4012">
        <v>0</v>
      </c>
      <c r="BW4012" t="str">
        <f t="shared" si="2247"/>
        <v>14:59:00.879</v>
      </c>
      <c r="CJ4012">
        <v>0</v>
      </c>
      <c r="CK4012">
        <v>2</v>
      </c>
      <c r="CL4012">
        <v>0</v>
      </c>
      <c r="CM4012">
        <v>2</v>
      </c>
      <c r="CN4012">
        <v>0</v>
      </c>
      <c r="CO4012">
        <v>3</v>
      </c>
      <c r="CP4012" t="s">
        <v>119</v>
      </c>
      <c r="CQ4012">
        <v>298</v>
      </c>
      <c r="CR4012">
        <v>0</v>
      </c>
      <c r="CW4012">
        <v>10471340</v>
      </c>
      <c r="CY4012">
        <v>0</v>
      </c>
      <c r="CZ4012">
        <v>0</v>
      </c>
      <c r="DA4012">
        <v>1</v>
      </c>
      <c r="DB4012">
        <v>0</v>
      </c>
      <c r="DC4012">
        <v>0</v>
      </c>
      <c r="DD4012">
        <v>0</v>
      </c>
      <c r="DE4012">
        <v>0</v>
      </c>
      <c r="DF4012">
        <v>0</v>
      </c>
      <c r="DG4012">
        <v>0</v>
      </c>
      <c r="DH4012">
        <v>0</v>
      </c>
      <c r="DI4012">
        <v>0</v>
      </c>
    </row>
    <row r="4013" spans="1:113" x14ac:dyDescent="0.25">
      <c r="A4013" t="str">
        <f t="shared" si="2244"/>
        <v>06/05/2020 14:58:55.214</v>
      </c>
      <c r="C4013" t="str">
        <f t="shared" si="2239"/>
        <v>FFDFD3C0</v>
      </c>
      <c r="D4013" t="s">
        <v>141</v>
      </c>
      <c r="E4013">
        <v>20</v>
      </c>
      <c r="F4013">
        <v>1020</v>
      </c>
      <c r="G4013" t="s">
        <v>114</v>
      </c>
      <c r="J4013" t="s">
        <v>142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 t="shared" si="2245"/>
        <v>14:59:00.875</v>
      </c>
      <c r="T4013" t="str">
        <f t="shared" si="2246"/>
        <v>14:59:00.375</v>
      </c>
      <c r="U4013" t="str">
        <f t="shared" si="2221"/>
        <v>ACC530</v>
      </c>
      <c r="V4013">
        <v>0</v>
      </c>
      <c r="W4013">
        <v>0</v>
      </c>
      <c r="X4013">
        <v>1</v>
      </c>
      <c r="Z4013">
        <v>0</v>
      </c>
      <c r="AA4013">
        <v>9</v>
      </c>
      <c r="AB4013">
        <v>3</v>
      </c>
      <c r="AC4013">
        <v>0</v>
      </c>
      <c r="AD4013">
        <v>9</v>
      </c>
      <c r="AE4013">
        <v>0</v>
      </c>
      <c r="AF4013">
        <v>3</v>
      </c>
      <c r="AG4013">
        <v>1</v>
      </c>
      <c r="AH4013">
        <v>0</v>
      </c>
      <c r="AI4013" t="s">
        <v>1280</v>
      </c>
      <c r="AJ4013">
        <v>34.061244000000002</v>
      </c>
      <c r="AK4013" t="s">
        <v>1281</v>
      </c>
      <c r="AL4013">
        <v>-117.01117499999999</v>
      </c>
      <c r="AM4013">
        <v>100</v>
      </c>
      <c r="AN4013">
        <v>5400</v>
      </c>
      <c r="AO4013" t="s">
        <v>118</v>
      </c>
      <c r="AP4013">
        <v>-16</v>
      </c>
      <c r="AQ4013">
        <v>92</v>
      </c>
      <c r="AR4013">
        <v>0</v>
      </c>
      <c r="AZ4013">
        <v>1200</v>
      </c>
      <c r="BA4013">
        <v>1</v>
      </c>
      <c r="BB4013" t="str">
        <f t="shared" si="2222"/>
        <v xml:space="preserve">N9217B  </v>
      </c>
      <c r="BC4013">
        <v>1</v>
      </c>
      <c r="BE4013">
        <v>0</v>
      </c>
      <c r="BF4013">
        <v>0</v>
      </c>
      <c r="BG4013">
        <v>0</v>
      </c>
      <c r="BH4013">
        <v>5225</v>
      </c>
      <c r="BI4013">
        <v>1</v>
      </c>
      <c r="BJ4013">
        <v>0</v>
      </c>
      <c r="BK4013">
        <v>0</v>
      </c>
      <c r="BL4013">
        <v>0</v>
      </c>
      <c r="BO4013">
        <v>0</v>
      </c>
      <c r="BP4013">
        <v>0</v>
      </c>
      <c r="BW4013" t="str">
        <f t="shared" si="2247"/>
        <v>14:59:00.879</v>
      </c>
      <c r="CJ4013">
        <v>0</v>
      </c>
      <c r="CK4013">
        <v>2</v>
      </c>
      <c r="CL4013">
        <v>0</v>
      </c>
      <c r="CM4013">
        <v>2</v>
      </c>
      <c r="CN4013">
        <v>0</v>
      </c>
      <c r="CO4013">
        <v>3</v>
      </c>
      <c r="CP4013" t="s">
        <v>119</v>
      </c>
      <c r="CQ4013">
        <v>298</v>
      </c>
      <c r="CR4013">
        <v>0</v>
      </c>
      <c r="CW4013">
        <v>10471340</v>
      </c>
      <c r="CY4013">
        <v>0</v>
      </c>
      <c r="CZ4013">
        <v>0</v>
      </c>
      <c r="DA4013">
        <v>1</v>
      </c>
      <c r="DB4013">
        <v>0</v>
      </c>
      <c r="DC4013">
        <v>0</v>
      </c>
      <c r="DD4013">
        <v>0</v>
      </c>
      <c r="DE4013">
        <v>0</v>
      </c>
      <c r="DF4013">
        <v>0</v>
      </c>
      <c r="DG4013">
        <v>0</v>
      </c>
      <c r="DH4013">
        <v>0</v>
      </c>
      <c r="DI4013">
        <v>0</v>
      </c>
    </row>
    <row r="4014" spans="1:113" x14ac:dyDescent="0.25">
      <c r="A4014" t="str">
        <f t="shared" si="2244"/>
        <v>06/05/2020 14:58:55.214</v>
      </c>
      <c r="C4014" t="str">
        <f t="shared" si="2239"/>
        <v>FFDFD3C0</v>
      </c>
      <c r="D4014" t="s">
        <v>148</v>
      </c>
      <c r="E4014">
        <v>11</v>
      </c>
      <c r="H4014">
        <v>53</v>
      </c>
      <c r="I4014" t="s">
        <v>364</v>
      </c>
      <c r="J4014" t="s">
        <v>150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 t="shared" si="2245"/>
        <v>14:59:00.875</v>
      </c>
      <c r="T4014" t="str">
        <f t="shared" si="2246"/>
        <v>14:59:00.375</v>
      </c>
      <c r="U4014" t="str">
        <f t="shared" si="2221"/>
        <v>ACC530</v>
      </c>
      <c r="V4014">
        <v>0</v>
      </c>
      <c r="W4014">
        <v>0</v>
      </c>
      <c r="X4014">
        <v>1</v>
      </c>
      <c r="Z4014">
        <v>0</v>
      </c>
      <c r="AA4014">
        <v>9</v>
      </c>
      <c r="AB4014">
        <v>3</v>
      </c>
      <c r="AC4014">
        <v>0</v>
      </c>
      <c r="AD4014">
        <v>9</v>
      </c>
      <c r="AE4014">
        <v>0</v>
      </c>
      <c r="AF4014">
        <v>3</v>
      </c>
      <c r="AG4014">
        <v>1</v>
      </c>
      <c r="AH4014">
        <v>0</v>
      </c>
      <c r="AI4014" t="s">
        <v>1280</v>
      </c>
      <c r="AJ4014">
        <v>34.061244000000002</v>
      </c>
      <c r="AK4014" t="s">
        <v>1281</v>
      </c>
      <c r="AL4014">
        <v>-117.01117499999999</v>
      </c>
      <c r="AM4014">
        <v>100</v>
      </c>
      <c r="AN4014">
        <v>5400</v>
      </c>
      <c r="AO4014" t="s">
        <v>118</v>
      </c>
      <c r="AP4014">
        <v>-16</v>
      </c>
      <c r="AQ4014">
        <v>92</v>
      </c>
      <c r="AR4014">
        <v>0</v>
      </c>
      <c r="AZ4014">
        <v>1200</v>
      </c>
      <c r="BA4014">
        <v>1</v>
      </c>
      <c r="BB4014" t="str">
        <f t="shared" si="2222"/>
        <v xml:space="preserve">N9217B  </v>
      </c>
      <c r="BC4014">
        <v>1</v>
      </c>
      <c r="BE4014">
        <v>0</v>
      </c>
      <c r="BF4014">
        <v>0</v>
      </c>
      <c r="BG4014">
        <v>0</v>
      </c>
      <c r="BH4014">
        <v>5225</v>
      </c>
      <c r="BI4014">
        <v>1</v>
      </c>
      <c r="BJ4014">
        <v>0</v>
      </c>
      <c r="BK4014">
        <v>0</v>
      </c>
      <c r="BL4014">
        <v>0</v>
      </c>
      <c r="BO4014">
        <v>0</v>
      </c>
      <c r="BP4014">
        <v>0</v>
      </c>
      <c r="BW4014" t="str">
        <f t="shared" si="2247"/>
        <v>14:59:00.879</v>
      </c>
      <c r="CJ4014">
        <v>0</v>
      </c>
      <c r="CK4014">
        <v>2</v>
      </c>
      <c r="CL4014">
        <v>0</v>
      </c>
      <c r="CM4014">
        <v>2</v>
      </c>
      <c r="CN4014">
        <v>0</v>
      </c>
      <c r="CO4014">
        <v>3</v>
      </c>
      <c r="CP4014" t="s">
        <v>119</v>
      </c>
      <c r="CQ4014">
        <v>298</v>
      </c>
      <c r="CR4014">
        <v>0</v>
      </c>
      <c r="CW4014">
        <v>10471340</v>
      </c>
      <c r="CY4014">
        <v>0</v>
      </c>
      <c r="CZ4014">
        <v>0</v>
      </c>
      <c r="DA4014">
        <v>1</v>
      </c>
      <c r="DB4014">
        <v>0</v>
      </c>
      <c r="DC4014">
        <v>0</v>
      </c>
      <c r="DD4014">
        <v>0</v>
      </c>
      <c r="DE4014">
        <v>0</v>
      </c>
      <c r="DF4014">
        <v>0</v>
      </c>
      <c r="DG4014">
        <v>0</v>
      </c>
      <c r="DH4014">
        <v>0</v>
      </c>
      <c r="DI4014">
        <v>0</v>
      </c>
    </row>
    <row r="4015" spans="1:113" x14ac:dyDescent="0.25">
      <c r="A4015" t="str">
        <f t="shared" si="2244"/>
        <v>06/05/2020 14:58:55.214</v>
      </c>
      <c r="C4015" t="str">
        <f t="shared" si="2239"/>
        <v>FFDFD3C0</v>
      </c>
      <c r="D4015" t="s">
        <v>151</v>
      </c>
      <c r="E4015">
        <v>8</v>
      </c>
      <c r="H4015">
        <v>225</v>
      </c>
      <c r="I4015" t="s">
        <v>353</v>
      </c>
      <c r="J4015" t="s">
        <v>150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 t="shared" si="2245"/>
        <v>14:59:00.875</v>
      </c>
      <c r="T4015" t="str">
        <f t="shared" si="2246"/>
        <v>14:59:00.375</v>
      </c>
      <c r="U4015" t="str">
        <f t="shared" si="2221"/>
        <v>ACC530</v>
      </c>
      <c r="V4015">
        <v>0</v>
      </c>
      <c r="W4015">
        <v>0</v>
      </c>
      <c r="X4015">
        <v>1</v>
      </c>
      <c r="Z4015">
        <v>0</v>
      </c>
      <c r="AA4015">
        <v>9</v>
      </c>
      <c r="AB4015">
        <v>3</v>
      </c>
      <c r="AC4015">
        <v>0</v>
      </c>
      <c r="AD4015">
        <v>9</v>
      </c>
      <c r="AE4015">
        <v>0</v>
      </c>
      <c r="AF4015">
        <v>3</v>
      </c>
      <c r="AG4015">
        <v>1</v>
      </c>
      <c r="AH4015">
        <v>0</v>
      </c>
      <c r="AI4015" t="s">
        <v>1280</v>
      </c>
      <c r="AJ4015">
        <v>34.061244000000002</v>
      </c>
      <c r="AK4015" t="s">
        <v>1281</v>
      </c>
      <c r="AL4015">
        <v>-117.01117499999999</v>
      </c>
      <c r="AM4015">
        <v>100</v>
      </c>
      <c r="AN4015">
        <v>5400</v>
      </c>
      <c r="AO4015" t="s">
        <v>118</v>
      </c>
      <c r="AP4015">
        <v>-16</v>
      </c>
      <c r="AQ4015">
        <v>92</v>
      </c>
      <c r="AR4015">
        <v>0</v>
      </c>
      <c r="AZ4015">
        <v>1200</v>
      </c>
      <c r="BA4015">
        <v>1</v>
      </c>
      <c r="BB4015" t="str">
        <f t="shared" si="2222"/>
        <v xml:space="preserve">N9217B  </v>
      </c>
      <c r="BC4015">
        <v>1</v>
      </c>
      <c r="BE4015">
        <v>0</v>
      </c>
      <c r="BF4015">
        <v>0</v>
      </c>
      <c r="BG4015">
        <v>0</v>
      </c>
      <c r="BH4015">
        <v>5225</v>
      </c>
      <c r="BI4015">
        <v>1</v>
      </c>
      <c r="BJ4015">
        <v>0</v>
      </c>
      <c r="BK4015">
        <v>0</v>
      </c>
      <c r="BL4015">
        <v>0</v>
      </c>
      <c r="BO4015">
        <v>0</v>
      </c>
      <c r="BP4015">
        <v>0</v>
      </c>
      <c r="BW4015" t="str">
        <f t="shared" si="2247"/>
        <v>14:59:00.879</v>
      </c>
      <c r="CJ4015">
        <v>0</v>
      </c>
      <c r="CK4015">
        <v>2</v>
      </c>
      <c r="CL4015">
        <v>0</v>
      </c>
      <c r="CM4015">
        <v>2</v>
      </c>
      <c r="CN4015">
        <v>0</v>
      </c>
      <c r="CO4015">
        <v>3</v>
      </c>
      <c r="CP4015" t="s">
        <v>119</v>
      </c>
      <c r="CQ4015">
        <v>298</v>
      </c>
      <c r="CR4015">
        <v>0</v>
      </c>
      <c r="CW4015">
        <v>10471340</v>
      </c>
      <c r="CY4015">
        <v>0</v>
      </c>
      <c r="CZ4015">
        <v>0</v>
      </c>
      <c r="DA4015">
        <v>1</v>
      </c>
      <c r="DB4015">
        <v>0</v>
      </c>
      <c r="DC4015">
        <v>0</v>
      </c>
      <c r="DD4015">
        <v>0</v>
      </c>
      <c r="DE4015">
        <v>0</v>
      </c>
      <c r="DF4015">
        <v>0</v>
      </c>
      <c r="DG4015">
        <v>0</v>
      </c>
      <c r="DH4015">
        <v>0</v>
      </c>
      <c r="DI4015">
        <v>0</v>
      </c>
    </row>
    <row r="4016" spans="1:113" x14ac:dyDescent="0.25">
      <c r="A4016" t="str">
        <f t="shared" ref="A4016:A4022" si="2248">"06/05/2020 14:58:56.264"</f>
        <v>06/05/2020 14:58:56.264</v>
      </c>
      <c r="C4016" t="str">
        <f t="shared" si="2239"/>
        <v>FFDFD3C0</v>
      </c>
      <c r="D4016" t="s">
        <v>151</v>
      </c>
      <c r="E4016">
        <v>8</v>
      </c>
      <c r="H4016">
        <v>225</v>
      </c>
      <c r="I4016" t="s">
        <v>353</v>
      </c>
      <c r="J4016" t="s">
        <v>150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 t="shared" ref="S4016:T4022" si="2249">"14:59:01.898"</f>
        <v>14:59:01.898</v>
      </c>
      <c r="T4016" t="str">
        <f t="shared" si="2249"/>
        <v>14:59:01.898</v>
      </c>
      <c r="U4016" t="str">
        <f t="shared" si="2221"/>
        <v>ACC530</v>
      </c>
      <c r="V4016">
        <v>0</v>
      </c>
      <c r="W4016">
        <v>0</v>
      </c>
      <c r="X4016">
        <v>1</v>
      </c>
      <c r="Z4016">
        <v>0</v>
      </c>
      <c r="AA4016">
        <v>9</v>
      </c>
      <c r="AB4016">
        <v>3</v>
      </c>
      <c r="AC4016">
        <v>0</v>
      </c>
      <c r="AD4016">
        <v>9</v>
      </c>
      <c r="AE4016">
        <v>0</v>
      </c>
      <c r="AF4016">
        <v>3</v>
      </c>
      <c r="AG4016">
        <v>1</v>
      </c>
      <c r="AH4016">
        <v>0</v>
      </c>
      <c r="AI4016" t="s">
        <v>1282</v>
      </c>
      <c r="AJ4016">
        <v>34.061630000000001</v>
      </c>
      <c r="AK4016" t="s">
        <v>1283</v>
      </c>
      <c r="AL4016">
        <v>-117.011368</v>
      </c>
      <c r="AM4016">
        <v>100</v>
      </c>
      <c r="AN4016">
        <v>5400</v>
      </c>
      <c r="AO4016" t="s">
        <v>118</v>
      </c>
      <c r="AP4016">
        <v>-29</v>
      </c>
      <c r="AQ4016">
        <v>89</v>
      </c>
      <c r="AR4016">
        <v>192</v>
      </c>
      <c r="AZ4016">
        <v>1200</v>
      </c>
      <c r="BA4016">
        <v>1</v>
      </c>
      <c r="BB4016" t="str">
        <f t="shared" si="2222"/>
        <v xml:space="preserve">N9217B  </v>
      </c>
      <c r="BC4016">
        <v>1</v>
      </c>
      <c r="BE4016">
        <v>0</v>
      </c>
      <c r="BF4016">
        <v>0</v>
      </c>
      <c r="BG4016">
        <v>0</v>
      </c>
      <c r="BH4016">
        <v>5225</v>
      </c>
      <c r="BI4016">
        <v>1</v>
      </c>
      <c r="BJ4016">
        <v>0</v>
      </c>
      <c r="BK4016">
        <v>0</v>
      </c>
      <c r="BL4016">
        <v>0</v>
      </c>
      <c r="BO4016">
        <v>0</v>
      </c>
      <c r="BP4016">
        <v>0</v>
      </c>
      <c r="BW4016" t="str">
        <f t="shared" ref="BW4016:BW4022" si="2250">"14:59:01.899"</f>
        <v>14:59:01.899</v>
      </c>
      <c r="CJ4016">
        <v>0</v>
      </c>
      <c r="CK4016">
        <v>2</v>
      </c>
      <c r="CL4016">
        <v>0</v>
      </c>
      <c r="CM4016">
        <v>2</v>
      </c>
      <c r="CN4016">
        <v>0</v>
      </c>
      <c r="CO4016">
        <v>4</v>
      </c>
      <c r="CP4016" t="s">
        <v>119</v>
      </c>
      <c r="CQ4016">
        <v>298</v>
      </c>
      <c r="CR4016">
        <v>0</v>
      </c>
      <c r="CW4016">
        <v>10471479</v>
      </c>
      <c r="CY4016">
        <v>0</v>
      </c>
      <c r="CZ4016">
        <v>0</v>
      </c>
      <c r="DA4016">
        <v>0</v>
      </c>
      <c r="DB4016">
        <v>0</v>
      </c>
      <c r="DC4016">
        <v>0</v>
      </c>
      <c r="DD4016">
        <v>0</v>
      </c>
      <c r="DE4016">
        <v>0</v>
      </c>
      <c r="DF4016">
        <v>0</v>
      </c>
      <c r="DG4016">
        <v>0</v>
      </c>
      <c r="DH4016">
        <v>0</v>
      </c>
      <c r="DI4016">
        <v>0</v>
      </c>
    </row>
    <row r="4017" spans="1:113" x14ac:dyDescent="0.25">
      <c r="A4017" t="str">
        <f t="shared" si="2248"/>
        <v>06/05/2020 14:58:56.264</v>
      </c>
      <c r="C4017" t="str">
        <f t="shared" si="2239"/>
        <v>FFDFD3C0</v>
      </c>
      <c r="D4017" t="s">
        <v>148</v>
      </c>
      <c r="E4017">
        <v>8</v>
      </c>
      <c r="H4017">
        <v>50</v>
      </c>
      <c r="I4017" t="s">
        <v>149</v>
      </c>
      <c r="J4017" t="s">
        <v>150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 t="shared" si="2249"/>
        <v>14:59:01.898</v>
      </c>
      <c r="T4017" t="str">
        <f t="shared" si="2249"/>
        <v>14:59:01.898</v>
      </c>
      <c r="U4017" t="str">
        <f t="shared" si="2221"/>
        <v>ACC530</v>
      </c>
      <c r="V4017">
        <v>0</v>
      </c>
      <c r="W4017">
        <v>0</v>
      </c>
      <c r="X4017">
        <v>1</v>
      </c>
      <c r="Z4017">
        <v>0</v>
      </c>
      <c r="AA4017">
        <v>9</v>
      </c>
      <c r="AB4017">
        <v>3</v>
      </c>
      <c r="AC4017">
        <v>0</v>
      </c>
      <c r="AD4017">
        <v>9</v>
      </c>
      <c r="AE4017">
        <v>0</v>
      </c>
      <c r="AF4017">
        <v>3</v>
      </c>
      <c r="AG4017">
        <v>1</v>
      </c>
      <c r="AH4017">
        <v>0</v>
      </c>
      <c r="AI4017" t="s">
        <v>1282</v>
      </c>
      <c r="AJ4017">
        <v>34.061630000000001</v>
      </c>
      <c r="AK4017" t="s">
        <v>1283</v>
      </c>
      <c r="AL4017">
        <v>-117.011368</v>
      </c>
      <c r="AM4017">
        <v>100</v>
      </c>
      <c r="AN4017">
        <v>5400</v>
      </c>
      <c r="AO4017" t="s">
        <v>118</v>
      </c>
      <c r="AP4017">
        <v>-29</v>
      </c>
      <c r="AQ4017">
        <v>89</v>
      </c>
      <c r="AR4017">
        <v>192</v>
      </c>
      <c r="AZ4017">
        <v>1200</v>
      </c>
      <c r="BA4017">
        <v>1</v>
      </c>
      <c r="BB4017" t="str">
        <f t="shared" si="2222"/>
        <v xml:space="preserve">N9217B  </v>
      </c>
      <c r="BC4017">
        <v>1</v>
      </c>
      <c r="BE4017">
        <v>0</v>
      </c>
      <c r="BF4017">
        <v>0</v>
      </c>
      <c r="BG4017">
        <v>0</v>
      </c>
      <c r="BH4017">
        <v>5225</v>
      </c>
      <c r="BI4017">
        <v>1</v>
      </c>
      <c r="BJ4017">
        <v>0</v>
      </c>
      <c r="BK4017">
        <v>0</v>
      </c>
      <c r="BL4017">
        <v>0</v>
      </c>
      <c r="BO4017">
        <v>0</v>
      </c>
      <c r="BP4017">
        <v>0</v>
      </c>
      <c r="BW4017" t="str">
        <f t="shared" si="2250"/>
        <v>14:59:01.899</v>
      </c>
      <c r="CJ4017">
        <v>0</v>
      </c>
      <c r="CK4017">
        <v>2</v>
      </c>
      <c r="CL4017">
        <v>0</v>
      </c>
      <c r="CM4017">
        <v>2</v>
      </c>
      <c r="CN4017">
        <v>0</v>
      </c>
      <c r="CO4017">
        <v>4</v>
      </c>
      <c r="CP4017" t="s">
        <v>119</v>
      </c>
      <c r="CQ4017">
        <v>298</v>
      </c>
      <c r="CR4017">
        <v>0</v>
      </c>
      <c r="CW4017">
        <v>10471479</v>
      </c>
      <c r="CY4017">
        <v>0</v>
      </c>
      <c r="CZ4017">
        <v>0</v>
      </c>
      <c r="DA4017">
        <v>1</v>
      </c>
      <c r="DB4017">
        <v>0</v>
      </c>
      <c r="DC4017">
        <v>0</v>
      </c>
      <c r="DD4017">
        <v>0</v>
      </c>
      <c r="DE4017">
        <v>0</v>
      </c>
      <c r="DF4017">
        <v>0</v>
      </c>
      <c r="DG4017">
        <v>0</v>
      </c>
      <c r="DH4017">
        <v>0</v>
      </c>
      <c r="DI4017">
        <v>0</v>
      </c>
    </row>
    <row r="4018" spans="1:113" x14ac:dyDescent="0.25">
      <c r="A4018" t="str">
        <f t="shared" si="2248"/>
        <v>06/05/2020 14:58:56.264</v>
      </c>
      <c r="C4018" t="str">
        <f t="shared" si="2239"/>
        <v>FFDFD3C0</v>
      </c>
      <c r="D4018" t="s">
        <v>134</v>
      </c>
      <c r="E4018">
        <v>7</v>
      </c>
      <c r="F4018">
        <v>2007</v>
      </c>
      <c r="G4018" t="s">
        <v>135</v>
      </c>
      <c r="J4018" t="s">
        <v>136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 t="shared" si="2249"/>
        <v>14:59:01.898</v>
      </c>
      <c r="T4018" t="str">
        <f t="shared" si="2249"/>
        <v>14:59:01.898</v>
      </c>
      <c r="U4018" t="str">
        <f t="shared" si="2221"/>
        <v>ACC530</v>
      </c>
      <c r="V4018">
        <v>0</v>
      </c>
      <c r="W4018">
        <v>0</v>
      </c>
      <c r="X4018">
        <v>1</v>
      </c>
      <c r="Z4018">
        <v>0</v>
      </c>
      <c r="AA4018">
        <v>9</v>
      </c>
      <c r="AB4018">
        <v>3</v>
      </c>
      <c r="AC4018">
        <v>0</v>
      </c>
      <c r="AD4018">
        <v>9</v>
      </c>
      <c r="AE4018">
        <v>0</v>
      </c>
      <c r="AF4018">
        <v>3</v>
      </c>
      <c r="AG4018">
        <v>1</v>
      </c>
      <c r="AH4018">
        <v>0</v>
      </c>
      <c r="AI4018" t="s">
        <v>1282</v>
      </c>
      <c r="AJ4018">
        <v>34.061630000000001</v>
      </c>
      <c r="AK4018" t="s">
        <v>1283</v>
      </c>
      <c r="AL4018">
        <v>-117.011368</v>
      </c>
      <c r="AM4018">
        <v>100</v>
      </c>
      <c r="AN4018">
        <v>5400</v>
      </c>
      <c r="AO4018" t="s">
        <v>118</v>
      </c>
      <c r="AP4018">
        <v>-29</v>
      </c>
      <c r="AQ4018">
        <v>89</v>
      </c>
      <c r="AR4018">
        <v>192</v>
      </c>
      <c r="AZ4018">
        <v>1200</v>
      </c>
      <c r="BA4018">
        <v>1</v>
      </c>
      <c r="BB4018" t="str">
        <f t="shared" si="2222"/>
        <v xml:space="preserve">N9217B  </v>
      </c>
      <c r="BC4018">
        <v>1</v>
      </c>
      <c r="BE4018">
        <v>0</v>
      </c>
      <c r="BF4018">
        <v>0</v>
      </c>
      <c r="BG4018">
        <v>0</v>
      </c>
      <c r="BH4018">
        <v>5225</v>
      </c>
      <c r="BI4018">
        <v>1</v>
      </c>
      <c r="BJ4018">
        <v>0</v>
      </c>
      <c r="BK4018">
        <v>0</v>
      </c>
      <c r="BL4018">
        <v>0</v>
      </c>
      <c r="BO4018">
        <v>0</v>
      </c>
      <c r="BP4018">
        <v>0</v>
      </c>
      <c r="BW4018" t="str">
        <f t="shared" si="2250"/>
        <v>14:59:01.899</v>
      </c>
      <c r="CJ4018">
        <v>0</v>
      </c>
      <c r="CK4018">
        <v>2</v>
      </c>
      <c r="CL4018">
        <v>0</v>
      </c>
      <c r="CM4018">
        <v>2</v>
      </c>
      <c r="CN4018">
        <v>0</v>
      </c>
      <c r="CO4018">
        <v>4</v>
      </c>
      <c r="CP4018" t="s">
        <v>119</v>
      </c>
      <c r="CQ4018">
        <v>298</v>
      </c>
      <c r="CR4018">
        <v>0</v>
      </c>
      <c r="CW4018">
        <v>10471479</v>
      </c>
      <c r="CY4018">
        <v>0</v>
      </c>
      <c r="CZ4018">
        <v>0</v>
      </c>
      <c r="DA4018">
        <v>1</v>
      </c>
      <c r="DB4018">
        <v>0</v>
      </c>
      <c r="DC4018">
        <v>0</v>
      </c>
      <c r="DD4018">
        <v>0</v>
      </c>
      <c r="DE4018">
        <v>0</v>
      </c>
      <c r="DF4018">
        <v>0</v>
      </c>
      <c r="DG4018">
        <v>0</v>
      </c>
      <c r="DH4018">
        <v>0</v>
      </c>
      <c r="DI4018">
        <v>0</v>
      </c>
    </row>
    <row r="4019" spans="1:113" x14ac:dyDescent="0.25">
      <c r="A4019" t="str">
        <f t="shared" si="2248"/>
        <v>06/05/2020 14:58:56.264</v>
      </c>
      <c r="C4019" t="str">
        <f t="shared" si="2239"/>
        <v>FFDFD3C0</v>
      </c>
      <c r="D4019" t="s">
        <v>151</v>
      </c>
      <c r="E4019">
        <v>9</v>
      </c>
      <c r="H4019">
        <v>226</v>
      </c>
      <c r="I4019" t="s">
        <v>152</v>
      </c>
      <c r="J4019" t="s">
        <v>150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 t="shared" si="2249"/>
        <v>14:59:01.898</v>
      </c>
      <c r="T4019" t="str">
        <f t="shared" si="2249"/>
        <v>14:59:01.898</v>
      </c>
      <c r="U4019" t="str">
        <f t="shared" si="2221"/>
        <v>ACC530</v>
      </c>
      <c r="V4019">
        <v>0</v>
      </c>
      <c r="W4019">
        <v>0</v>
      </c>
      <c r="X4019">
        <v>1</v>
      </c>
      <c r="Z4019">
        <v>0</v>
      </c>
      <c r="AA4019">
        <v>9</v>
      </c>
      <c r="AB4019">
        <v>3</v>
      </c>
      <c r="AC4019">
        <v>0</v>
      </c>
      <c r="AD4019">
        <v>9</v>
      </c>
      <c r="AE4019">
        <v>0</v>
      </c>
      <c r="AF4019">
        <v>3</v>
      </c>
      <c r="AG4019">
        <v>1</v>
      </c>
      <c r="AH4019">
        <v>0</v>
      </c>
      <c r="AI4019" t="s">
        <v>1282</v>
      </c>
      <c r="AJ4019">
        <v>34.061630000000001</v>
      </c>
      <c r="AK4019" t="s">
        <v>1283</v>
      </c>
      <c r="AL4019">
        <v>-117.011368</v>
      </c>
      <c r="AM4019">
        <v>100</v>
      </c>
      <c r="AN4019">
        <v>5400</v>
      </c>
      <c r="AO4019" t="s">
        <v>118</v>
      </c>
      <c r="AP4019">
        <v>-29</v>
      </c>
      <c r="AQ4019">
        <v>89</v>
      </c>
      <c r="AR4019">
        <v>192</v>
      </c>
      <c r="AZ4019">
        <v>1200</v>
      </c>
      <c r="BA4019">
        <v>1</v>
      </c>
      <c r="BB4019" t="str">
        <f t="shared" si="2222"/>
        <v xml:space="preserve">N9217B  </v>
      </c>
      <c r="BC4019">
        <v>1</v>
      </c>
      <c r="BE4019">
        <v>0</v>
      </c>
      <c r="BF4019">
        <v>0</v>
      </c>
      <c r="BG4019">
        <v>0</v>
      </c>
      <c r="BH4019">
        <v>5225</v>
      </c>
      <c r="BI4019">
        <v>1</v>
      </c>
      <c r="BJ4019">
        <v>0</v>
      </c>
      <c r="BK4019">
        <v>0</v>
      </c>
      <c r="BL4019">
        <v>0</v>
      </c>
      <c r="BO4019">
        <v>0</v>
      </c>
      <c r="BP4019">
        <v>0</v>
      </c>
      <c r="BW4019" t="str">
        <f t="shared" si="2250"/>
        <v>14:59:01.899</v>
      </c>
      <c r="CJ4019">
        <v>0</v>
      </c>
      <c r="CK4019">
        <v>2</v>
      </c>
      <c r="CL4019">
        <v>0</v>
      </c>
      <c r="CM4019">
        <v>2</v>
      </c>
      <c r="CN4019">
        <v>0</v>
      </c>
      <c r="CO4019">
        <v>1</v>
      </c>
      <c r="CP4019" t="s">
        <v>119</v>
      </c>
      <c r="CQ4019">
        <v>285</v>
      </c>
      <c r="CR4019">
        <v>3</v>
      </c>
      <c r="CW4019">
        <v>8887633</v>
      </c>
      <c r="CY4019">
        <v>0</v>
      </c>
      <c r="CZ4019">
        <v>0</v>
      </c>
      <c r="DA4019">
        <v>1</v>
      </c>
      <c r="DB4019">
        <v>0</v>
      </c>
      <c r="DC4019">
        <v>0</v>
      </c>
      <c r="DD4019">
        <v>0</v>
      </c>
      <c r="DE4019">
        <v>0</v>
      </c>
      <c r="DF4019">
        <v>0</v>
      </c>
      <c r="DG4019">
        <v>0</v>
      </c>
      <c r="DH4019">
        <v>0</v>
      </c>
      <c r="DI4019">
        <v>0</v>
      </c>
    </row>
    <row r="4020" spans="1:113" x14ac:dyDescent="0.25">
      <c r="A4020" t="str">
        <f t="shared" si="2248"/>
        <v>06/05/2020 14:58:56.264</v>
      </c>
      <c r="C4020" t="str">
        <f t="shared" si="2239"/>
        <v>FFDFD3C0</v>
      </c>
      <c r="D4020" t="s">
        <v>113</v>
      </c>
      <c r="E4020">
        <v>3</v>
      </c>
      <c r="H4020">
        <v>166</v>
      </c>
      <c r="I4020" t="s">
        <v>114</v>
      </c>
      <c r="J4020" t="s">
        <v>115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 t="shared" si="2249"/>
        <v>14:59:01.898</v>
      </c>
      <c r="T4020" t="str">
        <f t="shared" si="2249"/>
        <v>14:59:01.898</v>
      </c>
      <c r="U4020" t="str">
        <f t="shared" si="2221"/>
        <v>ACC530</v>
      </c>
      <c r="V4020">
        <v>0</v>
      </c>
      <c r="W4020">
        <v>0</v>
      </c>
      <c r="X4020">
        <v>1</v>
      </c>
      <c r="Z4020">
        <v>0</v>
      </c>
      <c r="AA4020">
        <v>9</v>
      </c>
      <c r="AB4020">
        <v>3</v>
      </c>
      <c r="AC4020">
        <v>0</v>
      </c>
      <c r="AD4020">
        <v>9</v>
      </c>
      <c r="AE4020">
        <v>0</v>
      </c>
      <c r="AF4020">
        <v>3</v>
      </c>
      <c r="AG4020">
        <v>1</v>
      </c>
      <c r="AH4020">
        <v>0</v>
      </c>
      <c r="AI4020" t="s">
        <v>1282</v>
      </c>
      <c r="AJ4020">
        <v>34.061630000000001</v>
      </c>
      <c r="AK4020" t="s">
        <v>1283</v>
      </c>
      <c r="AL4020">
        <v>-117.011368</v>
      </c>
      <c r="AM4020">
        <v>100</v>
      </c>
      <c r="AN4020">
        <v>5400</v>
      </c>
      <c r="AO4020" t="s">
        <v>118</v>
      </c>
      <c r="AP4020">
        <v>-29</v>
      </c>
      <c r="AQ4020">
        <v>89</v>
      </c>
      <c r="AR4020">
        <v>192</v>
      </c>
      <c r="AZ4020">
        <v>1200</v>
      </c>
      <c r="BA4020">
        <v>1</v>
      </c>
      <c r="BB4020" t="str">
        <f t="shared" si="2222"/>
        <v xml:space="preserve">N9217B  </v>
      </c>
      <c r="BC4020">
        <v>1</v>
      </c>
      <c r="BE4020">
        <v>0</v>
      </c>
      <c r="BF4020">
        <v>0</v>
      </c>
      <c r="BG4020">
        <v>0</v>
      </c>
      <c r="BH4020">
        <v>5225</v>
      </c>
      <c r="BI4020">
        <v>1</v>
      </c>
      <c r="BJ4020">
        <v>0</v>
      </c>
      <c r="BK4020">
        <v>0</v>
      </c>
      <c r="BL4020">
        <v>0</v>
      </c>
      <c r="BO4020">
        <v>0</v>
      </c>
      <c r="BP4020">
        <v>0</v>
      </c>
      <c r="BW4020" t="str">
        <f t="shared" si="2250"/>
        <v>14:59:01.899</v>
      </c>
      <c r="CJ4020">
        <v>0</v>
      </c>
      <c r="CK4020">
        <v>2</v>
      </c>
      <c r="CL4020">
        <v>0</v>
      </c>
      <c r="CM4020">
        <v>2</v>
      </c>
      <c r="CN4020">
        <v>0</v>
      </c>
      <c r="CO4020">
        <v>4</v>
      </c>
      <c r="CP4020" t="s">
        <v>119</v>
      </c>
      <c r="CQ4020">
        <v>298</v>
      </c>
      <c r="CR4020">
        <v>0</v>
      </c>
      <c r="CW4020">
        <v>10471479</v>
      </c>
      <c r="CY4020">
        <v>0</v>
      </c>
      <c r="CZ4020">
        <v>0</v>
      </c>
      <c r="DA4020">
        <v>1</v>
      </c>
      <c r="DB4020">
        <v>0</v>
      </c>
      <c r="DC4020">
        <v>0</v>
      </c>
      <c r="DD4020">
        <v>0</v>
      </c>
      <c r="DE4020">
        <v>0</v>
      </c>
      <c r="DF4020">
        <v>0</v>
      </c>
      <c r="DG4020">
        <v>0</v>
      </c>
      <c r="DH4020">
        <v>0</v>
      </c>
      <c r="DI4020">
        <v>0</v>
      </c>
    </row>
    <row r="4021" spans="1:113" x14ac:dyDescent="0.25">
      <c r="A4021" t="str">
        <f t="shared" si="2248"/>
        <v>06/05/2020 14:58:56.264</v>
      </c>
      <c r="C4021" t="str">
        <f t="shared" si="2239"/>
        <v>FFDFD3C0</v>
      </c>
      <c r="D4021" t="s">
        <v>141</v>
      </c>
      <c r="E4021">
        <v>20</v>
      </c>
      <c r="F4021">
        <v>1020</v>
      </c>
      <c r="G4021" t="s">
        <v>114</v>
      </c>
      <c r="J4021" t="s">
        <v>142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 t="shared" si="2249"/>
        <v>14:59:01.898</v>
      </c>
      <c r="T4021" t="str">
        <f t="shared" si="2249"/>
        <v>14:59:01.898</v>
      </c>
      <c r="U4021" t="str">
        <f t="shared" si="2221"/>
        <v>ACC530</v>
      </c>
      <c r="V4021">
        <v>0</v>
      </c>
      <c r="W4021">
        <v>0</v>
      </c>
      <c r="X4021">
        <v>1</v>
      </c>
      <c r="Z4021">
        <v>0</v>
      </c>
      <c r="AA4021">
        <v>9</v>
      </c>
      <c r="AB4021">
        <v>3</v>
      </c>
      <c r="AC4021">
        <v>0</v>
      </c>
      <c r="AD4021">
        <v>9</v>
      </c>
      <c r="AE4021">
        <v>0</v>
      </c>
      <c r="AF4021">
        <v>3</v>
      </c>
      <c r="AG4021">
        <v>1</v>
      </c>
      <c r="AH4021">
        <v>0</v>
      </c>
      <c r="AI4021" t="s">
        <v>1282</v>
      </c>
      <c r="AJ4021">
        <v>34.061630000000001</v>
      </c>
      <c r="AK4021" t="s">
        <v>1283</v>
      </c>
      <c r="AL4021">
        <v>-117.011368</v>
      </c>
      <c r="AM4021">
        <v>100</v>
      </c>
      <c r="AN4021">
        <v>5400</v>
      </c>
      <c r="AO4021" t="s">
        <v>118</v>
      </c>
      <c r="AP4021">
        <v>-29</v>
      </c>
      <c r="AQ4021">
        <v>89</v>
      </c>
      <c r="AR4021">
        <v>192</v>
      </c>
      <c r="AZ4021">
        <v>1200</v>
      </c>
      <c r="BA4021">
        <v>1</v>
      </c>
      <c r="BB4021" t="str">
        <f t="shared" si="2222"/>
        <v xml:space="preserve">N9217B  </v>
      </c>
      <c r="BC4021">
        <v>1</v>
      </c>
      <c r="BE4021">
        <v>0</v>
      </c>
      <c r="BF4021">
        <v>0</v>
      </c>
      <c r="BG4021">
        <v>0</v>
      </c>
      <c r="BH4021">
        <v>5225</v>
      </c>
      <c r="BI4021">
        <v>1</v>
      </c>
      <c r="BJ4021">
        <v>0</v>
      </c>
      <c r="BK4021">
        <v>0</v>
      </c>
      <c r="BL4021">
        <v>0</v>
      </c>
      <c r="BO4021">
        <v>0</v>
      </c>
      <c r="BP4021">
        <v>0</v>
      </c>
      <c r="BW4021" t="str">
        <f t="shared" si="2250"/>
        <v>14:59:01.899</v>
      </c>
      <c r="CJ4021">
        <v>0</v>
      </c>
      <c r="CK4021">
        <v>2</v>
      </c>
      <c r="CL4021">
        <v>0</v>
      </c>
      <c r="CM4021">
        <v>2</v>
      </c>
      <c r="CN4021">
        <v>0</v>
      </c>
      <c r="CO4021">
        <v>4</v>
      </c>
      <c r="CP4021" t="s">
        <v>119</v>
      </c>
      <c r="CQ4021">
        <v>298</v>
      </c>
      <c r="CR4021">
        <v>0</v>
      </c>
      <c r="CW4021">
        <v>10471479</v>
      </c>
      <c r="CY4021">
        <v>0</v>
      </c>
      <c r="CZ4021">
        <v>0</v>
      </c>
      <c r="DA4021">
        <v>1</v>
      </c>
      <c r="DB4021">
        <v>0</v>
      </c>
      <c r="DC4021">
        <v>0</v>
      </c>
      <c r="DD4021">
        <v>0</v>
      </c>
      <c r="DE4021">
        <v>0</v>
      </c>
      <c r="DF4021">
        <v>0</v>
      </c>
      <c r="DG4021">
        <v>0</v>
      </c>
      <c r="DH4021">
        <v>0</v>
      </c>
      <c r="DI4021">
        <v>0</v>
      </c>
    </row>
    <row r="4022" spans="1:113" x14ac:dyDescent="0.25">
      <c r="A4022" t="str">
        <f t="shared" si="2248"/>
        <v>06/05/2020 14:58:56.264</v>
      </c>
      <c r="C4022" t="str">
        <f t="shared" si="2239"/>
        <v>FFDFD3C0</v>
      </c>
      <c r="D4022" t="s">
        <v>148</v>
      </c>
      <c r="E4022">
        <v>11</v>
      </c>
      <c r="H4022">
        <v>53</v>
      </c>
      <c r="I4022" t="s">
        <v>364</v>
      </c>
      <c r="J4022" t="s">
        <v>150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 t="shared" si="2249"/>
        <v>14:59:01.898</v>
      </c>
      <c r="T4022" t="str">
        <f t="shared" si="2249"/>
        <v>14:59:01.898</v>
      </c>
      <c r="U4022" t="str">
        <f t="shared" si="2221"/>
        <v>ACC530</v>
      </c>
      <c r="V4022">
        <v>0</v>
      </c>
      <c r="W4022">
        <v>0</v>
      </c>
      <c r="X4022">
        <v>1</v>
      </c>
      <c r="Z4022">
        <v>0</v>
      </c>
      <c r="AA4022">
        <v>9</v>
      </c>
      <c r="AB4022">
        <v>3</v>
      </c>
      <c r="AC4022">
        <v>0</v>
      </c>
      <c r="AD4022">
        <v>9</v>
      </c>
      <c r="AE4022">
        <v>0</v>
      </c>
      <c r="AF4022">
        <v>3</v>
      </c>
      <c r="AG4022">
        <v>1</v>
      </c>
      <c r="AH4022">
        <v>0</v>
      </c>
      <c r="AI4022" t="s">
        <v>1282</v>
      </c>
      <c r="AJ4022">
        <v>34.061630000000001</v>
      </c>
      <c r="AK4022" t="s">
        <v>1283</v>
      </c>
      <c r="AL4022">
        <v>-117.011368</v>
      </c>
      <c r="AM4022">
        <v>100</v>
      </c>
      <c r="AN4022">
        <v>5400</v>
      </c>
      <c r="AO4022" t="s">
        <v>118</v>
      </c>
      <c r="AP4022">
        <v>-29</v>
      </c>
      <c r="AQ4022">
        <v>89</v>
      </c>
      <c r="AR4022">
        <v>192</v>
      </c>
      <c r="AZ4022">
        <v>1200</v>
      </c>
      <c r="BA4022">
        <v>1</v>
      </c>
      <c r="BB4022" t="str">
        <f t="shared" si="2222"/>
        <v xml:space="preserve">N9217B  </v>
      </c>
      <c r="BC4022">
        <v>1</v>
      </c>
      <c r="BE4022">
        <v>0</v>
      </c>
      <c r="BF4022">
        <v>0</v>
      </c>
      <c r="BG4022">
        <v>0</v>
      </c>
      <c r="BH4022">
        <v>5225</v>
      </c>
      <c r="BI4022">
        <v>1</v>
      </c>
      <c r="BJ4022">
        <v>0</v>
      </c>
      <c r="BK4022">
        <v>0</v>
      </c>
      <c r="BL4022">
        <v>0</v>
      </c>
      <c r="BO4022">
        <v>0</v>
      </c>
      <c r="BP4022">
        <v>0</v>
      </c>
      <c r="BW4022" t="str">
        <f t="shared" si="2250"/>
        <v>14:59:01.899</v>
      </c>
      <c r="CJ4022">
        <v>0</v>
      </c>
      <c r="CK4022">
        <v>2</v>
      </c>
      <c r="CL4022">
        <v>0</v>
      </c>
      <c r="CM4022">
        <v>2</v>
      </c>
      <c r="CN4022">
        <v>0</v>
      </c>
      <c r="CO4022">
        <v>4</v>
      </c>
      <c r="CP4022" t="s">
        <v>119</v>
      </c>
      <c r="CQ4022">
        <v>298</v>
      </c>
      <c r="CR4022">
        <v>0</v>
      </c>
      <c r="CW4022">
        <v>10471479</v>
      </c>
      <c r="CY4022">
        <v>0</v>
      </c>
      <c r="CZ4022">
        <v>0</v>
      </c>
      <c r="DA4022">
        <v>1</v>
      </c>
      <c r="DB4022">
        <v>0</v>
      </c>
      <c r="DC4022">
        <v>0</v>
      </c>
      <c r="DD4022">
        <v>0</v>
      </c>
      <c r="DE4022">
        <v>0</v>
      </c>
      <c r="DF4022">
        <v>0</v>
      </c>
      <c r="DG4022">
        <v>0</v>
      </c>
      <c r="DH4022">
        <v>0</v>
      </c>
      <c r="DI4022">
        <v>0</v>
      </c>
    </row>
    <row r="4023" spans="1:113" x14ac:dyDescent="0.25">
      <c r="A4023" t="str">
        <f t="shared" ref="A4023:A4029" si="2251">"06/05/2020 14:58:57.265"</f>
        <v>06/05/2020 14:58:57.265</v>
      </c>
      <c r="C4023" t="str">
        <f t="shared" si="2239"/>
        <v>FFDFD3C0</v>
      </c>
      <c r="D4023" t="s">
        <v>148</v>
      </c>
      <c r="E4023">
        <v>11</v>
      </c>
      <c r="H4023">
        <v>53</v>
      </c>
      <c r="I4023" t="s">
        <v>364</v>
      </c>
      <c r="J4023" t="s">
        <v>150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 t="shared" ref="S4023:T4029" si="2252">"14:59:02.898"</f>
        <v>14:59:02.898</v>
      </c>
      <c r="T4023" t="str">
        <f t="shared" si="2252"/>
        <v>14:59:02.898</v>
      </c>
      <c r="U4023" t="str">
        <f t="shared" si="2221"/>
        <v>ACC530</v>
      </c>
      <c r="V4023">
        <v>0</v>
      </c>
      <c r="W4023">
        <v>0</v>
      </c>
      <c r="X4023">
        <v>1</v>
      </c>
      <c r="Z4023">
        <v>0</v>
      </c>
      <c r="AA4023">
        <v>9</v>
      </c>
      <c r="AB4023">
        <v>3</v>
      </c>
      <c r="AC4023">
        <v>0</v>
      </c>
      <c r="AD4023">
        <v>9</v>
      </c>
      <c r="AE4023">
        <v>0</v>
      </c>
      <c r="AF4023">
        <v>3</v>
      </c>
      <c r="AG4023">
        <v>1</v>
      </c>
      <c r="AH4023">
        <v>0</v>
      </c>
      <c r="AI4023" t="s">
        <v>1284</v>
      </c>
      <c r="AJ4023">
        <v>34.062016</v>
      </c>
      <c r="AK4023" t="s">
        <v>1285</v>
      </c>
      <c r="AL4023">
        <v>-117.011561</v>
      </c>
      <c r="AM4023">
        <v>100</v>
      </c>
      <c r="AN4023">
        <v>5400</v>
      </c>
      <c r="AO4023" t="s">
        <v>118</v>
      </c>
      <c r="AP4023">
        <v>-33</v>
      </c>
      <c r="AQ4023">
        <v>87</v>
      </c>
      <c r="AR4023">
        <v>256</v>
      </c>
      <c r="AZ4023">
        <v>1200</v>
      </c>
      <c r="BA4023">
        <v>1</v>
      </c>
      <c r="BB4023" t="str">
        <f t="shared" si="2222"/>
        <v xml:space="preserve">N9217B  </v>
      </c>
      <c r="BC4023">
        <v>1</v>
      </c>
      <c r="BE4023">
        <v>0</v>
      </c>
      <c r="BF4023">
        <v>0</v>
      </c>
      <c r="BG4023">
        <v>0</v>
      </c>
      <c r="BH4023">
        <v>5225</v>
      </c>
      <c r="BI4023">
        <v>1</v>
      </c>
      <c r="BJ4023">
        <v>0</v>
      </c>
      <c r="BK4023">
        <v>0</v>
      </c>
      <c r="BL4023">
        <v>0</v>
      </c>
      <c r="BO4023">
        <v>0</v>
      </c>
      <c r="BP4023">
        <v>0</v>
      </c>
      <c r="BW4023" t="str">
        <f t="shared" ref="BW4023:BW4029" si="2253">"14:59:02.904"</f>
        <v>14:59:02.904</v>
      </c>
      <c r="CJ4023">
        <v>0</v>
      </c>
      <c r="CK4023">
        <v>2</v>
      </c>
      <c r="CL4023">
        <v>0</v>
      </c>
      <c r="CM4023">
        <v>2</v>
      </c>
      <c r="CN4023">
        <v>0</v>
      </c>
      <c r="CO4023">
        <v>5</v>
      </c>
      <c r="CP4023" t="s">
        <v>119</v>
      </c>
      <c r="CQ4023">
        <v>285</v>
      </c>
      <c r="CR4023">
        <v>0</v>
      </c>
      <c r="CW4023">
        <v>8887723</v>
      </c>
      <c r="CY4023">
        <v>0</v>
      </c>
      <c r="CZ4023">
        <v>0</v>
      </c>
      <c r="DA4023">
        <v>0</v>
      </c>
      <c r="DB4023">
        <v>0</v>
      </c>
      <c r="DC4023">
        <v>0</v>
      </c>
      <c r="DD4023">
        <v>0</v>
      </c>
      <c r="DE4023">
        <v>0</v>
      </c>
      <c r="DF4023">
        <v>0</v>
      </c>
      <c r="DG4023">
        <v>0</v>
      </c>
      <c r="DH4023">
        <v>0</v>
      </c>
      <c r="DI4023">
        <v>0</v>
      </c>
    </row>
    <row r="4024" spans="1:113" x14ac:dyDescent="0.25">
      <c r="A4024" t="str">
        <f t="shared" si="2251"/>
        <v>06/05/2020 14:58:57.265</v>
      </c>
      <c r="C4024" t="str">
        <f t="shared" si="2239"/>
        <v>FFDFD3C0</v>
      </c>
      <c r="D4024" t="s">
        <v>151</v>
      </c>
      <c r="E4024">
        <v>8</v>
      </c>
      <c r="H4024">
        <v>225</v>
      </c>
      <c r="I4024" t="s">
        <v>353</v>
      </c>
      <c r="J4024" t="s">
        <v>150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 t="shared" si="2252"/>
        <v>14:59:02.898</v>
      </c>
      <c r="T4024" t="str">
        <f t="shared" si="2252"/>
        <v>14:59:02.898</v>
      </c>
      <c r="U4024" t="str">
        <f t="shared" si="2221"/>
        <v>ACC530</v>
      </c>
      <c r="V4024">
        <v>0</v>
      </c>
      <c r="W4024">
        <v>0</v>
      </c>
      <c r="X4024">
        <v>1</v>
      </c>
      <c r="Z4024">
        <v>0</v>
      </c>
      <c r="AA4024">
        <v>9</v>
      </c>
      <c r="AB4024">
        <v>3</v>
      </c>
      <c r="AC4024">
        <v>0</v>
      </c>
      <c r="AD4024">
        <v>9</v>
      </c>
      <c r="AE4024">
        <v>0</v>
      </c>
      <c r="AF4024">
        <v>3</v>
      </c>
      <c r="AG4024">
        <v>1</v>
      </c>
      <c r="AH4024">
        <v>0</v>
      </c>
      <c r="AI4024" t="s">
        <v>1284</v>
      </c>
      <c r="AJ4024">
        <v>34.062016</v>
      </c>
      <c r="AK4024" t="s">
        <v>1285</v>
      </c>
      <c r="AL4024">
        <v>-117.011561</v>
      </c>
      <c r="AM4024">
        <v>100</v>
      </c>
      <c r="AN4024">
        <v>5400</v>
      </c>
      <c r="AO4024" t="s">
        <v>118</v>
      </c>
      <c r="AP4024">
        <v>-33</v>
      </c>
      <c r="AQ4024">
        <v>87</v>
      </c>
      <c r="AR4024">
        <v>256</v>
      </c>
      <c r="AZ4024">
        <v>1200</v>
      </c>
      <c r="BA4024">
        <v>1</v>
      </c>
      <c r="BB4024" t="str">
        <f t="shared" si="2222"/>
        <v xml:space="preserve">N9217B  </v>
      </c>
      <c r="BC4024">
        <v>1</v>
      </c>
      <c r="BE4024">
        <v>0</v>
      </c>
      <c r="BF4024">
        <v>0</v>
      </c>
      <c r="BG4024">
        <v>0</v>
      </c>
      <c r="BH4024">
        <v>5225</v>
      </c>
      <c r="BI4024">
        <v>1</v>
      </c>
      <c r="BJ4024">
        <v>0</v>
      </c>
      <c r="BK4024">
        <v>0</v>
      </c>
      <c r="BL4024">
        <v>0</v>
      </c>
      <c r="BO4024">
        <v>0</v>
      </c>
      <c r="BP4024">
        <v>0</v>
      </c>
      <c r="BW4024" t="str">
        <f t="shared" si="2253"/>
        <v>14:59:02.904</v>
      </c>
      <c r="CJ4024">
        <v>0</v>
      </c>
      <c r="CK4024">
        <v>2</v>
      </c>
      <c r="CL4024">
        <v>0</v>
      </c>
      <c r="CM4024">
        <v>2</v>
      </c>
      <c r="CN4024">
        <v>0</v>
      </c>
      <c r="CO4024">
        <v>5</v>
      </c>
      <c r="CP4024" t="s">
        <v>119</v>
      </c>
      <c r="CQ4024">
        <v>285</v>
      </c>
      <c r="CR4024">
        <v>0</v>
      </c>
      <c r="CW4024">
        <v>8887723</v>
      </c>
      <c r="CY4024">
        <v>0</v>
      </c>
      <c r="CZ4024">
        <v>0</v>
      </c>
      <c r="DA4024">
        <v>1</v>
      </c>
      <c r="DB4024">
        <v>0</v>
      </c>
      <c r="DC4024">
        <v>0</v>
      </c>
      <c r="DD4024">
        <v>0</v>
      </c>
      <c r="DE4024">
        <v>0</v>
      </c>
      <c r="DF4024">
        <v>0</v>
      </c>
      <c r="DG4024">
        <v>0</v>
      </c>
      <c r="DH4024">
        <v>0</v>
      </c>
      <c r="DI4024">
        <v>0</v>
      </c>
    </row>
    <row r="4025" spans="1:113" x14ac:dyDescent="0.25">
      <c r="A4025" t="str">
        <f t="shared" si="2251"/>
        <v>06/05/2020 14:58:57.265</v>
      </c>
      <c r="C4025" t="str">
        <f t="shared" si="2239"/>
        <v>FFDFD3C0</v>
      </c>
      <c r="D4025" t="s">
        <v>148</v>
      </c>
      <c r="E4025">
        <v>8</v>
      </c>
      <c r="H4025">
        <v>50</v>
      </c>
      <c r="I4025" t="s">
        <v>149</v>
      </c>
      <c r="J4025" t="s">
        <v>150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 t="shared" si="2252"/>
        <v>14:59:02.898</v>
      </c>
      <c r="T4025" t="str">
        <f t="shared" si="2252"/>
        <v>14:59:02.898</v>
      </c>
      <c r="U4025" t="str">
        <f t="shared" si="2221"/>
        <v>ACC530</v>
      </c>
      <c r="V4025">
        <v>0</v>
      </c>
      <c r="W4025">
        <v>0</v>
      </c>
      <c r="X4025">
        <v>1</v>
      </c>
      <c r="Z4025">
        <v>0</v>
      </c>
      <c r="AA4025">
        <v>9</v>
      </c>
      <c r="AB4025">
        <v>3</v>
      </c>
      <c r="AC4025">
        <v>0</v>
      </c>
      <c r="AD4025">
        <v>9</v>
      </c>
      <c r="AE4025">
        <v>0</v>
      </c>
      <c r="AF4025">
        <v>3</v>
      </c>
      <c r="AG4025">
        <v>1</v>
      </c>
      <c r="AH4025">
        <v>0</v>
      </c>
      <c r="AI4025" t="s">
        <v>1284</v>
      </c>
      <c r="AJ4025">
        <v>34.062016</v>
      </c>
      <c r="AK4025" t="s">
        <v>1285</v>
      </c>
      <c r="AL4025">
        <v>-117.011561</v>
      </c>
      <c r="AM4025">
        <v>100</v>
      </c>
      <c r="AN4025">
        <v>5400</v>
      </c>
      <c r="AO4025" t="s">
        <v>118</v>
      </c>
      <c r="AP4025">
        <v>-33</v>
      </c>
      <c r="AQ4025">
        <v>87</v>
      </c>
      <c r="AR4025">
        <v>256</v>
      </c>
      <c r="AZ4025">
        <v>1200</v>
      </c>
      <c r="BA4025">
        <v>1</v>
      </c>
      <c r="BB4025" t="str">
        <f t="shared" si="2222"/>
        <v xml:space="preserve">N9217B  </v>
      </c>
      <c r="BC4025">
        <v>1</v>
      </c>
      <c r="BE4025">
        <v>0</v>
      </c>
      <c r="BF4025">
        <v>0</v>
      </c>
      <c r="BG4025">
        <v>0</v>
      </c>
      <c r="BH4025">
        <v>5225</v>
      </c>
      <c r="BI4025">
        <v>1</v>
      </c>
      <c r="BJ4025">
        <v>0</v>
      </c>
      <c r="BK4025">
        <v>0</v>
      </c>
      <c r="BL4025">
        <v>0</v>
      </c>
      <c r="BO4025">
        <v>0</v>
      </c>
      <c r="BP4025">
        <v>0</v>
      </c>
      <c r="BW4025" t="str">
        <f t="shared" si="2253"/>
        <v>14:59:02.904</v>
      </c>
      <c r="CJ4025">
        <v>0</v>
      </c>
      <c r="CK4025">
        <v>2</v>
      </c>
      <c r="CL4025">
        <v>0</v>
      </c>
      <c r="CM4025">
        <v>2</v>
      </c>
      <c r="CN4025">
        <v>0</v>
      </c>
      <c r="CO4025">
        <v>5</v>
      </c>
      <c r="CP4025" t="s">
        <v>119</v>
      </c>
      <c r="CQ4025">
        <v>285</v>
      </c>
      <c r="CR4025">
        <v>0</v>
      </c>
      <c r="CW4025">
        <v>8887723</v>
      </c>
      <c r="CY4025">
        <v>0</v>
      </c>
      <c r="CZ4025">
        <v>0</v>
      </c>
      <c r="DA4025">
        <v>1</v>
      </c>
      <c r="DB4025">
        <v>0</v>
      </c>
      <c r="DC4025">
        <v>0</v>
      </c>
      <c r="DD4025">
        <v>0</v>
      </c>
      <c r="DE4025">
        <v>0</v>
      </c>
      <c r="DF4025">
        <v>0</v>
      </c>
      <c r="DG4025">
        <v>0</v>
      </c>
      <c r="DH4025">
        <v>0</v>
      </c>
      <c r="DI4025">
        <v>0</v>
      </c>
    </row>
    <row r="4026" spans="1:113" x14ac:dyDescent="0.25">
      <c r="A4026" t="str">
        <f t="shared" si="2251"/>
        <v>06/05/2020 14:58:57.265</v>
      </c>
      <c r="C4026" t="str">
        <f t="shared" si="2239"/>
        <v>FFDFD3C0</v>
      </c>
      <c r="D4026" t="s">
        <v>134</v>
      </c>
      <c r="E4026">
        <v>7</v>
      </c>
      <c r="F4026">
        <v>2007</v>
      </c>
      <c r="G4026" t="s">
        <v>135</v>
      </c>
      <c r="J4026" t="s">
        <v>136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 t="shared" si="2252"/>
        <v>14:59:02.898</v>
      </c>
      <c r="T4026" t="str">
        <f t="shared" si="2252"/>
        <v>14:59:02.898</v>
      </c>
      <c r="U4026" t="str">
        <f t="shared" si="2221"/>
        <v>ACC530</v>
      </c>
      <c r="V4026">
        <v>0</v>
      </c>
      <c r="W4026">
        <v>0</v>
      </c>
      <c r="X4026">
        <v>1</v>
      </c>
      <c r="Z4026">
        <v>0</v>
      </c>
      <c r="AA4026">
        <v>9</v>
      </c>
      <c r="AB4026">
        <v>3</v>
      </c>
      <c r="AC4026">
        <v>0</v>
      </c>
      <c r="AD4026">
        <v>9</v>
      </c>
      <c r="AE4026">
        <v>0</v>
      </c>
      <c r="AF4026">
        <v>3</v>
      </c>
      <c r="AG4026">
        <v>1</v>
      </c>
      <c r="AH4026">
        <v>0</v>
      </c>
      <c r="AI4026" t="s">
        <v>1284</v>
      </c>
      <c r="AJ4026">
        <v>34.062016</v>
      </c>
      <c r="AK4026" t="s">
        <v>1285</v>
      </c>
      <c r="AL4026">
        <v>-117.011561</v>
      </c>
      <c r="AM4026">
        <v>100</v>
      </c>
      <c r="AN4026">
        <v>5400</v>
      </c>
      <c r="AO4026" t="s">
        <v>118</v>
      </c>
      <c r="AP4026">
        <v>-33</v>
      </c>
      <c r="AQ4026">
        <v>87</v>
      </c>
      <c r="AR4026">
        <v>256</v>
      </c>
      <c r="AZ4026">
        <v>1200</v>
      </c>
      <c r="BA4026">
        <v>1</v>
      </c>
      <c r="BB4026" t="str">
        <f t="shared" si="2222"/>
        <v xml:space="preserve">N9217B  </v>
      </c>
      <c r="BC4026">
        <v>1</v>
      </c>
      <c r="BE4026">
        <v>0</v>
      </c>
      <c r="BF4026">
        <v>0</v>
      </c>
      <c r="BG4026">
        <v>0</v>
      </c>
      <c r="BH4026">
        <v>5225</v>
      </c>
      <c r="BI4026">
        <v>1</v>
      </c>
      <c r="BJ4026">
        <v>0</v>
      </c>
      <c r="BK4026">
        <v>0</v>
      </c>
      <c r="BL4026">
        <v>0</v>
      </c>
      <c r="BO4026">
        <v>0</v>
      </c>
      <c r="BP4026">
        <v>0</v>
      </c>
      <c r="BW4026" t="str">
        <f t="shared" si="2253"/>
        <v>14:59:02.904</v>
      </c>
      <c r="CJ4026">
        <v>0</v>
      </c>
      <c r="CK4026">
        <v>2</v>
      </c>
      <c r="CL4026">
        <v>0</v>
      </c>
      <c r="CM4026">
        <v>2</v>
      </c>
      <c r="CN4026">
        <v>0</v>
      </c>
      <c r="CO4026">
        <v>5</v>
      </c>
      <c r="CP4026" t="s">
        <v>119</v>
      </c>
      <c r="CQ4026">
        <v>285</v>
      </c>
      <c r="CR4026">
        <v>0</v>
      </c>
      <c r="CW4026">
        <v>8887723</v>
      </c>
      <c r="CY4026">
        <v>0</v>
      </c>
      <c r="CZ4026">
        <v>0</v>
      </c>
      <c r="DA4026">
        <v>1</v>
      </c>
      <c r="DB4026">
        <v>0</v>
      </c>
      <c r="DC4026">
        <v>0</v>
      </c>
      <c r="DD4026">
        <v>0</v>
      </c>
      <c r="DE4026">
        <v>0</v>
      </c>
      <c r="DF4026">
        <v>0</v>
      </c>
      <c r="DG4026">
        <v>0</v>
      </c>
      <c r="DH4026">
        <v>0</v>
      </c>
      <c r="DI4026">
        <v>0</v>
      </c>
    </row>
    <row r="4027" spans="1:113" x14ac:dyDescent="0.25">
      <c r="A4027" t="str">
        <f t="shared" si="2251"/>
        <v>06/05/2020 14:58:57.265</v>
      </c>
      <c r="C4027" t="str">
        <f t="shared" si="2239"/>
        <v>FFDFD3C0</v>
      </c>
      <c r="D4027" t="s">
        <v>151</v>
      </c>
      <c r="E4027">
        <v>9</v>
      </c>
      <c r="H4027">
        <v>226</v>
      </c>
      <c r="I4027" t="s">
        <v>152</v>
      </c>
      <c r="J4027" t="s">
        <v>150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 t="shared" si="2252"/>
        <v>14:59:02.898</v>
      </c>
      <c r="T4027" t="str">
        <f t="shared" si="2252"/>
        <v>14:59:02.898</v>
      </c>
      <c r="U4027" t="str">
        <f t="shared" si="2221"/>
        <v>ACC530</v>
      </c>
      <c r="V4027">
        <v>0</v>
      </c>
      <c r="W4027">
        <v>0</v>
      </c>
      <c r="X4027">
        <v>1</v>
      </c>
      <c r="Z4027">
        <v>0</v>
      </c>
      <c r="AA4027">
        <v>9</v>
      </c>
      <c r="AB4027">
        <v>3</v>
      </c>
      <c r="AC4027">
        <v>0</v>
      </c>
      <c r="AD4027">
        <v>9</v>
      </c>
      <c r="AE4027">
        <v>0</v>
      </c>
      <c r="AF4027">
        <v>3</v>
      </c>
      <c r="AG4027">
        <v>1</v>
      </c>
      <c r="AH4027">
        <v>0</v>
      </c>
      <c r="AI4027" t="s">
        <v>1284</v>
      </c>
      <c r="AJ4027">
        <v>34.062016</v>
      </c>
      <c r="AK4027" t="s">
        <v>1285</v>
      </c>
      <c r="AL4027">
        <v>-117.011561</v>
      </c>
      <c r="AM4027">
        <v>100</v>
      </c>
      <c r="AN4027">
        <v>5400</v>
      </c>
      <c r="AO4027" t="s">
        <v>118</v>
      </c>
      <c r="AP4027">
        <v>-33</v>
      </c>
      <c r="AQ4027">
        <v>87</v>
      </c>
      <c r="AR4027">
        <v>256</v>
      </c>
      <c r="AZ4027">
        <v>1200</v>
      </c>
      <c r="BA4027">
        <v>1</v>
      </c>
      <c r="BB4027" t="str">
        <f t="shared" si="2222"/>
        <v xml:space="preserve">N9217B  </v>
      </c>
      <c r="BC4027">
        <v>1</v>
      </c>
      <c r="BE4027">
        <v>0</v>
      </c>
      <c r="BF4027">
        <v>0</v>
      </c>
      <c r="BG4027">
        <v>0</v>
      </c>
      <c r="BH4027">
        <v>5225</v>
      </c>
      <c r="BI4027">
        <v>1</v>
      </c>
      <c r="BJ4027">
        <v>0</v>
      </c>
      <c r="BK4027">
        <v>0</v>
      </c>
      <c r="BL4027">
        <v>0</v>
      </c>
      <c r="BO4027">
        <v>0</v>
      </c>
      <c r="BP4027">
        <v>0</v>
      </c>
      <c r="BW4027" t="str">
        <f t="shared" si="2253"/>
        <v>14:59:02.904</v>
      </c>
      <c r="CJ4027">
        <v>0</v>
      </c>
      <c r="CK4027">
        <v>2</v>
      </c>
      <c r="CL4027">
        <v>0</v>
      </c>
      <c r="CM4027">
        <v>2</v>
      </c>
      <c r="CN4027">
        <v>0</v>
      </c>
      <c r="CO4027">
        <v>5</v>
      </c>
      <c r="CP4027" t="s">
        <v>119</v>
      </c>
      <c r="CQ4027">
        <v>285</v>
      </c>
      <c r="CR4027">
        <v>0</v>
      </c>
      <c r="CW4027">
        <v>8887723</v>
      </c>
      <c r="CY4027">
        <v>0</v>
      </c>
      <c r="CZ4027">
        <v>0</v>
      </c>
      <c r="DA4027">
        <v>1</v>
      </c>
      <c r="DB4027">
        <v>0</v>
      </c>
      <c r="DC4027">
        <v>0</v>
      </c>
      <c r="DD4027">
        <v>0</v>
      </c>
      <c r="DE4027">
        <v>0</v>
      </c>
      <c r="DF4027">
        <v>0</v>
      </c>
      <c r="DG4027">
        <v>0</v>
      </c>
      <c r="DH4027">
        <v>0</v>
      </c>
      <c r="DI4027">
        <v>0</v>
      </c>
    </row>
    <row r="4028" spans="1:113" x14ac:dyDescent="0.25">
      <c r="A4028" t="str">
        <f t="shared" si="2251"/>
        <v>06/05/2020 14:58:57.265</v>
      </c>
      <c r="C4028" t="str">
        <f t="shared" si="2239"/>
        <v>FFDFD3C0</v>
      </c>
      <c r="D4028" t="s">
        <v>141</v>
      </c>
      <c r="E4028">
        <v>20</v>
      </c>
      <c r="F4028">
        <v>1020</v>
      </c>
      <c r="G4028" t="s">
        <v>114</v>
      </c>
      <c r="J4028" t="s">
        <v>142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 t="shared" si="2252"/>
        <v>14:59:02.898</v>
      </c>
      <c r="T4028" t="str">
        <f t="shared" si="2252"/>
        <v>14:59:02.898</v>
      </c>
      <c r="U4028" t="str">
        <f t="shared" si="2221"/>
        <v>ACC530</v>
      </c>
      <c r="V4028">
        <v>0</v>
      </c>
      <c r="W4028">
        <v>0</v>
      </c>
      <c r="X4028">
        <v>1</v>
      </c>
      <c r="Z4028">
        <v>0</v>
      </c>
      <c r="AA4028">
        <v>9</v>
      </c>
      <c r="AB4028">
        <v>3</v>
      </c>
      <c r="AC4028">
        <v>0</v>
      </c>
      <c r="AD4028">
        <v>9</v>
      </c>
      <c r="AE4028">
        <v>0</v>
      </c>
      <c r="AF4028">
        <v>3</v>
      </c>
      <c r="AG4028">
        <v>1</v>
      </c>
      <c r="AH4028">
        <v>0</v>
      </c>
      <c r="AI4028" t="s">
        <v>1284</v>
      </c>
      <c r="AJ4028">
        <v>34.062016</v>
      </c>
      <c r="AK4028" t="s">
        <v>1285</v>
      </c>
      <c r="AL4028">
        <v>-117.011561</v>
      </c>
      <c r="AM4028">
        <v>100</v>
      </c>
      <c r="AN4028">
        <v>5400</v>
      </c>
      <c r="AO4028" t="s">
        <v>118</v>
      </c>
      <c r="AP4028">
        <v>-33</v>
      </c>
      <c r="AQ4028">
        <v>87</v>
      </c>
      <c r="AR4028">
        <v>256</v>
      </c>
      <c r="AZ4028">
        <v>1200</v>
      </c>
      <c r="BA4028">
        <v>1</v>
      </c>
      <c r="BB4028" t="str">
        <f t="shared" si="2222"/>
        <v xml:space="preserve">N9217B  </v>
      </c>
      <c r="BC4028">
        <v>1</v>
      </c>
      <c r="BE4028">
        <v>0</v>
      </c>
      <c r="BF4028">
        <v>0</v>
      </c>
      <c r="BG4028">
        <v>0</v>
      </c>
      <c r="BH4028">
        <v>5225</v>
      </c>
      <c r="BI4028">
        <v>1</v>
      </c>
      <c r="BJ4028">
        <v>0</v>
      </c>
      <c r="BK4028">
        <v>0</v>
      </c>
      <c r="BL4028">
        <v>0</v>
      </c>
      <c r="BO4028">
        <v>0</v>
      </c>
      <c r="BP4028">
        <v>0</v>
      </c>
      <c r="BW4028" t="str">
        <f t="shared" si="2253"/>
        <v>14:59:02.904</v>
      </c>
      <c r="CJ4028">
        <v>0</v>
      </c>
      <c r="CK4028">
        <v>2</v>
      </c>
      <c r="CL4028">
        <v>0</v>
      </c>
      <c r="CM4028">
        <v>2</v>
      </c>
      <c r="CN4028">
        <v>0</v>
      </c>
      <c r="CO4028">
        <v>5</v>
      </c>
      <c r="CP4028" t="s">
        <v>119</v>
      </c>
      <c r="CQ4028">
        <v>285</v>
      </c>
      <c r="CR4028">
        <v>0</v>
      </c>
      <c r="CW4028">
        <v>8887723</v>
      </c>
      <c r="CY4028">
        <v>0</v>
      </c>
      <c r="CZ4028">
        <v>0</v>
      </c>
      <c r="DA4028">
        <v>1</v>
      </c>
      <c r="DB4028">
        <v>0</v>
      </c>
      <c r="DC4028">
        <v>0</v>
      </c>
      <c r="DD4028">
        <v>0</v>
      </c>
      <c r="DE4028">
        <v>0</v>
      </c>
      <c r="DF4028">
        <v>0</v>
      </c>
      <c r="DG4028">
        <v>0</v>
      </c>
      <c r="DH4028">
        <v>0</v>
      </c>
      <c r="DI4028">
        <v>0</v>
      </c>
    </row>
    <row r="4029" spans="1:113" x14ac:dyDescent="0.25">
      <c r="A4029" t="str">
        <f t="shared" si="2251"/>
        <v>06/05/2020 14:58:57.265</v>
      </c>
      <c r="C4029" t="str">
        <f t="shared" si="2239"/>
        <v>FFDFD3C0</v>
      </c>
      <c r="D4029" t="s">
        <v>113</v>
      </c>
      <c r="E4029">
        <v>3</v>
      </c>
      <c r="H4029">
        <v>166</v>
      </c>
      <c r="I4029" t="s">
        <v>114</v>
      </c>
      <c r="J4029" t="s">
        <v>115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 t="shared" si="2252"/>
        <v>14:59:02.898</v>
      </c>
      <c r="T4029" t="str">
        <f t="shared" si="2252"/>
        <v>14:59:02.898</v>
      </c>
      <c r="U4029" t="str">
        <f t="shared" si="2221"/>
        <v>ACC530</v>
      </c>
      <c r="V4029">
        <v>0</v>
      </c>
      <c r="W4029">
        <v>0</v>
      </c>
      <c r="X4029">
        <v>1</v>
      </c>
      <c r="Z4029">
        <v>0</v>
      </c>
      <c r="AA4029">
        <v>9</v>
      </c>
      <c r="AB4029">
        <v>3</v>
      </c>
      <c r="AC4029">
        <v>0</v>
      </c>
      <c r="AD4029">
        <v>9</v>
      </c>
      <c r="AE4029">
        <v>0</v>
      </c>
      <c r="AF4029">
        <v>3</v>
      </c>
      <c r="AG4029">
        <v>1</v>
      </c>
      <c r="AH4029">
        <v>0</v>
      </c>
      <c r="AI4029" t="s">
        <v>1284</v>
      </c>
      <c r="AJ4029">
        <v>34.062016</v>
      </c>
      <c r="AK4029" t="s">
        <v>1285</v>
      </c>
      <c r="AL4029">
        <v>-117.011561</v>
      </c>
      <c r="AM4029">
        <v>100</v>
      </c>
      <c r="AN4029">
        <v>5400</v>
      </c>
      <c r="AO4029" t="s">
        <v>118</v>
      </c>
      <c r="AP4029">
        <v>-33</v>
      </c>
      <c r="AQ4029">
        <v>87</v>
      </c>
      <c r="AR4029">
        <v>256</v>
      </c>
      <c r="AZ4029">
        <v>1200</v>
      </c>
      <c r="BA4029">
        <v>1</v>
      </c>
      <c r="BB4029" t="str">
        <f t="shared" si="2222"/>
        <v xml:space="preserve">N9217B  </v>
      </c>
      <c r="BC4029">
        <v>1</v>
      </c>
      <c r="BE4029">
        <v>0</v>
      </c>
      <c r="BF4029">
        <v>0</v>
      </c>
      <c r="BG4029">
        <v>0</v>
      </c>
      <c r="BH4029">
        <v>5225</v>
      </c>
      <c r="BI4029">
        <v>1</v>
      </c>
      <c r="BJ4029">
        <v>0</v>
      </c>
      <c r="BK4029">
        <v>0</v>
      </c>
      <c r="BL4029">
        <v>0</v>
      </c>
      <c r="BO4029">
        <v>0</v>
      </c>
      <c r="BP4029">
        <v>0</v>
      </c>
      <c r="BW4029" t="str">
        <f t="shared" si="2253"/>
        <v>14:59:02.904</v>
      </c>
      <c r="CJ4029">
        <v>0</v>
      </c>
      <c r="CK4029">
        <v>2</v>
      </c>
      <c r="CL4029">
        <v>0</v>
      </c>
      <c r="CM4029">
        <v>2</v>
      </c>
      <c r="CN4029">
        <v>0</v>
      </c>
      <c r="CO4029">
        <v>5</v>
      </c>
      <c r="CP4029" t="s">
        <v>119</v>
      </c>
      <c r="CQ4029">
        <v>285</v>
      </c>
      <c r="CR4029">
        <v>0</v>
      </c>
      <c r="CW4029">
        <v>8887723</v>
      </c>
      <c r="CY4029">
        <v>0</v>
      </c>
      <c r="CZ4029">
        <v>0</v>
      </c>
      <c r="DA4029">
        <v>1</v>
      </c>
      <c r="DB4029">
        <v>0</v>
      </c>
      <c r="DC4029">
        <v>0</v>
      </c>
      <c r="DD4029">
        <v>0</v>
      </c>
      <c r="DE4029">
        <v>0</v>
      </c>
      <c r="DF4029">
        <v>0</v>
      </c>
      <c r="DG4029">
        <v>0</v>
      </c>
      <c r="DH4029">
        <v>0</v>
      </c>
      <c r="DI4029">
        <v>0</v>
      </c>
    </row>
    <row r="4030" spans="1:113" x14ac:dyDescent="0.25">
      <c r="A4030" t="str">
        <f t="shared" ref="A4030:A4036" si="2254">"06/05/2020 14:58:58.174"</f>
        <v>06/05/2020 14:58:58.174</v>
      </c>
      <c r="C4030" t="str">
        <f t="shared" si="2239"/>
        <v>FFDFD3C0</v>
      </c>
      <c r="D4030" t="s">
        <v>148</v>
      </c>
      <c r="E4030">
        <v>11</v>
      </c>
      <c r="H4030">
        <v>53</v>
      </c>
      <c r="I4030" t="s">
        <v>364</v>
      </c>
      <c r="J4030" t="s">
        <v>150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 t="shared" ref="S4030:S4036" si="2255">"14:59:03.781"</f>
        <v>14:59:03.781</v>
      </c>
      <c r="T4030" t="str">
        <f t="shared" ref="T4030:T4036" si="2256">"14:59:03.481"</f>
        <v>14:59:03.481</v>
      </c>
      <c r="U4030" t="str">
        <f t="shared" si="2221"/>
        <v>ACC530</v>
      </c>
      <c r="V4030">
        <v>0</v>
      </c>
      <c r="W4030">
        <v>0</v>
      </c>
      <c r="X4030">
        <v>1</v>
      </c>
      <c r="Z4030">
        <v>0</v>
      </c>
      <c r="AA4030">
        <v>9</v>
      </c>
      <c r="AB4030">
        <v>3</v>
      </c>
      <c r="AC4030">
        <v>0</v>
      </c>
      <c r="AD4030">
        <v>9</v>
      </c>
      <c r="AE4030">
        <v>0</v>
      </c>
      <c r="AF4030">
        <v>3</v>
      </c>
      <c r="AG4030">
        <v>1</v>
      </c>
      <c r="AH4030">
        <v>0</v>
      </c>
      <c r="AI4030" t="s">
        <v>1286</v>
      </c>
      <c r="AJ4030">
        <v>34.062359000000001</v>
      </c>
      <c r="AK4030" t="s">
        <v>1287</v>
      </c>
      <c r="AL4030">
        <v>-117.011776</v>
      </c>
      <c r="AM4030">
        <v>100</v>
      </c>
      <c r="AN4030">
        <v>5400</v>
      </c>
      <c r="AO4030" t="s">
        <v>118</v>
      </c>
      <c r="AP4030">
        <v>-36</v>
      </c>
      <c r="AQ4030">
        <v>85</v>
      </c>
      <c r="AR4030">
        <v>320</v>
      </c>
      <c r="AZ4030">
        <v>1200</v>
      </c>
      <c r="BA4030">
        <v>1</v>
      </c>
      <c r="BB4030" t="str">
        <f t="shared" si="2222"/>
        <v xml:space="preserve">N9217B  </v>
      </c>
      <c r="BC4030">
        <v>1</v>
      </c>
      <c r="BE4030">
        <v>0</v>
      </c>
      <c r="BF4030">
        <v>0</v>
      </c>
      <c r="BG4030">
        <v>0</v>
      </c>
      <c r="BH4030">
        <v>5225</v>
      </c>
      <c r="BI4030">
        <v>1</v>
      </c>
      <c r="BJ4030">
        <v>0</v>
      </c>
      <c r="BK4030">
        <v>0</v>
      </c>
      <c r="BL4030">
        <v>0</v>
      </c>
      <c r="BO4030">
        <v>0</v>
      </c>
      <c r="BP4030">
        <v>0</v>
      </c>
      <c r="BW4030" t="str">
        <f t="shared" ref="BW4030:BW4036" si="2257">"14:59:03.789"</f>
        <v>14:59:03.789</v>
      </c>
      <c r="CJ4030">
        <v>0</v>
      </c>
      <c r="CK4030">
        <v>2</v>
      </c>
      <c r="CL4030">
        <v>0</v>
      </c>
      <c r="CM4030">
        <v>2</v>
      </c>
      <c r="CN4030">
        <v>0</v>
      </c>
      <c r="CO4030">
        <v>6</v>
      </c>
      <c r="CP4030" t="s">
        <v>119</v>
      </c>
      <c r="CQ4030">
        <v>298</v>
      </c>
      <c r="CR4030">
        <v>0</v>
      </c>
      <c r="CW4030">
        <v>10471714</v>
      </c>
      <c r="CY4030">
        <v>0</v>
      </c>
      <c r="CZ4030">
        <v>0</v>
      </c>
      <c r="DA4030">
        <v>0</v>
      </c>
      <c r="DB4030">
        <v>0</v>
      </c>
      <c r="DC4030">
        <v>0</v>
      </c>
      <c r="DD4030">
        <v>0</v>
      </c>
      <c r="DE4030">
        <v>0</v>
      </c>
      <c r="DF4030">
        <v>0</v>
      </c>
      <c r="DG4030">
        <v>0</v>
      </c>
      <c r="DH4030">
        <v>0</v>
      </c>
      <c r="DI4030">
        <v>0</v>
      </c>
    </row>
    <row r="4031" spans="1:113" x14ac:dyDescent="0.25">
      <c r="A4031" t="str">
        <f t="shared" si="2254"/>
        <v>06/05/2020 14:58:58.174</v>
      </c>
      <c r="C4031" t="str">
        <f t="shared" si="2239"/>
        <v>FFDFD3C0</v>
      </c>
      <c r="D4031" t="s">
        <v>151</v>
      </c>
      <c r="E4031">
        <v>8</v>
      </c>
      <c r="H4031">
        <v>225</v>
      </c>
      <c r="I4031" t="s">
        <v>353</v>
      </c>
      <c r="J4031" t="s">
        <v>150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 t="shared" si="2255"/>
        <v>14:59:03.781</v>
      </c>
      <c r="T4031" t="str">
        <f t="shared" si="2256"/>
        <v>14:59:03.481</v>
      </c>
      <c r="U4031" t="str">
        <f t="shared" si="2221"/>
        <v>ACC530</v>
      </c>
      <c r="V4031">
        <v>0</v>
      </c>
      <c r="W4031">
        <v>0</v>
      </c>
      <c r="X4031">
        <v>1</v>
      </c>
      <c r="Z4031">
        <v>0</v>
      </c>
      <c r="AA4031">
        <v>9</v>
      </c>
      <c r="AB4031">
        <v>3</v>
      </c>
      <c r="AC4031">
        <v>0</v>
      </c>
      <c r="AD4031">
        <v>9</v>
      </c>
      <c r="AE4031">
        <v>0</v>
      </c>
      <c r="AF4031">
        <v>3</v>
      </c>
      <c r="AG4031">
        <v>1</v>
      </c>
      <c r="AH4031">
        <v>0</v>
      </c>
      <c r="AI4031" t="s">
        <v>1286</v>
      </c>
      <c r="AJ4031">
        <v>34.062359000000001</v>
      </c>
      <c r="AK4031" t="s">
        <v>1287</v>
      </c>
      <c r="AL4031">
        <v>-117.011776</v>
      </c>
      <c r="AM4031">
        <v>100</v>
      </c>
      <c r="AN4031">
        <v>5400</v>
      </c>
      <c r="AO4031" t="s">
        <v>118</v>
      </c>
      <c r="AP4031">
        <v>-36</v>
      </c>
      <c r="AQ4031">
        <v>85</v>
      </c>
      <c r="AR4031">
        <v>320</v>
      </c>
      <c r="AZ4031">
        <v>1200</v>
      </c>
      <c r="BA4031">
        <v>1</v>
      </c>
      <c r="BB4031" t="str">
        <f t="shared" si="2222"/>
        <v xml:space="preserve">N9217B  </v>
      </c>
      <c r="BC4031">
        <v>1</v>
      </c>
      <c r="BE4031">
        <v>0</v>
      </c>
      <c r="BF4031">
        <v>0</v>
      </c>
      <c r="BG4031">
        <v>0</v>
      </c>
      <c r="BH4031">
        <v>5225</v>
      </c>
      <c r="BI4031">
        <v>1</v>
      </c>
      <c r="BJ4031">
        <v>0</v>
      </c>
      <c r="BK4031">
        <v>0</v>
      </c>
      <c r="BL4031">
        <v>0</v>
      </c>
      <c r="BO4031">
        <v>0</v>
      </c>
      <c r="BP4031">
        <v>0</v>
      </c>
      <c r="BW4031" t="str">
        <f t="shared" si="2257"/>
        <v>14:59:03.789</v>
      </c>
      <c r="CJ4031">
        <v>0</v>
      </c>
      <c r="CK4031">
        <v>2</v>
      </c>
      <c r="CL4031">
        <v>0</v>
      </c>
      <c r="CM4031">
        <v>2</v>
      </c>
      <c r="CN4031">
        <v>0</v>
      </c>
      <c r="CO4031">
        <v>6</v>
      </c>
      <c r="CP4031" t="s">
        <v>119</v>
      </c>
      <c r="CQ4031">
        <v>298</v>
      </c>
      <c r="CR4031">
        <v>0</v>
      </c>
      <c r="CW4031">
        <v>10471714</v>
      </c>
      <c r="CY4031">
        <v>0</v>
      </c>
      <c r="CZ4031">
        <v>0</v>
      </c>
      <c r="DA4031">
        <v>1</v>
      </c>
      <c r="DB4031">
        <v>0</v>
      </c>
      <c r="DC4031">
        <v>0</v>
      </c>
      <c r="DD4031">
        <v>0</v>
      </c>
      <c r="DE4031">
        <v>0</v>
      </c>
      <c r="DF4031">
        <v>0</v>
      </c>
      <c r="DG4031">
        <v>0</v>
      </c>
      <c r="DH4031">
        <v>0</v>
      </c>
      <c r="DI4031">
        <v>0</v>
      </c>
    </row>
    <row r="4032" spans="1:113" x14ac:dyDescent="0.25">
      <c r="A4032" t="str">
        <f t="shared" si="2254"/>
        <v>06/05/2020 14:58:58.174</v>
      </c>
      <c r="C4032" t="str">
        <f t="shared" si="2239"/>
        <v>FFDFD3C0</v>
      </c>
      <c r="D4032" t="s">
        <v>134</v>
      </c>
      <c r="E4032">
        <v>7</v>
      </c>
      <c r="F4032">
        <v>2007</v>
      </c>
      <c r="G4032" t="s">
        <v>135</v>
      </c>
      <c r="J4032" t="s">
        <v>136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 t="shared" si="2255"/>
        <v>14:59:03.781</v>
      </c>
      <c r="T4032" t="str">
        <f t="shared" si="2256"/>
        <v>14:59:03.481</v>
      </c>
      <c r="U4032" t="str">
        <f t="shared" si="2221"/>
        <v>ACC530</v>
      </c>
      <c r="V4032">
        <v>0</v>
      </c>
      <c r="W4032">
        <v>0</v>
      </c>
      <c r="X4032">
        <v>1</v>
      </c>
      <c r="Z4032">
        <v>0</v>
      </c>
      <c r="AA4032">
        <v>9</v>
      </c>
      <c r="AB4032">
        <v>3</v>
      </c>
      <c r="AC4032">
        <v>0</v>
      </c>
      <c r="AD4032">
        <v>9</v>
      </c>
      <c r="AE4032">
        <v>0</v>
      </c>
      <c r="AF4032">
        <v>3</v>
      </c>
      <c r="AG4032">
        <v>1</v>
      </c>
      <c r="AH4032">
        <v>0</v>
      </c>
      <c r="AI4032" t="s">
        <v>1286</v>
      </c>
      <c r="AJ4032">
        <v>34.062359000000001</v>
      </c>
      <c r="AK4032" t="s">
        <v>1287</v>
      </c>
      <c r="AL4032">
        <v>-117.011776</v>
      </c>
      <c r="AM4032">
        <v>100</v>
      </c>
      <c r="AN4032">
        <v>5400</v>
      </c>
      <c r="AO4032" t="s">
        <v>118</v>
      </c>
      <c r="AP4032">
        <v>-36</v>
      </c>
      <c r="AQ4032">
        <v>85</v>
      </c>
      <c r="AR4032">
        <v>320</v>
      </c>
      <c r="AZ4032">
        <v>1200</v>
      </c>
      <c r="BA4032">
        <v>1</v>
      </c>
      <c r="BB4032" t="str">
        <f t="shared" si="2222"/>
        <v xml:space="preserve">N9217B  </v>
      </c>
      <c r="BC4032">
        <v>1</v>
      </c>
      <c r="BE4032">
        <v>0</v>
      </c>
      <c r="BF4032">
        <v>0</v>
      </c>
      <c r="BG4032">
        <v>0</v>
      </c>
      <c r="BH4032">
        <v>5225</v>
      </c>
      <c r="BI4032">
        <v>1</v>
      </c>
      <c r="BJ4032">
        <v>0</v>
      </c>
      <c r="BK4032">
        <v>0</v>
      </c>
      <c r="BL4032">
        <v>0</v>
      </c>
      <c r="BO4032">
        <v>0</v>
      </c>
      <c r="BP4032">
        <v>0</v>
      </c>
      <c r="BW4032" t="str">
        <f t="shared" si="2257"/>
        <v>14:59:03.789</v>
      </c>
      <c r="CJ4032">
        <v>0</v>
      </c>
      <c r="CK4032">
        <v>2</v>
      </c>
      <c r="CL4032">
        <v>0</v>
      </c>
      <c r="CM4032">
        <v>2</v>
      </c>
      <c r="CN4032">
        <v>0</v>
      </c>
      <c r="CO4032">
        <v>6</v>
      </c>
      <c r="CP4032" t="s">
        <v>119</v>
      </c>
      <c r="CQ4032">
        <v>298</v>
      </c>
      <c r="CR4032">
        <v>0</v>
      </c>
      <c r="CW4032">
        <v>10471714</v>
      </c>
      <c r="CY4032">
        <v>0</v>
      </c>
      <c r="CZ4032">
        <v>0</v>
      </c>
      <c r="DA4032">
        <v>1</v>
      </c>
      <c r="DB4032">
        <v>0</v>
      </c>
      <c r="DC4032">
        <v>0</v>
      </c>
      <c r="DD4032">
        <v>0</v>
      </c>
      <c r="DE4032">
        <v>0</v>
      </c>
      <c r="DF4032">
        <v>0</v>
      </c>
      <c r="DG4032">
        <v>0</v>
      </c>
      <c r="DH4032">
        <v>0</v>
      </c>
      <c r="DI4032">
        <v>0</v>
      </c>
    </row>
    <row r="4033" spans="1:113" x14ac:dyDescent="0.25">
      <c r="A4033" t="str">
        <f t="shared" si="2254"/>
        <v>06/05/2020 14:58:58.174</v>
      </c>
      <c r="C4033" t="str">
        <f t="shared" si="2239"/>
        <v>FFDFD3C0</v>
      </c>
      <c r="D4033" t="s">
        <v>148</v>
      </c>
      <c r="E4033">
        <v>8</v>
      </c>
      <c r="H4033">
        <v>50</v>
      </c>
      <c r="I4033" t="s">
        <v>149</v>
      </c>
      <c r="J4033" t="s">
        <v>150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 t="shared" si="2255"/>
        <v>14:59:03.781</v>
      </c>
      <c r="T4033" t="str">
        <f t="shared" si="2256"/>
        <v>14:59:03.481</v>
      </c>
      <c r="U4033" t="str">
        <f t="shared" si="2221"/>
        <v>ACC530</v>
      </c>
      <c r="V4033">
        <v>0</v>
      </c>
      <c r="W4033">
        <v>0</v>
      </c>
      <c r="X4033">
        <v>1</v>
      </c>
      <c r="Z4033">
        <v>0</v>
      </c>
      <c r="AA4033">
        <v>9</v>
      </c>
      <c r="AB4033">
        <v>3</v>
      </c>
      <c r="AC4033">
        <v>0</v>
      </c>
      <c r="AD4033">
        <v>9</v>
      </c>
      <c r="AE4033">
        <v>0</v>
      </c>
      <c r="AF4033">
        <v>3</v>
      </c>
      <c r="AG4033">
        <v>1</v>
      </c>
      <c r="AH4033">
        <v>0</v>
      </c>
      <c r="AI4033" t="s">
        <v>1286</v>
      </c>
      <c r="AJ4033">
        <v>34.062359000000001</v>
      </c>
      <c r="AK4033" t="s">
        <v>1287</v>
      </c>
      <c r="AL4033">
        <v>-117.011776</v>
      </c>
      <c r="AM4033">
        <v>100</v>
      </c>
      <c r="AN4033">
        <v>5400</v>
      </c>
      <c r="AO4033" t="s">
        <v>118</v>
      </c>
      <c r="AP4033">
        <v>-36</v>
      </c>
      <c r="AQ4033">
        <v>85</v>
      </c>
      <c r="AR4033">
        <v>320</v>
      </c>
      <c r="AZ4033">
        <v>1200</v>
      </c>
      <c r="BA4033">
        <v>1</v>
      </c>
      <c r="BB4033" t="str">
        <f t="shared" si="2222"/>
        <v xml:space="preserve">N9217B  </v>
      </c>
      <c r="BC4033">
        <v>1</v>
      </c>
      <c r="BE4033">
        <v>0</v>
      </c>
      <c r="BF4033">
        <v>0</v>
      </c>
      <c r="BG4033">
        <v>0</v>
      </c>
      <c r="BH4033">
        <v>5225</v>
      </c>
      <c r="BI4033">
        <v>1</v>
      </c>
      <c r="BJ4033">
        <v>0</v>
      </c>
      <c r="BK4033">
        <v>0</v>
      </c>
      <c r="BL4033">
        <v>0</v>
      </c>
      <c r="BO4033">
        <v>0</v>
      </c>
      <c r="BP4033">
        <v>0</v>
      </c>
      <c r="BW4033" t="str">
        <f t="shared" si="2257"/>
        <v>14:59:03.789</v>
      </c>
      <c r="CJ4033">
        <v>0</v>
      </c>
      <c r="CK4033">
        <v>2</v>
      </c>
      <c r="CL4033">
        <v>0</v>
      </c>
      <c r="CM4033">
        <v>2</v>
      </c>
      <c r="CN4033">
        <v>0</v>
      </c>
      <c r="CO4033">
        <v>6</v>
      </c>
      <c r="CP4033" t="s">
        <v>119</v>
      </c>
      <c r="CQ4033">
        <v>298</v>
      </c>
      <c r="CR4033">
        <v>0</v>
      </c>
      <c r="CW4033">
        <v>10471714</v>
      </c>
      <c r="CY4033">
        <v>0</v>
      </c>
      <c r="CZ4033">
        <v>0</v>
      </c>
      <c r="DA4033">
        <v>1</v>
      </c>
      <c r="DB4033">
        <v>0</v>
      </c>
      <c r="DC4033">
        <v>0</v>
      </c>
      <c r="DD4033">
        <v>0</v>
      </c>
      <c r="DE4033">
        <v>0</v>
      </c>
      <c r="DF4033">
        <v>0</v>
      </c>
      <c r="DG4033">
        <v>0</v>
      </c>
      <c r="DH4033">
        <v>0</v>
      </c>
      <c r="DI4033">
        <v>0</v>
      </c>
    </row>
    <row r="4034" spans="1:113" x14ac:dyDescent="0.25">
      <c r="A4034" t="str">
        <f t="shared" si="2254"/>
        <v>06/05/2020 14:58:58.174</v>
      </c>
      <c r="C4034" t="str">
        <f t="shared" si="2239"/>
        <v>FFDFD3C0</v>
      </c>
      <c r="D4034" t="s">
        <v>141</v>
      </c>
      <c r="E4034">
        <v>20</v>
      </c>
      <c r="F4034">
        <v>1020</v>
      </c>
      <c r="G4034" t="s">
        <v>114</v>
      </c>
      <c r="J4034" t="s">
        <v>142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 t="shared" si="2255"/>
        <v>14:59:03.781</v>
      </c>
      <c r="T4034" t="str">
        <f t="shared" si="2256"/>
        <v>14:59:03.481</v>
      </c>
      <c r="U4034" t="str">
        <f t="shared" ref="U4034:U4097" si="2258">"ACC530"</f>
        <v>ACC530</v>
      </c>
      <c r="V4034">
        <v>0</v>
      </c>
      <c r="W4034">
        <v>0</v>
      </c>
      <c r="X4034">
        <v>1</v>
      </c>
      <c r="Z4034">
        <v>0</v>
      </c>
      <c r="AA4034">
        <v>9</v>
      </c>
      <c r="AB4034">
        <v>3</v>
      </c>
      <c r="AC4034">
        <v>0</v>
      </c>
      <c r="AD4034">
        <v>9</v>
      </c>
      <c r="AE4034">
        <v>0</v>
      </c>
      <c r="AF4034">
        <v>3</v>
      </c>
      <c r="AG4034">
        <v>1</v>
      </c>
      <c r="AH4034">
        <v>0</v>
      </c>
      <c r="AI4034" t="s">
        <v>1286</v>
      </c>
      <c r="AJ4034">
        <v>34.062359000000001</v>
      </c>
      <c r="AK4034" t="s">
        <v>1287</v>
      </c>
      <c r="AL4034">
        <v>-117.011776</v>
      </c>
      <c r="AM4034">
        <v>100</v>
      </c>
      <c r="AN4034">
        <v>5400</v>
      </c>
      <c r="AO4034" t="s">
        <v>118</v>
      </c>
      <c r="AP4034">
        <v>-36</v>
      </c>
      <c r="AQ4034">
        <v>85</v>
      </c>
      <c r="AR4034">
        <v>320</v>
      </c>
      <c r="AZ4034">
        <v>1200</v>
      </c>
      <c r="BA4034">
        <v>1</v>
      </c>
      <c r="BB4034" t="str">
        <f t="shared" si="2222"/>
        <v xml:space="preserve">N9217B  </v>
      </c>
      <c r="BC4034">
        <v>1</v>
      </c>
      <c r="BE4034">
        <v>0</v>
      </c>
      <c r="BF4034">
        <v>0</v>
      </c>
      <c r="BG4034">
        <v>0</v>
      </c>
      <c r="BH4034">
        <v>5225</v>
      </c>
      <c r="BI4034">
        <v>1</v>
      </c>
      <c r="BJ4034">
        <v>0</v>
      </c>
      <c r="BK4034">
        <v>0</v>
      </c>
      <c r="BL4034">
        <v>0</v>
      </c>
      <c r="BO4034">
        <v>0</v>
      </c>
      <c r="BP4034">
        <v>0</v>
      </c>
      <c r="BW4034" t="str">
        <f t="shared" si="2257"/>
        <v>14:59:03.789</v>
      </c>
      <c r="CJ4034">
        <v>0</v>
      </c>
      <c r="CK4034">
        <v>2</v>
      </c>
      <c r="CL4034">
        <v>0</v>
      </c>
      <c r="CM4034">
        <v>2</v>
      </c>
      <c r="CN4034">
        <v>0</v>
      </c>
      <c r="CO4034">
        <v>6</v>
      </c>
      <c r="CP4034" t="s">
        <v>119</v>
      </c>
      <c r="CQ4034">
        <v>298</v>
      </c>
      <c r="CR4034">
        <v>0</v>
      </c>
      <c r="CW4034">
        <v>10471714</v>
      </c>
      <c r="CY4034">
        <v>0</v>
      </c>
      <c r="CZ4034">
        <v>0</v>
      </c>
      <c r="DA4034">
        <v>1</v>
      </c>
      <c r="DB4034">
        <v>0</v>
      </c>
      <c r="DC4034">
        <v>0</v>
      </c>
      <c r="DD4034">
        <v>0</v>
      </c>
      <c r="DE4034">
        <v>0</v>
      </c>
      <c r="DF4034">
        <v>0</v>
      </c>
      <c r="DG4034">
        <v>0</v>
      </c>
      <c r="DH4034">
        <v>0</v>
      </c>
      <c r="DI4034">
        <v>0</v>
      </c>
    </row>
    <row r="4035" spans="1:113" x14ac:dyDescent="0.25">
      <c r="A4035" t="str">
        <f t="shared" si="2254"/>
        <v>06/05/2020 14:58:58.174</v>
      </c>
      <c r="C4035" t="str">
        <f t="shared" si="2239"/>
        <v>FFDFD3C0</v>
      </c>
      <c r="D4035" t="s">
        <v>151</v>
      </c>
      <c r="E4035">
        <v>9</v>
      </c>
      <c r="H4035">
        <v>226</v>
      </c>
      <c r="I4035" t="s">
        <v>152</v>
      </c>
      <c r="J4035" t="s">
        <v>150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 t="shared" si="2255"/>
        <v>14:59:03.781</v>
      </c>
      <c r="T4035" t="str">
        <f t="shared" si="2256"/>
        <v>14:59:03.481</v>
      </c>
      <c r="U4035" t="str">
        <f t="shared" si="2258"/>
        <v>ACC530</v>
      </c>
      <c r="V4035">
        <v>0</v>
      </c>
      <c r="W4035">
        <v>0</v>
      </c>
      <c r="X4035">
        <v>1</v>
      </c>
      <c r="Z4035">
        <v>0</v>
      </c>
      <c r="AA4035">
        <v>9</v>
      </c>
      <c r="AB4035">
        <v>3</v>
      </c>
      <c r="AC4035">
        <v>0</v>
      </c>
      <c r="AD4035">
        <v>9</v>
      </c>
      <c r="AE4035">
        <v>0</v>
      </c>
      <c r="AF4035">
        <v>3</v>
      </c>
      <c r="AG4035">
        <v>1</v>
      </c>
      <c r="AH4035">
        <v>0</v>
      </c>
      <c r="AI4035" t="s">
        <v>1286</v>
      </c>
      <c r="AJ4035">
        <v>34.062359000000001</v>
      </c>
      <c r="AK4035" t="s">
        <v>1287</v>
      </c>
      <c r="AL4035">
        <v>-117.011776</v>
      </c>
      <c r="AM4035">
        <v>100</v>
      </c>
      <c r="AN4035">
        <v>5400</v>
      </c>
      <c r="AO4035" t="s">
        <v>118</v>
      </c>
      <c r="AP4035">
        <v>-36</v>
      </c>
      <c r="AQ4035">
        <v>85</v>
      </c>
      <c r="AR4035">
        <v>320</v>
      </c>
      <c r="AZ4035">
        <v>1200</v>
      </c>
      <c r="BA4035">
        <v>1</v>
      </c>
      <c r="BB4035" t="str">
        <f t="shared" si="2222"/>
        <v xml:space="preserve">N9217B  </v>
      </c>
      <c r="BC4035">
        <v>1</v>
      </c>
      <c r="BE4035">
        <v>0</v>
      </c>
      <c r="BF4035">
        <v>0</v>
      </c>
      <c r="BG4035">
        <v>0</v>
      </c>
      <c r="BH4035">
        <v>5225</v>
      </c>
      <c r="BI4035">
        <v>1</v>
      </c>
      <c r="BJ4035">
        <v>0</v>
      </c>
      <c r="BK4035">
        <v>0</v>
      </c>
      <c r="BL4035">
        <v>0</v>
      </c>
      <c r="BO4035">
        <v>0</v>
      </c>
      <c r="BP4035">
        <v>0</v>
      </c>
      <c r="BW4035" t="str">
        <f t="shared" si="2257"/>
        <v>14:59:03.789</v>
      </c>
      <c r="CJ4035">
        <v>0</v>
      </c>
      <c r="CK4035">
        <v>2</v>
      </c>
      <c r="CL4035">
        <v>0</v>
      </c>
      <c r="CM4035">
        <v>2</v>
      </c>
      <c r="CN4035">
        <v>0</v>
      </c>
      <c r="CO4035">
        <v>5</v>
      </c>
      <c r="CP4035" t="s">
        <v>119</v>
      </c>
      <c r="CQ4035">
        <v>285</v>
      </c>
      <c r="CR4035">
        <v>0</v>
      </c>
      <c r="CW4035">
        <v>8887804</v>
      </c>
      <c r="CY4035">
        <v>0</v>
      </c>
      <c r="CZ4035">
        <v>0</v>
      </c>
      <c r="DA4035">
        <v>1</v>
      </c>
      <c r="DB4035">
        <v>0</v>
      </c>
      <c r="DC4035">
        <v>0</v>
      </c>
      <c r="DD4035">
        <v>0</v>
      </c>
      <c r="DE4035">
        <v>0</v>
      </c>
      <c r="DF4035">
        <v>0</v>
      </c>
      <c r="DG4035">
        <v>0</v>
      </c>
      <c r="DH4035">
        <v>0</v>
      </c>
      <c r="DI4035">
        <v>0</v>
      </c>
    </row>
    <row r="4036" spans="1:113" x14ac:dyDescent="0.25">
      <c r="A4036" t="str">
        <f t="shared" si="2254"/>
        <v>06/05/2020 14:58:58.174</v>
      </c>
      <c r="C4036" t="str">
        <f t="shared" si="2239"/>
        <v>FFDFD3C0</v>
      </c>
      <c r="D4036" t="s">
        <v>113</v>
      </c>
      <c r="E4036">
        <v>3</v>
      </c>
      <c r="H4036">
        <v>166</v>
      </c>
      <c r="I4036" t="s">
        <v>114</v>
      </c>
      <c r="J4036" t="s">
        <v>115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 t="shared" si="2255"/>
        <v>14:59:03.781</v>
      </c>
      <c r="T4036" t="str">
        <f t="shared" si="2256"/>
        <v>14:59:03.481</v>
      </c>
      <c r="U4036" t="str">
        <f t="shared" si="2258"/>
        <v>ACC530</v>
      </c>
      <c r="V4036">
        <v>0</v>
      </c>
      <c r="W4036">
        <v>0</v>
      </c>
      <c r="X4036">
        <v>1</v>
      </c>
      <c r="Z4036">
        <v>0</v>
      </c>
      <c r="AA4036">
        <v>9</v>
      </c>
      <c r="AB4036">
        <v>3</v>
      </c>
      <c r="AC4036">
        <v>0</v>
      </c>
      <c r="AD4036">
        <v>9</v>
      </c>
      <c r="AE4036">
        <v>0</v>
      </c>
      <c r="AF4036">
        <v>3</v>
      </c>
      <c r="AG4036">
        <v>1</v>
      </c>
      <c r="AH4036">
        <v>0</v>
      </c>
      <c r="AI4036" t="s">
        <v>1286</v>
      </c>
      <c r="AJ4036">
        <v>34.062359000000001</v>
      </c>
      <c r="AK4036" t="s">
        <v>1287</v>
      </c>
      <c r="AL4036">
        <v>-117.011776</v>
      </c>
      <c r="AM4036">
        <v>100</v>
      </c>
      <c r="AN4036">
        <v>5400</v>
      </c>
      <c r="AO4036" t="s">
        <v>118</v>
      </c>
      <c r="AP4036">
        <v>-36</v>
      </c>
      <c r="AQ4036">
        <v>85</v>
      </c>
      <c r="AR4036">
        <v>320</v>
      </c>
      <c r="AZ4036">
        <v>1200</v>
      </c>
      <c r="BA4036">
        <v>1</v>
      </c>
      <c r="BB4036" t="str">
        <f t="shared" si="2222"/>
        <v xml:space="preserve">N9217B  </v>
      </c>
      <c r="BC4036">
        <v>1</v>
      </c>
      <c r="BE4036">
        <v>0</v>
      </c>
      <c r="BF4036">
        <v>0</v>
      </c>
      <c r="BG4036">
        <v>0</v>
      </c>
      <c r="BH4036">
        <v>5225</v>
      </c>
      <c r="BI4036">
        <v>1</v>
      </c>
      <c r="BJ4036">
        <v>0</v>
      </c>
      <c r="BK4036">
        <v>0</v>
      </c>
      <c r="BL4036">
        <v>0</v>
      </c>
      <c r="BO4036">
        <v>0</v>
      </c>
      <c r="BP4036">
        <v>0</v>
      </c>
      <c r="BW4036" t="str">
        <f t="shared" si="2257"/>
        <v>14:59:03.789</v>
      </c>
      <c r="CJ4036">
        <v>0</v>
      </c>
      <c r="CK4036">
        <v>2</v>
      </c>
      <c r="CL4036">
        <v>0</v>
      </c>
      <c r="CM4036">
        <v>2</v>
      </c>
      <c r="CN4036">
        <v>0</v>
      </c>
      <c r="CO4036">
        <v>6</v>
      </c>
      <c r="CP4036" t="s">
        <v>119</v>
      </c>
      <c r="CQ4036">
        <v>298</v>
      </c>
      <c r="CR4036">
        <v>0</v>
      </c>
      <c r="CW4036">
        <v>10471714</v>
      </c>
      <c r="CY4036">
        <v>0</v>
      </c>
      <c r="CZ4036">
        <v>0</v>
      </c>
      <c r="DA4036">
        <v>1</v>
      </c>
      <c r="DB4036">
        <v>0</v>
      </c>
      <c r="DC4036">
        <v>0</v>
      </c>
      <c r="DD4036">
        <v>0</v>
      </c>
      <c r="DE4036">
        <v>0</v>
      </c>
      <c r="DF4036">
        <v>0</v>
      </c>
      <c r="DG4036">
        <v>0</v>
      </c>
      <c r="DH4036">
        <v>0</v>
      </c>
      <c r="DI4036">
        <v>0</v>
      </c>
    </row>
    <row r="4037" spans="1:113" x14ac:dyDescent="0.25">
      <c r="A4037" t="str">
        <f t="shared" ref="A4037:A4042" si="2259">"06/05/2020 14:58:59.692"</f>
        <v>06/05/2020 14:58:59.692</v>
      </c>
      <c r="C4037" t="str">
        <f t="shared" si="2239"/>
        <v>FFDFD3C0</v>
      </c>
      <c r="D4037" t="s">
        <v>148</v>
      </c>
      <c r="E4037">
        <v>11</v>
      </c>
      <c r="H4037">
        <v>53</v>
      </c>
      <c r="I4037" t="s">
        <v>364</v>
      </c>
      <c r="J4037" t="s">
        <v>150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 t="shared" ref="S4037:S4042" si="2260">"14:59:05.344"</f>
        <v>14:59:05.344</v>
      </c>
      <c r="T4037" t="str">
        <f t="shared" ref="T4037:T4042" si="2261">"14:59:04.944"</f>
        <v>14:59:04.944</v>
      </c>
      <c r="U4037" t="str">
        <f t="shared" si="2258"/>
        <v>ACC530</v>
      </c>
      <c r="V4037">
        <v>0</v>
      </c>
      <c r="W4037">
        <v>0</v>
      </c>
      <c r="X4037">
        <v>1</v>
      </c>
      <c r="Z4037">
        <v>0</v>
      </c>
      <c r="AA4037">
        <v>9</v>
      </c>
      <c r="AB4037">
        <v>3</v>
      </c>
      <c r="AC4037">
        <v>0</v>
      </c>
      <c r="AD4037">
        <v>9</v>
      </c>
      <c r="AE4037">
        <v>0</v>
      </c>
      <c r="AF4037">
        <v>3</v>
      </c>
      <c r="AG4037">
        <v>1</v>
      </c>
      <c r="AH4037">
        <v>0</v>
      </c>
      <c r="AI4037" t="s">
        <v>1288</v>
      </c>
      <c r="AJ4037">
        <v>34.062959999999997</v>
      </c>
      <c r="AK4037" t="s">
        <v>1289</v>
      </c>
      <c r="AL4037">
        <v>-117.012119</v>
      </c>
      <c r="AM4037">
        <v>100</v>
      </c>
      <c r="AN4037">
        <v>5400</v>
      </c>
      <c r="AO4037" t="s">
        <v>118</v>
      </c>
      <c r="AP4037">
        <v>-42</v>
      </c>
      <c r="AQ4037">
        <v>82</v>
      </c>
      <c r="AR4037">
        <v>320</v>
      </c>
      <c r="AZ4037">
        <v>1200</v>
      </c>
      <c r="BA4037">
        <v>1</v>
      </c>
      <c r="BB4037" t="str">
        <f t="shared" ref="BB4037:BB4100" si="2262">"N9217B  "</f>
        <v xml:space="preserve">N9217B  </v>
      </c>
      <c r="BC4037">
        <v>1</v>
      </c>
      <c r="BE4037">
        <v>0</v>
      </c>
      <c r="BF4037">
        <v>0</v>
      </c>
      <c r="BG4037">
        <v>0</v>
      </c>
      <c r="BH4037">
        <v>5225</v>
      </c>
      <c r="BI4037">
        <v>1</v>
      </c>
      <c r="BJ4037">
        <v>0</v>
      </c>
      <c r="BK4037">
        <v>0</v>
      </c>
      <c r="BL4037">
        <v>0</v>
      </c>
      <c r="BO4037">
        <v>0</v>
      </c>
      <c r="BP4037">
        <v>0</v>
      </c>
      <c r="BW4037" t="str">
        <f t="shared" ref="BW4037:BW4042" si="2263">"14:59:05.349"</f>
        <v>14:59:05.349</v>
      </c>
      <c r="CJ4037">
        <v>0</v>
      </c>
      <c r="CK4037">
        <v>2</v>
      </c>
      <c r="CL4037">
        <v>0</v>
      </c>
      <c r="CM4037">
        <v>2</v>
      </c>
      <c r="CN4037">
        <v>0</v>
      </c>
      <c r="CO4037">
        <v>5</v>
      </c>
      <c r="CP4037" t="s">
        <v>119</v>
      </c>
      <c r="CQ4037">
        <v>298</v>
      </c>
      <c r="CR4037">
        <v>0</v>
      </c>
      <c r="CW4037">
        <v>10471917</v>
      </c>
      <c r="CY4037">
        <v>0</v>
      </c>
      <c r="CZ4037">
        <v>0</v>
      </c>
      <c r="DA4037">
        <v>0</v>
      </c>
      <c r="DB4037">
        <v>0</v>
      </c>
      <c r="DC4037">
        <v>0</v>
      </c>
      <c r="DD4037">
        <v>0</v>
      </c>
      <c r="DE4037">
        <v>0</v>
      </c>
      <c r="DF4037">
        <v>0</v>
      </c>
      <c r="DG4037">
        <v>0</v>
      </c>
      <c r="DH4037">
        <v>0</v>
      </c>
      <c r="DI4037">
        <v>0</v>
      </c>
    </row>
    <row r="4038" spans="1:113" x14ac:dyDescent="0.25">
      <c r="A4038" t="str">
        <f t="shared" si="2259"/>
        <v>06/05/2020 14:58:59.692</v>
      </c>
      <c r="C4038" t="str">
        <f t="shared" si="2239"/>
        <v>FFDFD3C0</v>
      </c>
      <c r="D4038" t="s">
        <v>134</v>
      </c>
      <c r="E4038">
        <v>7</v>
      </c>
      <c r="F4038">
        <v>2007</v>
      </c>
      <c r="G4038" t="s">
        <v>135</v>
      </c>
      <c r="J4038" t="s">
        <v>136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 t="shared" si="2260"/>
        <v>14:59:05.344</v>
      </c>
      <c r="T4038" t="str">
        <f t="shared" si="2261"/>
        <v>14:59:04.944</v>
      </c>
      <c r="U4038" t="str">
        <f t="shared" si="2258"/>
        <v>ACC530</v>
      </c>
      <c r="V4038">
        <v>0</v>
      </c>
      <c r="W4038">
        <v>0</v>
      </c>
      <c r="X4038">
        <v>1</v>
      </c>
      <c r="Z4038">
        <v>0</v>
      </c>
      <c r="AA4038">
        <v>9</v>
      </c>
      <c r="AB4038">
        <v>3</v>
      </c>
      <c r="AC4038">
        <v>0</v>
      </c>
      <c r="AD4038">
        <v>9</v>
      </c>
      <c r="AE4038">
        <v>0</v>
      </c>
      <c r="AF4038">
        <v>3</v>
      </c>
      <c r="AG4038">
        <v>1</v>
      </c>
      <c r="AH4038">
        <v>0</v>
      </c>
      <c r="AI4038" t="s">
        <v>1288</v>
      </c>
      <c r="AJ4038">
        <v>34.062959999999997</v>
      </c>
      <c r="AK4038" t="s">
        <v>1289</v>
      </c>
      <c r="AL4038">
        <v>-117.012119</v>
      </c>
      <c r="AM4038">
        <v>100</v>
      </c>
      <c r="AN4038">
        <v>5400</v>
      </c>
      <c r="AO4038" t="s">
        <v>118</v>
      </c>
      <c r="AP4038">
        <v>-42</v>
      </c>
      <c r="AQ4038">
        <v>82</v>
      </c>
      <c r="AR4038">
        <v>320</v>
      </c>
      <c r="AZ4038">
        <v>1200</v>
      </c>
      <c r="BA4038">
        <v>1</v>
      </c>
      <c r="BB4038" t="str">
        <f t="shared" si="2262"/>
        <v xml:space="preserve">N9217B  </v>
      </c>
      <c r="BC4038">
        <v>1</v>
      </c>
      <c r="BE4038">
        <v>0</v>
      </c>
      <c r="BF4038">
        <v>0</v>
      </c>
      <c r="BG4038">
        <v>0</v>
      </c>
      <c r="BH4038">
        <v>5225</v>
      </c>
      <c r="BI4038">
        <v>1</v>
      </c>
      <c r="BJ4038">
        <v>0</v>
      </c>
      <c r="BK4038">
        <v>0</v>
      </c>
      <c r="BL4038">
        <v>0</v>
      </c>
      <c r="BO4038">
        <v>0</v>
      </c>
      <c r="BP4038">
        <v>0</v>
      </c>
      <c r="BW4038" t="str">
        <f t="shared" si="2263"/>
        <v>14:59:05.349</v>
      </c>
      <c r="CJ4038">
        <v>0</v>
      </c>
      <c r="CK4038">
        <v>2</v>
      </c>
      <c r="CL4038">
        <v>0</v>
      </c>
      <c r="CM4038">
        <v>2</v>
      </c>
      <c r="CN4038">
        <v>0</v>
      </c>
      <c r="CO4038">
        <v>5</v>
      </c>
      <c r="CP4038" t="s">
        <v>119</v>
      </c>
      <c r="CQ4038">
        <v>298</v>
      </c>
      <c r="CR4038">
        <v>0</v>
      </c>
      <c r="CW4038">
        <v>10471917</v>
      </c>
      <c r="CY4038">
        <v>0</v>
      </c>
      <c r="CZ4038">
        <v>0</v>
      </c>
      <c r="DA4038">
        <v>1</v>
      </c>
      <c r="DB4038">
        <v>0</v>
      </c>
      <c r="DC4038">
        <v>0</v>
      </c>
      <c r="DD4038">
        <v>0</v>
      </c>
      <c r="DE4038">
        <v>0</v>
      </c>
      <c r="DF4038">
        <v>0</v>
      </c>
      <c r="DG4038">
        <v>0</v>
      </c>
      <c r="DH4038">
        <v>0</v>
      </c>
      <c r="DI4038">
        <v>0</v>
      </c>
    </row>
    <row r="4039" spans="1:113" x14ac:dyDescent="0.25">
      <c r="A4039" t="str">
        <f t="shared" si="2259"/>
        <v>06/05/2020 14:58:59.692</v>
      </c>
      <c r="C4039" t="str">
        <f t="shared" si="2239"/>
        <v>FFDFD3C0</v>
      </c>
      <c r="D4039" t="s">
        <v>151</v>
      </c>
      <c r="E4039">
        <v>8</v>
      </c>
      <c r="H4039">
        <v>225</v>
      </c>
      <c r="I4039" t="s">
        <v>353</v>
      </c>
      <c r="J4039" t="s">
        <v>150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 t="shared" si="2260"/>
        <v>14:59:05.344</v>
      </c>
      <c r="T4039" t="str">
        <f t="shared" si="2261"/>
        <v>14:59:04.944</v>
      </c>
      <c r="U4039" t="str">
        <f t="shared" si="2258"/>
        <v>ACC530</v>
      </c>
      <c r="V4039">
        <v>0</v>
      </c>
      <c r="W4039">
        <v>0</v>
      </c>
      <c r="X4039">
        <v>1</v>
      </c>
      <c r="Z4039">
        <v>0</v>
      </c>
      <c r="AA4039">
        <v>9</v>
      </c>
      <c r="AB4039">
        <v>3</v>
      </c>
      <c r="AC4039">
        <v>0</v>
      </c>
      <c r="AD4039">
        <v>9</v>
      </c>
      <c r="AE4039">
        <v>0</v>
      </c>
      <c r="AF4039">
        <v>3</v>
      </c>
      <c r="AG4039">
        <v>1</v>
      </c>
      <c r="AH4039">
        <v>0</v>
      </c>
      <c r="AI4039" t="s">
        <v>1288</v>
      </c>
      <c r="AJ4039">
        <v>34.062959999999997</v>
      </c>
      <c r="AK4039" t="s">
        <v>1289</v>
      </c>
      <c r="AL4039">
        <v>-117.012119</v>
      </c>
      <c r="AM4039">
        <v>100</v>
      </c>
      <c r="AN4039">
        <v>5400</v>
      </c>
      <c r="AO4039" t="s">
        <v>118</v>
      </c>
      <c r="AP4039">
        <v>-42</v>
      </c>
      <c r="AQ4039">
        <v>82</v>
      </c>
      <c r="AR4039">
        <v>320</v>
      </c>
      <c r="AZ4039">
        <v>1200</v>
      </c>
      <c r="BA4039">
        <v>1</v>
      </c>
      <c r="BB4039" t="str">
        <f t="shared" si="2262"/>
        <v xml:space="preserve">N9217B  </v>
      </c>
      <c r="BC4039">
        <v>1</v>
      </c>
      <c r="BE4039">
        <v>0</v>
      </c>
      <c r="BF4039">
        <v>0</v>
      </c>
      <c r="BG4039">
        <v>0</v>
      </c>
      <c r="BH4039">
        <v>5225</v>
      </c>
      <c r="BI4039">
        <v>1</v>
      </c>
      <c r="BJ4039">
        <v>0</v>
      </c>
      <c r="BK4039">
        <v>0</v>
      </c>
      <c r="BL4039">
        <v>0</v>
      </c>
      <c r="BO4039">
        <v>0</v>
      </c>
      <c r="BP4039">
        <v>0</v>
      </c>
      <c r="BW4039" t="str">
        <f t="shared" si="2263"/>
        <v>14:59:05.349</v>
      </c>
      <c r="CJ4039">
        <v>0</v>
      </c>
      <c r="CK4039">
        <v>2</v>
      </c>
      <c r="CL4039">
        <v>0</v>
      </c>
      <c r="CM4039">
        <v>2</v>
      </c>
      <c r="CN4039">
        <v>0</v>
      </c>
      <c r="CO4039">
        <v>5</v>
      </c>
      <c r="CP4039" t="s">
        <v>119</v>
      </c>
      <c r="CQ4039">
        <v>298</v>
      </c>
      <c r="CR4039">
        <v>0</v>
      </c>
      <c r="CW4039">
        <v>10471917</v>
      </c>
      <c r="CY4039">
        <v>0</v>
      </c>
      <c r="CZ4039">
        <v>0</v>
      </c>
      <c r="DA4039">
        <v>1</v>
      </c>
      <c r="DB4039">
        <v>0</v>
      </c>
      <c r="DC4039">
        <v>0</v>
      </c>
      <c r="DD4039">
        <v>0</v>
      </c>
      <c r="DE4039">
        <v>0</v>
      </c>
      <c r="DF4039">
        <v>0</v>
      </c>
      <c r="DG4039">
        <v>0</v>
      </c>
      <c r="DH4039">
        <v>0</v>
      </c>
      <c r="DI4039">
        <v>0</v>
      </c>
    </row>
    <row r="4040" spans="1:113" x14ac:dyDescent="0.25">
      <c r="A4040" t="str">
        <f t="shared" si="2259"/>
        <v>06/05/2020 14:58:59.692</v>
      </c>
      <c r="C4040" t="str">
        <f t="shared" si="2239"/>
        <v>FFDFD3C0</v>
      </c>
      <c r="D4040" t="s">
        <v>141</v>
      </c>
      <c r="E4040">
        <v>20</v>
      </c>
      <c r="F4040">
        <v>1020</v>
      </c>
      <c r="G4040" t="s">
        <v>114</v>
      </c>
      <c r="J4040" t="s">
        <v>142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 t="shared" si="2260"/>
        <v>14:59:05.344</v>
      </c>
      <c r="T4040" t="str">
        <f t="shared" si="2261"/>
        <v>14:59:04.944</v>
      </c>
      <c r="U4040" t="str">
        <f t="shared" si="2258"/>
        <v>ACC530</v>
      </c>
      <c r="V4040">
        <v>0</v>
      </c>
      <c r="W4040">
        <v>0</v>
      </c>
      <c r="X4040">
        <v>1</v>
      </c>
      <c r="Z4040">
        <v>0</v>
      </c>
      <c r="AA4040">
        <v>9</v>
      </c>
      <c r="AB4040">
        <v>3</v>
      </c>
      <c r="AC4040">
        <v>0</v>
      </c>
      <c r="AD4040">
        <v>9</v>
      </c>
      <c r="AE4040">
        <v>0</v>
      </c>
      <c r="AF4040">
        <v>3</v>
      </c>
      <c r="AG4040">
        <v>1</v>
      </c>
      <c r="AH4040">
        <v>0</v>
      </c>
      <c r="AI4040" t="s">
        <v>1288</v>
      </c>
      <c r="AJ4040">
        <v>34.062959999999997</v>
      </c>
      <c r="AK4040" t="s">
        <v>1289</v>
      </c>
      <c r="AL4040">
        <v>-117.012119</v>
      </c>
      <c r="AM4040">
        <v>100</v>
      </c>
      <c r="AN4040">
        <v>5400</v>
      </c>
      <c r="AO4040" t="s">
        <v>118</v>
      </c>
      <c r="AP4040">
        <v>-42</v>
      </c>
      <c r="AQ4040">
        <v>82</v>
      </c>
      <c r="AR4040">
        <v>320</v>
      </c>
      <c r="AZ4040">
        <v>1200</v>
      </c>
      <c r="BA4040">
        <v>1</v>
      </c>
      <c r="BB4040" t="str">
        <f t="shared" si="2262"/>
        <v xml:space="preserve">N9217B  </v>
      </c>
      <c r="BC4040">
        <v>1</v>
      </c>
      <c r="BE4040">
        <v>0</v>
      </c>
      <c r="BF4040">
        <v>0</v>
      </c>
      <c r="BG4040">
        <v>0</v>
      </c>
      <c r="BH4040">
        <v>5225</v>
      </c>
      <c r="BI4040">
        <v>1</v>
      </c>
      <c r="BJ4040">
        <v>0</v>
      </c>
      <c r="BK4040">
        <v>0</v>
      </c>
      <c r="BL4040">
        <v>0</v>
      </c>
      <c r="BO4040">
        <v>0</v>
      </c>
      <c r="BP4040">
        <v>0</v>
      </c>
      <c r="BW4040" t="str">
        <f t="shared" si="2263"/>
        <v>14:59:05.349</v>
      </c>
      <c r="CJ4040">
        <v>0</v>
      </c>
      <c r="CK4040">
        <v>2</v>
      </c>
      <c r="CL4040">
        <v>0</v>
      </c>
      <c r="CM4040">
        <v>2</v>
      </c>
      <c r="CN4040">
        <v>0</v>
      </c>
      <c r="CO4040">
        <v>5</v>
      </c>
      <c r="CP4040" t="s">
        <v>119</v>
      </c>
      <c r="CQ4040">
        <v>298</v>
      </c>
      <c r="CR4040">
        <v>0</v>
      </c>
      <c r="CW4040">
        <v>10471917</v>
      </c>
      <c r="CY4040">
        <v>0</v>
      </c>
      <c r="CZ4040">
        <v>0</v>
      </c>
      <c r="DA4040">
        <v>1</v>
      </c>
      <c r="DB4040">
        <v>0</v>
      </c>
      <c r="DC4040">
        <v>0</v>
      </c>
      <c r="DD4040">
        <v>0</v>
      </c>
      <c r="DE4040">
        <v>0</v>
      </c>
      <c r="DF4040">
        <v>0</v>
      </c>
      <c r="DG4040">
        <v>0</v>
      </c>
      <c r="DH4040">
        <v>0</v>
      </c>
      <c r="DI4040">
        <v>0</v>
      </c>
    </row>
    <row r="4041" spans="1:113" x14ac:dyDescent="0.25">
      <c r="A4041" t="str">
        <f t="shared" si="2259"/>
        <v>06/05/2020 14:58:59.692</v>
      </c>
      <c r="C4041" t="str">
        <f t="shared" si="2239"/>
        <v>FFDFD3C0</v>
      </c>
      <c r="D4041" t="s">
        <v>148</v>
      </c>
      <c r="E4041">
        <v>8</v>
      </c>
      <c r="H4041">
        <v>50</v>
      </c>
      <c r="I4041" t="s">
        <v>149</v>
      </c>
      <c r="J4041" t="s">
        <v>150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 t="shared" si="2260"/>
        <v>14:59:05.344</v>
      </c>
      <c r="T4041" t="str">
        <f t="shared" si="2261"/>
        <v>14:59:04.944</v>
      </c>
      <c r="U4041" t="str">
        <f t="shared" si="2258"/>
        <v>ACC530</v>
      </c>
      <c r="V4041">
        <v>0</v>
      </c>
      <c r="W4041">
        <v>0</v>
      </c>
      <c r="X4041">
        <v>1</v>
      </c>
      <c r="Z4041">
        <v>0</v>
      </c>
      <c r="AA4041">
        <v>9</v>
      </c>
      <c r="AB4041">
        <v>3</v>
      </c>
      <c r="AC4041">
        <v>0</v>
      </c>
      <c r="AD4041">
        <v>9</v>
      </c>
      <c r="AE4041">
        <v>0</v>
      </c>
      <c r="AF4041">
        <v>3</v>
      </c>
      <c r="AG4041">
        <v>1</v>
      </c>
      <c r="AH4041">
        <v>0</v>
      </c>
      <c r="AI4041" t="s">
        <v>1288</v>
      </c>
      <c r="AJ4041">
        <v>34.062959999999997</v>
      </c>
      <c r="AK4041" t="s">
        <v>1289</v>
      </c>
      <c r="AL4041">
        <v>-117.012119</v>
      </c>
      <c r="AM4041">
        <v>100</v>
      </c>
      <c r="AN4041">
        <v>5400</v>
      </c>
      <c r="AO4041" t="s">
        <v>118</v>
      </c>
      <c r="AP4041">
        <v>-42</v>
      </c>
      <c r="AQ4041">
        <v>82</v>
      </c>
      <c r="AR4041">
        <v>320</v>
      </c>
      <c r="AZ4041">
        <v>1200</v>
      </c>
      <c r="BA4041">
        <v>1</v>
      </c>
      <c r="BB4041" t="str">
        <f t="shared" si="2262"/>
        <v xml:space="preserve">N9217B  </v>
      </c>
      <c r="BC4041">
        <v>1</v>
      </c>
      <c r="BE4041">
        <v>0</v>
      </c>
      <c r="BF4041">
        <v>0</v>
      </c>
      <c r="BG4041">
        <v>0</v>
      </c>
      <c r="BH4041">
        <v>5225</v>
      </c>
      <c r="BI4041">
        <v>1</v>
      </c>
      <c r="BJ4041">
        <v>0</v>
      </c>
      <c r="BK4041">
        <v>0</v>
      </c>
      <c r="BL4041">
        <v>0</v>
      </c>
      <c r="BO4041">
        <v>0</v>
      </c>
      <c r="BP4041">
        <v>0</v>
      </c>
      <c r="BW4041" t="str">
        <f t="shared" si="2263"/>
        <v>14:59:05.349</v>
      </c>
      <c r="CJ4041">
        <v>0</v>
      </c>
      <c r="CK4041">
        <v>2</v>
      </c>
      <c r="CL4041">
        <v>0</v>
      </c>
      <c r="CM4041">
        <v>2</v>
      </c>
      <c r="CN4041">
        <v>0</v>
      </c>
      <c r="CO4041">
        <v>5</v>
      </c>
      <c r="CP4041" t="s">
        <v>119</v>
      </c>
      <c r="CQ4041">
        <v>298</v>
      </c>
      <c r="CR4041">
        <v>0</v>
      </c>
      <c r="CW4041">
        <v>10471917</v>
      </c>
      <c r="CY4041">
        <v>0</v>
      </c>
      <c r="CZ4041">
        <v>0</v>
      </c>
      <c r="DA4041">
        <v>1</v>
      </c>
      <c r="DB4041">
        <v>0</v>
      </c>
      <c r="DC4041">
        <v>0</v>
      </c>
      <c r="DD4041">
        <v>0</v>
      </c>
      <c r="DE4041">
        <v>0</v>
      </c>
      <c r="DF4041">
        <v>0</v>
      </c>
      <c r="DG4041">
        <v>0</v>
      </c>
      <c r="DH4041">
        <v>0</v>
      </c>
      <c r="DI4041">
        <v>0</v>
      </c>
    </row>
    <row r="4042" spans="1:113" x14ac:dyDescent="0.25">
      <c r="A4042" t="str">
        <f t="shared" si="2259"/>
        <v>06/05/2020 14:58:59.692</v>
      </c>
      <c r="C4042" t="str">
        <f t="shared" si="2239"/>
        <v>FFDFD3C0</v>
      </c>
      <c r="D4042" t="s">
        <v>113</v>
      </c>
      <c r="E4042">
        <v>3</v>
      </c>
      <c r="H4042">
        <v>166</v>
      </c>
      <c r="I4042" t="s">
        <v>114</v>
      </c>
      <c r="J4042" t="s">
        <v>115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 t="shared" si="2260"/>
        <v>14:59:05.344</v>
      </c>
      <c r="T4042" t="str">
        <f t="shared" si="2261"/>
        <v>14:59:04.944</v>
      </c>
      <c r="U4042" t="str">
        <f t="shared" si="2258"/>
        <v>ACC530</v>
      </c>
      <c r="V4042">
        <v>0</v>
      </c>
      <c r="W4042">
        <v>0</v>
      </c>
      <c r="X4042">
        <v>1</v>
      </c>
      <c r="Z4042">
        <v>0</v>
      </c>
      <c r="AA4042">
        <v>9</v>
      </c>
      <c r="AB4042">
        <v>3</v>
      </c>
      <c r="AC4042">
        <v>0</v>
      </c>
      <c r="AD4042">
        <v>9</v>
      </c>
      <c r="AE4042">
        <v>0</v>
      </c>
      <c r="AF4042">
        <v>3</v>
      </c>
      <c r="AG4042">
        <v>1</v>
      </c>
      <c r="AH4042">
        <v>0</v>
      </c>
      <c r="AI4042" t="s">
        <v>1288</v>
      </c>
      <c r="AJ4042">
        <v>34.062959999999997</v>
      </c>
      <c r="AK4042" t="s">
        <v>1289</v>
      </c>
      <c r="AL4042">
        <v>-117.012119</v>
      </c>
      <c r="AM4042">
        <v>100</v>
      </c>
      <c r="AN4042">
        <v>5400</v>
      </c>
      <c r="AO4042" t="s">
        <v>118</v>
      </c>
      <c r="AP4042">
        <v>-42</v>
      </c>
      <c r="AQ4042">
        <v>82</v>
      </c>
      <c r="AR4042">
        <v>320</v>
      </c>
      <c r="AZ4042">
        <v>1200</v>
      </c>
      <c r="BA4042">
        <v>1</v>
      </c>
      <c r="BB4042" t="str">
        <f t="shared" si="2262"/>
        <v xml:space="preserve">N9217B  </v>
      </c>
      <c r="BC4042">
        <v>1</v>
      </c>
      <c r="BE4042">
        <v>0</v>
      </c>
      <c r="BF4042">
        <v>0</v>
      </c>
      <c r="BG4042">
        <v>0</v>
      </c>
      <c r="BH4042">
        <v>5225</v>
      </c>
      <c r="BI4042">
        <v>1</v>
      </c>
      <c r="BJ4042">
        <v>0</v>
      </c>
      <c r="BK4042">
        <v>0</v>
      </c>
      <c r="BL4042">
        <v>0</v>
      </c>
      <c r="BO4042">
        <v>0</v>
      </c>
      <c r="BP4042">
        <v>0</v>
      </c>
      <c r="BW4042" t="str">
        <f t="shared" si="2263"/>
        <v>14:59:05.349</v>
      </c>
      <c r="CJ4042">
        <v>0</v>
      </c>
      <c r="CK4042">
        <v>2</v>
      </c>
      <c r="CL4042">
        <v>0</v>
      </c>
      <c r="CM4042">
        <v>2</v>
      </c>
      <c r="CN4042">
        <v>0</v>
      </c>
      <c r="CO4042">
        <v>5</v>
      </c>
      <c r="CP4042" t="s">
        <v>119</v>
      </c>
      <c r="CQ4042">
        <v>298</v>
      </c>
      <c r="CR4042">
        <v>0</v>
      </c>
      <c r="CW4042">
        <v>10471917</v>
      </c>
      <c r="CY4042">
        <v>0</v>
      </c>
      <c r="CZ4042">
        <v>0</v>
      </c>
      <c r="DA4042">
        <v>1</v>
      </c>
      <c r="DB4042">
        <v>0</v>
      </c>
      <c r="DC4042">
        <v>0</v>
      </c>
      <c r="DD4042">
        <v>0</v>
      </c>
      <c r="DE4042">
        <v>0</v>
      </c>
      <c r="DF4042">
        <v>0</v>
      </c>
      <c r="DG4042">
        <v>0</v>
      </c>
      <c r="DH4042">
        <v>0</v>
      </c>
      <c r="DI4042">
        <v>0</v>
      </c>
    </row>
    <row r="4043" spans="1:113" x14ac:dyDescent="0.25">
      <c r="A4043" t="str">
        <f t="shared" ref="A4043:A4049" si="2264">"06/05/2020 14:59:00.613"</f>
        <v>06/05/2020 14:59:00.613</v>
      </c>
      <c r="C4043" t="str">
        <f t="shared" si="2239"/>
        <v>FFDFD3C0</v>
      </c>
      <c r="D4043" t="s">
        <v>134</v>
      </c>
      <c r="E4043">
        <v>7</v>
      </c>
      <c r="F4043">
        <v>2007</v>
      </c>
      <c r="G4043" t="s">
        <v>135</v>
      </c>
      <c r="J4043" t="s">
        <v>136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 t="shared" ref="S4043:S4049" si="2265">"14:59:06.242"</f>
        <v>14:59:06.242</v>
      </c>
      <c r="T4043" t="str">
        <f t="shared" ref="T4043:T4049" si="2266">"14:59:06.042"</f>
        <v>14:59:06.042</v>
      </c>
      <c r="U4043" t="str">
        <f t="shared" si="2258"/>
        <v>ACC530</v>
      </c>
      <c r="V4043">
        <v>0</v>
      </c>
      <c r="W4043">
        <v>0</v>
      </c>
      <c r="X4043">
        <v>1</v>
      </c>
      <c r="Z4043">
        <v>0</v>
      </c>
      <c r="AA4043">
        <v>9</v>
      </c>
      <c r="AB4043">
        <v>3</v>
      </c>
      <c r="AC4043">
        <v>0</v>
      </c>
      <c r="AD4043">
        <v>9</v>
      </c>
      <c r="AE4043">
        <v>0</v>
      </c>
      <c r="AF4043">
        <v>3</v>
      </c>
      <c r="AG4043">
        <v>1</v>
      </c>
      <c r="AH4043">
        <v>0</v>
      </c>
      <c r="AI4043" t="s">
        <v>1290</v>
      </c>
      <c r="AJ4043">
        <v>34.063302999999998</v>
      </c>
      <c r="AK4043" t="s">
        <v>1291</v>
      </c>
      <c r="AL4043">
        <v>-117.012355</v>
      </c>
      <c r="AM4043">
        <v>100</v>
      </c>
      <c r="AN4043">
        <v>5400</v>
      </c>
      <c r="AO4043" t="s">
        <v>118</v>
      </c>
      <c r="AP4043">
        <v>-48</v>
      </c>
      <c r="AQ4043">
        <v>78</v>
      </c>
      <c r="AR4043">
        <v>320</v>
      </c>
      <c r="AZ4043">
        <v>1200</v>
      </c>
      <c r="BA4043">
        <v>1</v>
      </c>
      <c r="BB4043" t="str">
        <f t="shared" si="2262"/>
        <v xml:space="preserve">N9217B  </v>
      </c>
      <c r="BC4043">
        <v>1</v>
      </c>
      <c r="BE4043">
        <v>0</v>
      </c>
      <c r="BF4043">
        <v>0</v>
      </c>
      <c r="BG4043">
        <v>0</v>
      </c>
      <c r="BH4043">
        <v>5250</v>
      </c>
      <c r="BI4043">
        <v>1</v>
      </c>
      <c r="BJ4043">
        <v>0</v>
      </c>
      <c r="BK4043">
        <v>0</v>
      </c>
      <c r="BL4043">
        <v>0</v>
      </c>
      <c r="BO4043">
        <v>0</v>
      </c>
      <c r="BP4043">
        <v>0</v>
      </c>
      <c r="BW4043" t="str">
        <f t="shared" ref="BW4043:BW4049" si="2267">"14:59:06.249"</f>
        <v>14:59:06.249</v>
      </c>
      <c r="CJ4043">
        <v>0</v>
      </c>
      <c r="CK4043">
        <v>2</v>
      </c>
      <c r="CL4043">
        <v>0</v>
      </c>
      <c r="CM4043">
        <v>2</v>
      </c>
      <c r="CN4043">
        <v>0</v>
      </c>
      <c r="CO4043">
        <v>5</v>
      </c>
      <c r="CP4043" t="s">
        <v>119</v>
      </c>
      <c r="CQ4043">
        <v>285</v>
      </c>
      <c r="CR4043">
        <v>0</v>
      </c>
      <c r="CW4043">
        <v>8888030</v>
      </c>
      <c r="CY4043">
        <v>0</v>
      </c>
      <c r="CZ4043">
        <v>0</v>
      </c>
      <c r="DA4043">
        <v>0</v>
      </c>
      <c r="DB4043">
        <v>0</v>
      </c>
      <c r="DC4043">
        <v>0</v>
      </c>
      <c r="DD4043">
        <v>0</v>
      </c>
      <c r="DE4043">
        <v>0</v>
      </c>
      <c r="DF4043">
        <v>0</v>
      </c>
      <c r="DG4043">
        <v>0</v>
      </c>
      <c r="DH4043">
        <v>0</v>
      </c>
      <c r="DI4043">
        <v>0</v>
      </c>
    </row>
    <row r="4044" spans="1:113" x14ac:dyDescent="0.25">
      <c r="A4044" t="str">
        <f t="shared" si="2264"/>
        <v>06/05/2020 14:59:00.613</v>
      </c>
      <c r="C4044" t="str">
        <f t="shared" si="2239"/>
        <v>FFDFD3C0</v>
      </c>
      <c r="D4044" t="s">
        <v>151</v>
      </c>
      <c r="E4044">
        <v>8</v>
      </c>
      <c r="H4044">
        <v>225</v>
      </c>
      <c r="I4044" t="s">
        <v>353</v>
      </c>
      <c r="J4044" t="s">
        <v>150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 t="shared" si="2265"/>
        <v>14:59:06.242</v>
      </c>
      <c r="T4044" t="str">
        <f t="shared" si="2266"/>
        <v>14:59:06.042</v>
      </c>
      <c r="U4044" t="str">
        <f t="shared" si="2258"/>
        <v>ACC530</v>
      </c>
      <c r="V4044">
        <v>0</v>
      </c>
      <c r="W4044">
        <v>0</v>
      </c>
      <c r="X4044">
        <v>1</v>
      </c>
      <c r="Z4044">
        <v>0</v>
      </c>
      <c r="AA4044">
        <v>9</v>
      </c>
      <c r="AB4044">
        <v>3</v>
      </c>
      <c r="AC4044">
        <v>0</v>
      </c>
      <c r="AD4044">
        <v>9</v>
      </c>
      <c r="AE4044">
        <v>0</v>
      </c>
      <c r="AF4044">
        <v>3</v>
      </c>
      <c r="AG4044">
        <v>1</v>
      </c>
      <c r="AH4044">
        <v>0</v>
      </c>
      <c r="AI4044" t="s">
        <v>1290</v>
      </c>
      <c r="AJ4044">
        <v>34.063302999999998</v>
      </c>
      <c r="AK4044" t="s">
        <v>1291</v>
      </c>
      <c r="AL4044">
        <v>-117.012355</v>
      </c>
      <c r="AM4044">
        <v>100</v>
      </c>
      <c r="AN4044">
        <v>5400</v>
      </c>
      <c r="AO4044" t="s">
        <v>118</v>
      </c>
      <c r="AP4044">
        <v>-48</v>
      </c>
      <c r="AQ4044">
        <v>78</v>
      </c>
      <c r="AR4044">
        <v>320</v>
      </c>
      <c r="AZ4044">
        <v>1200</v>
      </c>
      <c r="BA4044">
        <v>1</v>
      </c>
      <c r="BB4044" t="str">
        <f t="shared" si="2262"/>
        <v xml:space="preserve">N9217B  </v>
      </c>
      <c r="BC4044">
        <v>1</v>
      </c>
      <c r="BE4044">
        <v>0</v>
      </c>
      <c r="BF4044">
        <v>0</v>
      </c>
      <c r="BG4044">
        <v>0</v>
      </c>
      <c r="BH4044">
        <v>5250</v>
      </c>
      <c r="BI4044">
        <v>1</v>
      </c>
      <c r="BJ4044">
        <v>0</v>
      </c>
      <c r="BK4044">
        <v>0</v>
      </c>
      <c r="BL4044">
        <v>0</v>
      </c>
      <c r="BO4044">
        <v>0</v>
      </c>
      <c r="BP4044">
        <v>0</v>
      </c>
      <c r="BW4044" t="str">
        <f t="shared" si="2267"/>
        <v>14:59:06.249</v>
      </c>
      <c r="CJ4044">
        <v>0</v>
      </c>
      <c r="CK4044">
        <v>2</v>
      </c>
      <c r="CL4044">
        <v>0</v>
      </c>
      <c r="CM4044">
        <v>2</v>
      </c>
      <c r="CN4044">
        <v>0</v>
      </c>
      <c r="CO4044">
        <v>5</v>
      </c>
      <c r="CP4044" t="s">
        <v>119</v>
      </c>
      <c r="CQ4044">
        <v>285</v>
      </c>
      <c r="CR4044">
        <v>0</v>
      </c>
      <c r="CW4044">
        <v>8888030</v>
      </c>
      <c r="CY4044">
        <v>0</v>
      </c>
      <c r="CZ4044">
        <v>0</v>
      </c>
      <c r="DA4044">
        <v>1</v>
      </c>
      <c r="DB4044">
        <v>0</v>
      </c>
      <c r="DC4044">
        <v>0</v>
      </c>
      <c r="DD4044">
        <v>0</v>
      </c>
      <c r="DE4044">
        <v>0</v>
      </c>
      <c r="DF4044">
        <v>0</v>
      </c>
      <c r="DG4044">
        <v>0</v>
      </c>
      <c r="DH4044">
        <v>0</v>
      </c>
      <c r="DI4044">
        <v>0</v>
      </c>
    </row>
    <row r="4045" spans="1:113" x14ac:dyDescent="0.25">
      <c r="A4045" t="str">
        <f t="shared" si="2264"/>
        <v>06/05/2020 14:59:00.613</v>
      </c>
      <c r="C4045" t="str">
        <f t="shared" si="2239"/>
        <v>FFDFD3C0</v>
      </c>
      <c r="D4045" t="s">
        <v>141</v>
      </c>
      <c r="E4045">
        <v>20</v>
      </c>
      <c r="F4045">
        <v>1020</v>
      </c>
      <c r="G4045" t="s">
        <v>114</v>
      </c>
      <c r="J4045" t="s">
        <v>142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 t="shared" si="2265"/>
        <v>14:59:06.242</v>
      </c>
      <c r="T4045" t="str">
        <f t="shared" si="2266"/>
        <v>14:59:06.042</v>
      </c>
      <c r="U4045" t="str">
        <f t="shared" si="2258"/>
        <v>ACC530</v>
      </c>
      <c r="V4045">
        <v>0</v>
      </c>
      <c r="W4045">
        <v>0</v>
      </c>
      <c r="X4045">
        <v>1</v>
      </c>
      <c r="Z4045">
        <v>0</v>
      </c>
      <c r="AA4045">
        <v>9</v>
      </c>
      <c r="AB4045">
        <v>3</v>
      </c>
      <c r="AC4045">
        <v>0</v>
      </c>
      <c r="AD4045">
        <v>9</v>
      </c>
      <c r="AE4045">
        <v>0</v>
      </c>
      <c r="AF4045">
        <v>3</v>
      </c>
      <c r="AG4045">
        <v>1</v>
      </c>
      <c r="AH4045">
        <v>0</v>
      </c>
      <c r="AI4045" t="s">
        <v>1290</v>
      </c>
      <c r="AJ4045">
        <v>34.063302999999998</v>
      </c>
      <c r="AK4045" t="s">
        <v>1291</v>
      </c>
      <c r="AL4045">
        <v>-117.012355</v>
      </c>
      <c r="AM4045">
        <v>100</v>
      </c>
      <c r="AN4045">
        <v>5400</v>
      </c>
      <c r="AO4045" t="s">
        <v>118</v>
      </c>
      <c r="AP4045">
        <v>-48</v>
      </c>
      <c r="AQ4045">
        <v>78</v>
      </c>
      <c r="AR4045">
        <v>320</v>
      </c>
      <c r="AZ4045">
        <v>1200</v>
      </c>
      <c r="BA4045">
        <v>1</v>
      </c>
      <c r="BB4045" t="str">
        <f t="shared" si="2262"/>
        <v xml:space="preserve">N9217B  </v>
      </c>
      <c r="BC4045">
        <v>1</v>
      </c>
      <c r="BE4045">
        <v>0</v>
      </c>
      <c r="BF4045">
        <v>0</v>
      </c>
      <c r="BG4045">
        <v>0</v>
      </c>
      <c r="BH4045">
        <v>5250</v>
      </c>
      <c r="BI4045">
        <v>1</v>
      </c>
      <c r="BJ4045">
        <v>0</v>
      </c>
      <c r="BK4045">
        <v>0</v>
      </c>
      <c r="BL4045">
        <v>0</v>
      </c>
      <c r="BO4045">
        <v>0</v>
      </c>
      <c r="BP4045">
        <v>0</v>
      </c>
      <c r="BW4045" t="str">
        <f t="shared" si="2267"/>
        <v>14:59:06.249</v>
      </c>
      <c r="CJ4045">
        <v>0</v>
      </c>
      <c r="CK4045">
        <v>2</v>
      </c>
      <c r="CL4045">
        <v>0</v>
      </c>
      <c r="CM4045">
        <v>2</v>
      </c>
      <c r="CN4045">
        <v>0</v>
      </c>
      <c r="CO4045">
        <v>5</v>
      </c>
      <c r="CP4045" t="s">
        <v>119</v>
      </c>
      <c r="CQ4045">
        <v>285</v>
      </c>
      <c r="CR4045">
        <v>0</v>
      </c>
      <c r="CW4045">
        <v>8888030</v>
      </c>
      <c r="CY4045">
        <v>0</v>
      </c>
      <c r="CZ4045">
        <v>0</v>
      </c>
      <c r="DA4045">
        <v>1</v>
      </c>
      <c r="DB4045">
        <v>0</v>
      </c>
      <c r="DC4045">
        <v>0</v>
      </c>
      <c r="DD4045">
        <v>0</v>
      </c>
      <c r="DE4045">
        <v>0</v>
      </c>
      <c r="DF4045">
        <v>0</v>
      </c>
      <c r="DG4045">
        <v>0</v>
      </c>
      <c r="DH4045">
        <v>0</v>
      </c>
      <c r="DI4045">
        <v>0</v>
      </c>
    </row>
    <row r="4046" spans="1:113" x14ac:dyDescent="0.25">
      <c r="A4046" t="str">
        <f t="shared" si="2264"/>
        <v>06/05/2020 14:59:00.613</v>
      </c>
      <c r="C4046" t="str">
        <f t="shared" si="2239"/>
        <v>FFDFD3C0</v>
      </c>
      <c r="D4046" t="s">
        <v>148</v>
      </c>
      <c r="E4046">
        <v>8</v>
      </c>
      <c r="H4046">
        <v>50</v>
      </c>
      <c r="I4046" t="s">
        <v>149</v>
      </c>
      <c r="J4046" t="s">
        <v>150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 t="shared" si="2265"/>
        <v>14:59:06.242</v>
      </c>
      <c r="T4046" t="str">
        <f t="shared" si="2266"/>
        <v>14:59:06.042</v>
      </c>
      <c r="U4046" t="str">
        <f t="shared" si="2258"/>
        <v>ACC530</v>
      </c>
      <c r="V4046">
        <v>0</v>
      </c>
      <c r="W4046">
        <v>0</v>
      </c>
      <c r="X4046">
        <v>1</v>
      </c>
      <c r="Z4046">
        <v>0</v>
      </c>
      <c r="AA4046">
        <v>9</v>
      </c>
      <c r="AB4046">
        <v>3</v>
      </c>
      <c r="AC4046">
        <v>0</v>
      </c>
      <c r="AD4046">
        <v>9</v>
      </c>
      <c r="AE4046">
        <v>0</v>
      </c>
      <c r="AF4046">
        <v>3</v>
      </c>
      <c r="AG4046">
        <v>1</v>
      </c>
      <c r="AH4046">
        <v>0</v>
      </c>
      <c r="AI4046" t="s">
        <v>1290</v>
      </c>
      <c r="AJ4046">
        <v>34.063302999999998</v>
      </c>
      <c r="AK4046" t="s">
        <v>1291</v>
      </c>
      <c r="AL4046">
        <v>-117.012355</v>
      </c>
      <c r="AM4046">
        <v>100</v>
      </c>
      <c r="AN4046">
        <v>5400</v>
      </c>
      <c r="AO4046" t="s">
        <v>118</v>
      </c>
      <c r="AP4046">
        <v>-48</v>
      </c>
      <c r="AQ4046">
        <v>78</v>
      </c>
      <c r="AR4046">
        <v>320</v>
      </c>
      <c r="AZ4046">
        <v>1200</v>
      </c>
      <c r="BA4046">
        <v>1</v>
      </c>
      <c r="BB4046" t="str">
        <f t="shared" si="2262"/>
        <v xml:space="preserve">N9217B  </v>
      </c>
      <c r="BC4046">
        <v>1</v>
      </c>
      <c r="BE4046">
        <v>0</v>
      </c>
      <c r="BF4046">
        <v>0</v>
      </c>
      <c r="BG4046">
        <v>0</v>
      </c>
      <c r="BH4046">
        <v>5250</v>
      </c>
      <c r="BI4046">
        <v>1</v>
      </c>
      <c r="BJ4046">
        <v>0</v>
      </c>
      <c r="BK4046">
        <v>0</v>
      </c>
      <c r="BL4046">
        <v>0</v>
      </c>
      <c r="BO4046">
        <v>0</v>
      </c>
      <c r="BP4046">
        <v>0</v>
      </c>
      <c r="BW4046" t="str">
        <f t="shared" si="2267"/>
        <v>14:59:06.249</v>
      </c>
      <c r="CJ4046">
        <v>0</v>
      </c>
      <c r="CK4046">
        <v>2</v>
      </c>
      <c r="CL4046">
        <v>0</v>
      </c>
      <c r="CM4046">
        <v>2</v>
      </c>
      <c r="CN4046">
        <v>0</v>
      </c>
      <c r="CO4046">
        <v>5</v>
      </c>
      <c r="CP4046" t="s">
        <v>119</v>
      </c>
      <c r="CQ4046">
        <v>285</v>
      </c>
      <c r="CR4046">
        <v>0</v>
      </c>
      <c r="CW4046">
        <v>8888030</v>
      </c>
      <c r="CY4046">
        <v>0</v>
      </c>
      <c r="CZ4046">
        <v>0</v>
      </c>
      <c r="DA4046">
        <v>1</v>
      </c>
      <c r="DB4046">
        <v>0</v>
      </c>
      <c r="DC4046">
        <v>0</v>
      </c>
      <c r="DD4046">
        <v>0</v>
      </c>
      <c r="DE4046">
        <v>0</v>
      </c>
      <c r="DF4046">
        <v>0</v>
      </c>
      <c r="DG4046">
        <v>0</v>
      </c>
      <c r="DH4046">
        <v>0</v>
      </c>
      <c r="DI4046">
        <v>0</v>
      </c>
    </row>
    <row r="4047" spans="1:113" x14ac:dyDescent="0.25">
      <c r="A4047" t="str">
        <f t="shared" si="2264"/>
        <v>06/05/2020 14:59:00.613</v>
      </c>
      <c r="C4047" t="str">
        <f t="shared" si="2239"/>
        <v>FFDFD3C0</v>
      </c>
      <c r="D4047" t="s">
        <v>151</v>
      </c>
      <c r="E4047">
        <v>9</v>
      </c>
      <c r="H4047">
        <v>226</v>
      </c>
      <c r="I4047" t="s">
        <v>152</v>
      </c>
      <c r="J4047" t="s">
        <v>150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 t="shared" si="2265"/>
        <v>14:59:06.242</v>
      </c>
      <c r="T4047" t="str">
        <f t="shared" si="2266"/>
        <v>14:59:06.042</v>
      </c>
      <c r="U4047" t="str">
        <f t="shared" si="2258"/>
        <v>ACC530</v>
      </c>
      <c r="V4047">
        <v>0</v>
      </c>
      <c r="W4047">
        <v>0</v>
      </c>
      <c r="X4047">
        <v>1</v>
      </c>
      <c r="Z4047">
        <v>0</v>
      </c>
      <c r="AA4047">
        <v>9</v>
      </c>
      <c r="AB4047">
        <v>3</v>
      </c>
      <c r="AC4047">
        <v>0</v>
      </c>
      <c r="AD4047">
        <v>9</v>
      </c>
      <c r="AE4047">
        <v>0</v>
      </c>
      <c r="AF4047">
        <v>3</v>
      </c>
      <c r="AG4047">
        <v>1</v>
      </c>
      <c r="AH4047">
        <v>0</v>
      </c>
      <c r="AI4047" t="s">
        <v>1290</v>
      </c>
      <c r="AJ4047">
        <v>34.063302999999998</v>
      </c>
      <c r="AK4047" t="s">
        <v>1291</v>
      </c>
      <c r="AL4047">
        <v>-117.012355</v>
      </c>
      <c r="AM4047">
        <v>100</v>
      </c>
      <c r="AN4047">
        <v>5400</v>
      </c>
      <c r="AO4047" t="s">
        <v>118</v>
      </c>
      <c r="AP4047">
        <v>-48</v>
      </c>
      <c r="AQ4047">
        <v>78</v>
      </c>
      <c r="AR4047">
        <v>320</v>
      </c>
      <c r="AZ4047">
        <v>1200</v>
      </c>
      <c r="BA4047">
        <v>1</v>
      </c>
      <c r="BB4047" t="str">
        <f t="shared" si="2262"/>
        <v xml:space="preserve">N9217B  </v>
      </c>
      <c r="BC4047">
        <v>1</v>
      </c>
      <c r="BE4047">
        <v>0</v>
      </c>
      <c r="BF4047">
        <v>0</v>
      </c>
      <c r="BG4047">
        <v>0</v>
      </c>
      <c r="BH4047">
        <v>5250</v>
      </c>
      <c r="BI4047">
        <v>1</v>
      </c>
      <c r="BJ4047">
        <v>0</v>
      </c>
      <c r="BK4047">
        <v>0</v>
      </c>
      <c r="BL4047">
        <v>0</v>
      </c>
      <c r="BO4047">
        <v>0</v>
      </c>
      <c r="BP4047">
        <v>0</v>
      </c>
      <c r="BW4047" t="str">
        <f t="shared" si="2267"/>
        <v>14:59:06.249</v>
      </c>
      <c r="CJ4047">
        <v>0</v>
      </c>
      <c r="CK4047">
        <v>2</v>
      </c>
      <c r="CL4047">
        <v>0</v>
      </c>
      <c r="CM4047">
        <v>2</v>
      </c>
      <c r="CN4047">
        <v>0</v>
      </c>
      <c r="CO4047">
        <v>5</v>
      </c>
      <c r="CP4047" t="s">
        <v>119</v>
      </c>
      <c r="CQ4047">
        <v>285</v>
      </c>
      <c r="CR4047">
        <v>0</v>
      </c>
      <c r="CW4047">
        <v>8888030</v>
      </c>
      <c r="CY4047">
        <v>0</v>
      </c>
      <c r="CZ4047">
        <v>0</v>
      </c>
      <c r="DA4047">
        <v>1</v>
      </c>
      <c r="DB4047">
        <v>0</v>
      </c>
      <c r="DC4047">
        <v>0</v>
      </c>
      <c r="DD4047">
        <v>0</v>
      </c>
      <c r="DE4047">
        <v>0</v>
      </c>
      <c r="DF4047">
        <v>0</v>
      </c>
      <c r="DG4047">
        <v>0</v>
      </c>
      <c r="DH4047">
        <v>0</v>
      </c>
      <c r="DI4047">
        <v>0</v>
      </c>
    </row>
    <row r="4048" spans="1:113" x14ac:dyDescent="0.25">
      <c r="A4048" t="str">
        <f t="shared" si="2264"/>
        <v>06/05/2020 14:59:00.613</v>
      </c>
      <c r="C4048" t="str">
        <f t="shared" si="2239"/>
        <v>FFDFD3C0</v>
      </c>
      <c r="D4048" t="s">
        <v>113</v>
      </c>
      <c r="E4048">
        <v>3</v>
      </c>
      <c r="H4048">
        <v>166</v>
      </c>
      <c r="I4048" t="s">
        <v>114</v>
      </c>
      <c r="J4048" t="s">
        <v>115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 t="shared" si="2265"/>
        <v>14:59:06.242</v>
      </c>
      <c r="T4048" t="str">
        <f t="shared" si="2266"/>
        <v>14:59:06.042</v>
      </c>
      <c r="U4048" t="str">
        <f t="shared" si="2258"/>
        <v>ACC530</v>
      </c>
      <c r="V4048">
        <v>0</v>
      </c>
      <c r="W4048">
        <v>0</v>
      </c>
      <c r="X4048">
        <v>1</v>
      </c>
      <c r="Z4048">
        <v>0</v>
      </c>
      <c r="AA4048">
        <v>9</v>
      </c>
      <c r="AB4048">
        <v>3</v>
      </c>
      <c r="AC4048">
        <v>0</v>
      </c>
      <c r="AD4048">
        <v>9</v>
      </c>
      <c r="AE4048">
        <v>0</v>
      </c>
      <c r="AF4048">
        <v>3</v>
      </c>
      <c r="AG4048">
        <v>1</v>
      </c>
      <c r="AH4048">
        <v>0</v>
      </c>
      <c r="AI4048" t="s">
        <v>1290</v>
      </c>
      <c r="AJ4048">
        <v>34.063302999999998</v>
      </c>
      <c r="AK4048" t="s">
        <v>1291</v>
      </c>
      <c r="AL4048">
        <v>-117.012355</v>
      </c>
      <c r="AM4048">
        <v>100</v>
      </c>
      <c r="AN4048">
        <v>5400</v>
      </c>
      <c r="AO4048" t="s">
        <v>118</v>
      </c>
      <c r="AP4048">
        <v>-48</v>
      </c>
      <c r="AQ4048">
        <v>78</v>
      </c>
      <c r="AR4048">
        <v>320</v>
      </c>
      <c r="AZ4048">
        <v>1200</v>
      </c>
      <c r="BA4048">
        <v>1</v>
      </c>
      <c r="BB4048" t="str">
        <f t="shared" si="2262"/>
        <v xml:space="preserve">N9217B  </v>
      </c>
      <c r="BC4048">
        <v>1</v>
      </c>
      <c r="BE4048">
        <v>0</v>
      </c>
      <c r="BF4048">
        <v>0</v>
      </c>
      <c r="BG4048">
        <v>0</v>
      </c>
      <c r="BH4048">
        <v>5250</v>
      </c>
      <c r="BI4048">
        <v>1</v>
      </c>
      <c r="BJ4048">
        <v>0</v>
      </c>
      <c r="BK4048">
        <v>0</v>
      </c>
      <c r="BL4048">
        <v>0</v>
      </c>
      <c r="BO4048">
        <v>0</v>
      </c>
      <c r="BP4048">
        <v>0</v>
      </c>
      <c r="BW4048" t="str">
        <f t="shared" si="2267"/>
        <v>14:59:06.249</v>
      </c>
      <c r="CJ4048">
        <v>0</v>
      </c>
      <c r="CK4048">
        <v>2</v>
      </c>
      <c r="CL4048">
        <v>0</v>
      </c>
      <c r="CM4048">
        <v>2</v>
      </c>
      <c r="CN4048">
        <v>0</v>
      </c>
      <c r="CO4048">
        <v>5</v>
      </c>
      <c r="CP4048" t="s">
        <v>119</v>
      </c>
      <c r="CQ4048">
        <v>285</v>
      </c>
      <c r="CR4048">
        <v>0</v>
      </c>
      <c r="CW4048">
        <v>8888030</v>
      </c>
      <c r="CY4048">
        <v>0</v>
      </c>
      <c r="CZ4048">
        <v>0</v>
      </c>
      <c r="DA4048">
        <v>1</v>
      </c>
      <c r="DB4048">
        <v>0</v>
      </c>
      <c r="DC4048">
        <v>0</v>
      </c>
      <c r="DD4048">
        <v>0</v>
      </c>
      <c r="DE4048">
        <v>0</v>
      </c>
      <c r="DF4048">
        <v>0</v>
      </c>
      <c r="DG4048">
        <v>0</v>
      </c>
      <c r="DH4048">
        <v>0</v>
      </c>
      <c r="DI4048">
        <v>0</v>
      </c>
    </row>
    <row r="4049" spans="1:113" x14ac:dyDescent="0.25">
      <c r="A4049" t="str">
        <f t="shared" si="2264"/>
        <v>06/05/2020 14:59:00.613</v>
      </c>
      <c r="C4049" t="str">
        <f t="shared" si="2239"/>
        <v>FFDFD3C0</v>
      </c>
      <c r="D4049" t="s">
        <v>148</v>
      </c>
      <c r="E4049">
        <v>11</v>
      </c>
      <c r="H4049">
        <v>53</v>
      </c>
      <c r="I4049" t="s">
        <v>364</v>
      </c>
      <c r="J4049" t="s">
        <v>150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 t="shared" si="2265"/>
        <v>14:59:06.242</v>
      </c>
      <c r="T4049" t="str">
        <f t="shared" si="2266"/>
        <v>14:59:06.042</v>
      </c>
      <c r="U4049" t="str">
        <f t="shared" si="2258"/>
        <v>ACC530</v>
      </c>
      <c r="V4049">
        <v>0</v>
      </c>
      <c r="W4049">
        <v>0</v>
      </c>
      <c r="X4049">
        <v>1</v>
      </c>
      <c r="Z4049">
        <v>0</v>
      </c>
      <c r="AA4049">
        <v>9</v>
      </c>
      <c r="AB4049">
        <v>3</v>
      </c>
      <c r="AC4049">
        <v>0</v>
      </c>
      <c r="AD4049">
        <v>9</v>
      </c>
      <c r="AE4049">
        <v>0</v>
      </c>
      <c r="AF4049">
        <v>3</v>
      </c>
      <c r="AG4049">
        <v>1</v>
      </c>
      <c r="AH4049">
        <v>0</v>
      </c>
      <c r="AI4049" t="s">
        <v>1290</v>
      </c>
      <c r="AJ4049">
        <v>34.063302999999998</v>
      </c>
      <c r="AK4049" t="s">
        <v>1291</v>
      </c>
      <c r="AL4049">
        <v>-117.012355</v>
      </c>
      <c r="AM4049">
        <v>100</v>
      </c>
      <c r="AN4049">
        <v>5400</v>
      </c>
      <c r="AO4049" t="s">
        <v>118</v>
      </c>
      <c r="AP4049">
        <v>-48</v>
      </c>
      <c r="AQ4049">
        <v>78</v>
      </c>
      <c r="AR4049">
        <v>320</v>
      </c>
      <c r="AZ4049">
        <v>1200</v>
      </c>
      <c r="BA4049">
        <v>1</v>
      </c>
      <c r="BB4049" t="str">
        <f t="shared" si="2262"/>
        <v xml:space="preserve">N9217B  </v>
      </c>
      <c r="BC4049">
        <v>1</v>
      </c>
      <c r="BE4049">
        <v>0</v>
      </c>
      <c r="BF4049">
        <v>0</v>
      </c>
      <c r="BG4049">
        <v>0</v>
      </c>
      <c r="BH4049">
        <v>5250</v>
      </c>
      <c r="BI4049">
        <v>1</v>
      </c>
      <c r="BJ4049">
        <v>0</v>
      </c>
      <c r="BK4049">
        <v>0</v>
      </c>
      <c r="BL4049">
        <v>0</v>
      </c>
      <c r="BO4049">
        <v>0</v>
      </c>
      <c r="BP4049">
        <v>0</v>
      </c>
      <c r="BW4049" t="str">
        <f t="shared" si="2267"/>
        <v>14:59:06.249</v>
      </c>
      <c r="CJ4049">
        <v>0</v>
      </c>
      <c r="CK4049">
        <v>2</v>
      </c>
      <c r="CL4049">
        <v>0</v>
      </c>
      <c r="CM4049">
        <v>2</v>
      </c>
      <c r="CN4049">
        <v>0</v>
      </c>
      <c r="CO4049">
        <v>5</v>
      </c>
      <c r="CP4049" t="s">
        <v>119</v>
      </c>
      <c r="CQ4049">
        <v>285</v>
      </c>
      <c r="CR4049">
        <v>0</v>
      </c>
      <c r="CW4049">
        <v>8888030</v>
      </c>
      <c r="CY4049">
        <v>0</v>
      </c>
      <c r="CZ4049">
        <v>0</v>
      </c>
      <c r="DA4049">
        <v>1</v>
      </c>
      <c r="DB4049">
        <v>0</v>
      </c>
      <c r="DC4049">
        <v>0</v>
      </c>
      <c r="DD4049">
        <v>0</v>
      </c>
      <c r="DE4049">
        <v>0</v>
      </c>
      <c r="DF4049">
        <v>0</v>
      </c>
      <c r="DG4049">
        <v>0</v>
      </c>
      <c r="DH4049">
        <v>0</v>
      </c>
      <c r="DI4049">
        <v>0</v>
      </c>
    </row>
    <row r="4050" spans="1:113" x14ac:dyDescent="0.25">
      <c r="A4050" t="str">
        <f t="shared" ref="A4050:A4056" si="2268">"06/05/2020 14:59:01.570"</f>
        <v>06/05/2020 14:59:01.570</v>
      </c>
      <c r="C4050" t="str">
        <f t="shared" si="2239"/>
        <v>FFDFD3C0</v>
      </c>
      <c r="D4050" t="s">
        <v>134</v>
      </c>
      <c r="E4050">
        <v>7</v>
      </c>
      <c r="F4050">
        <v>2007</v>
      </c>
      <c r="G4050" t="s">
        <v>135</v>
      </c>
      <c r="J4050" t="s">
        <v>136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 t="shared" ref="S4050:S4056" si="2269">"14:59:07.219"</f>
        <v>14:59:07.219</v>
      </c>
      <c r="T4050" t="str">
        <f t="shared" ref="T4050:T4056" si="2270">"14:59:06.919"</f>
        <v>14:59:06.919</v>
      </c>
      <c r="U4050" t="str">
        <f t="shared" si="2258"/>
        <v>ACC530</v>
      </c>
      <c r="V4050">
        <v>0</v>
      </c>
      <c r="W4050">
        <v>0</v>
      </c>
      <c r="X4050">
        <v>1</v>
      </c>
      <c r="Z4050">
        <v>0</v>
      </c>
      <c r="AA4050">
        <v>9</v>
      </c>
      <c r="AB4050">
        <v>3</v>
      </c>
      <c r="AC4050">
        <v>0</v>
      </c>
      <c r="AD4050">
        <v>9</v>
      </c>
      <c r="AE4050">
        <v>0</v>
      </c>
      <c r="AF4050">
        <v>3</v>
      </c>
      <c r="AG4050">
        <v>1</v>
      </c>
      <c r="AH4050">
        <v>0</v>
      </c>
      <c r="AI4050" t="s">
        <v>1292</v>
      </c>
      <c r="AJ4050">
        <v>34.063603999999998</v>
      </c>
      <c r="AK4050" t="s">
        <v>1293</v>
      </c>
      <c r="AL4050">
        <v>-117.012699</v>
      </c>
      <c r="AM4050">
        <v>100</v>
      </c>
      <c r="AN4050">
        <v>5400</v>
      </c>
      <c r="AO4050" t="s">
        <v>118</v>
      </c>
      <c r="AP4050">
        <v>-51</v>
      </c>
      <c r="AQ4050">
        <v>75</v>
      </c>
      <c r="AR4050">
        <v>320</v>
      </c>
      <c r="AZ4050">
        <v>1200</v>
      </c>
      <c r="BA4050">
        <v>1</v>
      </c>
      <c r="BB4050" t="str">
        <f t="shared" si="2262"/>
        <v xml:space="preserve">N9217B  </v>
      </c>
      <c r="BC4050">
        <v>1</v>
      </c>
      <c r="BE4050">
        <v>0</v>
      </c>
      <c r="BF4050">
        <v>0</v>
      </c>
      <c r="BG4050">
        <v>0</v>
      </c>
      <c r="BH4050">
        <v>5250</v>
      </c>
      <c r="BI4050">
        <v>1</v>
      </c>
      <c r="BJ4050">
        <v>0</v>
      </c>
      <c r="BK4050">
        <v>0</v>
      </c>
      <c r="BL4050">
        <v>0</v>
      </c>
      <c r="BO4050">
        <v>0</v>
      </c>
      <c r="BP4050">
        <v>0</v>
      </c>
      <c r="BW4050" t="str">
        <f t="shared" ref="BW4050:BW4056" si="2271">"14:59:07.223"</f>
        <v>14:59:07.223</v>
      </c>
      <c r="CJ4050">
        <v>0</v>
      </c>
      <c r="CK4050">
        <v>2</v>
      </c>
      <c r="CL4050">
        <v>0</v>
      </c>
      <c r="CM4050">
        <v>2</v>
      </c>
      <c r="CN4050">
        <v>0</v>
      </c>
      <c r="CO4050">
        <v>5</v>
      </c>
      <c r="CP4050" t="s">
        <v>119</v>
      </c>
      <c r="CQ4050">
        <v>285</v>
      </c>
      <c r="CR4050">
        <v>0</v>
      </c>
      <c r="CW4050">
        <v>8888121</v>
      </c>
      <c r="CY4050">
        <v>0</v>
      </c>
      <c r="CZ4050">
        <v>0</v>
      </c>
      <c r="DA4050">
        <v>0</v>
      </c>
      <c r="DB4050">
        <v>0</v>
      </c>
      <c r="DC4050">
        <v>0</v>
      </c>
      <c r="DD4050">
        <v>0</v>
      </c>
      <c r="DE4050">
        <v>0</v>
      </c>
      <c r="DF4050">
        <v>0</v>
      </c>
      <c r="DG4050">
        <v>0</v>
      </c>
      <c r="DH4050">
        <v>0</v>
      </c>
      <c r="DI4050">
        <v>0</v>
      </c>
    </row>
    <row r="4051" spans="1:113" x14ac:dyDescent="0.25">
      <c r="A4051" t="str">
        <f t="shared" si="2268"/>
        <v>06/05/2020 14:59:01.570</v>
      </c>
      <c r="C4051" t="str">
        <f t="shared" si="2239"/>
        <v>FFDFD3C0</v>
      </c>
      <c r="D4051" t="s">
        <v>141</v>
      </c>
      <c r="E4051">
        <v>20</v>
      </c>
      <c r="F4051">
        <v>1020</v>
      </c>
      <c r="G4051" t="s">
        <v>114</v>
      </c>
      <c r="J4051" t="s">
        <v>142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 t="shared" si="2269"/>
        <v>14:59:07.219</v>
      </c>
      <c r="T4051" t="str">
        <f t="shared" si="2270"/>
        <v>14:59:06.919</v>
      </c>
      <c r="U4051" t="str">
        <f t="shared" si="2258"/>
        <v>ACC530</v>
      </c>
      <c r="V4051">
        <v>0</v>
      </c>
      <c r="W4051">
        <v>0</v>
      </c>
      <c r="X4051">
        <v>1</v>
      </c>
      <c r="Z4051">
        <v>0</v>
      </c>
      <c r="AA4051">
        <v>9</v>
      </c>
      <c r="AB4051">
        <v>3</v>
      </c>
      <c r="AC4051">
        <v>0</v>
      </c>
      <c r="AD4051">
        <v>9</v>
      </c>
      <c r="AE4051">
        <v>0</v>
      </c>
      <c r="AF4051">
        <v>3</v>
      </c>
      <c r="AG4051">
        <v>1</v>
      </c>
      <c r="AH4051">
        <v>0</v>
      </c>
      <c r="AI4051" t="s">
        <v>1292</v>
      </c>
      <c r="AJ4051">
        <v>34.063603999999998</v>
      </c>
      <c r="AK4051" t="s">
        <v>1293</v>
      </c>
      <c r="AL4051">
        <v>-117.012699</v>
      </c>
      <c r="AM4051">
        <v>100</v>
      </c>
      <c r="AN4051">
        <v>5400</v>
      </c>
      <c r="AO4051" t="s">
        <v>118</v>
      </c>
      <c r="AP4051">
        <v>-51</v>
      </c>
      <c r="AQ4051">
        <v>75</v>
      </c>
      <c r="AR4051">
        <v>320</v>
      </c>
      <c r="AZ4051">
        <v>1200</v>
      </c>
      <c r="BA4051">
        <v>1</v>
      </c>
      <c r="BB4051" t="str">
        <f t="shared" si="2262"/>
        <v xml:space="preserve">N9217B  </v>
      </c>
      <c r="BC4051">
        <v>1</v>
      </c>
      <c r="BE4051">
        <v>0</v>
      </c>
      <c r="BF4051">
        <v>0</v>
      </c>
      <c r="BG4051">
        <v>0</v>
      </c>
      <c r="BH4051">
        <v>5250</v>
      </c>
      <c r="BI4051">
        <v>1</v>
      </c>
      <c r="BJ4051">
        <v>0</v>
      </c>
      <c r="BK4051">
        <v>0</v>
      </c>
      <c r="BL4051">
        <v>0</v>
      </c>
      <c r="BO4051">
        <v>0</v>
      </c>
      <c r="BP4051">
        <v>0</v>
      </c>
      <c r="BW4051" t="str">
        <f t="shared" si="2271"/>
        <v>14:59:07.223</v>
      </c>
      <c r="CJ4051">
        <v>0</v>
      </c>
      <c r="CK4051">
        <v>2</v>
      </c>
      <c r="CL4051">
        <v>0</v>
      </c>
      <c r="CM4051">
        <v>2</v>
      </c>
      <c r="CN4051">
        <v>0</v>
      </c>
      <c r="CO4051">
        <v>5</v>
      </c>
      <c r="CP4051" t="s">
        <v>119</v>
      </c>
      <c r="CQ4051">
        <v>285</v>
      </c>
      <c r="CR4051">
        <v>0</v>
      </c>
      <c r="CW4051">
        <v>8888121</v>
      </c>
      <c r="CY4051">
        <v>0</v>
      </c>
      <c r="CZ4051">
        <v>0</v>
      </c>
      <c r="DA4051">
        <v>1</v>
      </c>
      <c r="DB4051">
        <v>0</v>
      </c>
      <c r="DC4051">
        <v>0</v>
      </c>
      <c r="DD4051">
        <v>0</v>
      </c>
      <c r="DE4051">
        <v>0</v>
      </c>
      <c r="DF4051">
        <v>0</v>
      </c>
      <c r="DG4051">
        <v>0</v>
      </c>
      <c r="DH4051">
        <v>0</v>
      </c>
      <c r="DI4051">
        <v>0</v>
      </c>
    </row>
    <row r="4052" spans="1:113" x14ac:dyDescent="0.25">
      <c r="A4052" t="str">
        <f t="shared" si="2268"/>
        <v>06/05/2020 14:59:01.570</v>
      </c>
      <c r="C4052" t="str">
        <f t="shared" si="2239"/>
        <v>FFDFD3C0</v>
      </c>
      <c r="D4052" t="s">
        <v>151</v>
      </c>
      <c r="E4052">
        <v>8</v>
      </c>
      <c r="H4052">
        <v>225</v>
      </c>
      <c r="I4052" t="s">
        <v>353</v>
      </c>
      <c r="J4052" t="s">
        <v>150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 t="shared" si="2269"/>
        <v>14:59:07.219</v>
      </c>
      <c r="T4052" t="str">
        <f t="shared" si="2270"/>
        <v>14:59:06.919</v>
      </c>
      <c r="U4052" t="str">
        <f t="shared" si="2258"/>
        <v>ACC530</v>
      </c>
      <c r="V4052">
        <v>0</v>
      </c>
      <c r="W4052">
        <v>0</v>
      </c>
      <c r="X4052">
        <v>1</v>
      </c>
      <c r="Z4052">
        <v>0</v>
      </c>
      <c r="AA4052">
        <v>9</v>
      </c>
      <c r="AB4052">
        <v>3</v>
      </c>
      <c r="AC4052">
        <v>0</v>
      </c>
      <c r="AD4052">
        <v>9</v>
      </c>
      <c r="AE4052">
        <v>0</v>
      </c>
      <c r="AF4052">
        <v>3</v>
      </c>
      <c r="AG4052">
        <v>1</v>
      </c>
      <c r="AH4052">
        <v>0</v>
      </c>
      <c r="AI4052" t="s">
        <v>1292</v>
      </c>
      <c r="AJ4052">
        <v>34.063603999999998</v>
      </c>
      <c r="AK4052" t="s">
        <v>1293</v>
      </c>
      <c r="AL4052">
        <v>-117.012699</v>
      </c>
      <c r="AM4052">
        <v>100</v>
      </c>
      <c r="AN4052">
        <v>5400</v>
      </c>
      <c r="AO4052" t="s">
        <v>118</v>
      </c>
      <c r="AP4052">
        <v>-51</v>
      </c>
      <c r="AQ4052">
        <v>75</v>
      </c>
      <c r="AR4052">
        <v>320</v>
      </c>
      <c r="AZ4052">
        <v>1200</v>
      </c>
      <c r="BA4052">
        <v>1</v>
      </c>
      <c r="BB4052" t="str">
        <f t="shared" si="2262"/>
        <v xml:space="preserve">N9217B  </v>
      </c>
      <c r="BC4052">
        <v>1</v>
      </c>
      <c r="BE4052">
        <v>0</v>
      </c>
      <c r="BF4052">
        <v>0</v>
      </c>
      <c r="BG4052">
        <v>0</v>
      </c>
      <c r="BH4052">
        <v>5250</v>
      </c>
      <c r="BI4052">
        <v>1</v>
      </c>
      <c r="BJ4052">
        <v>0</v>
      </c>
      <c r="BK4052">
        <v>0</v>
      </c>
      <c r="BL4052">
        <v>0</v>
      </c>
      <c r="BO4052">
        <v>0</v>
      </c>
      <c r="BP4052">
        <v>0</v>
      </c>
      <c r="BW4052" t="str">
        <f t="shared" si="2271"/>
        <v>14:59:07.223</v>
      </c>
      <c r="CJ4052">
        <v>0</v>
      </c>
      <c r="CK4052">
        <v>2</v>
      </c>
      <c r="CL4052">
        <v>0</v>
      </c>
      <c r="CM4052">
        <v>2</v>
      </c>
      <c r="CN4052">
        <v>0</v>
      </c>
      <c r="CO4052">
        <v>5</v>
      </c>
      <c r="CP4052" t="s">
        <v>119</v>
      </c>
      <c r="CQ4052">
        <v>285</v>
      </c>
      <c r="CR4052">
        <v>0</v>
      </c>
      <c r="CW4052">
        <v>8888121</v>
      </c>
      <c r="CY4052">
        <v>0</v>
      </c>
      <c r="CZ4052">
        <v>0</v>
      </c>
      <c r="DA4052">
        <v>1</v>
      </c>
      <c r="DB4052">
        <v>0</v>
      </c>
      <c r="DC4052">
        <v>0</v>
      </c>
      <c r="DD4052">
        <v>0</v>
      </c>
      <c r="DE4052">
        <v>0</v>
      </c>
      <c r="DF4052">
        <v>0</v>
      </c>
      <c r="DG4052">
        <v>0</v>
      </c>
      <c r="DH4052">
        <v>0</v>
      </c>
      <c r="DI4052">
        <v>0</v>
      </c>
    </row>
    <row r="4053" spans="1:113" x14ac:dyDescent="0.25">
      <c r="A4053" t="str">
        <f t="shared" si="2268"/>
        <v>06/05/2020 14:59:01.570</v>
      </c>
      <c r="C4053" t="str">
        <f t="shared" si="2239"/>
        <v>FFDFD3C0</v>
      </c>
      <c r="D4053" t="s">
        <v>151</v>
      </c>
      <c r="E4053">
        <v>9</v>
      </c>
      <c r="H4053">
        <v>226</v>
      </c>
      <c r="I4053" t="s">
        <v>152</v>
      </c>
      <c r="J4053" t="s">
        <v>150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 t="shared" si="2269"/>
        <v>14:59:07.219</v>
      </c>
      <c r="T4053" t="str">
        <f t="shared" si="2270"/>
        <v>14:59:06.919</v>
      </c>
      <c r="U4053" t="str">
        <f t="shared" si="2258"/>
        <v>ACC530</v>
      </c>
      <c r="V4053">
        <v>0</v>
      </c>
      <c r="W4053">
        <v>0</v>
      </c>
      <c r="X4053">
        <v>1</v>
      </c>
      <c r="Z4053">
        <v>0</v>
      </c>
      <c r="AA4053">
        <v>9</v>
      </c>
      <c r="AB4053">
        <v>3</v>
      </c>
      <c r="AC4053">
        <v>0</v>
      </c>
      <c r="AD4053">
        <v>9</v>
      </c>
      <c r="AE4053">
        <v>0</v>
      </c>
      <c r="AF4053">
        <v>3</v>
      </c>
      <c r="AG4053">
        <v>1</v>
      </c>
      <c r="AH4053">
        <v>0</v>
      </c>
      <c r="AI4053" t="s">
        <v>1292</v>
      </c>
      <c r="AJ4053">
        <v>34.063603999999998</v>
      </c>
      <c r="AK4053" t="s">
        <v>1293</v>
      </c>
      <c r="AL4053">
        <v>-117.012699</v>
      </c>
      <c r="AM4053">
        <v>100</v>
      </c>
      <c r="AN4053">
        <v>5400</v>
      </c>
      <c r="AO4053" t="s">
        <v>118</v>
      </c>
      <c r="AP4053">
        <v>-51</v>
      </c>
      <c r="AQ4053">
        <v>75</v>
      </c>
      <c r="AR4053">
        <v>320</v>
      </c>
      <c r="AZ4053">
        <v>1200</v>
      </c>
      <c r="BA4053">
        <v>1</v>
      </c>
      <c r="BB4053" t="str">
        <f t="shared" si="2262"/>
        <v xml:space="preserve">N9217B  </v>
      </c>
      <c r="BC4053">
        <v>1</v>
      </c>
      <c r="BE4053">
        <v>0</v>
      </c>
      <c r="BF4053">
        <v>0</v>
      </c>
      <c r="BG4053">
        <v>0</v>
      </c>
      <c r="BH4053">
        <v>5250</v>
      </c>
      <c r="BI4053">
        <v>1</v>
      </c>
      <c r="BJ4053">
        <v>0</v>
      </c>
      <c r="BK4053">
        <v>0</v>
      </c>
      <c r="BL4053">
        <v>0</v>
      </c>
      <c r="BO4053">
        <v>0</v>
      </c>
      <c r="BP4053">
        <v>0</v>
      </c>
      <c r="BW4053" t="str">
        <f t="shared" si="2271"/>
        <v>14:59:07.223</v>
      </c>
      <c r="CJ4053">
        <v>0</v>
      </c>
      <c r="CK4053">
        <v>2</v>
      </c>
      <c r="CL4053">
        <v>0</v>
      </c>
      <c r="CM4053">
        <v>2</v>
      </c>
      <c r="CN4053">
        <v>0</v>
      </c>
      <c r="CO4053">
        <v>5</v>
      </c>
      <c r="CP4053" t="s">
        <v>119</v>
      </c>
      <c r="CQ4053">
        <v>285</v>
      </c>
      <c r="CR4053">
        <v>0</v>
      </c>
      <c r="CW4053">
        <v>8888121</v>
      </c>
      <c r="CY4053">
        <v>0</v>
      </c>
      <c r="CZ4053">
        <v>0</v>
      </c>
      <c r="DA4053">
        <v>1</v>
      </c>
      <c r="DB4053">
        <v>0</v>
      </c>
      <c r="DC4053">
        <v>0</v>
      </c>
      <c r="DD4053">
        <v>0</v>
      </c>
      <c r="DE4053">
        <v>0</v>
      </c>
      <c r="DF4053">
        <v>0</v>
      </c>
      <c r="DG4053">
        <v>0</v>
      </c>
      <c r="DH4053">
        <v>0</v>
      </c>
      <c r="DI4053">
        <v>0</v>
      </c>
    </row>
    <row r="4054" spans="1:113" x14ac:dyDescent="0.25">
      <c r="A4054" t="str">
        <f t="shared" si="2268"/>
        <v>06/05/2020 14:59:01.570</v>
      </c>
      <c r="C4054" t="str">
        <f t="shared" si="2239"/>
        <v>FFDFD3C0</v>
      </c>
      <c r="D4054" t="s">
        <v>148</v>
      </c>
      <c r="E4054">
        <v>8</v>
      </c>
      <c r="H4054">
        <v>50</v>
      </c>
      <c r="I4054" t="s">
        <v>149</v>
      </c>
      <c r="J4054" t="s">
        <v>150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 t="shared" si="2269"/>
        <v>14:59:07.219</v>
      </c>
      <c r="T4054" t="str">
        <f t="shared" si="2270"/>
        <v>14:59:06.919</v>
      </c>
      <c r="U4054" t="str">
        <f t="shared" si="2258"/>
        <v>ACC530</v>
      </c>
      <c r="V4054">
        <v>0</v>
      </c>
      <c r="W4054">
        <v>0</v>
      </c>
      <c r="X4054">
        <v>1</v>
      </c>
      <c r="Z4054">
        <v>0</v>
      </c>
      <c r="AA4054">
        <v>9</v>
      </c>
      <c r="AB4054">
        <v>3</v>
      </c>
      <c r="AC4054">
        <v>0</v>
      </c>
      <c r="AD4054">
        <v>9</v>
      </c>
      <c r="AE4054">
        <v>0</v>
      </c>
      <c r="AF4054">
        <v>3</v>
      </c>
      <c r="AG4054">
        <v>1</v>
      </c>
      <c r="AH4054">
        <v>0</v>
      </c>
      <c r="AI4054" t="s">
        <v>1292</v>
      </c>
      <c r="AJ4054">
        <v>34.063603999999998</v>
      </c>
      <c r="AK4054" t="s">
        <v>1293</v>
      </c>
      <c r="AL4054">
        <v>-117.012699</v>
      </c>
      <c r="AM4054">
        <v>100</v>
      </c>
      <c r="AN4054">
        <v>5400</v>
      </c>
      <c r="AO4054" t="s">
        <v>118</v>
      </c>
      <c r="AP4054">
        <v>-51</v>
      </c>
      <c r="AQ4054">
        <v>75</v>
      </c>
      <c r="AR4054">
        <v>320</v>
      </c>
      <c r="AZ4054">
        <v>1200</v>
      </c>
      <c r="BA4054">
        <v>1</v>
      </c>
      <c r="BB4054" t="str">
        <f t="shared" si="2262"/>
        <v xml:space="preserve">N9217B  </v>
      </c>
      <c r="BC4054">
        <v>1</v>
      </c>
      <c r="BE4054">
        <v>0</v>
      </c>
      <c r="BF4054">
        <v>0</v>
      </c>
      <c r="BG4054">
        <v>0</v>
      </c>
      <c r="BH4054">
        <v>5250</v>
      </c>
      <c r="BI4054">
        <v>1</v>
      </c>
      <c r="BJ4054">
        <v>0</v>
      </c>
      <c r="BK4054">
        <v>0</v>
      </c>
      <c r="BL4054">
        <v>0</v>
      </c>
      <c r="BO4054">
        <v>0</v>
      </c>
      <c r="BP4054">
        <v>0</v>
      </c>
      <c r="BW4054" t="str">
        <f t="shared" si="2271"/>
        <v>14:59:07.223</v>
      </c>
      <c r="CJ4054">
        <v>0</v>
      </c>
      <c r="CK4054">
        <v>2</v>
      </c>
      <c r="CL4054">
        <v>0</v>
      </c>
      <c r="CM4054">
        <v>2</v>
      </c>
      <c r="CN4054">
        <v>0</v>
      </c>
      <c r="CO4054">
        <v>5</v>
      </c>
      <c r="CP4054" t="s">
        <v>119</v>
      </c>
      <c r="CQ4054">
        <v>285</v>
      </c>
      <c r="CR4054">
        <v>0</v>
      </c>
      <c r="CW4054">
        <v>8888121</v>
      </c>
      <c r="CY4054">
        <v>0</v>
      </c>
      <c r="CZ4054">
        <v>0</v>
      </c>
      <c r="DA4054">
        <v>1</v>
      </c>
      <c r="DB4054">
        <v>0</v>
      </c>
      <c r="DC4054">
        <v>0</v>
      </c>
      <c r="DD4054">
        <v>0</v>
      </c>
      <c r="DE4054">
        <v>0</v>
      </c>
      <c r="DF4054">
        <v>0</v>
      </c>
      <c r="DG4054">
        <v>0</v>
      </c>
      <c r="DH4054">
        <v>0</v>
      </c>
      <c r="DI4054">
        <v>0</v>
      </c>
    </row>
    <row r="4055" spans="1:113" x14ac:dyDescent="0.25">
      <c r="A4055" t="str">
        <f t="shared" si="2268"/>
        <v>06/05/2020 14:59:01.570</v>
      </c>
      <c r="C4055" t="str">
        <f t="shared" si="2239"/>
        <v>FFDFD3C0</v>
      </c>
      <c r="D4055" t="s">
        <v>113</v>
      </c>
      <c r="E4055">
        <v>3</v>
      </c>
      <c r="H4055">
        <v>166</v>
      </c>
      <c r="I4055" t="s">
        <v>114</v>
      </c>
      <c r="J4055" t="s">
        <v>115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 t="shared" si="2269"/>
        <v>14:59:07.219</v>
      </c>
      <c r="T4055" t="str">
        <f t="shared" si="2270"/>
        <v>14:59:06.919</v>
      </c>
      <c r="U4055" t="str">
        <f t="shared" si="2258"/>
        <v>ACC530</v>
      </c>
      <c r="V4055">
        <v>0</v>
      </c>
      <c r="W4055">
        <v>0</v>
      </c>
      <c r="X4055">
        <v>1</v>
      </c>
      <c r="Z4055">
        <v>0</v>
      </c>
      <c r="AA4055">
        <v>9</v>
      </c>
      <c r="AB4055">
        <v>3</v>
      </c>
      <c r="AC4055">
        <v>0</v>
      </c>
      <c r="AD4055">
        <v>9</v>
      </c>
      <c r="AE4055">
        <v>0</v>
      </c>
      <c r="AF4055">
        <v>3</v>
      </c>
      <c r="AG4055">
        <v>1</v>
      </c>
      <c r="AH4055">
        <v>0</v>
      </c>
      <c r="AI4055" t="s">
        <v>1292</v>
      </c>
      <c r="AJ4055">
        <v>34.063603999999998</v>
      </c>
      <c r="AK4055" t="s">
        <v>1293</v>
      </c>
      <c r="AL4055">
        <v>-117.012699</v>
      </c>
      <c r="AM4055">
        <v>100</v>
      </c>
      <c r="AN4055">
        <v>5400</v>
      </c>
      <c r="AO4055" t="s">
        <v>118</v>
      </c>
      <c r="AP4055">
        <v>-51</v>
      </c>
      <c r="AQ4055">
        <v>75</v>
      </c>
      <c r="AR4055">
        <v>320</v>
      </c>
      <c r="AZ4055">
        <v>1200</v>
      </c>
      <c r="BA4055">
        <v>1</v>
      </c>
      <c r="BB4055" t="str">
        <f t="shared" si="2262"/>
        <v xml:space="preserve">N9217B  </v>
      </c>
      <c r="BC4055">
        <v>1</v>
      </c>
      <c r="BE4055">
        <v>0</v>
      </c>
      <c r="BF4055">
        <v>0</v>
      </c>
      <c r="BG4055">
        <v>0</v>
      </c>
      <c r="BH4055">
        <v>5250</v>
      </c>
      <c r="BI4055">
        <v>1</v>
      </c>
      <c r="BJ4055">
        <v>0</v>
      </c>
      <c r="BK4055">
        <v>0</v>
      </c>
      <c r="BL4055">
        <v>0</v>
      </c>
      <c r="BO4055">
        <v>0</v>
      </c>
      <c r="BP4055">
        <v>0</v>
      </c>
      <c r="BW4055" t="str">
        <f t="shared" si="2271"/>
        <v>14:59:07.223</v>
      </c>
      <c r="CJ4055">
        <v>0</v>
      </c>
      <c r="CK4055">
        <v>2</v>
      </c>
      <c r="CL4055">
        <v>0</v>
      </c>
      <c r="CM4055">
        <v>2</v>
      </c>
      <c r="CN4055">
        <v>0</v>
      </c>
      <c r="CO4055">
        <v>5</v>
      </c>
      <c r="CP4055" t="s">
        <v>119</v>
      </c>
      <c r="CQ4055">
        <v>285</v>
      </c>
      <c r="CR4055">
        <v>0</v>
      </c>
      <c r="CW4055">
        <v>8888121</v>
      </c>
      <c r="CY4055">
        <v>0</v>
      </c>
      <c r="CZ4055">
        <v>0</v>
      </c>
      <c r="DA4055">
        <v>1</v>
      </c>
      <c r="DB4055">
        <v>0</v>
      </c>
      <c r="DC4055">
        <v>0</v>
      </c>
      <c r="DD4055">
        <v>0</v>
      </c>
      <c r="DE4055">
        <v>0</v>
      </c>
      <c r="DF4055">
        <v>0</v>
      </c>
      <c r="DG4055">
        <v>0</v>
      </c>
      <c r="DH4055">
        <v>0</v>
      </c>
      <c r="DI4055">
        <v>0</v>
      </c>
    </row>
    <row r="4056" spans="1:113" x14ac:dyDescent="0.25">
      <c r="A4056" t="str">
        <f t="shared" si="2268"/>
        <v>06/05/2020 14:59:01.570</v>
      </c>
      <c r="C4056" t="str">
        <f t="shared" si="2239"/>
        <v>FFDFD3C0</v>
      </c>
      <c r="D4056" t="s">
        <v>148</v>
      </c>
      <c r="E4056">
        <v>11</v>
      </c>
      <c r="H4056">
        <v>53</v>
      </c>
      <c r="I4056" t="s">
        <v>364</v>
      </c>
      <c r="J4056" t="s">
        <v>150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 t="shared" si="2269"/>
        <v>14:59:07.219</v>
      </c>
      <c r="T4056" t="str">
        <f t="shared" si="2270"/>
        <v>14:59:06.919</v>
      </c>
      <c r="U4056" t="str">
        <f t="shared" si="2258"/>
        <v>ACC530</v>
      </c>
      <c r="V4056">
        <v>0</v>
      </c>
      <c r="W4056">
        <v>0</v>
      </c>
      <c r="X4056">
        <v>1</v>
      </c>
      <c r="Z4056">
        <v>0</v>
      </c>
      <c r="AA4056">
        <v>9</v>
      </c>
      <c r="AB4056">
        <v>3</v>
      </c>
      <c r="AC4056">
        <v>0</v>
      </c>
      <c r="AD4056">
        <v>9</v>
      </c>
      <c r="AE4056">
        <v>0</v>
      </c>
      <c r="AF4056">
        <v>3</v>
      </c>
      <c r="AG4056">
        <v>1</v>
      </c>
      <c r="AH4056">
        <v>0</v>
      </c>
      <c r="AI4056" t="s">
        <v>1292</v>
      </c>
      <c r="AJ4056">
        <v>34.063603999999998</v>
      </c>
      <c r="AK4056" t="s">
        <v>1293</v>
      </c>
      <c r="AL4056">
        <v>-117.012699</v>
      </c>
      <c r="AM4056">
        <v>100</v>
      </c>
      <c r="AN4056">
        <v>5400</v>
      </c>
      <c r="AO4056" t="s">
        <v>118</v>
      </c>
      <c r="AP4056">
        <v>-51</v>
      </c>
      <c r="AQ4056">
        <v>75</v>
      </c>
      <c r="AR4056">
        <v>320</v>
      </c>
      <c r="AZ4056">
        <v>1200</v>
      </c>
      <c r="BA4056">
        <v>1</v>
      </c>
      <c r="BB4056" t="str">
        <f t="shared" si="2262"/>
        <v xml:space="preserve">N9217B  </v>
      </c>
      <c r="BC4056">
        <v>1</v>
      </c>
      <c r="BE4056">
        <v>0</v>
      </c>
      <c r="BF4056">
        <v>0</v>
      </c>
      <c r="BG4056">
        <v>0</v>
      </c>
      <c r="BH4056">
        <v>5250</v>
      </c>
      <c r="BI4056">
        <v>1</v>
      </c>
      <c r="BJ4056">
        <v>0</v>
      </c>
      <c r="BK4056">
        <v>0</v>
      </c>
      <c r="BL4056">
        <v>0</v>
      </c>
      <c r="BO4056">
        <v>0</v>
      </c>
      <c r="BP4056">
        <v>0</v>
      </c>
      <c r="BW4056" t="str">
        <f t="shared" si="2271"/>
        <v>14:59:07.223</v>
      </c>
      <c r="CJ4056">
        <v>0</v>
      </c>
      <c r="CK4056">
        <v>2</v>
      </c>
      <c r="CL4056">
        <v>0</v>
      </c>
      <c r="CM4056">
        <v>2</v>
      </c>
      <c r="CN4056">
        <v>0</v>
      </c>
      <c r="CO4056">
        <v>5</v>
      </c>
      <c r="CP4056" t="s">
        <v>119</v>
      </c>
      <c r="CQ4056">
        <v>285</v>
      </c>
      <c r="CR4056">
        <v>0</v>
      </c>
      <c r="CW4056">
        <v>8888121</v>
      </c>
      <c r="CY4056">
        <v>0</v>
      </c>
      <c r="CZ4056">
        <v>0</v>
      </c>
      <c r="DA4056">
        <v>1</v>
      </c>
      <c r="DB4056">
        <v>0</v>
      </c>
      <c r="DC4056">
        <v>0</v>
      </c>
      <c r="DD4056">
        <v>0</v>
      </c>
      <c r="DE4056">
        <v>0</v>
      </c>
      <c r="DF4056">
        <v>0</v>
      </c>
      <c r="DG4056">
        <v>0</v>
      </c>
      <c r="DH4056">
        <v>0</v>
      </c>
      <c r="DI4056">
        <v>0</v>
      </c>
    </row>
    <row r="4057" spans="1:113" x14ac:dyDescent="0.25">
      <c r="A4057" t="str">
        <f t="shared" ref="A4057:A4062" si="2272">"06/05/2020 14:59:02.704"</f>
        <v>06/05/2020 14:59:02.704</v>
      </c>
      <c r="C4057" t="str">
        <f t="shared" si="2239"/>
        <v>FFDFD3C0</v>
      </c>
      <c r="D4057" t="s">
        <v>113</v>
      </c>
      <c r="E4057">
        <v>3</v>
      </c>
      <c r="H4057">
        <v>166</v>
      </c>
      <c r="I4057" t="s">
        <v>114</v>
      </c>
      <c r="J4057" t="s">
        <v>115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 t="shared" ref="S4057:S4062" si="2273">"14:59:08.344"</f>
        <v>14:59:08.344</v>
      </c>
      <c r="T4057" t="str">
        <f t="shared" ref="T4057:T4062" si="2274">"14:59:07.844"</f>
        <v>14:59:07.844</v>
      </c>
      <c r="U4057" t="str">
        <f t="shared" si="2258"/>
        <v>ACC530</v>
      </c>
      <c r="V4057">
        <v>0</v>
      </c>
      <c r="W4057">
        <v>0</v>
      </c>
      <c r="X4057">
        <v>1</v>
      </c>
      <c r="Z4057">
        <v>0</v>
      </c>
      <c r="AA4057">
        <v>9</v>
      </c>
      <c r="AB4057">
        <v>3</v>
      </c>
      <c r="AC4057">
        <v>0</v>
      </c>
      <c r="AD4057">
        <v>9</v>
      </c>
      <c r="AE4057">
        <v>0</v>
      </c>
      <c r="AF4057">
        <v>3</v>
      </c>
      <c r="AG4057">
        <v>1</v>
      </c>
      <c r="AH4057">
        <v>0</v>
      </c>
      <c r="AI4057" t="s">
        <v>1294</v>
      </c>
      <c r="AJ4057">
        <v>34.063989999999997</v>
      </c>
      <c r="AK4057" t="s">
        <v>1295</v>
      </c>
      <c r="AL4057">
        <v>-117.013042</v>
      </c>
      <c r="AM4057">
        <v>100</v>
      </c>
      <c r="AN4057">
        <v>5400</v>
      </c>
      <c r="AO4057" t="s">
        <v>118</v>
      </c>
      <c r="AP4057">
        <v>-55</v>
      </c>
      <c r="AQ4057">
        <v>72</v>
      </c>
      <c r="AR4057">
        <v>256</v>
      </c>
      <c r="AZ4057">
        <v>1200</v>
      </c>
      <c r="BA4057">
        <v>1</v>
      </c>
      <c r="BB4057" t="str">
        <f t="shared" si="2262"/>
        <v xml:space="preserve">N9217B  </v>
      </c>
      <c r="BC4057">
        <v>1</v>
      </c>
      <c r="BE4057">
        <v>0</v>
      </c>
      <c r="BF4057">
        <v>0</v>
      </c>
      <c r="BG4057">
        <v>0</v>
      </c>
      <c r="BH4057">
        <v>5250</v>
      </c>
      <c r="BI4057">
        <v>1</v>
      </c>
      <c r="BJ4057">
        <v>0</v>
      </c>
      <c r="BK4057">
        <v>0</v>
      </c>
      <c r="BL4057">
        <v>0</v>
      </c>
      <c r="BO4057">
        <v>0</v>
      </c>
      <c r="BP4057">
        <v>0</v>
      </c>
      <c r="BW4057" t="str">
        <f t="shared" ref="BW4057:BW4062" si="2275">"14:59:08.349"</f>
        <v>14:59:08.349</v>
      </c>
      <c r="CJ4057">
        <v>0</v>
      </c>
      <c r="CK4057">
        <v>2</v>
      </c>
      <c r="CL4057">
        <v>0</v>
      </c>
      <c r="CM4057">
        <v>2</v>
      </c>
      <c r="CN4057">
        <v>0</v>
      </c>
      <c r="CO4057">
        <v>5</v>
      </c>
      <c r="CP4057" t="s">
        <v>119</v>
      </c>
      <c r="CQ4057">
        <v>298</v>
      </c>
      <c r="CR4057">
        <v>0</v>
      </c>
      <c r="CW4057">
        <v>10472317</v>
      </c>
      <c r="CY4057">
        <v>0</v>
      </c>
      <c r="CZ4057">
        <v>0</v>
      </c>
      <c r="DA4057">
        <v>0</v>
      </c>
      <c r="DB4057">
        <v>0</v>
      </c>
      <c r="DC4057">
        <v>0</v>
      </c>
      <c r="DD4057">
        <v>0</v>
      </c>
      <c r="DE4057">
        <v>0</v>
      </c>
      <c r="DF4057">
        <v>0</v>
      </c>
      <c r="DG4057">
        <v>0</v>
      </c>
      <c r="DH4057">
        <v>0</v>
      </c>
      <c r="DI4057">
        <v>0</v>
      </c>
    </row>
    <row r="4058" spans="1:113" x14ac:dyDescent="0.25">
      <c r="A4058" t="str">
        <f t="shared" si="2272"/>
        <v>06/05/2020 14:59:02.704</v>
      </c>
      <c r="C4058" t="str">
        <f t="shared" si="2239"/>
        <v>FFDFD3C0</v>
      </c>
      <c r="D4058" t="s">
        <v>148</v>
      </c>
      <c r="E4058">
        <v>8</v>
      </c>
      <c r="H4058">
        <v>50</v>
      </c>
      <c r="I4058" t="s">
        <v>149</v>
      </c>
      <c r="J4058" t="s">
        <v>150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 t="shared" si="2273"/>
        <v>14:59:08.344</v>
      </c>
      <c r="T4058" t="str">
        <f t="shared" si="2274"/>
        <v>14:59:07.844</v>
      </c>
      <c r="U4058" t="str">
        <f t="shared" si="2258"/>
        <v>ACC530</v>
      </c>
      <c r="V4058">
        <v>0</v>
      </c>
      <c r="W4058">
        <v>0</v>
      </c>
      <c r="X4058">
        <v>1</v>
      </c>
      <c r="Z4058">
        <v>0</v>
      </c>
      <c r="AA4058">
        <v>9</v>
      </c>
      <c r="AB4058">
        <v>3</v>
      </c>
      <c r="AC4058">
        <v>0</v>
      </c>
      <c r="AD4058">
        <v>9</v>
      </c>
      <c r="AE4058">
        <v>0</v>
      </c>
      <c r="AF4058">
        <v>3</v>
      </c>
      <c r="AG4058">
        <v>1</v>
      </c>
      <c r="AH4058">
        <v>0</v>
      </c>
      <c r="AI4058" t="s">
        <v>1294</v>
      </c>
      <c r="AJ4058">
        <v>34.063989999999997</v>
      </c>
      <c r="AK4058" t="s">
        <v>1295</v>
      </c>
      <c r="AL4058">
        <v>-117.013042</v>
      </c>
      <c r="AM4058">
        <v>100</v>
      </c>
      <c r="AN4058">
        <v>5400</v>
      </c>
      <c r="AO4058" t="s">
        <v>118</v>
      </c>
      <c r="AP4058">
        <v>-55</v>
      </c>
      <c r="AQ4058">
        <v>72</v>
      </c>
      <c r="AR4058">
        <v>256</v>
      </c>
      <c r="AZ4058">
        <v>1200</v>
      </c>
      <c r="BA4058">
        <v>1</v>
      </c>
      <c r="BB4058" t="str">
        <f t="shared" si="2262"/>
        <v xml:space="preserve">N9217B  </v>
      </c>
      <c r="BC4058">
        <v>1</v>
      </c>
      <c r="BE4058">
        <v>0</v>
      </c>
      <c r="BF4058">
        <v>0</v>
      </c>
      <c r="BG4058">
        <v>0</v>
      </c>
      <c r="BH4058">
        <v>5250</v>
      </c>
      <c r="BI4058">
        <v>1</v>
      </c>
      <c r="BJ4058">
        <v>0</v>
      </c>
      <c r="BK4058">
        <v>0</v>
      </c>
      <c r="BL4058">
        <v>0</v>
      </c>
      <c r="BO4058">
        <v>0</v>
      </c>
      <c r="BP4058">
        <v>0</v>
      </c>
      <c r="BW4058" t="str">
        <f t="shared" si="2275"/>
        <v>14:59:08.349</v>
      </c>
      <c r="CJ4058">
        <v>0</v>
      </c>
      <c r="CK4058">
        <v>2</v>
      </c>
      <c r="CL4058">
        <v>0</v>
      </c>
      <c r="CM4058">
        <v>2</v>
      </c>
      <c r="CN4058">
        <v>0</v>
      </c>
      <c r="CO4058">
        <v>5</v>
      </c>
      <c r="CP4058" t="s">
        <v>119</v>
      </c>
      <c r="CQ4058">
        <v>298</v>
      </c>
      <c r="CR4058">
        <v>0</v>
      </c>
      <c r="CW4058">
        <v>10472317</v>
      </c>
      <c r="CY4058">
        <v>0</v>
      </c>
      <c r="CZ4058">
        <v>0</v>
      </c>
      <c r="DA4058">
        <v>1</v>
      </c>
      <c r="DB4058">
        <v>0</v>
      </c>
      <c r="DC4058">
        <v>0</v>
      </c>
      <c r="DD4058">
        <v>0</v>
      </c>
      <c r="DE4058">
        <v>0</v>
      </c>
      <c r="DF4058">
        <v>0</v>
      </c>
      <c r="DG4058">
        <v>0</v>
      </c>
      <c r="DH4058">
        <v>0</v>
      </c>
      <c r="DI4058">
        <v>0</v>
      </c>
    </row>
    <row r="4059" spans="1:113" x14ac:dyDescent="0.25">
      <c r="A4059" t="str">
        <f t="shared" si="2272"/>
        <v>06/05/2020 14:59:02.704</v>
      </c>
      <c r="C4059" t="str">
        <f t="shared" si="2239"/>
        <v>FFDFD3C0</v>
      </c>
      <c r="D4059" t="s">
        <v>148</v>
      </c>
      <c r="E4059">
        <v>11</v>
      </c>
      <c r="H4059">
        <v>53</v>
      </c>
      <c r="I4059" t="s">
        <v>364</v>
      </c>
      <c r="J4059" t="s">
        <v>150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 t="shared" si="2273"/>
        <v>14:59:08.344</v>
      </c>
      <c r="T4059" t="str">
        <f t="shared" si="2274"/>
        <v>14:59:07.844</v>
      </c>
      <c r="U4059" t="str">
        <f t="shared" si="2258"/>
        <v>ACC530</v>
      </c>
      <c r="V4059">
        <v>0</v>
      </c>
      <c r="W4059">
        <v>0</v>
      </c>
      <c r="X4059">
        <v>1</v>
      </c>
      <c r="Z4059">
        <v>0</v>
      </c>
      <c r="AA4059">
        <v>9</v>
      </c>
      <c r="AB4059">
        <v>3</v>
      </c>
      <c r="AC4059">
        <v>0</v>
      </c>
      <c r="AD4059">
        <v>9</v>
      </c>
      <c r="AE4059">
        <v>0</v>
      </c>
      <c r="AF4059">
        <v>3</v>
      </c>
      <c r="AG4059">
        <v>1</v>
      </c>
      <c r="AH4059">
        <v>0</v>
      </c>
      <c r="AI4059" t="s">
        <v>1294</v>
      </c>
      <c r="AJ4059">
        <v>34.063989999999997</v>
      </c>
      <c r="AK4059" t="s">
        <v>1295</v>
      </c>
      <c r="AL4059">
        <v>-117.013042</v>
      </c>
      <c r="AM4059">
        <v>100</v>
      </c>
      <c r="AN4059">
        <v>5400</v>
      </c>
      <c r="AO4059" t="s">
        <v>118</v>
      </c>
      <c r="AP4059">
        <v>-55</v>
      </c>
      <c r="AQ4059">
        <v>72</v>
      </c>
      <c r="AR4059">
        <v>256</v>
      </c>
      <c r="AZ4059">
        <v>1200</v>
      </c>
      <c r="BA4059">
        <v>1</v>
      </c>
      <c r="BB4059" t="str">
        <f t="shared" si="2262"/>
        <v xml:space="preserve">N9217B  </v>
      </c>
      <c r="BC4059">
        <v>1</v>
      </c>
      <c r="BE4059">
        <v>0</v>
      </c>
      <c r="BF4059">
        <v>0</v>
      </c>
      <c r="BG4059">
        <v>0</v>
      </c>
      <c r="BH4059">
        <v>5250</v>
      </c>
      <c r="BI4059">
        <v>1</v>
      </c>
      <c r="BJ4059">
        <v>0</v>
      </c>
      <c r="BK4059">
        <v>0</v>
      </c>
      <c r="BL4059">
        <v>0</v>
      </c>
      <c r="BO4059">
        <v>0</v>
      </c>
      <c r="BP4059">
        <v>0</v>
      </c>
      <c r="BW4059" t="str">
        <f t="shared" si="2275"/>
        <v>14:59:08.349</v>
      </c>
      <c r="CJ4059">
        <v>0</v>
      </c>
      <c r="CK4059">
        <v>2</v>
      </c>
      <c r="CL4059">
        <v>0</v>
      </c>
      <c r="CM4059">
        <v>2</v>
      </c>
      <c r="CN4059">
        <v>0</v>
      </c>
      <c r="CO4059">
        <v>5</v>
      </c>
      <c r="CP4059" t="s">
        <v>119</v>
      </c>
      <c r="CQ4059">
        <v>298</v>
      </c>
      <c r="CR4059">
        <v>0</v>
      </c>
      <c r="CW4059">
        <v>10472317</v>
      </c>
      <c r="CY4059">
        <v>0</v>
      </c>
      <c r="CZ4059">
        <v>0</v>
      </c>
      <c r="DA4059">
        <v>1</v>
      </c>
      <c r="DB4059">
        <v>0</v>
      </c>
      <c r="DC4059">
        <v>0</v>
      </c>
      <c r="DD4059">
        <v>0</v>
      </c>
      <c r="DE4059">
        <v>0</v>
      </c>
      <c r="DF4059">
        <v>0</v>
      </c>
      <c r="DG4059">
        <v>0</v>
      </c>
      <c r="DH4059">
        <v>0</v>
      </c>
      <c r="DI4059">
        <v>0</v>
      </c>
    </row>
    <row r="4060" spans="1:113" x14ac:dyDescent="0.25">
      <c r="A4060" t="str">
        <f t="shared" si="2272"/>
        <v>06/05/2020 14:59:02.704</v>
      </c>
      <c r="C4060" t="str">
        <f t="shared" si="2239"/>
        <v>FFDFD3C0</v>
      </c>
      <c r="D4060" t="s">
        <v>134</v>
      </c>
      <c r="E4060">
        <v>7</v>
      </c>
      <c r="F4060">
        <v>2007</v>
      </c>
      <c r="G4060" t="s">
        <v>135</v>
      </c>
      <c r="J4060" t="s">
        <v>136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 t="shared" si="2273"/>
        <v>14:59:08.344</v>
      </c>
      <c r="T4060" t="str">
        <f t="shared" si="2274"/>
        <v>14:59:07.844</v>
      </c>
      <c r="U4060" t="str">
        <f t="shared" si="2258"/>
        <v>ACC530</v>
      </c>
      <c r="V4060">
        <v>0</v>
      </c>
      <c r="W4060">
        <v>0</v>
      </c>
      <c r="X4060">
        <v>1</v>
      </c>
      <c r="Z4060">
        <v>0</v>
      </c>
      <c r="AA4060">
        <v>9</v>
      </c>
      <c r="AB4060">
        <v>3</v>
      </c>
      <c r="AC4060">
        <v>0</v>
      </c>
      <c r="AD4060">
        <v>9</v>
      </c>
      <c r="AE4060">
        <v>0</v>
      </c>
      <c r="AF4060">
        <v>3</v>
      </c>
      <c r="AG4060">
        <v>1</v>
      </c>
      <c r="AH4060">
        <v>0</v>
      </c>
      <c r="AI4060" t="s">
        <v>1294</v>
      </c>
      <c r="AJ4060">
        <v>34.063989999999997</v>
      </c>
      <c r="AK4060" t="s">
        <v>1295</v>
      </c>
      <c r="AL4060">
        <v>-117.013042</v>
      </c>
      <c r="AM4060">
        <v>100</v>
      </c>
      <c r="AN4060">
        <v>5400</v>
      </c>
      <c r="AO4060" t="s">
        <v>118</v>
      </c>
      <c r="AP4060">
        <v>-55</v>
      </c>
      <c r="AQ4060">
        <v>72</v>
      </c>
      <c r="AR4060">
        <v>256</v>
      </c>
      <c r="AZ4060">
        <v>1200</v>
      </c>
      <c r="BA4060">
        <v>1</v>
      </c>
      <c r="BB4060" t="str">
        <f t="shared" si="2262"/>
        <v xml:space="preserve">N9217B  </v>
      </c>
      <c r="BC4060">
        <v>1</v>
      </c>
      <c r="BE4060">
        <v>0</v>
      </c>
      <c r="BF4060">
        <v>0</v>
      </c>
      <c r="BG4060">
        <v>0</v>
      </c>
      <c r="BH4060">
        <v>5250</v>
      </c>
      <c r="BI4060">
        <v>1</v>
      </c>
      <c r="BJ4060">
        <v>0</v>
      </c>
      <c r="BK4060">
        <v>0</v>
      </c>
      <c r="BL4060">
        <v>0</v>
      </c>
      <c r="BO4060">
        <v>0</v>
      </c>
      <c r="BP4060">
        <v>0</v>
      </c>
      <c r="BW4060" t="str">
        <f t="shared" si="2275"/>
        <v>14:59:08.349</v>
      </c>
      <c r="CJ4060">
        <v>0</v>
      </c>
      <c r="CK4060">
        <v>2</v>
      </c>
      <c r="CL4060">
        <v>0</v>
      </c>
      <c r="CM4060">
        <v>2</v>
      </c>
      <c r="CN4060">
        <v>0</v>
      </c>
      <c r="CO4060">
        <v>5</v>
      </c>
      <c r="CP4060" t="s">
        <v>119</v>
      </c>
      <c r="CQ4060">
        <v>298</v>
      </c>
      <c r="CR4060">
        <v>0</v>
      </c>
      <c r="CW4060">
        <v>10472317</v>
      </c>
      <c r="CY4060">
        <v>0</v>
      </c>
      <c r="CZ4060">
        <v>0</v>
      </c>
      <c r="DA4060">
        <v>1</v>
      </c>
      <c r="DB4060">
        <v>0</v>
      </c>
      <c r="DC4060">
        <v>0</v>
      </c>
      <c r="DD4060">
        <v>0</v>
      </c>
      <c r="DE4060">
        <v>0</v>
      </c>
      <c r="DF4060">
        <v>0</v>
      </c>
      <c r="DG4060">
        <v>0</v>
      </c>
      <c r="DH4060">
        <v>0</v>
      </c>
      <c r="DI4060">
        <v>0</v>
      </c>
    </row>
    <row r="4061" spans="1:113" x14ac:dyDescent="0.25">
      <c r="A4061" t="str">
        <f t="shared" si="2272"/>
        <v>06/05/2020 14:59:02.704</v>
      </c>
      <c r="C4061" t="str">
        <f t="shared" si="2239"/>
        <v>FFDFD3C0</v>
      </c>
      <c r="D4061" t="s">
        <v>141</v>
      </c>
      <c r="E4061">
        <v>20</v>
      </c>
      <c r="F4061">
        <v>1020</v>
      </c>
      <c r="G4061" t="s">
        <v>114</v>
      </c>
      <c r="J4061" t="s">
        <v>142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 t="shared" si="2273"/>
        <v>14:59:08.344</v>
      </c>
      <c r="T4061" t="str">
        <f t="shared" si="2274"/>
        <v>14:59:07.844</v>
      </c>
      <c r="U4061" t="str">
        <f t="shared" si="2258"/>
        <v>ACC530</v>
      </c>
      <c r="V4061">
        <v>0</v>
      </c>
      <c r="W4061">
        <v>0</v>
      </c>
      <c r="X4061">
        <v>1</v>
      </c>
      <c r="Z4061">
        <v>0</v>
      </c>
      <c r="AA4061">
        <v>9</v>
      </c>
      <c r="AB4061">
        <v>3</v>
      </c>
      <c r="AC4061">
        <v>0</v>
      </c>
      <c r="AD4061">
        <v>9</v>
      </c>
      <c r="AE4061">
        <v>0</v>
      </c>
      <c r="AF4061">
        <v>3</v>
      </c>
      <c r="AG4061">
        <v>1</v>
      </c>
      <c r="AH4061">
        <v>0</v>
      </c>
      <c r="AI4061" t="s">
        <v>1294</v>
      </c>
      <c r="AJ4061">
        <v>34.063989999999997</v>
      </c>
      <c r="AK4061" t="s">
        <v>1295</v>
      </c>
      <c r="AL4061">
        <v>-117.013042</v>
      </c>
      <c r="AM4061">
        <v>100</v>
      </c>
      <c r="AN4061">
        <v>5400</v>
      </c>
      <c r="AO4061" t="s">
        <v>118</v>
      </c>
      <c r="AP4061">
        <v>-55</v>
      </c>
      <c r="AQ4061">
        <v>72</v>
      </c>
      <c r="AR4061">
        <v>256</v>
      </c>
      <c r="AZ4061">
        <v>1200</v>
      </c>
      <c r="BA4061">
        <v>1</v>
      </c>
      <c r="BB4061" t="str">
        <f t="shared" si="2262"/>
        <v xml:space="preserve">N9217B  </v>
      </c>
      <c r="BC4061">
        <v>1</v>
      </c>
      <c r="BE4061">
        <v>0</v>
      </c>
      <c r="BF4061">
        <v>0</v>
      </c>
      <c r="BG4061">
        <v>0</v>
      </c>
      <c r="BH4061">
        <v>5250</v>
      </c>
      <c r="BI4061">
        <v>1</v>
      </c>
      <c r="BJ4061">
        <v>0</v>
      </c>
      <c r="BK4061">
        <v>0</v>
      </c>
      <c r="BL4061">
        <v>0</v>
      </c>
      <c r="BO4061">
        <v>0</v>
      </c>
      <c r="BP4061">
        <v>0</v>
      </c>
      <c r="BW4061" t="str">
        <f t="shared" si="2275"/>
        <v>14:59:08.349</v>
      </c>
      <c r="CJ4061">
        <v>0</v>
      </c>
      <c r="CK4061">
        <v>2</v>
      </c>
      <c r="CL4061">
        <v>0</v>
      </c>
      <c r="CM4061">
        <v>2</v>
      </c>
      <c r="CN4061">
        <v>0</v>
      </c>
      <c r="CO4061">
        <v>5</v>
      </c>
      <c r="CP4061" t="s">
        <v>119</v>
      </c>
      <c r="CQ4061">
        <v>298</v>
      </c>
      <c r="CR4061">
        <v>0</v>
      </c>
      <c r="CW4061">
        <v>10472317</v>
      </c>
      <c r="CY4061">
        <v>0</v>
      </c>
      <c r="CZ4061">
        <v>0</v>
      </c>
      <c r="DA4061">
        <v>1</v>
      </c>
      <c r="DB4061">
        <v>0</v>
      </c>
      <c r="DC4061">
        <v>0</v>
      </c>
      <c r="DD4061">
        <v>0</v>
      </c>
      <c r="DE4061">
        <v>0</v>
      </c>
      <c r="DF4061">
        <v>0</v>
      </c>
      <c r="DG4061">
        <v>0</v>
      </c>
      <c r="DH4061">
        <v>0</v>
      </c>
      <c r="DI4061">
        <v>0</v>
      </c>
    </row>
    <row r="4062" spans="1:113" x14ac:dyDescent="0.25">
      <c r="A4062" t="str">
        <f t="shared" si="2272"/>
        <v>06/05/2020 14:59:02.704</v>
      </c>
      <c r="C4062" t="str">
        <f t="shared" si="2239"/>
        <v>FFDFD3C0</v>
      </c>
      <c r="D4062" t="s">
        <v>151</v>
      </c>
      <c r="E4062">
        <v>8</v>
      </c>
      <c r="H4062">
        <v>225</v>
      </c>
      <c r="I4062" t="s">
        <v>353</v>
      </c>
      <c r="J4062" t="s">
        <v>150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 t="shared" si="2273"/>
        <v>14:59:08.344</v>
      </c>
      <c r="T4062" t="str">
        <f t="shared" si="2274"/>
        <v>14:59:07.844</v>
      </c>
      <c r="U4062" t="str">
        <f t="shared" si="2258"/>
        <v>ACC530</v>
      </c>
      <c r="V4062">
        <v>0</v>
      </c>
      <c r="W4062">
        <v>0</v>
      </c>
      <c r="X4062">
        <v>1</v>
      </c>
      <c r="Z4062">
        <v>0</v>
      </c>
      <c r="AA4062">
        <v>9</v>
      </c>
      <c r="AB4062">
        <v>3</v>
      </c>
      <c r="AC4062">
        <v>0</v>
      </c>
      <c r="AD4062">
        <v>9</v>
      </c>
      <c r="AE4062">
        <v>0</v>
      </c>
      <c r="AF4062">
        <v>3</v>
      </c>
      <c r="AG4062">
        <v>1</v>
      </c>
      <c r="AH4062">
        <v>0</v>
      </c>
      <c r="AI4062" t="s">
        <v>1294</v>
      </c>
      <c r="AJ4062">
        <v>34.063989999999997</v>
      </c>
      <c r="AK4062" t="s">
        <v>1295</v>
      </c>
      <c r="AL4062">
        <v>-117.013042</v>
      </c>
      <c r="AM4062">
        <v>100</v>
      </c>
      <c r="AN4062">
        <v>5400</v>
      </c>
      <c r="AO4062" t="s">
        <v>118</v>
      </c>
      <c r="AP4062">
        <v>-55</v>
      </c>
      <c r="AQ4062">
        <v>72</v>
      </c>
      <c r="AR4062">
        <v>256</v>
      </c>
      <c r="AZ4062">
        <v>1200</v>
      </c>
      <c r="BA4062">
        <v>1</v>
      </c>
      <c r="BB4062" t="str">
        <f t="shared" si="2262"/>
        <v xml:space="preserve">N9217B  </v>
      </c>
      <c r="BC4062">
        <v>1</v>
      </c>
      <c r="BE4062">
        <v>0</v>
      </c>
      <c r="BF4062">
        <v>0</v>
      </c>
      <c r="BG4062">
        <v>0</v>
      </c>
      <c r="BH4062">
        <v>5250</v>
      </c>
      <c r="BI4062">
        <v>1</v>
      </c>
      <c r="BJ4062">
        <v>0</v>
      </c>
      <c r="BK4062">
        <v>0</v>
      </c>
      <c r="BL4062">
        <v>0</v>
      </c>
      <c r="BO4062">
        <v>0</v>
      </c>
      <c r="BP4062">
        <v>0</v>
      </c>
      <c r="BW4062" t="str">
        <f t="shared" si="2275"/>
        <v>14:59:08.349</v>
      </c>
      <c r="CJ4062">
        <v>0</v>
      </c>
      <c r="CK4062">
        <v>2</v>
      </c>
      <c r="CL4062">
        <v>0</v>
      </c>
      <c r="CM4062">
        <v>2</v>
      </c>
      <c r="CN4062">
        <v>0</v>
      </c>
      <c r="CO4062">
        <v>5</v>
      </c>
      <c r="CP4062" t="s">
        <v>119</v>
      </c>
      <c r="CQ4062">
        <v>298</v>
      </c>
      <c r="CR4062">
        <v>0</v>
      </c>
      <c r="CW4062">
        <v>10472317</v>
      </c>
      <c r="CY4062">
        <v>0</v>
      </c>
      <c r="CZ4062">
        <v>0</v>
      </c>
      <c r="DA4062">
        <v>1</v>
      </c>
      <c r="DB4062">
        <v>0</v>
      </c>
      <c r="DC4062">
        <v>0</v>
      </c>
      <c r="DD4062">
        <v>0</v>
      </c>
      <c r="DE4062">
        <v>0</v>
      </c>
      <c r="DF4062">
        <v>0</v>
      </c>
      <c r="DG4062">
        <v>0</v>
      </c>
      <c r="DH4062">
        <v>0</v>
      </c>
      <c r="DI4062">
        <v>0</v>
      </c>
    </row>
    <row r="4063" spans="1:113" x14ac:dyDescent="0.25">
      <c r="A4063" t="str">
        <f t="shared" ref="A4063:A4069" si="2276">"06/05/2020 14:59:03.718"</f>
        <v>06/05/2020 14:59:03.718</v>
      </c>
      <c r="C4063" t="str">
        <f t="shared" si="2239"/>
        <v>FFDFD3C0</v>
      </c>
      <c r="D4063" t="s">
        <v>151</v>
      </c>
      <c r="E4063">
        <v>9</v>
      </c>
      <c r="H4063">
        <v>226</v>
      </c>
      <c r="I4063" t="s">
        <v>152</v>
      </c>
      <c r="J4063" t="s">
        <v>150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 t="shared" ref="S4063:S4069" si="2277">"14:59:09.352"</f>
        <v>14:59:09.352</v>
      </c>
      <c r="T4063" t="str">
        <f t="shared" ref="T4063:T4069" si="2278">"14:59:09.052"</f>
        <v>14:59:09.052</v>
      </c>
      <c r="U4063" t="str">
        <f t="shared" si="2258"/>
        <v>ACC530</v>
      </c>
      <c r="V4063">
        <v>0</v>
      </c>
      <c r="W4063">
        <v>0</v>
      </c>
      <c r="X4063">
        <v>1</v>
      </c>
      <c r="Z4063">
        <v>0</v>
      </c>
      <c r="AA4063">
        <v>9</v>
      </c>
      <c r="AB4063">
        <v>3</v>
      </c>
      <c r="AC4063">
        <v>0</v>
      </c>
      <c r="AD4063">
        <v>9</v>
      </c>
      <c r="AE4063">
        <v>0</v>
      </c>
      <c r="AF4063">
        <v>3</v>
      </c>
      <c r="AG4063">
        <v>1</v>
      </c>
      <c r="AH4063">
        <v>0</v>
      </c>
      <c r="AI4063" t="s">
        <v>1296</v>
      </c>
      <c r="AJ4063">
        <v>34.064354999999999</v>
      </c>
      <c r="AK4063" t="s">
        <v>1297</v>
      </c>
      <c r="AL4063">
        <v>-117.013364</v>
      </c>
      <c r="AM4063">
        <v>100</v>
      </c>
      <c r="AN4063">
        <v>5400</v>
      </c>
      <c r="AO4063" t="s">
        <v>118</v>
      </c>
      <c r="AP4063">
        <v>-59</v>
      </c>
      <c r="AQ4063">
        <v>69</v>
      </c>
      <c r="AR4063">
        <v>192</v>
      </c>
      <c r="AZ4063">
        <v>1200</v>
      </c>
      <c r="BA4063">
        <v>1</v>
      </c>
      <c r="BB4063" t="str">
        <f t="shared" si="2262"/>
        <v xml:space="preserve">N9217B  </v>
      </c>
      <c r="BC4063">
        <v>1</v>
      </c>
      <c r="BE4063">
        <v>0</v>
      </c>
      <c r="BF4063">
        <v>0</v>
      </c>
      <c r="BG4063">
        <v>0</v>
      </c>
      <c r="BH4063">
        <v>5250</v>
      </c>
      <c r="BI4063">
        <v>1</v>
      </c>
      <c r="BJ4063">
        <v>0</v>
      </c>
      <c r="BK4063">
        <v>0</v>
      </c>
      <c r="BL4063">
        <v>0</v>
      </c>
      <c r="BO4063">
        <v>0</v>
      </c>
      <c r="BP4063">
        <v>0</v>
      </c>
      <c r="BW4063" t="str">
        <f t="shared" ref="BW4063:BW4069" si="2279">"14:59:09.353"</f>
        <v>14:59:09.353</v>
      </c>
      <c r="CJ4063">
        <v>0</v>
      </c>
      <c r="CK4063">
        <v>2</v>
      </c>
      <c r="CL4063">
        <v>0</v>
      </c>
      <c r="CM4063">
        <v>2</v>
      </c>
      <c r="CN4063">
        <v>0</v>
      </c>
      <c r="CO4063">
        <v>5</v>
      </c>
      <c r="CP4063" t="s">
        <v>119</v>
      </c>
      <c r="CQ4063">
        <v>285</v>
      </c>
      <c r="CR4063">
        <v>0</v>
      </c>
      <c r="CW4063">
        <v>8888327</v>
      </c>
      <c r="CY4063">
        <v>0</v>
      </c>
      <c r="CZ4063">
        <v>0</v>
      </c>
      <c r="DA4063">
        <v>0</v>
      </c>
      <c r="DB4063">
        <v>0</v>
      </c>
      <c r="DC4063">
        <v>0</v>
      </c>
      <c r="DD4063">
        <v>0</v>
      </c>
      <c r="DE4063">
        <v>0</v>
      </c>
      <c r="DF4063">
        <v>0</v>
      </c>
      <c r="DG4063">
        <v>0</v>
      </c>
      <c r="DH4063">
        <v>0</v>
      </c>
      <c r="DI4063">
        <v>0</v>
      </c>
    </row>
    <row r="4064" spans="1:113" x14ac:dyDescent="0.25">
      <c r="A4064" t="str">
        <f t="shared" si="2276"/>
        <v>06/05/2020 14:59:03.718</v>
      </c>
      <c r="C4064" t="str">
        <f t="shared" si="2239"/>
        <v>FFDFD3C0</v>
      </c>
      <c r="D4064" t="s">
        <v>148</v>
      </c>
      <c r="E4064">
        <v>8</v>
      </c>
      <c r="H4064">
        <v>50</v>
      </c>
      <c r="I4064" t="s">
        <v>149</v>
      </c>
      <c r="J4064" t="s">
        <v>150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 t="shared" si="2277"/>
        <v>14:59:09.352</v>
      </c>
      <c r="T4064" t="str">
        <f t="shared" si="2278"/>
        <v>14:59:09.052</v>
      </c>
      <c r="U4064" t="str">
        <f t="shared" si="2258"/>
        <v>ACC530</v>
      </c>
      <c r="V4064">
        <v>0</v>
      </c>
      <c r="W4064">
        <v>0</v>
      </c>
      <c r="X4064">
        <v>1</v>
      </c>
      <c r="Z4064">
        <v>0</v>
      </c>
      <c r="AA4064">
        <v>9</v>
      </c>
      <c r="AB4064">
        <v>3</v>
      </c>
      <c r="AC4064">
        <v>0</v>
      </c>
      <c r="AD4064">
        <v>9</v>
      </c>
      <c r="AE4064">
        <v>0</v>
      </c>
      <c r="AF4064">
        <v>3</v>
      </c>
      <c r="AG4064">
        <v>1</v>
      </c>
      <c r="AH4064">
        <v>0</v>
      </c>
      <c r="AI4064" t="s">
        <v>1296</v>
      </c>
      <c r="AJ4064">
        <v>34.064354999999999</v>
      </c>
      <c r="AK4064" t="s">
        <v>1297</v>
      </c>
      <c r="AL4064">
        <v>-117.013364</v>
      </c>
      <c r="AM4064">
        <v>100</v>
      </c>
      <c r="AN4064">
        <v>5400</v>
      </c>
      <c r="AO4064" t="s">
        <v>118</v>
      </c>
      <c r="AP4064">
        <v>-59</v>
      </c>
      <c r="AQ4064">
        <v>69</v>
      </c>
      <c r="AR4064">
        <v>192</v>
      </c>
      <c r="AZ4064">
        <v>1200</v>
      </c>
      <c r="BA4064">
        <v>1</v>
      </c>
      <c r="BB4064" t="str">
        <f t="shared" si="2262"/>
        <v xml:space="preserve">N9217B  </v>
      </c>
      <c r="BC4064">
        <v>1</v>
      </c>
      <c r="BE4064">
        <v>0</v>
      </c>
      <c r="BF4064">
        <v>0</v>
      </c>
      <c r="BG4064">
        <v>0</v>
      </c>
      <c r="BH4064">
        <v>5250</v>
      </c>
      <c r="BI4064">
        <v>1</v>
      </c>
      <c r="BJ4064">
        <v>0</v>
      </c>
      <c r="BK4064">
        <v>0</v>
      </c>
      <c r="BL4064">
        <v>0</v>
      </c>
      <c r="BO4064">
        <v>0</v>
      </c>
      <c r="BP4064">
        <v>0</v>
      </c>
      <c r="BW4064" t="str">
        <f t="shared" si="2279"/>
        <v>14:59:09.353</v>
      </c>
      <c r="CJ4064">
        <v>0</v>
      </c>
      <c r="CK4064">
        <v>2</v>
      </c>
      <c r="CL4064">
        <v>0</v>
      </c>
      <c r="CM4064">
        <v>2</v>
      </c>
      <c r="CN4064">
        <v>0</v>
      </c>
      <c r="CO4064">
        <v>5</v>
      </c>
      <c r="CP4064" t="s">
        <v>119</v>
      </c>
      <c r="CQ4064">
        <v>285</v>
      </c>
      <c r="CR4064">
        <v>0</v>
      </c>
      <c r="CW4064">
        <v>8888327</v>
      </c>
      <c r="CY4064">
        <v>0</v>
      </c>
      <c r="CZ4064">
        <v>0</v>
      </c>
      <c r="DA4064">
        <v>1</v>
      </c>
      <c r="DB4064">
        <v>0</v>
      </c>
      <c r="DC4064">
        <v>0</v>
      </c>
      <c r="DD4064">
        <v>0</v>
      </c>
      <c r="DE4064">
        <v>0</v>
      </c>
      <c r="DF4064">
        <v>0</v>
      </c>
      <c r="DG4064">
        <v>0</v>
      </c>
      <c r="DH4064">
        <v>0</v>
      </c>
      <c r="DI4064">
        <v>0</v>
      </c>
    </row>
    <row r="4065" spans="1:113" x14ac:dyDescent="0.25">
      <c r="A4065" t="str">
        <f t="shared" si="2276"/>
        <v>06/05/2020 14:59:03.718</v>
      </c>
      <c r="C4065" t="str">
        <f t="shared" si="2239"/>
        <v>FFDFD3C0</v>
      </c>
      <c r="D4065" t="s">
        <v>134</v>
      </c>
      <c r="E4065">
        <v>7</v>
      </c>
      <c r="F4065">
        <v>2007</v>
      </c>
      <c r="G4065" t="s">
        <v>135</v>
      </c>
      <c r="J4065" t="s">
        <v>136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 t="shared" si="2277"/>
        <v>14:59:09.352</v>
      </c>
      <c r="T4065" t="str">
        <f t="shared" si="2278"/>
        <v>14:59:09.052</v>
      </c>
      <c r="U4065" t="str">
        <f t="shared" si="2258"/>
        <v>ACC530</v>
      </c>
      <c r="V4065">
        <v>0</v>
      </c>
      <c r="W4065">
        <v>0</v>
      </c>
      <c r="X4065">
        <v>1</v>
      </c>
      <c r="Z4065">
        <v>0</v>
      </c>
      <c r="AA4065">
        <v>9</v>
      </c>
      <c r="AB4065">
        <v>3</v>
      </c>
      <c r="AC4065">
        <v>0</v>
      </c>
      <c r="AD4065">
        <v>9</v>
      </c>
      <c r="AE4065">
        <v>0</v>
      </c>
      <c r="AF4065">
        <v>3</v>
      </c>
      <c r="AG4065">
        <v>1</v>
      </c>
      <c r="AH4065">
        <v>0</v>
      </c>
      <c r="AI4065" t="s">
        <v>1296</v>
      </c>
      <c r="AJ4065">
        <v>34.064354999999999</v>
      </c>
      <c r="AK4065" t="s">
        <v>1297</v>
      </c>
      <c r="AL4065">
        <v>-117.013364</v>
      </c>
      <c r="AM4065">
        <v>100</v>
      </c>
      <c r="AN4065">
        <v>5400</v>
      </c>
      <c r="AO4065" t="s">
        <v>118</v>
      </c>
      <c r="AP4065">
        <v>-59</v>
      </c>
      <c r="AQ4065">
        <v>69</v>
      </c>
      <c r="AR4065">
        <v>192</v>
      </c>
      <c r="AZ4065">
        <v>1200</v>
      </c>
      <c r="BA4065">
        <v>1</v>
      </c>
      <c r="BB4065" t="str">
        <f t="shared" si="2262"/>
        <v xml:space="preserve">N9217B  </v>
      </c>
      <c r="BC4065">
        <v>1</v>
      </c>
      <c r="BE4065">
        <v>0</v>
      </c>
      <c r="BF4065">
        <v>0</v>
      </c>
      <c r="BG4065">
        <v>0</v>
      </c>
      <c r="BH4065">
        <v>5250</v>
      </c>
      <c r="BI4065">
        <v>1</v>
      </c>
      <c r="BJ4065">
        <v>0</v>
      </c>
      <c r="BK4065">
        <v>0</v>
      </c>
      <c r="BL4065">
        <v>0</v>
      </c>
      <c r="BO4065">
        <v>0</v>
      </c>
      <c r="BP4065">
        <v>0</v>
      </c>
      <c r="BW4065" t="str">
        <f t="shared" si="2279"/>
        <v>14:59:09.353</v>
      </c>
      <c r="CJ4065">
        <v>0</v>
      </c>
      <c r="CK4065">
        <v>2</v>
      </c>
      <c r="CL4065">
        <v>0</v>
      </c>
      <c r="CM4065">
        <v>2</v>
      </c>
      <c r="CN4065">
        <v>0</v>
      </c>
      <c r="CO4065">
        <v>5</v>
      </c>
      <c r="CP4065" t="s">
        <v>119</v>
      </c>
      <c r="CQ4065">
        <v>285</v>
      </c>
      <c r="CR4065">
        <v>0</v>
      </c>
      <c r="CW4065">
        <v>8888327</v>
      </c>
      <c r="CY4065">
        <v>0</v>
      </c>
      <c r="CZ4065">
        <v>0</v>
      </c>
      <c r="DA4065">
        <v>1</v>
      </c>
      <c r="DB4065">
        <v>0</v>
      </c>
      <c r="DC4065">
        <v>0</v>
      </c>
      <c r="DD4065">
        <v>0</v>
      </c>
      <c r="DE4065">
        <v>0</v>
      </c>
      <c r="DF4065">
        <v>0</v>
      </c>
      <c r="DG4065">
        <v>0</v>
      </c>
      <c r="DH4065">
        <v>0</v>
      </c>
      <c r="DI4065">
        <v>0</v>
      </c>
    </row>
    <row r="4066" spans="1:113" x14ac:dyDescent="0.25">
      <c r="A4066" t="str">
        <f t="shared" si="2276"/>
        <v>06/05/2020 14:59:03.718</v>
      </c>
      <c r="C4066" t="str">
        <f t="shared" si="2239"/>
        <v>FFDFD3C0</v>
      </c>
      <c r="D4066" t="s">
        <v>148</v>
      </c>
      <c r="E4066">
        <v>11</v>
      </c>
      <c r="H4066">
        <v>53</v>
      </c>
      <c r="I4066" t="s">
        <v>364</v>
      </c>
      <c r="J4066" t="s">
        <v>150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 t="shared" si="2277"/>
        <v>14:59:09.352</v>
      </c>
      <c r="T4066" t="str">
        <f t="shared" si="2278"/>
        <v>14:59:09.052</v>
      </c>
      <c r="U4066" t="str">
        <f t="shared" si="2258"/>
        <v>ACC530</v>
      </c>
      <c r="V4066">
        <v>0</v>
      </c>
      <c r="W4066">
        <v>0</v>
      </c>
      <c r="X4066">
        <v>1</v>
      </c>
      <c r="Z4066">
        <v>0</v>
      </c>
      <c r="AA4066">
        <v>9</v>
      </c>
      <c r="AB4066">
        <v>3</v>
      </c>
      <c r="AC4066">
        <v>0</v>
      </c>
      <c r="AD4066">
        <v>9</v>
      </c>
      <c r="AE4066">
        <v>0</v>
      </c>
      <c r="AF4066">
        <v>3</v>
      </c>
      <c r="AG4066">
        <v>1</v>
      </c>
      <c r="AH4066">
        <v>0</v>
      </c>
      <c r="AI4066" t="s">
        <v>1296</v>
      </c>
      <c r="AJ4066">
        <v>34.064354999999999</v>
      </c>
      <c r="AK4066" t="s">
        <v>1297</v>
      </c>
      <c r="AL4066">
        <v>-117.013364</v>
      </c>
      <c r="AM4066">
        <v>100</v>
      </c>
      <c r="AN4066">
        <v>5400</v>
      </c>
      <c r="AO4066" t="s">
        <v>118</v>
      </c>
      <c r="AP4066">
        <v>-59</v>
      </c>
      <c r="AQ4066">
        <v>69</v>
      </c>
      <c r="AR4066">
        <v>192</v>
      </c>
      <c r="AZ4066">
        <v>1200</v>
      </c>
      <c r="BA4066">
        <v>1</v>
      </c>
      <c r="BB4066" t="str">
        <f t="shared" si="2262"/>
        <v xml:space="preserve">N9217B  </v>
      </c>
      <c r="BC4066">
        <v>1</v>
      </c>
      <c r="BE4066">
        <v>0</v>
      </c>
      <c r="BF4066">
        <v>0</v>
      </c>
      <c r="BG4066">
        <v>0</v>
      </c>
      <c r="BH4066">
        <v>5250</v>
      </c>
      <c r="BI4066">
        <v>1</v>
      </c>
      <c r="BJ4066">
        <v>0</v>
      </c>
      <c r="BK4066">
        <v>0</v>
      </c>
      <c r="BL4066">
        <v>0</v>
      </c>
      <c r="BO4066">
        <v>0</v>
      </c>
      <c r="BP4066">
        <v>0</v>
      </c>
      <c r="BW4066" t="str">
        <f t="shared" si="2279"/>
        <v>14:59:09.353</v>
      </c>
      <c r="CJ4066">
        <v>0</v>
      </c>
      <c r="CK4066">
        <v>2</v>
      </c>
      <c r="CL4066">
        <v>0</v>
      </c>
      <c r="CM4066">
        <v>2</v>
      </c>
      <c r="CN4066">
        <v>0</v>
      </c>
      <c r="CO4066">
        <v>5</v>
      </c>
      <c r="CP4066" t="s">
        <v>119</v>
      </c>
      <c r="CQ4066">
        <v>285</v>
      </c>
      <c r="CR4066">
        <v>0</v>
      </c>
      <c r="CW4066">
        <v>8888327</v>
      </c>
      <c r="CY4066">
        <v>0</v>
      </c>
      <c r="CZ4066">
        <v>0</v>
      </c>
      <c r="DA4066">
        <v>1</v>
      </c>
      <c r="DB4066">
        <v>0</v>
      </c>
      <c r="DC4066">
        <v>0</v>
      </c>
      <c r="DD4066">
        <v>0</v>
      </c>
      <c r="DE4066">
        <v>0</v>
      </c>
      <c r="DF4066">
        <v>0</v>
      </c>
      <c r="DG4066">
        <v>0</v>
      </c>
      <c r="DH4066">
        <v>0</v>
      </c>
      <c r="DI4066">
        <v>0</v>
      </c>
    </row>
    <row r="4067" spans="1:113" x14ac:dyDescent="0.25">
      <c r="A4067" t="str">
        <f t="shared" si="2276"/>
        <v>06/05/2020 14:59:03.718</v>
      </c>
      <c r="C4067" t="str">
        <f t="shared" ref="C4067:C4130" si="2280">"FFDFD3C0"</f>
        <v>FFDFD3C0</v>
      </c>
      <c r="D4067" t="s">
        <v>141</v>
      </c>
      <c r="E4067">
        <v>20</v>
      </c>
      <c r="F4067">
        <v>1020</v>
      </c>
      <c r="G4067" t="s">
        <v>114</v>
      </c>
      <c r="J4067" t="s">
        <v>142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 t="shared" si="2277"/>
        <v>14:59:09.352</v>
      </c>
      <c r="T4067" t="str">
        <f t="shared" si="2278"/>
        <v>14:59:09.052</v>
      </c>
      <c r="U4067" t="str">
        <f t="shared" si="2258"/>
        <v>ACC530</v>
      </c>
      <c r="V4067">
        <v>0</v>
      </c>
      <c r="W4067">
        <v>0</v>
      </c>
      <c r="X4067">
        <v>1</v>
      </c>
      <c r="Z4067">
        <v>0</v>
      </c>
      <c r="AA4067">
        <v>9</v>
      </c>
      <c r="AB4067">
        <v>3</v>
      </c>
      <c r="AC4067">
        <v>0</v>
      </c>
      <c r="AD4067">
        <v>9</v>
      </c>
      <c r="AE4067">
        <v>0</v>
      </c>
      <c r="AF4067">
        <v>3</v>
      </c>
      <c r="AG4067">
        <v>1</v>
      </c>
      <c r="AH4067">
        <v>0</v>
      </c>
      <c r="AI4067" t="s">
        <v>1296</v>
      </c>
      <c r="AJ4067">
        <v>34.064354999999999</v>
      </c>
      <c r="AK4067" t="s">
        <v>1297</v>
      </c>
      <c r="AL4067">
        <v>-117.013364</v>
      </c>
      <c r="AM4067">
        <v>100</v>
      </c>
      <c r="AN4067">
        <v>5400</v>
      </c>
      <c r="AO4067" t="s">
        <v>118</v>
      </c>
      <c r="AP4067">
        <v>-59</v>
      </c>
      <c r="AQ4067">
        <v>69</v>
      </c>
      <c r="AR4067">
        <v>192</v>
      </c>
      <c r="AZ4067">
        <v>1200</v>
      </c>
      <c r="BA4067">
        <v>1</v>
      </c>
      <c r="BB4067" t="str">
        <f t="shared" si="2262"/>
        <v xml:space="preserve">N9217B  </v>
      </c>
      <c r="BC4067">
        <v>1</v>
      </c>
      <c r="BE4067">
        <v>0</v>
      </c>
      <c r="BF4067">
        <v>0</v>
      </c>
      <c r="BG4067">
        <v>0</v>
      </c>
      <c r="BH4067">
        <v>5250</v>
      </c>
      <c r="BI4067">
        <v>1</v>
      </c>
      <c r="BJ4067">
        <v>0</v>
      </c>
      <c r="BK4067">
        <v>0</v>
      </c>
      <c r="BL4067">
        <v>0</v>
      </c>
      <c r="BO4067">
        <v>0</v>
      </c>
      <c r="BP4067">
        <v>0</v>
      </c>
      <c r="BW4067" t="str">
        <f t="shared" si="2279"/>
        <v>14:59:09.353</v>
      </c>
      <c r="CJ4067">
        <v>0</v>
      </c>
      <c r="CK4067">
        <v>2</v>
      </c>
      <c r="CL4067">
        <v>0</v>
      </c>
      <c r="CM4067">
        <v>2</v>
      </c>
      <c r="CN4067">
        <v>0</v>
      </c>
      <c r="CO4067">
        <v>5</v>
      </c>
      <c r="CP4067" t="s">
        <v>119</v>
      </c>
      <c r="CQ4067">
        <v>285</v>
      </c>
      <c r="CR4067">
        <v>0</v>
      </c>
      <c r="CW4067">
        <v>8888327</v>
      </c>
      <c r="CY4067">
        <v>0</v>
      </c>
      <c r="CZ4067">
        <v>0</v>
      </c>
      <c r="DA4067">
        <v>1</v>
      </c>
      <c r="DB4067">
        <v>0</v>
      </c>
      <c r="DC4067">
        <v>0</v>
      </c>
      <c r="DD4067">
        <v>0</v>
      </c>
      <c r="DE4067">
        <v>0</v>
      </c>
      <c r="DF4067">
        <v>0</v>
      </c>
      <c r="DG4067">
        <v>0</v>
      </c>
      <c r="DH4067">
        <v>0</v>
      </c>
      <c r="DI4067">
        <v>0</v>
      </c>
    </row>
    <row r="4068" spans="1:113" x14ac:dyDescent="0.25">
      <c r="A4068" t="str">
        <f t="shared" si="2276"/>
        <v>06/05/2020 14:59:03.718</v>
      </c>
      <c r="C4068" t="str">
        <f t="shared" si="2280"/>
        <v>FFDFD3C0</v>
      </c>
      <c r="D4068" t="s">
        <v>151</v>
      </c>
      <c r="E4068">
        <v>8</v>
      </c>
      <c r="H4068">
        <v>225</v>
      </c>
      <c r="I4068" t="s">
        <v>353</v>
      </c>
      <c r="J4068" t="s">
        <v>150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 t="shared" si="2277"/>
        <v>14:59:09.352</v>
      </c>
      <c r="T4068" t="str">
        <f t="shared" si="2278"/>
        <v>14:59:09.052</v>
      </c>
      <c r="U4068" t="str">
        <f t="shared" si="2258"/>
        <v>ACC530</v>
      </c>
      <c r="V4068">
        <v>0</v>
      </c>
      <c r="W4068">
        <v>0</v>
      </c>
      <c r="X4068">
        <v>1</v>
      </c>
      <c r="Z4068">
        <v>0</v>
      </c>
      <c r="AA4068">
        <v>9</v>
      </c>
      <c r="AB4068">
        <v>3</v>
      </c>
      <c r="AC4068">
        <v>0</v>
      </c>
      <c r="AD4068">
        <v>9</v>
      </c>
      <c r="AE4068">
        <v>0</v>
      </c>
      <c r="AF4068">
        <v>3</v>
      </c>
      <c r="AG4068">
        <v>1</v>
      </c>
      <c r="AH4068">
        <v>0</v>
      </c>
      <c r="AI4068" t="s">
        <v>1296</v>
      </c>
      <c r="AJ4068">
        <v>34.064354999999999</v>
      </c>
      <c r="AK4068" t="s">
        <v>1297</v>
      </c>
      <c r="AL4068">
        <v>-117.013364</v>
      </c>
      <c r="AM4068">
        <v>100</v>
      </c>
      <c r="AN4068">
        <v>5400</v>
      </c>
      <c r="AO4068" t="s">
        <v>118</v>
      </c>
      <c r="AP4068">
        <v>-59</v>
      </c>
      <c r="AQ4068">
        <v>69</v>
      </c>
      <c r="AR4068">
        <v>192</v>
      </c>
      <c r="AZ4068">
        <v>1200</v>
      </c>
      <c r="BA4068">
        <v>1</v>
      </c>
      <c r="BB4068" t="str">
        <f t="shared" si="2262"/>
        <v xml:space="preserve">N9217B  </v>
      </c>
      <c r="BC4068">
        <v>1</v>
      </c>
      <c r="BE4068">
        <v>0</v>
      </c>
      <c r="BF4068">
        <v>0</v>
      </c>
      <c r="BG4068">
        <v>0</v>
      </c>
      <c r="BH4068">
        <v>5250</v>
      </c>
      <c r="BI4068">
        <v>1</v>
      </c>
      <c r="BJ4068">
        <v>0</v>
      </c>
      <c r="BK4068">
        <v>0</v>
      </c>
      <c r="BL4068">
        <v>0</v>
      </c>
      <c r="BO4068">
        <v>0</v>
      </c>
      <c r="BP4068">
        <v>0</v>
      </c>
      <c r="BW4068" t="str">
        <f t="shared" si="2279"/>
        <v>14:59:09.353</v>
      </c>
      <c r="CJ4068">
        <v>0</v>
      </c>
      <c r="CK4068">
        <v>2</v>
      </c>
      <c r="CL4068">
        <v>0</v>
      </c>
      <c r="CM4068">
        <v>2</v>
      </c>
      <c r="CN4068">
        <v>0</v>
      </c>
      <c r="CO4068">
        <v>5</v>
      </c>
      <c r="CP4068" t="s">
        <v>119</v>
      </c>
      <c r="CQ4068">
        <v>285</v>
      </c>
      <c r="CR4068">
        <v>0</v>
      </c>
      <c r="CW4068">
        <v>8888327</v>
      </c>
      <c r="CY4068">
        <v>0</v>
      </c>
      <c r="CZ4068">
        <v>0</v>
      </c>
      <c r="DA4068">
        <v>1</v>
      </c>
      <c r="DB4068">
        <v>0</v>
      </c>
      <c r="DC4068">
        <v>0</v>
      </c>
      <c r="DD4068">
        <v>0</v>
      </c>
      <c r="DE4068">
        <v>0</v>
      </c>
      <c r="DF4068">
        <v>0</v>
      </c>
      <c r="DG4068">
        <v>0</v>
      </c>
      <c r="DH4068">
        <v>0</v>
      </c>
      <c r="DI4068">
        <v>0</v>
      </c>
    </row>
    <row r="4069" spans="1:113" x14ac:dyDescent="0.25">
      <c r="A4069" t="str">
        <f t="shared" si="2276"/>
        <v>06/05/2020 14:59:03.718</v>
      </c>
      <c r="C4069" t="str">
        <f t="shared" si="2280"/>
        <v>FFDFD3C0</v>
      </c>
      <c r="D4069" t="s">
        <v>113</v>
      </c>
      <c r="E4069">
        <v>3</v>
      </c>
      <c r="H4069">
        <v>166</v>
      </c>
      <c r="I4069" t="s">
        <v>114</v>
      </c>
      <c r="J4069" t="s">
        <v>115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 t="shared" si="2277"/>
        <v>14:59:09.352</v>
      </c>
      <c r="T4069" t="str">
        <f t="shared" si="2278"/>
        <v>14:59:09.052</v>
      </c>
      <c r="U4069" t="str">
        <f t="shared" si="2258"/>
        <v>ACC530</v>
      </c>
      <c r="V4069">
        <v>0</v>
      </c>
      <c r="W4069">
        <v>0</v>
      </c>
      <c r="X4069">
        <v>1</v>
      </c>
      <c r="Z4069">
        <v>0</v>
      </c>
      <c r="AA4069">
        <v>9</v>
      </c>
      <c r="AB4069">
        <v>3</v>
      </c>
      <c r="AC4069">
        <v>0</v>
      </c>
      <c r="AD4069">
        <v>9</v>
      </c>
      <c r="AE4069">
        <v>0</v>
      </c>
      <c r="AF4069">
        <v>3</v>
      </c>
      <c r="AG4069">
        <v>1</v>
      </c>
      <c r="AH4069">
        <v>0</v>
      </c>
      <c r="AI4069" t="s">
        <v>1296</v>
      </c>
      <c r="AJ4069">
        <v>34.064354999999999</v>
      </c>
      <c r="AK4069" t="s">
        <v>1297</v>
      </c>
      <c r="AL4069">
        <v>-117.013364</v>
      </c>
      <c r="AM4069">
        <v>100</v>
      </c>
      <c r="AN4069">
        <v>5400</v>
      </c>
      <c r="AO4069" t="s">
        <v>118</v>
      </c>
      <c r="AP4069">
        <v>-59</v>
      </c>
      <c r="AQ4069">
        <v>69</v>
      </c>
      <c r="AR4069">
        <v>192</v>
      </c>
      <c r="AZ4069">
        <v>1200</v>
      </c>
      <c r="BA4069">
        <v>1</v>
      </c>
      <c r="BB4069" t="str">
        <f t="shared" si="2262"/>
        <v xml:space="preserve">N9217B  </v>
      </c>
      <c r="BC4069">
        <v>1</v>
      </c>
      <c r="BE4069">
        <v>0</v>
      </c>
      <c r="BF4069">
        <v>0</v>
      </c>
      <c r="BG4069">
        <v>0</v>
      </c>
      <c r="BH4069">
        <v>5250</v>
      </c>
      <c r="BI4069">
        <v>1</v>
      </c>
      <c r="BJ4069">
        <v>0</v>
      </c>
      <c r="BK4069">
        <v>0</v>
      </c>
      <c r="BL4069">
        <v>0</v>
      </c>
      <c r="BO4069">
        <v>0</v>
      </c>
      <c r="BP4069">
        <v>0</v>
      </c>
      <c r="BW4069" t="str">
        <f t="shared" si="2279"/>
        <v>14:59:09.353</v>
      </c>
      <c r="CJ4069">
        <v>0</v>
      </c>
      <c r="CK4069">
        <v>2</v>
      </c>
      <c r="CL4069">
        <v>0</v>
      </c>
      <c r="CM4069">
        <v>2</v>
      </c>
      <c r="CN4069">
        <v>0</v>
      </c>
      <c r="CO4069">
        <v>5</v>
      </c>
      <c r="CP4069" t="s">
        <v>119</v>
      </c>
      <c r="CQ4069">
        <v>285</v>
      </c>
      <c r="CR4069">
        <v>0</v>
      </c>
      <c r="CW4069">
        <v>8888327</v>
      </c>
      <c r="CY4069">
        <v>0</v>
      </c>
      <c r="CZ4069">
        <v>0</v>
      </c>
      <c r="DA4069">
        <v>1</v>
      </c>
      <c r="DB4069">
        <v>0</v>
      </c>
      <c r="DC4069">
        <v>0</v>
      </c>
      <c r="DD4069">
        <v>0</v>
      </c>
      <c r="DE4069">
        <v>0</v>
      </c>
      <c r="DF4069">
        <v>0</v>
      </c>
      <c r="DG4069">
        <v>0</v>
      </c>
      <c r="DH4069">
        <v>0</v>
      </c>
      <c r="DI4069">
        <v>0</v>
      </c>
    </row>
    <row r="4070" spans="1:113" x14ac:dyDescent="0.25">
      <c r="A4070" t="str">
        <f t="shared" ref="A4070:A4076" si="2281">"06/05/2020 14:59:04.724"</f>
        <v>06/05/2020 14:59:04.724</v>
      </c>
      <c r="C4070" t="str">
        <f t="shared" si="2280"/>
        <v>FFDFD3C0</v>
      </c>
      <c r="D4070" t="s">
        <v>113</v>
      </c>
      <c r="E4070">
        <v>3</v>
      </c>
      <c r="H4070">
        <v>166</v>
      </c>
      <c r="I4070" t="s">
        <v>114</v>
      </c>
      <c r="J4070" t="s">
        <v>115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 t="shared" ref="S4070:T4076" si="2282">"14:59:10.352"</f>
        <v>14:59:10.352</v>
      </c>
      <c r="T4070" t="str">
        <f t="shared" si="2282"/>
        <v>14:59:10.352</v>
      </c>
      <c r="U4070" t="str">
        <f t="shared" si="2258"/>
        <v>ACC530</v>
      </c>
      <c r="V4070">
        <v>0</v>
      </c>
      <c r="W4070">
        <v>0</v>
      </c>
      <c r="X4070">
        <v>1</v>
      </c>
      <c r="Z4070">
        <v>0</v>
      </c>
      <c r="AA4070">
        <v>9</v>
      </c>
      <c r="AB4070">
        <v>3</v>
      </c>
      <c r="AC4070">
        <v>0</v>
      </c>
      <c r="AD4070">
        <v>9</v>
      </c>
      <c r="AE4070">
        <v>0</v>
      </c>
      <c r="AF4070">
        <v>3</v>
      </c>
      <c r="AG4070">
        <v>1</v>
      </c>
      <c r="AH4070">
        <v>0</v>
      </c>
      <c r="AI4070" t="s">
        <v>1298</v>
      </c>
      <c r="AJ4070">
        <v>34.064591</v>
      </c>
      <c r="AK4070" t="s">
        <v>1299</v>
      </c>
      <c r="AL4070">
        <v>-117.013729</v>
      </c>
      <c r="AM4070">
        <v>100</v>
      </c>
      <c r="AN4070">
        <v>5400</v>
      </c>
      <c r="AO4070" t="s">
        <v>118</v>
      </c>
      <c r="AP4070">
        <v>-63</v>
      </c>
      <c r="AQ4070">
        <v>65</v>
      </c>
      <c r="AR4070">
        <v>192</v>
      </c>
      <c r="AZ4070">
        <v>1200</v>
      </c>
      <c r="BA4070">
        <v>1</v>
      </c>
      <c r="BB4070" t="str">
        <f t="shared" si="2262"/>
        <v xml:space="preserve">N9217B  </v>
      </c>
      <c r="BC4070">
        <v>1</v>
      </c>
      <c r="BE4070">
        <v>0</v>
      </c>
      <c r="BF4070">
        <v>0</v>
      </c>
      <c r="BG4070">
        <v>0</v>
      </c>
      <c r="BH4070">
        <v>5250</v>
      </c>
      <c r="BI4070">
        <v>1</v>
      </c>
      <c r="BJ4070">
        <v>0</v>
      </c>
      <c r="BK4070">
        <v>0</v>
      </c>
      <c r="BL4070">
        <v>0</v>
      </c>
      <c r="BO4070">
        <v>0</v>
      </c>
      <c r="BP4070">
        <v>0</v>
      </c>
      <c r="BW4070" t="str">
        <f t="shared" ref="BW4070:BW4076" si="2283">"14:59:10.358"</f>
        <v>14:59:10.358</v>
      </c>
      <c r="CJ4070">
        <v>0</v>
      </c>
      <c r="CK4070">
        <v>2</v>
      </c>
      <c r="CL4070">
        <v>0</v>
      </c>
      <c r="CM4070">
        <v>2</v>
      </c>
      <c r="CN4070">
        <v>0</v>
      </c>
      <c r="CO4070">
        <v>4</v>
      </c>
      <c r="CP4070" t="s">
        <v>119</v>
      </c>
      <c r="CQ4070">
        <v>285</v>
      </c>
      <c r="CR4070">
        <v>0</v>
      </c>
      <c r="CW4070">
        <v>8888414</v>
      </c>
      <c r="CY4070">
        <v>0</v>
      </c>
      <c r="CZ4070">
        <v>0</v>
      </c>
      <c r="DA4070">
        <v>0</v>
      </c>
      <c r="DB4070">
        <v>0</v>
      </c>
      <c r="DC4070">
        <v>0</v>
      </c>
      <c r="DD4070">
        <v>0</v>
      </c>
      <c r="DE4070">
        <v>0</v>
      </c>
      <c r="DF4070">
        <v>0</v>
      </c>
      <c r="DG4070">
        <v>0</v>
      </c>
      <c r="DH4070">
        <v>0</v>
      </c>
      <c r="DI4070">
        <v>0</v>
      </c>
    </row>
    <row r="4071" spans="1:113" x14ac:dyDescent="0.25">
      <c r="A4071" t="str">
        <f t="shared" si="2281"/>
        <v>06/05/2020 14:59:04.724</v>
      </c>
      <c r="C4071" t="str">
        <f t="shared" si="2280"/>
        <v>FFDFD3C0</v>
      </c>
      <c r="D4071" t="s">
        <v>148</v>
      </c>
      <c r="E4071">
        <v>8</v>
      </c>
      <c r="H4071">
        <v>50</v>
      </c>
      <c r="I4071" t="s">
        <v>149</v>
      </c>
      <c r="J4071" t="s">
        <v>150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 t="shared" si="2282"/>
        <v>14:59:10.352</v>
      </c>
      <c r="T4071" t="str">
        <f t="shared" si="2282"/>
        <v>14:59:10.352</v>
      </c>
      <c r="U4071" t="str">
        <f t="shared" si="2258"/>
        <v>ACC530</v>
      </c>
      <c r="V4071">
        <v>0</v>
      </c>
      <c r="W4071">
        <v>0</v>
      </c>
      <c r="X4071">
        <v>1</v>
      </c>
      <c r="Z4071">
        <v>0</v>
      </c>
      <c r="AA4071">
        <v>9</v>
      </c>
      <c r="AB4071">
        <v>3</v>
      </c>
      <c r="AC4071">
        <v>0</v>
      </c>
      <c r="AD4071">
        <v>9</v>
      </c>
      <c r="AE4071">
        <v>0</v>
      </c>
      <c r="AF4071">
        <v>3</v>
      </c>
      <c r="AG4071">
        <v>1</v>
      </c>
      <c r="AH4071">
        <v>0</v>
      </c>
      <c r="AI4071" t="s">
        <v>1298</v>
      </c>
      <c r="AJ4071">
        <v>34.064591</v>
      </c>
      <c r="AK4071" t="s">
        <v>1299</v>
      </c>
      <c r="AL4071">
        <v>-117.013729</v>
      </c>
      <c r="AM4071">
        <v>100</v>
      </c>
      <c r="AN4071">
        <v>5400</v>
      </c>
      <c r="AO4071" t="s">
        <v>118</v>
      </c>
      <c r="AP4071">
        <v>-63</v>
      </c>
      <c r="AQ4071">
        <v>65</v>
      </c>
      <c r="AR4071">
        <v>192</v>
      </c>
      <c r="AZ4071">
        <v>1200</v>
      </c>
      <c r="BA4071">
        <v>1</v>
      </c>
      <c r="BB4071" t="str">
        <f t="shared" si="2262"/>
        <v xml:space="preserve">N9217B  </v>
      </c>
      <c r="BC4071">
        <v>1</v>
      </c>
      <c r="BE4071">
        <v>0</v>
      </c>
      <c r="BF4071">
        <v>0</v>
      </c>
      <c r="BG4071">
        <v>0</v>
      </c>
      <c r="BH4071">
        <v>5250</v>
      </c>
      <c r="BI4071">
        <v>1</v>
      </c>
      <c r="BJ4071">
        <v>0</v>
      </c>
      <c r="BK4071">
        <v>0</v>
      </c>
      <c r="BL4071">
        <v>0</v>
      </c>
      <c r="BO4071">
        <v>0</v>
      </c>
      <c r="BP4071">
        <v>0</v>
      </c>
      <c r="BW4071" t="str">
        <f t="shared" si="2283"/>
        <v>14:59:10.358</v>
      </c>
      <c r="CJ4071">
        <v>0</v>
      </c>
      <c r="CK4071">
        <v>2</v>
      </c>
      <c r="CL4071">
        <v>0</v>
      </c>
      <c r="CM4071">
        <v>2</v>
      </c>
      <c r="CN4071">
        <v>0</v>
      </c>
      <c r="CO4071">
        <v>4</v>
      </c>
      <c r="CP4071" t="s">
        <v>119</v>
      </c>
      <c r="CQ4071">
        <v>285</v>
      </c>
      <c r="CR4071">
        <v>0</v>
      </c>
      <c r="CW4071">
        <v>8888414</v>
      </c>
      <c r="CY4071">
        <v>0</v>
      </c>
      <c r="CZ4071">
        <v>0</v>
      </c>
      <c r="DA4071">
        <v>1</v>
      </c>
      <c r="DB4071">
        <v>0</v>
      </c>
      <c r="DC4071">
        <v>0</v>
      </c>
      <c r="DD4071">
        <v>0</v>
      </c>
      <c r="DE4071">
        <v>0</v>
      </c>
      <c r="DF4071">
        <v>0</v>
      </c>
      <c r="DG4071">
        <v>0</v>
      </c>
      <c r="DH4071">
        <v>0</v>
      </c>
      <c r="DI4071">
        <v>0</v>
      </c>
    </row>
    <row r="4072" spans="1:113" x14ac:dyDescent="0.25">
      <c r="A4072" t="str">
        <f t="shared" si="2281"/>
        <v>06/05/2020 14:59:04.724</v>
      </c>
      <c r="C4072" t="str">
        <f t="shared" si="2280"/>
        <v>FFDFD3C0</v>
      </c>
      <c r="D4072" t="s">
        <v>151</v>
      </c>
      <c r="E4072">
        <v>9</v>
      </c>
      <c r="H4072">
        <v>226</v>
      </c>
      <c r="I4072" t="s">
        <v>152</v>
      </c>
      <c r="J4072" t="s">
        <v>150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 t="shared" si="2282"/>
        <v>14:59:10.352</v>
      </c>
      <c r="T4072" t="str">
        <f t="shared" si="2282"/>
        <v>14:59:10.352</v>
      </c>
      <c r="U4072" t="str">
        <f t="shared" si="2258"/>
        <v>ACC530</v>
      </c>
      <c r="V4072">
        <v>0</v>
      </c>
      <c r="W4072">
        <v>0</v>
      </c>
      <c r="X4072">
        <v>1</v>
      </c>
      <c r="Z4072">
        <v>0</v>
      </c>
      <c r="AA4072">
        <v>9</v>
      </c>
      <c r="AB4072">
        <v>3</v>
      </c>
      <c r="AC4072">
        <v>0</v>
      </c>
      <c r="AD4072">
        <v>9</v>
      </c>
      <c r="AE4072">
        <v>0</v>
      </c>
      <c r="AF4072">
        <v>3</v>
      </c>
      <c r="AG4072">
        <v>1</v>
      </c>
      <c r="AH4072">
        <v>0</v>
      </c>
      <c r="AI4072" t="s">
        <v>1298</v>
      </c>
      <c r="AJ4072">
        <v>34.064591</v>
      </c>
      <c r="AK4072" t="s">
        <v>1299</v>
      </c>
      <c r="AL4072">
        <v>-117.013729</v>
      </c>
      <c r="AM4072">
        <v>100</v>
      </c>
      <c r="AN4072">
        <v>5400</v>
      </c>
      <c r="AO4072" t="s">
        <v>118</v>
      </c>
      <c r="AP4072">
        <v>-63</v>
      </c>
      <c r="AQ4072">
        <v>65</v>
      </c>
      <c r="AR4072">
        <v>192</v>
      </c>
      <c r="AZ4072">
        <v>1200</v>
      </c>
      <c r="BA4072">
        <v>1</v>
      </c>
      <c r="BB4072" t="str">
        <f t="shared" si="2262"/>
        <v xml:space="preserve">N9217B  </v>
      </c>
      <c r="BC4072">
        <v>1</v>
      </c>
      <c r="BE4072">
        <v>0</v>
      </c>
      <c r="BF4072">
        <v>0</v>
      </c>
      <c r="BG4072">
        <v>0</v>
      </c>
      <c r="BH4072">
        <v>5250</v>
      </c>
      <c r="BI4072">
        <v>1</v>
      </c>
      <c r="BJ4072">
        <v>0</v>
      </c>
      <c r="BK4072">
        <v>0</v>
      </c>
      <c r="BL4072">
        <v>0</v>
      </c>
      <c r="BO4072">
        <v>0</v>
      </c>
      <c r="BP4072">
        <v>0</v>
      </c>
      <c r="BW4072" t="str">
        <f t="shared" si="2283"/>
        <v>14:59:10.358</v>
      </c>
      <c r="CJ4072">
        <v>0</v>
      </c>
      <c r="CK4072">
        <v>2</v>
      </c>
      <c r="CL4072">
        <v>0</v>
      </c>
      <c r="CM4072">
        <v>2</v>
      </c>
      <c r="CN4072">
        <v>0</v>
      </c>
      <c r="CO4072">
        <v>4</v>
      </c>
      <c r="CP4072" t="s">
        <v>119</v>
      </c>
      <c r="CQ4072">
        <v>285</v>
      </c>
      <c r="CR4072">
        <v>0</v>
      </c>
      <c r="CW4072">
        <v>8888414</v>
      </c>
      <c r="CY4072">
        <v>0</v>
      </c>
      <c r="CZ4072">
        <v>0</v>
      </c>
      <c r="DA4072">
        <v>1</v>
      </c>
      <c r="DB4072">
        <v>0</v>
      </c>
      <c r="DC4072">
        <v>0</v>
      </c>
      <c r="DD4072">
        <v>0</v>
      </c>
      <c r="DE4072">
        <v>0</v>
      </c>
      <c r="DF4072">
        <v>0</v>
      </c>
      <c r="DG4072">
        <v>0</v>
      </c>
      <c r="DH4072">
        <v>0</v>
      </c>
      <c r="DI4072">
        <v>0</v>
      </c>
    </row>
    <row r="4073" spans="1:113" x14ac:dyDescent="0.25">
      <c r="A4073" t="str">
        <f t="shared" si="2281"/>
        <v>06/05/2020 14:59:04.724</v>
      </c>
      <c r="C4073" t="str">
        <f t="shared" si="2280"/>
        <v>FFDFD3C0</v>
      </c>
      <c r="D4073" t="s">
        <v>134</v>
      </c>
      <c r="E4073">
        <v>7</v>
      </c>
      <c r="F4073">
        <v>2007</v>
      </c>
      <c r="G4073" t="s">
        <v>135</v>
      </c>
      <c r="J4073" t="s">
        <v>136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 t="shared" si="2282"/>
        <v>14:59:10.352</v>
      </c>
      <c r="T4073" t="str">
        <f t="shared" si="2282"/>
        <v>14:59:10.352</v>
      </c>
      <c r="U4073" t="str">
        <f t="shared" si="2258"/>
        <v>ACC530</v>
      </c>
      <c r="V4073">
        <v>0</v>
      </c>
      <c r="W4073">
        <v>0</v>
      </c>
      <c r="X4073">
        <v>1</v>
      </c>
      <c r="Z4073">
        <v>0</v>
      </c>
      <c r="AA4073">
        <v>9</v>
      </c>
      <c r="AB4073">
        <v>3</v>
      </c>
      <c r="AC4073">
        <v>0</v>
      </c>
      <c r="AD4073">
        <v>9</v>
      </c>
      <c r="AE4073">
        <v>0</v>
      </c>
      <c r="AF4073">
        <v>3</v>
      </c>
      <c r="AG4073">
        <v>1</v>
      </c>
      <c r="AH4073">
        <v>0</v>
      </c>
      <c r="AI4073" t="s">
        <v>1298</v>
      </c>
      <c r="AJ4073">
        <v>34.064591</v>
      </c>
      <c r="AK4073" t="s">
        <v>1299</v>
      </c>
      <c r="AL4073">
        <v>-117.013729</v>
      </c>
      <c r="AM4073">
        <v>100</v>
      </c>
      <c r="AN4073">
        <v>5400</v>
      </c>
      <c r="AO4073" t="s">
        <v>118</v>
      </c>
      <c r="AP4073">
        <v>-63</v>
      </c>
      <c r="AQ4073">
        <v>65</v>
      </c>
      <c r="AR4073">
        <v>192</v>
      </c>
      <c r="AZ4073">
        <v>1200</v>
      </c>
      <c r="BA4073">
        <v>1</v>
      </c>
      <c r="BB4073" t="str">
        <f t="shared" si="2262"/>
        <v xml:space="preserve">N9217B  </v>
      </c>
      <c r="BC4073">
        <v>1</v>
      </c>
      <c r="BE4073">
        <v>0</v>
      </c>
      <c r="BF4073">
        <v>0</v>
      </c>
      <c r="BG4073">
        <v>0</v>
      </c>
      <c r="BH4073">
        <v>5250</v>
      </c>
      <c r="BI4073">
        <v>1</v>
      </c>
      <c r="BJ4073">
        <v>0</v>
      </c>
      <c r="BK4073">
        <v>0</v>
      </c>
      <c r="BL4073">
        <v>0</v>
      </c>
      <c r="BO4073">
        <v>0</v>
      </c>
      <c r="BP4073">
        <v>0</v>
      </c>
      <c r="BW4073" t="str">
        <f t="shared" si="2283"/>
        <v>14:59:10.358</v>
      </c>
      <c r="CJ4073">
        <v>0</v>
      </c>
      <c r="CK4073">
        <v>2</v>
      </c>
      <c r="CL4073">
        <v>0</v>
      </c>
      <c r="CM4073">
        <v>2</v>
      </c>
      <c r="CN4073">
        <v>0</v>
      </c>
      <c r="CO4073">
        <v>4</v>
      </c>
      <c r="CP4073" t="s">
        <v>119</v>
      </c>
      <c r="CQ4073">
        <v>285</v>
      </c>
      <c r="CR4073">
        <v>0</v>
      </c>
      <c r="CW4073">
        <v>8888414</v>
      </c>
      <c r="CY4073">
        <v>0</v>
      </c>
      <c r="CZ4073">
        <v>0</v>
      </c>
      <c r="DA4073">
        <v>1</v>
      </c>
      <c r="DB4073">
        <v>0</v>
      </c>
      <c r="DC4073">
        <v>0</v>
      </c>
      <c r="DD4073">
        <v>0</v>
      </c>
      <c r="DE4073">
        <v>0</v>
      </c>
      <c r="DF4073">
        <v>0</v>
      </c>
      <c r="DG4073">
        <v>0</v>
      </c>
      <c r="DH4073">
        <v>0</v>
      </c>
      <c r="DI4073">
        <v>0</v>
      </c>
    </row>
    <row r="4074" spans="1:113" x14ac:dyDescent="0.25">
      <c r="A4074" t="str">
        <f t="shared" si="2281"/>
        <v>06/05/2020 14:59:04.724</v>
      </c>
      <c r="C4074" t="str">
        <f t="shared" si="2280"/>
        <v>FFDFD3C0</v>
      </c>
      <c r="D4074" t="s">
        <v>148</v>
      </c>
      <c r="E4074">
        <v>11</v>
      </c>
      <c r="H4074">
        <v>53</v>
      </c>
      <c r="I4074" t="s">
        <v>364</v>
      </c>
      <c r="J4074" t="s">
        <v>150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 t="shared" si="2282"/>
        <v>14:59:10.352</v>
      </c>
      <c r="T4074" t="str">
        <f t="shared" si="2282"/>
        <v>14:59:10.352</v>
      </c>
      <c r="U4074" t="str">
        <f t="shared" si="2258"/>
        <v>ACC530</v>
      </c>
      <c r="V4074">
        <v>0</v>
      </c>
      <c r="W4074">
        <v>0</v>
      </c>
      <c r="X4074">
        <v>1</v>
      </c>
      <c r="Z4074">
        <v>0</v>
      </c>
      <c r="AA4074">
        <v>9</v>
      </c>
      <c r="AB4074">
        <v>3</v>
      </c>
      <c r="AC4074">
        <v>0</v>
      </c>
      <c r="AD4074">
        <v>9</v>
      </c>
      <c r="AE4074">
        <v>0</v>
      </c>
      <c r="AF4074">
        <v>3</v>
      </c>
      <c r="AG4074">
        <v>1</v>
      </c>
      <c r="AH4074">
        <v>0</v>
      </c>
      <c r="AI4074" t="s">
        <v>1298</v>
      </c>
      <c r="AJ4074">
        <v>34.064591</v>
      </c>
      <c r="AK4074" t="s">
        <v>1299</v>
      </c>
      <c r="AL4074">
        <v>-117.013729</v>
      </c>
      <c r="AM4074">
        <v>100</v>
      </c>
      <c r="AN4074">
        <v>5400</v>
      </c>
      <c r="AO4074" t="s">
        <v>118</v>
      </c>
      <c r="AP4074">
        <v>-63</v>
      </c>
      <c r="AQ4074">
        <v>65</v>
      </c>
      <c r="AR4074">
        <v>192</v>
      </c>
      <c r="AZ4074">
        <v>1200</v>
      </c>
      <c r="BA4074">
        <v>1</v>
      </c>
      <c r="BB4074" t="str">
        <f t="shared" si="2262"/>
        <v xml:space="preserve">N9217B  </v>
      </c>
      <c r="BC4074">
        <v>1</v>
      </c>
      <c r="BE4074">
        <v>0</v>
      </c>
      <c r="BF4074">
        <v>0</v>
      </c>
      <c r="BG4074">
        <v>0</v>
      </c>
      <c r="BH4074">
        <v>5250</v>
      </c>
      <c r="BI4074">
        <v>1</v>
      </c>
      <c r="BJ4074">
        <v>0</v>
      </c>
      <c r="BK4074">
        <v>0</v>
      </c>
      <c r="BL4074">
        <v>0</v>
      </c>
      <c r="BO4074">
        <v>0</v>
      </c>
      <c r="BP4074">
        <v>0</v>
      </c>
      <c r="BW4074" t="str">
        <f t="shared" si="2283"/>
        <v>14:59:10.358</v>
      </c>
      <c r="CJ4074">
        <v>0</v>
      </c>
      <c r="CK4074">
        <v>2</v>
      </c>
      <c r="CL4074">
        <v>0</v>
      </c>
      <c r="CM4074">
        <v>2</v>
      </c>
      <c r="CN4074">
        <v>0</v>
      </c>
      <c r="CO4074">
        <v>4</v>
      </c>
      <c r="CP4074" t="s">
        <v>119</v>
      </c>
      <c r="CQ4074">
        <v>285</v>
      </c>
      <c r="CR4074">
        <v>0</v>
      </c>
      <c r="CW4074">
        <v>8888414</v>
      </c>
      <c r="CY4074">
        <v>0</v>
      </c>
      <c r="CZ4074">
        <v>0</v>
      </c>
      <c r="DA4074">
        <v>1</v>
      </c>
      <c r="DB4074">
        <v>0</v>
      </c>
      <c r="DC4074">
        <v>0</v>
      </c>
      <c r="DD4074">
        <v>0</v>
      </c>
      <c r="DE4074">
        <v>0</v>
      </c>
      <c r="DF4074">
        <v>0</v>
      </c>
      <c r="DG4074">
        <v>0</v>
      </c>
      <c r="DH4074">
        <v>0</v>
      </c>
      <c r="DI4074">
        <v>0</v>
      </c>
    </row>
    <row r="4075" spans="1:113" x14ac:dyDescent="0.25">
      <c r="A4075" t="str">
        <f t="shared" si="2281"/>
        <v>06/05/2020 14:59:04.724</v>
      </c>
      <c r="C4075" t="str">
        <f t="shared" si="2280"/>
        <v>FFDFD3C0</v>
      </c>
      <c r="D4075" t="s">
        <v>141</v>
      </c>
      <c r="E4075">
        <v>20</v>
      </c>
      <c r="F4075">
        <v>1020</v>
      </c>
      <c r="G4075" t="s">
        <v>114</v>
      </c>
      <c r="J4075" t="s">
        <v>142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 t="shared" si="2282"/>
        <v>14:59:10.352</v>
      </c>
      <c r="T4075" t="str">
        <f t="shared" si="2282"/>
        <v>14:59:10.352</v>
      </c>
      <c r="U4075" t="str">
        <f t="shared" si="2258"/>
        <v>ACC530</v>
      </c>
      <c r="V4075">
        <v>0</v>
      </c>
      <c r="W4075">
        <v>0</v>
      </c>
      <c r="X4075">
        <v>1</v>
      </c>
      <c r="Z4075">
        <v>0</v>
      </c>
      <c r="AA4075">
        <v>9</v>
      </c>
      <c r="AB4075">
        <v>3</v>
      </c>
      <c r="AC4075">
        <v>0</v>
      </c>
      <c r="AD4075">
        <v>9</v>
      </c>
      <c r="AE4075">
        <v>0</v>
      </c>
      <c r="AF4075">
        <v>3</v>
      </c>
      <c r="AG4075">
        <v>1</v>
      </c>
      <c r="AH4075">
        <v>0</v>
      </c>
      <c r="AI4075" t="s">
        <v>1298</v>
      </c>
      <c r="AJ4075">
        <v>34.064591</v>
      </c>
      <c r="AK4075" t="s">
        <v>1299</v>
      </c>
      <c r="AL4075">
        <v>-117.013729</v>
      </c>
      <c r="AM4075">
        <v>100</v>
      </c>
      <c r="AN4075">
        <v>5400</v>
      </c>
      <c r="AO4075" t="s">
        <v>118</v>
      </c>
      <c r="AP4075">
        <v>-63</v>
      </c>
      <c r="AQ4075">
        <v>65</v>
      </c>
      <c r="AR4075">
        <v>192</v>
      </c>
      <c r="AZ4075">
        <v>1200</v>
      </c>
      <c r="BA4075">
        <v>1</v>
      </c>
      <c r="BB4075" t="str">
        <f t="shared" si="2262"/>
        <v xml:space="preserve">N9217B  </v>
      </c>
      <c r="BC4075">
        <v>1</v>
      </c>
      <c r="BE4075">
        <v>0</v>
      </c>
      <c r="BF4075">
        <v>0</v>
      </c>
      <c r="BG4075">
        <v>0</v>
      </c>
      <c r="BH4075">
        <v>5250</v>
      </c>
      <c r="BI4075">
        <v>1</v>
      </c>
      <c r="BJ4075">
        <v>0</v>
      </c>
      <c r="BK4075">
        <v>0</v>
      </c>
      <c r="BL4075">
        <v>0</v>
      </c>
      <c r="BO4075">
        <v>0</v>
      </c>
      <c r="BP4075">
        <v>0</v>
      </c>
      <c r="BW4075" t="str">
        <f t="shared" si="2283"/>
        <v>14:59:10.358</v>
      </c>
      <c r="CJ4075">
        <v>0</v>
      </c>
      <c r="CK4075">
        <v>2</v>
      </c>
      <c r="CL4075">
        <v>0</v>
      </c>
      <c r="CM4075">
        <v>2</v>
      </c>
      <c r="CN4075">
        <v>0</v>
      </c>
      <c r="CO4075">
        <v>4</v>
      </c>
      <c r="CP4075" t="s">
        <v>119</v>
      </c>
      <c r="CQ4075">
        <v>285</v>
      </c>
      <c r="CR4075">
        <v>0</v>
      </c>
      <c r="CW4075">
        <v>8888414</v>
      </c>
      <c r="CY4075">
        <v>0</v>
      </c>
      <c r="CZ4075">
        <v>0</v>
      </c>
      <c r="DA4075">
        <v>1</v>
      </c>
      <c r="DB4075">
        <v>0</v>
      </c>
      <c r="DC4075">
        <v>0</v>
      </c>
      <c r="DD4075">
        <v>0</v>
      </c>
      <c r="DE4075">
        <v>0</v>
      </c>
      <c r="DF4075">
        <v>0</v>
      </c>
      <c r="DG4075">
        <v>0</v>
      </c>
      <c r="DH4075">
        <v>0</v>
      </c>
      <c r="DI4075">
        <v>0</v>
      </c>
    </row>
    <row r="4076" spans="1:113" x14ac:dyDescent="0.25">
      <c r="A4076" t="str">
        <f t="shared" si="2281"/>
        <v>06/05/2020 14:59:04.724</v>
      </c>
      <c r="C4076" t="str">
        <f t="shared" si="2280"/>
        <v>FFDFD3C0</v>
      </c>
      <c r="D4076" t="s">
        <v>151</v>
      </c>
      <c r="E4076">
        <v>8</v>
      </c>
      <c r="H4076">
        <v>225</v>
      </c>
      <c r="I4076" t="s">
        <v>353</v>
      </c>
      <c r="J4076" t="s">
        <v>150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 t="shared" si="2282"/>
        <v>14:59:10.352</v>
      </c>
      <c r="T4076" t="str">
        <f t="shared" si="2282"/>
        <v>14:59:10.352</v>
      </c>
      <c r="U4076" t="str">
        <f t="shared" si="2258"/>
        <v>ACC530</v>
      </c>
      <c r="V4076">
        <v>0</v>
      </c>
      <c r="W4076">
        <v>0</v>
      </c>
      <c r="X4076">
        <v>1</v>
      </c>
      <c r="Z4076">
        <v>0</v>
      </c>
      <c r="AA4076">
        <v>9</v>
      </c>
      <c r="AB4076">
        <v>3</v>
      </c>
      <c r="AC4076">
        <v>0</v>
      </c>
      <c r="AD4076">
        <v>9</v>
      </c>
      <c r="AE4076">
        <v>0</v>
      </c>
      <c r="AF4076">
        <v>3</v>
      </c>
      <c r="AG4076">
        <v>1</v>
      </c>
      <c r="AH4076">
        <v>0</v>
      </c>
      <c r="AI4076" t="s">
        <v>1298</v>
      </c>
      <c r="AJ4076">
        <v>34.064591</v>
      </c>
      <c r="AK4076" t="s">
        <v>1299</v>
      </c>
      <c r="AL4076">
        <v>-117.013729</v>
      </c>
      <c r="AM4076">
        <v>100</v>
      </c>
      <c r="AN4076">
        <v>5400</v>
      </c>
      <c r="AO4076" t="s">
        <v>118</v>
      </c>
      <c r="AP4076">
        <v>-63</v>
      </c>
      <c r="AQ4076">
        <v>65</v>
      </c>
      <c r="AR4076">
        <v>192</v>
      </c>
      <c r="AZ4076">
        <v>1200</v>
      </c>
      <c r="BA4076">
        <v>1</v>
      </c>
      <c r="BB4076" t="str">
        <f t="shared" si="2262"/>
        <v xml:space="preserve">N9217B  </v>
      </c>
      <c r="BC4076">
        <v>1</v>
      </c>
      <c r="BE4076">
        <v>0</v>
      </c>
      <c r="BF4076">
        <v>0</v>
      </c>
      <c r="BG4076">
        <v>0</v>
      </c>
      <c r="BH4076">
        <v>5250</v>
      </c>
      <c r="BI4076">
        <v>1</v>
      </c>
      <c r="BJ4076">
        <v>0</v>
      </c>
      <c r="BK4076">
        <v>0</v>
      </c>
      <c r="BL4076">
        <v>0</v>
      </c>
      <c r="BO4076">
        <v>0</v>
      </c>
      <c r="BP4076">
        <v>0</v>
      </c>
      <c r="BW4076" t="str">
        <f t="shared" si="2283"/>
        <v>14:59:10.358</v>
      </c>
      <c r="CJ4076">
        <v>0</v>
      </c>
      <c r="CK4076">
        <v>2</v>
      </c>
      <c r="CL4076">
        <v>0</v>
      </c>
      <c r="CM4076">
        <v>2</v>
      </c>
      <c r="CN4076">
        <v>0</v>
      </c>
      <c r="CO4076">
        <v>4</v>
      </c>
      <c r="CP4076" t="s">
        <v>119</v>
      </c>
      <c r="CQ4076">
        <v>285</v>
      </c>
      <c r="CR4076">
        <v>0</v>
      </c>
      <c r="CW4076">
        <v>8888414</v>
      </c>
      <c r="CY4076">
        <v>0</v>
      </c>
      <c r="CZ4076">
        <v>0</v>
      </c>
      <c r="DA4076">
        <v>1</v>
      </c>
      <c r="DB4076">
        <v>0</v>
      </c>
      <c r="DC4076">
        <v>0</v>
      </c>
      <c r="DD4076">
        <v>0</v>
      </c>
      <c r="DE4076">
        <v>0</v>
      </c>
      <c r="DF4076">
        <v>0</v>
      </c>
      <c r="DG4076">
        <v>0</v>
      </c>
      <c r="DH4076">
        <v>0</v>
      </c>
      <c r="DI4076">
        <v>0</v>
      </c>
    </row>
    <row r="4077" spans="1:113" x14ac:dyDescent="0.25">
      <c r="A4077" t="str">
        <f t="shared" ref="A4077:A4083" si="2284">"06/05/2020 14:59:06.287"</f>
        <v>06/05/2020 14:59:06.287</v>
      </c>
      <c r="C4077" t="str">
        <f t="shared" si="2280"/>
        <v>FFDFD3C0</v>
      </c>
      <c r="D4077" t="s">
        <v>151</v>
      </c>
      <c r="E4077">
        <v>8</v>
      </c>
      <c r="H4077">
        <v>225</v>
      </c>
      <c r="I4077" t="s">
        <v>353</v>
      </c>
      <c r="J4077" t="s">
        <v>150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 t="shared" ref="S4077:S4083" si="2285">"14:59:11.930"</f>
        <v>14:59:11.930</v>
      </c>
      <c r="T4077" t="str">
        <f t="shared" ref="T4077:T4083" si="2286">"14:59:11.830"</f>
        <v>14:59:11.830</v>
      </c>
      <c r="U4077" t="str">
        <f t="shared" si="2258"/>
        <v>ACC530</v>
      </c>
      <c r="V4077">
        <v>0</v>
      </c>
      <c r="W4077">
        <v>0</v>
      </c>
      <c r="X4077">
        <v>1</v>
      </c>
      <c r="Z4077">
        <v>0</v>
      </c>
      <c r="AA4077">
        <v>9</v>
      </c>
      <c r="AB4077">
        <v>3</v>
      </c>
      <c r="AC4077">
        <v>0</v>
      </c>
      <c r="AD4077">
        <v>9</v>
      </c>
      <c r="AE4077">
        <v>0</v>
      </c>
      <c r="AF4077">
        <v>3</v>
      </c>
      <c r="AG4077">
        <v>1</v>
      </c>
      <c r="AH4077">
        <v>0</v>
      </c>
      <c r="AI4077" t="s">
        <v>1300</v>
      </c>
      <c r="AJ4077">
        <v>34.065063000000002</v>
      </c>
      <c r="AK4077" t="s">
        <v>1301</v>
      </c>
      <c r="AL4077">
        <v>-117.014287</v>
      </c>
      <c r="AM4077">
        <v>100</v>
      </c>
      <c r="AN4077">
        <v>5400</v>
      </c>
      <c r="AO4077" t="s">
        <v>118</v>
      </c>
      <c r="AP4077">
        <v>-68</v>
      </c>
      <c r="AQ4077">
        <v>60</v>
      </c>
      <c r="AR4077">
        <v>128</v>
      </c>
      <c r="AZ4077">
        <v>1200</v>
      </c>
      <c r="BA4077">
        <v>1</v>
      </c>
      <c r="BB4077" t="str">
        <f t="shared" si="2262"/>
        <v xml:space="preserve">N9217B  </v>
      </c>
      <c r="BC4077">
        <v>1</v>
      </c>
      <c r="BE4077">
        <v>0</v>
      </c>
      <c r="BF4077">
        <v>0</v>
      </c>
      <c r="BG4077">
        <v>0</v>
      </c>
      <c r="BH4077">
        <v>5275</v>
      </c>
      <c r="BI4077">
        <v>1</v>
      </c>
      <c r="BJ4077">
        <v>0</v>
      </c>
      <c r="BK4077">
        <v>0</v>
      </c>
      <c r="BL4077">
        <v>0</v>
      </c>
      <c r="BO4077">
        <v>0</v>
      </c>
      <c r="BP4077">
        <v>0</v>
      </c>
      <c r="BW4077" t="str">
        <f t="shared" ref="BW4077:BW4083" si="2287">"14:59:11.933"</f>
        <v>14:59:11.933</v>
      </c>
      <c r="CJ4077">
        <v>0</v>
      </c>
      <c r="CK4077">
        <v>2</v>
      </c>
      <c r="CL4077">
        <v>0</v>
      </c>
      <c r="CM4077">
        <v>2</v>
      </c>
      <c r="CN4077">
        <v>0</v>
      </c>
      <c r="CO4077">
        <v>5</v>
      </c>
      <c r="CP4077" t="s">
        <v>119</v>
      </c>
      <c r="CQ4077">
        <v>285</v>
      </c>
      <c r="CR4077">
        <v>0</v>
      </c>
      <c r="CW4077">
        <v>8888564</v>
      </c>
      <c r="CY4077">
        <v>0</v>
      </c>
      <c r="CZ4077">
        <v>0</v>
      </c>
      <c r="DA4077">
        <v>0</v>
      </c>
      <c r="DB4077">
        <v>0</v>
      </c>
      <c r="DC4077">
        <v>0</v>
      </c>
      <c r="DD4077">
        <v>0</v>
      </c>
      <c r="DE4077">
        <v>0</v>
      </c>
      <c r="DF4077">
        <v>0</v>
      </c>
      <c r="DG4077">
        <v>0</v>
      </c>
      <c r="DH4077">
        <v>0</v>
      </c>
      <c r="DI4077">
        <v>0</v>
      </c>
    </row>
    <row r="4078" spans="1:113" x14ac:dyDescent="0.25">
      <c r="A4078" t="str">
        <f t="shared" si="2284"/>
        <v>06/05/2020 14:59:06.287</v>
      </c>
      <c r="C4078" t="str">
        <f t="shared" si="2280"/>
        <v>FFDFD3C0</v>
      </c>
      <c r="D4078" t="s">
        <v>113</v>
      </c>
      <c r="E4078">
        <v>3</v>
      </c>
      <c r="H4078">
        <v>166</v>
      </c>
      <c r="I4078" t="s">
        <v>114</v>
      </c>
      <c r="J4078" t="s">
        <v>115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 t="shared" si="2285"/>
        <v>14:59:11.930</v>
      </c>
      <c r="T4078" t="str">
        <f t="shared" si="2286"/>
        <v>14:59:11.830</v>
      </c>
      <c r="U4078" t="str">
        <f t="shared" si="2258"/>
        <v>ACC530</v>
      </c>
      <c r="V4078">
        <v>0</v>
      </c>
      <c r="W4078">
        <v>0</v>
      </c>
      <c r="X4078">
        <v>1</v>
      </c>
      <c r="Z4078">
        <v>0</v>
      </c>
      <c r="AA4078">
        <v>9</v>
      </c>
      <c r="AB4078">
        <v>3</v>
      </c>
      <c r="AC4078">
        <v>0</v>
      </c>
      <c r="AD4078">
        <v>9</v>
      </c>
      <c r="AE4078">
        <v>0</v>
      </c>
      <c r="AF4078">
        <v>3</v>
      </c>
      <c r="AG4078">
        <v>1</v>
      </c>
      <c r="AH4078">
        <v>0</v>
      </c>
      <c r="AI4078" t="s">
        <v>1300</v>
      </c>
      <c r="AJ4078">
        <v>34.065063000000002</v>
      </c>
      <c r="AK4078" t="s">
        <v>1301</v>
      </c>
      <c r="AL4078">
        <v>-117.014287</v>
      </c>
      <c r="AM4078">
        <v>100</v>
      </c>
      <c r="AN4078">
        <v>5400</v>
      </c>
      <c r="AO4078" t="s">
        <v>118</v>
      </c>
      <c r="AP4078">
        <v>-68</v>
      </c>
      <c r="AQ4078">
        <v>60</v>
      </c>
      <c r="AR4078">
        <v>128</v>
      </c>
      <c r="AZ4078">
        <v>1200</v>
      </c>
      <c r="BA4078">
        <v>1</v>
      </c>
      <c r="BB4078" t="str">
        <f t="shared" si="2262"/>
        <v xml:space="preserve">N9217B  </v>
      </c>
      <c r="BC4078">
        <v>1</v>
      </c>
      <c r="BE4078">
        <v>0</v>
      </c>
      <c r="BF4078">
        <v>0</v>
      </c>
      <c r="BG4078">
        <v>0</v>
      </c>
      <c r="BH4078">
        <v>5275</v>
      </c>
      <c r="BI4078">
        <v>1</v>
      </c>
      <c r="BJ4078">
        <v>0</v>
      </c>
      <c r="BK4078">
        <v>0</v>
      </c>
      <c r="BL4078">
        <v>0</v>
      </c>
      <c r="BO4078">
        <v>0</v>
      </c>
      <c r="BP4078">
        <v>0</v>
      </c>
      <c r="BW4078" t="str">
        <f t="shared" si="2287"/>
        <v>14:59:11.933</v>
      </c>
      <c r="CJ4078">
        <v>0</v>
      </c>
      <c r="CK4078">
        <v>2</v>
      </c>
      <c r="CL4078">
        <v>0</v>
      </c>
      <c r="CM4078">
        <v>2</v>
      </c>
      <c r="CN4078">
        <v>0</v>
      </c>
      <c r="CO4078">
        <v>5</v>
      </c>
      <c r="CP4078" t="s">
        <v>119</v>
      </c>
      <c r="CQ4078">
        <v>285</v>
      </c>
      <c r="CR4078">
        <v>0</v>
      </c>
      <c r="CW4078">
        <v>8888564</v>
      </c>
      <c r="CY4078">
        <v>0</v>
      </c>
      <c r="CZ4078">
        <v>0</v>
      </c>
      <c r="DA4078">
        <v>1</v>
      </c>
      <c r="DB4078">
        <v>0</v>
      </c>
      <c r="DC4078">
        <v>0</v>
      </c>
      <c r="DD4078">
        <v>0</v>
      </c>
      <c r="DE4078">
        <v>0</v>
      </c>
      <c r="DF4078">
        <v>0</v>
      </c>
      <c r="DG4078">
        <v>0</v>
      </c>
      <c r="DH4078">
        <v>0</v>
      </c>
      <c r="DI4078">
        <v>0</v>
      </c>
    </row>
    <row r="4079" spans="1:113" x14ac:dyDescent="0.25">
      <c r="A4079" t="str">
        <f t="shared" si="2284"/>
        <v>06/05/2020 14:59:06.287</v>
      </c>
      <c r="C4079" t="str">
        <f t="shared" si="2280"/>
        <v>FFDFD3C0</v>
      </c>
      <c r="D4079" t="s">
        <v>148</v>
      </c>
      <c r="E4079">
        <v>8</v>
      </c>
      <c r="H4079">
        <v>50</v>
      </c>
      <c r="I4079" t="s">
        <v>149</v>
      </c>
      <c r="J4079" t="s">
        <v>150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 t="shared" si="2285"/>
        <v>14:59:11.930</v>
      </c>
      <c r="T4079" t="str">
        <f t="shared" si="2286"/>
        <v>14:59:11.830</v>
      </c>
      <c r="U4079" t="str">
        <f t="shared" si="2258"/>
        <v>ACC530</v>
      </c>
      <c r="V4079">
        <v>0</v>
      </c>
      <c r="W4079">
        <v>0</v>
      </c>
      <c r="X4079">
        <v>1</v>
      </c>
      <c r="Z4079">
        <v>0</v>
      </c>
      <c r="AA4079">
        <v>9</v>
      </c>
      <c r="AB4079">
        <v>3</v>
      </c>
      <c r="AC4079">
        <v>0</v>
      </c>
      <c r="AD4079">
        <v>9</v>
      </c>
      <c r="AE4079">
        <v>0</v>
      </c>
      <c r="AF4079">
        <v>3</v>
      </c>
      <c r="AG4079">
        <v>1</v>
      </c>
      <c r="AH4079">
        <v>0</v>
      </c>
      <c r="AI4079" t="s">
        <v>1300</v>
      </c>
      <c r="AJ4079">
        <v>34.065063000000002</v>
      </c>
      <c r="AK4079" t="s">
        <v>1301</v>
      </c>
      <c r="AL4079">
        <v>-117.014287</v>
      </c>
      <c r="AM4079">
        <v>100</v>
      </c>
      <c r="AN4079">
        <v>5400</v>
      </c>
      <c r="AO4079" t="s">
        <v>118</v>
      </c>
      <c r="AP4079">
        <v>-68</v>
      </c>
      <c r="AQ4079">
        <v>60</v>
      </c>
      <c r="AR4079">
        <v>128</v>
      </c>
      <c r="AZ4079">
        <v>1200</v>
      </c>
      <c r="BA4079">
        <v>1</v>
      </c>
      <c r="BB4079" t="str">
        <f t="shared" si="2262"/>
        <v xml:space="preserve">N9217B  </v>
      </c>
      <c r="BC4079">
        <v>1</v>
      </c>
      <c r="BE4079">
        <v>0</v>
      </c>
      <c r="BF4079">
        <v>0</v>
      </c>
      <c r="BG4079">
        <v>0</v>
      </c>
      <c r="BH4079">
        <v>5275</v>
      </c>
      <c r="BI4079">
        <v>1</v>
      </c>
      <c r="BJ4079">
        <v>0</v>
      </c>
      <c r="BK4079">
        <v>0</v>
      </c>
      <c r="BL4079">
        <v>0</v>
      </c>
      <c r="BO4079">
        <v>0</v>
      </c>
      <c r="BP4079">
        <v>0</v>
      </c>
      <c r="BW4079" t="str">
        <f t="shared" si="2287"/>
        <v>14:59:11.933</v>
      </c>
      <c r="CJ4079">
        <v>0</v>
      </c>
      <c r="CK4079">
        <v>2</v>
      </c>
      <c r="CL4079">
        <v>0</v>
      </c>
      <c r="CM4079">
        <v>2</v>
      </c>
      <c r="CN4079">
        <v>0</v>
      </c>
      <c r="CO4079">
        <v>5</v>
      </c>
      <c r="CP4079" t="s">
        <v>119</v>
      </c>
      <c r="CQ4079">
        <v>285</v>
      </c>
      <c r="CR4079">
        <v>0</v>
      </c>
      <c r="CW4079">
        <v>8888564</v>
      </c>
      <c r="CY4079">
        <v>0</v>
      </c>
      <c r="CZ4079">
        <v>0</v>
      </c>
      <c r="DA4079">
        <v>1</v>
      </c>
      <c r="DB4079">
        <v>0</v>
      </c>
      <c r="DC4079">
        <v>0</v>
      </c>
      <c r="DD4079">
        <v>0</v>
      </c>
      <c r="DE4079">
        <v>0</v>
      </c>
      <c r="DF4079">
        <v>0</v>
      </c>
      <c r="DG4079">
        <v>0</v>
      </c>
      <c r="DH4079">
        <v>0</v>
      </c>
      <c r="DI4079">
        <v>0</v>
      </c>
    </row>
    <row r="4080" spans="1:113" x14ac:dyDescent="0.25">
      <c r="A4080" t="str">
        <f t="shared" si="2284"/>
        <v>06/05/2020 14:59:06.287</v>
      </c>
      <c r="C4080" t="str">
        <f t="shared" si="2280"/>
        <v>FFDFD3C0</v>
      </c>
      <c r="D4080" t="s">
        <v>151</v>
      </c>
      <c r="E4080">
        <v>9</v>
      </c>
      <c r="H4080">
        <v>226</v>
      </c>
      <c r="I4080" t="s">
        <v>152</v>
      </c>
      <c r="J4080" t="s">
        <v>150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 t="shared" si="2285"/>
        <v>14:59:11.930</v>
      </c>
      <c r="T4080" t="str">
        <f t="shared" si="2286"/>
        <v>14:59:11.830</v>
      </c>
      <c r="U4080" t="str">
        <f t="shared" si="2258"/>
        <v>ACC530</v>
      </c>
      <c r="V4080">
        <v>0</v>
      </c>
      <c r="W4080">
        <v>0</v>
      </c>
      <c r="X4080">
        <v>1</v>
      </c>
      <c r="Z4080">
        <v>0</v>
      </c>
      <c r="AA4080">
        <v>9</v>
      </c>
      <c r="AB4080">
        <v>3</v>
      </c>
      <c r="AC4080">
        <v>0</v>
      </c>
      <c r="AD4080">
        <v>9</v>
      </c>
      <c r="AE4080">
        <v>0</v>
      </c>
      <c r="AF4080">
        <v>3</v>
      </c>
      <c r="AG4080">
        <v>1</v>
      </c>
      <c r="AH4080">
        <v>0</v>
      </c>
      <c r="AI4080" t="s">
        <v>1300</v>
      </c>
      <c r="AJ4080">
        <v>34.065063000000002</v>
      </c>
      <c r="AK4080" t="s">
        <v>1301</v>
      </c>
      <c r="AL4080">
        <v>-117.014287</v>
      </c>
      <c r="AM4080">
        <v>100</v>
      </c>
      <c r="AN4080">
        <v>5400</v>
      </c>
      <c r="AO4080" t="s">
        <v>118</v>
      </c>
      <c r="AP4080">
        <v>-68</v>
      </c>
      <c r="AQ4080">
        <v>60</v>
      </c>
      <c r="AR4080">
        <v>128</v>
      </c>
      <c r="AZ4080">
        <v>1200</v>
      </c>
      <c r="BA4080">
        <v>1</v>
      </c>
      <c r="BB4080" t="str">
        <f t="shared" si="2262"/>
        <v xml:space="preserve">N9217B  </v>
      </c>
      <c r="BC4080">
        <v>1</v>
      </c>
      <c r="BE4080">
        <v>0</v>
      </c>
      <c r="BF4080">
        <v>0</v>
      </c>
      <c r="BG4080">
        <v>0</v>
      </c>
      <c r="BH4080">
        <v>5275</v>
      </c>
      <c r="BI4080">
        <v>1</v>
      </c>
      <c r="BJ4080">
        <v>0</v>
      </c>
      <c r="BK4080">
        <v>0</v>
      </c>
      <c r="BL4080">
        <v>0</v>
      </c>
      <c r="BO4080">
        <v>0</v>
      </c>
      <c r="BP4080">
        <v>0</v>
      </c>
      <c r="BW4080" t="str">
        <f t="shared" si="2287"/>
        <v>14:59:11.933</v>
      </c>
      <c r="CJ4080">
        <v>0</v>
      </c>
      <c r="CK4080">
        <v>2</v>
      </c>
      <c r="CL4080">
        <v>0</v>
      </c>
      <c r="CM4080">
        <v>2</v>
      </c>
      <c r="CN4080">
        <v>0</v>
      </c>
      <c r="CO4080">
        <v>5</v>
      </c>
      <c r="CP4080" t="s">
        <v>119</v>
      </c>
      <c r="CQ4080">
        <v>285</v>
      </c>
      <c r="CR4080">
        <v>0</v>
      </c>
      <c r="CW4080">
        <v>8888564</v>
      </c>
      <c r="CY4080">
        <v>0</v>
      </c>
      <c r="CZ4080">
        <v>0</v>
      </c>
      <c r="DA4080">
        <v>1</v>
      </c>
      <c r="DB4080">
        <v>0</v>
      </c>
      <c r="DC4080">
        <v>0</v>
      </c>
      <c r="DD4080">
        <v>0</v>
      </c>
      <c r="DE4080">
        <v>0</v>
      </c>
      <c r="DF4080">
        <v>0</v>
      </c>
      <c r="DG4080">
        <v>0</v>
      </c>
      <c r="DH4080">
        <v>0</v>
      </c>
      <c r="DI4080">
        <v>0</v>
      </c>
    </row>
    <row r="4081" spans="1:113" x14ac:dyDescent="0.25">
      <c r="A4081" t="str">
        <f t="shared" si="2284"/>
        <v>06/05/2020 14:59:06.287</v>
      </c>
      <c r="C4081" t="str">
        <f t="shared" si="2280"/>
        <v>FFDFD3C0</v>
      </c>
      <c r="D4081" t="s">
        <v>134</v>
      </c>
      <c r="E4081">
        <v>7</v>
      </c>
      <c r="F4081">
        <v>2007</v>
      </c>
      <c r="G4081" t="s">
        <v>135</v>
      </c>
      <c r="J4081" t="s">
        <v>136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 t="shared" si="2285"/>
        <v>14:59:11.930</v>
      </c>
      <c r="T4081" t="str">
        <f t="shared" si="2286"/>
        <v>14:59:11.830</v>
      </c>
      <c r="U4081" t="str">
        <f t="shared" si="2258"/>
        <v>ACC530</v>
      </c>
      <c r="V4081">
        <v>0</v>
      </c>
      <c r="W4081">
        <v>0</v>
      </c>
      <c r="X4081">
        <v>1</v>
      </c>
      <c r="Z4081">
        <v>0</v>
      </c>
      <c r="AA4081">
        <v>9</v>
      </c>
      <c r="AB4081">
        <v>3</v>
      </c>
      <c r="AC4081">
        <v>0</v>
      </c>
      <c r="AD4081">
        <v>9</v>
      </c>
      <c r="AE4081">
        <v>0</v>
      </c>
      <c r="AF4081">
        <v>3</v>
      </c>
      <c r="AG4081">
        <v>1</v>
      </c>
      <c r="AH4081">
        <v>0</v>
      </c>
      <c r="AI4081" t="s">
        <v>1300</v>
      </c>
      <c r="AJ4081">
        <v>34.065063000000002</v>
      </c>
      <c r="AK4081" t="s">
        <v>1301</v>
      </c>
      <c r="AL4081">
        <v>-117.014287</v>
      </c>
      <c r="AM4081">
        <v>100</v>
      </c>
      <c r="AN4081">
        <v>5400</v>
      </c>
      <c r="AO4081" t="s">
        <v>118</v>
      </c>
      <c r="AP4081">
        <v>-68</v>
      </c>
      <c r="AQ4081">
        <v>60</v>
      </c>
      <c r="AR4081">
        <v>128</v>
      </c>
      <c r="AZ4081">
        <v>1200</v>
      </c>
      <c r="BA4081">
        <v>1</v>
      </c>
      <c r="BB4081" t="str">
        <f t="shared" si="2262"/>
        <v xml:space="preserve">N9217B  </v>
      </c>
      <c r="BC4081">
        <v>1</v>
      </c>
      <c r="BE4081">
        <v>0</v>
      </c>
      <c r="BF4081">
        <v>0</v>
      </c>
      <c r="BG4081">
        <v>0</v>
      </c>
      <c r="BH4081">
        <v>5275</v>
      </c>
      <c r="BI4081">
        <v>1</v>
      </c>
      <c r="BJ4081">
        <v>0</v>
      </c>
      <c r="BK4081">
        <v>0</v>
      </c>
      <c r="BL4081">
        <v>0</v>
      </c>
      <c r="BO4081">
        <v>0</v>
      </c>
      <c r="BP4081">
        <v>0</v>
      </c>
      <c r="BW4081" t="str">
        <f t="shared" si="2287"/>
        <v>14:59:11.933</v>
      </c>
      <c r="CJ4081">
        <v>0</v>
      </c>
      <c r="CK4081">
        <v>2</v>
      </c>
      <c r="CL4081">
        <v>0</v>
      </c>
      <c r="CM4081">
        <v>2</v>
      </c>
      <c r="CN4081">
        <v>0</v>
      </c>
      <c r="CO4081">
        <v>5</v>
      </c>
      <c r="CP4081" t="s">
        <v>119</v>
      </c>
      <c r="CQ4081">
        <v>285</v>
      </c>
      <c r="CR4081">
        <v>0</v>
      </c>
      <c r="CW4081">
        <v>8888564</v>
      </c>
      <c r="CY4081">
        <v>0</v>
      </c>
      <c r="CZ4081">
        <v>0</v>
      </c>
      <c r="DA4081">
        <v>1</v>
      </c>
      <c r="DB4081">
        <v>0</v>
      </c>
      <c r="DC4081">
        <v>0</v>
      </c>
      <c r="DD4081">
        <v>0</v>
      </c>
      <c r="DE4081">
        <v>0</v>
      </c>
      <c r="DF4081">
        <v>0</v>
      </c>
      <c r="DG4081">
        <v>0</v>
      </c>
      <c r="DH4081">
        <v>0</v>
      </c>
      <c r="DI4081">
        <v>0</v>
      </c>
    </row>
    <row r="4082" spans="1:113" x14ac:dyDescent="0.25">
      <c r="A4082" t="str">
        <f t="shared" si="2284"/>
        <v>06/05/2020 14:59:06.287</v>
      </c>
      <c r="C4082" t="str">
        <f t="shared" si="2280"/>
        <v>FFDFD3C0</v>
      </c>
      <c r="D4082" t="s">
        <v>148</v>
      </c>
      <c r="E4082">
        <v>11</v>
      </c>
      <c r="H4082">
        <v>53</v>
      </c>
      <c r="I4082" t="s">
        <v>364</v>
      </c>
      <c r="J4082" t="s">
        <v>150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 t="shared" si="2285"/>
        <v>14:59:11.930</v>
      </c>
      <c r="T4082" t="str">
        <f t="shared" si="2286"/>
        <v>14:59:11.830</v>
      </c>
      <c r="U4082" t="str">
        <f t="shared" si="2258"/>
        <v>ACC530</v>
      </c>
      <c r="V4082">
        <v>0</v>
      </c>
      <c r="W4082">
        <v>0</v>
      </c>
      <c r="X4082">
        <v>1</v>
      </c>
      <c r="Z4082">
        <v>0</v>
      </c>
      <c r="AA4082">
        <v>9</v>
      </c>
      <c r="AB4082">
        <v>3</v>
      </c>
      <c r="AC4082">
        <v>0</v>
      </c>
      <c r="AD4082">
        <v>9</v>
      </c>
      <c r="AE4082">
        <v>0</v>
      </c>
      <c r="AF4082">
        <v>3</v>
      </c>
      <c r="AG4082">
        <v>1</v>
      </c>
      <c r="AH4082">
        <v>0</v>
      </c>
      <c r="AI4082" t="s">
        <v>1300</v>
      </c>
      <c r="AJ4082">
        <v>34.065063000000002</v>
      </c>
      <c r="AK4082" t="s">
        <v>1301</v>
      </c>
      <c r="AL4082">
        <v>-117.014287</v>
      </c>
      <c r="AM4082">
        <v>100</v>
      </c>
      <c r="AN4082">
        <v>5400</v>
      </c>
      <c r="AO4082" t="s">
        <v>118</v>
      </c>
      <c r="AP4082">
        <v>-68</v>
      </c>
      <c r="AQ4082">
        <v>60</v>
      </c>
      <c r="AR4082">
        <v>128</v>
      </c>
      <c r="AZ4082">
        <v>1200</v>
      </c>
      <c r="BA4082">
        <v>1</v>
      </c>
      <c r="BB4082" t="str">
        <f t="shared" si="2262"/>
        <v xml:space="preserve">N9217B  </v>
      </c>
      <c r="BC4082">
        <v>1</v>
      </c>
      <c r="BE4082">
        <v>0</v>
      </c>
      <c r="BF4082">
        <v>0</v>
      </c>
      <c r="BG4082">
        <v>0</v>
      </c>
      <c r="BH4082">
        <v>5275</v>
      </c>
      <c r="BI4082">
        <v>1</v>
      </c>
      <c r="BJ4082">
        <v>0</v>
      </c>
      <c r="BK4082">
        <v>0</v>
      </c>
      <c r="BL4082">
        <v>0</v>
      </c>
      <c r="BO4082">
        <v>0</v>
      </c>
      <c r="BP4082">
        <v>0</v>
      </c>
      <c r="BW4082" t="str">
        <f t="shared" si="2287"/>
        <v>14:59:11.933</v>
      </c>
      <c r="CJ4082">
        <v>0</v>
      </c>
      <c r="CK4082">
        <v>2</v>
      </c>
      <c r="CL4082">
        <v>0</v>
      </c>
      <c r="CM4082">
        <v>2</v>
      </c>
      <c r="CN4082">
        <v>0</v>
      </c>
      <c r="CO4082">
        <v>5</v>
      </c>
      <c r="CP4082" t="s">
        <v>119</v>
      </c>
      <c r="CQ4082">
        <v>285</v>
      </c>
      <c r="CR4082">
        <v>0</v>
      </c>
      <c r="CW4082">
        <v>8888564</v>
      </c>
      <c r="CY4082">
        <v>0</v>
      </c>
      <c r="CZ4082">
        <v>0</v>
      </c>
      <c r="DA4082">
        <v>1</v>
      </c>
      <c r="DB4082">
        <v>0</v>
      </c>
      <c r="DC4082">
        <v>0</v>
      </c>
      <c r="DD4082">
        <v>0</v>
      </c>
      <c r="DE4082">
        <v>0</v>
      </c>
      <c r="DF4082">
        <v>0</v>
      </c>
      <c r="DG4082">
        <v>0</v>
      </c>
      <c r="DH4082">
        <v>0</v>
      </c>
      <c r="DI4082">
        <v>0</v>
      </c>
    </row>
    <row r="4083" spans="1:113" x14ac:dyDescent="0.25">
      <c r="A4083" t="str">
        <f t="shared" si="2284"/>
        <v>06/05/2020 14:59:06.287</v>
      </c>
      <c r="C4083" t="str">
        <f t="shared" si="2280"/>
        <v>FFDFD3C0</v>
      </c>
      <c r="D4083" t="s">
        <v>141</v>
      </c>
      <c r="E4083">
        <v>20</v>
      </c>
      <c r="F4083">
        <v>1020</v>
      </c>
      <c r="G4083" t="s">
        <v>114</v>
      </c>
      <c r="J4083" t="s">
        <v>142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 t="shared" si="2285"/>
        <v>14:59:11.930</v>
      </c>
      <c r="T4083" t="str">
        <f t="shared" si="2286"/>
        <v>14:59:11.830</v>
      </c>
      <c r="U4083" t="str">
        <f t="shared" si="2258"/>
        <v>ACC530</v>
      </c>
      <c r="V4083">
        <v>0</v>
      </c>
      <c r="W4083">
        <v>0</v>
      </c>
      <c r="X4083">
        <v>1</v>
      </c>
      <c r="Z4083">
        <v>0</v>
      </c>
      <c r="AA4083">
        <v>9</v>
      </c>
      <c r="AB4083">
        <v>3</v>
      </c>
      <c r="AC4083">
        <v>0</v>
      </c>
      <c r="AD4083">
        <v>9</v>
      </c>
      <c r="AE4083">
        <v>0</v>
      </c>
      <c r="AF4083">
        <v>3</v>
      </c>
      <c r="AG4083">
        <v>1</v>
      </c>
      <c r="AH4083">
        <v>0</v>
      </c>
      <c r="AI4083" t="s">
        <v>1300</v>
      </c>
      <c r="AJ4083">
        <v>34.065063000000002</v>
      </c>
      <c r="AK4083" t="s">
        <v>1301</v>
      </c>
      <c r="AL4083">
        <v>-117.014287</v>
      </c>
      <c r="AM4083">
        <v>100</v>
      </c>
      <c r="AN4083">
        <v>5400</v>
      </c>
      <c r="AO4083" t="s">
        <v>118</v>
      </c>
      <c r="AP4083">
        <v>-68</v>
      </c>
      <c r="AQ4083">
        <v>60</v>
      </c>
      <c r="AR4083">
        <v>128</v>
      </c>
      <c r="AZ4083">
        <v>1200</v>
      </c>
      <c r="BA4083">
        <v>1</v>
      </c>
      <c r="BB4083" t="str">
        <f t="shared" si="2262"/>
        <v xml:space="preserve">N9217B  </v>
      </c>
      <c r="BC4083">
        <v>1</v>
      </c>
      <c r="BE4083">
        <v>0</v>
      </c>
      <c r="BF4083">
        <v>0</v>
      </c>
      <c r="BG4083">
        <v>0</v>
      </c>
      <c r="BH4083">
        <v>5275</v>
      </c>
      <c r="BI4083">
        <v>1</v>
      </c>
      <c r="BJ4083">
        <v>0</v>
      </c>
      <c r="BK4083">
        <v>0</v>
      </c>
      <c r="BL4083">
        <v>0</v>
      </c>
      <c r="BO4083">
        <v>0</v>
      </c>
      <c r="BP4083">
        <v>0</v>
      </c>
      <c r="BW4083" t="str">
        <f t="shared" si="2287"/>
        <v>14:59:11.933</v>
      </c>
      <c r="CJ4083">
        <v>0</v>
      </c>
      <c r="CK4083">
        <v>2</v>
      </c>
      <c r="CL4083">
        <v>0</v>
      </c>
      <c r="CM4083">
        <v>2</v>
      </c>
      <c r="CN4083">
        <v>0</v>
      </c>
      <c r="CO4083">
        <v>5</v>
      </c>
      <c r="CP4083" t="s">
        <v>119</v>
      </c>
      <c r="CQ4083">
        <v>285</v>
      </c>
      <c r="CR4083">
        <v>0</v>
      </c>
      <c r="CW4083">
        <v>8888564</v>
      </c>
      <c r="CY4083">
        <v>0</v>
      </c>
      <c r="CZ4083">
        <v>0</v>
      </c>
      <c r="DA4083">
        <v>1</v>
      </c>
      <c r="DB4083">
        <v>0</v>
      </c>
      <c r="DC4083">
        <v>0</v>
      </c>
      <c r="DD4083">
        <v>0</v>
      </c>
      <c r="DE4083">
        <v>0</v>
      </c>
      <c r="DF4083">
        <v>0</v>
      </c>
      <c r="DG4083">
        <v>0</v>
      </c>
      <c r="DH4083">
        <v>0</v>
      </c>
      <c r="DI4083">
        <v>0</v>
      </c>
    </row>
    <row r="4084" spans="1:113" x14ac:dyDescent="0.25">
      <c r="A4084" t="str">
        <f t="shared" ref="A4084:A4090" si="2288">"06/05/2020 14:59:07.196"</f>
        <v>06/05/2020 14:59:07.196</v>
      </c>
      <c r="C4084" t="str">
        <f t="shared" si="2280"/>
        <v>FFDFD3C0</v>
      </c>
      <c r="D4084" t="s">
        <v>151</v>
      </c>
      <c r="E4084">
        <v>8</v>
      </c>
      <c r="H4084">
        <v>225</v>
      </c>
      <c r="I4084" t="s">
        <v>353</v>
      </c>
      <c r="J4084" t="s">
        <v>150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 t="shared" ref="S4084:T4090" si="2289">"14:59:12.813"</f>
        <v>14:59:12.813</v>
      </c>
      <c r="T4084" t="str">
        <f t="shared" si="2289"/>
        <v>14:59:12.813</v>
      </c>
      <c r="U4084" t="str">
        <f t="shared" si="2258"/>
        <v>ACC530</v>
      </c>
      <c r="V4084">
        <v>0</v>
      </c>
      <c r="W4084">
        <v>0</v>
      </c>
      <c r="X4084">
        <v>1</v>
      </c>
      <c r="Z4084">
        <v>0</v>
      </c>
      <c r="AA4084">
        <v>9</v>
      </c>
      <c r="AB4084">
        <v>3</v>
      </c>
      <c r="AC4084">
        <v>0</v>
      </c>
      <c r="AD4084">
        <v>9</v>
      </c>
      <c r="AE4084">
        <v>0</v>
      </c>
      <c r="AF4084">
        <v>3</v>
      </c>
      <c r="AG4084">
        <v>1</v>
      </c>
      <c r="AH4084">
        <v>0</v>
      </c>
      <c r="AI4084" t="s">
        <v>1302</v>
      </c>
      <c r="AJ4084">
        <v>34.065299000000003</v>
      </c>
      <c r="AK4084" t="s">
        <v>1303</v>
      </c>
      <c r="AL4084">
        <v>-117.014651</v>
      </c>
      <c r="AM4084">
        <v>100</v>
      </c>
      <c r="AN4084">
        <v>5400</v>
      </c>
      <c r="AO4084" t="s">
        <v>118</v>
      </c>
      <c r="AP4084">
        <v>-69</v>
      </c>
      <c r="AQ4084">
        <v>58</v>
      </c>
      <c r="AR4084">
        <v>64</v>
      </c>
      <c r="AZ4084">
        <v>1200</v>
      </c>
      <c r="BA4084">
        <v>1</v>
      </c>
      <c r="BB4084" t="str">
        <f t="shared" si="2262"/>
        <v xml:space="preserve">N9217B  </v>
      </c>
      <c r="BC4084">
        <v>1</v>
      </c>
      <c r="BE4084">
        <v>0</v>
      </c>
      <c r="BF4084">
        <v>0</v>
      </c>
      <c r="BG4084">
        <v>0</v>
      </c>
      <c r="BH4084">
        <v>5275</v>
      </c>
      <c r="BI4084">
        <v>1</v>
      </c>
      <c r="BJ4084">
        <v>0</v>
      </c>
      <c r="BK4084">
        <v>0</v>
      </c>
      <c r="BL4084">
        <v>0</v>
      </c>
      <c r="BO4084">
        <v>0</v>
      </c>
      <c r="BP4084">
        <v>0</v>
      </c>
      <c r="BW4084" t="str">
        <f t="shared" ref="BW4084:BW4090" si="2290">"14:59:12.818"</f>
        <v>14:59:12.818</v>
      </c>
      <c r="CJ4084">
        <v>0</v>
      </c>
      <c r="CK4084">
        <v>2</v>
      </c>
      <c r="CL4084">
        <v>0</v>
      </c>
      <c r="CM4084">
        <v>2</v>
      </c>
      <c r="CN4084">
        <v>0</v>
      </c>
      <c r="CO4084">
        <v>5</v>
      </c>
      <c r="CP4084" t="s">
        <v>119</v>
      </c>
      <c r="CQ4084">
        <v>285</v>
      </c>
      <c r="CR4084">
        <v>0</v>
      </c>
      <c r="CW4084">
        <v>8888644</v>
      </c>
      <c r="CY4084">
        <v>0</v>
      </c>
      <c r="CZ4084">
        <v>0</v>
      </c>
      <c r="DA4084">
        <v>0</v>
      </c>
      <c r="DB4084">
        <v>0</v>
      </c>
      <c r="DC4084">
        <v>0</v>
      </c>
      <c r="DD4084">
        <v>0</v>
      </c>
      <c r="DE4084">
        <v>0</v>
      </c>
      <c r="DF4084">
        <v>0</v>
      </c>
      <c r="DG4084">
        <v>0</v>
      </c>
      <c r="DH4084">
        <v>0</v>
      </c>
      <c r="DI4084">
        <v>0</v>
      </c>
    </row>
    <row r="4085" spans="1:113" x14ac:dyDescent="0.25">
      <c r="A4085" t="str">
        <f t="shared" si="2288"/>
        <v>06/05/2020 14:59:07.196</v>
      </c>
      <c r="C4085" t="str">
        <f t="shared" si="2280"/>
        <v>FFDFD3C0</v>
      </c>
      <c r="D4085" t="s">
        <v>113</v>
      </c>
      <c r="E4085">
        <v>3</v>
      </c>
      <c r="H4085">
        <v>166</v>
      </c>
      <c r="I4085" t="s">
        <v>114</v>
      </c>
      <c r="J4085" t="s">
        <v>115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 t="shared" si="2289"/>
        <v>14:59:12.813</v>
      </c>
      <c r="T4085" t="str">
        <f t="shared" si="2289"/>
        <v>14:59:12.813</v>
      </c>
      <c r="U4085" t="str">
        <f t="shared" si="2258"/>
        <v>ACC530</v>
      </c>
      <c r="V4085">
        <v>0</v>
      </c>
      <c r="W4085">
        <v>0</v>
      </c>
      <c r="X4085">
        <v>1</v>
      </c>
      <c r="Z4085">
        <v>0</v>
      </c>
      <c r="AA4085">
        <v>9</v>
      </c>
      <c r="AB4085">
        <v>3</v>
      </c>
      <c r="AC4085">
        <v>0</v>
      </c>
      <c r="AD4085">
        <v>9</v>
      </c>
      <c r="AE4085">
        <v>0</v>
      </c>
      <c r="AF4085">
        <v>3</v>
      </c>
      <c r="AG4085">
        <v>1</v>
      </c>
      <c r="AH4085">
        <v>0</v>
      </c>
      <c r="AI4085" t="s">
        <v>1302</v>
      </c>
      <c r="AJ4085">
        <v>34.065299000000003</v>
      </c>
      <c r="AK4085" t="s">
        <v>1303</v>
      </c>
      <c r="AL4085">
        <v>-117.014651</v>
      </c>
      <c r="AM4085">
        <v>100</v>
      </c>
      <c r="AN4085">
        <v>5400</v>
      </c>
      <c r="AO4085" t="s">
        <v>118</v>
      </c>
      <c r="AP4085">
        <v>-69</v>
      </c>
      <c r="AQ4085">
        <v>58</v>
      </c>
      <c r="AR4085">
        <v>64</v>
      </c>
      <c r="AZ4085">
        <v>1200</v>
      </c>
      <c r="BA4085">
        <v>1</v>
      </c>
      <c r="BB4085" t="str">
        <f t="shared" si="2262"/>
        <v xml:space="preserve">N9217B  </v>
      </c>
      <c r="BC4085">
        <v>1</v>
      </c>
      <c r="BE4085">
        <v>0</v>
      </c>
      <c r="BF4085">
        <v>0</v>
      </c>
      <c r="BG4085">
        <v>0</v>
      </c>
      <c r="BH4085">
        <v>5275</v>
      </c>
      <c r="BI4085">
        <v>1</v>
      </c>
      <c r="BJ4085">
        <v>0</v>
      </c>
      <c r="BK4085">
        <v>0</v>
      </c>
      <c r="BL4085">
        <v>0</v>
      </c>
      <c r="BO4085">
        <v>0</v>
      </c>
      <c r="BP4085">
        <v>0</v>
      </c>
      <c r="BW4085" t="str">
        <f t="shared" si="2290"/>
        <v>14:59:12.818</v>
      </c>
      <c r="CJ4085">
        <v>0</v>
      </c>
      <c r="CK4085">
        <v>2</v>
      </c>
      <c r="CL4085">
        <v>0</v>
      </c>
      <c r="CM4085">
        <v>2</v>
      </c>
      <c r="CN4085">
        <v>0</v>
      </c>
      <c r="CO4085">
        <v>5</v>
      </c>
      <c r="CP4085" t="s">
        <v>119</v>
      </c>
      <c r="CQ4085">
        <v>285</v>
      </c>
      <c r="CR4085">
        <v>0</v>
      </c>
      <c r="CW4085">
        <v>8888644</v>
      </c>
      <c r="CY4085">
        <v>0</v>
      </c>
      <c r="CZ4085">
        <v>0</v>
      </c>
      <c r="DA4085">
        <v>1</v>
      </c>
      <c r="DB4085">
        <v>0</v>
      </c>
      <c r="DC4085">
        <v>0</v>
      </c>
      <c r="DD4085">
        <v>0</v>
      </c>
      <c r="DE4085">
        <v>0</v>
      </c>
      <c r="DF4085">
        <v>0</v>
      </c>
      <c r="DG4085">
        <v>0</v>
      </c>
      <c r="DH4085">
        <v>0</v>
      </c>
      <c r="DI4085">
        <v>0</v>
      </c>
    </row>
    <row r="4086" spans="1:113" x14ac:dyDescent="0.25">
      <c r="A4086" t="str">
        <f t="shared" si="2288"/>
        <v>06/05/2020 14:59:07.196</v>
      </c>
      <c r="C4086" t="str">
        <f t="shared" si="2280"/>
        <v>FFDFD3C0</v>
      </c>
      <c r="D4086" t="s">
        <v>148</v>
      </c>
      <c r="E4086">
        <v>8</v>
      </c>
      <c r="H4086">
        <v>50</v>
      </c>
      <c r="I4086" t="s">
        <v>149</v>
      </c>
      <c r="J4086" t="s">
        <v>150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 t="shared" si="2289"/>
        <v>14:59:12.813</v>
      </c>
      <c r="T4086" t="str">
        <f t="shared" si="2289"/>
        <v>14:59:12.813</v>
      </c>
      <c r="U4086" t="str">
        <f t="shared" si="2258"/>
        <v>ACC530</v>
      </c>
      <c r="V4086">
        <v>0</v>
      </c>
      <c r="W4086">
        <v>0</v>
      </c>
      <c r="X4086">
        <v>1</v>
      </c>
      <c r="Z4086">
        <v>0</v>
      </c>
      <c r="AA4086">
        <v>9</v>
      </c>
      <c r="AB4086">
        <v>3</v>
      </c>
      <c r="AC4086">
        <v>0</v>
      </c>
      <c r="AD4086">
        <v>9</v>
      </c>
      <c r="AE4086">
        <v>0</v>
      </c>
      <c r="AF4086">
        <v>3</v>
      </c>
      <c r="AG4086">
        <v>1</v>
      </c>
      <c r="AH4086">
        <v>0</v>
      </c>
      <c r="AI4086" t="s">
        <v>1302</v>
      </c>
      <c r="AJ4086">
        <v>34.065299000000003</v>
      </c>
      <c r="AK4086" t="s">
        <v>1303</v>
      </c>
      <c r="AL4086">
        <v>-117.014651</v>
      </c>
      <c r="AM4086">
        <v>100</v>
      </c>
      <c r="AN4086">
        <v>5400</v>
      </c>
      <c r="AO4086" t="s">
        <v>118</v>
      </c>
      <c r="AP4086">
        <v>-69</v>
      </c>
      <c r="AQ4086">
        <v>58</v>
      </c>
      <c r="AR4086">
        <v>64</v>
      </c>
      <c r="AZ4086">
        <v>1200</v>
      </c>
      <c r="BA4086">
        <v>1</v>
      </c>
      <c r="BB4086" t="str">
        <f t="shared" si="2262"/>
        <v xml:space="preserve">N9217B  </v>
      </c>
      <c r="BC4086">
        <v>1</v>
      </c>
      <c r="BE4086">
        <v>0</v>
      </c>
      <c r="BF4086">
        <v>0</v>
      </c>
      <c r="BG4086">
        <v>0</v>
      </c>
      <c r="BH4086">
        <v>5275</v>
      </c>
      <c r="BI4086">
        <v>1</v>
      </c>
      <c r="BJ4086">
        <v>0</v>
      </c>
      <c r="BK4086">
        <v>0</v>
      </c>
      <c r="BL4086">
        <v>0</v>
      </c>
      <c r="BO4086">
        <v>0</v>
      </c>
      <c r="BP4086">
        <v>0</v>
      </c>
      <c r="BW4086" t="str">
        <f t="shared" si="2290"/>
        <v>14:59:12.818</v>
      </c>
      <c r="CJ4086">
        <v>0</v>
      </c>
      <c r="CK4086">
        <v>2</v>
      </c>
      <c r="CL4086">
        <v>0</v>
      </c>
      <c r="CM4086">
        <v>2</v>
      </c>
      <c r="CN4086">
        <v>0</v>
      </c>
      <c r="CO4086">
        <v>5</v>
      </c>
      <c r="CP4086" t="s">
        <v>119</v>
      </c>
      <c r="CQ4086">
        <v>285</v>
      </c>
      <c r="CR4086">
        <v>0</v>
      </c>
      <c r="CW4086">
        <v>8888644</v>
      </c>
      <c r="CY4086">
        <v>0</v>
      </c>
      <c r="CZ4086">
        <v>0</v>
      </c>
      <c r="DA4086">
        <v>1</v>
      </c>
      <c r="DB4086">
        <v>0</v>
      </c>
      <c r="DC4086">
        <v>0</v>
      </c>
      <c r="DD4086">
        <v>0</v>
      </c>
      <c r="DE4086">
        <v>0</v>
      </c>
      <c r="DF4086">
        <v>0</v>
      </c>
      <c r="DG4086">
        <v>0</v>
      </c>
      <c r="DH4086">
        <v>0</v>
      </c>
      <c r="DI4086">
        <v>0</v>
      </c>
    </row>
    <row r="4087" spans="1:113" x14ac:dyDescent="0.25">
      <c r="A4087" t="str">
        <f t="shared" si="2288"/>
        <v>06/05/2020 14:59:07.196</v>
      </c>
      <c r="C4087" t="str">
        <f t="shared" si="2280"/>
        <v>FFDFD3C0</v>
      </c>
      <c r="D4087" t="s">
        <v>151</v>
      </c>
      <c r="E4087">
        <v>9</v>
      </c>
      <c r="H4087">
        <v>226</v>
      </c>
      <c r="I4087" t="s">
        <v>152</v>
      </c>
      <c r="J4087" t="s">
        <v>150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 t="shared" si="2289"/>
        <v>14:59:12.813</v>
      </c>
      <c r="T4087" t="str">
        <f t="shared" si="2289"/>
        <v>14:59:12.813</v>
      </c>
      <c r="U4087" t="str">
        <f t="shared" si="2258"/>
        <v>ACC530</v>
      </c>
      <c r="V4087">
        <v>0</v>
      </c>
      <c r="W4087">
        <v>0</v>
      </c>
      <c r="X4087">
        <v>1</v>
      </c>
      <c r="Z4087">
        <v>0</v>
      </c>
      <c r="AA4087">
        <v>9</v>
      </c>
      <c r="AB4087">
        <v>3</v>
      </c>
      <c r="AC4087">
        <v>0</v>
      </c>
      <c r="AD4087">
        <v>9</v>
      </c>
      <c r="AE4087">
        <v>0</v>
      </c>
      <c r="AF4087">
        <v>3</v>
      </c>
      <c r="AG4087">
        <v>1</v>
      </c>
      <c r="AH4087">
        <v>0</v>
      </c>
      <c r="AI4087" t="s">
        <v>1302</v>
      </c>
      <c r="AJ4087">
        <v>34.065299000000003</v>
      </c>
      <c r="AK4087" t="s">
        <v>1303</v>
      </c>
      <c r="AL4087">
        <v>-117.014651</v>
      </c>
      <c r="AM4087">
        <v>100</v>
      </c>
      <c r="AN4087">
        <v>5400</v>
      </c>
      <c r="AO4087" t="s">
        <v>118</v>
      </c>
      <c r="AP4087">
        <v>-69</v>
      </c>
      <c r="AQ4087">
        <v>58</v>
      </c>
      <c r="AR4087">
        <v>64</v>
      </c>
      <c r="AZ4087">
        <v>1200</v>
      </c>
      <c r="BA4087">
        <v>1</v>
      </c>
      <c r="BB4087" t="str">
        <f t="shared" si="2262"/>
        <v xml:space="preserve">N9217B  </v>
      </c>
      <c r="BC4087">
        <v>1</v>
      </c>
      <c r="BE4087">
        <v>0</v>
      </c>
      <c r="BF4087">
        <v>0</v>
      </c>
      <c r="BG4087">
        <v>0</v>
      </c>
      <c r="BH4087">
        <v>5275</v>
      </c>
      <c r="BI4087">
        <v>1</v>
      </c>
      <c r="BJ4087">
        <v>0</v>
      </c>
      <c r="BK4087">
        <v>0</v>
      </c>
      <c r="BL4087">
        <v>0</v>
      </c>
      <c r="BO4087">
        <v>0</v>
      </c>
      <c r="BP4087">
        <v>0</v>
      </c>
      <c r="BW4087" t="str">
        <f t="shared" si="2290"/>
        <v>14:59:12.818</v>
      </c>
      <c r="CJ4087">
        <v>0</v>
      </c>
      <c r="CK4087">
        <v>2</v>
      </c>
      <c r="CL4087">
        <v>0</v>
      </c>
      <c r="CM4087">
        <v>2</v>
      </c>
      <c r="CN4087">
        <v>0</v>
      </c>
      <c r="CO4087">
        <v>5</v>
      </c>
      <c r="CP4087" t="s">
        <v>119</v>
      </c>
      <c r="CQ4087">
        <v>285</v>
      </c>
      <c r="CR4087">
        <v>0</v>
      </c>
      <c r="CW4087">
        <v>8888644</v>
      </c>
      <c r="CY4087">
        <v>0</v>
      </c>
      <c r="CZ4087">
        <v>0</v>
      </c>
      <c r="DA4087">
        <v>1</v>
      </c>
      <c r="DB4087">
        <v>0</v>
      </c>
      <c r="DC4087">
        <v>0</v>
      </c>
      <c r="DD4087">
        <v>0</v>
      </c>
      <c r="DE4087">
        <v>0</v>
      </c>
      <c r="DF4087">
        <v>0</v>
      </c>
      <c r="DG4087">
        <v>0</v>
      </c>
      <c r="DH4087">
        <v>0</v>
      </c>
      <c r="DI4087">
        <v>0</v>
      </c>
    </row>
    <row r="4088" spans="1:113" x14ac:dyDescent="0.25">
      <c r="A4088" t="str">
        <f t="shared" si="2288"/>
        <v>06/05/2020 14:59:07.196</v>
      </c>
      <c r="C4088" t="str">
        <f t="shared" si="2280"/>
        <v>FFDFD3C0</v>
      </c>
      <c r="D4088" t="s">
        <v>134</v>
      </c>
      <c r="E4088">
        <v>7</v>
      </c>
      <c r="F4088">
        <v>2007</v>
      </c>
      <c r="G4088" t="s">
        <v>135</v>
      </c>
      <c r="J4088" t="s">
        <v>136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 t="shared" si="2289"/>
        <v>14:59:12.813</v>
      </c>
      <c r="T4088" t="str">
        <f t="shared" si="2289"/>
        <v>14:59:12.813</v>
      </c>
      <c r="U4088" t="str">
        <f t="shared" si="2258"/>
        <v>ACC530</v>
      </c>
      <c r="V4088">
        <v>0</v>
      </c>
      <c r="W4088">
        <v>0</v>
      </c>
      <c r="X4088">
        <v>1</v>
      </c>
      <c r="Z4088">
        <v>0</v>
      </c>
      <c r="AA4088">
        <v>9</v>
      </c>
      <c r="AB4088">
        <v>3</v>
      </c>
      <c r="AC4088">
        <v>0</v>
      </c>
      <c r="AD4088">
        <v>9</v>
      </c>
      <c r="AE4088">
        <v>0</v>
      </c>
      <c r="AF4088">
        <v>3</v>
      </c>
      <c r="AG4088">
        <v>1</v>
      </c>
      <c r="AH4088">
        <v>0</v>
      </c>
      <c r="AI4088" t="s">
        <v>1302</v>
      </c>
      <c r="AJ4088">
        <v>34.065299000000003</v>
      </c>
      <c r="AK4088" t="s">
        <v>1303</v>
      </c>
      <c r="AL4088">
        <v>-117.014651</v>
      </c>
      <c r="AM4088">
        <v>100</v>
      </c>
      <c r="AN4088">
        <v>5400</v>
      </c>
      <c r="AO4088" t="s">
        <v>118</v>
      </c>
      <c r="AP4088">
        <v>-69</v>
      </c>
      <c r="AQ4088">
        <v>58</v>
      </c>
      <c r="AR4088">
        <v>64</v>
      </c>
      <c r="AZ4088">
        <v>1200</v>
      </c>
      <c r="BA4088">
        <v>1</v>
      </c>
      <c r="BB4088" t="str">
        <f t="shared" si="2262"/>
        <v xml:space="preserve">N9217B  </v>
      </c>
      <c r="BC4088">
        <v>1</v>
      </c>
      <c r="BE4088">
        <v>0</v>
      </c>
      <c r="BF4088">
        <v>0</v>
      </c>
      <c r="BG4088">
        <v>0</v>
      </c>
      <c r="BH4088">
        <v>5275</v>
      </c>
      <c r="BI4088">
        <v>1</v>
      </c>
      <c r="BJ4088">
        <v>0</v>
      </c>
      <c r="BK4088">
        <v>0</v>
      </c>
      <c r="BL4088">
        <v>0</v>
      </c>
      <c r="BO4088">
        <v>0</v>
      </c>
      <c r="BP4088">
        <v>0</v>
      </c>
      <c r="BW4088" t="str">
        <f t="shared" si="2290"/>
        <v>14:59:12.818</v>
      </c>
      <c r="CJ4088">
        <v>0</v>
      </c>
      <c r="CK4088">
        <v>2</v>
      </c>
      <c r="CL4088">
        <v>0</v>
      </c>
      <c r="CM4088">
        <v>2</v>
      </c>
      <c r="CN4088">
        <v>0</v>
      </c>
      <c r="CO4088">
        <v>5</v>
      </c>
      <c r="CP4088" t="s">
        <v>119</v>
      </c>
      <c r="CQ4088">
        <v>285</v>
      </c>
      <c r="CR4088">
        <v>0</v>
      </c>
      <c r="CW4088">
        <v>8888644</v>
      </c>
      <c r="CY4088">
        <v>0</v>
      </c>
      <c r="CZ4088">
        <v>0</v>
      </c>
      <c r="DA4088">
        <v>1</v>
      </c>
      <c r="DB4088">
        <v>0</v>
      </c>
      <c r="DC4088">
        <v>0</v>
      </c>
      <c r="DD4088">
        <v>0</v>
      </c>
      <c r="DE4088">
        <v>0</v>
      </c>
      <c r="DF4088">
        <v>0</v>
      </c>
      <c r="DG4088">
        <v>0</v>
      </c>
      <c r="DH4088">
        <v>0</v>
      </c>
      <c r="DI4088">
        <v>0</v>
      </c>
    </row>
    <row r="4089" spans="1:113" x14ac:dyDescent="0.25">
      <c r="A4089" t="str">
        <f t="shared" si="2288"/>
        <v>06/05/2020 14:59:07.196</v>
      </c>
      <c r="C4089" t="str">
        <f t="shared" si="2280"/>
        <v>FFDFD3C0</v>
      </c>
      <c r="D4089" t="s">
        <v>148</v>
      </c>
      <c r="E4089">
        <v>11</v>
      </c>
      <c r="H4089">
        <v>53</v>
      </c>
      <c r="I4089" t="s">
        <v>364</v>
      </c>
      <c r="J4089" t="s">
        <v>150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 t="shared" si="2289"/>
        <v>14:59:12.813</v>
      </c>
      <c r="T4089" t="str">
        <f t="shared" si="2289"/>
        <v>14:59:12.813</v>
      </c>
      <c r="U4089" t="str">
        <f t="shared" si="2258"/>
        <v>ACC530</v>
      </c>
      <c r="V4089">
        <v>0</v>
      </c>
      <c r="W4089">
        <v>0</v>
      </c>
      <c r="X4089">
        <v>1</v>
      </c>
      <c r="Z4089">
        <v>0</v>
      </c>
      <c r="AA4089">
        <v>9</v>
      </c>
      <c r="AB4089">
        <v>3</v>
      </c>
      <c r="AC4089">
        <v>0</v>
      </c>
      <c r="AD4089">
        <v>9</v>
      </c>
      <c r="AE4089">
        <v>0</v>
      </c>
      <c r="AF4089">
        <v>3</v>
      </c>
      <c r="AG4089">
        <v>1</v>
      </c>
      <c r="AH4089">
        <v>0</v>
      </c>
      <c r="AI4089" t="s">
        <v>1302</v>
      </c>
      <c r="AJ4089">
        <v>34.065299000000003</v>
      </c>
      <c r="AK4089" t="s">
        <v>1303</v>
      </c>
      <c r="AL4089">
        <v>-117.014651</v>
      </c>
      <c r="AM4089">
        <v>100</v>
      </c>
      <c r="AN4089">
        <v>5400</v>
      </c>
      <c r="AO4089" t="s">
        <v>118</v>
      </c>
      <c r="AP4089">
        <v>-69</v>
      </c>
      <c r="AQ4089">
        <v>58</v>
      </c>
      <c r="AR4089">
        <v>64</v>
      </c>
      <c r="AZ4089">
        <v>1200</v>
      </c>
      <c r="BA4089">
        <v>1</v>
      </c>
      <c r="BB4089" t="str">
        <f t="shared" si="2262"/>
        <v xml:space="preserve">N9217B  </v>
      </c>
      <c r="BC4089">
        <v>1</v>
      </c>
      <c r="BE4089">
        <v>0</v>
      </c>
      <c r="BF4089">
        <v>0</v>
      </c>
      <c r="BG4089">
        <v>0</v>
      </c>
      <c r="BH4089">
        <v>5275</v>
      </c>
      <c r="BI4089">
        <v>1</v>
      </c>
      <c r="BJ4089">
        <v>0</v>
      </c>
      <c r="BK4089">
        <v>0</v>
      </c>
      <c r="BL4089">
        <v>0</v>
      </c>
      <c r="BO4089">
        <v>0</v>
      </c>
      <c r="BP4089">
        <v>0</v>
      </c>
      <c r="BW4089" t="str">
        <f t="shared" si="2290"/>
        <v>14:59:12.818</v>
      </c>
      <c r="CJ4089">
        <v>0</v>
      </c>
      <c r="CK4089">
        <v>2</v>
      </c>
      <c r="CL4089">
        <v>0</v>
      </c>
      <c r="CM4089">
        <v>2</v>
      </c>
      <c r="CN4089">
        <v>0</v>
      </c>
      <c r="CO4089">
        <v>5</v>
      </c>
      <c r="CP4089" t="s">
        <v>119</v>
      </c>
      <c r="CQ4089">
        <v>285</v>
      </c>
      <c r="CR4089">
        <v>0</v>
      </c>
      <c r="CW4089">
        <v>8888644</v>
      </c>
      <c r="CY4089">
        <v>0</v>
      </c>
      <c r="CZ4089">
        <v>0</v>
      </c>
      <c r="DA4089">
        <v>1</v>
      </c>
      <c r="DB4089">
        <v>0</v>
      </c>
      <c r="DC4089">
        <v>0</v>
      </c>
      <c r="DD4089">
        <v>0</v>
      </c>
      <c r="DE4089">
        <v>0</v>
      </c>
      <c r="DF4089">
        <v>0</v>
      </c>
      <c r="DG4089">
        <v>0</v>
      </c>
      <c r="DH4089">
        <v>0</v>
      </c>
      <c r="DI4089">
        <v>0</v>
      </c>
    </row>
    <row r="4090" spans="1:113" x14ac:dyDescent="0.25">
      <c r="A4090" t="str">
        <f t="shared" si="2288"/>
        <v>06/05/2020 14:59:07.196</v>
      </c>
      <c r="C4090" t="str">
        <f t="shared" si="2280"/>
        <v>FFDFD3C0</v>
      </c>
      <c r="D4090" t="s">
        <v>141</v>
      </c>
      <c r="E4090">
        <v>20</v>
      </c>
      <c r="F4090">
        <v>1020</v>
      </c>
      <c r="G4090" t="s">
        <v>114</v>
      </c>
      <c r="J4090" t="s">
        <v>142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 t="shared" si="2289"/>
        <v>14:59:12.813</v>
      </c>
      <c r="T4090" t="str">
        <f t="shared" si="2289"/>
        <v>14:59:12.813</v>
      </c>
      <c r="U4090" t="str">
        <f t="shared" si="2258"/>
        <v>ACC530</v>
      </c>
      <c r="V4090">
        <v>0</v>
      </c>
      <c r="W4090">
        <v>0</v>
      </c>
      <c r="X4090">
        <v>1</v>
      </c>
      <c r="Z4090">
        <v>0</v>
      </c>
      <c r="AA4090">
        <v>9</v>
      </c>
      <c r="AB4090">
        <v>3</v>
      </c>
      <c r="AC4090">
        <v>0</v>
      </c>
      <c r="AD4090">
        <v>9</v>
      </c>
      <c r="AE4090">
        <v>0</v>
      </c>
      <c r="AF4090">
        <v>3</v>
      </c>
      <c r="AG4090">
        <v>1</v>
      </c>
      <c r="AH4090">
        <v>0</v>
      </c>
      <c r="AI4090" t="s">
        <v>1302</v>
      </c>
      <c r="AJ4090">
        <v>34.065299000000003</v>
      </c>
      <c r="AK4090" t="s">
        <v>1303</v>
      </c>
      <c r="AL4090">
        <v>-117.014651</v>
      </c>
      <c r="AM4090">
        <v>100</v>
      </c>
      <c r="AN4090">
        <v>5400</v>
      </c>
      <c r="AO4090" t="s">
        <v>118</v>
      </c>
      <c r="AP4090">
        <v>-69</v>
      </c>
      <c r="AQ4090">
        <v>58</v>
      </c>
      <c r="AR4090">
        <v>64</v>
      </c>
      <c r="AZ4090">
        <v>1200</v>
      </c>
      <c r="BA4090">
        <v>1</v>
      </c>
      <c r="BB4090" t="str">
        <f t="shared" si="2262"/>
        <v xml:space="preserve">N9217B  </v>
      </c>
      <c r="BC4090">
        <v>1</v>
      </c>
      <c r="BE4090">
        <v>0</v>
      </c>
      <c r="BF4090">
        <v>0</v>
      </c>
      <c r="BG4090">
        <v>0</v>
      </c>
      <c r="BH4090">
        <v>5275</v>
      </c>
      <c r="BI4090">
        <v>1</v>
      </c>
      <c r="BJ4090">
        <v>0</v>
      </c>
      <c r="BK4090">
        <v>0</v>
      </c>
      <c r="BL4090">
        <v>0</v>
      </c>
      <c r="BO4090">
        <v>0</v>
      </c>
      <c r="BP4090">
        <v>0</v>
      </c>
      <c r="BW4090" t="str">
        <f t="shared" si="2290"/>
        <v>14:59:12.818</v>
      </c>
      <c r="CJ4090">
        <v>0</v>
      </c>
      <c r="CK4090">
        <v>2</v>
      </c>
      <c r="CL4090">
        <v>0</v>
      </c>
      <c r="CM4090">
        <v>2</v>
      </c>
      <c r="CN4090">
        <v>0</v>
      </c>
      <c r="CO4090">
        <v>5</v>
      </c>
      <c r="CP4090" t="s">
        <v>119</v>
      </c>
      <c r="CQ4090">
        <v>285</v>
      </c>
      <c r="CR4090">
        <v>0</v>
      </c>
      <c r="CW4090">
        <v>8888644</v>
      </c>
      <c r="CY4090">
        <v>0</v>
      </c>
      <c r="CZ4090">
        <v>0</v>
      </c>
      <c r="DA4090">
        <v>1</v>
      </c>
      <c r="DB4090">
        <v>0</v>
      </c>
      <c r="DC4090">
        <v>0</v>
      </c>
      <c r="DD4090">
        <v>0</v>
      </c>
      <c r="DE4090">
        <v>0</v>
      </c>
      <c r="DF4090">
        <v>0</v>
      </c>
      <c r="DG4090">
        <v>0</v>
      </c>
      <c r="DH4090">
        <v>0</v>
      </c>
      <c r="DI4090">
        <v>0</v>
      </c>
    </row>
    <row r="4091" spans="1:113" x14ac:dyDescent="0.25">
      <c r="A4091" t="str">
        <f t="shared" ref="A4091:A4097" si="2291">"06/05/2020 14:59:08.259"</f>
        <v>06/05/2020 14:59:08.259</v>
      </c>
      <c r="C4091" t="str">
        <f t="shared" si="2280"/>
        <v>FFDFD3C0</v>
      </c>
      <c r="D4091" t="s">
        <v>151</v>
      </c>
      <c r="E4091">
        <v>8</v>
      </c>
      <c r="H4091">
        <v>225</v>
      </c>
      <c r="I4091" t="s">
        <v>353</v>
      </c>
      <c r="J4091" t="s">
        <v>150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 t="shared" ref="S4091:T4097" si="2292">"14:59:13.891"</f>
        <v>14:59:13.891</v>
      </c>
      <c r="T4091" t="str">
        <f t="shared" si="2292"/>
        <v>14:59:13.891</v>
      </c>
      <c r="U4091" t="str">
        <f t="shared" si="2258"/>
        <v>ACC530</v>
      </c>
      <c r="V4091">
        <v>0</v>
      </c>
      <c r="W4091">
        <v>0</v>
      </c>
      <c r="X4091">
        <v>1</v>
      </c>
      <c r="Z4091">
        <v>0</v>
      </c>
      <c r="AA4091">
        <v>9</v>
      </c>
      <c r="AB4091">
        <v>3</v>
      </c>
      <c r="AC4091">
        <v>0</v>
      </c>
      <c r="AD4091">
        <v>9</v>
      </c>
      <c r="AE4091">
        <v>0</v>
      </c>
      <c r="AF4091">
        <v>3</v>
      </c>
      <c r="AG4091">
        <v>1</v>
      </c>
      <c r="AH4091">
        <v>0</v>
      </c>
      <c r="AI4091" t="s">
        <v>1304</v>
      </c>
      <c r="AJ4091">
        <v>34.065578000000002</v>
      </c>
      <c r="AK4091" t="s">
        <v>1305</v>
      </c>
      <c r="AL4091">
        <v>-117.015102</v>
      </c>
      <c r="AM4091">
        <v>100</v>
      </c>
      <c r="AN4091">
        <v>5400</v>
      </c>
      <c r="AO4091" t="s">
        <v>118</v>
      </c>
      <c r="AP4091">
        <v>-71</v>
      </c>
      <c r="AQ4091">
        <v>55</v>
      </c>
      <c r="AR4091">
        <v>0</v>
      </c>
      <c r="AZ4091">
        <v>1200</v>
      </c>
      <c r="BA4091">
        <v>1</v>
      </c>
      <c r="BB4091" t="str">
        <f t="shared" si="2262"/>
        <v xml:space="preserve">N9217B  </v>
      </c>
      <c r="BC4091">
        <v>1</v>
      </c>
      <c r="BE4091">
        <v>0</v>
      </c>
      <c r="BF4091">
        <v>0</v>
      </c>
      <c r="BG4091">
        <v>0</v>
      </c>
      <c r="BH4091">
        <v>5275</v>
      </c>
      <c r="BI4091">
        <v>1</v>
      </c>
      <c r="BJ4091">
        <v>0</v>
      </c>
      <c r="BK4091">
        <v>0</v>
      </c>
      <c r="BL4091">
        <v>0</v>
      </c>
      <c r="BO4091">
        <v>0</v>
      </c>
      <c r="BP4091">
        <v>0</v>
      </c>
      <c r="BW4091" t="str">
        <f t="shared" ref="BW4091:BW4097" si="2293">"14:59:13.898"</f>
        <v>14:59:13.898</v>
      </c>
      <c r="CJ4091">
        <v>0</v>
      </c>
      <c r="CK4091">
        <v>2</v>
      </c>
      <c r="CL4091">
        <v>0</v>
      </c>
      <c r="CM4091">
        <v>2</v>
      </c>
      <c r="CN4091">
        <v>0</v>
      </c>
      <c r="CO4091">
        <v>5</v>
      </c>
      <c r="CP4091" t="s">
        <v>119</v>
      </c>
      <c r="CQ4091">
        <v>285</v>
      </c>
      <c r="CR4091">
        <v>0</v>
      </c>
      <c r="CW4091">
        <v>8888743</v>
      </c>
      <c r="CY4091">
        <v>0</v>
      </c>
      <c r="CZ4091">
        <v>0</v>
      </c>
      <c r="DA4091">
        <v>0</v>
      </c>
      <c r="DB4091">
        <v>0</v>
      </c>
      <c r="DC4091">
        <v>0</v>
      </c>
      <c r="DD4091">
        <v>0</v>
      </c>
      <c r="DE4091">
        <v>0</v>
      </c>
      <c r="DF4091">
        <v>0</v>
      </c>
      <c r="DG4091">
        <v>0</v>
      </c>
      <c r="DH4091">
        <v>0</v>
      </c>
      <c r="DI4091">
        <v>0</v>
      </c>
    </row>
    <row r="4092" spans="1:113" x14ac:dyDescent="0.25">
      <c r="A4092" t="str">
        <f t="shared" si="2291"/>
        <v>06/05/2020 14:59:08.259</v>
      </c>
      <c r="C4092" t="str">
        <f t="shared" si="2280"/>
        <v>FFDFD3C0</v>
      </c>
      <c r="D4092" t="s">
        <v>113</v>
      </c>
      <c r="E4092">
        <v>3</v>
      </c>
      <c r="H4092">
        <v>166</v>
      </c>
      <c r="I4092" t="s">
        <v>114</v>
      </c>
      <c r="J4092" t="s">
        <v>115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 t="shared" si="2292"/>
        <v>14:59:13.891</v>
      </c>
      <c r="T4092" t="str">
        <f t="shared" si="2292"/>
        <v>14:59:13.891</v>
      </c>
      <c r="U4092" t="str">
        <f t="shared" si="2258"/>
        <v>ACC530</v>
      </c>
      <c r="V4092">
        <v>0</v>
      </c>
      <c r="W4092">
        <v>0</v>
      </c>
      <c r="X4092">
        <v>1</v>
      </c>
      <c r="Z4092">
        <v>0</v>
      </c>
      <c r="AA4092">
        <v>9</v>
      </c>
      <c r="AB4092">
        <v>3</v>
      </c>
      <c r="AC4092">
        <v>0</v>
      </c>
      <c r="AD4092">
        <v>9</v>
      </c>
      <c r="AE4092">
        <v>0</v>
      </c>
      <c r="AF4092">
        <v>3</v>
      </c>
      <c r="AG4092">
        <v>1</v>
      </c>
      <c r="AH4092">
        <v>0</v>
      </c>
      <c r="AI4092" t="s">
        <v>1304</v>
      </c>
      <c r="AJ4092">
        <v>34.065578000000002</v>
      </c>
      <c r="AK4092" t="s">
        <v>1305</v>
      </c>
      <c r="AL4092">
        <v>-117.015102</v>
      </c>
      <c r="AM4092">
        <v>100</v>
      </c>
      <c r="AN4092">
        <v>5400</v>
      </c>
      <c r="AO4092" t="s">
        <v>118</v>
      </c>
      <c r="AP4092">
        <v>-71</v>
      </c>
      <c r="AQ4092">
        <v>55</v>
      </c>
      <c r="AR4092">
        <v>0</v>
      </c>
      <c r="AZ4092">
        <v>1200</v>
      </c>
      <c r="BA4092">
        <v>1</v>
      </c>
      <c r="BB4092" t="str">
        <f t="shared" si="2262"/>
        <v xml:space="preserve">N9217B  </v>
      </c>
      <c r="BC4092">
        <v>1</v>
      </c>
      <c r="BE4092">
        <v>0</v>
      </c>
      <c r="BF4092">
        <v>0</v>
      </c>
      <c r="BG4092">
        <v>0</v>
      </c>
      <c r="BH4092">
        <v>5275</v>
      </c>
      <c r="BI4092">
        <v>1</v>
      </c>
      <c r="BJ4092">
        <v>0</v>
      </c>
      <c r="BK4092">
        <v>0</v>
      </c>
      <c r="BL4092">
        <v>0</v>
      </c>
      <c r="BO4092">
        <v>0</v>
      </c>
      <c r="BP4092">
        <v>0</v>
      </c>
      <c r="BW4092" t="str">
        <f t="shared" si="2293"/>
        <v>14:59:13.898</v>
      </c>
      <c r="CJ4092">
        <v>0</v>
      </c>
      <c r="CK4092">
        <v>2</v>
      </c>
      <c r="CL4092">
        <v>0</v>
      </c>
      <c r="CM4092">
        <v>2</v>
      </c>
      <c r="CN4092">
        <v>0</v>
      </c>
      <c r="CO4092">
        <v>5</v>
      </c>
      <c r="CP4092" t="s">
        <v>119</v>
      </c>
      <c r="CQ4092">
        <v>285</v>
      </c>
      <c r="CR4092">
        <v>0</v>
      </c>
      <c r="CW4092">
        <v>8888743</v>
      </c>
      <c r="CY4092">
        <v>0</v>
      </c>
      <c r="CZ4092">
        <v>0</v>
      </c>
      <c r="DA4092">
        <v>1</v>
      </c>
      <c r="DB4092">
        <v>0</v>
      </c>
      <c r="DC4092">
        <v>0</v>
      </c>
      <c r="DD4092">
        <v>0</v>
      </c>
      <c r="DE4092">
        <v>0</v>
      </c>
      <c r="DF4092">
        <v>0</v>
      </c>
      <c r="DG4092">
        <v>0</v>
      </c>
      <c r="DH4092">
        <v>0</v>
      </c>
      <c r="DI4092">
        <v>0</v>
      </c>
    </row>
    <row r="4093" spans="1:113" x14ac:dyDescent="0.25">
      <c r="A4093" t="str">
        <f t="shared" si="2291"/>
        <v>06/05/2020 14:59:08.259</v>
      </c>
      <c r="C4093" t="str">
        <f t="shared" si="2280"/>
        <v>FFDFD3C0</v>
      </c>
      <c r="D4093" t="s">
        <v>148</v>
      </c>
      <c r="E4093">
        <v>8</v>
      </c>
      <c r="H4093">
        <v>50</v>
      </c>
      <c r="I4093" t="s">
        <v>149</v>
      </c>
      <c r="J4093" t="s">
        <v>150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 t="shared" si="2292"/>
        <v>14:59:13.891</v>
      </c>
      <c r="T4093" t="str">
        <f t="shared" si="2292"/>
        <v>14:59:13.891</v>
      </c>
      <c r="U4093" t="str">
        <f t="shared" si="2258"/>
        <v>ACC530</v>
      </c>
      <c r="V4093">
        <v>0</v>
      </c>
      <c r="W4093">
        <v>0</v>
      </c>
      <c r="X4093">
        <v>1</v>
      </c>
      <c r="Z4093">
        <v>0</v>
      </c>
      <c r="AA4093">
        <v>9</v>
      </c>
      <c r="AB4093">
        <v>3</v>
      </c>
      <c r="AC4093">
        <v>0</v>
      </c>
      <c r="AD4093">
        <v>9</v>
      </c>
      <c r="AE4093">
        <v>0</v>
      </c>
      <c r="AF4093">
        <v>3</v>
      </c>
      <c r="AG4093">
        <v>1</v>
      </c>
      <c r="AH4093">
        <v>0</v>
      </c>
      <c r="AI4093" t="s">
        <v>1304</v>
      </c>
      <c r="AJ4093">
        <v>34.065578000000002</v>
      </c>
      <c r="AK4093" t="s">
        <v>1305</v>
      </c>
      <c r="AL4093">
        <v>-117.015102</v>
      </c>
      <c r="AM4093">
        <v>100</v>
      </c>
      <c r="AN4093">
        <v>5400</v>
      </c>
      <c r="AO4093" t="s">
        <v>118</v>
      </c>
      <c r="AP4093">
        <v>-71</v>
      </c>
      <c r="AQ4093">
        <v>55</v>
      </c>
      <c r="AR4093">
        <v>0</v>
      </c>
      <c r="AZ4093">
        <v>1200</v>
      </c>
      <c r="BA4093">
        <v>1</v>
      </c>
      <c r="BB4093" t="str">
        <f t="shared" si="2262"/>
        <v xml:space="preserve">N9217B  </v>
      </c>
      <c r="BC4093">
        <v>1</v>
      </c>
      <c r="BE4093">
        <v>0</v>
      </c>
      <c r="BF4093">
        <v>0</v>
      </c>
      <c r="BG4093">
        <v>0</v>
      </c>
      <c r="BH4093">
        <v>5275</v>
      </c>
      <c r="BI4093">
        <v>1</v>
      </c>
      <c r="BJ4093">
        <v>0</v>
      </c>
      <c r="BK4093">
        <v>0</v>
      </c>
      <c r="BL4093">
        <v>0</v>
      </c>
      <c r="BO4093">
        <v>0</v>
      </c>
      <c r="BP4093">
        <v>0</v>
      </c>
      <c r="BW4093" t="str">
        <f t="shared" si="2293"/>
        <v>14:59:13.898</v>
      </c>
      <c r="CJ4093">
        <v>0</v>
      </c>
      <c r="CK4093">
        <v>2</v>
      </c>
      <c r="CL4093">
        <v>0</v>
      </c>
      <c r="CM4093">
        <v>2</v>
      </c>
      <c r="CN4093">
        <v>0</v>
      </c>
      <c r="CO4093">
        <v>5</v>
      </c>
      <c r="CP4093" t="s">
        <v>119</v>
      </c>
      <c r="CQ4093">
        <v>285</v>
      </c>
      <c r="CR4093">
        <v>0</v>
      </c>
      <c r="CW4093">
        <v>8888743</v>
      </c>
      <c r="CY4093">
        <v>0</v>
      </c>
      <c r="CZ4093">
        <v>0</v>
      </c>
      <c r="DA4093">
        <v>1</v>
      </c>
      <c r="DB4093">
        <v>0</v>
      </c>
      <c r="DC4093">
        <v>0</v>
      </c>
      <c r="DD4093">
        <v>0</v>
      </c>
      <c r="DE4093">
        <v>0</v>
      </c>
      <c r="DF4093">
        <v>0</v>
      </c>
      <c r="DG4093">
        <v>0</v>
      </c>
      <c r="DH4093">
        <v>0</v>
      </c>
      <c r="DI4093">
        <v>0</v>
      </c>
    </row>
    <row r="4094" spans="1:113" x14ac:dyDescent="0.25">
      <c r="A4094" t="str">
        <f t="shared" si="2291"/>
        <v>06/05/2020 14:59:08.259</v>
      </c>
      <c r="C4094" t="str">
        <f t="shared" si="2280"/>
        <v>FFDFD3C0</v>
      </c>
      <c r="D4094" t="s">
        <v>134</v>
      </c>
      <c r="E4094">
        <v>7</v>
      </c>
      <c r="F4094">
        <v>2007</v>
      </c>
      <c r="G4094" t="s">
        <v>135</v>
      </c>
      <c r="J4094" t="s">
        <v>136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 t="shared" si="2292"/>
        <v>14:59:13.891</v>
      </c>
      <c r="T4094" t="str">
        <f t="shared" si="2292"/>
        <v>14:59:13.891</v>
      </c>
      <c r="U4094" t="str">
        <f t="shared" si="2258"/>
        <v>ACC530</v>
      </c>
      <c r="V4094">
        <v>0</v>
      </c>
      <c r="W4094">
        <v>0</v>
      </c>
      <c r="X4094">
        <v>1</v>
      </c>
      <c r="Z4094">
        <v>0</v>
      </c>
      <c r="AA4094">
        <v>9</v>
      </c>
      <c r="AB4094">
        <v>3</v>
      </c>
      <c r="AC4094">
        <v>0</v>
      </c>
      <c r="AD4094">
        <v>9</v>
      </c>
      <c r="AE4094">
        <v>0</v>
      </c>
      <c r="AF4094">
        <v>3</v>
      </c>
      <c r="AG4094">
        <v>1</v>
      </c>
      <c r="AH4094">
        <v>0</v>
      </c>
      <c r="AI4094" t="s">
        <v>1304</v>
      </c>
      <c r="AJ4094">
        <v>34.065578000000002</v>
      </c>
      <c r="AK4094" t="s">
        <v>1305</v>
      </c>
      <c r="AL4094">
        <v>-117.015102</v>
      </c>
      <c r="AM4094">
        <v>100</v>
      </c>
      <c r="AN4094">
        <v>5400</v>
      </c>
      <c r="AO4094" t="s">
        <v>118</v>
      </c>
      <c r="AP4094">
        <v>-71</v>
      </c>
      <c r="AQ4094">
        <v>55</v>
      </c>
      <c r="AR4094">
        <v>0</v>
      </c>
      <c r="AZ4094">
        <v>1200</v>
      </c>
      <c r="BA4094">
        <v>1</v>
      </c>
      <c r="BB4094" t="str">
        <f t="shared" si="2262"/>
        <v xml:space="preserve">N9217B  </v>
      </c>
      <c r="BC4094">
        <v>1</v>
      </c>
      <c r="BE4094">
        <v>0</v>
      </c>
      <c r="BF4094">
        <v>0</v>
      </c>
      <c r="BG4094">
        <v>0</v>
      </c>
      <c r="BH4094">
        <v>5275</v>
      </c>
      <c r="BI4094">
        <v>1</v>
      </c>
      <c r="BJ4094">
        <v>0</v>
      </c>
      <c r="BK4094">
        <v>0</v>
      </c>
      <c r="BL4094">
        <v>0</v>
      </c>
      <c r="BO4094">
        <v>0</v>
      </c>
      <c r="BP4094">
        <v>0</v>
      </c>
      <c r="BW4094" t="str">
        <f t="shared" si="2293"/>
        <v>14:59:13.898</v>
      </c>
      <c r="CJ4094">
        <v>0</v>
      </c>
      <c r="CK4094">
        <v>2</v>
      </c>
      <c r="CL4094">
        <v>0</v>
      </c>
      <c r="CM4094">
        <v>2</v>
      </c>
      <c r="CN4094">
        <v>0</v>
      </c>
      <c r="CO4094">
        <v>5</v>
      </c>
      <c r="CP4094" t="s">
        <v>119</v>
      </c>
      <c r="CQ4094">
        <v>285</v>
      </c>
      <c r="CR4094">
        <v>0</v>
      </c>
      <c r="CW4094">
        <v>8888743</v>
      </c>
      <c r="CY4094">
        <v>0</v>
      </c>
      <c r="CZ4094">
        <v>0</v>
      </c>
      <c r="DA4094">
        <v>1</v>
      </c>
      <c r="DB4094">
        <v>0</v>
      </c>
      <c r="DC4094">
        <v>0</v>
      </c>
      <c r="DD4094">
        <v>0</v>
      </c>
      <c r="DE4094">
        <v>0</v>
      </c>
      <c r="DF4094">
        <v>0</v>
      </c>
      <c r="DG4094">
        <v>0</v>
      </c>
      <c r="DH4094">
        <v>0</v>
      </c>
      <c r="DI4094">
        <v>0</v>
      </c>
    </row>
    <row r="4095" spans="1:113" x14ac:dyDescent="0.25">
      <c r="A4095" t="str">
        <f t="shared" si="2291"/>
        <v>06/05/2020 14:59:08.259</v>
      </c>
      <c r="C4095" t="str">
        <f t="shared" si="2280"/>
        <v>FFDFD3C0</v>
      </c>
      <c r="D4095" t="s">
        <v>151</v>
      </c>
      <c r="E4095">
        <v>9</v>
      </c>
      <c r="H4095">
        <v>226</v>
      </c>
      <c r="I4095" t="s">
        <v>152</v>
      </c>
      <c r="J4095" t="s">
        <v>150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 t="shared" si="2292"/>
        <v>14:59:13.891</v>
      </c>
      <c r="T4095" t="str">
        <f t="shared" si="2292"/>
        <v>14:59:13.891</v>
      </c>
      <c r="U4095" t="str">
        <f t="shared" si="2258"/>
        <v>ACC530</v>
      </c>
      <c r="V4095">
        <v>0</v>
      </c>
      <c r="W4095">
        <v>0</v>
      </c>
      <c r="X4095">
        <v>1</v>
      </c>
      <c r="Z4095">
        <v>0</v>
      </c>
      <c r="AA4095">
        <v>9</v>
      </c>
      <c r="AB4095">
        <v>3</v>
      </c>
      <c r="AC4095">
        <v>0</v>
      </c>
      <c r="AD4095">
        <v>9</v>
      </c>
      <c r="AE4095">
        <v>0</v>
      </c>
      <c r="AF4095">
        <v>3</v>
      </c>
      <c r="AG4095">
        <v>1</v>
      </c>
      <c r="AH4095">
        <v>0</v>
      </c>
      <c r="AI4095" t="s">
        <v>1304</v>
      </c>
      <c r="AJ4095">
        <v>34.065578000000002</v>
      </c>
      <c r="AK4095" t="s">
        <v>1305</v>
      </c>
      <c r="AL4095">
        <v>-117.015102</v>
      </c>
      <c r="AM4095">
        <v>100</v>
      </c>
      <c r="AN4095">
        <v>5400</v>
      </c>
      <c r="AO4095" t="s">
        <v>118</v>
      </c>
      <c r="AP4095">
        <v>-71</v>
      </c>
      <c r="AQ4095">
        <v>55</v>
      </c>
      <c r="AR4095">
        <v>0</v>
      </c>
      <c r="AZ4095">
        <v>1200</v>
      </c>
      <c r="BA4095">
        <v>1</v>
      </c>
      <c r="BB4095" t="str">
        <f t="shared" si="2262"/>
        <v xml:space="preserve">N9217B  </v>
      </c>
      <c r="BC4095">
        <v>1</v>
      </c>
      <c r="BE4095">
        <v>0</v>
      </c>
      <c r="BF4095">
        <v>0</v>
      </c>
      <c r="BG4095">
        <v>0</v>
      </c>
      <c r="BH4095">
        <v>5275</v>
      </c>
      <c r="BI4095">
        <v>1</v>
      </c>
      <c r="BJ4095">
        <v>0</v>
      </c>
      <c r="BK4095">
        <v>0</v>
      </c>
      <c r="BL4095">
        <v>0</v>
      </c>
      <c r="BO4095">
        <v>0</v>
      </c>
      <c r="BP4095">
        <v>0</v>
      </c>
      <c r="BW4095" t="str">
        <f t="shared" si="2293"/>
        <v>14:59:13.898</v>
      </c>
      <c r="CJ4095">
        <v>0</v>
      </c>
      <c r="CK4095">
        <v>2</v>
      </c>
      <c r="CL4095">
        <v>0</v>
      </c>
      <c r="CM4095">
        <v>2</v>
      </c>
      <c r="CN4095">
        <v>0</v>
      </c>
      <c r="CO4095">
        <v>5</v>
      </c>
      <c r="CP4095" t="s">
        <v>119</v>
      </c>
      <c r="CQ4095">
        <v>285</v>
      </c>
      <c r="CR4095">
        <v>0</v>
      </c>
      <c r="CW4095">
        <v>8888743</v>
      </c>
      <c r="CY4095">
        <v>0</v>
      </c>
      <c r="CZ4095">
        <v>0</v>
      </c>
      <c r="DA4095">
        <v>1</v>
      </c>
      <c r="DB4095">
        <v>0</v>
      </c>
      <c r="DC4095">
        <v>0</v>
      </c>
      <c r="DD4095">
        <v>0</v>
      </c>
      <c r="DE4095">
        <v>0</v>
      </c>
      <c r="DF4095">
        <v>0</v>
      </c>
      <c r="DG4095">
        <v>0</v>
      </c>
      <c r="DH4095">
        <v>0</v>
      </c>
      <c r="DI4095">
        <v>0</v>
      </c>
    </row>
    <row r="4096" spans="1:113" x14ac:dyDescent="0.25">
      <c r="A4096" t="str">
        <f t="shared" si="2291"/>
        <v>06/05/2020 14:59:08.259</v>
      </c>
      <c r="C4096" t="str">
        <f t="shared" si="2280"/>
        <v>FFDFD3C0</v>
      </c>
      <c r="D4096" t="s">
        <v>141</v>
      </c>
      <c r="E4096">
        <v>20</v>
      </c>
      <c r="F4096">
        <v>1020</v>
      </c>
      <c r="G4096" t="s">
        <v>114</v>
      </c>
      <c r="J4096" t="s">
        <v>142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 t="shared" si="2292"/>
        <v>14:59:13.891</v>
      </c>
      <c r="T4096" t="str">
        <f t="shared" si="2292"/>
        <v>14:59:13.891</v>
      </c>
      <c r="U4096" t="str">
        <f t="shared" si="2258"/>
        <v>ACC530</v>
      </c>
      <c r="V4096">
        <v>0</v>
      </c>
      <c r="W4096">
        <v>0</v>
      </c>
      <c r="X4096">
        <v>1</v>
      </c>
      <c r="Z4096">
        <v>0</v>
      </c>
      <c r="AA4096">
        <v>9</v>
      </c>
      <c r="AB4096">
        <v>3</v>
      </c>
      <c r="AC4096">
        <v>0</v>
      </c>
      <c r="AD4096">
        <v>9</v>
      </c>
      <c r="AE4096">
        <v>0</v>
      </c>
      <c r="AF4096">
        <v>3</v>
      </c>
      <c r="AG4096">
        <v>1</v>
      </c>
      <c r="AH4096">
        <v>0</v>
      </c>
      <c r="AI4096" t="s">
        <v>1304</v>
      </c>
      <c r="AJ4096">
        <v>34.065578000000002</v>
      </c>
      <c r="AK4096" t="s">
        <v>1305</v>
      </c>
      <c r="AL4096">
        <v>-117.015102</v>
      </c>
      <c r="AM4096">
        <v>100</v>
      </c>
      <c r="AN4096">
        <v>5400</v>
      </c>
      <c r="AO4096" t="s">
        <v>118</v>
      </c>
      <c r="AP4096">
        <v>-71</v>
      </c>
      <c r="AQ4096">
        <v>55</v>
      </c>
      <c r="AR4096">
        <v>0</v>
      </c>
      <c r="AZ4096">
        <v>1200</v>
      </c>
      <c r="BA4096">
        <v>1</v>
      </c>
      <c r="BB4096" t="str">
        <f t="shared" si="2262"/>
        <v xml:space="preserve">N9217B  </v>
      </c>
      <c r="BC4096">
        <v>1</v>
      </c>
      <c r="BE4096">
        <v>0</v>
      </c>
      <c r="BF4096">
        <v>0</v>
      </c>
      <c r="BG4096">
        <v>0</v>
      </c>
      <c r="BH4096">
        <v>5275</v>
      </c>
      <c r="BI4096">
        <v>1</v>
      </c>
      <c r="BJ4096">
        <v>0</v>
      </c>
      <c r="BK4096">
        <v>0</v>
      </c>
      <c r="BL4096">
        <v>0</v>
      </c>
      <c r="BO4096">
        <v>0</v>
      </c>
      <c r="BP4096">
        <v>0</v>
      </c>
      <c r="BW4096" t="str">
        <f t="shared" si="2293"/>
        <v>14:59:13.898</v>
      </c>
      <c r="CJ4096">
        <v>0</v>
      </c>
      <c r="CK4096">
        <v>2</v>
      </c>
      <c r="CL4096">
        <v>0</v>
      </c>
      <c r="CM4096">
        <v>2</v>
      </c>
      <c r="CN4096">
        <v>0</v>
      </c>
      <c r="CO4096">
        <v>5</v>
      </c>
      <c r="CP4096" t="s">
        <v>119</v>
      </c>
      <c r="CQ4096">
        <v>285</v>
      </c>
      <c r="CR4096">
        <v>0</v>
      </c>
      <c r="CW4096">
        <v>8888743</v>
      </c>
      <c r="CY4096">
        <v>0</v>
      </c>
      <c r="CZ4096">
        <v>0</v>
      </c>
      <c r="DA4096">
        <v>1</v>
      </c>
      <c r="DB4096">
        <v>0</v>
      </c>
      <c r="DC4096">
        <v>0</v>
      </c>
      <c r="DD4096">
        <v>0</v>
      </c>
      <c r="DE4096">
        <v>0</v>
      </c>
      <c r="DF4096">
        <v>0</v>
      </c>
      <c r="DG4096">
        <v>0</v>
      </c>
      <c r="DH4096">
        <v>0</v>
      </c>
      <c r="DI4096">
        <v>0</v>
      </c>
    </row>
    <row r="4097" spans="1:113" x14ac:dyDescent="0.25">
      <c r="A4097" t="str">
        <f t="shared" si="2291"/>
        <v>06/05/2020 14:59:08.259</v>
      </c>
      <c r="C4097" t="str">
        <f t="shared" si="2280"/>
        <v>FFDFD3C0</v>
      </c>
      <c r="D4097" t="s">
        <v>148</v>
      </c>
      <c r="E4097">
        <v>11</v>
      </c>
      <c r="H4097">
        <v>53</v>
      </c>
      <c r="I4097" t="s">
        <v>364</v>
      </c>
      <c r="J4097" t="s">
        <v>150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 t="shared" si="2292"/>
        <v>14:59:13.891</v>
      </c>
      <c r="T4097" t="str">
        <f t="shared" si="2292"/>
        <v>14:59:13.891</v>
      </c>
      <c r="U4097" t="str">
        <f t="shared" si="2258"/>
        <v>ACC530</v>
      </c>
      <c r="V4097">
        <v>0</v>
      </c>
      <c r="W4097">
        <v>0</v>
      </c>
      <c r="X4097">
        <v>1</v>
      </c>
      <c r="Z4097">
        <v>0</v>
      </c>
      <c r="AA4097">
        <v>9</v>
      </c>
      <c r="AB4097">
        <v>3</v>
      </c>
      <c r="AC4097">
        <v>0</v>
      </c>
      <c r="AD4097">
        <v>9</v>
      </c>
      <c r="AE4097">
        <v>0</v>
      </c>
      <c r="AF4097">
        <v>3</v>
      </c>
      <c r="AG4097">
        <v>1</v>
      </c>
      <c r="AH4097">
        <v>0</v>
      </c>
      <c r="AI4097" t="s">
        <v>1304</v>
      </c>
      <c r="AJ4097">
        <v>34.065578000000002</v>
      </c>
      <c r="AK4097" t="s">
        <v>1305</v>
      </c>
      <c r="AL4097">
        <v>-117.015102</v>
      </c>
      <c r="AM4097">
        <v>100</v>
      </c>
      <c r="AN4097">
        <v>5400</v>
      </c>
      <c r="AO4097" t="s">
        <v>118</v>
      </c>
      <c r="AP4097">
        <v>-71</v>
      </c>
      <c r="AQ4097">
        <v>55</v>
      </c>
      <c r="AR4097">
        <v>0</v>
      </c>
      <c r="AZ4097">
        <v>1200</v>
      </c>
      <c r="BA4097">
        <v>1</v>
      </c>
      <c r="BB4097" t="str">
        <f t="shared" si="2262"/>
        <v xml:space="preserve">N9217B  </v>
      </c>
      <c r="BC4097">
        <v>1</v>
      </c>
      <c r="BE4097">
        <v>0</v>
      </c>
      <c r="BF4097">
        <v>0</v>
      </c>
      <c r="BG4097">
        <v>0</v>
      </c>
      <c r="BH4097">
        <v>5275</v>
      </c>
      <c r="BI4097">
        <v>1</v>
      </c>
      <c r="BJ4097">
        <v>0</v>
      </c>
      <c r="BK4097">
        <v>0</v>
      </c>
      <c r="BL4097">
        <v>0</v>
      </c>
      <c r="BO4097">
        <v>0</v>
      </c>
      <c r="BP4097">
        <v>0</v>
      </c>
      <c r="BW4097" t="str">
        <f t="shared" si="2293"/>
        <v>14:59:13.898</v>
      </c>
      <c r="CJ4097">
        <v>0</v>
      </c>
      <c r="CK4097">
        <v>2</v>
      </c>
      <c r="CL4097">
        <v>0</v>
      </c>
      <c r="CM4097">
        <v>2</v>
      </c>
      <c r="CN4097">
        <v>0</v>
      </c>
      <c r="CO4097">
        <v>5</v>
      </c>
      <c r="CP4097" t="s">
        <v>119</v>
      </c>
      <c r="CQ4097">
        <v>285</v>
      </c>
      <c r="CR4097">
        <v>0</v>
      </c>
      <c r="CW4097">
        <v>8888743</v>
      </c>
      <c r="CY4097">
        <v>0</v>
      </c>
      <c r="CZ4097">
        <v>0</v>
      </c>
      <c r="DA4097">
        <v>1</v>
      </c>
      <c r="DB4097">
        <v>0</v>
      </c>
      <c r="DC4097">
        <v>0</v>
      </c>
      <c r="DD4097">
        <v>0</v>
      </c>
      <c r="DE4097">
        <v>0</v>
      </c>
      <c r="DF4097">
        <v>0</v>
      </c>
      <c r="DG4097">
        <v>0</v>
      </c>
      <c r="DH4097">
        <v>0</v>
      </c>
      <c r="DI4097">
        <v>0</v>
      </c>
    </row>
    <row r="4098" spans="1:113" x14ac:dyDescent="0.25">
      <c r="A4098" t="str">
        <f t="shared" ref="A4098:A4104" si="2294">"06/05/2020 14:59:09.841"</f>
        <v>06/05/2020 14:59:09.841</v>
      </c>
      <c r="C4098" t="str">
        <f t="shared" si="2280"/>
        <v>FFDFD3C0</v>
      </c>
      <c r="D4098" t="s">
        <v>148</v>
      </c>
      <c r="E4098">
        <v>8</v>
      </c>
      <c r="H4098">
        <v>50</v>
      </c>
      <c r="I4098" t="s">
        <v>149</v>
      </c>
      <c r="J4098" t="s">
        <v>150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 t="shared" ref="S4098:T4104" si="2295">"14:59:15.484"</f>
        <v>14:59:15.484</v>
      </c>
      <c r="T4098" t="str">
        <f t="shared" si="2295"/>
        <v>14:59:15.484</v>
      </c>
      <c r="U4098" t="str">
        <f t="shared" ref="U4098:U4161" si="2296">"ACC530"</f>
        <v>ACC530</v>
      </c>
      <c r="V4098">
        <v>0</v>
      </c>
      <c r="W4098">
        <v>0</v>
      </c>
      <c r="X4098">
        <v>1</v>
      </c>
      <c r="Z4098">
        <v>0</v>
      </c>
      <c r="AA4098">
        <v>9</v>
      </c>
      <c r="AB4098">
        <v>3</v>
      </c>
      <c r="AC4098">
        <v>0</v>
      </c>
      <c r="AD4098">
        <v>9</v>
      </c>
      <c r="AE4098">
        <v>0</v>
      </c>
      <c r="AF4098">
        <v>3</v>
      </c>
      <c r="AG4098">
        <v>1</v>
      </c>
      <c r="AH4098">
        <v>0</v>
      </c>
      <c r="AI4098" t="s">
        <v>1226</v>
      </c>
      <c r="AJ4098">
        <v>34.066006999999999</v>
      </c>
      <c r="AK4098" t="s">
        <v>1306</v>
      </c>
      <c r="AL4098">
        <v>-117.01572400000001</v>
      </c>
      <c r="AM4098">
        <v>100</v>
      </c>
      <c r="AN4098">
        <v>5400</v>
      </c>
      <c r="AO4098" t="s">
        <v>118</v>
      </c>
      <c r="AP4098">
        <v>-74</v>
      </c>
      <c r="AQ4098">
        <v>52</v>
      </c>
      <c r="AR4098">
        <v>-128</v>
      </c>
      <c r="AZ4098">
        <v>1200</v>
      </c>
      <c r="BA4098">
        <v>1</v>
      </c>
      <c r="BB4098" t="str">
        <f t="shared" si="2262"/>
        <v xml:space="preserve">N9217B  </v>
      </c>
      <c r="BC4098">
        <v>1</v>
      </c>
      <c r="BE4098">
        <v>0</v>
      </c>
      <c r="BF4098">
        <v>0</v>
      </c>
      <c r="BG4098">
        <v>0</v>
      </c>
      <c r="BH4098">
        <v>5275</v>
      </c>
      <c r="BI4098">
        <v>1</v>
      </c>
      <c r="BJ4098">
        <v>0</v>
      </c>
      <c r="BK4098">
        <v>0</v>
      </c>
      <c r="BL4098">
        <v>0</v>
      </c>
      <c r="BO4098">
        <v>0</v>
      </c>
      <c r="BP4098">
        <v>0</v>
      </c>
      <c r="BW4098" t="str">
        <f t="shared" ref="BW4098:BW4104" si="2297">"14:59:15.488"</f>
        <v>14:59:15.488</v>
      </c>
      <c r="CJ4098">
        <v>0</v>
      </c>
      <c r="CK4098">
        <v>2</v>
      </c>
      <c r="CL4098">
        <v>0</v>
      </c>
      <c r="CM4098">
        <v>2</v>
      </c>
      <c r="CN4098">
        <v>0</v>
      </c>
      <c r="CO4098">
        <v>6</v>
      </c>
      <c r="CP4098" t="s">
        <v>119</v>
      </c>
      <c r="CQ4098">
        <v>285</v>
      </c>
      <c r="CR4098">
        <v>0</v>
      </c>
      <c r="CW4098">
        <v>8888895</v>
      </c>
      <c r="CY4098">
        <v>0</v>
      </c>
      <c r="CZ4098">
        <v>0</v>
      </c>
      <c r="DA4098">
        <v>0</v>
      </c>
      <c r="DB4098">
        <v>0</v>
      </c>
      <c r="DC4098">
        <v>0</v>
      </c>
      <c r="DD4098">
        <v>0</v>
      </c>
      <c r="DE4098">
        <v>0</v>
      </c>
      <c r="DF4098">
        <v>0</v>
      </c>
      <c r="DG4098">
        <v>0</v>
      </c>
      <c r="DH4098">
        <v>0</v>
      </c>
      <c r="DI4098">
        <v>0</v>
      </c>
    </row>
    <row r="4099" spans="1:113" x14ac:dyDescent="0.25">
      <c r="A4099" t="str">
        <f t="shared" si="2294"/>
        <v>06/05/2020 14:59:09.841</v>
      </c>
      <c r="C4099" t="str">
        <f t="shared" si="2280"/>
        <v>FFDFD3C0</v>
      </c>
      <c r="D4099" t="s">
        <v>151</v>
      </c>
      <c r="E4099">
        <v>9</v>
      </c>
      <c r="H4099">
        <v>226</v>
      </c>
      <c r="I4099" t="s">
        <v>152</v>
      </c>
      <c r="J4099" t="s">
        <v>150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 t="shared" si="2295"/>
        <v>14:59:15.484</v>
      </c>
      <c r="T4099" t="str">
        <f t="shared" si="2295"/>
        <v>14:59:15.484</v>
      </c>
      <c r="U4099" t="str">
        <f t="shared" si="2296"/>
        <v>ACC530</v>
      </c>
      <c r="V4099">
        <v>0</v>
      </c>
      <c r="W4099">
        <v>0</v>
      </c>
      <c r="X4099">
        <v>1</v>
      </c>
      <c r="Z4099">
        <v>0</v>
      </c>
      <c r="AA4099">
        <v>9</v>
      </c>
      <c r="AB4099">
        <v>3</v>
      </c>
      <c r="AC4099">
        <v>0</v>
      </c>
      <c r="AD4099">
        <v>9</v>
      </c>
      <c r="AE4099">
        <v>0</v>
      </c>
      <c r="AF4099">
        <v>3</v>
      </c>
      <c r="AG4099">
        <v>1</v>
      </c>
      <c r="AH4099">
        <v>0</v>
      </c>
      <c r="AI4099" t="s">
        <v>1226</v>
      </c>
      <c r="AJ4099">
        <v>34.066006999999999</v>
      </c>
      <c r="AK4099" t="s">
        <v>1306</v>
      </c>
      <c r="AL4099">
        <v>-117.01572400000001</v>
      </c>
      <c r="AM4099">
        <v>100</v>
      </c>
      <c r="AN4099">
        <v>5400</v>
      </c>
      <c r="AO4099" t="s">
        <v>118</v>
      </c>
      <c r="AP4099">
        <v>-74</v>
      </c>
      <c r="AQ4099">
        <v>52</v>
      </c>
      <c r="AR4099">
        <v>-128</v>
      </c>
      <c r="AZ4099">
        <v>1200</v>
      </c>
      <c r="BA4099">
        <v>1</v>
      </c>
      <c r="BB4099" t="str">
        <f t="shared" si="2262"/>
        <v xml:space="preserve">N9217B  </v>
      </c>
      <c r="BC4099">
        <v>1</v>
      </c>
      <c r="BE4099">
        <v>0</v>
      </c>
      <c r="BF4099">
        <v>0</v>
      </c>
      <c r="BG4099">
        <v>0</v>
      </c>
      <c r="BH4099">
        <v>5275</v>
      </c>
      <c r="BI4099">
        <v>1</v>
      </c>
      <c r="BJ4099">
        <v>0</v>
      </c>
      <c r="BK4099">
        <v>0</v>
      </c>
      <c r="BL4099">
        <v>0</v>
      </c>
      <c r="BO4099">
        <v>0</v>
      </c>
      <c r="BP4099">
        <v>0</v>
      </c>
      <c r="BW4099" t="str">
        <f t="shared" si="2297"/>
        <v>14:59:15.488</v>
      </c>
      <c r="CJ4099">
        <v>0</v>
      </c>
      <c r="CK4099">
        <v>2</v>
      </c>
      <c r="CL4099">
        <v>0</v>
      </c>
      <c r="CM4099">
        <v>2</v>
      </c>
      <c r="CN4099">
        <v>0</v>
      </c>
      <c r="CO4099">
        <v>6</v>
      </c>
      <c r="CP4099" t="s">
        <v>119</v>
      </c>
      <c r="CQ4099">
        <v>285</v>
      </c>
      <c r="CR4099">
        <v>0</v>
      </c>
      <c r="CW4099">
        <v>8888895</v>
      </c>
      <c r="CY4099">
        <v>0</v>
      </c>
      <c r="CZ4099">
        <v>0</v>
      </c>
      <c r="DA4099">
        <v>1</v>
      </c>
      <c r="DB4099">
        <v>0</v>
      </c>
      <c r="DC4099">
        <v>0</v>
      </c>
      <c r="DD4099">
        <v>0</v>
      </c>
      <c r="DE4099">
        <v>0</v>
      </c>
      <c r="DF4099">
        <v>0</v>
      </c>
      <c r="DG4099">
        <v>0</v>
      </c>
      <c r="DH4099">
        <v>0</v>
      </c>
      <c r="DI4099">
        <v>0</v>
      </c>
    </row>
    <row r="4100" spans="1:113" x14ac:dyDescent="0.25">
      <c r="A4100" t="str">
        <f t="shared" si="2294"/>
        <v>06/05/2020 14:59:09.841</v>
      </c>
      <c r="C4100" t="str">
        <f t="shared" si="2280"/>
        <v>FFDFD3C0</v>
      </c>
      <c r="D4100" t="s">
        <v>141</v>
      </c>
      <c r="E4100">
        <v>20</v>
      </c>
      <c r="F4100">
        <v>1020</v>
      </c>
      <c r="G4100" t="s">
        <v>114</v>
      </c>
      <c r="J4100" t="s">
        <v>142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 t="shared" si="2295"/>
        <v>14:59:15.484</v>
      </c>
      <c r="T4100" t="str">
        <f t="shared" si="2295"/>
        <v>14:59:15.484</v>
      </c>
      <c r="U4100" t="str">
        <f t="shared" si="2296"/>
        <v>ACC530</v>
      </c>
      <c r="V4100">
        <v>0</v>
      </c>
      <c r="W4100">
        <v>0</v>
      </c>
      <c r="X4100">
        <v>1</v>
      </c>
      <c r="Z4100">
        <v>0</v>
      </c>
      <c r="AA4100">
        <v>9</v>
      </c>
      <c r="AB4100">
        <v>3</v>
      </c>
      <c r="AC4100">
        <v>0</v>
      </c>
      <c r="AD4100">
        <v>9</v>
      </c>
      <c r="AE4100">
        <v>0</v>
      </c>
      <c r="AF4100">
        <v>3</v>
      </c>
      <c r="AG4100">
        <v>1</v>
      </c>
      <c r="AH4100">
        <v>0</v>
      </c>
      <c r="AI4100" t="s">
        <v>1226</v>
      </c>
      <c r="AJ4100">
        <v>34.066006999999999</v>
      </c>
      <c r="AK4100" t="s">
        <v>1306</v>
      </c>
      <c r="AL4100">
        <v>-117.01572400000001</v>
      </c>
      <c r="AM4100">
        <v>100</v>
      </c>
      <c r="AN4100">
        <v>5400</v>
      </c>
      <c r="AO4100" t="s">
        <v>118</v>
      </c>
      <c r="AP4100">
        <v>-74</v>
      </c>
      <c r="AQ4100">
        <v>52</v>
      </c>
      <c r="AR4100">
        <v>-128</v>
      </c>
      <c r="AZ4100">
        <v>1200</v>
      </c>
      <c r="BA4100">
        <v>1</v>
      </c>
      <c r="BB4100" t="str">
        <f t="shared" si="2262"/>
        <v xml:space="preserve">N9217B  </v>
      </c>
      <c r="BC4100">
        <v>1</v>
      </c>
      <c r="BE4100">
        <v>0</v>
      </c>
      <c r="BF4100">
        <v>0</v>
      </c>
      <c r="BG4100">
        <v>0</v>
      </c>
      <c r="BH4100">
        <v>5275</v>
      </c>
      <c r="BI4100">
        <v>1</v>
      </c>
      <c r="BJ4100">
        <v>0</v>
      </c>
      <c r="BK4100">
        <v>0</v>
      </c>
      <c r="BL4100">
        <v>0</v>
      </c>
      <c r="BO4100">
        <v>0</v>
      </c>
      <c r="BP4100">
        <v>0</v>
      </c>
      <c r="BW4100" t="str">
        <f t="shared" si="2297"/>
        <v>14:59:15.488</v>
      </c>
      <c r="CJ4100">
        <v>0</v>
      </c>
      <c r="CK4100">
        <v>2</v>
      </c>
      <c r="CL4100">
        <v>0</v>
      </c>
      <c r="CM4100">
        <v>2</v>
      </c>
      <c r="CN4100">
        <v>0</v>
      </c>
      <c r="CO4100">
        <v>6</v>
      </c>
      <c r="CP4100" t="s">
        <v>119</v>
      </c>
      <c r="CQ4100">
        <v>285</v>
      </c>
      <c r="CR4100">
        <v>0</v>
      </c>
      <c r="CW4100">
        <v>8888895</v>
      </c>
      <c r="CY4100">
        <v>0</v>
      </c>
      <c r="CZ4100">
        <v>0</v>
      </c>
      <c r="DA4100">
        <v>1</v>
      </c>
      <c r="DB4100">
        <v>0</v>
      </c>
      <c r="DC4100">
        <v>0</v>
      </c>
      <c r="DD4100">
        <v>0</v>
      </c>
      <c r="DE4100">
        <v>0</v>
      </c>
      <c r="DF4100">
        <v>0</v>
      </c>
      <c r="DG4100">
        <v>0</v>
      </c>
      <c r="DH4100">
        <v>0</v>
      </c>
      <c r="DI4100">
        <v>0</v>
      </c>
    </row>
    <row r="4101" spans="1:113" x14ac:dyDescent="0.25">
      <c r="A4101" t="str">
        <f t="shared" si="2294"/>
        <v>06/05/2020 14:59:09.841</v>
      </c>
      <c r="C4101" t="str">
        <f t="shared" si="2280"/>
        <v>FFDFD3C0</v>
      </c>
      <c r="D4101" t="s">
        <v>148</v>
      </c>
      <c r="E4101">
        <v>11</v>
      </c>
      <c r="H4101">
        <v>53</v>
      </c>
      <c r="I4101" t="s">
        <v>364</v>
      </c>
      <c r="J4101" t="s">
        <v>150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 t="shared" si="2295"/>
        <v>14:59:15.484</v>
      </c>
      <c r="T4101" t="str">
        <f t="shared" si="2295"/>
        <v>14:59:15.484</v>
      </c>
      <c r="U4101" t="str">
        <f t="shared" si="2296"/>
        <v>ACC530</v>
      </c>
      <c r="V4101">
        <v>0</v>
      </c>
      <c r="W4101">
        <v>0</v>
      </c>
      <c r="X4101">
        <v>1</v>
      </c>
      <c r="Z4101">
        <v>0</v>
      </c>
      <c r="AA4101">
        <v>9</v>
      </c>
      <c r="AB4101">
        <v>3</v>
      </c>
      <c r="AC4101">
        <v>0</v>
      </c>
      <c r="AD4101">
        <v>9</v>
      </c>
      <c r="AE4101">
        <v>0</v>
      </c>
      <c r="AF4101">
        <v>3</v>
      </c>
      <c r="AG4101">
        <v>1</v>
      </c>
      <c r="AH4101">
        <v>0</v>
      </c>
      <c r="AI4101" t="s">
        <v>1226</v>
      </c>
      <c r="AJ4101">
        <v>34.066006999999999</v>
      </c>
      <c r="AK4101" t="s">
        <v>1306</v>
      </c>
      <c r="AL4101">
        <v>-117.01572400000001</v>
      </c>
      <c r="AM4101">
        <v>100</v>
      </c>
      <c r="AN4101">
        <v>5400</v>
      </c>
      <c r="AO4101" t="s">
        <v>118</v>
      </c>
      <c r="AP4101">
        <v>-74</v>
      </c>
      <c r="AQ4101">
        <v>52</v>
      </c>
      <c r="AR4101">
        <v>-128</v>
      </c>
      <c r="AZ4101">
        <v>1200</v>
      </c>
      <c r="BA4101">
        <v>1</v>
      </c>
      <c r="BB4101" t="str">
        <f t="shared" ref="BB4101:BB4164" si="2298">"N9217B  "</f>
        <v xml:space="preserve">N9217B  </v>
      </c>
      <c r="BC4101">
        <v>1</v>
      </c>
      <c r="BE4101">
        <v>0</v>
      </c>
      <c r="BF4101">
        <v>0</v>
      </c>
      <c r="BG4101">
        <v>0</v>
      </c>
      <c r="BH4101">
        <v>5275</v>
      </c>
      <c r="BI4101">
        <v>1</v>
      </c>
      <c r="BJ4101">
        <v>0</v>
      </c>
      <c r="BK4101">
        <v>0</v>
      </c>
      <c r="BL4101">
        <v>0</v>
      </c>
      <c r="BO4101">
        <v>0</v>
      </c>
      <c r="BP4101">
        <v>0</v>
      </c>
      <c r="BW4101" t="str">
        <f t="shared" si="2297"/>
        <v>14:59:15.488</v>
      </c>
      <c r="CJ4101">
        <v>0</v>
      </c>
      <c r="CK4101">
        <v>2</v>
      </c>
      <c r="CL4101">
        <v>0</v>
      </c>
      <c r="CM4101">
        <v>2</v>
      </c>
      <c r="CN4101">
        <v>0</v>
      </c>
      <c r="CO4101">
        <v>6</v>
      </c>
      <c r="CP4101" t="s">
        <v>119</v>
      </c>
      <c r="CQ4101">
        <v>285</v>
      </c>
      <c r="CR4101">
        <v>0</v>
      </c>
      <c r="CW4101">
        <v>8888895</v>
      </c>
      <c r="CY4101">
        <v>0</v>
      </c>
      <c r="CZ4101">
        <v>0</v>
      </c>
      <c r="DA4101">
        <v>1</v>
      </c>
      <c r="DB4101">
        <v>0</v>
      </c>
      <c r="DC4101">
        <v>0</v>
      </c>
      <c r="DD4101">
        <v>0</v>
      </c>
      <c r="DE4101">
        <v>0</v>
      </c>
      <c r="DF4101">
        <v>0</v>
      </c>
      <c r="DG4101">
        <v>0</v>
      </c>
      <c r="DH4101">
        <v>0</v>
      </c>
      <c r="DI4101">
        <v>0</v>
      </c>
    </row>
    <row r="4102" spans="1:113" x14ac:dyDescent="0.25">
      <c r="A4102" t="str">
        <f t="shared" si="2294"/>
        <v>06/05/2020 14:59:09.841</v>
      </c>
      <c r="C4102" t="str">
        <f t="shared" si="2280"/>
        <v>FFDFD3C0</v>
      </c>
      <c r="D4102" t="s">
        <v>113</v>
      </c>
      <c r="E4102">
        <v>3</v>
      </c>
      <c r="H4102">
        <v>166</v>
      </c>
      <c r="I4102" t="s">
        <v>114</v>
      </c>
      <c r="J4102" t="s">
        <v>115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 t="shared" si="2295"/>
        <v>14:59:15.484</v>
      </c>
      <c r="T4102" t="str">
        <f t="shared" si="2295"/>
        <v>14:59:15.484</v>
      </c>
      <c r="U4102" t="str">
        <f t="shared" si="2296"/>
        <v>ACC530</v>
      </c>
      <c r="V4102">
        <v>0</v>
      </c>
      <c r="W4102">
        <v>0</v>
      </c>
      <c r="X4102">
        <v>1</v>
      </c>
      <c r="Z4102">
        <v>0</v>
      </c>
      <c r="AA4102">
        <v>9</v>
      </c>
      <c r="AB4102">
        <v>3</v>
      </c>
      <c r="AC4102">
        <v>0</v>
      </c>
      <c r="AD4102">
        <v>9</v>
      </c>
      <c r="AE4102">
        <v>0</v>
      </c>
      <c r="AF4102">
        <v>3</v>
      </c>
      <c r="AG4102">
        <v>1</v>
      </c>
      <c r="AH4102">
        <v>0</v>
      </c>
      <c r="AI4102" t="s">
        <v>1226</v>
      </c>
      <c r="AJ4102">
        <v>34.066006999999999</v>
      </c>
      <c r="AK4102" t="s">
        <v>1306</v>
      </c>
      <c r="AL4102">
        <v>-117.01572400000001</v>
      </c>
      <c r="AM4102">
        <v>100</v>
      </c>
      <c r="AN4102">
        <v>5400</v>
      </c>
      <c r="AO4102" t="s">
        <v>118</v>
      </c>
      <c r="AP4102">
        <v>-74</v>
      </c>
      <c r="AQ4102">
        <v>52</v>
      </c>
      <c r="AR4102">
        <v>-128</v>
      </c>
      <c r="AZ4102">
        <v>1200</v>
      </c>
      <c r="BA4102">
        <v>1</v>
      </c>
      <c r="BB4102" t="str">
        <f t="shared" si="2298"/>
        <v xml:space="preserve">N9217B  </v>
      </c>
      <c r="BC4102">
        <v>1</v>
      </c>
      <c r="BE4102">
        <v>0</v>
      </c>
      <c r="BF4102">
        <v>0</v>
      </c>
      <c r="BG4102">
        <v>0</v>
      </c>
      <c r="BH4102">
        <v>5275</v>
      </c>
      <c r="BI4102">
        <v>1</v>
      </c>
      <c r="BJ4102">
        <v>0</v>
      </c>
      <c r="BK4102">
        <v>0</v>
      </c>
      <c r="BL4102">
        <v>0</v>
      </c>
      <c r="BO4102">
        <v>0</v>
      </c>
      <c r="BP4102">
        <v>0</v>
      </c>
      <c r="BW4102" t="str">
        <f t="shared" si="2297"/>
        <v>14:59:15.488</v>
      </c>
      <c r="CJ4102">
        <v>0</v>
      </c>
      <c r="CK4102">
        <v>2</v>
      </c>
      <c r="CL4102">
        <v>0</v>
      </c>
      <c r="CM4102">
        <v>2</v>
      </c>
      <c r="CN4102">
        <v>0</v>
      </c>
      <c r="CO4102">
        <v>6</v>
      </c>
      <c r="CP4102" t="s">
        <v>119</v>
      </c>
      <c r="CQ4102">
        <v>285</v>
      </c>
      <c r="CR4102">
        <v>0</v>
      </c>
      <c r="CW4102">
        <v>8888895</v>
      </c>
      <c r="CY4102">
        <v>0</v>
      </c>
      <c r="CZ4102">
        <v>0</v>
      </c>
      <c r="DA4102">
        <v>1</v>
      </c>
      <c r="DB4102">
        <v>0</v>
      </c>
      <c r="DC4102">
        <v>0</v>
      </c>
      <c r="DD4102">
        <v>0</v>
      </c>
      <c r="DE4102">
        <v>0</v>
      </c>
      <c r="DF4102">
        <v>0</v>
      </c>
      <c r="DG4102">
        <v>0</v>
      </c>
      <c r="DH4102">
        <v>0</v>
      </c>
      <c r="DI4102">
        <v>0</v>
      </c>
    </row>
    <row r="4103" spans="1:113" x14ac:dyDescent="0.25">
      <c r="A4103" t="str">
        <f t="shared" si="2294"/>
        <v>06/05/2020 14:59:09.841</v>
      </c>
      <c r="C4103" t="str">
        <f t="shared" si="2280"/>
        <v>FFDFD3C0</v>
      </c>
      <c r="D4103" t="s">
        <v>151</v>
      </c>
      <c r="E4103">
        <v>8</v>
      </c>
      <c r="H4103">
        <v>225</v>
      </c>
      <c r="I4103" t="s">
        <v>353</v>
      </c>
      <c r="J4103" t="s">
        <v>150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 t="shared" si="2295"/>
        <v>14:59:15.484</v>
      </c>
      <c r="T4103" t="str">
        <f t="shared" si="2295"/>
        <v>14:59:15.484</v>
      </c>
      <c r="U4103" t="str">
        <f t="shared" si="2296"/>
        <v>ACC530</v>
      </c>
      <c r="V4103">
        <v>0</v>
      </c>
      <c r="W4103">
        <v>0</v>
      </c>
      <c r="X4103">
        <v>1</v>
      </c>
      <c r="Z4103">
        <v>0</v>
      </c>
      <c r="AA4103">
        <v>9</v>
      </c>
      <c r="AB4103">
        <v>3</v>
      </c>
      <c r="AC4103">
        <v>0</v>
      </c>
      <c r="AD4103">
        <v>9</v>
      </c>
      <c r="AE4103">
        <v>0</v>
      </c>
      <c r="AF4103">
        <v>3</v>
      </c>
      <c r="AG4103">
        <v>1</v>
      </c>
      <c r="AH4103">
        <v>0</v>
      </c>
      <c r="AI4103" t="s">
        <v>1226</v>
      </c>
      <c r="AJ4103">
        <v>34.066006999999999</v>
      </c>
      <c r="AK4103" t="s">
        <v>1306</v>
      </c>
      <c r="AL4103">
        <v>-117.01572400000001</v>
      </c>
      <c r="AM4103">
        <v>100</v>
      </c>
      <c r="AN4103">
        <v>5400</v>
      </c>
      <c r="AO4103" t="s">
        <v>118</v>
      </c>
      <c r="AP4103">
        <v>-74</v>
      </c>
      <c r="AQ4103">
        <v>52</v>
      </c>
      <c r="AR4103">
        <v>-128</v>
      </c>
      <c r="AZ4103">
        <v>1200</v>
      </c>
      <c r="BA4103">
        <v>1</v>
      </c>
      <c r="BB4103" t="str">
        <f t="shared" si="2298"/>
        <v xml:space="preserve">N9217B  </v>
      </c>
      <c r="BC4103">
        <v>1</v>
      </c>
      <c r="BE4103">
        <v>0</v>
      </c>
      <c r="BF4103">
        <v>0</v>
      </c>
      <c r="BG4103">
        <v>0</v>
      </c>
      <c r="BH4103">
        <v>5275</v>
      </c>
      <c r="BI4103">
        <v>1</v>
      </c>
      <c r="BJ4103">
        <v>0</v>
      </c>
      <c r="BK4103">
        <v>0</v>
      </c>
      <c r="BL4103">
        <v>0</v>
      </c>
      <c r="BO4103">
        <v>0</v>
      </c>
      <c r="BP4103">
        <v>0</v>
      </c>
      <c r="BW4103" t="str">
        <f t="shared" si="2297"/>
        <v>14:59:15.488</v>
      </c>
      <c r="CJ4103">
        <v>0</v>
      </c>
      <c r="CK4103">
        <v>2</v>
      </c>
      <c r="CL4103">
        <v>0</v>
      </c>
      <c r="CM4103">
        <v>2</v>
      </c>
      <c r="CN4103">
        <v>0</v>
      </c>
      <c r="CO4103">
        <v>6</v>
      </c>
      <c r="CP4103" t="s">
        <v>119</v>
      </c>
      <c r="CQ4103">
        <v>285</v>
      </c>
      <c r="CR4103">
        <v>0</v>
      </c>
      <c r="CW4103">
        <v>8888895</v>
      </c>
      <c r="CY4103">
        <v>0</v>
      </c>
      <c r="CZ4103">
        <v>0</v>
      </c>
      <c r="DA4103">
        <v>1</v>
      </c>
      <c r="DB4103">
        <v>0</v>
      </c>
      <c r="DC4103">
        <v>0</v>
      </c>
      <c r="DD4103">
        <v>0</v>
      </c>
      <c r="DE4103">
        <v>0</v>
      </c>
      <c r="DF4103">
        <v>0</v>
      </c>
      <c r="DG4103">
        <v>0</v>
      </c>
      <c r="DH4103">
        <v>0</v>
      </c>
      <c r="DI4103">
        <v>0</v>
      </c>
    </row>
    <row r="4104" spans="1:113" x14ac:dyDescent="0.25">
      <c r="A4104" t="str">
        <f t="shared" si="2294"/>
        <v>06/05/2020 14:59:09.841</v>
      </c>
      <c r="C4104" t="str">
        <f t="shared" si="2280"/>
        <v>FFDFD3C0</v>
      </c>
      <c r="D4104" t="s">
        <v>134</v>
      </c>
      <c r="E4104">
        <v>7</v>
      </c>
      <c r="F4104">
        <v>2007</v>
      </c>
      <c r="G4104" t="s">
        <v>135</v>
      </c>
      <c r="J4104" t="s">
        <v>136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 t="shared" si="2295"/>
        <v>14:59:15.484</v>
      </c>
      <c r="T4104" t="str">
        <f t="shared" si="2295"/>
        <v>14:59:15.484</v>
      </c>
      <c r="U4104" t="str">
        <f t="shared" si="2296"/>
        <v>ACC530</v>
      </c>
      <c r="V4104">
        <v>0</v>
      </c>
      <c r="W4104">
        <v>0</v>
      </c>
      <c r="X4104">
        <v>1</v>
      </c>
      <c r="Z4104">
        <v>0</v>
      </c>
      <c r="AA4104">
        <v>9</v>
      </c>
      <c r="AB4104">
        <v>3</v>
      </c>
      <c r="AC4104">
        <v>0</v>
      </c>
      <c r="AD4104">
        <v>9</v>
      </c>
      <c r="AE4104">
        <v>0</v>
      </c>
      <c r="AF4104">
        <v>3</v>
      </c>
      <c r="AG4104">
        <v>1</v>
      </c>
      <c r="AH4104">
        <v>0</v>
      </c>
      <c r="AI4104" t="s">
        <v>1226</v>
      </c>
      <c r="AJ4104">
        <v>34.066006999999999</v>
      </c>
      <c r="AK4104" t="s">
        <v>1306</v>
      </c>
      <c r="AL4104">
        <v>-117.01572400000001</v>
      </c>
      <c r="AM4104">
        <v>100</v>
      </c>
      <c r="AN4104">
        <v>5400</v>
      </c>
      <c r="AO4104" t="s">
        <v>118</v>
      </c>
      <c r="AP4104">
        <v>-74</v>
      </c>
      <c r="AQ4104">
        <v>52</v>
      </c>
      <c r="AR4104">
        <v>-128</v>
      </c>
      <c r="AZ4104">
        <v>1200</v>
      </c>
      <c r="BA4104">
        <v>1</v>
      </c>
      <c r="BB4104" t="str">
        <f t="shared" si="2298"/>
        <v xml:space="preserve">N9217B  </v>
      </c>
      <c r="BC4104">
        <v>1</v>
      </c>
      <c r="BE4104">
        <v>0</v>
      </c>
      <c r="BF4104">
        <v>0</v>
      </c>
      <c r="BG4104">
        <v>0</v>
      </c>
      <c r="BH4104">
        <v>5275</v>
      </c>
      <c r="BI4104">
        <v>1</v>
      </c>
      <c r="BJ4104">
        <v>0</v>
      </c>
      <c r="BK4104">
        <v>0</v>
      </c>
      <c r="BL4104">
        <v>0</v>
      </c>
      <c r="BO4104">
        <v>0</v>
      </c>
      <c r="BP4104">
        <v>0</v>
      </c>
      <c r="BW4104" t="str">
        <f t="shared" si="2297"/>
        <v>14:59:15.488</v>
      </c>
      <c r="CJ4104">
        <v>0</v>
      </c>
      <c r="CK4104">
        <v>2</v>
      </c>
      <c r="CL4104">
        <v>0</v>
      </c>
      <c r="CM4104">
        <v>2</v>
      </c>
      <c r="CN4104">
        <v>0</v>
      </c>
      <c r="CO4104">
        <v>6</v>
      </c>
      <c r="CP4104" t="s">
        <v>119</v>
      </c>
      <c r="CQ4104">
        <v>285</v>
      </c>
      <c r="CR4104">
        <v>0</v>
      </c>
      <c r="CW4104">
        <v>8888895</v>
      </c>
      <c r="CY4104">
        <v>0</v>
      </c>
      <c r="CZ4104">
        <v>0</v>
      </c>
      <c r="DA4104">
        <v>1</v>
      </c>
      <c r="DB4104">
        <v>0</v>
      </c>
      <c r="DC4104">
        <v>0</v>
      </c>
      <c r="DD4104">
        <v>0</v>
      </c>
      <c r="DE4104">
        <v>0</v>
      </c>
      <c r="DF4104">
        <v>0</v>
      </c>
      <c r="DG4104">
        <v>0</v>
      </c>
      <c r="DH4104">
        <v>0</v>
      </c>
      <c r="DI4104">
        <v>0</v>
      </c>
    </row>
    <row r="4105" spans="1:113" x14ac:dyDescent="0.25">
      <c r="A4105" t="str">
        <f t="shared" ref="A4105:A4111" si="2299">"06/05/2020 14:59:10.770"</f>
        <v>06/05/2020 14:59:10.770</v>
      </c>
      <c r="C4105" t="str">
        <f t="shared" si="2280"/>
        <v>FFDFD3C0</v>
      </c>
      <c r="D4105" t="s">
        <v>148</v>
      </c>
      <c r="E4105">
        <v>11</v>
      </c>
      <c r="H4105">
        <v>53</v>
      </c>
      <c r="I4105" t="s">
        <v>364</v>
      </c>
      <c r="J4105" t="s">
        <v>150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 t="shared" ref="S4105:S4111" si="2300">"14:59:16.383"</f>
        <v>14:59:16.383</v>
      </c>
      <c r="T4105" t="str">
        <f t="shared" ref="T4105:T4111" si="2301">"14:59:15.483"</f>
        <v>14:59:15.483</v>
      </c>
      <c r="U4105" t="str">
        <f t="shared" si="2296"/>
        <v>ACC530</v>
      </c>
      <c r="V4105">
        <v>0</v>
      </c>
      <c r="W4105">
        <v>0</v>
      </c>
      <c r="X4105">
        <v>1</v>
      </c>
      <c r="Z4105">
        <v>0</v>
      </c>
      <c r="AA4105">
        <v>9</v>
      </c>
      <c r="AB4105">
        <v>3</v>
      </c>
      <c r="AC4105">
        <v>0</v>
      </c>
      <c r="AD4105">
        <v>9</v>
      </c>
      <c r="AE4105">
        <v>0</v>
      </c>
      <c r="AF4105">
        <v>3</v>
      </c>
      <c r="AG4105">
        <v>1</v>
      </c>
      <c r="AH4105">
        <v>0</v>
      </c>
      <c r="AI4105" t="s">
        <v>1307</v>
      </c>
      <c r="AJ4105">
        <v>34.066178999999998</v>
      </c>
      <c r="AK4105" t="s">
        <v>1308</v>
      </c>
      <c r="AL4105">
        <v>-117.01611</v>
      </c>
      <c r="AM4105">
        <v>100</v>
      </c>
      <c r="AN4105">
        <v>5400</v>
      </c>
      <c r="AO4105" t="s">
        <v>118</v>
      </c>
      <c r="AP4105">
        <v>-74</v>
      </c>
      <c r="AQ4105">
        <v>52</v>
      </c>
      <c r="AR4105">
        <v>-128</v>
      </c>
      <c r="AZ4105">
        <v>1200</v>
      </c>
      <c r="BA4105">
        <v>1</v>
      </c>
      <c r="BB4105" t="str">
        <f t="shared" si="2298"/>
        <v xml:space="preserve">N9217B  </v>
      </c>
      <c r="BC4105">
        <v>1</v>
      </c>
      <c r="BE4105">
        <v>0</v>
      </c>
      <c r="BF4105">
        <v>0</v>
      </c>
      <c r="BG4105">
        <v>0</v>
      </c>
      <c r="BH4105">
        <v>5275</v>
      </c>
      <c r="BI4105">
        <v>1</v>
      </c>
      <c r="BJ4105">
        <v>0</v>
      </c>
      <c r="BK4105">
        <v>0</v>
      </c>
      <c r="BL4105">
        <v>0</v>
      </c>
      <c r="BO4105">
        <v>0</v>
      </c>
      <c r="BP4105">
        <v>0</v>
      </c>
      <c r="BW4105" t="str">
        <f t="shared" ref="BW4105:BW4111" si="2302">"14:59:16.388"</f>
        <v>14:59:16.388</v>
      </c>
      <c r="CJ4105">
        <v>0</v>
      </c>
      <c r="CK4105">
        <v>2</v>
      </c>
      <c r="CL4105">
        <v>0</v>
      </c>
      <c r="CM4105">
        <v>2</v>
      </c>
      <c r="CN4105">
        <v>0</v>
      </c>
      <c r="CO4105">
        <v>6</v>
      </c>
      <c r="CP4105" t="s">
        <v>119</v>
      </c>
      <c r="CQ4105">
        <v>285</v>
      </c>
      <c r="CR4105">
        <v>0</v>
      </c>
      <c r="CW4105">
        <v>8888986</v>
      </c>
      <c r="CY4105">
        <v>0</v>
      </c>
      <c r="CZ4105">
        <v>0</v>
      </c>
      <c r="DA4105">
        <v>0</v>
      </c>
      <c r="DB4105">
        <v>0</v>
      </c>
      <c r="DC4105">
        <v>0</v>
      </c>
      <c r="DD4105">
        <v>0</v>
      </c>
      <c r="DE4105">
        <v>0</v>
      </c>
      <c r="DF4105">
        <v>0</v>
      </c>
      <c r="DG4105">
        <v>0</v>
      </c>
      <c r="DH4105">
        <v>0</v>
      </c>
      <c r="DI4105">
        <v>0</v>
      </c>
    </row>
    <row r="4106" spans="1:113" x14ac:dyDescent="0.25">
      <c r="A4106" t="str">
        <f t="shared" si="2299"/>
        <v>06/05/2020 14:59:10.770</v>
      </c>
      <c r="C4106" t="str">
        <f t="shared" si="2280"/>
        <v>FFDFD3C0</v>
      </c>
      <c r="D4106" t="s">
        <v>151</v>
      </c>
      <c r="E4106">
        <v>8</v>
      </c>
      <c r="H4106">
        <v>225</v>
      </c>
      <c r="I4106" t="s">
        <v>353</v>
      </c>
      <c r="J4106" t="s">
        <v>150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 t="shared" si="2300"/>
        <v>14:59:16.383</v>
      </c>
      <c r="T4106" t="str">
        <f t="shared" si="2301"/>
        <v>14:59:15.483</v>
      </c>
      <c r="U4106" t="str">
        <f t="shared" si="2296"/>
        <v>ACC530</v>
      </c>
      <c r="V4106">
        <v>0</v>
      </c>
      <c r="W4106">
        <v>0</v>
      </c>
      <c r="X4106">
        <v>1</v>
      </c>
      <c r="Z4106">
        <v>0</v>
      </c>
      <c r="AA4106">
        <v>9</v>
      </c>
      <c r="AB4106">
        <v>3</v>
      </c>
      <c r="AC4106">
        <v>0</v>
      </c>
      <c r="AD4106">
        <v>9</v>
      </c>
      <c r="AE4106">
        <v>0</v>
      </c>
      <c r="AF4106">
        <v>3</v>
      </c>
      <c r="AG4106">
        <v>1</v>
      </c>
      <c r="AH4106">
        <v>0</v>
      </c>
      <c r="AI4106" t="s">
        <v>1307</v>
      </c>
      <c r="AJ4106">
        <v>34.066178999999998</v>
      </c>
      <c r="AK4106" t="s">
        <v>1308</v>
      </c>
      <c r="AL4106">
        <v>-117.01611</v>
      </c>
      <c r="AM4106">
        <v>100</v>
      </c>
      <c r="AN4106">
        <v>5400</v>
      </c>
      <c r="AO4106" t="s">
        <v>118</v>
      </c>
      <c r="AP4106">
        <v>-74</v>
      </c>
      <c r="AQ4106">
        <v>52</v>
      </c>
      <c r="AR4106">
        <v>-128</v>
      </c>
      <c r="AZ4106">
        <v>1200</v>
      </c>
      <c r="BA4106">
        <v>1</v>
      </c>
      <c r="BB4106" t="str">
        <f t="shared" si="2298"/>
        <v xml:space="preserve">N9217B  </v>
      </c>
      <c r="BC4106">
        <v>1</v>
      </c>
      <c r="BE4106">
        <v>0</v>
      </c>
      <c r="BF4106">
        <v>0</v>
      </c>
      <c r="BG4106">
        <v>0</v>
      </c>
      <c r="BH4106">
        <v>5275</v>
      </c>
      <c r="BI4106">
        <v>1</v>
      </c>
      <c r="BJ4106">
        <v>0</v>
      </c>
      <c r="BK4106">
        <v>0</v>
      </c>
      <c r="BL4106">
        <v>0</v>
      </c>
      <c r="BO4106">
        <v>0</v>
      </c>
      <c r="BP4106">
        <v>0</v>
      </c>
      <c r="BW4106" t="str">
        <f t="shared" si="2302"/>
        <v>14:59:16.388</v>
      </c>
      <c r="CJ4106">
        <v>0</v>
      </c>
      <c r="CK4106">
        <v>2</v>
      </c>
      <c r="CL4106">
        <v>0</v>
      </c>
      <c r="CM4106">
        <v>2</v>
      </c>
      <c r="CN4106">
        <v>0</v>
      </c>
      <c r="CO4106">
        <v>6</v>
      </c>
      <c r="CP4106" t="s">
        <v>119</v>
      </c>
      <c r="CQ4106">
        <v>285</v>
      </c>
      <c r="CR4106">
        <v>0</v>
      </c>
      <c r="CW4106">
        <v>8888986</v>
      </c>
      <c r="CY4106">
        <v>0</v>
      </c>
      <c r="CZ4106">
        <v>0</v>
      </c>
      <c r="DA4106">
        <v>1</v>
      </c>
      <c r="DB4106">
        <v>0</v>
      </c>
      <c r="DC4106">
        <v>0</v>
      </c>
      <c r="DD4106">
        <v>0</v>
      </c>
      <c r="DE4106">
        <v>0</v>
      </c>
      <c r="DF4106">
        <v>0</v>
      </c>
      <c r="DG4106">
        <v>0</v>
      </c>
      <c r="DH4106">
        <v>0</v>
      </c>
      <c r="DI4106">
        <v>0</v>
      </c>
    </row>
    <row r="4107" spans="1:113" x14ac:dyDescent="0.25">
      <c r="A4107" t="str">
        <f t="shared" si="2299"/>
        <v>06/05/2020 14:59:10.770</v>
      </c>
      <c r="C4107" t="str">
        <f t="shared" si="2280"/>
        <v>FFDFD3C0</v>
      </c>
      <c r="D4107" t="s">
        <v>113</v>
      </c>
      <c r="E4107">
        <v>3</v>
      </c>
      <c r="H4107">
        <v>166</v>
      </c>
      <c r="I4107" t="s">
        <v>114</v>
      </c>
      <c r="J4107" t="s">
        <v>115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 t="shared" si="2300"/>
        <v>14:59:16.383</v>
      </c>
      <c r="T4107" t="str">
        <f t="shared" si="2301"/>
        <v>14:59:15.483</v>
      </c>
      <c r="U4107" t="str">
        <f t="shared" si="2296"/>
        <v>ACC530</v>
      </c>
      <c r="V4107">
        <v>0</v>
      </c>
      <c r="W4107">
        <v>0</v>
      </c>
      <c r="X4107">
        <v>1</v>
      </c>
      <c r="Z4107">
        <v>0</v>
      </c>
      <c r="AA4107">
        <v>9</v>
      </c>
      <c r="AB4107">
        <v>3</v>
      </c>
      <c r="AC4107">
        <v>0</v>
      </c>
      <c r="AD4107">
        <v>9</v>
      </c>
      <c r="AE4107">
        <v>0</v>
      </c>
      <c r="AF4107">
        <v>3</v>
      </c>
      <c r="AG4107">
        <v>1</v>
      </c>
      <c r="AH4107">
        <v>0</v>
      </c>
      <c r="AI4107" t="s">
        <v>1307</v>
      </c>
      <c r="AJ4107">
        <v>34.066178999999998</v>
      </c>
      <c r="AK4107" t="s">
        <v>1308</v>
      </c>
      <c r="AL4107">
        <v>-117.01611</v>
      </c>
      <c r="AM4107">
        <v>100</v>
      </c>
      <c r="AN4107">
        <v>5400</v>
      </c>
      <c r="AO4107" t="s">
        <v>118</v>
      </c>
      <c r="AP4107">
        <v>-74</v>
      </c>
      <c r="AQ4107">
        <v>52</v>
      </c>
      <c r="AR4107">
        <v>-128</v>
      </c>
      <c r="AZ4107">
        <v>1200</v>
      </c>
      <c r="BA4107">
        <v>1</v>
      </c>
      <c r="BB4107" t="str">
        <f t="shared" si="2298"/>
        <v xml:space="preserve">N9217B  </v>
      </c>
      <c r="BC4107">
        <v>1</v>
      </c>
      <c r="BE4107">
        <v>0</v>
      </c>
      <c r="BF4107">
        <v>0</v>
      </c>
      <c r="BG4107">
        <v>0</v>
      </c>
      <c r="BH4107">
        <v>5275</v>
      </c>
      <c r="BI4107">
        <v>1</v>
      </c>
      <c r="BJ4107">
        <v>0</v>
      </c>
      <c r="BK4107">
        <v>0</v>
      </c>
      <c r="BL4107">
        <v>0</v>
      </c>
      <c r="BO4107">
        <v>0</v>
      </c>
      <c r="BP4107">
        <v>0</v>
      </c>
      <c r="BW4107" t="str">
        <f t="shared" si="2302"/>
        <v>14:59:16.388</v>
      </c>
      <c r="CJ4107">
        <v>0</v>
      </c>
      <c r="CK4107">
        <v>2</v>
      </c>
      <c r="CL4107">
        <v>0</v>
      </c>
      <c r="CM4107">
        <v>2</v>
      </c>
      <c r="CN4107">
        <v>0</v>
      </c>
      <c r="CO4107">
        <v>6</v>
      </c>
      <c r="CP4107" t="s">
        <v>119</v>
      </c>
      <c r="CQ4107">
        <v>285</v>
      </c>
      <c r="CR4107">
        <v>0</v>
      </c>
      <c r="CW4107">
        <v>8888986</v>
      </c>
      <c r="CY4107">
        <v>0</v>
      </c>
      <c r="CZ4107">
        <v>0</v>
      </c>
      <c r="DA4107">
        <v>1</v>
      </c>
      <c r="DB4107">
        <v>0</v>
      </c>
      <c r="DC4107">
        <v>0</v>
      </c>
      <c r="DD4107">
        <v>0</v>
      </c>
      <c r="DE4107">
        <v>0</v>
      </c>
      <c r="DF4107">
        <v>0</v>
      </c>
      <c r="DG4107">
        <v>0</v>
      </c>
      <c r="DH4107">
        <v>0</v>
      </c>
      <c r="DI4107">
        <v>0</v>
      </c>
    </row>
    <row r="4108" spans="1:113" x14ac:dyDescent="0.25">
      <c r="A4108" t="str">
        <f t="shared" si="2299"/>
        <v>06/05/2020 14:59:10.770</v>
      </c>
      <c r="C4108" t="str">
        <f t="shared" si="2280"/>
        <v>FFDFD3C0</v>
      </c>
      <c r="D4108" t="s">
        <v>134</v>
      </c>
      <c r="E4108">
        <v>7</v>
      </c>
      <c r="F4108">
        <v>2007</v>
      </c>
      <c r="G4108" t="s">
        <v>135</v>
      </c>
      <c r="J4108" t="s">
        <v>136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 t="shared" si="2300"/>
        <v>14:59:16.383</v>
      </c>
      <c r="T4108" t="str">
        <f t="shared" si="2301"/>
        <v>14:59:15.483</v>
      </c>
      <c r="U4108" t="str">
        <f t="shared" si="2296"/>
        <v>ACC530</v>
      </c>
      <c r="V4108">
        <v>0</v>
      </c>
      <c r="W4108">
        <v>0</v>
      </c>
      <c r="X4108">
        <v>1</v>
      </c>
      <c r="Z4108">
        <v>0</v>
      </c>
      <c r="AA4108">
        <v>9</v>
      </c>
      <c r="AB4108">
        <v>3</v>
      </c>
      <c r="AC4108">
        <v>0</v>
      </c>
      <c r="AD4108">
        <v>9</v>
      </c>
      <c r="AE4108">
        <v>0</v>
      </c>
      <c r="AF4108">
        <v>3</v>
      </c>
      <c r="AG4108">
        <v>1</v>
      </c>
      <c r="AH4108">
        <v>0</v>
      </c>
      <c r="AI4108" t="s">
        <v>1307</v>
      </c>
      <c r="AJ4108">
        <v>34.066178999999998</v>
      </c>
      <c r="AK4108" t="s">
        <v>1308</v>
      </c>
      <c r="AL4108">
        <v>-117.01611</v>
      </c>
      <c r="AM4108">
        <v>100</v>
      </c>
      <c r="AN4108">
        <v>5400</v>
      </c>
      <c r="AO4108" t="s">
        <v>118</v>
      </c>
      <c r="AP4108">
        <v>-74</v>
      </c>
      <c r="AQ4108">
        <v>52</v>
      </c>
      <c r="AR4108">
        <v>-128</v>
      </c>
      <c r="AZ4108">
        <v>1200</v>
      </c>
      <c r="BA4108">
        <v>1</v>
      </c>
      <c r="BB4108" t="str">
        <f t="shared" si="2298"/>
        <v xml:space="preserve">N9217B  </v>
      </c>
      <c r="BC4108">
        <v>1</v>
      </c>
      <c r="BE4108">
        <v>0</v>
      </c>
      <c r="BF4108">
        <v>0</v>
      </c>
      <c r="BG4108">
        <v>0</v>
      </c>
      <c r="BH4108">
        <v>5275</v>
      </c>
      <c r="BI4108">
        <v>1</v>
      </c>
      <c r="BJ4108">
        <v>0</v>
      </c>
      <c r="BK4108">
        <v>0</v>
      </c>
      <c r="BL4108">
        <v>0</v>
      </c>
      <c r="BO4108">
        <v>0</v>
      </c>
      <c r="BP4108">
        <v>0</v>
      </c>
      <c r="BW4108" t="str">
        <f t="shared" si="2302"/>
        <v>14:59:16.388</v>
      </c>
      <c r="CJ4108">
        <v>0</v>
      </c>
      <c r="CK4108">
        <v>2</v>
      </c>
      <c r="CL4108">
        <v>0</v>
      </c>
      <c r="CM4108">
        <v>2</v>
      </c>
      <c r="CN4108">
        <v>0</v>
      </c>
      <c r="CO4108">
        <v>6</v>
      </c>
      <c r="CP4108" t="s">
        <v>119</v>
      </c>
      <c r="CQ4108">
        <v>285</v>
      </c>
      <c r="CR4108">
        <v>0</v>
      </c>
      <c r="CW4108">
        <v>8888986</v>
      </c>
      <c r="CY4108">
        <v>0</v>
      </c>
      <c r="CZ4108">
        <v>0</v>
      </c>
      <c r="DA4108">
        <v>1</v>
      </c>
      <c r="DB4108">
        <v>0</v>
      </c>
      <c r="DC4108">
        <v>0</v>
      </c>
      <c r="DD4108">
        <v>0</v>
      </c>
      <c r="DE4108">
        <v>0</v>
      </c>
      <c r="DF4108">
        <v>0</v>
      </c>
      <c r="DG4108">
        <v>0</v>
      </c>
      <c r="DH4108">
        <v>0</v>
      </c>
      <c r="DI4108">
        <v>0</v>
      </c>
    </row>
    <row r="4109" spans="1:113" x14ac:dyDescent="0.25">
      <c r="A4109" t="str">
        <f t="shared" si="2299"/>
        <v>06/05/2020 14:59:10.770</v>
      </c>
      <c r="C4109" t="str">
        <f t="shared" si="2280"/>
        <v>FFDFD3C0</v>
      </c>
      <c r="D4109" t="s">
        <v>148</v>
      </c>
      <c r="E4109">
        <v>8</v>
      </c>
      <c r="H4109">
        <v>50</v>
      </c>
      <c r="I4109" t="s">
        <v>149</v>
      </c>
      <c r="J4109" t="s">
        <v>150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 t="shared" si="2300"/>
        <v>14:59:16.383</v>
      </c>
      <c r="T4109" t="str">
        <f t="shared" si="2301"/>
        <v>14:59:15.483</v>
      </c>
      <c r="U4109" t="str">
        <f t="shared" si="2296"/>
        <v>ACC530</v>
      </c>
      <c r="V4109">
        <v>0</v>
      </c>
      <c r="W4109">
        <v>0</v>
      </c>
      <c r="X4109">
        <v>1</v>
      </c>
      <c r="Z4109">
        <v>0</v>
      </c>
      <c r="AA4109">
        <v>9</v>
      </c>
      <c r="AB4109">
        <v>3</v>
      </c>
      <c r="AC4109">
        <v>0</v>
      </c>
      <c r="AD4109">
        <v>9</v>
      </c>
      <c r="AE4109">
        <v>0</v>
      </c>
      <c r="AF4109">
        <v>3</v>
      </c>
      <c r="AG4109">
        <v>1</v>
      </c>
      <c r="AH4109">
        <v>0</v>
      </c>
      <c r="AI4109" t="s">
        <v>1307</v>
      </c>
      <c r="AJ4109">
        <v>34.066178999999998</v>
      </c>
      <c r="AK4109" t="s">
        <v>1308</v>
      </c>
      <c r="AL4109">
        <v>-117.01611</v>
      </c>
      <c r="AM4109">
        <v>100</v>
      </c>
      <c r="AN4109">
        <v>5400</v>
      </c>
      <c r="AO4109" t="s">
        <v>118</v>
      </c>
      <c r="AP4109">
        <v>-74</v>
      </c>
      <c r="AQ4109">
        <v>52</v>
      </c>
      <c r="AR4109">
        <v>-128</v>
      </c>
      <c r="AZ4109">
        <v>1200</v>
      </c>
      <c r="BA4109">
        <v>1</v>
      </c>
      <c r="BB4109" t="str">
        <f t="shared" si="2298"/>
        <v xml:space="preserve">N9217B  </v>
      </c>
      <c r="BC4109">
        <v>1</v>
      </c>
      <c r="BE4109">
        <v>0</v>
      </c>
      <c r="BF4109">
        <v>0</v>
      </c>
      <c r="BG4109">
        <v>0</v>
      </c>
      <c r="BH4109">
        <v>5275</v>
      </c>
      <c r="BI4109">
        <v>1</v>
      </c>
      <c r="BJ4109">
        <v>0</v>
      </c>
      <c r="BK4109">
        <v>0</v>
      </c>
      <c r="BL4109">
        <v>0</v>
      </c>
      <c r="BO4109">
        <v>0</v>
      </c>
      <c r="BP4109">
        <v>0</v>
      </c>
      <c r="BW4109" t="str">
        <f t="shared" si="2302"/>
        <v>14:59:16.388</v>
      </c>
      <c r="CJ4109">
        <v>0</v>
      </c>
      <c r="CK4109">
        <v>2</v>
      </c>
      <c r="CL4109">
        <v>0</v>
      </c>
      <c r="CM4109">
        <v>2</v>
      </c>
      <c r="CN4109">
        <v>0</v>
      </c>
      <c r="CO4109">
        <v>6</v>
      </c>
      <c r="CP4109" t="s">
        <v>119</v>
      </c>
      <c r="CQ4109">
        <v>285</v>
      </c>
      <c r="CR4109">
        <v>0</v>
      </c>
      <c r="CW4109">
        <v>8888986</v>
      </c>
      <c r="CY4109">
        <v>0</v>
      </c>
      <c r="CZ4109">
        <v>0</v>
      </c>
      <c r="DA4109">
        <v>1</v>
      </c>
      <c r="DB4109">
        <v>0</v>
      </c>
      <c r="DC4109">
        <v>0</v>
      </c>
      <c r="DD4109">
        <v>0</v>
      </c>
      <c r="DE4109">
        <v>0</v>
      </c>
      <c r="DF4109">
        <v>0</v>
      </c>
      <c r="DG4109">
        <v>0</v>
      </c>
      <c r="DH4109">
        <v>0</v>
      </c>
      <c r="DI4109">
        <v>0</v>
      </c>
    </row>
    <row r="4110" spans="1:113" x14ac:dyDescent="0.25">
      <c r="A4110" t="str">
        <f t="shared" si="2299"/>
        <v>06/05/2020 14:59:10.770</v>
      </c>
      <c r="C4110" t="str">
        <f t="shared" si="2280"/>
        <v>FFDFD3C0</v>
      </c>
      <c r="D4110" t="s">
        <v>151</v>
      </c>
      <c r="E4110">
        <v>9</v>
      </c>
      <c r="H4110">
        <v>226</v>
      </c>
      <c r="I4110" t="s">
        <v>152</v>
      </c>
      <c r="J4110" t="s">
        <v>150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 t="shared" si="2300"/>
        <v>14:59:16.383</v>
      </c>
      <c r="T4110" t="str">
        <f t="shared" si="2301"/>
        <v>14:59:15.483</v>
      </c>
      <c r="U4110" t="str">
        <f t="shared" si="2296"/>
        <v>ACC530</v>
      </c>
      <c r="V4110">
        <v>0</v>
      </c>
      <c r="W4110">
        <v>0</v>
      </c>
      <c r="X4110">
        <v>1</v>
      </c>
      <c r="Z4110">
        <v>0</v>
      </c>
      <c r="AA4110">
        <v>9</v>
      </c>
      <c r="AB4110">
        <v>3</v>
      </c>
      <c r="AC4110">
        <v>0</v>
      </c>
      <c r="AD4110">
        <v>9</v>
      </c>
      <c r="AE4110">
        <v>0</v>
      </c>
      <c r="AF4110">
        <v>3</v>
      </c>
      <c r="AG4110">
        <v>1</v>
      </c>
      <c r="AH4110">
        <v>0</v>
      </c>
      <c r="AI4110" t="s">
        <v>1307</v>
      </c>
      <c r="AJ4110">
        <v>34.066178999999998</v>
      </c>
      <c r="AK4110" t="s">
        <v>1308</v>
      </c>
      <c r="AL4110">
        <v>-117.01611</v>
      </c>
      <c r="AM4110">
        <v>100</v>
      </c>
      <c r="AN4110">
        <v>5400</v>
      </c>
      <c r="AO4110" t="s">
        <v>118</v>
      </c>
      <c r="AP4110">
        <v>-74</v>
      </c>
      <c r="AQ4110">
        <v>52</v>
      </c>
      <c r="AR4110">
        <v>-128</v>
      </c>
      <c r="AZ4110">
        <v>1200</v>
      </c>
      <c r="BA4110">
        <v>1</v>
      </c>
      <c r="BB4110" t="str">
        <f t="shared" si="2298"/>
        <v xml:space="preserve">N9217B  </v>
      </c>
      <c r="BC4110">
        <v>1</v>
      </c>
      <c r="BE4110">
        <v>0</v>
      </c>
      <c r="BF4110">
        <v>0</v>
      </c>
      <c r="BG4110">
        <v>0</v>
      </c>
      <c r="BH4110">
        <v>5275</v>
      </c>
      <c r="BI4110">
        <v>1</v>
      </c>
      <c r="BJ4110">
        <v>0</v>
      </c>
      <c r="BK4110">
        <v>0</v>
      </c>
      <c r="BL4110">
        <v>0</v>
      </c>
      <c r="BO4110">
        <v>0</v>
      </c>
      <c r="BP4110">
        <v>0</v>
      </c>
      <c r="BW4110" t="str">
        <f t="shared" si="2302"/>
        <v>14:59:16.388</v>
      </c>
      <c r="CJ4110">
        <v>0</v>
      </c>
      <c r="CK4110">
        <v>2</v>
      </c>
      <c r="CL4110">
        <v>0</v>
      </c>
      <c r="CM4110">
        <v>2</v>
      </c>
      <c r="CN4110">
        <v>0</v>
      </c>
      <c r="CO4110">
        <v>6</v>
      </c>
      <c r="CP4110" t="s">
        <v>119</v>
      </c>
      <c r="CQ4110">
        <v>285</v>
      </c>
      <c r="CR4110">
        <v>0</v>
      </c>
      <c r="CW4110">
        <v>8888986</v>
      </c>
      <c r="CY4110">
        <v>0</v>
      </c>
      <c r="CZ4110">
        <v>0</v>
      </c>
      <c r="DA4110">
        <v>1</v>
      </c>
      <c r="DB4110">
        <v>0</v>
      </c>
      <c r="DC4110">
        <v>0</v>
      </c>
      <c r="DD4110">
        <v>0</v>
      </c>
      <c r="DE4110">
        <v>0</v>
      </c>
      <c r="DF4110">
        <v>0</v>
      </c>
      <c r="DG4110">
        <v>0</v>
      </c>
      <c r="DH4110">
        <v>0</v>
      </c>
      <c r="DI4110">
        <v>0</v>
      </c>
    </row>
    <row r="4111" spans="1:113" x14ac:dyDescent="0.25">
      <c r="A4111" t="str">
        <f t="shared" si="2299"/>
        <v>06/05/2020 14:59:10.770</v>
      </c>
      <c r="C4111" t="str">
        <f t="shared" si="2280"/>
        <v>FFDFD3C0</v>
      </c>
      <c r="D4111" t="s">
        <v>141</v>
      </c>
      <c r="E4111">
        <v>20</v>
      </c>
      <c r="F4111">
        <v>1020</v>
      </c>
      <c r="G4111" t="s">
        <v>114</v>
      </c>
      <c r="J4111" t="s">
        <v>142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 t="shared" si="2300"/>
        <v>14:59:16.383</v>
      </c>
      <c r="T4111" t="str">
        <f t="shared" si="2301"/>
        <v>14:59:15.483</v>
      </c>
      <c r="U4111" t="str">
        <f t="shared" si="2296"/>
        <v>ACC530</v>
      </c>
      <c r="V4111">
        <v>0</v>
      </c>
      <c r="W4111">
        <v>0</v>
      </c>
      <c r="X4111">
        <v>1</v>
      </c>
      <c r="Z4111">
        <v>0</v>
      </c>
      <c r="AA4111">
        <v>9</v>
      </c>
      <c r="AB4111">
        <v>3</v>
      </c>
      <c r="AC4111">
        <v>0</v>
      </c>
      <c r="AD4111">
        <v>9</v>
      </c>
      <c r="AE4111">
        <v>0</v>
      </c>
      <c r="AF4111">
        <v>3</v>
      </c>
      <c r="AG4111">
        <v>1</v>
      </c>
      <c r="AH4111">
        <v>0</v>
      </c>
      <c r="AI4111" t="s">
        <v>1307</v>
      </c>
      <c r="AJ4111">
        <v>34.066178999999998</v>
      </c>
      <c r="AK4111" t="s">
        <v>1308</v>
      </c>
      <c r="AL4111">
        <v>-117.01611</v>
      </c>
      <c r="AM4111">
        <v>100</v>
      </c>
      <c r="AN4111">
        <v>5400</v>
      </c>
      <c r="AO4111" t="s">
        <v>118</v>
      </c>
      <c r="AP4111">
        <v>-74</v>
      </c>
      <c r="AQ4111">
        <v>52</v>
      </c>
      <c r="AR4111">
        <v>-128</v>
      </c>
      <c r="AZ4111">
        <v>1200</v>
      </c>
      <c r="BA4111">
        <v>1</v>
      </c>
      <c r="BB4111" t="str">
        <f t="shared" si="2298"/>
        <v xml:space="preserve">N9217B  </v>
      </c>
      <c r="BC4111">
        <v>1</v>
      </c>
      <c r="BE4111">
        <v>0</v>
      </c>
      <c r="BF4111">
        <v>0</v>
      </c>
      <c r="BG4111">
        <v>0</v>
      </c>
      <c r="BH4111">
        <v>5275</v>
      </c>
      <c r="BI4111">
        <v>1</v>
      </c>
      <c r="BJ4111">
        <v>0</v>
      </c>
      <c r="BK4111">
        <v>0</v>
      </c>
      <c r="BL4111">
        <v>0</v>
      </c>
      <c r="BO4111">
        <v>0</v>
      </c>
      <c r="BP4111">
        <v>0</v>
      </c>
      <c r="BW4111" t="str">
        <f t="shared" si="2302"/>
        <v>14:59:16.388</v>
      </c>
      <c r="CJ4111">
        <v>0</v>
      </c>
      <c r="CK4111">
        <v>2</v>
      </c>
      <c r="CL4111">
        <v>0</v>
      </c>
      <c r="CM4111">
        <v>2</v>
      </c>
      <c r="CN4111">
        <v>0</v>
      </c>
      <c r="CO4111">
        <v>6</v>
      </c>
      <c r="CP4111" t="s">
        <v>119</v>
      </c>
      <c r="CQ4111">
        <v>285</v>
      </c>
      <c r="CR4111">
        <v>0</v>
      </c>
      <c r="CW4111">
        <v>8888986</v>
      </c>
      <c r="CY4111">
        <v>0</v>
      </c>
      <c r="CZ4111">
        <v>0</v>
      </c>
      <c r="DA4111">
        <v>1</v>
      </c>
      <c r="DB4111">
        <v>0</v>
      </c>
      <c r="DC4111">
        <v>0</v>
      </c>
      <c r="DD4111">
        <v>0</v>
      </c>
      <c r="DE4111">
        <v>0</v>
      </c>
      <c r="DF4111">
        <v>0</v>
      </c>
      <c r="DG4111">
        <v>0</v>
      </c>
      <c r="DH4111">
        <v>0</v>
      </c>
      <c r="DI4111">
        <v>0</v>
      </c>
    </row>
    <row r="4112" spans="1:113" x14ac:dyDescent="0.25">
      <c r="A4112" t="str">
        <f t="shared" ref="A4112:A4118" si="2303">"06/05/2020 14:59:11.830"</f>
        <v>06/05/2020 14:59:11.830</v>
      </c>
      <c r="C4112" t="str">
        <f t="shared" si="2280"/>
        <v>FFDFD3C0</v>
      </c>
      <c r="D4112" t="s">
        <v>148</v>
      </c>
      <c r="E4112">
        <v>11</v>
      </c>
      <c r="H4112">
        <v>53</v>
      </c>
      <c r="I4112" t="s">
        <v>364</v>
      </c>
      <c r="J4112" t="s">
        <v>150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 t="shared" ref="S4112:S4118" si="2304">"14:59:17.461"</f>
        <v>14:59:17.461</v>
      </c>
      <c r="T4112" t="str">
        <f t="shared" ref="T4112:T4118" si="2305">"14:59:16.961"</f>
        <v>14:59:16.961</v>
      </c>
      <c r="U4112" t="str">
        <f t="shared" si="2296"/>
        <v>ACC530</v>
      </c>
      <c r="V4112">
        <v>0</v>
      </c>
      <c r="W4112">
        <v>0</v>
      </c>
      <c r="X4112">
        <v>1</v>
      </c>
      <c r="Z4112">
        <v>0</v>
      </c>
      <c r="AA4112">
        <v>9</v>
      </c>
      <c r="AB4112">
        <v>3</v>
      </c>
      <c r="AC4112">
        <v>0</v>
      </c>
      <c r="AD4112">
        <v>9</v>
      </c>
      <c r="AE4112">
        <v>0</v>
      </c>
      <c r="AF4112">
        <v>3</v>
      </c>
      <c r="AG4112">
        <v>1</v>
      </c>
      <c r="AH4112">
        <v>0</v>
      </c>
      <c r="AI4112" t="s">
        <v>1224</v>
      </c>
      <c r="AJ4112">
        <v>34.066414999999999</v>
      </c>
      <c r="AK4112" t="s">
        <v>1194</v>
      </c>
      <c r="AL4112">
        <v>-117.016582</v>
      </c>
      <c r="AM4112">
        <v>100</v>
      </c>
      <c r="AN4112">
        <v>5400</v>
      </c>
      <c r="AO4112" t="s">
        <v>118</v>
      </c>
      <c r="AP4112">
        <v>-77</v>
      </c>
      <c r="AQ4112">
        <v>49</v>
      </c>
      <c r="AR4112">
        <v>-256</v>
      </c>
      <c r="AZ4112">
        <v>1200</v>
      </c>
      <c r="BA4112">
        <v>1</v>
      </c>
      <c r="BB4112" t="str">
        <f t="shared" si="2298"/>
        <v xml:space="preserve">N9217B  </v>
      </c>
      <c r="BC4112">
        <v>1</v>
      </c>
      <c r="BE4112">
        <v>0</v>
      </c>
      <c r="BF4112">
        <v>0</v>
      </c>
      <c r="BG4112">
        <v>0</v>
      </c>
      <c r="BH4112">
        <v>5250</v>
      </c>
      <c r="BI4112">
        <v>1</v>
      </c>
      <c r="BJ4112">
        <v>0</v>
      </c>
      <c r="BK4112">
        <v>0</v>
      </c>
      <c r="BL4112">
        <v>0</v>
      </c>
      <c r="BO4112">
        <v>0</v>
      </c>
      <c r="BP4112">
        <v>0</v>
      </c>
      <c r="BW4112" t="str">
        <f t="shared" ref="BW4112:BW4118" si="2306">"14:59:17.467"</f>
        <v>14:59:17.467</v>
      </c>
      <c r="CJ4112">
        <v>0</v>
      </c>
      <c r="CK4112">
        <v>2</v>
      </c>
      <c r="CL4112">
        <v>0</v>
      </c>
      <c r="CM4112">
        <v>2</v>
      </c>
      <c r="CN4112">
        <v>0</v>
      </c>
      <c r="CO4112">
        <v>6</v>
      </c>
      <c r="CP4112" t="s">
        <v>119</v>
      </c>
      <c r="CQ4112">
        <v>285</v>
      </c>
      <c r="CR4112">
        <v>0</v>
      </c>
      <c r="CW4112">
        <v>8889087</v>
      </c>
      <c r="CY4112">
        <v>0</v>
      </c>
      <c r="CZ4112">
        <v>0</v>
      </c>
      <c r="DA4112">
        <v>0</v>
      </c>
      <c r="DB4112">
        <v>0</v>
      </c>
      <c r="DC4112">
        <v>0</v>
      </c>
      <c r="DD4112">
        <v>0</v>
      </c>
      <c r="DE4112">
        <v>0</v>
      </c>
      <c r="DF4112">
        <v>0</v>
      </c>
      <c r="DG4112">
        <v>0</v>
      </c>
      <c r="DH4112">
        <v>0</v>
      </c>
      <c r="DI4112">
        <v>0</v>
      </c>
    </row>
    <row r="4113" spans="1:113" x14ac:dyDescent="0.25">
      <c r="A4113" t="str">
        <f t="shared" si="2303"/>
        <v>06/05/2020 14:59:11.830</v>
      </c>
      <c r="C4113" t="str">
        <f t="shared" si="2280"/>
        <v>FFDFD3C0</v>
      </c>
      <c r="D4113" t="s">
        <v>113</v>
      </c>
      <c r="E4113">
        <v>3</v>
      </c>
      <c r="H4113">
        <v>166</v>
      </c>
      <c r="I4113" t="s">
        <v>114</v>
      </c>
      <c r="J4113" t="s">
        <v>115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 t="shared" si="2304"/>
        <v>14:59:17.461</v>
      </c>
      <c r="T4113" t="str">
        <f t="shared" si="2305"/>
        <v>14:59:16.961</v>
      </c>
      <c r="U4113" t="str">
        <f t="shared" si="2296"/>
        <v>ACC530</v>
      </c>
      <c r="V4113">
        <v>0</v>
      </c>
      <c r="W4113">
        <v>0</v>
      </c>
      <c r="X4113">
        <v>1</v>
      </c>
      <c r="Z4113">
        <v>0</v>
      </c>
      <c r="AA4113">
        <v>9</v>
      </c>
      <c r="AB4113">
        <v>3</v>
      </c>
      <c r="AC4113">
        <v>0</v>
      </c>
      <c r="AD4113">
        <v>9</v>
      </c>
      <c r="AE4113">
        <v>0</v>
      </c>
      <c r="AF4113">
        <v>3</v>
      </c>
      <c r="AG4113">
        <v>1</v>
      </c>
      <c r="AH4113">
        <v>0</v>
      </c>
      <c r="AI4113" t="s">
        <v>1224</v>
      </c>
      <c r="AJ4113">
        <v>34.066414999999999</v>
      </c>
      <c r="AK4113" t="s">
        <v>1194</v>
      </c>
      <c r="AL4113">
        <v>-117.016582</v>
      </c>
      <c r="AM4113">
        <v>100</v>
      </c>
      <c r="AN4113">
        <v>5400</v>
      </c>
      <c r="AO4113" t="s">
        <v>118</v>
      </c>
      <c r="AP4113">
        <v>-77</v>
      </c>
      <c r="AQ4113">
        <v>49</v>
      </c>
      <c r="AR4113">
        <v>-256</v>
      </c>
      <c r="AZ4113">
        <v>1200</v>
      </c>
      <c r="BA4113">
        <v>1</v>
      </c>
      <c r="BB4113" t="str">
        <f t="shared" si="2298"/>
        <v xml:space="preserve">N9217B  </v>
      </c>
      <c r="BC4113">
        <v>1</v>
      </c>
      <c r="BE4113">
        <v>0</v>
      </c>
      <c r="BF4113">
        <v>0</v>
      </c>
      <c r="BG4113">
        <v>0</v>
      </c>
      <c r="BH4113">
        <v>5250</v>
      </c>
      <c r="BI4113">
        <v>1</v>
      </c>
      <c r="BJ4113">
        <v>0</v>
      </c>
      <c r="BK4113">
        <v>0</v>
      </c>
      <c r="BL4113">
        <v>0</v>
      </c>
      <c r="BO4113">
        <v>0</v>
      </c>
      <c r="BP4113">
        <v>0</v>
      </c>
      <c r="BW4113" t="str">
        <f t="shared" si="2306"/>
        <v>14:59:17.467</v>
      </c>
      <c r="CJ4113">
        <v>0</v>
      </c>
      <c r="CK4113">
        <v>2</v>
      </c>
      <c r="CL4113">
        <v>0</v>
      </c>
      <c r="CM4113">
        <v>2</v>
      </c>
      <c r="CN4113">
        <v>0</v>
      </c>
      <c r="CO4113">
        <v>6</v>
      </c>
      <c r="CP4113" t="s">
        <v>119</v>
      </c>
      <c r="CQ4113">
        <v>285</v>
      </c>
      <c r="CR4113">
        <v>0</v>
      </c>
      <c r="CW4113">
        <v>8889087</v>
      </c>
      <c r="CY4113">
        <v>0</v>
      </c>
      <c r="CZ4113">
        <v>0</v>
      </c>
      <c r="DA4113">
        <v>1</v>
      </c>
      <c r="DB4113">
        <v>0</v>
      </c>
      <c r="DC4113">
        <v>0</v>
      </c>
      <c r="DD4113">
        <v>0</v>
      </c>
      <c r="DE4113">
        <v>0</v>
      </c>
      <c r="DF4113">
        <v>0</v>
      </c>
      <c r="DG4113">
        <v>0</v>
      </c>
      <c r="DH4113">
        <v>0</v>
      </c>
      <c r="DI4113">
        <v>0</v>
      </c>
    </row>
    <row r="4114" spans="1:113" x14ac:dyDescent="0.25">
      <c r="A4114" t="str">
        <f t="shared" si="2303"/>
        <v>06/05/2020 14:59:11.830</v>
      </c>
      <c r="C4114" t="str">
        <f t="shared" si="2280"/>
        <v>FFDFD3C0</v>
      </c>
      <c r="D4114" t="s">
        <v>151</v>
      </c>
      <c r="E4114">
        <v>8</v>
      </c>
      <c r="H4114">
        <v>225</v>
      </c>
      <c r="I4114" t="s">
        <v>353</v>
      </c>
      <c r="J4114" t="s">
        <v>150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 t="shared" si="2304"/>
        <v>14:59:17.461</v>
      </c>
      <c r="T4114" t="str">
        <f t="shared" si="2305"/>
        <v>14:59:16.961</v>
      </c>
      <c r="U4114" t="str">
        <f t="shared" si="2296"/>
        <v>ACC530</v>
      </c>
      <c r="V4114">
        <v>0</v>
      </c>
      <c r="W4114">
        <v>0</v>
      </c>
      <c r="X4114">
        <v>1</v>
      </c>
      <c r="Z4114">
        <v>0</v>
      </c>
      <c r="AA4114">
        <v>9</v>
      </c>
      <c r="AB4114">
        <v>3</v>
      </c>
      <c r="AC4114">
        <v>0</v>
      </c>
      <c r="AD4114">
        <v>9</v>
      </c>
      <c r="AE4114">
        <v>0</v>
      </c>
      <c r="AF4114">
        <v>3</v>
      </c>
      <c r="AG4114">
        <v>1</v>
      </c>
      <c r="AH4114">
        <v>0</v>
      </c>
      <c r="AI4114" t="s">
        <v>1224</v>
      </c>
      <c r="AJ4114">
        <v>34.066414999999999</v>
      </c>
      <c r="AK4114" t="s">
        <v>1194</v>
      </c>
      <c r="AL4114">
        <v>-117.016582</v>
      </c>
      <c r="AM4114">
        <v>100</v>
      </c>
      <c r="AN4114">
        <v>5400</v>
      </c>
      <c r="AO4114" t="s">
        <v>118</v>
      </c>
      <c r="AP4114">
        <v>-77</v>
      </c>
      <c r="AQ4114">
        <v>49</v>
      </c>
      <c r="AR4114">
        <v>-256</v>
      </c>
      <c r="AZ4114">
        <v>1200</v>
      </c>
      <c r="BA4114">
        <v>1</v>
      </c>
      <c r="BB4114" t="str">
        <f t="shared" si="2298"/>
        <v xml:space="preserve">N9217B  </v>
      </c>
      <c r="BC4114">
        <v>1</v>
      </c>
      <c r="BE4114">
        <v>0</v>
      </c>
      <c r="BF4114">
        <v>0</v>
      </c>
      <c r="BG4114">
        <v>0</v>
      </c>
      <c r="BH4114">
        <v>5250</v>
      </c>
      <c r="BI4114">
        <v>1</v>
      </c>
      <c r="BJ4114">
        <v>0</v>
      </c>
      <c r="BK4114">
        <v>0</v>
      </c>
      <c r="BL4114">
        <v>0</v>
      </c>
      <c r="BO4114">
        <v>0</v>
      </c>
      <c r="BP4114">
        <v>0</v>
      </c>
      <c r="BW4114" t="str">
        <f t="shared" si="2306"/>
        <v>14:59:17.467</v>
      </c>
      <c r="CJ4114">
        <v>0</v>
      </c>
      <c r="CK4114">
        <v>2</v>
      </c>
      <c r="CL4114">
        <v>0</v>
      </c>
      <c r="CM4114">
        <v>2</v>
      </c>
      <c r="CN4114">
        <v>0</v>
      </c>
      <c r="CO4114">
        <v>6</v>
      </c>
      <c r="CP4114" t="s">
        <v>119</v>
      </c>
      <c r="CQ4114">
        <v>285</v>
      </c>
      <c r="CR4114">
        <v>0</v>
      </c>
      <c r="CW4114">
        <v>8889087</v>
      </c>
      <c r="CY4114">
        <v>0</v>
      </c>
      <c r="CZ4114">
        <v>0</v>
      </c>
      <c r="DA4114">
        <v>1</v>
      </c>
      <c r="DB4114">
        <v>0</v>
      </c>
      <c r="DC4114">
        <v>0</v>
      </c>
      <c r="DD4114">
        <v>0</v>
      </c>
      <c r="DE4114">
        <v>0</v>
      </c>
      <c r="DF4114">
        <v>0</v>
      </c>
      <c r="DG4114">
        <v>0</v>
      </c>
      <c r="DH4114">
        <v>0</v>
      </c>
      <c r="DI4114">
        <v>0</v>
      </c>
    </row>
    <row r="4115" spans="1:113" x14ac:dyDescent="0.25">
      <c r="A4115" t="str">
        <f t="shared" si="2303"/>
        <v>06/05/2020 14:59:11.830</v>
      </c>
      <c r="C4115" t="str">
        <f t="shared" si="2280"/>
        <v>FFDFD3C0</v>
      </c>
      <c r="D4115" t="s">
        <v>134</v>
      </c>
      <c r="E4115">
        <v>7</v>
      </c>
      <c r="F4115">
        <v>2007</v>
      </c>
      <c r="G4115" t="s">
        <v>135</v>
      </c>
      <c r="J4115" t="s">
        <v>136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 t="shared" si="2304"/>
        <v>14:59:17.461</v>
      </c>
      <c r="T4115" t="str">
        <f t="shared" si="2305"/>
        <v>14:59:16.961</v>
      </c>
      <c r="U4115" t="str">
        <f t="shared" si="2296"/>
        <v>ACC530</v>
      </c>
      <c r="V4115">
        <v>0</v>
      </c>
      <c r="W4115">
        <v>0</v>
      </c>
      <c r="X4115">
        <v>1</v>
      </c>
      <c r="Z4115">
        <v>0</v>
      </c>
      <c r="AA4115">
        <v>9</v>
      </c>
      <c r="AB4115">
        <v>3</v>
      </c>
      <c r="AC4115">
        <v>0</v>
      </c>
      <c r="AD4115">
        <v>9</v>
      </c>
      <c r="AE4115">
        <v>0</v>
      </c>
      <c r="AF4115">
        <v>3</v>
      </c>
      <c r="AG4115">
        <v>1</v>
      </c>
      <c r="AH4115">
        <v>0</v>
      </c>
      <c r="AI4115" t="s">
        <v>1224</v>
      </c>
      <c r="AJ4115">
        <v>34.066414999999999</v>
      </c>
      <c r="AK4115" t="s">
        <v>1194</v>
      </c>
      <c r="AL4115">
        <v>-117.016582</v>
      </c>
      <c r="AM4115">
        <v>100</v>
      </c>
      <c r="AN4115">
        <v>5400</v>
      </c>
      <c r="AO4115" t="s">
        <v>118</v>
      </c>
      <c r="AP4115">
        <v>-77</v>
      </c>
      <c r="AQ4115">
        <v>49</v>
      </c>
      <c r="AR4115">
        <v>-256</v>
      </c>
      <c r="AZ4115">
        <v>1200</v>
      </c>
      <c r="BA4115">
        <v>1</v>
      </c>
      <c r="BB4115" t="str">
        <f t="shared" si="2298"/>
        <v xml:space="preserve">N9217B  </v>
      </c>
      <c r="BC4115">
        <v>1</v>
      </c>
      <c r="BE4115">
        <v>0</v>
      </c>
      <c r="BF4115">
        <v>0</v>
      </c>
      <c r="BG4115">
        <v>0</v>
      </c>
      <c r="BH4115">
        <v>5250</v>
      </c>
      <c r="BI4115">
        <v>1</v>
      </c>
      <c r="BJ4115">
        <v>0</v>
      </c>
      <c r="BK4115">
        <v>0</v>
      </c>
      <c r="BL4115">
        <v>0</v>
      </c>
      <c r="BO4115">
        <v>0</v>
      </c>
      <c r="BP4115">
        <v>0</v>
      </c>
      <c r="BW4115" t="str">
        <f t="shared" si="2306"/>
        <v>14:59:17.467</v>
      </c>
      <c r="CJ4115">
        <v>0</v>
      </c>
      <c r="CK4115">
        <v>2</v>
      </c>
      <c r="CL4115">
        <v>0</v>
      </c>
      <c r="CM4115">
        <v>2</v>
      </c>
      <c r="CN4115">
        <v>0</v>
      </c>
      <c r="CO4115">
        <v>6</v>
      </c>
      <c r="CP4115" t="s">
        <v>119</v>
      </c>
      <c r="CQ4115">
        <v>285</v>
      </c>
      <c r="CR4115">
        <v>0</v>
      </c>
      <c r="CW4115">
        <v>8889087</v>
      </c>
      <c r="CY4115">
        <v>0</v>
      </c>
      <c r="CZ4115">
        <v>0</v>
      </c>
      <c r="DA4115">
        <v>1</v>
      </c>
      <c r="DB4115">
        <v>0</v>
      </c>
      <c r="DC4115">
        <v>0</v>
      </c>
      <c r="DD4115">
        <v>0</v>
      </c>
      <c r="DE4115">
        <v>0</v>
      </c>
      <c r="DF4115">
        <v>0</v>
      </c>
      <c r="DG4115">
        <v>0</v>
      </c>
      <c r="DH4115">
        <v>0</v>
      </c>
      <c r="DI4115">
        <v>0</v>
      </c>
    </row>
    <row r="4116" spans="1:113" x14ac:dyDescent="0.25">
      <c r="A4116" t="str">
        <f t="shared" si="2303"/>
        <v>06/05/2020 14:59:11.830</v>
      </c>
      <c r="C4116" t="str">
        <f t="shared" si="2280"/>
        <v>FFDFD3C0</v>
      </c>
      <c r="D4116" t="s">
        <v>148</v>
      </c>
      <c r="E4116">
        <v>8</v>
      </c>
      <c r="H4116">
        <v>50</v>
      </c>
      <c r="I4116" t="s">
        <v>149</v>
      </c>
      <c r="J4116" t="s">
        <v>150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 t="shared" si="2304"/>
        <v>14:59:17.461</v>
      </c>
      <c r="T4116" t="str">
        <f t="shared" si="2305"/>
        <v>14:59:16.961</v>
      </c>
      <c r="U4116" t="str">
        <f t="shared" si="2296"/>
        <v>ACC530</v>
      </c>
      <c r="V4116">
        <v>0</v>
      </c>
      <c r="W4116">
        <v>0</v>
      </c>
      <c r="X4116">
        <v>1</v>
      </c>
      <c r="Z4116">
        <v>0</v>
      </c>
      <c r="AA4116">
        <v>9</v>
      </c>
      <c r="AB4116">
        <v>3</v>
      </c>
      <c r="AC4116">
        <v>0</v>
      </c>
      <c r="AD4116">
        <v>9</v>
      </c>
      <c r="AE4116">
        <v>0</v>
      </c>
      <c r="AF4116">
        <v>3</v>
      </c>
      <c r="AG4116">
        <v>1</v>
      </c>
      <c r="AH4116">
        <v>0</v>
      </c>
      <c r="AI4116" t="s">
        <v>1224</v>
      </c>
      <c r="AJ4116">
        <v>34.066414999999999</v>
      </c>
      <c r="AK4116" t="s">
        <v>1194</v>
      </c>
      <c r="AL4116">
        <v>-117.016582</v>
      </c>
      <c r="AM4116">
        <v>100</v>
      </c>
      <c r="AN4116">
        <v>5400</v>
      </c>
      <c r="AO4116" t="s">
        <v>118</v>
      </c>
      <c r="AP4116">
        <v>-77</v>
      </c>
      <c r="AQ4116">
        <v>49</v>
      </c>
      <c r="AR4116">
        <v>-256</v>
      </c>
      <c r="AZ4116">
        <v>1200</v>
      </c>
      <c r="BA4116">
        <v>1</v>
      </c>
      <c r="BB4116" t="str">
        <f t="shared" si="2298"/>
        <v xml:space="preserve">N9217B  </v>
      </c>
      <c r="BC4116">
        <v>1</v>
      </c>
      <c r="BE4116">
        <v>0</v>
      </c>
      <c r="BF4116">
        <v>0</v>
      </c>
      <c r="BG4116">
        <v>0</v>
      </c>
      <c r="BH4116">
        <v>5250</v>
      </c>
      <c r="BI4116">
        <v>1</v>
      </c>
      <c r="BJ4116">
        <v>0</v>
      </c>
      <c r="BK4116">
        <v>0</v>
      </c>
      <c r="BL4116">
        <v>0</v>
      </c>
      <c r="BO4116">
        <v>0</v>
      </c>
      <c r="BP4116">
        <v>0</v>
      </c>
      <c r="BW4116" t="str">
        <f t="shared" si="2306"/>
        <v>14:59:17.467</v>
      </c>
      <c r="CJ4116">
        <v>0</v>
      </c>
      <c r="CK4116">
        <v>2</v>
      </c>
      <c r="CL4116">
        <v>0</v>
      </c>
      <c r="CM4116">
        <v>2</v>
      </c>
      <c r="CN4116">
        <v>0</v>
      </c>
      <c r="CO4116">
        <v>6</v>
      </c>
      <c r="CP4116" t="s">
        <v>119</v>
      </c>
      <c r="CQ4116">
        <v>285</v>
      </c>
      <c r="CR4116">
        <v>0</v>
      </c>
      <c r="CW4116">
        <v>8889087</v>
      </c>
      <c r="CY4116">
        <v>0</v>
      </c>
      <c r="CZ4116">
        <v>0</v>
      </c>
      <c r="DA4116">
        <v>1</v>
      </c>
      <c r="DB4116">
        <v>0</v>
      </c>
      <c r="DC4116">
        <v>0</v>
      </c>
      <c r="DD4116">
        <v>0</v>
      </c>
      <c r="DE4116">
        <v>0</v>
      </c>
      <c r="DF4116">
        <v>0</v>
      </c>
      <c r="DG4116">
        <v>0</v>
      </c>
      <c r="DH4116">
        <v>0</v>
      </c>
      <c r="DI4116">
        <v>0</v>
      </c>
    </row>
    <row r="4117" spans="1:113" x14ac:dyDescent="0.25">
      <c r="A4117" t="str">
        <f t="shared" si="2303"/>
        <v>06/05/2020 14:59:11.830</v>
      </c>
      <c r="C4117" t="str">
        <f t="shared" si="2280"/>
        <v>FFDFD3C0</v>
      </c>
      <c r="D4117" t="s">
        <v>141</v>
      </c>
      <c r="E4117">
        <v>20</v>
      </c>
      <c r="F4117">
        <v>1020</v>
      </c>
      <c r="G4117" t="s">
        <v>114</v>
      </c>
      <c r="J4117" t="s">
        <v>142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 t="shared" si="2304"/>
        <v>14:59:17.461</v>
      </c>
      <c r="T4117" t="str">
        <f t="shared" si="2305"/>
        <v>14:59:16.961</v>
      </c>
      <c r="U4117" t="str">
        <f t="shared" si="2296"/>
        <v>ACC530</v>
      </c>
      <c r="V4117">
        <v>0</v>
      </c>
      <c r="W4117">
        <v>0</v>
      </c>
      <c r="X4117">
        <v>1</v>
      </c>
      <c r="Z4117">
        <v>0</v>
      </c>
      <c r="AA4117">
        <v>9</v>
      </c>
      <c r="AB4117">
        <v>3</v>
      </c>
      <c r="AC4117">
        <v>0</v>
      </c>
      <c r="AD4117">
        <v>9</v>
      </c>
      <c r="AE4117">
        <v>0</v>
      </c>
      <c r="AF4117">
        <v>3</v>
      </c>
      <c r="AG4117">
        <v>1</v>
      </c>
      <c r="AH4117">
        <v>0</v>
      </c>
      <c r="AI4117" t="s">
        <v>1224</v>
      </c>
      <c r="AJ4117">
        <v>34.066414999999999</v>
      </c>
      <c r="AK4117" t="s">
        <v>1194</v>
      </c>
      <c r="AL4117">
        <v>-117.016582</v>
      </c>
      <c r="AM4117">
        <v>100</v>
      </c>
      <c r="AN4117">
        <v>5400</v>
      </c>
      <c r="AO4117" t="s">
        <v>118</v>
      </c>
      <c r="AP4117">
        <v>-77</v>
      </c>
      <c r="AQ4117">
        <v>49</v>
      </c>
      <c r="AR4117">
        <v>-256</v>
      </c>
      <c r="AZ4117">
        <v>1200</v>
      </c>
      <c r="BA4117">
        <v>1</v>
      </c>
      <c r="BB4117" t="str">
        <f t="shared" si="2298"/>
        <v xml:space="preserve">N9217B  </v>
      </c>
      <c r="BC4117">
        <v>1</v>
      </c>
      <c r="BE4117">
        <v>0</v>
      </c>
      <c r="BF4117">
        <v>0</v>
      </c>
      <c r="BG4117">
        <v>0</v>
      </c>
      <c r="BH4117">
        <v>5250</v>
      </c>
      <c r="BI4117">
        <v>1</v>
      </c>
      <c r="BJ4117">
        <v>0</v>
      </c>
      <c r="BK4117">
        <v>0</v>
      </c>
      <c r="BL4117">
        <v>0</v>
      </c>
      <c r="BO4117">
        <v>0</v>
      </c>
      <c r="BP4117">
        <v>0</v>
      </c>
      <c r="BW4117" t="str">
        <f t="shared" si="2306"/>
        <v>14:59:17.467</v>
      </c>
      <c r="CJ4117">
        <v>0</v>
      </c>
      <c r="CK4117">
        <v>2</v>
      </c>
      <c r="CL4117">
        <v>0</v>
      </c>
      <c r="CM4117">
        <v>2</v>
      </c>
      <c r="CN4117">
        <v>0</v>
      </c>
      <c r="CO4117">
        <v>6</v>
      </c>
      <c r="CP4117" t="s">
        <v>119</v>
      </c>
      <c r="CQ4117">
        <v>285</v>
      </c>
      <c r="CR4117">
        <v>0</v>
      </c>
      <c r="CW4117">
        <v>8889087</v>
      </c>
      <c r="CY4117">
        <v>0</v>
      </c>
      <c r="CZ4117">
        <v>0</v>
      </c>
      <c r="DA4117">
        <v>1</v>
      </c>
      <c r="DB4117">
        <v>0</v>
      </c>
      <c r="DC4117">
        <v>0</v>
      </c>
      <c r="DD4117">
        <v>0</v>
      </c>
      <c r="DE4117">
        <v>0</v>
      </c>
      <c r="DF4117">
        <v>0</v>
      </c>
      <c r="DG4117">
        <v>0</v>
      </c>
      <c r="DH4117">
        <v>0</v>
      </c>
      <c r="DI4117">
        <v>0</v>
      </c>
    </row>
    <row r="4118" spans="1:113" x14ac:dyDescent="0.25">
      <c r="A4118" t="str">
        <f t="shared" si="2303"/>
        <v>06/05/2020 14:59:11.830</v>
      </c>
      <c r="C4118" t="str">
        <f t="shared" si="2280"/>
        <v>FFDFD3C0</v>
      </c>
      <c r="D4118" t="s">
        <v>151</v>
      </c>
      <c r="E4118">
        <v>9</v>
      </c>
      <c r="H4118">
        <v>226</v>
      </c>
      <c r="I4118" t="s">
        <v>152</v>
      </c>
      <c r="J4118" t="s">
        <v>150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 t="shared" si="2304"/>
        <v>14:59:17.461</v>
      </c>
      <c r="T4118" t="str">
        <f t="shared" si="2305"/>
        <v>14:59:16.961</v>
      </c>
      <c r="U4118" t="str">
        <f t="shared" si="2296"/>
        <v>ACC530</v>
      </c>
      <c r="V4118">
        <v>0</v>
      </c>
      <c r="W4118">
        <v>0</v>
      </c>
      <c r="X4118">
        <v>1</v>
      </c>
      <c r="Z4118">
        <v>0</v>
      </c>
      <c r="AA4118">
        <v>9</v>
      </c>
      <c r="AB4118">
        <v>3</v>
      </c>
      <c r="AC4118">
        <v>0</v>
      </c>
      <c r="AD4118">
        <v>9</v>
      </c>
      <c r="AE4118">
        <v>0</v>
      </c>
      <c r="AF4118">
        <v>3</v>
      </c>
      <c r="AG4118">
        <v>1</v>
      </c>
      <c r="AH4118">
        <v>0</v>
      </c>
      <c r="AI4118" t="s">
        <v>1224</v>
      </c>
      <c r="AJ4118">
        <v>34.066414999999999</v>
      </c>
      <c r="AK4118" t="s">
        <v>1194</v>
      </c>
      <c r="AL4118">
        <v>-117.016582</v>
      </c>
      <c r="AM4118">
        <v>100</v>
      </c>
      <c r="AN4118">
        <v>5400</v>
      </c>
      <c r="AO4118" t="s">
        <v>118</v>
      </c>
      <c r="AP4118">
        <v>-77</v>
      </c>
      <c r="AQ4118">
        <v>49</v>
      </c>
      <c r="AR4118">
        <v>-256</v>
      </c>
      <c r="AZ4118">
        <v>1200</v>
      </c>
      <c r="BA4118">
        <v>1</v>
      </c>
      <c r="BB4118" t="str">
        <f t="shared" si="2298"/>
        <v xml:space="preserve">N9217B  </v>
      </c>
      <c r="BC4118">
        <v>1</v>
      </c>
      <c r="BE4118">
        <v>0</v>
      </c>
      <c r="BF4118">
        <v>0</v>
      </c>
      <c r="BG4118">
        <v>0</v>
      </c>
      <c r="BH4118">
        <v>5250</v>
      </c>
      <c r="BI4118">
        <v>1</v>
      </c>
      <c r="BJ4118">
        <v>0</v>
      </c>
      <c r="BK4118">
        <v>0</v>
      </c>
      <c r="BL4118">
        <v>0</v>
      </c>
      <c r="BO4118">
        <v>0</v>
      </c>
      <c r="BP4118">
        <v>0</v>
      </c>
      <c r="BW4118" t="str">
        <f t="shared" si="2306"/>
        <v>14:59:17.467</v>
      </c>
      <c r="CJ4118">
        <v>0</v>
      </c>
      <c r="CK4118">
        <v>2</v>
      </c>
      <c r="CL4118">
        <v>0</v>
      </c>
      <c r="CM4118">
        <v>2</v>
      </c>
      <c r="CN4118">
        <v>0</v>
      </c>
      <c r="CO4118">
        <v>6</v>
      </c>
      <c r="CP4118" t="s">
        <v>119</v>
      </c>
      <c r="CQ4118">
        <v>285</v>
      </c>
      <c r="CR4118">
        <v>0</v>
      </c>
      <c r="CW4118">
        <v>8889087</v>
      </c>
      <c r="CY4118">
        <v>0</v>
      </c>
      <c r="CZ4118">
        <v>0</v>
      </c>
      <c r="DA4118">
        <v>1</v>
      </c>
      <c r="DB4118">
        <v>0</v>
      </c>
      <c r="DC4118">
        <v>0</v>
      </c>
      <c r="DD4118">
        <v>0</v>
      </c>
      <c r="DE4118">
        <v>0</v>
      </c>
      <c r="DF4118">
        <v>0</v>
      </c>
      <c r="DG4118">
        <v>0</v>
      </c>
      <c r="DH4118">
        <v>0</v>
      </c>
      <c r="DI4118">
        <v>0</v>
      </c>
    </row>
    <row r="4119" spans="1:113" x14ac:dyDescent="0.25">
      <c r="A4119" t="str">
        <f t="shared" ref="A4119:A4125" si="2307">"06/05/2020 14:59:12.809"</f>
        <v>06/05/2020 14:59:12.809</v>
      </c>
      <c r="C4119" t="str">
        <f t="shared" si="2280"/>
        <v>FFDFD3C0</v>
      </c>
      <c r="D4119" t="s">
        <v>113</v>
      </c>
      <c r="E4119">
        <v>3</v>
      </c>
      <c r="H4119">
        <v>166</v>
      </c>
      <c r="I4119" t="s">
        <v>114</v>
      </c>
      <c r="J4119" t="s">
        <v>115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 t="shared" ref="S4119:S4125" si="2308">"14:59:18.453"</f>
        <v>14:59:18.453</v>
      </c>
      <c r="T4119" t="str">
        <f t="shared" ref="T4119:T4125" si="2309">"14:59:18.153"</f>
        <v>14:59:18.153</v>
      </c>
      <c r="U4119" t="str">
        <f t="shared" si="2296"/>
        <v>ACC530</v>
      </c>
      <c r="V4119">
        <v>0</v>
      </c>
      <c r="W4119">
        <v>0</v>
      </c>
      <c r="X4119">
        <v>1</v>
      </c>
      <c r="Z4119">
        <v>0</v>
      </c>
      <c r="AA4119">
        <v>9</v>
      </c>
      <c r="AB4119">
        <v>3</v>
      </c>
      <c r="AC4119">
        <v>0</v>
      </c>
      <c r="AD4119">
        <v>9</v>
      </c>
      <c r="AE4119">
        <v>0</v>
      </c>
      <c r="AF4119">
        <v>3</v>
      </c>
      <c r="AG4119">
        <v>1</v>
      </c>
      <c r="AH4119">
        <v>0</v>
      </c>
      <c r="AI4119" t="s">
        <v>1309</v>
      </c>
      <c r="AJ4119">
        <v>34.066628999999999</v>
      </c>
      <c r="AK4119" t="s">
        <v>1310</v>
      </c>
      <c r="AL4119">
        <v>-117.01701199999999</v>
      </c>
      <c r="AM4119">
        <v>100</v>
      </c>
      <c r="AN4119">
        <v>5400</v>
      </c>
      <c r="AO4119" t="s">
        <v>118</v>
      </c>
      <c r="AP4119">
        <v>-79</v>
      </c>
      <c r="AQ4119">
        <v>47</v>
      </c>
      <c r="AR4119">
        <v>-384</v>
      </c>
      <c r="AZ4119">
        <v>1200</v>
      </c>
      <c r="BA4119">
        <v>1</v>
      </c>
      <c r="BB4119" t="str">
        <f t="shared" si="2298"/>
        <v xml:space="preserve">N9217B  </v>
      </c>
      <c r="BC4119">
        <v>1</v>
      </c>
      <c r="BE4119">
        <v>0</v>
      </c>
      <c r="BF4119">
        <v>0</v>
      </c>
      <c r="BG4119">
        <v>0</v>
      </c>
      <c r="BH4119">
        <v>5250</v>
      </c>
      <c r="BI4119">
        <v>1</v>
      </c>
      <c r="BJ4119">
        <v>0</v>
      </c>
      <c r="BK4119">
        <v>0</v>
      </c>
      <c r="BL4119">
        <v>0</v>
      </c>
      <c r="BO4119">
        <v>0</v>
      </c>
      <c r="BP4119">
        <v>0</v>
      </c>
      <c r="BW4119" t="str">
        <f t="shared" ref="BW4119:BW4125" si="2310">"14:59:18.457"</f>
        <v>14:59:18.457</v>
      </c>
      <c r="CJ4119">
        <v>0</v>
      </c>
      <c r="CK4119">
        <v>2</v>
      </c>
      <c r="CL4119">
        <v>0</v>
      </c>
      <c r="CM4119">
        <v>2</v>
      </c>
      <c r="CN4119">
        <v>0</v>
      </c>
      <c r="CO4119">
        <v>6</v>
      </c>
      <c r="CP4119" t="s">
        <v>119</v>
      </c>
      <c r="CQ4119">
        <v>285</v>
      </c>
      <c r="CR4119">
        <v>0</v>
      </c>
      <c r="CW4119">
        <v>8889180</v>
      </c>
      <c r="CY4119">
        <v>0</v>
      </c>
      <c r="CZ4119">
        <v>0</v>
      </c>
      <c r="DA4119">
        <v>0</v>
      </c>
      <c r="DB4119">
        <v>0</v>
      </c>
      <c r="DC4119">
        <v>0</v>
      </c>
      <c r="DD4119">
        <v>0</v>
      </c>
      <c r="DE4119">
        <v>0</v>
      </c>
      <c r="DF4119">
        <v>0</v>
      </c>
      <c r="DG4119">
        <v>0</v>
      </c>
      <c r="DH4119">
        <v>0</v>
      </c>
      <c r="DI4119">
        <v>0</v>
      </c>
    </row>
    <row r="4120" spans="1:113" x14ac:dyDescent="0.25">
      <c r="A4120" t="str">
        <f t="shared" si="2307"/>
        <v>06/05/2020 14:59:12.809</v>
      </c>
      <c r="C4120" t="str">
        <f t="shared" si="2280"/>
        <v>FFDFD3C0</v>
      </c>
      <c r="D4120" t="s">
        <v>151</v>
      </c>
      <c r="E4120">
        <v>8</v>
      </c>
      <c r="H4120">
        <v>225</v>
      </c>
      <c r="I4120" t="s">
        <v>353</v>
      </c>
      <c r="J4120" t="s">
        <v>150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 t="shared" si="2308"/>
        <v>14:59:18.453</v>
      </c>
      <c r="T4120" t="str">
        <f t="shared" si="2309"/>
        <v>14:59:18.153</v>
      </c>
      <c r="U4120" t="str">
        <f t="shared" si="2296"/>
        <v>ACC530</v>
      </c>
      <c r="V4120">
        <v>0</v>
      </c>
      <c r="W4120">
        <v>0</v>
      </c>
      <c r="X4120">
        <v>1</v>
      </c>
      <c r="Z4120">
        <v>0</v>
      </c>
      <c r="AA4120">
        <v>9</v>
      </c>
      <c r="AB4120">
        <v>3</v>
      </c>
      <c r="AC4120">
        <v>0</v>
      </c>
      <c r="AD4120">
        <v>9</v>
      </c>
      <c r="AE4120">
        <v>0</v>
      </c>
      <c r="AF4120">
        <v>3</v>
      </c>
      <c r="AG4120">
        <v>1</v>
      </c>
      <c r="AH4120">
        <v>0</v>
      </c>
      <c r="AI4120" t="s">
        <v>1309</v>
      </c>
      <c r="AJ4120">
        <v>34.066628999999999</v>
      </c>
      <c r="AK4120" t="s">
        <v>1310</v>
      </c>
      <c r="AL4120">
        <v>-117.01701199999999</v>
      </c>
      <c r="AM4120">
        <v>100</v>
      </c>
      <c r="AN4120">
        <v>5400</v>
      </c>
      <c r="AO4120" t="s">
        <v>118</v>
      </c>
      <c r="AP4120">
        <v>-79</v>
      </c>
      <c r="AQ4120">
        <v>47</v>
      </c>
      <c r="AR4120">
        <v>-384</v>
      </c>
      <c r="AZ4120">
        <v>1200</v>
      </c>
      <c r="BA4120">
        <v>1</v>
      </c>
      <c r="BB4120" t="str">
        <f t="shared" si="2298"/>
        <v xml:space="preserve">N9217B  </v>
      </c>
      <c r="BC4120">
        <v>1</v>
      </c>
      <c r="BE4120">
        <v>0</v>
      </c>
      <c r="BF4120">
        <v>0</v>
      </c>
      <c r="BG4120">
        <v>0</v>
      </c>
      <c r="BH4120">
        <v>5250</v>
      </c>
      <c r="BI4120">
        <v>1</v>
      </c>
      <c r="BJ4120">
        <v>0</v>
      </c>
      <c r="BK4120">
        <v>0</v>
      </c>
      <c r="BL4120">
        <v>0</v>
      </c>
      <c r="BO4120">
        <v>0</v>
      </c>
      <c r="BP4120">
        <v>0</v>
      </c>
      <c r="BW4120" t="str">
        <f t="shared" si="2310"/>
        <v>14:59:18.457</v>
      </c>
      <c r="CJ4120">
        <v>0</v>
      </c>
      <c r="CK4120">
        <v>2</v>
      </c>
      <c r="CL4120">
        <v>0</v>
      </c>
      <c r="CM4120">
        <v>2</v>
      </c>
      <c r="CN4120">
        <v>0</v>
      </c>
      <c r="CO4120">
        <v>6</v>
      </c>
      <c r="CP4120" t="s">
        <v>119</v>
      </c>
      <c r="CQ4120">
        <v>285</v>
      </c>
      <c r="CR4120">
        <v>0</v>
      </c>
      <c r="CW4120">
        <v>8889180</v>
      </c>
      <c r="CY4120">
        <v>0</v>
      </c>
      <c r="CZ4120">
        <v>0</v>
      </c>
      <c r="DA4120">
        <v>1</v>
      </c>
      <c r="DB4120">
        <v>0</v>
      </c>
      <c r="DC4120">
        <v>0</v>
      </c>
      <c r="DD4120">
        <v>0</v>
      </c>
      <c r="DE4120">
        <v>0</v>
      </c>
      <c r="DF4120">
        <v>0</v>
      </c>
      <c r="DG4120">
        <v>0</v>
      </c>
      <c r="DH4120">
        <v>0</v>
      </c>
      <c r="DI4120">
        <v>0</v>
      </c>
    </row>
    <row r="4121" spans="1:113" x14ac:dyDescent="0.25">
      <c r="A4121" t="str">
        <f t="shared" si="2307"/>
        <v>06/05/2020 14:59:12.809</v>
      </c>
      <c r="C4121" t="str">
        <f t="shared" si="2280"/>
        <v>FFDFD3C0</v>
      </c>
      <c r="D4121" t="s">
        <v>134</v>
      </c>
      <c r="E4121">
        <v>7</v>
      </c>
      <c r="F4121">
        <v>2007</v>
      </c>
      <c r="G4121" t="s">
        <v>135</v>
      </c>
      <c r="J4121" t="s">
        <v>136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 t="shared" si="2308"/>
        <v>14:59:18.453</v>
      </c>
      <c r="T4121" t="str">
        <f t="shared" si="2309"/>
        <v>14:59:18.153</v>
      </c>
      <c r="U4121" t="str">
        <f t="shared" si="2296"/>
        <v>ACC530</v>
      </c>
      <c r="V4121">
        <v>0</v>
      </c>
      <c r="W4121">
        <v>0</v>
      </c>
      <c r="X4121">
        <v>1</v>
      </c>
      <c r="Z4121">
        <v>0</v>
      </c>
      <c r="AA4121">
        <v>9</v>
      </c>
      <c r="AB4121">
        <v>3</v>
      </c>
      <c r="AC4121">
        <v>0</v>
      </c>
      <c r="AD4121">
        <v>9</v>
      </c>
      <c r="AE4121">
        <v>0</v>
      </c>
      <c r="AF4121">
        <v>3</v>
      </c>
      <c r="AG4121">
        <v>1</v>
      </c>
      <c r="AH4121">
        <v>0</v>
      </c>
      <c r="AI4121" t="s">
        <v>1309</v>
      </c>
      <c r="AJ4121">
        <v>34.066628999999999</v>
      </c>
      <c r="AK4121" t="s">
        <v>1310</v>
      </c>
      <c r="AL4121">
        <v>-117.01701199999999</v>
      </c>
      <c r="AM4121">
        <v>100</v>
      </c>
      <c r="AN4121">
        <v>5400</v>
      </c>
      <c r="AO4121" t="s">
        <v>118</v>
      </c>
      <c r="AP4121">
        <v>-79</v>
      </c>
      <c r="AQ4121">
        <v>47</v>
      </c>
      <c r="AR4121">
        <v>-384</v>
      </c>
      <c r="AZ4121">
        <v>1200</v>
      </c>
      <c r="BA4121">
        <v>1</v>
      </c>
      <c r="BB4121" t="str">
        <f t="shared" si="2298"/>
        <v xml:space="preserve">N9217B  </v>
      </c>
      <c r="BC4121">
        <v>1</v>
      </c>
      <c r="BE4121">
        <v>0</v>
      </c>
      <c r="BF4121">
        <v>0</v>
      </c>
      <c r="BG4121">
        <v>0</v>
      </c>
      <c r="BH4121">
        <v>5250</v>
      </c>
      <c r="BI4121">
        <v>1</v>
      </c>
      <c r="BJ4121">
        <v>0</v>
      </c>
      <c r="BK4121">
        <v>0</v>
      </c>
      <c r="BL4121">
        <v>0</v>
      </c>
      <c r="BO4121">
        <v>0</v>
      </c>
      <c r="BP4121">
        <v>0</v>
      </c>
      <c r="BW4121" t="str">
        <f t="shared" si="2310"/>
        <v>14:59:18.457</v>
      </c>
      <c r="CJ4121">
        <v>0</v>
      </c>
      <c r="CK4121">
        <v>2</v>
      </c>
      <c r="CL4121">
        <v>0</v>
      </c>
      <c r="CM4121">
        <v>2</v>
      </c>
      <c r="CN4121">
        <v>0</v>
      </c>
      <c r="CO4121">
        <v>6</v>
      </c>
      <c r="CP4121" t="s">
        <v>119</v>
      </c>
      <c r="CQ4121">
        <v>285</v>
      </c>
      <c r="CR4121">
        <v>0</v>
      </c>
      <c r="CW4121">
        <v>8889180</v>
      </c>
      <c r="CY4121">
        <v>0</v>
      </c>
      <c r="CZ4121">
        <v>0</v>
      </c>
      <c r="DA4121">
        <v>1</v>
      </c>
      <c r="DB4121">
        <v>0</v>
      </c>
      <c r="DC4121">
        <v>0</v>
      </c>
      <c r="DD4121">
        <v>0</v>
      </c>
      <c r="DE4121">
        <v>0</v>
      </c>
      <c r="DF4121">
        <v>0</v>
      </c>
      <c r="DG4121">
        <v>0</v>
      </c>
      <c r="DH4121">
        <v>0</v>
      </c>
      <c r="DI4121">
        <v>0</v>
      </c>
    </row>
    <row r="4122" spans="1:113" x14ac:dyDescent="0.25">
      <c r="A4122" t="str">
        <f t="shared" si="2307"/>
        <v>06/05/2020 14:59:12.809</v>
      </c>
      <c r="C4122" t="str">
        <f t="shared" si="2280"/>
        <v>FFDFD3C0</v>
      </c>
      <c r="D4122" t="s">
        <v>141</v>
      </c>
      <c r="E4122">
        <v>20</v>
      </c>
      <c r="F4122">
        <v>1020</v>
      </c>
      <c r="G4122" t="s">
        <v>114</v>
      </c>
      <c r="J4122" t="s">
        <v>142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 t="shared" si="2308"/>
        <v>14:59:18.453</v>
      </c>
      <c r="T4122" t="str">
        <f t="shared" si="2309"/>
        <v>14:59:18.153</v>
      </c>
      <c r="U4122" t="str">
        <f t="shared" si="2296"/>
        <v>ACC530</v>
      </c>
      <c r="V4122">
        <v>0</v>
      </c>
      <c r="W4122">
        <v>0</v>
      </c>
      <c r="X4122">
        <v>1</v>
      </c>
      <c r="Z4122">
        <v>0</v>
      </c>
      <c r="AA4122">
        <v>9</v>
      </c>
      <c r="AB4122">
        <v>3</v>
      </c>
      <c r="AC4122">
        <v>0</v>
      </c>
      <c r="AD4122">
        <v>9</v>
      </c>
      <c r="AE4122">
        <v>0</v>
      </c>
      <c r="AF4122">
        <v>3</v>
      </c>
      <c r="AG4122">
        <v>1</v>
      </c>
      <c r="AH4122">
        <v>0</v>
      </c>
      <c r="AI4122" t="s">
        <v>1309</v>
      </c>
      <c r="AJ4122">
        <v>34.066628999999999</v>
      </c>
      <c r="AK4122" t="s">
        <v>1310</v>
      </c>
      <c r="AL4122">
        <v>-117.01701199999999</v>
      </c>
      <c r="AM4122">
        <v>100</v>
      </c>
      <c r="AN4122">
        <v>5400</v>
      </c>
      <c r="AO4122" t="s">
        <v>118</v>
      </c>
      <c r="AP4122">
        <v>-79</v>
      </c>
      <c r="AQ4122">
        <v>47</v>
      </c>
      <c r="AR4122">
        <v>-384</v>
      </c>
      <c r="AZ4122">
        <v>1200</v>
      </c>
      <c r="BA4122">
        <v>1</v>
      </c>
      <c r="BB4122" t="str">
        <f t="shared" si="2298"/>
        <v xml:space="preserve">N9217B  </v>
      </c>
      <c r="BC4122">
        <v>1</v>
      </c>
      <c r="BE4122">
        <v>0</v>
      </c>
      <c r="BF4122">
        <v>0</v>
      </c>
      <c r="BG4122">
        <v>0</v>
      </c>
      <c r="BH4122">
        <v>5250</v>
      </c>
      <c r="BI4122">
        <v>1</v>
      </c>
      <c r="BJ4122">
        <v>0</v>
      </c>
      <c r="BK4122">
        <v>0</v>
      </c>
      <c r="BL4122">
        <v>0</v>
      </c>
      <c r="BO4122">
        <v>0</v>
      </c>
      <c r="BP4122">
        <v>0</v>
      </c>
      <c r="BW4122" t="str">
        <f t="shared" si="2310"/>
        <v>14:59:18.457</v>
      </c>
      <c r="CJ4122">
        <v>0</v>
      </c>
      <c r="CK4122">
        <v>2</v>
      </c>
      <c r="CL4122">
        <v>0</v>
      </c>
      <c r="CM4122">
        <v>2</v>
      </c>
      <c r="CN4122">
        <v>0</v>
      </c>
      <c r="CO4122">
        <v>6</v>
      </c>
      <c r="CP4122" t="s">
        <v>119</v>
      </c>
      <c r="CQ4122">
        <v>285</v>
      </c>
      <c r="CR4122">
        <v>0</v>
      </c>
      <c r="CW4122">
        <v>8889180</v>
      </c>
      <c r="CY4122">
        <v>0</v>
      </c>
      <c r="CZ4122">
        <v>0</v>
      </c>
      <c r="DA4122">
        <v>1</v>
      </c>
      <c r="DB4122">
        <v>0</v>
      </c>
      <c r="DC4122">
        <v>0</v>
      </c>
      <c r="DD4122">
        <v>0</v>
      </c>
      <c r="DE4122">
        <v>0</v>
      </c>
      <c r="DF4122">
        <v>0</v>
      </c>
      <c r="DG4122">
        <v>0</v>
      </c>
      <c r="DH4122">
        <v>0</v>
      </c>
      <c r="DI4122">
        <v>0</v>
      </c>
    </row>
    <row r="4123" spans="1:113" x14ac:dyDescent="0.25">
      <c r="A4123" t="str">
        <f t="shared" si="2307"/>
        <v>06/05/2020 14:59:12.809</v>
      </c>
      <c r="C4123" t="str">
        <f t="shared" si="2280"/>
        <v>FFDFD3C0</v>
      </c>
      <c r="D4123" t="s">
        <v>148</v>
      </c>
      <c r="E4123">
        <v>8</v>
      </c>
      <c r="H4123">
        <v>50</v>
      </c>
      <c r="I4123" t="s">
        <v>149</v>
      </c>
      <c r="J4123" t="s">
        <v>150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 t="shared" si="2308"/>
        <v>14:59:18.453</v>
      </c>
      <c r="T4123" t="str">
        <f t="shared" si="2309"/>
        <v>14:59:18.153</v>
      </c>
      <c r="U4123" t="str">
        <f t="shared" si="2296"/>
        <v>ACC530</v>
      </c>
      <c r="V4123">
        <v>0</v>
      </c>
      <c r="W4123">
        <v>0</v>
      </c>
      <c r="X4123">
        <v>1</v>
      </c>
      <c r="Z4123">
        <v>0</v>
      </c>
      <c r="AA4123">
        <v>9</v>
      </c>
      <c r="AB4123">
        <v>3</v>
      </c>
      <c r="AC4123">
        <v>0</v>
      </c>
      <c r="AD4123">
        <v>9</v>
      </c>
      <c r="AE4123">
        <v>0</v>
      </c>
      <c r="AF4123">
        <v>3</v>
      </c>
      <c r="AG4123">
        <v>1</v>
      </c>
      <c r="AH4123">
        <v>0</v>
      </c>
      <c r="AI4123" t="s">
        <v>1309</v>
      </c>
      <c r="AJ4123">
        <v>34.066628999999999</v>
      </c>
      <c r="AK4123" t="s">
        <v>1310</v>
      </c>
      <c r="AL4123">
        <v>-117.01701199999999</v>
      </c>
      <c r="AM4123">
        <v>100</v>
      </c>
      <c r="AN4123">
        <v>5400</v>
      </c>
      <c r="AO4123" t="s">
        <v>118</v>
      </c>
      <c r="AP4123">
        <v>-79</v>
      </c>
      <c r="AQ4123">
        <v>47</v>
      </c>
      <c r="AR4123">
        <v>-384</v>
      </c>
      <c r="AZ4123">
        <v>1200</v>
      </c>
      <c r="BA4123">
        <v>1</v>
      </c>
      <c r="BB4123" t="str">
        <f t="shared" si="2298"/>
        <v xml:space="preserve">N9217B  </v>
      </c>
      <c r="BC4123">
        <v>1</v>
      </c>
      <c r="BE4123">
        <v>0</v>
      </c>
      <c r="BF4123">
        <v>0</v>
      </c>
      <c r="BG4123">
        <v>0</v>
      </c>
      <c r="BH4123">
        <v>5250</v>
      </c>
      <c r="BI4123">
        <v>1</v>
      </c>
      <c r="BJ4123">
        <v>0</v>
      </c>
      <c r="BK4123">
        <v>0</v>
      </c>
      <c r="BL4123">
        <v>0</v>
      </c>
      <c r="BO4123">
        <v>0</v>
      </c>
      <c r="BP4123">
        <v>0</v>
      </c>
      <c r="BW4123" t="str">
        <f t="shared" si="2310"/>
        <v>14:59:18.457</v>
      </c>
      <c r="CJ4123">
        <v>0</v>
      </c>
      <c r="CK4123">
        <v>2</v>
      </c>
      <c r="CL4123">
        <v>0</v>
      </c>
      <c r="CM4123">
        <v>2</v>
      </c>
      <c r="CN4123">
        <v>0</v>
      </c>
      <c r="CO4123">
        <v>6</v>
      </c>
      <c r="CP4123" t="s">
        <v>119</v>
      </c>
      <c r="CQ4123">
        <v>285</v>
      </c>
      <c r="CR4123">
        <v>0</v>
      </c>
      <c r="CW4123">
        <v>8889180</v>
      </c>
      <c r="CY4123">
        <v>0</v>
      </c>
      <c r="CZ4123">
        <v>0</v>
      </c>
      <c r="DA4123">
        <v>1</v>
      </c>
      <c r="DB4123">
        <v>0</v>
      </c>
      <c r="DC4123">
        <v>0</v>
      </c>
      <c r="DD4123">
        <v>0</v>
      </c>
      <c r="DE4123">
        <v>0</v>
      </c>
      <c r="DF4123">
        <v>0</v>
      </c>
      <c r="DG4123">
        <v>0</v>
      </c>
      <c r="DH4123">
        <v>0</v>
      </c>
      <c r="DI4123">
        <v>0</v>
      </c>
    </row>
    <row r="4124" spans="1:113" x14ac:dyDescent="0.25">
      <c r="A4124" t="str">
        <f t="shared" si="2307"/>
        <v>06/05/2020 14:59:12.809</v>
      </c>
      <c r="C4124" t="str">
        <f t="shared" si="2280"/>
        <v>FFDFD3C0</v>
      </c>
      <c r="D4124" t="s">
        <v>151</v>
      </c>
      <c r="E4124">
        <v>9</v>
      </c>
      <c r="H4124">
        <v>226</v>
      </c>
      <c r="I4124" t="s">
        <v>152</v>
      </c>
      <c r="J4124" t="s">
        <v>150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 t="shared" si="2308"/>
        <v>14:59:18.453</v>
      </c>
      <c r="T4124" t="str">
        <f t="shared" si="2309"/>
        <v>14:59:18.153</v>
      </c>
      <c r="U4124" t="str">
        <f t="shared" si="2296"/>
        <v>ACC530</v>
      </c>
      <c r="V4124">
        <v>0</v>
      </c>
      <c r="W4124">
        <v>0</v>
      </c>
      <c r="X4124">
        <v>1</v>
      </c>
      <c r="Z4124">
        <v>0</v>
      </c>
      <c r="AA4124">
        <v>9</v>
      </c>
      <c r="AB4124">
        <v>3</v>
      </c>
      <c r="AC4124">
        <v>0</v>
      </c>
      <c r="AD4124">
        <v>9</v>
      </c>
      <c r="AE4124">
        <v>0</v>
      </c>
      <c r="AF4124">
        <v>3</v>
      </c>
      <c r="AG4124">
        <v>1</v>
      </c>
      <c r="AH4124">
        <v>0</v>
      </c>
      <c r="AI4124" t="s">
        <v>1309</v>
      </c>
      <c r="AJ4124">
        <v>34.066628999999999</v>
      </c>
      <c r="AK4124" t="s">
        <v>1310</v>
      </c>
      <c r="AL4124">
        <v>-117.01701199999999</v>
      </c>
      <c r="AM4124">
        <v>100</v>
      </c>
      <c r="AN4124">
        <v>5400</v>
      </c>
      <c r="AO4124" t="s">
        <v>118</v>
      </c>
      <c r="AP4124">
        <v>-79</v>
      </c>
      <c r="AQ4124">
        <v>47</v>
      </c>
      <c r="AR4124">
        <v>-384</v>
      </c>
      <c r="AZ4124">
        <v>1200</v>
      </c>
      <c r="BA4124">
        <v>1</v>
      </c>
      <c r="BB4124" t="str">
        <f t="shared" si="2298"/>
        <v xml:space="preserve">N9217B  </v>
      </c>
      <c r="BC4124">
        <v>1</v>
      </c>
      <c r="BE4124">
        <v>0</v>
      </c>
      <c r="BF4124">
        <v>0</v>
      </c>
      <c r="BG4124">
        <v>0</v>
      </c>
      <c r="BH4124">
        <v>5250</v>
      </c>
      <c r="BI4124">
        <v>1</v>
      </c>
      <c r="BJ4124">
        <v>0</v>
      </c>
      <c r="BK4124">
        <v>0</v>
      </c>
      <c r="BL4124">
        <v>0</v>
      </c>
      <c r="BO4124">
        <v>0</v>
      </c>
      <c r="BP4124">
        <v>0</v>
      </c>
      <c r="BW4124" t="str">
        <f t="shared" si="2310"/>
        <v>14:59:18.457</v>
      </c>
      <c r="CJ4124">
        <v>0</v>
      </c>
      <c r="CK4124">
        <v>2</v>
      </c>
      <c r="CL4124">
        <v>0</v>
      </c>
      <c r="CM4124">
        <v>2</v>
      </c>
      <c r="CN4124">
        <v>0</v>
      </c>
      <c r="CO4124">
        <v>6</v>
      </c>
      <c r="CP4124" t="s">
        <v>119</v>
      </c>
      <c r="CQ4124">
        <v>285</v>
      </c>
      <c r="CR4124">
        <v>0</v>
      </c>
      <c r="CW4124">
        <v>8889180</v>
      </c>
      <c r="CY4124">
        <v>0</v>
      </c>
      <c r="CZ4124">
        <v>0</v>
      </c>
      <c r="DA4124">
        <v>1</v>
      </c>
      <c r="DB4124">
        <v>0</v>
      </c>
      <c r="DC4124">
        <v>0</v>
      </c>
      <c r="DD4124">
        <v>0</v>
      </c>
      <c r="DE4124">
        <v>0</v>
      </c>
      <c r="DF4124">
        <v>0</v>
      </c>
      <c r="DG4124">
        <v>0</v>
      </c>
      <c r="DH4124">
        <v>0</v>
      </c>
      <c r="DI4124">
        <v>0</v>
      </c>
    </row>
    <row r="4125" spans="1:113" x14ac:dyDescent="0.25">
      <c r="A4125" t="str">
        <f t="shared" si="2307"/>
        <v>06/05/2020 14:59:12.809</v>
      </c>
      <c r="C4125" t="str">
        <f t="shared" si="2280"/>
        <v>FFDFD3C0</v>
      </c>
      <c r="D4125" t="s">
        <v>148</v>
      </c>
      <c r="E4125">
        <v>11</v>
      </c>
      <c r="H4125">
        <v>53</v>
      </c>
      <c r="I4125" t="s">
        <v>364</v>
      </c>
      <c r="J4125" t="s">
        <v>150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 t="shared" si="2308"/>
        <v>14:59:18.453</v>
      </c>
      <c r="T4125" t="str">
        <f t="shared" si="2309"/>
        <v>14:59:18.153</v>
      </c>
      <c r="U4125" t="str">
        <f t="shared" si="2296"/>
        <v>ACC530</v>
      </c>
      <c r="V4125">
        <v>0</v>
      </c>
      <c r="W4125">
        <v>0</v>
      </c>
      <c r="X4125">
        <v>1</v>
      </c>
      <c r="Z4125">
        <v>0</v>
      </c>
      <c r="AA4125">
        <v>9</v>
      </c>
      <c r="AB4125">
        <v>3</v>
      </c>
      <c r="AC4125">
        <v>0</v>
      </c>
      <c r="AD4125">
        <v>9</v>
      </c>
      <c r="AE4125">
        <v>0</v>
      </c>
      <c r="AF4125">
        <v>3</v>
      </c>
      <c r="AG4125">
        <v>1</v>
      </c>
      <c r="AH4125">
        <v>0</v>
      </c>
      <c r="AI4125" t="s">
        <v>1309</v>
      </c>
      <c r="AJ4125">
        <v>34.066628999999999</v>
      </c>
      <c r="AK4125" t="s">
        <v>1310</v>
      </c>
      <c r="AL4125">
        <v>-117.01701199999999</v>
      </c>
      <c r="AM4125">
        <v>100</v>
      </c>
      <c r="AN4125">
        <v>5400</v>
      </c>
      <c r="AO4125" t="s">
        <v>118</v>
      </c>
      <c r="AP4125">
        <v>-79</v>
      </c>
      <c r="AQ4125">
        <v>47</v>
      </c>
      <c r="AR4125">
        <v>-384</v>
      </c>
      <c r="AZ4125">
        <v>1200</v>
      </c>
      <c r="BA4125">
        <v>1</v>
      </c>
      <c r="BB4125" t="str">
        <f t="shared" si="2298"/>
        <v xml:space="preserve">N9217B  </v>
      </c>
      <c r="BC4125">
        <v>1</v>
      </c>
      <c r="BE4125">
        <v>0</v>
      </c>
      <c r="BF4125">
        <v>0</v>
      </c>
      <c r="BG4125">
        <v>0</v>
      </c>
      <c r="BH4125">
        <v>5250</v>
      </c>
      <c r="BI4125">
        <v>1</v>
      </c>
      <c r="BJ4125">
        <v>0</v>
      </c>
      <c r="BK4125">
        <v>0</v>
      </c>
      <c r="BL4125">
        <v>0</v>
      </c>
      <c r="BO4125">
        <v>0</v>
      </c>
      <c r="BP4125">
        <v>0</v>
      </c>
      <c r="BW4125" t="str">
        <f t="shared" si="2310"/>
        <v>14:59:18.457</v>
      </c>
      <c r="CJ4125">
        <v>0</v>
      </c>
      <c r="CK4125">
        <v>2</v>
      </c>
      <c r="CL4125">
        <v>0</v>
      </c>
      <c r="CM4125">
        <v>2</v>
      </c>
      <c r="CN4125">
        <v>0</v>
      </c>
      <c r="CO4125">
        <v>6</v>
      </c>
      <c r="CP4125" t="s">
        <v>119</v>
      </c>
      <c r="CQ4125">
        <v>285</v>
      </c>
      <c r="CR4125">
        <v>0</v>
      </c>
      <c r="CW4125">
        <v>8889180</v>
      </c>
      <c r="CY4125">
        <v>0</v>
      </c>
      <c r="CZ4125">
        <v>0</v>
      </c>
      <c r="DA4125">
        <v>1</v>
      </c>
      <c r="DB4125">
        <v>0</v>
      </c>
      <c r="DC4125">
        <v>0</v>
      </c>
      <c r="DD4125">
        <v>0</v>
      </c>
      <c r="DE4125">
        <v>0</v>
      </c>
      <c r="DF4125">
        <v>0</v>
      </c>
      <c r="DG4125">
        <v>0</v>
      </c>
      <c r="DH4125">
        <v>0</v>
      </c>
      <c r="DI4125">
        <v>0</v>
      </c>
    </row>
    <row r="4126" spans="1:113" x14ac:dyDescent="0.25">
      <c r="A4126" t="str">
        <f t="shared" ref="A4126:A4132" si="2311">"06/05/2020 14:59:13.871"</f>
        <v>06/05/2020 14:59:13.871</v>
      </c>
      <c r="C4126" t="str">
        <f t="shared" si="2280"/>
        <v>FFDFD3C0</v>
      </c>
      <c r="D4126" t="s">
        <v>134</v>
      </c>
      <c r="E4126">
        <v>7</v>
      </c>
      <c r="F4126">
        <v>2007</v>
      </c>
      <c r="G4126" t="s">
        <v>135</v>
      </c>
      <c r="J4126" t="s">
        <v>136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 t="shared" ref="S4126:S4132" si="2312">"14:59:19.516"</f>
        <v>14:59:19.516</v>
      </c>
      <c r="T4126" t="str">
        <f t="shared" ref="T4126:T4132" si="2313">"14:59:19.216"</f>
        <v>14:59:19.216</v>
      </c>
      <c r="U4126" t="str">
        <f t="shared" si="2296"/>
        <v>ACC530</v>
      </c>
      <c r="V4126">
        <v>0</v>
      </c>
      <c r="W4126">
        <v>0</v>
      </c>
      <c r="X4126">
        <v>1</v>
      </c>
      <c r="Z4126">
        <v>0</v>
      </c>
      <c r="AA4126">
        <v>9</v>
      </c>
      <c r="AB4126">
        <v>3</v>
      </c>
      <c r="AC4126">
        <v>0</v>
      </c>
      <c r="AD4126">
        <v>9</v>
      </c>
      <c r="AE4126">
        <v>0</v>
      </c>
      <c r="AF4126">
        <v>3</v>
      </c>
      <c r="AG4126">
        <v>1</v>
      </c>
      <c r="AH4126">
        <v>0</v>
      </c>
      <c r="AI4126" t="s">
        <v>1311</v>
      </c>
      <c r="AJ4126">
        <v>34.066887000000001</v>
      </c>
      <c r="AK4126" t="s">
        <v>1312</v>
      </c>
      <c r="AL4126">
        <v>-117.017505</v>
      </c>
      <c r="AM4126">
        <v>100</v>
      </c>
      <c r="AN4126">
        <v>5400</v>
      </c>
      <c r="AO4126" t="s">
        <v>118</v>
      </c>
      <c r="AP4126">
        <v>-81</v>
      </c>
      <c r="AQ4126">
        <v>45</v>
      </c>
      <c r="AR4126">
        <v>-384</v>
      </c>
      <c r="AZ4126">
        <v>1200</v>
      </c>
      <c r="BA4126">
        <v>1</v>
      </c>
      <c r="BB4126" t="str">
        <f t="shared" si="2298"/>
        <v xml:space="preserve">N9217B  </v>
      </c>
      <c r="BC4126">
        <v>1</v>
      </c>
      <c r="BE4126">
        <v>0</v>
      </c>
      <c r="BF4126">
        <v>0</v>
      </c>
      <c r="BG4126">
        <v>0</v>
      </c>
      <c r="BH4126">
        <v>5250</v>
      </c>
      <c r="BI4126">
        <v>1</v>
      </c>
      <c r="BJ4126">
        <v>0</v>
      </c>
      <c r="BK4126">
        <v>0</v>
      </c>
      <c r="BL4126">
        <v>0</v>
      </c>
      <c r="BO4126">
        <v>0</v>
      </c>
      <c r="BP4126">
        <v>0</v>
      </c>
      <c r="BW4126" t="str">
        <f t="shared" ref="BW4126:BW4132" si="2314">"14:59:19.522"</f>
        <v>14:59:19.522</v>
      </c>
      <c r="CJ4126">
        <v>0</v>
      </c>
      <c r="CK4126">
        <v>2</v>
      </c>
      <c r="CL4126">
        <v>0</v>
      </c>
      <c r="CM4126">
        <v>2</v>
      </c>
      <c r="CN4126">
        <v>0</v>
      </c>
      <c r="CO4126">
        <v>6</v>
      </c>
      <c r="CP4126" t="s">
        <v>119</v>
      </c>
      <c r="CQ4126">
        <v>285</v>
      </c>
      <c r="CR4126">
        <v>0</v>
      </c>
      <c r="CW4126">
        <v>8889277</v>
      </c>
      <c r="CY4126">
        <v>0</v>
      </c>
      <c r="CZ4126">
        <v>0</v>
      </c>
      <c r="DA4126">
        <v>0</v>
      </c>
      <c r="DB4126">
        <v>0</v>
      </c>
      <c r="DC4126">
        <v>0</v>
      </c>
      <c r="DD4126">
        <v>0</v>
      </c>
      <c r="DE4126">
        <v>0</v>
      </c>
      <c r="DF4126">
        <v>0</v>
      </c>
      <c r="DG4126">
        <v>0</v>
      </c>
      <c r="DH4126">
        <v>0</v>
      </c>
      <c r="DI4126">
        <v>0</v>
      </c>
    </row>
    <row r="4127" spans="1:113" x14ac:dyDescent="0.25">
      <c r="A4127" t="str">
        <f t="shared" si="2311"/>
        <v>06/05/2020 14:59:13.871</v>
      </c>
      <c r="C4127" t="str">
        <f t="shared" si="2280"/>
        <v>FFDFD3C0</v>
      </c>
      <c r="D4127" t="s">
        <v>113</v>
      </c>
      <c r="E4127">
        <v>3</v>
      </c>
      <c r="H4127">
        <v>166</v>
      </c>
      <c r="I4127" t="s">
        <v>114</v>
      </c>
      <c r="J4127" t="s">
        <v>115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 t="shared" si="2312"/>
        <v>14:59:19.516</v>
      </c>
      <c r="T4127" t="str">
        <f t="shared" si="2313"/>
        <v>14:59:19.216</v>
      </c>
      <c r="U4127" t="str">
        <f t="shared" si="2296"/>
        <v>ACC530</v>
      </c>
      <c r="V4127">
        <v>0</v>
      </c>
      <c r="W4127">
        <v>0</v>
      </c>
      <c r="X4127">
        <v>1</v>
      </c>
      <c r="Z4127">
        <v>0</v>
      </c>
      <c r="AA4127">
        <v>9</v>
      </c>
      <c r="AB4127">
        <v>3</v>
      </c>
      <c r="AC4127">
        <v>0</v>
      </c>
      <c r="AD4127">
        <v>9</v>
      </c>
      <c r="AE4127">
        <v>0</v>
      </c>
      <c r="AF4127">
        <v>3</v>
      </c>
      <c r="AG4127">
        <v>1</v>
      </c>
      <c r="AH4127">
        <v>0</v>
      </c>
      <c r="AI4127" t="s">
        <v>1311</v>
      </c>
      <c r="AJ4127">
        <v>34.066887000000001</v>
      </c>
      <c r="AK4127" t="s">
        <v>1312</v>
      </c>
      <c r="AL4127">
        <v>-117.017505</v>
      </c>
      <c r="AM4127">
        <v>100</v>
      </c>
      <c r="AN4127">
        <v>5400</v>
      </c>
      <c r="AO4127" t="s">
        <v>118</v>
      </c>
      <c r="AP4127">
        <v>-81</v>
      </c>
      <c r="AQ4127">
        <v>45</v>
      </c>
      <c r="AR4127">
        <v>-384</v>
      </c>
      <c r="AZ4127">
        <v>1200</v>
      </c>
      <c r="BA4127">
        <v>1</v>
      </c>
      <c r="BB4127" t="str">
        <f t="shared" si="2298"/>
        <v xml:space="preserve">N9217B  </v>
      </c>
      <c r="BC4127">
        <v>1</v>
      </c>
      <c r="BE4127">
        <v>0</v>
      </c>
      <c r="BF4127">
        <v>0</v>
      </c>
      <c r="BG4127">
        <v>0</v>
      </c>
      <c r="BH4127">
        <v>5250</v>
      </c>
      <c r="BI4127">
        <v>1</v>
      </c>
      <c r="BJ4127">
        <v>0</v>
      </c>
      <c r="BK4127">
        <v>0</v>
      </c>
      <c r="BL4127">
        <v>0</v>
      </c>
      <c r="BO4127">
        <v>0</v>
      </c>
      <c r="BP4127">
        <v>0</v>
      </c>
      <c r="BW4127" t="str">
        <f t="shared" si="2314"/>
        <v>14:59:19.522</v>
      </c>
      <c r="CJ4127">
        <v>0</v>
      </c>
      <c r="CK4127">
        <v>2</v>
      </c>
      <c r="CL4127">
        <v>0</v>
      </c>
      <c r="CM4127">
        <v>2</v>
      </c>
      <c r="CN4127">
        <v>0</v>
      </c>
      <c r="CO4127">
        <v>6</v>
      </c>
      <c r="CP4127" t="s">
        <v>119</v>
      </c>
      <c r="CQ4127">
        <v>285</v>
      </c>
      <c r="CR4127">
        <v>0</v>
      </c>
      <c r="CW4127">
        <v>8889277</v>
      </c>
      <c r="CY4127">
        <v>0</v>
      </c>
      <c r="CZ4127">
        <v>0</v>
      </c>
      <c r="DA4127">
        <v>1</v>
      </c>
      <c r="DB4127">
        <v>0</v>
      </c>
      <c r="DC4127">
        <v>0</v>
      </c>
      <c r="DD4127">
        <v>0</v>
      </c>
      <c r="DE4127">
        <v>0</v>
      </c>
      <c r="DF4127">
        <v>0</v>
      </c>
      <c r="DG4127">
        <v>0</v>
      </c>
      <c r="DH4127">
        <v>0</v>
      </c>
      <c r="DI4127">
        <v>0</v>
      </c>
    </row>
    <row r="4128" spans="1:113" x14ac:dyDescent="0.25">
      <c r="A4128" t="str">
        <f t="shared" si="2311"/>
        <v>06/05/2020 14:59:13.871</v>
      </c>
      <c r="C4128" t="str">
        <f t="shared" si="2280"/>
        <v>FFDFD3C0</v>
      </c>
      <c r="D4128" t="s">
        <v>151</v>
      </c>
      <c r="E4128">
        <v>8</v>
      </c>
      <c r="H4128">
        <v>225</v>
      </c>
      <c r="I4128" t="s">
        <v>353</v>
      </c>
      <c r="J4128" t="s">
        <v>150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 t="shared" si="2312"/>
        <v>14:59:19.516</v>
      </c>
      <c r="T4128" t="str">
        <f t="shared" si="2313"/>
        <v>14:59:19.216</v>
      </c>
      <c r="U4128" t="str">
        <f t="shared" si="2296"/>
        <v>ACC530</v>
      </c>
      <c r="V4128">
        <v>0</v>
      </c>
      <c r="W4128">
        <v>0</v>
      </c>
      <c r="X4128">
        <v>1</v>
      </c>
      <c r="Z4128">
        <v>0</v>
      </c>
      <c r="AA4128">
        <v>9</v>
      </c>
      <c r="AB4128">
        <v>3</v>
      </c>
      <c r="AC4128">
        <v>0</v>
      </c>
      <c r="AD4128">
        <v>9</v>
      </c>
      <c r="AE4128">
        <v>0</v>
      </c>
      <c r="AF4128">
        <v>3</v>
      </c>
      <c r="AG4128">
        <v>1</v>
      </c>
      <c r="AH4128">
        <v>0</v>
      </c>
      <c r="AI4128" t="s">
        <v>1311</v>
      </c>
      <c r="AJ4128">
        <v>34.066887000000001</v>
      </c>
      <c r="AK4128" t="s">
        <v>1312</v>
      </c>
      <c r="AL4128">
        <v>-117.017505</v>
      </c>
      <c r="AM4128">
        <v>100</v>
      </c>
      <c r="AN4128">
        <v>5400</v>
      </c>
      <c r="AO4128" t="s">
        <v>118</v>
      </c>
      <c r="AP4128">
        <v>-81</v>
      </c>
      <c r="AQ4128">
        <v>45</v>
      </c>
      <c r="AR4128">
        <v>-384</v>
      </c>
      <c r="AZ4128">
        <v>1200</v>
      </c>
      <c r="BA4128">
        <v>1</v>
      </c>
      <c r="BB4128" t="str">
        <f t="shared" si="2298"/>
        <v xml:space="preserve">N9217B  </v>
      </c>
      <c r="BC4128">
        <v>1</v>
      </c>
      <c r="BE4128">
        <v>0</v>
      </c>
      <c r="BF4128">
        <v>0</v>
      </c>
      <c r="BG4128">
        <v>0</v>
      </c>
      <c r="BH4128">
        <v>5250</v>
      </c>
      <c r="BI4128">
        <v>1</v>
      </c>
      <c r="BJ4128">
        <v>0</v>
      </c>
      <c r="BK4128">
        <v>0</v>
      </c>
      <c r="BL4128">
        <v>0</v>
      </c>
      <c r="BO4128">
        <v>0</v>
      </c>
      <c r="BP4128">
        <v>0</v>
      </c>
      <c r="BW4128" t="str">
        <f t="shared" si="2314"/>
        <v>14:59:19.522</v>
      </c>
      <c r="CJ4128">
        <v>0</v>
      </c>
      <c r="CK4128">
        <v>2</v>
      </c>
      <c r="CL4128">
        <v>0</v>
      </c>
      <c r="CM4128">
        <v>2</v>
      </c>
      <c r="CN4128">
        <v>0</v>
      </c>
      <c r="CO4128">
        <v>6</v>
      </c>
      <c r="CP4128" t="s">
        <v>119</v>
      </c>
      <c r="CQ4128">
        <v>285</v>
      </c>
      <c r="CR4128">
        <v>0</v>
      </c>
      <c r="CW4128">
        <v>8889277</v>
      </c>
      <c r="CY4128">
        <v>0</v>
      </c>
      <c r="CZ4128">
        <v>0</v>
      </c>
      <c r="DA4128">
        <v>1</v>
      </c>
      <c r="DB4128">
        <v>0</v>
      </c>
      <c r="DC4128">
        <v>0</v>
      </c>
      <c r="DD4128">
        <v>0</v>
      </c>
      <c r="DE4128">
        <v>0</v>
      </c>
      <c r="DF4128">
        <v>0</v>
      </c>
      <c r="DG4128">
        <v>0</v>
      </c>
      <c r="DH4128">
        <v>0</v>
      </c>
      <c r="DI4128">
        <v>0</v>
      </c>
    </row>
    <row r="4129" spans="1:113" x14ac:dyDescent="0.25">
      <c r="A4129" t="str">
        <f t="shared" si="2311"/>
        <v>06/05/2020 14:59:13.871</v>
      </c>
      <c r="C4129" t="str">
        <f t="shared" si="2280"/>
        <v>FFDFD3C0</v>
      </c>
      <c r="D4129" t="s">
        <v>141</v>
      </c>
      <c r="E4129">
        <v>20</v>
      </c>
      <c r="F4129">
        <v>1020</v>
      </c>
      <c r="G4129" t="s">
        <v>114</v>
      </c>
      <c r="J4129" t="s">
        <v>142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 t="shared" si="2312"/>
        <v>14:59:19.516</v>
      </c>
      <c r="T4129" t="str">
        <f t="shared" si="2313"/>
        <v>14:59:19.216</v>
      </c>
      <c r="U4129" t="str">
        <f t="shared" si="2296"/>
        <v>ACC530</v>
      </c>
      <c r="V4129">
        <v>0</v>
      </c>
      <c r="W4129">
        <v>0</v>
      </c>
      <c r="X4129">
        <v>1</v>
      </c>
      <c r="Z4129">
        <v>0</v>
      </c>
      <c r="AA4129">
        <v>9</v>
      </c>
      <c r="AB4129">
        <v>3</v>
      </c>
      <c r="AC4129">
        <v>0</v>
      </c>
      <c r="AD4129">
        <v>9</v>
      </c>
      <c r="AE4129">
        <v>0</v>
      </c>
      <c r="AF4129">
        <v>3</v>
      </c>
      <c r="AG4129">
        <v>1</v>
      </c>
      <c r="AH4129">
        <v>0</v>
      </c>
      <c r="AI4129" t="s">
        <v>1311</v>
      </c>
      <c r="AJ4129">
        <v>34.066887000000001</v>
      </c>
      <c r="AK4129" t="s">
        <v>1312</v>
      </c>
      <c r="AL4129">
        <v>-117.017505</v>
      </c>
      <c r="AM4129">
        <v>100</v>
      </c>
      <c r="AN4129">
        <v>5400</v>
      </c>
      <c r="AO4129" t="s">
        <v>118</v>
      </c>
      <c r="AP4129">
        <v>-81</v>
      </c>
      <c r="AQ4129">
        <v>45</v>
      </c>
      <c r="AR4129">
        <v>-384</v>
      </c>
      <c r="AZ4129">
        <v>1200</v>
      </c>
      <c r="BA4129">
        <v>1</v>
      </c>
      <c r="BB4129" t="str">
        <f t="shared" si="2298"/>
        <v xml:space="preserve">N9217B  </v>
      </c>
      <c r="BC4129">
        <v>1</v>
      </c>
      <c r="BE4129">
        <v>0</v>
      </c>
      <c r="BF4129">
        <v>0</v>
      </c>
      <c r="BG4129">
        <v>0</v>
      </c>
      <c r="BH4129">
        <v>5250</v>
      </c>
      <c r="BI4129">
        <v>1</v>
      </c>
      <c r="BJ4129">
        <v>0</v>
      </c>
      <c r="BK4129">
        <v>0</v>
      </c>
      <c r="BL4129">
        <v>0</v>
      </c>
      <c r="BO4129">
        <v>0</v>
      </c>
      <c r="BP4129">
        <v>0</v>
      </c>
      <c r="BW4129" t="str">
        <f t="shared" si="2314"/>
        <v>14:59:19.522</v>
      </c>
      <c r="CJ4129">
        <v>0</v>
      </c>
      <c r="CK4129">
        <v>2</v>
      </c>
      <c r="CL4129">
        <v>0</v>
      </c>
      <c r="CM4129">
        <v>2</v>
      </c>
      <c r="CN4129">
        <v>0</v>
      </c>
      <c r="CO4129">
        <v>6</v>
      </c>
      <c r="CP4129" t="s">
        <v>119</v>
      </c>
      <c r="CQ4129">
        <v>285</v>
      </c>
      <c r="CR4129">
        <v>0</v>
      </c>
      <c r="CW4129">
        <v>8889277</v>
      </c>
      <c r="CY4129">
        <v>0</v>
      </c>
      <c r="CZ4129">
        <v>0</v>
      </c>
      <c r="DA4129">
        <v>1</v>
      </c>
      <c r="DB4129">
        <v>0</v>
      </c>
      <c r="DC4129">
        <v>0</v>
      </c>
      <c r="DD4129">
        <v>0</v>
      </c>
      <c r="DE4129">
        <v>0</v>
      </c>
      <c r="DF4129">
        <v>0</v>
      </c>
      <c r="DG4129">
        <v>0</v>
      </c>
      <c r="DH4129">
        <v>0</v>
      </c>
      <c r="DI4129">
        <v>0</v>
      </c>
    </row>
    <row r="4130" spans="1:113" x14ac:dyDescent="0.25">
      <c r="A4130" t="str">
        <f t="shared" si="2311"/>
        <v>06/05/2020 14:59:13.871</v>
      </c>
      <c r="C4130" t="str">
        <f t="shared" si="2280"/>
        <v>FFDFD3C0</v>
      </c>
      <c r="D4130" t="s">
        <v>148</v>
      </c>
      <c r="E4130">
        <v>8</v>
      </c>
      <c r="H4130">
        <v>50</v>
      </c>
      <c r="I4130" t="s">
        <v>149</v>
      </c>
      <c r="J4130" t="s">
        <v>150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 t="shared" si="2312"/>
        <v>14:59:19.516</v>
      </c>
      <c r="T4130" t="str">
        <f t="shared" si="2313"/>
        <v>14:59:19.216</v>
      </c>
      <c r="U4130" t="str">
        <f t="shared" si="2296"/>
        <v>ACC530</v>
      </c>
      <c r="V4130">
        <v>0</v>
      </c>
      <c r="W4130">
        <v>0</v>
      </c>
      <c r="X4130">
        <v>1</v>
      </c>
      <c r="Z4130">
        <v>0</v>
      </c>
      <c r="AA4130">
        <v>9</v>
      </c>
      <c r="AB4130">
        <v>3</v>
      </c>
      <c r="AC4130">
        <v>0</v>
      </c>
      <c r="AD4130">
        <v>9</v>
      </c>
      <c r="AE4130">
        <v>0</v>
      </c>
      <c r="AF4130">
        <v>3</v>
      </c>
      <c r="AG4130">
        <v>1</v>
      </c>
      <c r="AH4130">
        <v>0</v>
      </c>
      <c r="AI4130" t="s">
        <v>1311</v>
      </c>
      <c r="AJ4130">
        <v>34.066887000000001</v>
      </c>
      <c r="AK4130" t="s">
        <v>1312</v>
      </c>
      <c r="AL4130">
        <v>-117.017505</v>
      </c>
      <c r="AM4130">
        <v>100</v>
      </c>
      <c r="AN4130">
        <v>5400</v>
      </c>
      <c r="AO4130" t="s">
        <v>118</v>
      </c>
      <c r="AP4130">
        <v>-81</v>
      </c>
      <c r="AQ4130">
        <v>45</v>
      </c>
      <c r="AR4130">
        <v>-384</v>
      </c>
      <c r="AZ4130">
        <v>1200</v>
      </c>
      <c r="BA4130">
        <v>1</v>
      </c>
      <c r="BB4130" t="str">
        <f t="shared" si="2298"/>
        <v xml:space="preserve">N9217B  </v>
      </c>
      <c r="BC4130">
        <v>1</v>
      </c>
      <c r="BE4130">
        <v>0</v>
      </c>
      <c r="BF4130">
        <v>0</v>
      </c>
      <c r="BG4130">
        <v>0</v>
      </c>
      <c r="BH4130">
        <v>5250</v>
      </c>
      <c r="BI4130">
        <v>1</v>
      </c>
      <c r="BJ4130">
        <v>0</v>
      </c>
      <c r="BK4130">
        <v>0</v>
      </c>
      <c r="BL4130">
        <v>0</v>
      </c>
      <c r="BO4130">
        <v>0</v>
      </c>
      <c r="BP4130">
        <v>0</v>
      </c>
      <c r="BW4130" t="str">
        <f t="shared" si="2314"/>
        <v>14:59:19.522</v>
      </c>
      <c r="CJ4130">
        <v>0</v>
      </c>
      <c r="CK4130">
        <v>2</v>
      </c>
      <c r="CL4130">
        <v>0</v>
      </c>
      <c r="CM4130">
        <v>2</v>
      </c>
      <c r="CN4130">
        <v>0</v>
      </c>
      <c r="CO4130">
        <v>6</v>
      </c>
      <c r="CP4130" t="s">
        <v>119</v>
      </c>
      <c r="CQ4130">
        <v>285</v>
      </c>
      <c r="CR4130">
        <v>0</v>
      </c>
      <c r="CW4130">
        <v>8889277</v>
      </c>
      <c r="CY4130">
        <v>0</v>
      </c>
      <c r="CZ4130">
        <v>0</v>
      </c>
      <c r="DA4130">
        <v>1</v>
      </c>
      <c r="DB4130">
        <v>0</v>
      </c>
      <c r="DC4130">
        <v>0</v>
      </c>
      <c r="DD4130">
        <v>0</v>
      </c>
      <c r="DE4130">
        <v>0</v>
      </c>
      <c r="DF4130">
        <v>0</v>
      </c>
      <c r="DG4130">
        <v>0</v>
      </c>
      <c r="DH4130">
        <v>0</v>
      </c>
      <c r="DI4130">
        <v>0</v>
      </c>
    </row>
    <row r="4131" spans="1:113" x14ac:dyDescent="0.25">
      <c r="A4131" t="str">
        <f t="shared" si="2311"/>
        <v>06/05/2020 14:59:13.871</v>
      </c>
      <c r="C4131" t="str">
        <f t="shared" ref="C4131:C4194" si="2315">"FFDFD3C0"</f>
        <v>FFDFD3C0</v>
      </c>
      <c r="D4131" t="s">
        <v>151</v>
      </c>
      <c r="E4131">
        <v>9</v>
      </c>
      <c r="H4131">
        <v>226</v>
      </c>
      <c r="I4131" t="s">
        <v>152</v>
      </c>
      <c r="J4131" t="s">
        <v>150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 t="shared" si="2312"/>
        <v>14:59:19.516</v>
      </c>
      <c r="T4131" t="str">
        <f t="shared" si="2313"/>
        <v>14:59:19.216</v>
      </c>
      <c r="U4131" t="str">
        <f t="shared" si="2296"/>
        <v>ACC530</v>
      </c>
      <c r="V4131">
        <v>0</v>
      </c>
      <c r="W4131">
        <v>0</v>
      </c>
      <c r="X4131">
        <v>1</v>
      </c>
      <c r="Z4131">
        <v>0</v>
      </c>
      <c r="AA4131">
        <v>9</v>
      </c>
      <c r="AB4131">
        <v>3</v>
      </c>
      <c r="AC4131">
        <v>0</v>
      </c>
      <c r="AD4131">
        <v>9</v>
      </c>
      <c r="AE4131">
        <v>0</v>
      </c>
      <c r="AF4131">
        <v>3</v>
      </c>
      <c r="AG4131">
        <v>1</v>
      </c>
      <c r="AH4131">
        <v>0</v>
      </c>
      <c r="AI4131" t="s">
        <v>1311</v>
      </c>
      <c r="AJ4131">
        <v>34.066887000000001</v>
      </c>
      <c r="AK4131" t="s">
        <v>1312</v>
      </c>
      <c r="AL4131">
        <v>-117.017505</v>
      </c>
      <c r="AM4131">
        <v>100</v>
      </c>
      <c r="AN4131">
        <v>5400</v>
      </c>
      <c r="AO4131" t="s">
        <v>118</v>
      </c>
      <c r="AP4131">
        <v>-81</v>
      </c>
      <c r="AQ4131">
        <v>45</v>
      </c>
      <c r="AR4131">
        <v>-384</v>
      </c>
      <c r="AZ4131">
        <v>1200</v>
      </c>
      <c r="BA4131">
        <v>1</v>
      </c>
      <c r="BB4131" t="str">
        <f t="shared" si="2298"/>
        <v xml:space="preserve">N9217B  </v>
      </c>
      <c r="BC4131">
        <v>1</v>
      </c>
      <c r="BE4131">
        <v>0</v>
      </c>
      <c r="BF4131">
        <v>0</v>
      </c>
      <c r="BG4131">
        <v>0</v>
      </c>
      <c r="BH4131">
        <v>5250</v>
      </c>
      <c r="BI4131">
        <v>1</v>
      </c>
      <c r="BJ4131">
        <v>0</v>
      </c>
      <c r="BK4131">
        <v>0</v>
      </c>
      <c r="BL4131">
        <v>0</v>
      </c>
      <c r="BO4131">
        <v>0</v>
      </c>
      <c r="BP4131">
        <v>0</v>
      </c>
      <c r="BW4131" t="str">
        <f t="shared" si="2314"/>
        <v>14:59:19.522</v>
      </c>
      <c r="CJ4131">
        <v>0</v>
      </c>
      <c r="CK4131">
        <v>2</v>
      </c>
      <c r="CL4131">
        <v>0</v>
      </c>
      <c r="CM4131">
        <v>2</v>
      </c>
      <c r="CN4131">
        <v>0</v>
      </c>
      <c r="CO4131">
        <v>6</v>
      </c>
      <c r="CP4131" t="s">
        <v>119</v>
      </c>
      <c r="CQ4131">
        <v>285</v>
      </c>
      <c r="CR4131">
        <v>0</v>
      </c>
      <c r="CW4131">
        <v>8889277</v>
      </c>
      <c r="CY4131">
        <v>0</v>
      </c>
      <c r="CZ4131">
        <v>0</v>
      </c>
      <c r="DA4131">
        <v>1</v>
      </c>
      <c r="DB4131">
        <v>0</v>
      </c>
      <c r="DC4131">
        <v>0</v>
      </c>
      <c r="DD4131">
        <v>0</v>
      </c>
      <c r="DE4131">
        <v>0</v>
      </c>
      <c r="DF4131">
        <v>0</v>
      </c>
      <c r="DG4131">
        <v>0</v>
      </c>
      <c r="DH4131">
        <v>0</v>
      </c>
      <c r="DI4131">
        <v>0</v>
      </c>
    </row>
    <row r="4132" spans="1:113" x14ac:dyDescent="0.25">
      <c r="A4132" t="str">
        <f t="shared" si="2311"/>
        <v>06/05/2020 14:59:13.871</v>
      </c>
      <c r="C4132" t="str">
        <f t="shared" si="2315"/>
        <v>FFDFD3C0</v>
      </c>
      <c r="D4132" t="s">
        <v>148</v>
      </c>
      <c r="E4132">
        <v>11</v>
      </c>
      <c r="H4132">
        <v>53</v>
      </c>
      <c r="I4132" t="s">
        <v>364</v>
      </c>
      <c r="J4132" t="s">
        <v>150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 t="shared" si="2312"/>
        <v>14:59:19.516</v>
      </c>
      <c r="T4132" t="str">
        <f t="shared" si="2313"/>
        <v>14:59:19.216</v>
      </c>
      <c r="U4132" t="str">
        <f t="shared" si="2296"/>
        <v>ACC530</v>
      </c>
      <c r="V4132">
        <v>0</v>
      </c>
      <c r="W4132">
        <v>0</v>
      </c>
      <c r="X4132">
        <v>1</v>
      </c>
      <c r="Z4132">
        <v>0</v>
      </c>
      <c r="AA4132">
        <v>9</v>
      </c>
      <c r="AB4132">
        <v>3</v>
      </c>
      <c r="AC4132">
        <v>0</v>
      </c>
      <c r="AD4132">
        <v>9</v>
      </c>
      <c r="AE4132">
        <v>0</v>
      </c>
      <c r="AF4132">
        <v>3</v>
      </c>
      <c r="AG4132">
        <v>1</v>
      </c>
      <c r="AH4132">
        <v>0</v>
      </c>
      <c r="AI4132" t="s">
        <v>1311</v>
      </c>
      <c r="AJ4132">
        <v>34.066887000000001</v>
      </c>
      <c r="AK4132" t="s">
        <v>1312</v>
      </c>
      <c r="AL4132">
        <v>-117.017505</v>
      </c>
      <c r="AM4132">
        <v>100</v>
      </c>
      <c r="AN4132">
        <v>5400</v>
      </c>
      <c r="AO4132" t="s">
        <v>118</v>
      </c>
      <c r="AP4132">
        <v>-81</v>
      </c>
      <c r="AQ4132">
        <v>45</v>
      </c>
      <c r="AR4132">
        <v>-384</v>
      </c>
      <c r="AZ4132">
        <v>1200</v>
      </c>
      <c r="BA4132">
        <v>1</v>
      </c>
      <c r="BB4132" t="str">
        <f t="shared" si="2298"/>
        <v xml:space="preserve">N9217B  </v>
      </c>
      <c r="BC4132">
        <v>1</v>
      </c>
      <c r="BE4132">
        <v>0</v>
      </c>
      <c r="BF4132">
        <v>0</v>
      </c>
      <c r="BG4132">
        <v>0</v>
      </c>
      <c r="BH4132">
        <v>5250</v>
      </c>
      <c r="BI4132">
        <v>1</v>
      </c>
      <c r="BJ4132">
        <v>0</v>
      </c>
      <c r="BK4132">
        <v>0</v>
      </c>
      <c r="BL4132">
        <v>0</v>
      </c>
      <c r="BO4132">
        <v>0</v>
      </c>
      <c r="BP4132">
        <v>0</v>
      </c>
      <c r="BW4132" t="str">
        <f t="shared" si="2314"/>
        <v>14:59:19.522</v>
      </c>
      <c r="CJ4132">
        <v>0</v>
      </c>
      <c r="CK4132">
        <v>2</v>
      </c>
      <c r="CL4132">
        <v>0</v>
      </c>
      <c r="CM4132">
        <v>2</v>
      </c>
      <c r="CN4132">
        <v>0</v>
      </c>
      <c r="CO4132">
        <v>6</v>
      </c>
      <c r="CP4132" t="s">
        <v>119</v>
      </c>
      <c r="CQ4132">
        <v>285</v>
      </c>
      <c r="CR4132">
        <v>0</v>
      </c>
      <c r="CW4132">
        <v>8889277</v>
      </c>
      <c r="CY4132">
        <v>0</v>
      </c>
      <c r="CZ4132">
        <v>0</v>
      </c>
      <c r="DA4132">
        <v>1</v>
      </c>
      <c r="DB4132">
        <v>0</v>
      </c>
      <c r="DC4132">
        <v>0</v>
      </c>
      <c r="DD4132">
        <v>0</v>
      </c>
      <c r="DE4132">
        <v>0</v>
      </c>
      <c r="DF4132">
        <v>0</v>
      </c>
      <c r="DG4132">
        <v>0</v>
      </c>
      <c r="DH4132">
        <v>0</v>
      </c>
      <c r="DI4132">
        <v>0</v>
      </c>
    </row>
    <row r="4133" spans="1:113" x14ac:dyDescent="0.25">
      <c r="A4133" t="str">
        <f t="shared" ref="A4133:A4139" si="2316">"06/05/2020 14:59:14.816"</f>
        <v>06/05/2020 14:59:14.816</v>
      </c>
      <c r="C4133" t="str">
        <f t="shared" si="2315"/>
        <v>FFDFD3C0</v>
      </c>
      <c r="D4133" t="s">
        <v>148</v>
      </c>
      <c r="E4133">
        <v>11</v>
      </c>
      <c r="H4133">
        <v>53</v>
      </c>
      <c r="I4133" t="s">
        <v>364</v>
      </c>
      <c r="J4133" t="s">
        <v>150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 t="shared" ref="S4133:T4139" si="2317">"14:59:20.477"</f>
        <v>14:59:20.477</v>
      </c>
      <c r="T4133" t="str">
        <f t="shared" si="2317"/>
        <v>14:59:20.477</v>
      </c>
      <c r="U4133" t="str">
        <f t="shared" si="2296"/>
        <v>ACC530</v>
      </c>
      <c r="V4133">
        <v>0</v>
      </c>
      <c r="W4133">
        <v>0</v>
      </c>
      <c r="X4133">
        <v>1</v>
      </c>
      <c r="Z4133">
        <v>0</v>
      </c>
      <c r="AA4133">
        <v>9</v>
      </c>
      <c r="AB4133">
        <v>3</v>
      </c>
      <c r="AC4133">
        <v>0</v>
      </c>
      <c r="AD4133">
        <v>9</v>
      </c>
      <c r="AE4133">
        <v>0</v>
      </c>
      <c r="AF4133">
        <v>3</v>
      </c>
      <c r="AG4133">
        <v>1</v>
      </c>
      <c r="AH4133">
        <v>0</v>
      </c>
      <c r="AI4133" t="s">
        <v>1313</v>
      </c>
      <c r="AJ4133">
        <v>34.067036999999999</v>
      </c>
      <c r="AK4133" t="s">
        <v>1182</v>
      </c>
      <c r="AL4133">
        <v>-117.017956</v>
      </c>
      <c r="AM4133">
        <v>100</v>
      </c>
      <c r="AN4133">
        <v>5400</v>
      </c>
      <c r="AO4133" t="s">
        <v>118</v>
      </c>
      <c r="AP4133">
        <v>-83</v>
      </c>
      <c r="AQ4133">
        <v>44</v>
      </c>
      <c r="AR4133">
        <v>-448</v>
      </c>
      <c r="AZ4133">
        <v>1200</v>
      </c>
      <c r="BA4133">
        <v>1</v>
      </c>
      <c r="BB4133" t="str">
        <f t="shared" si="2298"/>
        <v xml:space="preserve">N9217B  </v>
      </c>
      <c r="BC4133">
        <v>1</v>
      </c>
      <c r="BE4133">
        <v>0</v>
      </c>
      <c r="BF4133">
        <v>0</v>
      </c>
      <c r="BG4133">
        <v>0</v>
      </c>
      <c r="BH4133">
        <v>5225</v>
      </c>
      <c r="BI4133">
        <v>1</v>
      </c>
      <c r="BJ4133">
        <v>0</v>
      </c>
      <c r="BK4133">
        <v>0</v>
      </c>
      <c r="BL4133">
        <v>0</v>
      </c>
      <c r="BO4133">
        <v>0</v>
      </c>
      <c r="BP4133">
        <v>0</v>
      </c>
      <c r="BW4133" t="str">
        <f t="shared" ref="BW4133:BW4139" si="2318">"14:59:20.482"</f>
        <v>14:59:20.482</v>
      </c>
      <c r="CJ4133">
        <v>0</v>
      </c>
      <c r="CK4133">
        <v>2</v>
      </c>
      <c r="CL4133">
        <v>0</v>
      </c>
      <c r="CM4133">
        <v>2</v>
      </c>
      <c r="CN4133">
        <v>0</v>
      </c>
      <c r="CO4133">
        <v>6</v>
      </c>
      <c r="CP4133" t="s">
        <v>119</v>
      </c>
      <c r="CQ4133">
        <v>285</v>
      </c>
      <c r="CR4133">
        <v>0</v>
      </c>
      <c r="CW4133">
        <v>8889365</v>
      </c>
      <c r="CY4133">
        <v>0</v>
      </c>
      <c r="CZ4133">
        <v>0</v>
      </c>
      <c r="DA4133">
        <v>0</v>
      </c>
      <c r="DB4133">
        <v>0</v>
      </c>
      <c r="DC4133">
        <v>0</v>
      </c>
      <c r="DD4133">
        <v>0</v>
      </c>
      <c r="DE4133">
        <v>0</v>
      </c>
      <c r="DF4133">
        <v>0</v>
      </c>
      <c r="DG4133">
        <v>0</v>
      </c>
      <c r="DH4133">
        <v>0</v>
      </c>
      <c r="DI4133">
        <v>0</v>
      </c>
    </row>
    <row r="4134" spans="1:113" x14ac:dyDescent="0.25">
      <c r="A4134" t="str">
        <f t="shared" si="2316"/>
        <v>06/05/2020 14:59:14.816</v>
      </c>
      <c r="C4134" t="str">
        <f t="shared" si="2315"/>
        <v>FFDFD3C0</v>
      </c>
      <c r="D4134" t="s">
        <v>134</v>
      </c>
      <c r="E4134">
        <v>7</v>
      </c>
      <c r="F4134">
        <v>2007</v>
      </c>
      <c r="G4134" t="s">
        <v>135</v>
      </c>
      <c r="J4134" t="s">
        <v>136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 t="shared" si="2317"/>
        <v>14:59:20.477</v>
      </c>
      <c r="T4134" t="str">
        <f t="shared" si="2317"/>
        <v>14:59:20.477</v>
      </c>
      <c r="U4134" t="str">
        <f t="shared" si="2296"/>
        <v>ACC530</v>
      </c>
      <c r="V4134">
        <v>0</v>
      </c>
      <c r="W4134">
        <v>0</v>
      </c>
      <c r="X4134">
        <v>1</v>
      </c>
      <c r="Z4134">
        <v>0</v>
      </c>
      <c r="AA4134">
        <v>9</v>
      </c>
      <c r="AB4134">
        <v>3</v>
      </c>
      <c r="AC4134">
        <v>0</v>
      </c>
      <c r="AD4134">
        <v>9</v>
      </c>
      <c r="AE4134">
        <v>0</v>
      </c>
      <c r="AF4134">
        <v>3</v>
      </c>
      <c r="AG4134">
        <v>1</v>
      </c>
      <c r="AH4134">
        <v>0</v>
      </c>
      <c r="AI4134" t="s">
        <v>1313</v>
      </c>
      <c r="AJ4134">
        <v>34.067036999999999</v>
      </c>
      <c r="AK4134" t="s">
        <v>1182</v>
      </c>
      <c r="AL4134">
        <v>-117.017956</v>
      </c>
      <c r="AM4134">
        <v>100</v>
      </c>
      <c r="AN4134">
        <v>5400</v>
      </c>
      <c r="AO4134" t="s">
        <v>118</v>
      </c>
      <c r="AP4134">
        <v>-83</v>
      </c>
      <c r="AQ4134">
        <v>44</v>
      </c>
      <c r="AR4134">
        <v>-448</v>
      </c>
      <c r="AZ4134">
        <v>1200</v>
      </c>
      <c r="BA4134">
        <v>1</v>
      </c>
      <c r="BB4134" t="str">
        <f t="shared" si="2298"/>
        <v xml:space="preserve">N9217B  </v>
      </c>
      <c r="BC4134">
        <v>1</v>
      </c>
      <c r="BE4134">
        <v>0</v>
      </c>
      <c r="BF4134">
        <v>0</v>
      </c>
      <c r="BG4134">
        <v>0</v>
      </c>
      <c r="BH4134">
        <v>5225</v>
      </c>
      <c r="BI4134">
        <v>1</v>
      </c>
      <c r="BJ4134">
        <v>0</v>
      </c>
      <c r="BK4134">
        <v>0</v>
      </c>
      <c r="BL4134">
        <v>0</v>
      </c>
      <c r="BO4134">
        <v>0</v>
      </c>
      <c r="BP4134">
        <v>0</v>
      </c>
      <c r="BW4134" t="str">
        <f t="shared" si="2318"/>
        <v>14:59:20.482</v>
      </c>
      <c r="CJ4134">
        <v>0</v>
      </c>
      <c r="CK4134">
        <v>2</v>
      </c>
      <c r="CL4134">
        <v>0</v>
      </c>
      <c r="CM4134">
        <v>2</v>
      </c>
      <c r="CN4134">
        <v>0</v>
      </c>
      <c r="CO4134">
        <v>6</v>
      </c>
      <c r="CP4134" t="s">
        <v>119</v>
      </c>
      <c r="CQ4134">
        <v>285</v>
      </c>
      <c r="CR4134">
        <v>0</v>
      </c>
      <c r="CW4134">
        <v>8889365</v>
      </c>
      <c r="CY4134">
        <v>0</v>
      </c>
      <c r="CZ4134">
        <v>0</v>
      </c>
      <c r="DA4134">
        <v>1</v>
      </c>
      <c r="DB4134">
        <v>0</v>
      </c>
      <c r="DC4134">
        <v>0</v>
      </c>
      <c r="DD4134">
        <v>0</v>
      </c>
      <c r="DE4134">
        <v>0</v>
      </c>
      <c r="DF4134">
        <v>0</v>
      </c>
      <c r="DG4134">
        <v>0</v>
      </c>
      <c r="DH4134">
        <v>0</v>
      </c>
      <c r="DI4134">
        <v>0</v>
      </c>
    </row>
    <row r="4135" spans="1:113" x14ac:dyDescent="0.25">
      <c r="A4135" t="str">
        <f t="shared" si="2316"/>
        <v>06/05/2020 14:59:14.816</v>
      </c>
      <c r="C4135" t="str">
        <f t="shared" si="2315"/>
        <v>FFDFD3C0</v>
      </c>
      <c r="D4135" t="s">
        <v>113</v>
      </c>
      <c r="E4135">
        <v>3</v>
      </c>
      <c r="H4135">
        <v>166</v>
      </c>
      <c r="I4135" t="s">
        <v>114</v>
      </c>
      <c r="J4135" t="s">
        <v>115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 t="shared" si="2317"/>
        <v>14:59:20.477</v>
      </c>
      <c r="T4135" t="str">
        <f t="shared" si="2317"/>
        <v>14:59:20.477</v>
      </c>
      <c r="U4135" t="str">
        <f t="shared" si="2296"/>
        <v>ACC530</v>
      </c>
      <c r="V4135">
        <v>0</v>
      </c>
      <c r="W4135">
        <v>0</v>
      </c>
      <c r="X4135">
        <v>1</v>
      </c>
      <c r="Z4135">
        <v>0</v>
      </c>
      <c r="AA4135">
        <v>9</v>
      </c>
      <c r="AB4135">
        <v>3</v>
      </c>
      <c r="AC4135">
        <v>0</v>
      </c>
      <c r="AD4135">
        <v>9</v>
      </c>
      <c r="AE4135">
        <v>0</v>
      </c>
      <c r="AF4135">
        <v>3</v>
      </c>
      <c r="AG4135">
        <v>1</v>
      </c>
      <c r="AH4135">
        <v>0</v>
      </c>
      <c r="AI4135" t="s">
        <v>1313</v>
      </c>
      <c r="AJ4135">
        <v>34.067036999999999</v>
      </c>
      <c r="AK4135" t="s">
        <v>1182</v>
      </c>
      <c r="AL4135">
        <v>-117.017956</v>
      </c>
      <c r="AM4135">
        <v>100</v>
      </c>
      <c r="AN4135">
        <v>5400</v>
      </c>
      <c r="AO4135" t="s">
        <v>118</v>
      </c>
      <c r="AP4135">
        <v>-83</v>
      </c>
      <c r="AQ4135">
        <v>44</v>
      </c>
      <c r="AR4135">
        <v>-448</v>
      </c>
      <c r="AZ4135">
        <v>1200</v>
      </c>
      <c r="BA4135">
        <v>1</v>
      </c>
      <c r="BB4135" t="str">
        <f t="shared" si="2298"/>
        <v xml:space="preserve">N9217B  </v>
      </c>
      <c r="BC4135">
        <v>1</v>
      </c>
      <c r="BE4135">
        <v>0</v>
      </c>
      <c r="BF4135">
        <v>0</v>
      </c>
      <c r="BG4135">
        <v>0</v>
      </c>
      <c r="BH4135">
        <v>5225</v>
      </c>
      <c r="BI4135">
        <v>1</v>
      </c>
      <c r="BJ4135">
        <v>0</v>
      </c>
      <c r="BK4135">
        <v>0</v>
      </c>
      <c r="BL4135">
        <v>0</v>
      </c>
      <c r="BO4135">
        <v>0</v>
      </c>
      <c r="BP4135">
        <v>0</v>
      </c>
      <c r="BW4135" t="str">
        <f t="shared" si="2318"/>
        <v>14:59:20.482</v>
      </c>
      <c r="CJ4135">
        <v>0</v>
      </c>
      <c r="CK4135">
        <v>2</v>
      </c>
      <c r="CL4135">
        <v>0</v>
      </c>
      <c r="CM4135">
        <v>2</v>
      </c>
      <c r="CN4135">
        <v>0</v>
      </c>
      <c r="CO4135">
        <v>6</v>
      </c>
      <c r="CP4135" t="s">
        <v>119</v>
      </c>
      <c r="CQ4135">
        <v>285</v>
      </c>
      <c r="CR4135">
        <v>0</v>
      </c>
      <c r="CW4135">
        <v>8889365</v>
      </c>
      <c r="CY4135">
        <v>0</v>
      </c>
      <c r="CZ4135">
        <v>0</v>
      </c>
      <c r="DA4135">
        <v>1</v>
      </c>
      <c r="DB4135">
        <v>0</v>
      </c>
      <c r="DC4135">
        <v>0</v>
      </c>
      <c r="DD4135">
        <v>0</v>
      </c>
      <c r="DE4135">
        <v>0</v>
      </c>
      <c r="DF4135">
        <v>0</v>
      </c>
      <c r="DG4135">
        <v>0</v>
      </c>
      <c r="DH4135">
        <v>0</v>
      </c>
      <c r="DI4135">
        <v>0</v>
      </c>
    </row>
    <row r="4136" spans="1:113" x14ac:dyDescent="0.25">
      <c r="A4136" t="str">
        <f t="shared" si="2316"/>
        <v>06/05/2020 14:59:14.816</v>
      </c>
      <c r="C4136" t="str">
        <f t="shared" si="2315"/>
        <v>FFDFD3C0</v>
      </c>
      <c r="D4136" t="s">
        <v>151</v>
      </c>
      <c r="E4136">
        <v>8</v>
      </c>
      <c r="H4136">
        <v>225</v>
      </c>
      <c r="I4136" t="s">
        <v>353</v>
      </c>
      <c r="J4136" t="s">
        <v>150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 t="shared" si="2317"/>
        <v>14:59:20.477</v>
      </c>
      <c r="T4136" t="str">
        <f t="shared" si="2317"/>
        <v>14:59:20.477</v>
      </c>
      <c r="U4136" t="str">
        <f t="shared" si="2296"/>
        <v>ACC530</v>
      </c>
      <c r="V4136">
        <v>0</v>
      </c>
      <c r="W4136">
        <v>0</v>
      </c>
      <c r="X4136">
        <v>1</v>
      </c>
      <c r="Z4136">
        <v>0</v>
      </c>
      <c r="AA4136">
        <v>9</v>
      </c>
      <c r="AB4136">
        <v>3</v>
      </c>
      <c r="AC4136">
        <v>0</v>
      </c>
      <c r="AD4136">
        <v>9</v>
      </c>
      <c r="AE4136">
        <v>0</v>
      </c>
      <c r="AF4136">
        <v>3</v>
      </c>
      <c r="AG4136">
        <v>1</v>
      </c>
      <c r="AH4136">
        <v>0</v>
      </c>
      <c r="AI4136" t="s">
        <v>1313</v>
      </c>
      <c r="AJ4136">
        <v>34.067036999999999</v>
      </c>
      <c r="AK4136" t="s">
        <v>1182</v>
      </c>
      <c r="AL4136">
        <v>-117.017956</v>
      </c>
      <c r="AM4136">
        <v>100</v>
      </c>
      <c r="AN4136">
        <v>5400</v>
      </c>
      <c r="AO4136" t="s">
        <v>118</v>
      </c>
      <c r="AP4136">
        <v>-83</v>
      </c>
      <c r="AQ4136">
        <v>44</v>
      </c>
      <c r="AR4136">
        <v>-448</v>
      </c>
      <c r="AZ4136">
        <v>1200</v>
      </c>
      <c r="BA4136">
        <v>1</v>
      </c>
      <c r="BB4136" t="str">
        <f t="shared" si="2298"/>
        <v xml:space="preserve">N9217B  </v>
      </c>
      <c r="BC4136">
        <v>1</v>
      </c>
      <c r="BE4136">
        <v>0</v>
      </c>
      <c r="BF4136">
        <v>0</v>
      </c>
      <c r="BG4136">
        <v>0</v>
      </c>
      <c r="BH4136">
        <v>5225</v>
      </c>
      <c r="BI4136">
        <v>1</v>
      </c>
      <c r="BJ4136">
        <v>0</v>
      </c>
      <c r="BK4136">
        <v>0</v>
      </c>
      <c r="BL4136">
        <v>0</v>
      </c>
      <c r="BO4136">
        <v>0</v>
      </c>
      <c r="BP4136">
        <v>0</v>
      </c>
      <c r="BW4136" t="str">
        <f t="shared" si="2318"/>
        <v>14:59:20.482</v>
      </c>
      <c r="CJ4136">
        <v>0</v>
      </c>
      <c r="CK4136">
        <v>2</v>
      </c>
      <c r="CL4136">
        <v>0</v>
      </c>
      <c r="CM4136">
        <v>2</v>
      </c>
      <c r="CN4136">
        <v>0</v>
      </c>
      <c r="CO4136">
        <v>6</v>
      </c>
      <c r="CP4136" t="s">
        <v>119</v>
      </c>
      <c r="CQ4136">
        <v>285</v>
      </c>
      <c r="CR4136">
        <v>0</v>
      </c>
      <c r="CW4136">
        <v>8889365</v>
      </c>
      <c r="CY4136">
        <v>0</v>
      </c>
      <c r="CZ4136">
        <v>0</v>
      </c>
      <c r="DA4136">
        <v>1</v>
      </c>
      <c r="DB4136">
        <v>0</v>
      </c>
      <c r="DC4136">
        <v>0</v>
      </c>
      <c r="DD4136">
        <v>0</v>
      </c>
      <c r="DE4136">
        <v>0</v>
      </c>
      <c r="DF4136">
        <v>0</v>
      </c>
      <c r="DG4136">
        <v>0</v>
      </c>
      <c r="DH4136">
        <v>0</v>
      </c>
      <c r="DI4136">
        <v>0</v>
      </c>
    </row>
    <row r="4137" spans="1:113" x14ac:dyDescent="0.25">
      <c r="A4137" t="str">
        <f t="shared" si="2316"/>
        <v>06/05/2020 14:59:14.816</v>
      </c>
      <c r="C4137" t="str">
        <f t="shared" si="2315"/>
        <v>FFDFD3C0</v>
      </c>
      <c r="D4137" t="s">
        <v>141</v>
      </c>
      <c r="E4137">
        <v>20</v>
      </c>
      <c r="F4137">
        <v>1020</v>
      </c>
      <c r="G4137" t="s">
        <v>114</v>
      </c>
      <c r="J4137" t="s">
        <v>142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 t="shared" si="2317"/>
        <v>14:59:20.477</v>
      </c>
      <c r="T4137" t="str">
        <f t="shared" si="2317"/>
        <v>14:59:20.477</v>
      </c>
      <c r="U4137" t="str">
        <f t="shared" si="2296"/>
        <v>ACC530</v>
      </c>
      <c r="V4137">
        <v>0</v>
      </c>
      <c r="W4137">
        <v>0</v>
      </c>
      <c r="X4137">
        <v>1</v>
      </c>
      <c r="Z4137">
        <v>0</v>
      </c>
      <c r="AA4137">
        <v>9</v>
      </c>
      <c r="AB4137">
        <v>3</v>
      </c>
      <c r="AC4137">
        <v>0</v>
      </c>
      <c r="AD4137">
        <v>9</v>
      </c>
      <c r="AE4137">
        <v>0</v>
      </c>
      <c r="AF4137">
        <v>3</v>
      </c>
      <c r="AG4137">
        <v>1</v>
      </c>
      <c r="AH4137">
        <v>0</v>
      </c>
      <c r="AI4137" t="s">
        <v>1313</v>
      </c>
      <c r="AJ4137">
        <v>34.067036999999999</v>
      </c>
      <c r="AK4137" t="s">
        <v>1182</v>
      </c>
      <c r="AL4137">
        <v>-117.017956</v>
      </c>
      <c r="AM4137">
        <v>100</v>
      </c>
      <c r="AN4137">
        <v>5400</v>
      </c>
      <c r="AO4137" t="s">
        <v>118</v>
      </c>
      <c r="AP4137">
        <v>-83</v>
      </c>
      <c r="AQ4137">
        <v>44</v>
      </c>
      <c r="AR4137">
        <v>-448</v>
      </c>
      <c r="AZ4137">
        <v>1200</v>
      </c>
      <c r="BA4137">
        <v>1</v>
      </c>
      <c r="BB4137" t="str">
        <f t="shared" si="2298"/>
        <v xml:space="preserve">N9217B  </v>
      </c>
      <c r="BC4137">
        <v>1</v>
      </c>
      <c r="BE4137">
        <v>0</v>
      </c>
      <c r="BF4137">
        <v>0</v>
      </c>
      <c r="BG4137">
        <v>0</v>
      </c>
      <c r="BH4137">
        <v>5225</v>
      </c>
      <c r="BI4137">
        <v>1</v>
      </c>
      <c r="BJ4137">
        <v>0</v>
      </c>
      <c r="BK4137">
        <v>0</v>
      </c>
      <c r="BL4137">
        <v>0</v>
      </c>
      <c r="BO4137">
        <v>0</v>
      </c>
      <c r="BP4137">
        <v>0</v>
      </c>
      <c r="BW4137" t="str">
        <f t="shared" si="2318"/>
        <v>14:59:20.482</v>
      </c>
      <c r="CJ4137">
        <v>0</v>
      </c>
      <c r="CK4137">
        <v>2</v>
      </c>
      <c r="CL4137">
        <v>0</v>
      </c>
      <c r="CM4137">
        <v>2</v>
      </c>
      <c r="CN4137">
        <v>0</v>
      </c>
      <c r="CO4137">
        <v>6</v>
      </c>
      <c r="CP4137" t="s">
        <v>119</v>
      </c>
      <c r="CQ4137">
        <v>285</v>
      </c>
      <c r="CR4137">
        <v>0</v>
      </c>
      <c r="CW4137">
        <v>8889365</v>
      </c>
      <c r="CY4137">
        <v>0</v>
      </c>
      <c r="CZ4137">
        <v>0</v>
      </c>
      <c r="DA4137">
        <v>1</v>
      </c>
      <c r="DB4137">
        <v>0</v>
      </c>
      <c r="DC4137">
        <v>0</v>
      </c>
      <c r="DD4137">
        <v>0</v>
      </c>
      <c r="DE4137">
        <v>0</v>
      </c>
      <c r="DF4137">
        <v>0</v>
      </c>
      <c r="DG4137">
        <v>0</v>
      </c>
      <c r="DH4137">
        <v>0</v>
      </c>
      <c r="DI4137">
        <v>0</v>
      </c>
    </row>
    <row r="4138" spans="1:113" x14ac:dyDescent="0.25">
      <c r="A4138" t="str">
        <f t="shared" si="2316"/>
        <v>06/05/2020 14:59:14.816</v>
      </c>
      <c r="C4138" t="str">
        <f t="shared" si="2315"/>
        <v>FFDFD3C0</v>
      </c>
      <c r="D4138" t="s">
        <v>148</v>
      </c>
      <c r="E4138">
        <v>8</v>
      </c>
      <c r="H4138">
        <v>50</v>
      </c>
      <c r="I4138" t="s">
        <v>149</v>
      </c>
      <c r="J4138" t="s">
        <v>150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 t="shared" si="2317"/>
        <v>14:59:20.477</v>
      </c>
      <c r="T4138" t="str">
        <f t="shared" si="2317"/>
        <v>14:59:20.477</v>
      </c>
      <c r="U4138" t="str">
        <f t="shared" si="2296"/>
        <v>ACC530</v>
      </c>
      <c r="V4138">
        <v>0</v>
      </c>
      <c r="W4138">
        <v>0</v>
      </c>
      <c r="X4138">
        <v>1</v>
      </c>
      <c r="Z4138">
        <v>0</v>
      </c>
      <c r="AA4138">
        <v>9</v>
      </c>
      <c r="AB4138">
        <v>3</v>
      </c>
      <c r="AC4138">
        <v>0</v>
      </c>
      <c r="AD4138">
        <v>9</v>
      </c>
      <c r="AE4138">
        <v>0</v>
      </c>
      <c r="AF4138">
        <v>3</v>
      </c>
      <c r="AG4138">
        <v>1</v>
      </c>
      <c r="AH4138">
        <v>0</v>
      </c>
      <c r="AI4138" t="s">
        <v>1313</v>
      </c>
      <c r="AJ4138">
        <v>34.067036999999999</v>
      </c>
      <c r="AK4138" t="s">
        <v>1182</v>
      </c>
      <c r="AL4138">
        <v>-117.017956</v>
      </c>
      <c r="AM4138">
        <v>100</v>
      </c>
      <c r="AN4138">
        <v>5400</v>
      </c>
      <c r="AO4138" t="s">
        <v>118</v>
      </c>
      <c r="AP4138">
        <v>-83</v>
      </c>
      <c r="AQ4138">
        <v>44</v>
      </c>
      <c r="AR4138">
        <v>-448</v>
      </c>
      <c r="AZ4138">
        <v>1200</v>
      </c>
      <c r="BA4138">
        <v>1</v>
      </c>
      <c r="BB4138" t="str">
        <f t="shared" si="2298"/>
        <v xml:space="preserve">N9217B  </v>
      </c>
      <c r="BC4138">
        <v>1</v>
      </c>
      <c r="BE4138">
        <v>0</v>
      </c>
      <c r="BF4138">
        <v>0</v>
      </c>
      <c r="BG4138">
        <v>0</v>
      </c>
      <c r="BH4138">
        <v>5225</v>
      </c>
      <c r="BI4138">
        <v>1</v>
      </c>
      <c r="BJ4138">
        <v>0</v>
      </c>
      <c r="BK4138">
        <v>0</v>
      </c>
      <c r="BL4138">
        <v>0</v>
      </c>
      <c r="BO4138">
        <v>0</v>
      </c>
      <c r="BP4138">
        <v>0</v>
      </c>
      <c r="BW4138" t="str">
        <f t="shared" si="2318"/>
        <v>14:59:20.482</v>
      </c>
      <c r="CJ4138">
        <v>0</v>
      </c>
      <c r="CK4138">
        <v>2</v>
      </c>
      <c r="CL4138">
        <v>0</v>
      </c>
      <c r="CM4138">
        <v>2</v>
      </c>
      <c r="CN4138">
        <v>0</v>
      </c>
      <c r="CO4138">
        <v>6</v>
      </c>
      <c r="CP4138" t="s">
        <v>119</v>
      </c>
      <c r="CQ4138">
        <v>285</v>
      </c>
      <c r="CR4138">
        <v>0</v>
      </c>
      <c r="CW4138">
        <v>8889365</v>
      </c>
      <c r="CY4138">
        <v>0</v>
      </c>
      <c r="CZ4138">
        <v>0</v>
      </c>
      <c r="DA4138">
        <v>1</v>
      </c>
      <c r="DB4138">
        <v>0</v>
      </c>
      <c r="DC4138">
        <v>0</v>
      </c>
      <c r="DD4138">
        <v>0</v>
      </c>
      <c r="DE4138">
        <v>0</v>
      </c>
      <c r="DF4138">
        <v>0</v>
      </c>
      <c r="DG4138">
        <v>0</v>
      </c>
      <c r="DH4138">
        <v>0</v>
      </c>
      <c r="DI4138">
        <v>0</v>
      </c>
    </row>
    <row r="4139" spans="1:113" x14ac:dyDescent="0.25">
      <c r="A4139" t="str">
        <f t="shared" si="2316"/>
        <v>06/05/2020 14:59:14.816</v>
      </c>
      <c r="C4139" t="str">
        <f t="shared" si="2315"/>
        <v>FFDFD3C0</v>
      </c>
      <c r="D4139" t="s">
        <v>151</v>
      </c>
      <c r="E4139">
        <v>9</v>
      </c>
      <c r="H4139">
        <v>226</v>
      </c>
      <c r="I4139" t="s">
        <v>152</v>
      </c>
      <c r="J4139" t="s">
        <v>150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 t="shared" si="2317"/>
        <v>14:59:20.477</v>
      </c>
      <c r="T4139" t="str">
        <f t="shared" si="2317"/>
        <v>14:59:20.477</v>
      </c>
      <c r="U4139" t="str">
        <f t="shared" si="2296"/>
        <v>ACC530</v>
      </c>
      <c r="V4139">
        <v>0</v>
      </c>
      <c r="W4139">
        <v>0</v>
      </c>
      <c r="X4139">
        <v>1</v>
      </c>
      <c r="Z4139">
        <v>0</v>
      </c>
      <c r="AA4139">
        <v>9</v>
      </c>
      <c r="AB4139">
        <v>3</v>
      </c>
      <c r="AC4139">
        <v>0</v>
      </c>
      <c r="AD4139">
        <v>9</v>
      </c>
      <c r="AE4139">
        <v>0</v>
      </c>
      <c r="AF4139">
        <v>3</v>
      </c>
      <c r="AG4139">
        <v>1</v>
      </c>
      <c r="AH4139">
        <v>0</v>
      </c>
      <c r="AI4139" t="s">
        <v>1313</v>
      </c>
      <c r="AJ4139">
        <v>34.067036999999999</v>
      </c>
      <c r="AK4139" t="s">
        <v>1182</v>
      </c>
      <c r="AL4139">
        <v>-117.017956</v>
      </c>
      <c r="AM4139">
        <v>100</v>
      </c>
      <c r="AN4139">
        <v>5400</v>
      </c>
      <c r="AO4139" t="s">
        <v>118</v>
      </c>
      <c r="AP4139">
        <v>-83</v>
      </c>
      <c r="AQ4139">
        <v>44</v>
      </c>
      <c r="AR4139">
        <v>-448</v>
      </c>
      <c r="AZ4139">
        <v>1200</v>
      </c>
      <c r="BA4139">
        <v>1</v>
      </c>
      <c r="BB4139" t="str">
        <f t="shared" si="2298"/>
        <v xml:space="preserve">N9217B  </v>
      </c>
      <c r="BC4139">
        <v>1</v>
      </c>
      <c r="BE4139">
        <v>0</v>
      </c>
      <c r="BF4139">
        <v>0</v>
      </c>
      <c r="BG4139">
        <v>0</v>
      </c>
      <c r="BH4139">
        <v>5225</v>
      </c>
      <c r="BI4139">
        <v>1</v>
      </c>
      <c r="BJ4139">
        <v>0</v>
      </c>
      <c r="BK4139">
        <v>0</v>
      </c>
      <c r="BL4139">
        <v>0</v>
      </c>
      <c r="BO4139">
        <v>0</v>
      </c>
      <c r="BP4139">
        <v>0</v>
      </c>
      <c r="BW4139" t="str">
        <f t="shared" si="2318"/>
        <v>14:59:20.482</v>
      </c>
      <c r="CJ4139">
        <v>0</v>
      </c>
      <c r="CK4139">
        <v>2</v>
      </c>
      <c r="CL4139">
        <v>0</v>
      </c>
      <c r="CM4139">
        <v>2</v>
      </c>
      <c r="CN4139">
        <v>0</v>
      </c>
      <c r="CO4139">
        <v>6</v>
      </c>
      <c r="CP4139" t="s">
        <v>119</v>
      </c>
      <c r="CQ4139">
        <v>285</v>
      </c>
      <c r="CR4139">
        <v>0</v>
      </c>
      <c r="CW4139">
        <v>8889365</v>
      </c>
      <c r="CY4139">
        <v>0</v>
      </c>
      <c r="CZ4139">
        <v>0</v>
      </c>
      <c r="DA4139">
        <v>1</v>
      </c>
      <c r="DB4139">
        <v>0</v>
      </c>
      <c r="DC4139">
        <v>0</v>
      </c>
      <c r="DD4139">
        <v>0</v>
      </c>
      <c r="DE4139">
        <v>0</v>
      </c>
      <c r="DF4139">
        <v>0</v>
      </c>
      <c r="DG4139">
        <v>0</v>
      </c>
      <c r="DH4139">
        <v>0</v>
      </c>
      <c r="DI4139">
        <v>0</v>
      </c>
    </row>
    <row r="4140" spans="1:113" x14ac:dyDescent="0.25">
      <c r="A4140" t="str">
        <f t="shared" ref="A4140:A4146" si="2319">"06/05/2020 14:59:15.827"</f>
        <v>06/05/2020 14:59:15.827</v>
      </c>
      <c r="C4140" t="str">
        <f t="shared" si="2315"/>
        <v>FFDFD3C0</v>
      </c>
      <c r="D4140" t="s">
        <v>148</v>
      </c>
      <c r="E4140">
        <v>11</v>
      </c>
      <c r="H4140">
        <v>53</v>
      </c>
      <c r="I4140" t="s">
        <v>364</v>
      </c>
      <c r="J4140" t="s">
        <v>150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 t="shared" ref="S4140:S4146" si="2320">"14:59:21.500"</f>
        <v>14:59:21.500</v>
      </c>
      <c r="T4140" t="str">
        <f t="shared" ref="T4140:T4146" si="2321">"14:59:21.400"</f>
        <v>14:59:21.400</v>
      </c>
      <c r="U4140" t="str">
        <f t="shared" si="2296"/>
        <v>ACC530</v>
      </c>
      <c r="V4140">
        <v>0</v>
      </c>
      <c r="W4140">
        <v>0</v>
      </c>
      <c r="X4140">
        <v>1</v>
      </c>
      <c r="Z4140">
        <v>0</v>
      </c>
      <c r="AA4140">
        <v>9</v>
      </c>
      <c r="AB4140">
        <v>3</v>
      </c>
      <c r="AC4140">
        <v>0</v>
      </c>
      <c r="AD4140">
        <v>9</v>
      </c>
      <c r="AE4140">
        <v>0</v>
      </c>
      <c r="AF4140">
        <v>3</v>
      </c>
      <c r="AG4140">
        <v>1</v>
      </c>
      <c r="AH4140">
        <v>0</v>
      </c>
      <c r="AI4140" t="s">
        <v>1314</v>
      </c>
      <c r="AJ4140">
        <v>34.067252000000003</v>
      </c>
      <c r="AK4140" t="s">
        <v>1315</v>
      </c>
      <c r="AL4140">
        <v>-117.018406</v>
      </c>
      <c r="AM4140">
        <v>100</v>
      </c>
      <c r="AN4140">
        <v>5400</v>
      </c>
      <c r="AO4140" t="s">
        <v>118</v>
      </c>
      <c r="AP4140">
        <v>-84</v>
      </c>
      <c r="AQ4140">
        <v>42</v>
      </c>
      <c r="AR4140">
        <v>-448</v>
      </c>
      <c r="AZ4140">
        <v>1200</v>
      </c>
      <c r="BA4140">
        <v>1</v>
      </c>
      <c r="BB4140" t="str">
        <f t="shared" si="2298"/>
        <v xml:space="preserve">N9217B  </v>
      </c>
      <c r="BC4140">
        <v>1</v>
      </c>
      <c r="BE4140">
        <v>0</v>
      </c>
      <c r="BF4140">
        <v>0</v>
      </c>
      <c r="BG4140">
        <v>0</v>
      </c>
      <c r="BH4140">
        <v>5225</v>
      </c>
      <c r="BI4140">
        <v>1</v>
      </c>
      <c r="BJ4140">
        <v>0</v>
      </c>
      <c r="BK4140">
        <v>0</v>
      </c>
      <c r="BL4140">
        <v>0</v>
      </c>
      <c r="BO4140">
        <v>0</v>
      </c>
      <c r="BP4140">
        <v>0</v>
      </c>
      <c r="BW4140" t="str">
        <f t="shared" ref="BW4140:BW4146" si="2322">"14:59:21.502"</f>
        <v>14:59:21.502</v>
      </c>
      <c r="CJ4140">
        <v>0</v>
      </c>
      <c r="CK4140">
        <v>2</v>
      </c>
      <c r="CL4140">
        <v>0</v>
      </c>
      <c r="CM4140">
        <v>2</v>
      </c>
      <c r="CN4140">
        <v>0</v>
      </c>
      <c r="CO4140">
        <v>6</v>
      </c>
      <c r="CP4140" t="s">
        <v>119</v>
      </c>
      <c r="CQ4140">
        <v>285</v>
      </c>
      <c r="CR4140">
        <v>0</v>
      </c>
      <c r="CW4140">
        <v>8889457</v>
      </c>
      <c r="CY4140">
        <v>0</v>
      </c>
      <c r="CZ4140">
        <v>0</v>
      </c>
      <c r="DA4140">
        <v>0</v>
      </c>
      <c r="DB4140">
        <v>0</v>
      </c>
      <c r="DC4140">
        <v>0</v>
      </c>
      <c r="DD4140">
        <v>0</v>
      </c>
      <c r="DE4140">
        <v>0</v>
      </c>
      <c r="DF4140">
        <v>0</v>
      </c>
      <c r="DG4140">
        <v>0</v>
      </c>
      <c r="DH4140">
        <v>0</v>
      </c>
      <c r="DI4140">
        <v>0</v>
      </c>
    </row>
    <row r="4141" spans="1:113" x14ac:dyDescent="0.25">
      <c r="A4141" t="str">
        <f t="shared" si="2319"/>
        <v>06/05/2020 14:59:15.827</v>
      </c>
      <c r="C4141" t="str">
        <f t="shared" si="2315"/>
        <v>FFDFD3C0</v>
      </c>
      <c r="D4141" t="s">
        <v>134</v>
      </c>
      <c r="E4141">
        <v>7</v>
      </c>
      <c r="F4141">
        <v>2007</v>
      </c>
      <c r="G4141" t="s">
        <v>135</v>
      </c>
      <c r="J4141" t="s">
        <v>136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 t="shared" si="2320"/>
        <v>14:59:21.500</v>
      </c>
      <c r="T4141" t="str">
        <f t="shared" si="2321"/>
        <v>14:59:21.400</v>
      </c>
      <c r="U4141" t="str">
        <f t="shared" si="2296"/>
        <v>ACC530</v>
      </c>
      <c r="V4141">
        <v>0</v>
      </c>
      <c r="W4141">
        <v>0</v>
      </c>
      <c r="X4141">
        <v>1</v>
      </c>
      <c r="Z4141">
        <v>0</v>
      </c>
      <c r="AA4141">
        <v>9</v>
      </c>
      <c r="AB4141">
        <v>3</v>
      </c>
      <c r="AC4141">
        <v>0</v>
      </c>
      <c r="AD4141">
        <v>9</v>
      </c>
      <c r="AE4141">
        <v>0</v>
      </c>
      <c r="AF4141">
        <v>3</v>
      </c>
      <c r="AG4141">
        <v>1</v>
      </c>
      <c r="AH4141">
        <v>0</v>
      </c>
      <c r="AI4141" t="s">
        <v>1314</v>
      </c>
      <c r="AJ4141">
        <v>34.067252000000003</v>
      </c>
      <c r="AK4141" t="s">
        <v>1315</v>
      </c>
      <c r="AL4141">
        <v>-117.018406</v>
      </c>
      <c r="AM4141">
        <v>100</v>
      </c>
      <c r="AN4141">
        <v>5400</v>
      </c>
      <c r="AO4141" t="s">
        <v>118</v>
      </c>
      <c r="AP4141">
        <v>-84</v>
      </c>
      <c r="AQ4141">
        <v>42</v>
      </c>
      <c r="AR4141">
        <v>-448</v>
      </c>
      <c r="AZ4141">
        <v>1200</v>
      </c>
      <c r="BA4141">
        <v>1</v>
      </c>
      <c r="BB4141" t="str">
        <f t="shared" si="2298"/>
        <v xml:space="preserve">N9217B  </v>
      </c>
      <c r="BC4141">
        <v>1</v>
      </c>
      <c r="BE4141">
        <v>0</v>
      </c>
      <c r="BF4141">
        <v>0</v>
      </c>
      <c r="BG4141">
        <v>0</v>
      </c>
      <c r="BH4141">
        <v>5225</v>
      </c>
      <c r="BI4141">
        <v>1</v>
      </c>
      <c r="BJ4141">
        <v>0</v>
      </c>
      <c r="BK4141">
        <v>0</v>
      </c>
      <c r="BL4141">
        <v>0</v>
      </c>
      <c r="BO4141">
        <v>0</v>
      </c>
      <c r="BP4141">
        <v>0</v>
      </c>
      <c r="BW4141" t="str">
        <f t="shared" si="2322"/>
        <v>14:59:21.502</v>
      </c>
      <c r="CJ4141">
        <v>0</v>
      </c>
      <c r="CK4141">
        <v>2</v>
      </c>
      <c r="CL4141">
        <v>0</v>
      </c>
      <c r="CM4141">
        <v>2</v>
      </c>
      <c r="CN4141">
        <v>0</v>
      </c>
      <c r="CO4141">
        <v>6</v>
      </c>
      <c r="CP4141" t="s">
        <v>119</v>
      </c>
      <c r="CQ4141">
        <v>285</v>
      </c>
      <c r="CR4141">
        <v>0</v>
      </c>
      <c r="CW4141">
        <v>8889457</v>
      </c>
      <c r="CY4141">
        <v>0</v>
      </c>
      <c r="CZ4141">
        <v>0</v>
      </c>
      <c r="DA4141">
        <v>1</v>
      </c>
      <c r="DB4141">
        <v>0</v>
      </c>
      <c r="DC4141">
        <v>0</v>
      </c>
      <c r="DD4141">
        <v>0</v>
      </c>
      <c r="DE4141">
        <v>0</v>
      </c>
      <c r="DF4141">
        <v>0</v>
      </c>
      <c r="DG4141">
        <v>0</v>
      </c>
      <c r="DH4141">
        <v>0</v>
      </c>
      <c r="DI4141">
        <v>0</v>
      </c>
    </row>
    <row r="4142" spans="1:113" x14ac:dyDescent="0.25">
      <c r="A4142" t="str">
        <f t="shared" si="2319"/>
        <v>06/05/2020 14:59:15.827</v>
      </c>
      <c r="C4142" t="str">
        <f t="shared" si="2315"/>
        <v>FFDFD3C0</v>
      </c>
      <c r="D4142" t="s">
        <v>113</v>
      </c>
      <c r="E4142">
        <v>3</v>
      </c>
      <c r="H4142">
        <v>166</v>
      </c>
      <c r="I4142" t="s">
        <v>114</v>
      </c>
      <c r="J4142" t="s">
        <v>115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 t="shared" si="2320"/>
        <v>14:59:21.500</v>
      </c>
      <c r="T4142" t="str">
        <f t="shared" si="2321"/>
        <v>14:59:21.400</v>
      </c>
      <c r="U4142" t="str">
        <f t="shared" si="2296"/>
        <v>ACC530</v>
      </c>
      <c r="V4142">
        <v>0</v>
      </c>
      <c r="W4142">
        <v>0</v>
      </c>
      <c r="X4142">
        <v>1</v>
      </c>
      <c r="Z4142">
        <v>0</v>
      </c>
      <c r="AA4142">
        <v>9</v>
      </c>
      <c r="AB4142">
        <v>3</v>
      </c>
      <c r="AC4142">
        <v>0</v>
      </c>
      <c r="AD4142">
        <v>9</v>
      </c>
      <c r="AE4142">
        <v>0</v>
      </c>
      <c r="AF4142">
        <v>3</v>
      </c>
      <c r="AG4142">
        <v>1</v>
      </c>
      <c r="AH4142">
        <v>0</v>
      </c>
      <c r="AI4142" t="s">
        <v>1314</v>
      </c>
      <c r="AJ4142">
        <v>34.067252000000003</v>
      </c>
      <c r="AK4142" t="s">
        <v>1315</v>
      </c>
      <c r="AL4142">
        <v>-117.018406</v>
      </c>
      <c r="AM4142">
        <v>100</v>
      </c>
      <c r="AN4142">
        <v>5400</v>
      </c>
      <c r="AO4142" t="s">
        <v>118</v>
      </c>
      <c r="AP4142">
        <v>-84</v>
      </c>
      <c r="AQ4142">
        <v>42</v>
      </c>
      <c r="AR4142">
        <v>-448</v>
      </c>
      <c r="AZ4142">
        <v>1200</v>
      </c>
      <c r="BA4142">
        <v>1</v>
      </c>
      <c r="BB4142" t="str">
        <f t="shared" si="2298"/>
        <v xml:space="preserve">N9217B  </v>
      </c>
      <c r="BC4142">
        <v>1</v>
      </c>
      <c r="BE4142">
        <v>0</v>
      </c>
      <c r="BF4142">
        <v>0</v>
      </c>
      <c r="BG4142">
        <v>0</v>
      </c>
      <c r="BH4142">
        <v>5225</v>
      </c>
      <c r="BI4142">
        <v>1</v>
      </c>
      <c r="BJ4142">
        <v>0</v>
      </c>
      <c r="BK4142">
        <v>0</v>
      </c>
      <c r="BL4142">
        <v>0</v>
      </c>
      <c r="BO4142">
        <v>0</v>
      </c>
      <c r="BP4142">
        <v>0</v>
      </c>
      <c r="BW4142" t="str">
        <f t="shared" si="2322"/>
        <v>14:59:21.502</v>
      </c>
      <c r="CJ4142">
        <v>0</v>
      </c>
      <c r="CK4142">
        <v>2</v>
      </c>
      <c r="CL4142">
        <v>0</v>
      </c>
      <c r="CM4142">
        <v>2</v>
      </c>
      <c r="CN4142">
        <v>0</v>
      </c>
      <c r="CO4142">
        <v>6</v>
      </c>
      <c r="CP4142" t="s">
        <v>119</v>
      </c>
      <c r="CQ4142">
        <v>285</v>
      </c>
      <c r="CR4142">
        <v>0</v>
      </c>
      <c r="CW4142">
        <v>8889457</v>
      </c>
      <c r="CY4142">
        <v>0</v>
      </c>
      <c r="CZ4142">
        <v>0</v>
      </c>
      <c r="DA4142">
        <v>1</v>
      </c>
      <c r="DB4142">
        <v>0</v>
      </c>
      <c r="DC4142">
        <v>0</v>
      </c>
      <c r="DD4142">
        <v>0</v>
      </c>
      <c r="DE4142">
        <v>0</v>
      </c>
      <c r="DF4142">
        <v>0</v>
      </c>
      <c r="DG4142">
        <v>0</v>
      </c>
      <c r="DH4142">
        <v>0</v>
      </c>
      <c r="DI4142">
        <v>0</v>
      </c>
    </row>
    <row r="4143" spans="1:113" x14ac:dyDescent="0.25">
      <c r="A4143" t="str">
        <f t="shared" si="2319"/>
        <v>06/05/2020 14:59:15.827</v>
      </c>
      <c r="C4143" t="str">
        <f t="shared" si="2315"/>
        <v>FFDFD3C0</v>
      </c>
      <c r="D4143" t="s">
        <v>141</v>
      </c>
      <c r="E4143">
        <v>20</v>
      </c>
      <c r="F4143">
        <v>1020</v>
      </c>
      <c r="G4143" t="s">
        <v>114</v>
      </c>
      <c r="J4143" t="s">
        <v>142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 t="shared" si="2320"/>
        <v>14:59:21.500</v>
      </c>
      <c r="T4143" t="str">
        <f t="shared" si="2321"/>
        <v>14:59:21.400</v>
      </c>
      <c r="U4143" t="str">
        <f t="shared" si="2296"/>
        <v>ACC530</v>
      </c>
      <c r="V4143">
        <v>0</v>
      </c>
      <c r="W4143">
        <v>0</v>
      </c>
      <c r="X4143">
        <v>1</v>
      </c>
      <c r="Z4143">
        <v>0</v>
      </c>
      <c r="AA4143">
        <v>9</v>
      </c>
      <c r="AB4143">
        <v>3</v>
      </c>
      <c r="AC4143">
        <v>0</v>
      </c>
      <c r="AD4143">
        <v>9</v>
      </c>
      <c r="AE4143">
        <v>0</v>
      </c>
      <c r="AF4143">
        <v>3</v>
      </c>
      <c r="AG4143">
        <v>1</v>
      </c>
      <c r="AH4143">
        <v>0</v>
      </c>
      <c r="AI4143" t="s">
        <v>1314</v>
      </c>
      <c r="AJ4143">
        <v>34.067252000000003</v>
      </c>
      <c r="AK4143" t="s">
        <v>1315</v>
      </c>
      <c r="AL4143">
        <v>-117.018406</v>
      </c>
      <c r="AM4143">
        <v>100</v>
      </c>
      <c r="AN4143">
        <v>5400</v>
      </c>
      <c r="AO4143" t="s">
        <v>118</v>
      </c>
      <c r="AP4143">
        <v>-84</v>
      </c>
      <c r="AQ4143">
        <v>42</v>
      </c>
      <c r="AR4143">
        <v>-448</v>
      </c>
      <c r="AZ4143">
        <v>1200</v>
      </c>
      <c r="BA4143">
        <v>1</v>
      </c>
      <c r="BB4143" t="str">
        <f t="shared" si="2298"/>
        <v xml:space="preserve">N9217B  </v>
      </c>
      <c r="BC4143">
        <v>1</v>
      </c>
      <c r="BE4143">
        <v>0</v>
      </c>
      <c r="BF4143">
        <v>0</v>
      </c>
      <c r="BG4143">
        <v>0</v>
      </c>
      <c r="BH4143">
        <v>5225</v>
      </c>
      <c r="BI4143">
        <v>1</v>
      </c>
      <c r="BJ4143">
        <v>0</v>
      </c>
      <c r="BK4143">
        <v>0</v>
      </c>
      <c r="BL4143">
        <v>0</v>
      </c>
      <c r="BO4143">
        <v>0</v>
      </c>
      <c r="BP4143">
        <v>0</v>
      </c>
      <c r="BW4143" t="str">
        <f t="shared" si="2322"/>
        <v>14:59:21.502</v>
      </c>
      <c r="CJ4143">
        <v>0</v>
      </c>
      <c r="CK4143">
        <v>2</v>
      </c>
      <c r="CL4143">
        <v>0</v>
      </c>
      <c r="CM4143">
        <v>2</v>
      </c>
      <c r="CN4143">
        <v>0</v>
      </c>
      <c r="CO4143">
        <v>6</v>
      </c>
      <c r="CP4143" t="s">
        <v>119</v>
      </c>
      <c r="CQ4143">
        <v>285</v>
      </c>
      <c r="CR4143">
        <v>0</v>
      </c>
      <c r="CW4143">
        <v>8889457</v>
      </c>
      <c r="CY4143">
        <v>0</v>
      </c>
      <c r="CZ4143">
        <v>0</v>
      </c>
      <c r="DA4143">
        <v>1</v>
      </c>
      <c r="DB4143">
        <v>0</v>
      </c>
      <c r="DC4143">
        <v>0</v>
      </c>
      <c r="DD4143">
        <v>0</v>
      </c>
      <c r="DE4143">
        <v>0</v>
      </c>
      <c r="DF4143">
        <v>0</v>
      </c>
      <c r="DG4143">
        <v>0</v>
      </c>
      <c r="DH4143">
        <v>0</v>
      </c>
      <c r="DI4143">
        <v>0</v>
      </c>
    </row>
    <row r="4144" spans="1:113" x14ac:dyDescent="0.25">
      <c r="A4144" t="str">
        <f t="shared" si="2319"/>
        <v>06/05/2020 14:59:15.827</v>
      </c>
      <c r="C4144" t="str">
        <f t="shared" si="2315"/>
        <v>FFDFD3C0</v>
      </c>
      <c r="D4144" t="s">
        <v>151</v>
      </c>
      <c r="E4144">
        <v>8</v>
      </c>
      <c r="H4144">
        <v>225</v>
      </c>
      <c r="I4144" t="s">
        <v>353</v>
      </c>
      <c r="J4144" t="s">
        <v>150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 t="shared" si="2320"/>
        <v>14:59:21.500</v>
      </c>
      <c r="T4144" t="str">
        <f t="shared" si="2321"/>
        <v>14:59:21.400</v>
      </c>
      <c r="U4144" t="str">
        <f t="shared" si="2296"/>
        <v>ACC530</v>
      </c>
      <c r="V4144">
        <v>0</v>
      </c>
      <c r="W4144">
        <v>0</v>
      </c>
      <c r="X4144">
        <v>1</v>
      </c>
      <c r="Z4144">
        <v>0</v>
      </c>
      <c r="AA4144">
        <v>9</v>
      </c>
      <c r="AB4144">
        <v>3</v>
      </c>
      <c r="AC4144">
        <v>0</v>
      </c>
      <c r="AD4144">
        <v>9</v>
      </c>
      <c r="AE4144">
        <v>0</v>
      </c>
      <c r="AF4144">
        <v>3</v>
      </c>
      <c r="AG4144">
        <v>1</v>
      </c>
      <c r="AH4144">
        <v>0</v>
      </c>
      <c r="AI4144" t="s">
        <v>1314</v>
      </c>
      <c r="AJ4144">
        <v>34.067252000000003</v>
      </c>
      <c r="AK4144" t="s">
        <v>1315</v>
      </c>
      <c r="AL4144">
        <v>-117.018406</v>
      </c>
      <c r="AM4144">
        <v>100</v>
      </c>
      <c r="AN4144">
        <v>5400</v>
      </c>
      <c r="AO4144" t="s">
        <v>118</v>
      </c>
      <c r="AP4144">
        <v>-84</v>
      </c>
      <c r="AQ4144">
        <v>42</v>
      </c>
      <c r="AR4144">
        <v>-448</v>
      </c>
      <c r="AZ4144">
        <v>1200</v>
      </c>
      <c r="BA4144">
        <v>1</v>
      </c>
      <c r="BB4144" t="str">
        <f t="shared" si="2298"/>
        <v xml:space="preserve">N9217B  </v>
      </c>
      <c r="BC4144">
        <v>1</v>
      </c>
      <c r="BE4144">
        <v>0</v>
      </c>
      <c r="BF4144">
        <v>0</v>
      </c>
      <c r="BG4144">
        <v>0</v>
      </c>
      <c r="BH4144">
        <v>5225</v>
      </c>
      <c r="BI4144">
        <v>1</v>
      </c>
      <c r="BJ4144">
        <v>0</v>
      </c>
      <c r="BK4144">
        <v>0</v>
      </c>
      <c r="BL4144">
        <v>0</v>
      </c>
      <c r="BO4144">
        <v>0</v>
      </c>
      <c r="BP4144">
        <v>0</v>
      </c>
      <c r="BW4144" t="str">
        <f t="shared" si="2322"/>
        <v>14:59:21.502</v>
      </c>
      <c r="CJ4144">
        <v>0</v>
      </c>
      <c r="CK4144">
        <v>2</v>
      </c>
      <c r="CL4144">
        <v>0</v>
      </c>
      <c r="CM4144">
        <v>2</v>
      </c>
      <c r="CN4144">
        <v>0</v>
      </c>
      <c r="CO4144">
        <v>6</v>
      </c>
      <c r="CP4144" t="s">
        <v>119</v>
      </c>
      <c r="CQ4144">
        <v>285</v>
      </c>
      <c r="CR4144">
        <v>0</v>
      </c>
      <c r="CW4144">
        <v>8889457</v>
      </c>
      <c r="CY4144">
        <v>0</v>
      </c>
      <c r="CZ4144">
        <v>0</v>
      </c>
      <c r="DA4144">
        <v>1</v>
      </c>
      <c r="DB4144">
        <v>0</v>
      </c>
      <c r="DC4144">
        <v>0</v>
      </c>
      <c r="DD4144">
        <v>0</v>
      </c>
      <c r="DE4144">
        <v>0</v>
      </c>
      <c r="DF4144">
        <v>0</v>
      </c>
      <c r="DG4144">
        <v>0</v>
      </c>
      <c r="DH4144">
        <v>0</v>
      </c>
      <c r="DI4144">
        <v>0</v>
      </c>
    </row>
    <row r="4145" spans="1:113" x14ac:dyDescent="0.25">
      <c r="A4145" t="str">
        <f t="shared" si="2319"/>
        <v>06/05/2020 14:59:15.827</v>
      </c>
      <c r="C4145" t="str">
        <f t="shared" si="2315"/>
        <v>FFDFD3C0</v>
      </c>
      <c r="D4145" t="s">
        <v>151</v>
      </c>
      <c r="E4145">
        <v>9</v>
      </c>
      <c r="H4145">
        <v>226</v>
      </c>
      <c r="I4145" t="s">
        <v>152</v>
      </c>
      <c r="J4145" t="s">
        <v>150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 t="shared" si="2320"/>
        <v>14:59:21.500</v>
      </c>
      <c r="T4145" t="str">
        <f t="shared" si="2321"/>
        <v>14:59:21.400</v>
      </c>
      <c r="U4145" t="str">
        <f t="shared" si="2296"/>
        <v>ACC530</v>
      </c>
      <c r="V4145">
        <v>0</v>
      </c>
      <c r="W4145">
        <v>0</v>
      </c>
      <c r="X4145">
        <v>1</v>
      </c>
      <c r="Z4145">
        <v>0</v>
      </c>
      <c r="AA4145">
        <v>9</v>
      </c>
      <c r="AB4145">
        <v>3</v>
      </c>
      <c r="AC4145">
        <v>0</v>
      </c>
      <c r="AD4145">
        <v>9</v>
      </c>
      <c r="AE4145">
        <v>0</v>
      </c>
      <c r="AF4145">
        <v>3</v>
      </c>
      <c r="AG4145">
        <v>1</v>
      </c>
      <c r="AH4145">
        <v>0</v>
      </c>
      <c r="AI4145" t="s">
        <v>1314</v>
      </c>
      <c r="AJ4145">
        <v>34.067252000000003</v>
      </c>
      <c r="AK4145" t="s">
        <v>1315</v>
      </c>
      <c r="AL4145">
        <v>-117.018406</v>
      </c>
      <c r="AM4145">
        <v>100</v>
      </c>
      <c r="AN4145">
        <v>5400</v>
      </c>
      <c r="AO4145" t="s">
        <v>118</v>
      </c>
      <c r="AP4145">
        <v>-84</v>
      </c>
      <c r="AQ4145">
        <v>42</v>
      </c>
      <c r="AR4145">
        <v>-448</v>
      </c>
      <c r="AZ4145">
        <v>1200</v>
      </c>
      <c r="BA4145">
        <v>1</v>
      </c>
      <c r="BB4145" t="str">
        <f t="shared" si="2298"/>
        <v xml:space="preserve">N9217B  </v>
      </c>
      <c r="BC4145">
        <v>1</v>
      </c>
      <c r="BE4145">
        <v>0</v>
      </c>
      <c r="BF4145">
        <v>0</v>
      </c>
      <c r="BG4145">
        <v>0</v>
      </c>
      <c r="BH4145">
        <v>5225</v>
      </c>
      <c r="BI4145">
        <v>1</v>
      </c>
      <c r="BJ4145">
        <v>0</v>
      </c>
      <c r="BK4145">
        <v>0</v>
      </c>
      <c r="BL4145">
        <v>0</v>
      </c>
      <c r="BO4145">
        <v>0</v>
      </c>
      <c r="BP4145">
        <v>0</v>
      </c>
      <c r="BW4145" t="str">
        <f t="shared" si="2322"/>
        <v>14:59:21.502</v>
      </c>
      <c r="CJ4145">
        <v>0</v>
      </c>
      <c r="CK4145">
        <v>2</v>
      </c>
      <c r="CL4145">
        <v>0</v>
      </c>
      <c r="CM4145">
        <v>2</v>
      </c>
      <c r="CN4145">
        <v>0</v>
      </c>
      <c r="CO4145">
        <v>6</v>
      </c>
      <c r="CP4145" t="s">
        <v>119</v>
      </c>
      <c r="CQ4145">
        <v>285</v>
      </c>
      <c r="CR4145">
        <v>0</v>
      </c>
      <c r="CW4145">
        <v>8889457</v>
      </c>
      <c r="CY4145">
        <v>0</v>
      </c>
      <c r="CZ4145">
        <v>0</v>
      </c>
      <c r="DA4145">
        <v>1</v>
      </c>
      <c r="DB4145">
        <v>0</v>
      </c>
      <c r="DC4145">
        <v>0</v>
      </c>
      <c r="DD4145">
        <v>0</v>
      </c>
      <c r="DE4145">
        <v>0</v>
      </c>
      <c r="DF4145">
        <v>0</v>
      </c>
      <c r="DG4145">
        <v>0</v>
      </c>
      <c r="DH4145">
        <v>0</v>
      </c>
      <c r="DI4145">
        <v>0</v>
      </c>
    </row>
    <row r="4146" spans="1:113" x14ac:dyDescent="0.25">
      <c r="A4146" t="str">
        <f t="shared" si="2319"/>
        <v>06/05/2020 14:59:15.827</v>
      </c>
      <c r="C4146" t="str">
        <f t="shared" si="2315"/>
        <v>FFDFD3C0</v>
      </c>
      <c r="D4146" t="s">
        <v>148</v>
      </c>
      <c r="E4146">
        <v>8</v>
      </c>
      <c r="H4146">
        <v>50</v>
      </c>
      <c r="I4146" t="s">
        <v>149</v>
      </c>
      <c r="J4146" t="s">
        <v>150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 t="shared" si="2320"/>
        <v>14:59:21.500</v>
      </c>
      <c r="T4146" t="str">
        <f t="shared" si="2321"/>
        <v>14:59:21.400</v>
      </c>
      <c r="U4146" t="str">
        <f t="shared" si="2296"/>
        <v>ACC530</v>
      </c>
      <c r="V4146">
        <v>0</v>
      </c>
      <c r="W4146">
        <v>0</v>
      </c>
      <c r="X4146">
        <v>1</v>
      </c>
      <c r="Z4146">
        <v>0</v>
      </c>
      <c r="AA4146">
        <v>9</v>
      </c>
      <c r="AB4146">
        <v>3</v>
      </c>
      <c r="AC4146">
        <v>0</v>
      </c>
      <c r="AD4146">
        <v>9</v>
      </c>
      <c r="AE4146">
        <v>0</v>
      </c>
      <c r="AF4146">
        <v>3</v>
      </c>
      <c r="AG4146">
        <v>1</v>
      </c>
      <c r="AH4146">
        <v>0</v>
      </c>
      <c r="AI4146" t="s">
        <v>1314</v>
      </c>
      <c r="AJ4146">
        <v>34.067252000000003</v>
      </c>
      <c r="AK4146" t="s">
        <v>1315</v>
      </c>
      <c r="AL4146">
        <v>-117.018406</v>
      </c>
      <c r="AM4146">
        <v>100</v>
      </c>
      <c r="AN4146">
        <v>5400</v>
      </c>
      <c r="AO4146" t="s">
        <v>118</v>
      </c>
      <c r="AP4146">
        <v>-84</v>
      </c>
      <c r="AQ4146">
        <v>42</v>
      </c>
      <c r="AR4146">
        <v>-448</v>
      </c>
      <c r="AZ4146">
        <v>1200</v>
      </c>
      <c r="BA4146">
        <v>1</v>
      </c>
      <c r="BB4146" t="str">
        <f t="shared" si="2298"/>
        <v xml:space="preserve">N9217B  </v>
      </c>
      <c r="BC4146">
        <v>1</v>
      </c>
      <c r="BE4146">
        <v>0</v>
      </c>
      <c r="BF4146">
        <v>0</v>
      </c>
      <c r="BG4146">
        <v>0</v>
      </c>
      <c r="BH4146">
        <v>5225</v>
      </c>
      <c r="BI4146">
        <v>1</v>
      </c>
      <c r="BJ4146">
        <v>0</v>
      </c>
      <c r="BK4146">
        <v>0</v>
      </c>
      <c r="BL4146">
        <v>0</v>
      </c>
      <c r="BO4146">
        <v>0</v>
      </c>
      <c r="BP4146">
        <v>0</v>
      </c>
      <c r="BW4146" t="str">
        <f t="shared" si="2322"/>
        <v>14:59:21.502</v>
      </c>
      <c r="CJ4146">
        <v>0</v>
      </c>
      <c r="CK4146">
        <v>2</v>
      </c>
      <c r="CL4146">
        <v>0</v>
      </c>
      <c r="CM4146">
        <v>2</v>
      </c>
      <c r="CN4146">
        <v>0</v>
      </c>
      <c r="CO4146">
        <v>6</v>
      </c>
      <c r="CP4146" t="s">
        <v>119</v>
      </c>
      <c r="CQ4146">
        <v>285</v>
      </c>
      <c r="CR4146">
        <v>0</v>
      </c>
      <c r="CW4146">
        <v>8889457</v>
      </c>
      <c r="CY4146">
        <v>0</v>
      </c>
      <c r="CZ4146">
        <v>0</v>
      </c>
      <c r="DA4146">
        <v>1</v>
      </c>
      <c r="DB4146">
        <v>0</v>
      </c>
      <c r="DC4146">
        <v>0</v>
      </c>
      <c r="DD4146">
        <v>0</v>
      </c>
      <c r="DE4146">
        <v>0</v>
      </c>
      <c r="DF4146">
        <v>0</v>
      </c>
      <c r="DG4146">
        <v>0</v>
      </c>
      <c r="DH4146">
        <v>0</v>
      </c>
      <c r="DI4146">
        <v>0</v>
      </c>
    </row>
    <row r="4147" spans="1:113" x14ac:dyDescent="0.25">
      <c r="A4147" t="str">
        <f t="shared" ref="A4147:A4153" si="2323">"06/05/2020 14:59:16.925"</f>
        <v>06/05/2020 14:59:16.925</v>
      </c>
      <c r="C4147" t="str">
        <f t="shared" si="2315"/>
        <v>FFDFD3C0</v>
      </c>
      <c r="D4147" t="s">
        <v>151</v>
      </c>
      <c r="E4147">
        <v>9</v>
      </c>
      <c r="H4147">
        <v>226</v>
      </c>
      <c r="I4147" t="s">
        <v>152</v>
      </c>
      <c r="J4147" t="s">
        <v>150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 t="shared" ref="S4147:S4153" si="2324">"14:59:22.578"</f>
        <v>14:59:22.578</v>
      </c>
      <c r="T4147" t="str">
        <f t="shared" ref="T4147:T4153" si="2325">"14:59:22.478"</f>
        <v>14:59:22.478</v>
      </c>
      <c r="U4147" t="str">
        <f t="shared" si="2296"/>
        <v>ACC530</v>
      </c>
      <c r="V4147">
        <v>0</v>
      </c>
      <c r="W4147">
        <v>0</v>
      </c>
      <c r="X4147">
        <v>1</v>
      </c>
      <c r="Z4147">
        <v>0</v>
      </c>
      <c r="AA4147">
        <v>9</v>
      </c>
      <c r="AB4147">
        <v>3</v>
      </c>
      <c r="AC4147">
        <v>0</v>
      </c>
      <c r="AD4147">
        <v>9</v>
      </c>
      <c r="AE4147">
        <v>0</v>
      </c>
      <c r="AF4147">
        <v>3</v>
      </c>
      <c r="AG4147">
        <v>1</v>
      </c>
      <c r="AH4147">
        <v>0</v>
      </c>
      <c r="AI4147" t="s">
        <v>1316</v>
      </c>
      <c r="AJ4147">
        <v>34.067444999999999</v>
      </c>
      <c r="AK4147" t="s">
        <v>1317</v>
      </c>
      <c r="AL4147">
        <v>-117.01892100000001</v>
      </c>
      <c r="AM4147">
        <v>100</v>
      </c>
      <c r="AN4147">
        <v>5400</v>
      </c>
      <c r="AO4147" t="s">
        <v>118</v>
      </c>
      <c r="AP4147">
        <v>-86</v>
      </c>
      <c r="AQ4147">
        <v>41</v>
      </c>
      <c r="AR4147">
        <v>-448</v>
      </c>
      <c r="AZ4147">
        <v>1200</v>
      </c>
      <c r="BA4147">
        <v>1</v>
      </c>
      <c r="BB4147" t="str">
        <f t="shared" si="2298"/>
        <v xml:space="preserve">N9217B  </v>
      </c>
      <c r="BC4147">
        <v>1</v>
      </c>
      <c r="BE4147">
        <v>0</v>
      </c>
      <c r="BF4147">
        <v>0</v>
      </c>
      <c r="BG4147">
        <v>0</v>
      </c>
      <c r="BH4147">
        <v>5225</v>
      </c>
      <c r="BI4147">
        <v>1</v>
      </c>
      <c r="BJ4147">
        <v>0</v>
      </c>
      <c r="BK4147">
        <v>0</v>
      </c>
      <c r="BL4147">
        <v>0</v>
      </c>
      <c r="BO4147">
        <v>0</v>
      </c>
      <c r="BP4147">
        <v>0</v>
      </c>
      <c r="BW4147" t="str">
        <f t="shared" ref="BW4147:BW4153" si="2326">"14:59:22.582"</f>
        <v>14:59:22.582</v>
      </c>
      <c r="CJ4147">
        <v>0</v>
      </c>
      <c r="CK4147">
        <v>2</v>
      </c>
      <c r="CL4147">
        <v>0</v>
      </c>
      <c r="CM4147">
        <v>2</v>
      </c>
      <c r="CN4147">
        <v>0</v>
      </c>
      <c r="CO4147">
        <v>6</v>
      </c>
      <c r="CP4147" t="s">
        <v>119</v>
      </c>
      <c r="CQ4147">
        <v>285</v>
      </c>
      <c r="CR4147">
        <v>0</v>
      </c>
      <c r="CW4147">
        <v>8889556</v>
      </c>
      <c r="CY4147">
        <v>0</v>
      </c>
      <c r="CZ4147">
        <v>0</v>
      </c>
      <c r="DA4147">
        <v>0</v>
      </c>
      <c r="DB4147">
        <v>0</v>
      </c>
      <c r="DC4147">
        <v>0</v>
      </c>
      <c r="DD4147">
        <v>0</v>
      </c>
      <c r="DE4147">
        <v>0</v>
      </c>
      <c r="DF4147">
        <v>0</v>
      </c>
      <c r="DG4147">
        <v>0</v>
      </c>
      <c r="DH4147">
        <v>0</v>
      </c>
      <c r="DI4147">
        <v>0</v>
      </c>
    </row>
    <row r="4148" spans="1:113" x14ac:dyDescent="0.25">
      <c r="A4148" t="str">
        <f t="shared" si="2323"/>
        <v>06/05/2020 14:59:16.925</v>
      </c>
      <c r="C4148" t="str">
        <f t="shared" si="2315"/>
        <v>FFDFD3C0</v>
      </c>
      <c r="D4148" t="s">
        <v>148</v>
      </c>
      <c r="E4148">
        <v>8</v>
      </c>
      <c r="H4148">
        <v>50</v>
      </c>
      <c r="I4148" t="s">
        <v>149</v>
      </c>
      <c r="J4148" t="s">
        <v>150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 t="shared" si="2324"/>
        <v>14:59:22.578</v>
      </c>
      <c r="T4148" t="str">
        <f t="shared" si="2325"/>
        <v>14:59:22.478</v>
      </c>
      <c r="U4148" t="str">
        <f t="shared" si="2296"/>
        <v>ACC530</v>
      </c>
      <c r="V4148">
        <v>0</v>
      </c>
      <c r="W4148">
        <v>0</v>
      </c>
      <c r="X4148">
        <v>1</v>
      </c>
      <c r="Z4148">
        <v>0</v>
      </c>
      <c r="AA4148">
        <v>9</v>
      </c>
      <c r="AB4148">
        <v>3</v>
      </c>
      <c r="AC4148">
        <v>0</v>
      </c>
      <c r="AD4148">
        <v>9</v>
      </c>
      <c r="AE4148">
        <v>0</v>
      </c>
      <c r="AF4148">
        <v>3</v>
      </c>
      <c r="AG4148">
        <v>1</v>
      </c>
      <c r="AH4148">
        <v>0</v>
      </c>
      <c r="AI4148" t="s">
        <v>1316</v>
      </c>
      <c r="AJ4148">
        <v>34.067444999999999</v>
      </c>
      <c r="AK4148" t="s">
        <v>1317</v>
      </c>
      <c r="AL4148">
        <v>-117.01892100000001</v>
      </c>
      <c r="AM4148">
        <v>100</v>
      </c>
      <c r="AN4148">
        <v>5400</v>
      </c>
      <c r="AO4148" t="s">
        <v>118</v>
      </c>
      <c r="AP4148">
        <v>-86</v>
      </c>
      <c r="AQ4148">
        <v>41</v>
      </c>
      <c r="AR4148">
        <v>-448</v>
      </c>
      <c r="AZ4148">
        <v>1200</v>
      </c>
      <c r="BA4148">
        <v>1</v>
      </c>
      <c r="BB4148" t="str">
        <f t="shared" si="2298"/>
        <v xml:space="preserve">N9217B  </v>
      </c>
      <c r="BC4148">
        <v>1</v>
      </c>
      <c r="BE4148">
        <v>0</v>
      </c>
      <c r="BF4148">
        <v>0</v>
      </c>
      <c r="BG4148">
        <v>0</v>
      </c>
      <c r="BH4148">
        <v>5225</v>
      </c>
      <c r="BI4148">
        <v>1</v>
      </c>
      <c r="BJ4148">
        <v>0</v>
      </c>
      <c r="BK4148">
        <v>0</v>
      </c>
      <c r="BL4148">
        <v>0</v>
      </c>
      <c r="BO4148">
        <v>0</v>
      </c>
      <c r="BP4148">
        <v>0</v>
      </c>
      <c r="BW4148" t="str">
        <f t="shared" si="2326"/>
        <v>14:59:22.582</v>
      </c>
      <c r="CJ4148">
        <v>0</v>
      </c>
      <c r="CK4148">
        <v>2</v>
      </c>
      <c r="CL4148">
        <v>0</v>
      </c>
      <c r="CM4148">
        <v>2</v>
      </c>
      <c r="CN4148">
        <v>0</v>
      </c>
      <c r="CO4148">
        <v>6</v>
      </c>
      <c r="CP4148" t="s">
        <v>119</v>
      </c>
      <c r="CQ4148">
        <v>285</v>
      </c>
      <c r="CR4148">
        <v>0</v>
      </c>
      <c r="CW4148">
        <v>8889556</v>
      </c>
      <c r="CY4148">
        <v>0</v>
      </c>
      <c r="CZ4148">
        <v>0</v>
      </c>
      <c r="DA4148">
        <v>1</v>
      </c>
      <c r="DB4148">
        <v>0</v>
      </c>
      <c r="DC4148">
        <v>0</v>
      </c>
      <c r="DD4148">
        <v>0</v>
      </c>
      <c r="DE4148">
        <v>0</v>
      </c>
      <c r="DF4148">
        <v>0</v>
      </c>
      <c r="DG4148">
        <v>0</v>
      </c>
      <c r="DH4148">
        <v>0</v>
      </c>
      <c r="DI4148">
        <v>0</v>
      </c>
    </row>
    <row r="4149" spans="1:113" x14ac:dyDescent="0.25">
      <c r="A4149" t="str">
        <f t="shared" si="2323"/>
        <v>06/05/2020 14:59:16.925</v>
      </c>
      <c r="C4149" t="str">
        <f t="shared" si="2315"/>
        <v>FFDFD3C0</v>
      </c>
      <c r="D4149" t="s">
        <v>148</v>
      </c>
      <c r="E4149">
        <v>11</v>
      </c>
      <c r="H4149">
        <v>53</v>
      </c>
      <c r="I4149" t="s">
        <v>364</v>
      </c>
      <c r="J4149" t="s">
        <v>150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 t="shared" si="2324"/>
        <v>14:59:22.578</v>
      </c>
      <c r="T4149" t="str">
        <f t="shared" si="2325"/>
        <v>14:59:22.478</v>
      </c>
      <c r="U4149" t="str">
        <f t="shared" si="2296"/>
        <v>ACC530</v>
      </c>
      <c r="V4149">
        <v>0</v>
      </c>
      <c r="W4149">
        <v>0</v>
      </c>
      <c r="X4149">
        <v>1</v>
      </c>
      <c r="Z4149">
        <v>0</v>
      </c>
      <c r="AA4149">
        <v>9</v>
      </c>
      <c r="AB4149">
        <v>3</v>
      </c>
      <c r="AC4149">
        <v>0</v>
      </c>
      <c r="AD4149">
        <v>9</v>
      </c>
      <c r="AE4149">
        <v>0</v>
      </c>
      <c r="AF4149">
        <v>3</v>
      </c>
      <c r="AG4149">
        <v>1</v>
      </c>
      <c r="AH4149">
        <v>0</v>
      </c>
      <c r="AI4149" t="s">
        <v>1316</v>
      </c>
      <c r="AJ4149">
        <v>34.067444999999999</v>
      </c>
      <c r="AK4149" t="s">
        <v>1317</v>
      </c>
      <c r="AL4149">
        <v>-117.01892100000001</v>
      </c>
      <c r="AM4149">
        <v>100</v>
      </c>
      <c r="AN4149">
        <v>5400</v>
      </c>
      <c r="AO4149" t="s">
        <v>118</v>
      </c>
      <c r="AP4149">
        <v>-86</v>
      </c>
      <c r="AQ4149">
        <v>41</v>
      </c>
      <c r="AR4149">
        <v>-448</v>
      </c>
      <c r="AZ4149">
        <v>1200</v>
      </c>
      <c r="BA4149">
        <v>1</v>
      </c>
      <c r="BB4149" t="str">
        <f t="shared" si="2298"/>
        <v xml:space="preserve">N9217B  </v>
      </c>
      <c r="BC4149">
        <v>1</v>
      </c>
      <c r="BE4149">
        <v>0</v>
      </c>
      <c r="BF4149">
        <v>0</v>
      </c>
      <c r="BG4149">
        <v>0</v>
      </c>
      <c r="BH4149">
        <v>5225</v>
      </c>
      <c r="BI4149">
        <v>1</v>
      </c>
      <c r="BJ4149">
        <v>0</v>
      </c>
      <c r="BK4149">
        <v>0</v>
      </c>
      <c r="BL4149">
        <v>0</v>
      </c>
      <c r="BO4149">
        <v>0</v>
      </c>
      <c r="BP4149">
        <v>0</v>
      </c>
      <c r="BW4149" t="str">
        <f t="shared" si="2326"/>
        <v>14:59:22.582</v>
      </c>
      <c r="CJ4149">
        <v>0</v>
      </c>
      <c r="CK4149">
        <v>2</v>
      </c>
      <c r="CL4149">
        <v>0</v>
      </c>
      <c r="CM4149">
        <v>2</v>
      </c>
      <c r="CN4149">
        <v>0</v>
      </c>
      <c r="CO4149">
        <v>6</v>
      </c>
      <c r="CP4149" t="s">
        <v>119</v>
      </c>
      <c r="CQ4149">
        <v>285</v>
      </c>
      <c r="CR4149">
        <v>0</v>
      </c>
      <c r="CW4149">
        <v>8889556</v>
      </c>
      <c r="CY4149">
        <v>0</v>
      </c>
      <c r="CZ4149">
        <v>0</v>
      </c>
      <c r="DA4149">
        <v>1</v>
      </c>
      <c r="DB4149">
        <v>0</v>
      </c>
      <c r="DC4149">
        <v>0</v>
      </c>
      <c r="DD4149">
        <v>0</v>
      </c>
      <c r="DE4149">
        <v>0</v>
      </c>
      <c r="DF4149">
        <v>0</v>
      </c>
      <c r="DG4149">
        <v>0</v>
      </c>
      <c r="DH4149">
        <v>0</v>
      </c>
      <c r="DI4149">
        <v>0</v>
      </c>
    </row>
    <row r="4150" spans="1:113" x14ac:dyDescent="0.25">
      <c r="A4150" t="str">
        <f t="shared" si="2323"/>
        <v>06/05/2020 14:59:16.925</v>
      </c>
      <c r="C4150" t="str">
        <f t="shared" si="2315"/>
        <v>FFDFD3C0</v>
      </c>
      <c r="D4150" t="s">
        <v>134</v>
      </c>
      <c r="E4150">
        <v>7</v>
      </c>
      <c r="F4150">
        <v>2007</v>
      </c>
      <c r="G4150" t="s">
        <v>135</v>
      </c>
      <c r="J4150" t="s">
        <v>136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 t="shared" si="2324"/>
        <v>14:59:22.578</v>
      </c>
      <c r="T4150" t="str">
        <f t="shared" si="2325"/>
        <v>14:59:22.478</v>
      </c>
      <c r="U4150" t="str">
        <f t="shared" si="2296"/>
        <v>ACC530</v>
      </c>
      <c r="V4150">
        <v>0</v>
      </c>
      <c r="W4150">
        <v>0</v>
      </c>
      <c r="X4150">
        <v>1</v>
      </c>
      <c r="Z4150">
        <v>0</v>
      </c>
      <c r="AA4150">
        <v>9</v>
      </c>
      <c r="AB4150">
        <v>3</v>
      </c>
      <c r="AC4150">
        <v>0</v>
      </c>
      <c r="AD4150">
        <v>9</v>
      </c>
      <c r="AE4150">
        <v>0</v>
      </c>
      <c r="AF4150">
        <v>3</v>
      </c>
      <c r="AG4150">
        <v>1</v>
      </c>
      <c r="AH4150">
        <v>0</v>
      </c>
      <c r="AI4150" t="s">
        <v>1316</v>
      </c>
      <c r="AJ4150">
        <v>34.067444999999999</v>
      </c>
      <c r="AK4150" t="s">
        <v>1317</v>
      </c>
      <c r="AL4150">
        <v>-117.01892100000001</v>
      </c>
      <c r="AM4150">
        <v>100</v>
      </c>
      <c r="AN4150">
        <v>5400</v>
      </c>
      <c r="AO4150" t="s">
        <v>118</v>
      </c>
      <c r="AP4150">
        <v>-86</v>
      </c>
      <c r="AQ4150">
        <v>41</v>
      </c>
      <c r="AR4150">
        <v>-448</v>
      </c>
      <c r="AZ4150">
        <v>1200</v>
      </c>
      <c r="BA4150">
        <v>1</v>
      </c>
      <c r="BB4150" t="str">
        <f t="shared" si="2298"/>
        <v xml:space="preserve">N9217B  </v>
      </c>
      <c r="BC4150">
        <v>1</v>
      </c>
      <c r="BE4150">
        <v>0</v>
      </c>
      <c r="BF4150">
        <v>0</v>
      </c>
      <c r="BG4150">
        <v>0</v>
      </c>
      <c r="BH4150">
        <v>5225</v>
      </c>
      <c r="BI4150">
        <v>1</v>
      </c>
      <c r="BJ4150">
        <v>0</v>
      </c>
      <c r="BK4150">
        <v>0</v>
      </c>
      <c r="BL4150">
        <v>0</v>
      </c>
      <c r="BO4150">
        <v>0</v>
      </c>
      <c r="BP4150">
        <v>0</v>
      </c>
      <c r="BW4150" t="str">
        <f t="shared" si="2326"/>
        <v>14:59:22.582</v>
      </c>
      <c r="CJ4150">
        <v>0</v>
      </c>
      <c r="CK4150">
        <v>2</v>
      </c>
      <c r="CL4150">
        <v>0</v>
      </c>
      <c r="CM4150">
        <v>2</v>
      </c>
      <c r="CN4150">
        <v>0</v>
      </c>
      <c r="CO4150">
        <v>6</v>
      </c>
      <c r="CP4150" t="s">
        <v>119</v>
      </c>
      <c r="CQ4150">
        <v>285</v>
      </c>
      <c r="CR4150">
        <v>0</v>
      </c>
      <c r="CW4150">
        <v>8889556</v>
      </c>
      <c r="CY4150">
        <v>0</v>
      </c>
      <c r="CZ4150">
        <v>0</v>
      </c>
      <c r="DA4150">
        <v>1</v>
      </c>
      <c r="DB4150">
        <v>0</v>
      </c>
      <c r="DC4150">
        <v>0</v>
      </c>
      <c r="DD4150">
        <v>0</v>
      </c>
      <c r="DE4150">
        <v>0</v>
      </c>
      <c r="DF4150">
        <v>0</v>
      </c>
      <c r="DG4150">
        <v>0</v>
      </c>
      <c r="DH4150">
        <v>0</v>
      </c>
      <c r="DI4150">
        <v>0</v>
      </c>
    </row>
    <row r="4151" spans="1:113" x14ac:dyDescent="0.25">
      <c r="A4151" t="str">
        <f t="shared" si="2323"/>
        <v>06/05/2020 14:59:16.925</v>
      </c>
      <c r="C4151" t="str">
        <f t="shared" si="2315"/>
        <v>FFDFD3C0</v>
      </c>
      <c r="D4151" t="s">
        <v>113</v>
      </c>
      <c r="E4151">
        <v>3</v>
      </c>
      <c r="H4151">
        <v>166</v>
      </c>
      <c r="I4151" t="s">
        <v>114</v>
      </c>
      <c r="J4151" t="s">
        <v>115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 t="shared" si="2324"/>
        <v>14:59:22.578</v>
      </c>
      <c r="T4151" t="str">
        <f t="shared" si="2325"/>
        <v>14:59:22.478</v>
      </c>
      <c r="U4151" t="str">
        <f t="shared" si="2296"/>
        <v>ACC530</v>
      </c>
      <c r="V4151">
        <v>0</v>
      </c>
      <c r="W4151">
        <v>0</v>
      </c>
      <c r="X4151">
        <v>1</v>
      </c>
      <c r="Z4151">
        <v>0</v>
      </c>
      <c r="AA4151">
        <v>9</v>
      </c>
      <c r="AB4151">
        <v>3</v>
      </c>
      <c r="AC4151">
        <v>0</v>
      </c>
      <c r="AD4151">
        <v>9</v>
      </c>
      <c r="AE4151">
        <v>0</v>
      </c>
      <c r="AF4151">
        <v>3</v>
      </c>
      <c r="AG4151">
        <v>1</v>
      </c>
      <c r="AH4151">
        <v>0</v>
      </c>
      <c r="AI4151" t="s">
        <v>1316</v>
      </c>
      <c r="AJ4151">
        <v>34.067444999999999</v>
      </c>
      <c r="AK4151" t="s">
        <v>1317</v>
      </c>
      <c r="AL4151">
        <v>-117.01892100000001</v>
      </c>
      <c r="AM4151">
        <v>100</v>
      </c>
      <c r="AN4151">
        <v>5400</v>
      </c>
      <c r="AO4151" t="s">
        <v>118</v>
      </c>
      <c r="AP4151">
        <v>-86</v>
      </c>
      <c r="AQ4151">
        <v>41</v>
      </c>
      <c r="AR4151">
        <v>-448</v>
      </c>
      <c r="AZ4151">
        <v>1200</v>
      </c>
      <c r="BA4151">
        <v>1</v>
      </c>
      <c r="BB4151" t="str">
        <f t="shared" si="2298"/>
        <v xml:space="preserve">N9217B  </v>
      </c>
      <c r="BC4151">
        <v>1</v>
      </c>
      <c r="BE4151">
        <v>0</v>
      </c>
      <c r="BF4151">
        <v>0</v>
      </c>
      <c r="BG4151">
        <v>0</v>
      </c>
      <c r="BH4151">
        <v>5225</v>
      </c>
      <c r="BI4151">
        <v>1</v>
      </c>
      <c r="BJ4151">
        <v>0</v>
      </c>
      <c r="BK4151">
        <v>0</v>
      </c>
      <c r="BL4151">
        <v>0</v>
      </c>
      <c r="BO4151">
        <v>0</v>
      </c>
      <c r="BP4151">
        <v>0</v>
      </c>
      <c r="BW4151" t="str">
        <f t="shared" si="2326"/>
        <v>14:59:22.582</v>
      </c>
      <c r="CJ4151">
        <v>0</v>
      </c>
      <c r="CK4151">
        <v>2</v>
      </c>
      <c r="CL4151">
        <v>0</v>
      </c>
      <c r="CM4151">
        <v>2</v>
      </c>
      <c r="CN4151">
        <v>0</v>
      </c>
      <c r="CO4151">
        <v>6</v>
      </c>
      <c r="CP4151" t="s">
        <v>119</v>
      </c>
      <c r="CQ4151">
        <v>285</v>
      </c>
      <c r="CR4151">
        <v>0</v>
      </c>
      <c r="CW4151">
        <v>8889556</v>
      </c>
      <c r="CY4151">
        <v>0</v>
      </c>
      <c r="CZ4151">
        <v>0</v>
      </c>
      <c r="DA4151">
        <v>1</v>
      </c>
      <c r="DB4151">
        <v>0</v>
      </c>
      <c r="DC4151">
        <v>0</v>
      </c>
      <c r="DD4151">
        <v>0</v>
      </c>
      <c r="DE4151">
        <v>0</v>
      </c>
      <c r="DF4151">
        <v>0</v>
      </c>
      <c r="DG4151">
        <v>0</v>
      </c>
      <c r="DH4151">
        <v>0</v>
      </c>
      <c r="DI4151">
        <v>0</v>
      </c>
    </row>
    <row r="4152" spans="1:113" x14ac:dyDescent="0.25">
      <c r="A4152" t="str">
        <f t="shared" si="2323"/>
        <v>06/05/2020 14:59:16.925</v>
      </c>
      <c r="C4152" t="str">
        <f t="shared" si="2315"/>
        <v>FFDFD3C0</v>
      </c>
      <c r="D4152" t="s">
        <v>141</v>
      </c>
      <c r="E4152">
        <v>20</v>
      </c>
      <c r="F4152">
        <v>1020</v>
      </c>
      <c r="G4152" t="s">
        <v>114</v>
      </c>
      <c r="J4152" t="s">
        <v>142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 t="shared" si="2324"/>
        <v>14:59:22.578</v>
      </c>
      <c r="T4152" t="str">
        <f t="shared" si="2325"/>
        <v>14:59:22.478</v>
      </c>
      <c r="U4152" t="str">
        <f t="shared" si="2296"/>
        <v>ACC530</v>
      </c>
      <c r="V4152">
        <v>0</v>
      </c>
      <c r="W4152">
        <v>0</v>
      </c>
      <c r="X4152">
        <v>1</v>
      </c>
      <c r="Z4152">
        <v>0</v>
      </c>
      <c r="AA4152">
        <v>9</v>
      </c>
      <c r="AB4152">
        <v>3</v>
      </c>
      <c r="AC4152">
        <v>0</v>
      </c>
      <c r="AD4152">
        <v>9</v>
      </c>
      <c r="AE4152">
        <v>0</v>
      </c>
      <c r="AF4152">
        <v>3</v>
      </c>
      <c r="AG4152">
        <v>1</v>
      </c>
      <c r="AH4152">
        <v>0</v>
      </c>
      <c r="AI4152" t="s">
        <v>1316</v>
      </c>
      <c r="AJ4152">
        <v>34.067444999999999</v>
      </c>
      <c r="AK4152" t="s">
        <v>1317</v>
      </c>
      <c r="AL4152">
        <v>-117.01892100000001</v>
      </c>
      <c r="AM4152">
        <v>100</v>
      </c>
      <c r="AN4152">
        <v>5400</v>
      </c>
      <c r="AO4152" t="s">
        <v>118</v>
      </c>
      <c r="AP4152">
        <v>-86</v>
      </c>
      <c r="AQ4152">
        <v>41</v>
      </c>
      <c r="AR4152">
        <v>-448</v>
      </c>
      <c r="AZ4152">
        <v>1200</v>
      </c>
      <c r="BA4152">
        <v>1</v>
      </c>
      <c r="BB4152" t="str">
        <f t="shared" si="2298"/>
        <v xml:space="preserve">N9217B  </v>
      </c>
      <c r="BC4152">
        <v>1</v>
      </c>
      <c r="BE4152">
        <v>0</v>
      </c>
      <c r="BF4152">
        <v>0</v>
      </c>
      <c r="BG4152">
        <v>0</v>
      </c>
      <c r="BH4152">
        <v>5225</v>
      </c>
      <c r="BI4152">
        <v>1</v>
      </c>
      <c r="BJ4152">
        <v>0</v>
      </c>
      <c r="BK4152">
        <v>0</v>
      </c>
      <c r="BL4152">
        <v>0</v>
      </c>
      <c r="BO4152">
        <v>0</v>
      </c>
      <c r="BP4152">
        <v>0</v>
      </c>
      <c r="BW4152" t="str">
        <f t="shared" si="2326"/>
        <v>14:59:22.582</v>
      </c>
      <c r="CJ4152">
        <v>0</v>
      </c>
      <c r="CK4152">
        <v>2</v>
      </c>
      <c r="CL4152">
        <v>0</v>
      </c>
      <c r="CM4152">
        <v>2</v>
      </c>
      <c r="CN4152">
        <v>0</v>
      </c>
      <c r="CO4152">
        <v>6</v>
      </c>
      <c r="CP4152" t="s">
        <v>119</v>
      </c>
      <c r="CQ4152">
        <v>285</v>
      </c>
      <c r="CR4152">
        <v>0</v>
      </c>
      <c r="CW4152">
        <v>8889556</v>
      </c>
      <c r="CY4152">
        <v>0</v>
      </c>
      <c r="CZ4152">
        <v>0</v>
      </c>
      <c r="DA4152">
        <v>1</v>
      </c>
      <c r="DB4152">
        <v>0</v>
      </c>
      <c r="DC4152">
        <v>0</v>
      </c>
      <c r="DD4152">
        <v>0</v>
      </c>
      <c r="DE4152">
        <v>0</v>
      </c>
      <c r="DF4152">
        <v>0</v>
      </c>
      <c r="DG4152">
        <v>0</v>
      </c>
      <c r="DH4152">
        <v>0</v>
      </c>
      <c r="DI4152">
        <v>0</v>
      </c>
    </row>
    <row r="4153" spans="1:113" x14ac:dyDescent="0.25">
      <c r="A4153" t="str">
        <f t="shared" si="2323"/>
        <v>06/05/2020 14:59:16.925</v>
      </c>
      <c r="C4153" t="str">
        <f t="shared" si="2315"/>
        <v>FFDFD3C0</v>
      </c>
      <c r="D4153" t="s">
        <v>151</v>
      </c>
      <c r="E4153">
        <v>8</v>
      </c>
      <c r="H4153">
        <v>225</v>
      </c>
      <c r="I4153" t="s">
        <v>353</v>
      </c>
      <c r="J4153" t="s">
        <v>150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 t="shared" si="2324"/>
        <v>14:59:22.578</v>
      </c>
      <c r="T4153" t="str">
        <f t="shared" si="2325"/>
        <v>14:59:22.478</v>
      </c>
      <c r="U4153" t="str">
        <f t="shared" si="2296"/>
        <v>ACC530</v>
      </c>
      <c r="V4153">
        <v>0</v>
      </c>
      <c r="W4153">
        <v>0</v>
      </c>
      <c r="X4153">
        <v>1</v>
      </c>
      <c r="Z4153">
        <v>0</v>
      </c>
      <c r="AA4153">
        <v>9</v>
      </c>
      <c r="AB4153">
        <v>3</v>
      </c>
      <c r="AC4153">
        <v>0</v>
      </c>
      <c r="AD4153">
        <v>9</v>
      </c>
      <c r="AE4153">
        <v>0</v>
      </c>
      <c r="AF4153">
        <v>3</v>
      </c>
      <c r="AG4153">
        <v>1</v>
      </c>
      <c r="AH4153">
        <v>0</v>
      </c>
      <c r="AI4153" t="s">
        <v>1316</v>
      </c>
      <c r="AJ4153">
        <v>34.067444999999999</v>
      </c>
      <c r="AK4153" t="s">
        <v>1317</v>
      </c>
      <c r="AL4153">
        <v>-117.01892100000001</v>
      </c>
      <c r="AM4153">
        <v>100</v>
      </c>
      <c r="AN4153">
        <v>5400</v>
      </c>
      <c r="AO4153" t="s">
        <v>118</v>
      </c>
      <c r="AP4153">
        <v>-86</v>
      </c>
      <c r="AQ4153">
        <v>41</v>
      </c>
      <c r="AR4153">
        <v>-448</v>
      </c>
      <c r="AZ4153">
        <v>1200</v>
      </c>
      <c r="BA4153">
        <v>1</v>
      </c>
      <c r="BB4153" t="str">
        <f t="shared" si="2298"/>
        <v xml:space="preserve">N9217B  </v>
      </c>
      <c r="BC4153">
        <v>1</v>
      </c>
      <c r="BE4153">
        <v>0</v>
      </c>
      <c r="BF4153">
        <v>0</v>
      </c>
      <c r="BG4153">
        <v>0</v>
      </c>
      <c r="BH4153">
        <v>5225</v>
      </c>
      <c r="BI4153">
        <v>1</v>
      </c>
      <c r="BJ4153">
        <v>0</v>
      </c>
      <c r="BK4153">
        <v>0</v>
      </c>
      <c r="BL4153">
        <v>0</v>
      </c>
      <c r="BO4153">
        <v>0</v>
      </c>
      <c r="BP4153">
        <v>0</v>
      </c>
      <c r="BW4153" t="str">
        <f t="shared" si="2326"/>
        <v>14:59:22.582</v>
      </c>
      <c r="CJ4153">
        <v>0</v>
      </c>
      <c r="CK4153">
        <v>2</v>
      </c>
      <c r="CL4153">
        <v>0</v>
      </c>
      <c r="CM4153">
        <v>2</v>
      </c>
      <c r="CN4153">
        <v>0</v>
      </c>
      <c r="CO4153">
        <v>6</v>
      </c>
      <c r="CP4153" t="s">
        <v>119</v>
      </c>
      <c r="CQ4153">
        <v>285</v>
      </c>
      <c r="CR4153">
        <v>0</v>
      </c>
      <c r="CW4153">
        <v>8889556</v>
      </c>
      <c r="CY4153">
        <v>0</v>
      </c>
      <c r="CZ4153">
        <v>0</v>
      </c>
      <c r="DA4153">
        <v>1</v>
      </c>
      <c r="DB4153">
        <v>0</v>
      </c>
      <c r="DC4153">
        <v>0</v>
      </c>
      <c r="DD4153">
        <v>0</v>
      </c>
      <c r="DE4153">
        <v>0</v>
      </c>
      <c r="DF4153">
        <v>0</v>
      </c>
      <c r="DG4153">
        <v>0</v>
      </c>
      <c r="DH4153">
        <v>0</v>
      </c>
      <c r="DI4153">
        <v>0</v>
      </c>
    </row>
    <row r="4154" spans="1:113" x14ac:dyDescent="0.25">
      <c r="A4154" t="str">
        <f t="shared" ref="A4154:A4160" si="2327">"06/05/2020 14:59:17.838"</f>
        <v>06/05/2020 14:59:17.838</v>
      </c>
      <c r="C4154" t="str">
        <f t="shared" si="2315"/>
        <v>FFDFD3C0</v>
      </c>
      <c r="D4154" t="s">
        <v>151</v>
      </c>
      <c r="E4154">
        <v>9</v>
      </c>
      <c r="H4154">
        <v>226</v>
      </c>
      <c r="I4154" t="s">
        <v>152</v>
      </c>
      <c r="J4154" t="s">
        <v>150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 t="shared" ref="S4154:S4160" si="2328">"14:59:23.461"</f>
        <v>14:59:23.461</v>
      </c>
      <c r="T4154" t="str">
        <f>"14:59:22.461"</f>
        <v>14:59:22.461</v>
      </c>
      <c r="U4154" t="str">
        <f t="shared" si="2296"/>
        <v>ACC530</v>
      </c>
      <c r="V4154">
        <v>0</v>
      </c>
      <c r="W4154">
        <v>0</v>
      </c>
      <c r="X4154">
        <v>1</v>
      </c>
      <c r="Z4154">
        <v>0</v>
      </c>
      <c r="AA4154">
        <v>9</v>
      </c>
      <c r="AB4154">
        <v>3</v>
      </c>
      <c r="AC4154">
        <v>0</v>
      </c>
      <c r="AD4154">
        <v>9</v>
      </c>
      <c r="AE4154">
        <v>0</v>
      </c>
      <c r="AF4154">
        <v>3</v>
      </c>
      <c r="AG4154">
        <v>1</v>
      </c>
      <c r="AH4154">
        <v>0</v>
      </c>
      <c r="AI4154" t="s">
        <v>1318</v>
      </c>
      <c r="AJ4154">
        <v>34.067616000000001</v>
      </c>
      <c r="AK4154" t="s">
        <v>1319</v>
      </c>
      <c r="AL4154">
        <v>-117.01939299999999</v>
      </c>
      <c r="AM4154">
        <v>100</v>
      </c>
      <c r="AN4154">
        <v>5400</v>
      </c>
      <c r="AO4154" t="s">
        <v>118</v>
      </c>
      <c r="AP4154">
        <v>-86</v>
      </c>
      <c r="AQ4154">
        <v>41</v>
      </c>
      <c r="AR4154">
        <v>-448</v>
      </c>
      <c r="AZ4154">
        <v>1200</v>
      </c>
      <c r="BA4154">
        <v>1</v>
      </c>
      <c r="BB4154" t="str">
        <f t="shared" si="2298"/>
        <v xml:space="preserve">N9217B  </v>
      </c>
      <c r="BC4154">
        <v>1</v>
      </c>
      <c r="BE4154">
        <v>0</v>
      </c>
      <c r="BF4154">
        <v>0</v>
      </c>
      <c r="BG4154">
        <v>0</v>
      </c>
      <c r="BH4154">
        <v>5225</v>
      </c>
      <c r="BI4154">
        <v>1</v>
      </c>
      <c r="BJ4154">
        <v>0</v>
      </c>
      <c r="BK4154">
        <v>0</v>
      </c>
      <c r="BL4154">
        <v>0</v>
      </c>
      <c r="BO4154">
        <v>0</v>
      </c>
      <c r="BP4154">
        <v>0</v>
      </c>
      <c r="BW4154" t="str">
        <f t="shared" ref="BW4154:BW4160" si="2329">"14:59:23.467"</f>
        <v>14:59:23.467</v>
      </c>
      <c r="CJ4154">
        <v>0</v>
      </c>
      <c r="CK4154">
        <v>2</v>
      </c>
      <c r="CL4154">
        <v>0</v>
      </c>
      <c r="CM4154">
        <v>2</v>
      </c>
      <c r="CN4154">
        <v>0</v>
      </c>
      <c r="CO4154">
        <v>7</v>
      </c>
      <c r="CP4154" t="s">
        <v>119</v>
      </c>
      <c r="CQ4154">
        <v>285</v>
      </c>
      <c r="CR4154">
        <v>0</v>
      </c>
      <c r="CW4154">
        <v>8889646</v>
      </c>
      <c r="CY4154">
        <v>0</v>
      </c>
      <c r="CZ4154">
        <v>0</v>
      </c>
      <c r="DA4154">
        <v>0</v>
      </c>
      <c r="DB4154">
        <v>0</v>
      </c>
      <c r="DC4154">
        <v>0</v>
      </c>
      <c r="DD4154">
        <v>0</v>
      </c>
      <c r="DE4154">
        <v>0</v>
      </c>
      <c r="DF4154">
        <v>0</v>
      </c>
      <c r="DG4154">
        <v>0</v>
      </c>
      <c r="DH4154">
        <v>0</v>
      </c>
      <c r="DI4154">
        <v>0</v>
      </c>
    </row>
    <row r="4155" spans="1:113" x14ac:dyDescent="0.25">
      <c r="A4155" t="str">
        <f t="shared" si="2327"/>
        <v>06/05/2020 14:59:17.838</v>
      </c>
      <c r="C4155" t="str">
        <f t="shared" si="2315"/>
        <v>FFDFD3C0</v>
      </c>
      <c r="D4155" t="s">
        <v>134</v>
      </c>
      <c r="E4155">
        <v>7</v>
      </c>
      <c r="F4155">
        <v>2007</v>
      </c>
      <c r="G4155" t="s">
        <v>135</v>
      </c>
      <c r="J4155" t="s">
        <v>136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 t="shared" si="2328"/>
        <v>14:59:23.461</v>
      </c>
      <c r="T4155" t="str">
        <f t="shared" ref="T4155:T4160" si="2330">"14:59:22.961"</f>
        <v>14:59:22.961</v>
      </c>
      <c r="U4155" t="str">
        <f t="shared" si="2296"/>
        <v>ACC530</v>
      </c>
      <c r="V4155">
        <v>0</v>
      </c>
      <c r="W4155">
        <v>0</v>
      </c>
      <c r="X4155">
        <v>1</v>
      </c>
      <c r="Z4155">
        <v>0</v>
      </c>
      <c r="AA4155">
        <v>9</v>
      </c>
      <c r="AB4155">
        <v>3</v>
      </c>
      <c r="AC4155">
        <v>0</v>
      </c>
      <c r="AD4155">
        <v>9</v>
      </c>
      <c r="AE4155">
        <v>0</v>
      </c>
      <c r="AF4155">
        <v>3</v>
      </c>
      <c r="AG4155">
        <v>1</v>
      </c>
      <c r="AH4155">
        <v>0</v>
      </c>
      <c r="AI4155" t="s">
        <v>1318</v>
      </c>
      <c r="AJ4155">
        <v>34.067616000000001</v>
      </c>
      <c r="AK4155" t="s">
        <v>1319</v>
      </c>
      <c r="AL4155">
        <v>-117.01939299999999</v>
      </c>
      <c r="AM4155">
        <v>100</v>
      </c>
      <c r="AN4155">
        <v>5400</v>
      </c>
      <c r="AO4155" t="s">
        <v>118</v>
      </c>
      <c r="AP4155">
        <v>-87</v>
      </c>
      <c r="AQ4155">
        <v>40</v>
      </c>
      <c r="AR4155">
        <v>-448</v>
      </c>
      <c r="AZ4155">
        <v>1200</v>
      </c>
      <c r="BA4155">
        <v>1</v>
      </c>
      <c r="BB4155" t="str">
        <f t="shared" si="2298"/>
        <v xml:space="preserve">N9217B  </v>
      </c>
      <c r="BC4155">
        <v>1</v>
      </c>
      <c r="BE4155">
        <v>0</v>
      </c>
      <c r="BF4155">
        <v>0</v>
      </c>
      <c r="BG4155">
        <v>0</v>
      </c>
      <c r="BH4155">
        <v>5225</v>
      </c>
      <c r="BI4155">
        <v>1</v>
      </c>
      <c r="BJ4155">
        <v>0</v>
      </c>
      <c r="BK4155">
        <v>0</v>
      </c>
      <c r="BL4155">
        <v>0</v>
      </c>
      <c r="BO4155">
        <v>0</v>
      </c>
      <c r="BP4155">
        <v>0</v>
      </c>
      <c r="BW4155" t="str">
        <f t="shared" si="2329"/>
        <v>14:59:23.467</v>
      </c>
      <c r="CJ4155">
        <v>0</v>
      </c>
      <c r="CK4155">
        <v>2</v>
      </c>
      <c r="CL4155">
        <v>0</v>
      </c>
      <c r="CM4155">
        <v>2</v>
      </c>
      <c r="CN4155">
        <v>0</v>
      </c>
      <c r="CO4155">
        <v>4</v>
      </c>
      <c r="CP4155" t="s">
        <v>119</v>
      </c>
      <c r="CQ4155">
        <v>298</v>
      </c>
      <c r="CR4155">
        <v>0</v>
      </c>
      <c r="CW4155">
        <v>10474289</v>
      </c>
      <c r="CY4155">
        <v>0</v>
      </c>
      <c r="CZ4155">
        <v>0</v>
      </c>
      <c r="DA4155">
        <v>1</v>
      </c>
      <c r="DB4155">
        <v>0</v>
      </c>
      <c r="DC4155">
        <v>0</v>
      </c>
      <c r="DD4155">
        <v>0</v>
      </c>
      <c r="DE4155">
        <v>0</v>
      </c>
      <c r="DF4155">
        <v>0</v>
      </c>
      <c r="DG4155">
        <v>0</v>
      </c>
      <c r="DH4155">
        <v>0</v>
      </c>
      <c r="DI4155">
        <v>0</v>
      </c>
    </row>
    <row r="4156" spans="1:113" x14ac:dyDescent="0.25">
      <c r="A4156" t="str">
        <f t="shared" si="2327"/>
        <v>06/05/2020 14:59:17.838</v>
      </c>
      <c r="C4156" t="str">
        <f t="shared" si="2315"/>
        <v>FFDFD3C0</v>
      </c>
      <c r="D4156" t="s">
        <v>113</v>
      </c>
      <c r="E4156">
        <v>3</v>
      </c>
      <c r="H4156">
        <v>166</v>
      </c>
      <c r="I4156" t="s">
        <v>114</v>
      </c>
      <c r="J4156" t="s">
        <v>115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 t="shared" si="2328"/>
        <v>14:59:23.461</v>
      </c>
      <c r="T4156" t="str">
        <f t="shared" si="2330"/>
        <v>14:59:22.961</v>
      </c>
      <c r="U4156" t="str">
        <f t="shared" si="2296"/>
        <v>ACC530</v>
      </c>
      <c r="V4156">
        <v>0</v>
      </c>
      <c r="W4156">
        <v>0</v>
      </c>
      <c r="X4156">
        <v>1</v>
      </c>
      <c r="Z4156">
        <v>0</v>
      </c>
      <c r="AA4156">
        <v>9</v>
      </c>
      <c r="AB4156">
        <v>3</v>
      </c>
      <c r="AC4156">
        <v>0</v>
      </c>
      <c r="AD4156">
        <v>9</v>
      </c>
      <c r="AE4156">
        <v>0</v>
      </c>
      <c r="AF4156">
        <v>3</v>
      </c>
      <c r="AG4156">
        <v>1</v>
      </c>
      <c r="AH4156">
        <v>0</v>
      </c>
      <c r="AI4156" t="s">
        <v>1318</v>
      </c>
      <c r="AJ4156">
        <v>34.067616000000001</v>
      </c>
      <c r="AK4156" t="s">
        <v>1319</v>
      </c>
      <c r="AL4156">
        <v>-117.01939299999999</v>
      </c>
      <c r="AM4156">
        <v>100</v>
      </c>
      <c r="AN4156">
        <v>5400</v>
      </c>
      <c r="AO4156" t="s">
        <v>118</v>
      </c>
      <c r="AP4156">
        <v>-87</v>
      </c>
      <c r="AQ4156">
        <v>40</v>
      </c>
      <c r="AR4156">
        <v>-448</v>
      </c>
      <c r="AZ4156">
        <v>1200</v>
      </c>
      <c r="BA4156">
        <v>1</v>
      </c>
      <c r="BB4156" t="str">
        <f t="shared" si="2298"/>
        <v xml:space="preserve">N9217B  </v>
      </c>
      <c r="BC4156">
        <v>1</v>
      </c>
      <c r="BE4156">
        <v>0</v>
      </c>
      <c r="BF4156">
        <v>0</v>
      </c>
      <c r="BG4156">
        <v>0</v>
      </c>
      <c r="BH4156">
        <v>5225</v>
      </c>
      <c r="BI4156">
        <v>1</v>
      </c>
      <c r="BJ4156">
        <v>0</v>
      </c>
      <c r="BK4156">
        <v>0</v>
      </c>
      <c r="BL4156">
        <v>0</v>
      </c>
      <c r="BO4156">
        <v>0</v>
      </c>
      <c r="BP4156">
        <v>0</v>
      </c>
      <c r="BW4156" t="str">
        <f t="shared" si="2329"/>
        <v>14:59:23.467</v>
      </c>
      <c r="CJ4156">
        <v>0</v>
      </c>
      <c r="CK4156">
        <v>2</v>
      </c>
      <c r="CL4156">
        <v>0</v>
      </c>
      <c r="CM4156">
        <v>2</v>
      </c>
      <c r="CN4156">
        <v>0</v>
      </c>
      <c r="CO4156">
        <v>4</v>
      </c>
      <c r="CP4156" t="s">
        <v>119</v>
      </c>
      <c r="CQ4156">
        <v>298</v>
      </c>
      <c r="CR4156">
        <v>0</v>
      </c>
      <c r="CW4156">
        <v>10474289</v>
      </c>
      <c r="CY4156">
        <v>0</v>
      </c>
      <c r="CZ4156">
        <v>0</v>
      </c>
      <c r="DA4156">
        <v>1</v>
      </c>
      <c r="DB4156">
        <v>0</v>
      </c>
      <c r="DC4156">
        <v>0</v>
      </c>
      <c r="DD4156">
        <v>0</v>
      </c>
      <c r="DE4156">
        <v>0</v>
      </c>
      <c r="DF4156">
        <v>0</v>
      </c>
      <c r="DG4156">
        <v>0</v>
      </c>
      <c r="DH4156">
        <v>0</v>
      </c>
      <c r="DI4156">
        <v>0</v>
      </c>
    </row>
    <row r="4157" spans="1:113" x14ac:dyDescent="0.25">
      <c r="A4157" t="str">
        <f t="shared" si="2327"/>
        <v>06/05/2020 14:59:17.838</v>
      </c>
      <c r="C4157" t="str">
        <f t="shared" si="2315"/>
        <v>FFDFD3C0</v>
      </c>
      <c r="D4157" t="s">
        <v>141</v>
      </c>
      <c r="E4157">
        <v>20</v>
      </c>
      <c r="F4157">
        <v>1020</v>
      </c>
      <c r="G4157" t="s">
        <v>114</v>
      </c>
      <c r="J4157" t="s">
        <v>142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 t="shared" si="2328"/>
        <v>14:59:23.461</v>
      </c>
      <c r="T4157" t="str">
        <f t="shared" si="2330"/>
        <v>14:59:22.961</v>
      </c>
      <c r="U4157" t="str">
        <f t="shared" si="2296"/>
        <v>ACC530</v>
      </c>
      <c r="V4157">
        <v>0</v>
      </c>
      <c r="W4157">
        <v>0</v>
      </c>
      <c r="X4157">
        <v>1</v>
      </c>
      <c r="Z4157">
        <v>0</v>
      </c>
      <c r="AA4157">
        <v>9</v>
      </c>
      <c r="AB4157">
        <v>3</v>
      </c>
      <c r="AC4157">
        <v>0</v>
      </c>
      <c r="AD4157">
        <v>9</v>
      </c>
      <c r="AE4157">
        <v>0</v>
      </c>
      <c r="AF4157">
        <v>3</v>
      </c>
      <c r="AG4157">
        <v>1</v>
      </c>
      <c r="AH4157">
        <v>0</v>
      </c>
      <c r="AI4157" t="s">
        <v>1318</v>
      </c>
      <c r="AJ4157">
        <v>34.067616000000001</v>
      </c>
      <c r="AK4157" t="s">
        <v>1319</v>
      </c>
      <c r="AL4157">
        <v>-117.01939299999999</v>
      </c>
      <c r="AM4157">
        <v>100</v>
      </c>
      <c r="AN4157">
        <v>5400</v>
      </c>
      <c r="AO4157" t="s">
        <v>118</v>
      </c>
      <c r="AP4157">
        <v>-87</v>
      </c>
      <c r="AQ4157">
        <v>40</v>
      </c>
      <c r="AR4157">
        <v>-448</v>
      </c>
      <c r="AZ4157">
        <v>1200</v>
      </c>
      <c r="BA4157">
        <v>1</v>
      </c>
      <c r="BB4157" t="str">
        <f t="shared" si="2298"/>
        <v xml:space="preserve">N9217B  </v>
      </c>
      <c r="BC4157">
        <v>1</v>
      </c>
      <c r="BE4157">
        <v>0</v>
      </c>
      <c r="BF4157">
        <v>0</v>
      </c>
      <c r="BG4157">
        <v>0</v>
      </c>
      <c r="BH4157">
        <v>5225</v>
      </c>
      <c r="BI4157">
        <v>1</v>
      </c>
      <c r="BJ4157">
        <v>0</v>
      </c>
      <c r="BK4157">
        <v>0</v>
      </c>
      <c r="BL4157">
        <v>0</v>
      </c>
      <c r="BO4157">
        <v>0</v>
      </c>
      <c r="BP4157">
        <v>0</v>
      </c>
      <c r="BW4157" t="str">
        <f t="shared" si="2329"/>
        <v>14:59:23.467</v>
      </c>
      <c r="CJ4157">
        <v>0</v>
      </c>
      <c r="CK4157">
        <v>2</v>
      </c>
      <c r="CL4157">
        <v>0</v>
      </c>
      <c r="CM4157">
        <v>2</v>
      </c>
      <c r="CN4157">
        <v>0</v>
      </c>
      <c r="CO4157">
        <v>4</v>
      </c>
      <c r="CP4157" t="s">
        <v>119</v>
      </c>
      <c r="CQ4157">
        <v>298</v>
      </c>
      <c r="CR4157">
        <v>0</v>
      </c>
      <c r="CW4157">
        <v>10474289</v>
      </c>
      <c r="CY4157">
        <v>0</v>
      </c>
      <c r="CZ4157">
        <v>0</v>
      </c>
      <c r="DA4157">
        <v>1</v>
      </c>
      <c r="DB4157">
        <v>0</v>
      </c>
      <c r="DC4157">
        <v>0</v>
      </c>
      <c r="DD4157">
        <v>0</v>
      </c>
      <c r="DE4157">
        <v>0</v>
      </c>
      <c r="DF4157">
        <v>0</v>
      </c>
      <c r="DG4157">
        <v>0</v>
      </c>
      <c r="DH4157">
        <v>0</v>
      </c>
      <c r="DI4157">
        <v>0</v>
      </c>
    </row>
    <row r="4158" spans="1:113" x14ac:dyDescent="0.25">
      <c r="A4158" t="str">
        <f t="shared" si="2327"/>
        <v>06/05/2020 14:59:17.838</v>
      </c>
      <c r="C4158" t="str">
        <f t="shared" si="2315"/>
        <v>FFDFD3C0</v>
      </c>
      <c r="D4158" t="s">
        <v>151</v>
      </c>
      <c r="E4158">
        <v>8</v>
      </c>
      <c r="H4158">
        <v>225</v>
      </c>
      <c r="I4158" t="s">
        <v>353</v>
      </c>
      <c r="J4158" t="s">
        <v>150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 t="shared" si="2328"/>
        <v>14:59:23.461</v>
      </c>
      <c r="T4158" t="str">
        <f t="shared" si="2330"/>
        <v>14:59:22.961</v>
      </c>
      <c r="U4158" t="str">
        <f t="shared" si="2296"/>
        <v>ACC530</v>
      </c>
      <c r="V4158">
        <v>0</v>
      </c>
      <c r="W4158">
        <v>0</v>
      </c>
      <c r="X4158">
        <v>1</v>
      </c>
      <c r="Z4158">
        <v>0</v>
      </c>
      <c r="AA4158">
        <v>9</v>
      </c>
      <c r="AB4158">
        <v>3</v>
      </c>
      <c r="AC4158">
        <v>0</v>
      </c>
      <c r="AD4158">
        <v>9</v>
      </c>
      <c r="AE4158">
        <v>0</v>
      </c>
      <c r="AF4158">
        <v>3</v>
      </c>
      <c r="AG4158">
        <v>1</v>
      </c>
      <c r="AH4158">
        <v>0</v>
      </c>
      <c r="AI4158" t="s">
        <v>1318</v>
      </c>
      <c r="AJ4158">
        <v>34.067616000000001</v>
      </c>
      <c r="AK4158" t="s">
        <v>1319</v>
      </c>
      <c r="AL4158">
        <v>-117.01939299999999</v>
      </c>
      <c r="AM4158">
        <v>100</v>
      </c>
      <c r="AN4158">
        <v>5400</v>
      </c>
      <c r="AO4158" t="s">
        <v>118</v>
      </c>
      <c r="AP4158">
        <v>-87</v>
      </c>
      <c r="AQ4158">
        <v>40</v>
      </c>
      <c r="AR4158">
        <v>-448</v>
      </c>
      <c r="AZ4158">
        <v>1200</v>
      </c>
      <c r="BA4158">
        <v>1</v>
      </c>
      <c r="BB4158" t="str">
        <f t="shared" si="2298"/>
        <v xml:space="preserve">N9217B  </v>
      </c>
      <c r="BC4158">
        <v>1</v>
      </c>
      <c r="BE4158">
        <v>0</v>
      </c>
      <c r="BF4158">
        <v>0</v>
      </c>
      <c r="BG4158">
        <v>0</v>
      </c>
      <c r="BH4158">
        <v>5225</v>
      </c>
      <c r="BI4158">
        <v>1</v>
      </c>
      <c r="BJ4158">
        <v>0</v>
      </c>
      <c r="BK4158">
        <v>0</v>
      </c>
      <c r="BL4158">
        <v>0</v>
      </c>
      <c r="BO4158">
        <v>0</v>
      </c>
      <c r="BP4158">
        <v>0</v>
      </c>
      <c r="BW4158" t="str">
        <f t="shared" si="2329"/>
        <v>14:59:23.467</v>
      </c>
      <c r="CJ4158">
        <v>0</v>
      </c>
      <c r="CK4158">
        <v>2</v>
      </c>
      <c r="CL4158">
        <v>0</v>
      </c>
      <c r="CM4158">
        <v>2</v>
      </c>
      <c r="CN4158">
        <v>0</v>
      </c>
      <c r="CO4158">
        <v>4</v>
      </c>
      <c r="CP4158" t="s">
        <v>119</v>
      </c>
      <c r="CQ4158">
        <v>298</v>
      </c>
      <c r="CR4158">
        <v>0</v>
      </c>
      <c r="CW4158">
        <v>10474289</v>
      </c>
      <c r="CY4158">
        <v>0</v>
      </c>
      <c r="CZ4158">
        <v>0</v>
      </c>
      <c r="DA4158">
        <v>1</v>
      </c>
      <c r="DB4158">
        <v>0</v>
      </c>
      <c r="DC4158">
        <v>0</v>
      </c>
      <c r="DD4158">
        <v>0</v>
      </c>
      <c r="DE4158">
        <v>0</v>
      </c>
      <c r="DF4158">
        <v>0</v>
      </c>
      <c r="DG4158">
        <v>0</v>
      </c>
      <c r="DH4158">
        <v>0</v>
      </c>
      <c r="DI4158">
        <v>0</v>
      </c>
    </row>
    <row r="4159" spans="1:113" x14ac:dyDescent="0.25">
      <c r="A4159" t="str">
        <f t="shared" si="2327"/>
        <v>06/05/2020 14:59:17.838</v>
      </c>
      <c r="C4159" t="str">
        <f t="shared" si="2315"/>
        <v>FFDFD3C0</v>
      </c>
      <c r="D4159" t="s">
        <v>148</v>
      </c>
      <c r="E4159">
        <v>8</v>
      </c>
      <c r="H4159">
        <v>50</v>
      </c>
      <c r="I4159" t="s">
        <v>149</v>
      </c>
      <c r="J4159" t="s">
        <v>150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 t="shared" si="2328"/>
        <v>14:59:23.461</v>
      </c>
      <c r="T4159" t="str">
        <f t="shared" si="2330"/>
        <v>14:59:22.961</v>
      </c>
      <c r="U4159" t="str">
        <f t="shared" si="2296"/>
        <v>ACC530</v>
      </c>
      <c r="V4159">
        <v>0</v>
      </c>
      <c r="W4159">
        <v>0</v>
      </c>
      <c r="X4159">
        <v>1</v>
      </c>
      <c r="Z4159">
        <v>0</v>
      </c>
      <c r="AA4159">
        <v>9</v>
      </c>
      <c r="AB4159">
        <v>3</v>
      </c>
      <c r="AC4159">
        <v>0</v>
      </c>
      <c r="AD4159">
        <v>9</v>
      </c>
      <c r="AE4159">
        <v>0</v>
      </c>
      <c r="AF4159">
        <v>3</v>
      </c>
      <c r="AG4159">
        <v>1</v>
      </c>
      <c r="AH4159">
        <v>0</v>
      </c>
      <c r="AI4159" t="s">
        <v>1318</v>
      </c>
      <c r="AJ4159">
        <v>34.067616000000001</v>
      </c>
      <c r="AK4159" t="s">
        <v>1319</v>
      </c>
      <c r="AL4159">
        <v>-117.01939299999999</v>
      </c>
      <c r="AM4159">
        <v>100</v>
      </c>
      <c r="AN4159">
        <v>5400</v>
      </c>
      <c r="AO4159" t="s">
        <v>118</v>
      </c>
      <c r="AP4159">
        <v>-87</v>
      </c>
      <c r="AQ4159">
        <v>40</v>
      </c>
      <c r="AR4159">
        <v>-448</v>
      </c>
      <c r="AZ4159">
        <v>1200</v>
      </c>
      <c r="BA4159">
        <v>1</v>
      </c>
      <c r="BB4159" t="str">
        <f t="shared" si="2298"/>
        <v xml:space="preserve">N9217B  </v>
      </c>
      <c r="BC4159">
        <v>1</v>
      </c>
      <c r="BE4159">
        <v>0</v>
      </c>
      <c r="BF4159">
        <v>0</v>
      </c>
      <c r="BG4159">
        <v>0</v>
      </c>
      <c r="BH4159">
        <v>5225</v>
      </c>
      <c r="BI4159">
        <v>1</v>
      </c>
      <c r="BJ4159">
        <v>0</v>
      </c>
      <c r="BK4159">
        <v>0</v>
      </c>
      <c r="BL4159">
        <v>0</v>
      </c>
      <c r="BO4159">
        <v>0</v>
      </c>
      <c r="BP4159">
        <v>0</v>
      </c>
      <c r="BW4159" t="str">
        <f t="shared" si="2329"/>
        <v>14:59:23.467</v>
      </c>
      <c r="CJ4159">
        <v>0</v>
      </c>
      <c r="CK4159">
        <v>2</v>
      </c>
      <c r="CL4159">
        <v>0</v>
      </c>
      <c r="CM4159">
        <v>2</v>
      </c>
      <c r="CN4159">
        <v>0</v>
      </c>
      <c r="CO4159">
        <v>4</v>
      </c>
      <c r="CP4159" t="s">
        <v>119</v>
      </c>
      <c r="CQ4159">
        <v>298</v>
      </c>
      <c r="CR4159">
        <v>0</v>
      </c>
      <c r="CW4159">
        <v>10474289</v>
      </c>
      <c r="CY4159">
        <v>0</v>
      </c>
      <c r="CZ4159">
        <v>0</v>
      </c>
      <c r="DA4159">
        <v>1</v>
      </c>
      <c r="DB4159">
        <v>0</v>
      </c>
      <c r="DC4159">
        <v>0</v>
      </c>
      <c r="DD4159">
        <v>0</v>
      </c>
      <c r="DE4159">
        <v>0</v>
      </c>
      <c r="DF4159">
        <v>0</v>
      </c>
      <c r="DG4159">
        <v>0</v>
      </c>
      <c r="DH4159">
        <v>0</v>
      </c>
      <c r="DI4159">
        <v>0</v>
      </c>
    </row>
    <row r="4160" spans="1:113" x14ac:dyDescent="0.25">
      <c r="A4160" t="str">
        <f t="shared" si="2327"/>
        <v>06/05/2020 14:59:17.838</v>
      </c>
      <c r="C4160" t="str">
        <f t="shared" si="2315"/>
        <v>FFDFD3C0</v>
      </c>
      <c r="D4160" t="s">
        <v>148</v>
      </c>
      <c r="E4160">
        <v>11</v>
      </c>
      <c r="H4160">
        <v>53</v>
      </c>
      <c r="I4160" t="s">
        <v>364</v>
      </c>
      <c r="J4160" t="s">
        <v>150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 t="shared" si="2328"/>
        <v>14:59:23.461</v>
      </c>
      <c r="T4160" t="str">
        <f t="shared" si="2330"/>
        <v>14:59:22.961</v>
      </c>
      <c r="U4160" t="str">
        <f t="shared" si="2296"/>
        <v>ACC530</v>
      </c>
      <c r="V4160">
        <v>0</v>
      </c>
      <c r="W4160">
        <v>0</v>
      </c>
      <c r="X4160">
        <v>1</v>
      </c>
      <c r="Z4160">
        <v>0</v>
      </c>
      <c r="AA4160">
        <v>9</v>
      </c>
      <c r="AB4160">
        <v>3</v>
      </c>
      <c r="AC4160">
        <v>0</v>
      </c>
      <c r="AD4160">
        <v>9</v>
      </c>
      <c r="AE4160">
        <v>0</v>
      </c>
      <c r="AF4160">
        <v>3</v>
      </c>
      <c r="AG4160">
        <v>1</v>
      </c>
      <c r="AH4160">
        <v>0</v>
      </c>
      <c r="AI4160" t="s">
        <v>1318</v>
      </c>
      <c r="AJ4160">
        <v>34.067616000000001</v>
      </c>
      <c r="AK4160" t="s">
        <v>1319</v>
      </c>
      <c r="AL4160">
        <v>-117.01939299999999</v>
      </c>
      <c r="AM4160">
        <v>100</v>
      </c>
      <c r="AN4160">
        <v>5400</v>
      </c>
      <c r="AO4160" t="s">
        <v>118</v>
      </c>
      <c r="AP4160">
        <v>-87</v>
      </c>
      <c r="AQ4160">
        <v>40</v>
      </c>
      <c r="AR4160">
        <v>-448</v>
      </c>
      <c r="AZ4160">
        <v>1200</v>
      </c>
      <c r="BA4160">
        <v>1</v>
      </c>
      <c r="BB4160" t="str">
        <f t="shared" si="2298"/>
        <v xml:space="preserve">N9217B  </v>
      </c>
      <c r="BC4160">
        <v>1</v>
      </c>
      <c r="BE4160">
        <v>0</v>
      </c>
      <c r="BF4160">
        <v>0</v>
      </c>
      <c r="BG4160">
        <v>0</v>
      </c>
      <c r="BH4160">
        <v>5225</v>
      </c>
      <c r="BI4160">
        <v>1</v>
      </c>
      <c r="BJ4160">
        <v>0</v>
      </c>
      <c r="BK4160">
        <v>0</v>
      </c>
      <c r="BL4160">
        <v>0</v>
      </c>
      <c r="BO4160">
        <v>0</v>
      </c>
      <c r="BP4160">
        <v>0</v>
      </c>
      <c r="BW4160" t="str">
        <f t="shared" si="2329"/>
        <v>14:59:23.467</v>
      </c>
      <c r="CJ4160">
        <v>0</v>
      </c>
      <c r="CK4160">
        <v>2</v>
      </c>
      <c r="CL4160">
        <v>0</v>
      </c>
      <c r="CM4160">
        <v>2</v>
      </c>
      <c r="CN4160">
        <v>0</v>
      </c>
      <c r="CO4160">
        <v>4</v>
      </c>
      <c r="CP4160" t="s">
        <v>119</v>
      </c>
      <c r="CQ4160">
        <v>298</v>
      </c>
      <c r="CR4160">
        <v>0</v>
      </c>
      <c r="CW4160">
        <v>10474289</v>
      </c>
      <c r="CY4160">
        <v>0</v>
      </c>
      <c r="CZ4160">
        <v>0</v>
      </c>
      <c r="DA4160">
        <v>1</v>
      </c>
      <c r="DB4160">
        <v>0</v>
      </c>
      <c r="DC4160">
        <v>0</v>
      </c>
      <c r="DD4160">
        <v>0</v>
      </c>
      <c r="DE4160">
        <v>0</v>
      </c>
      <c r="DF4160">
        <v>0</v>
      </c>
      <c r="DG4160">
        <v>0</v>
      </c>
      <c r="DH4160">
        <v>0</v>
      </c>
      <c r="DI4160">
        <v>0</v>
      </c>
    </row>
    <row r="4161" spans="1:113" x14ac:dyDescent="0.25">
      <c r="A4161" t="str">
        <f t="shared" ref="A4161:A4167" si="2331">"06/05/2020 14:59:18.797"</f>
        <v>06/05/2020 14:59:18.797</v>
      </c>
      <c r="C4161" t="str">
        <f t="shared" si="2315"/>
        <v>FFDFD3C0</v>
      </c>
      <c r="D4161" t="s">
        <v>148</v>
      </c>
      <c r="E4161">
        <v>8</v>
      </c>
      <c r="H4161">
        <v>50</v>
      </c>
      <c r="I4161" t="s">
        <v>149</v>
      </c>
      <c r="J4161" t="s">
        <v>150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 t="shared" ref="S4161:S4167" si="2332">"14:59:24.453"</f>
        <v>14:59:24.453</v>
      </c>
      <c r="T4161" t="str">
        <f t="shared" ref="T4161:T4167" si="2333">"14:59:24.053"</f>
        <v>14:59:24.053</v>
      </c>
      <c r="U4161" t="str">
        <f t="shared" si="2296"/>
        <v>ACC530</v>
      </c>
      <c r="V4161">
        <v>0</v>
      </c>
      <c r="W4161">
        <v>0</v>
      </c>
      <c r="X4161">
        <v>1</v>
      </c>
      <c r="Z4161">
        <v>0</v>
      </c>
      <c r="AA4161">
        <v>9</v>
      </c>
      <c r="AB4161">
        <v>3</v>
      </c>
      <c r="AC4161">
        <v>0</v>
      </c>
      <c r="AD4161">
        <v>9</v>
      </c>
      <c r="AE4161">
        <v>0</v>
      </c>
      <c r="AF4161">
        <v>3</v>
      </c>
      <c r="AG4161">
        <v>1</v>
      </c>
      <c r="AH4161">
        <v>0</v>
      </c>
      <c r="AI4161" t="s">
        <v>1320</v>
      </c>
      <c r="AJ4161">
        <v>34.067788</v>
      </c>
      <c r="AK4161" t="s">
        <v>1321</v>
      </c>
      <c r="AL4161">
        <v>-117.01986599999999</v>
      </c>
      <c r="AM4161">
        <v>100</v>
      </c>
      <c r="AN4161">
        <v>5400</v>
      </c>
      <c r="AO4161" t="s">
        <v>118</v>
      </c>
      <c r="AP4161">
        <v>-88</v>
      </c>
      <c r="AQ4161">
        <v>38</v>
      </c>
      <c r="AR4161">
        <v>-448</v>
      </c>
      <c r="AZ4161">
        <v>1200</v>
      </c>
      <c r="BA4161">
        <v>1</v>
      </c>
      <c r="BB4161" t="str">
        <f t="shared" si="2298"/>
        <v xml:space="preserve">N9217B  </v>
      </c>
      <c r="BC4161">
        <v>1</v>
      </c>
      <c r="BE4161">
        <v>0</v>
      </c>
      <c r="BF4161">
        <v>0</v>
      </c>
      <c r="BG4161">
        <v>0</v>
      </c>
      <c r="BH4161">
        <v>5200</v>
      </c>
      <c r="BI4161">
        <v>1</v>
      </c>
      <c r="BJ4161">
        <v>0</v>
      </c>
      <c r="BK4161">
        <v>0</v>
      </c>
      <c r="BL4161">
        <v>0</v>
      </c>
      <c r="BO4161">
        <v>0</v>
      </c>
      <c r="BP4161">
        <v>0</v>
      </c>
      <c r="BW4161" t="str">
        <f t="shared" ref="BW4161:BW4167" si="2334">"14:59:24.457"</f>
        <v>14:59:24.457</v>
      </c>
      <c r="CJ4161">
        <v>0</v>
      </c>
      <c r="CK4161">
        <v>2</v>
      </c>
      <c r="CL4161">
        <v>0</v>
      </c>
      <c r="CM4161">
        <v>2</v>
      </c>
      <c r="CN4161">
        <v>0</v>
      </c>
      <c r="CO4161">
        <v>6</v>
      </c>
      <c r="CP4161" t="s">
        <v>119</v>
      </c>
      <c r="CQ4161">
        <v>285</v>
      </c>
      <c r="CR4161">
        <v>0</v>
      </c>
      <c r="CW4161">
        <v>8889745</v>
      </c>
      <c r="CY4161">
        <v>0</v>
      </c>
      <c r="CZ4161">
        <v>0</v>
      </c>
      <c r="DA4161">
        <v>0</v>
      </c>
      <c r="DB4161">
        <v>0</v>
      </c>
      <c r="DC4161">
        <v>0</v>
      </c>
      <c r="DD4161">
        <v>0</v>
      </c>
      <c r="DE4161">
        <v>0</v>
      </c>
      <c r="DF4161">
        <v>0</v>
      </c>
      <c r="DG4161">
        <v>0</v>
      </c>
      <c r="DH4161">
        <v>0</v>
      </c>
      <c r="DI4161">
        <v>0</v>
      </c>
    </row>
    <row r="4162" spans="1:113" x14ac:dyDescent="0.25">
      <c r="A4162" t="str">
        <f t="shared" si="2331"/>
        <v>06/05/2020 14:59:18.797</v>
      </c>
      <c r="C4162" t="str">
        <f t="shared" si="2315"/>
        <v>FFDFD3C0</v>
      </c>
      <c r="D4162" t="s">
        <v>151</v>
      </c>
      <c r="E4162">
        <v>9</v>
      </c>
      <c r="H4162">
        <v>226</v>
      </c>
      <c r="I4162" t="s">
        <v>152</v>
      </c>
      <c r="J4162" t="s">
        <v>150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 t="shared" si="2332"/>
        <v>14:59:24.453</v>
      </c>
      <c r="T4162" t="str">
        <f t="shared" si="2333"/>
        <v>14:59:24.053</v>
      </c>
      <c r="U4162" t="str">
        <f t="shared" ref="U4162:U4225" si="2335">"ACC530"</f>
        <v>ACC530</v>
      </c>
      <c r="V4162">
        <v>0</v>
      </c>
      <c r="W4162">
        <v>0</v>
      </c>
      <c r="X4162">
        <v>1</v>
      </c>
      <c r="Z4162">
        <v>0</v>
      </c>
      <c r="AA4162">
        <v>9</v>
      </c>
      <c r="AB4162">
        <v>3</v>
      </c>
      <c r="AC4162">
        <v>0</v>
      </c>
      <c r="AD4162">
        <v>9</v>
      </c>
      <c r="AE4162">
        <v>0</v>
      </c>
      <c r="AF4162">
        <v>3</v>
      </c>
      <c r="AG4162">
        <v>1</v>
      </c>
      <c r="AH4162">
        <v>0</v>
      </c>
      <c r="AI4162" t="s">
        <v>1320</v>
      </c>
      <c r="AJ4162">
        <v>34.067788</v>
      </c>
      <c r="AK4162" t="s">
        <v>1321</v>
      </c>
      <c r="AL4162">
        <v>-117.01986599999999</v>
      </c>
      <c r="AM4162">
        <v>100</v>
      </c>
      <c r="AN4162">
        <v>5400</v>
      </c>
      <c r="AO4162" t="s">
        <v>118</v>
      </c>
      <c r="AP4162">
        <v>-88</v>
      </c>
      <c r="AQ4162">
        <v>38</v>
      </c>
      <c r="AR4162">
        <v>-448</v>
      </c>
      <c r="AZ4162">
        <v>1200</v>
      </c>
      <c r="BA4162">
        <v>1</v>
      </c>
      <c r="BB4162" t="str">
        <f t="shared" si="2298"/>
        <v xml:space="preserve">N9217B  </v>
      </c>
      <c r="BC4162">
        <v>1</v>
      </c>
      <c r="BE4162">
        <v>0</v>
      </c>
      <c r="BF4162">
        <v>0</v>
      </c>
      <c r="BG4162">
        <v>0</v>
      </c>
      <c r="BH4162">
        <v>5200</v>
      </c>
      <c r="BI4162">
        <v>1</v>
      </c>
      <c r="BJ4162">
        <v>0</v>
      </c>
      <c r="BK4162">
        <v>0</v>
      </c>
      <c r="BL4162">
        <v>0</v>
      </c>
      <c r="BO4162">
        <v>0</v>
      </c>
      <c r="BP4162">
        <v>0</v>
      </c>
      <c r="BW4162" t="str">
        <f t="shared" si="2334"/>
        <v>14:59:24.457</v>
      </c>
      <c r="CJ4162">
        <v>0</v>
      </c>
      <c r="CK4162">
        <v>2</v>
      </c>
      <c r="CL4162">
        <v>0</v>
      </c>
      <c r="CM4162">
        <v>2</v>
      </c>
      <c r="CN4162">
        <v>0</v>
      </c>
      <c r="CO4162">
        <v>6</v>
      </c>
      <c r="CP4162" t="s">
        <v>119</v>
      </c>
      <c r="CQ4162">
        <v>285</v>
      </c>
      <c r="CR4162">
        <v>0</v>
      </c>
      <c r="CW4162">
        <v>8889745</v>
      </c>
      <c r="CY4162">
        <v>0</v>
      </c>
      <c r="CZ4162">
        <v>0</v>
      </c>
      <c r="DA4162">
        <v>1</v>
      </c>
      <c r="DB4162">
        <v>0</v>
      </c>
      <c r="DC4162">
        <v>0</v>
      </c>
      <c r="DD4162">
        <v>0</v>
      </c>
      <c r="DE4162">
        <v>0</v>
      </c>
      <c r="DF4162">
        <v>0</v>
      </c>
      <c r="DG4162">
        <v>0</v>
      </c>
      <c r="DH4162">
        <v>0</v>
      </c>
      <c r="DI4162">
        <v>0</v>
      </c>
    </row>
    <row r="4163" spans="1:113" x14ac:dyDescent="0.25">
      <c r="A4163" t="str">
        <f t="shared" si="2331"/>
        <v>06/05/2020 14:59:18.797</v>
      </c>
      <c r="C4163" t="str">
        <f t="shared" si="2315"/>
        <v>FFDFD3C0</v>
      </c>
      <c r="D4163" t="s">
        <v>134</v>
      </c>
      <c r="E4163">
        <v>7</v>
      </c>
      <c r="F4163">
        <v>2007</v>
      </c>
      <c r="G4163" t="s">
        <v>135</v>
      </c>
      <c r="J4163" t="s">
        <v>136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 t="shared" si="2332"/>
        <v>14:59:24.453</v>
      </c>
      <c r="T4163" t="str">
        <f t="shared" si="2333"/>
        <v>14:59:24.053</v>
      </c>
      <c r="U4163" t="str">
        <f t="shared" si="2335"/>
        <v>ACC530</v>
      </c>
      <c r="V4163">
        <v>0</v>
      </c>
      <c r="W4163">
        <v>0</v>
      </c>
      <c r="X4163">
        <v>1</v>
      </c>
      <c r="Z4163">
        <v>0</v>
      </c>
      <c r="AA4163">
        <v>9</v>
      </c>
      <c r="AB4163">
        <v>3</v>
      </c>
      <c r="AC4163">
        <v>0</v>
      </c>
      <c r="AD4163">
        <v>9</v>
      </c>
      <c r="AE4163">
        <v>0</v>
      </c>
      <c r="AF4163">
        <v>3</v>
      </c>
      <c r="AG4163">
        <v>1</v>
      </c>
      <c r="AH4163">
        <v>0</v>
      </c>
      <c r="AI4163" t="s">
        <v>1320</v>
      </c>
      <c r="AJ4163">
        <v>34.067788</v>
      </c>
      <c r="AK4163" t="s">
        <v>1321</v>
      </c>
      <c r="AL4163">
        <v>-117.01986599999999</v>
      </c>
      <c r="AM4163">
        <v>100</v>
      </c>
      <c r="AN4163">
        <v>5400</v>
      </c>
      <c r="AO4163" t="s">
        <v>118</v>
      </c>
      <c r="AP4163">
        <v>-88</v>
      </c>
      <c r="AQ4163">
        <v>38</v>
      </c>
      <c r="AR4163">
        <v>-448</v>
      </c>
      <c r="AZ4163">
        <v>1200</v>
      </c>
      <c r="BA4163">
        <v>1</v>
      </c>
      <c r="BB4163" t="str">
        <f t="shared" si="2298"/>
        <v xml:space="preserve">N9217B  </v>
      </c>
      <c r="BC4163">
        <v>1</v>
      </c>
      <c r="BE4163">
        <v>0</v>
      </c>
      <c r="BF4163">
        <v>0</v>
      </c>
      <c r="BG4163">
        <v>0</v>
      </c>
      <c r="BH4163">
        <v>5200</v>
      </c>
      <c r="BI4163">
        <v>1</v>
      </c>
      <c r="BJ4163">
        <v>0</v>
      </c>
      <c r="BK4163">
        <v>0</v>
      </c>
      <c r="BL4163">
        <v>0</v>
      </c>
      <c r="BO4163">
        <v>0</v>
      </c>
      <c r="BP4163">
        <v>0</v>
      </c>
      <c r="BW4163" t="str">
        <f t="shared" si="2334"/>
        <v>14:59:24.457</v>
      </c>
      <c r="CJ4163">
        <v>0</v>
      </c>
      <c r="CK4163">
        <v>2</v>
      </c>
      <c r="CL4163">
        <v>0</v>
      </c>
      <c r="CM4163">
        <v>2</v>
      </c>
      <c r="CN4163">
        <v>0</v>
      </c>
      <c r="CO4163">
        <v>6</v>
      </c>
      <c r="CP4163" t="s">
        <v>119</v>
      </c>
      <c r="CQ4163">
        <v>285</v>
      </c>
      <c r="CR4163">
        <v>0</v>
      </c>
      <c r="CW4163">
        <v>8889745</v>
      </c>
      <c r="CY4163">
        <v>0</v>
      </c>
      <c r="CZ4163">
        <v>0</v>
      </c>
      <c r="DA4163">
        <v>1</v>
      </c>
      <c r="DB4163">
        <v>0</v>
      </c>
      <c r="DC4163">
        <v>0</v>
      </c>
      <c r="DD4163">
        <v>0</v>
      </c>
      <c r="DE4163">
        <v>0</v>
      </c>
      <c r="DF4163">
        <v>0</v>
      </c>
      <c r="DG4163">
        <v>0</v>
      </c>
      <c r="DH4163">
        <v>0</v>
      </c>
      <c r="DI4163">
        <v>0</v>
      </c>
    </row>
    <row r="4164" spans="1:113" x14ac:dyDescent="0.25">
      <c r="A4164" t="str">
        <f t="shared" si="2331"/>
        <v>06/05/2020 14:59:18.797</v>
      </c>
      <c r="C4164" t="str">
        <f t="shared" si="2315"/>
        <v>FFDFD3C0</v>
      </c>
      <c r="D4164" t="s">
        <v>148</v>
      </c>
      <c r="E4164">
        <v>11</v>
      </c>
      <c r="H4164">
        <v>53</v>
      </c>
      <c r="I4164" t="s">
        <v>364</v>
      </c>
      <c r="J4164" t="s">
        <v>150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 t="shared" si="2332"/>
        <v>14:59:24.453</v>
      </c>
      <c r="T4164" t="str">
        <f t="shared" si="2333"/>
        <v>14:59:24.053</v>
      </c>
      <c r="U4164" t="str">
        <f t="shared" si="2335"/>
        <v>ACC530</v>
      </c>
      <c r="V4164">
        <v>0</v>
      </c>
      <c r="W4164">
        <v>0</v>
      </c>
      <c r="X4164">
        <v>1</v>
      </c>
      <c r="Z4164">
        <v>0</v>
      </c>
      <c r="AA4164">
        <v>9</v>
      </c>
      <c r="AB4164">
        <v>3</v>
      </c>
      <c r="AC4164">
        <v>0</v>
      </c>
      <c r="AD4164">
        <v>9</v>
      </c>
      <c r="AE4164">
        <v>0</v>
      </c>
      <c r="AF4164">
        <v>3</v>
      </c>
      <c r="AG4164">
        <v>1</v>
      </c>
      <c r="AH4164">
        <v>0</v>
      </c>
      <c r="AI4164" t="s">
        <v>1320</v>
      </c>
      <c r="AJ4164">
        <v>34.067788</v>
      </c>
      <c r="AK4164" t="s">
        <v>1321</v>
      </c>
      <c r="AL4164">
        <v>-117.01986599999999</v>
      </c>
      <c r="AM4164">
        <v>100</v>
      </c>
      <c r="AN4164">
        <v>5400</v>
      </c>
      <c r="AO4164" t="s">
        <v>118</v>
      </c>
      <c r="AP4164">
        <v>-88</v>
      </c>
      <c r="AQ4164">
        <v>38</v>
      </c>
      <c r="AR4164">
        <v>-448</v>
      </c>
      <c r="AZ4164">
        <v>1200</v>
      </c>
      <c r="BA4164">
        <v>1</v>
      </c>
      <c r="BB4164" t="str">
        <f t="shared" si="2298"/>
        <v xml:space="preserve">N9217B  </v>
      </c>
      <c r="BC4164">
        <v>1</v>
      </c>
      <c r="BE4164">
        <v>0</v>
      </c>
      <c r="BF4164">
        <v>0</v>
      </c>
      <c r="BG4164">
        <v>0</v>
      </c>
      <c r="BH4164">
        <v>5200</v>
      </c>
      <c r="BI4164">
        <v>1</v>
      </c>
      <c r="BJ4164">
        <v>0</v>
      </c>
      <c r="BK4164">
        <v>0</v>
      </c>
      <c r="BL4164">
        <v>0</v>
      </c>
      <c r="BO4164">
        <v>0</v>
      </c>
      <c r="BP4164">
        <v>0</v>
      </c>
      <c r="BW4164" t="str">
        <f t="shared" si="2334"/>
        <v>14:59:24.457</v>
      </c>
      <c r="CJ4164">
        <v>0</v>
      </c>
      <c r="CK4164">
        <v>2</v>
      </c>
      <c r="CL4164">
        <v>0</v>
      </c>
      <c r="CM4164">
        <v>2</v>
      </c>
      <c r="CN4164">
        <v>0</v>
      </c>
      <c r="CO4164">
        <v>6</v>
      </c>
      <c r="CP4164" t="s">
        <v>119</v>
      </c>
      <c r="CQ4164">
        <v>285</v>
      </c>
      <c r="CR4164">
        <v>0</v>
      </c>
      <c r="CW4164">
        <v>8889745</v>
      </c>
      <c r="CY4164">
        <v>0</v>
      </c>
      <c r="CZ4164">
        <v>0</v>
      </c>
      <c r="DA4164">
        <v>1</v>
      </c>
      <c r="DB4164">
        <v>0</v>
      </c>
      <c r="DC4164">
        <v>0</v>
      </c>
      <c r="DD4164">
        <v>0</v>
      </c>
      <c r="DE4164">
        <v>0</v>
      </c>
      <c r="DF4164">
        <v>0</v>
      </c>
      <c r="DG4164">
        <v>0</v>
      </c>
      <c r="DH4164">
        <v>0</v>
      </c>
      <c r="DI4164">
        <v>0</v>
      </c>
    </row>
    <row r="4165" spans="1:113" x14ac:dyDescent="0.25">
      <c r="A4165" t="str">
        <f t="shared" si="2331"/>
        <v>06/05/2020 14:59:18.797</v>
      </c>
      <c r="C4165" t="str">
        <f t="shared" si="2315"/>
        <v>FFDFD3C0</v>
      </c>
      <c r="D4165" t="s">
        <v>141</v>
      </c>
      <c r="E4165">
        <v>20</v>
      </c>
      <c r="F4165">
        <v>1020</v>
      </c>
      <c r="G4165" t="s">
        <v>114</v>
      </c>
      <c r="J4165" t="s">
        <v>142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 t="shared" si="2332"/>
        <v>14:59:24.453</v>
      </c>
      <c r="T4165" t="str">
        <f t="shared" si="2333"/>
        <v>14:59:24.053</v>
      </c>
      <c r="U4165" t="str">
        <f t="shared" si="2335"/>
        <v>ACC530</v>
      </c>
      <c r="V4165">
        <v>0</v>
      </c>
      <c r="W4165">
        <v>0</v>
      </c>
      <c r="X4165">
        <v>1</v>
      </c>
      <c r="Z4165">
        <v>0</v>
      </c>
      <c r="AA4165">
        <v>9</v>
      </c>
      <c r="AB4165">
        <v>3</v>
      </c>
      <c r="AC4165">
        <v>0</v>
      </c>
      <c r="AD4165">
        <v>9</v>
      </c>
      <c r="AE4165">
        <v>0</v>
      </c>
      <c r="AF4165">
        <v>3</v>
      </c>
      <c r="AG4165">
        <v>1</v>
      </c>
      <c r="AH4165">
        <v>0</v>
      </c>
      <c r="AI4165" t="s">
        <v>1320</v>
      </c>
      <c r="AJ4165">
        <v>34.067788</v>
      </c>
      <c r="AK4165" t="s">
        <v>1321</v>
      </c>
      <c r="AL4165">
        <v>-117.01986599999999</v>
      </c>
      <c r="AM4165">
        <v>100</v>
      </c>
      <c r="AN4165">
        <v>5400</v>
      </c>
      <c r="AO4165" t="s">
        <v>118</v>
      </c>
      <c r="AP4165">
        <v>-88</v>
      </c>
      <c r="AQ4165">
        <v>38</v>
      </c>
      <c r="AR4165">
        <v>-448</v>
      </c>
      <c r="AZ4165">
        <v>1200</v>
      </c>
      <c r="BA4165">
        <v>1</v>
      </c>
      <c r="BB4165" t="str">
        <f t="shared" ref="BB4165:BB4228" si="2336">"N9217B  "</f>
        <v xml:space="preserve">N9217B  </v>
      </c>
      <c r="BC4165">
        <v>1</v>
      </c>
      <c r="BE4165">
        <v>0</v>
      </c>
      <c r="BF4165">
        <v>0</v>
      </c>
      <c r="BG4165">
        <v>0</v>
      </c>
      <c r="BH4165">
        <v>5200</v>
      </c>
      <c r="BI4165">
        <v>1</v>
      </c>
      <c r="BJ4165">
        <v>0</v>
      </c>
      <c r="BK4165">
        <v>0</v>
      </c>
      <c r="BL4165">
        <v>0</v>
      </c>
      <c r="BO4165">
        <v>0</v>
      </c>
      <c r="BP4165">
        <v>0</v>
      </c>
      <c r="BW4165" t="str">
        <f t="shared" si="2334"/>
        <v>14:59:24.457</v>
      </c>
      <c r="CJ4165">
        <v>0</v>
      </c>
      <c r="CK4165">
        <v>2</v>
      </c>
      <c r="CL4165">
        <v>0</v>
      </c>
      <c r="CM4165">
        <v>2</v>
      </c>
      <c r="CN4165">
        <v>0</v>
      </c>
      <c r="CO4165">
        <v>6</v>
      </c>
      <c r="CP4165" t="s">
        <v>119</v>
      </c>
      <c r="CQ4165">
        <v>285</v>
      </c>
      <c r="CR4165">
        <v>0</v>
      </c>
      <c r="CW4165">
        <v>8889745</v>
      </c>
      <c r="CY4165">
        <v>0</v>
      </c>
      <c r="CZ4165">
        <v>0</v>
      </c>
      <c r="DA4165">
        <v>1</v>
      </c>
      <c r="DB4165">
        <v>0</v>
      </c>
      <c r="DC4165">
        <v>0</v>
      </c>
      <c r="DD4165">
        <v>0</v>
      </c>
      <c r="DE4165">
        <v>0</v>
      </c>
      <c r="DF4165">
        <v>0</v>
      </c>
      <c r="DG4165">
        <v>0</v>
      </c>
      <c r="DH4165">
        <v>0</v>
      </c>
      <c r="DI4165">
        <v>0</v>
      </c>
    </row>
    <row r="4166" spans="1:113" x14ac:dyDescent="0.25">
      <c r="A4166" t="str">
        <f t="shared" si="2331"/>
        <v>06/05/2020 14:59:18.797</v>
      </c>
      <c r="C4166" t="str">
        <f t="shared" si="2315"/>
        <v>FFDFD3C0</v>
      </c>
      <c r="D4166" t="s">
        <v>113</v>
      </c>
      <c r="E4166">
        <v>3</v>
      </c>
      <c r="H4166">
        <v>166</v>
      </c>
      <c r="I4166" t="s">
        <v>114</v>
      </c>
      <c r="J4166" t="s">
        <v>115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 t="shared" si="2332"/>
        <v>14:59:24.453</v>
      </c>
      <c r="T4166" t="str">
        <f t="shared" si="2333"/>
        <v>14:59:24.053</v>
      </c>
      <c r="U4166" t="str">
        <f t="shared" si="2335"/>
        <v>ACC530</v>
      </c>
      <c r="V4166">
        <v>0</v>
      </c>
      <c r="W4166">
        <v>0</v>
      </c>
      <c r="X4166">
        <v>1</v>
      </c>
      <c r="Z4166">
        <v>0</v>
      </c>
      <c r="AA4166">
        <v>9</v>
      </c>
      <c r="AB4166">
        <v>3</v>
      </c>
      <c r="AC4166">
        <v>0</v>
      </c>
      <c r="AD4166">
        <v>9</v>
      </c>
      <c r="AE4166">
        <v>0</v>
      </c>
      <c r="AF4166">
        <v>3</v>
      </c>
      <c r="AG4166">
        <v>1</v>
      </c>
      <c r="AH4166">
        <v>0</v>
      </c>
      <c r="AI4166" t="s">
        <v>1320</v>
      </c>
      <c r="AJ4166">
        <v>34.067788</v>
      </c>
      <c r="AK4166" t="s">
        <v>1321</v>
      </c>
      <c r="AL4166">
        <v>-117.01986599999999</v>
      </c>
      <c r="AM4166">
        <v>100</v>
      </c>
      <c r="AN4166">
        <v>5400</v>
      </c>
      <c r="AO4166" t="s">
        <v>118</v>
      </c>
      <c r="AP4166">
        <v>-88</v>
      </c>
      <c r="AQ4166">
        <v>38</v>
      </c>
      <c r="AR4166">
        <v>-448</v>
      </c>
      <c r="AZ4166">
        <v>1200</v>
      </c>
      <c r="BA4166">
        <v>1</v>
      </c>
      <c r="BB4166" t="str">
        <f t="shared" si="2336"/>
        <v xml:space="preserve">N9217B  </v>
      </c>
      <c r="BC4166">
        <v>1</v>
      </c>
      <c r="BE4166">
        <v>0</v>
      </c>
      <c r="BF4166">
        <v>0</v>
      </c>
      <c r="BG4166">
        <v>0</v>
      </c>
      <c r="BH4166">
        <v>5200</v>
      </c>
      <c r="BI4166">
        <v>1</v>
      </c>
      <c r="BJ4166">
        <v>0</v>
      </c>
      <c r="BK4166">
        <v>0</v>
      </c>
      <c r="BL4166">
        <v>0</v>
      </c>
      <c r="BO4166">
        <v>0</v>
      </c>
      <c r="BP4166">
        <v>0</v>
      </c>
      <c r="BW4166" t="str">
        <f t="shared" si="2334"/>
        <v>14:59:24.457</v>
      </c>
      <c r="CJ4166">
        <v>0</v>
      </c>
      <c r="CK4166">
        <v>2</v>
      </c>
      <c r="CL4166">
        <v>0</v>
      </c>
      <c r="CM4166">
        <v>2</v>
      </c>
      <c r="CN4166">
        <v>0</v>
      </c>
      <c r="CO4166">
        <v>6</v>
      </c>
      <c r="CP4166" t="s">
        <v>119</v>
      </c>
      <c r="CQ4166">
        <v>285</v>
      </c>
      <c r="CR4166">
        <v>0</v>
      </c>
      <c r="CW4166">
        <v>8889745</v>
      </c>
      <c r="CY4166">
        <v>0</v>
      </c>
      <c r="CZ4166">
        <v>0</v>
      </c>
      <c r="DA4166">
        <v>1</v>
      </c>
      <c r="DB4166">
        <v>0</v>
      </c>
      <c r="DC4166">
        <v>0</v>
      </c>
      <c r="DD4166">
        <v>0</v>
      </c>
      <c r="DE4166">
        <v>0</v>
      </c>
      <c r="DF4166">
        <v>0</v>
      </c>
      <c r="DG4166">
        <v>0</v>
      </c>
      <c r="DH4166">
        <v>0</v>
      </c>
      <c r="DI4166">
        <v>0</v>
      </c>
    </row>
    <row r="4167" spans="1:113" x14ac:dyDescent="0.25">
      <c r="A4167" t="str">
        <f t="shared" si="2331"/>
        <v>06/05/2020 14:59:18.797</v>
      </c>
      <c r="C4167" t="str">
        <f t="shared" si="2315"/>
        <v>FFDFD3C0</v>
      </c>
      <c r="D4167" t="s">
        <v>151</v>
      </c>
      <c r="E4167">
        <v>8</v>
      </c>
      <c r="H4167">
        <v>225</v>
      </c>
      <c r="I4167" t="s">
        <v>353</v>
      </c>
      <c r="J4167" t="s">
        <v>150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 t="shared" si="2332"/>
        <v>14:59:24.453</v>
      </c>
      <c r="T4167" t="str">
        <f t="shared" si="2333"/>
        <v>14:59:24.053</v>
      </c>
      <c r="U4167" t="str">
        <f t="shared" si="2335"/>
        <v>ACC530</v>
      </c>
      <c r="V4167">
        <v>0</v>
      </c>
      <c r="W4167">
        <v>0</v>
      </c>
      <c r="X4167">
        <v>1</v>
      </c>
      <c r="Z4167">
        <v>0</v>
      </c>
      <c r="AA4167">
        <v>9</v>
      </c>
      <c r="AB4167">
        <v>3</v>
      </c>
      <c r="AC4167">
        <v>0</v>
      </c>
      <c r="AD4167">
        <v>9</v>
      </c>
      <c r="AE4167">
        <v>0</v>
      </c>
      <c r="AF4167">
        <v>3</v>
      </c>
      <c r="AG4167">
        <v>1</v>
      </c>
      <c r="AH4167">
        <v>0</v>
      </c>
      <c r="AI4167" t="s">
        <v>1320</v>
      </c>
      <c r="AJ4167">
        <v>34.067788</v>
      </c>
      <c r="AK4167" t="s">
        <v>1321</v>
      </c>
      <c r="AL4167">
        <v>-117.01986599999999</v>
      </c>
      <c r="AM4167">
        <v>100</v>
      </c>
      <c r="AN4167">
        <v>5400</v>
      </c>
      <c r="AO4167" t="s">
        <v>118</v>
      </c>
      <c r="AP4167">
        <v>-88</v>
      </c>
      <c r="AQ4167">
        <v>38</v>
      </c>
      <c r="AR4167">
        <v>-448</v>
      </c>
      <c r="AZ4167">
        <v>1200</v>
      </c>
      <c r="BA4167">
        <v>1</v>
      </c>
      <c r="BB4167" t="str">
        <f t="shared" si="2336"/>
        <v xml:space="preserve">N9217B  </v>
      </c>
      <c r="BC4167">
        <v>1</v>
      </c>
      <c r="BE4167">
        <v>0</v>
      </c>
      <c r="BF4167">
        <v>0</v>
      </c>
      <c r="BG4167">
        <v>0</v>
      </c>
      <c r="BH4167">
        <v>5200</v>
      </c>
      <c r="BI4167">
        <v>1</v>
      </c>
      <c r="BJ4167">
        <v>0</v>
      </c>
      <c r="BK4167">
        <v>0</v>
      </c>
      <c r="BL4167">
        <v>0</v>
      </c>
      <c r="BO4167">
        <v>0</v>
      </c>
      <c r="BP4167">
        <v>0</v>
      </c>
      <c r="BW4167" t="str">
        <f t="shared" si="2334"/>
        <v>14:59:24.457</v>
      </c>
      <c r="CJ4167">
        <v>0</v>
      </c>
      <c r="CK4167">
        <v>2</v>
      </c>
      <c r="CL4167">
        <v>0</v>
      </c>
      <c r="CM4167">
        <v>2</v>
      </c>
      <c r="CN4167">
        <v>0</v>
      </c>
      <c r="CO4167">
        <v>6</v>
      </c>
      <c r="CP4167" t="s">
        <v>119</v>
      </c>
      <c r="CQ4167">
        <v>285</v>
      </c>
      <c r="CR4167">
        <v>0</v>
      </c>
      <c r="CW4167">
        <v>8889745</v>
      </c>
      <c r="CY4167">
        <v>0</v>
      </c>
      <c r="CZ4167">
        <v>0</v>
      </c>
      <c r="DA4167">
        <v>1</v>
      </c>
      <c r="DB4167">
        <v>0</v>
      </c>
      <c r="DC4167">
        <v>0</v>
      </c>
      <c r="DD4167">
        <v>0</v>
      </c>
      <c r="DE4167">
        <v>0</v>
      </c>
      <c r="DF4167">
        <v>0</v>
      </c>
      <c r="DG4167">
        <v>0</v>
      </c>
      <c r="DH4167">
        <v>0</v>
      </c>
      <c r="DI4167">
        <v>0</v>
      </c>
    </row>
    <row r="4168" spans="1:113" x14ac:dyDescent="0.25">
      <c r="A4168" t="str">
        <f t="shared" ref="A4168:A4174" si="2337">"06/05/2020 14:59:19.671"</f>
        <v>06/05/2020 14:59:19.671</v>
      </c>
      <c r="C4168" t="str">
        <f t="shared" si="2315"/>
        <v>FFDFD3C0</v>
      </c>
      <c r="D4168" t="s">
        <v>148</v>
      </c>
      <c r="E4168">
        <v>11</v>
      </c>
      <c r="H4168">
        <v>53</v>
      </c>
      <c r="I4168" t="s">
        <v>364</v>
      </c>
      <c r="J4168" t="s">
        <v>150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 t="shared" ref="S4168:S4174" si="2338">"14:59:25.305"</f>
        <v>14:59:25.305</v>
      </c>
      <c r="T4168" t="str">
        <f t="shared" ref="T4168:T4174" si="2339">"14:59:25.105"</f>
        <v>14:59:25.105</v>
      </c>
      <c r="U4168" t="str">
        <f t="shared" si="2335"/>
        <v>ACC530</v>
      </c>
      <c r="V4168">
        <v>0</v>
      </c>
      <c r="W4168">
        <v>0</v>
      </c>
      <c r="X4168">
        <v>1</v>
      </c>
      <c r="Z4168">
        <v>0</v>
      </c>
      <c r="AA4168">
        <v>9</v>
      </c>
      <c r="AB4168">
        <v>3</v>
      </c>
      <c r="AC4168">
        <v>0</v>
      </c>
      <c r="AD4168">
        <v>9</v>
      </c>
      <c r="AE4168">
        <v>0</v>
      </c>
      <c r="AF4168">
        <v>3</v>
      </c>
      <c r="AG4168">
        <v>1</v>
      </c>
      <c r="AH4168">
        <v>0</v>
      </c>
      <c r="AI4168" t="s">
        <v>1322</v>
      </c>
      <c r="AJ4168">
        <v>34.067959999999999</v>
      </c>
      <c r="AK4168" t="s">
        <v>1323</v>
      </c>
      <c r="AL4168">
        <v>-117.02031599999999</v>
      </c>
      <c r="AM4168">
        <v>100</v>
      </c>
      <c r="AN4168">
        <v>5400</v>
      </c>
      <c r="AO4168" t="s">
        <v>118</v>
      </c>
      <c r="AP4168">
        <v>-90</v>
      </c>
      <c r="AQ4168">
        <v>37</v>
      </c>
      <c r="AR4168">
        <v>-448</v>
      </c>
      <c r="AZ4168">
        <v>1200</v>
      </c>
      <c r="BA4168">
        <v>1</v>
      </c>
      <c r="BB4168" t="str">
        <f t="shared" si="2336"/>
        <v xml:space="preserve">N9217B  </v>
      </c>
      <c r="BC4168">
        <v>1</v>
      </c>
      <c r="BE4168">
        <v>0</v>
      </c>
      <c r="BF4168">
        <v>0</v>
      </c>
      <c r="BG4168">
        <v>0</v>
      </c>
      <c r="BH4168">
        <v>5200</v>
      </c>
      <c r="BI4168">
        <v>1</v>
      </c>
      <c r="BJ4168">
        <v>0</v>
      </c>
      <c r="BK4168">
        <v>0</v>
      </c>
      <c r="BL4168">
        <v>0</v>
      </c>
      <c r="BO4168">
        <v>0</v>
      </c>
      <c r="BP4168">
        <v>0</v>
      </c>
      <c r="BW4168" t="str">
        <f t="shared" ref="BW4168:BW4174" si="2340">"14:59:25.312"</f>
        <v>14:59:25.312</v>
      </c>
      <c r="CJ4168">
        <v>0</v>
      </c>
      <c r="CK4168">
        <v>2</v>
      </c>
      <c r="CL4168">
        <v>0</v>
      </c>
      <c r="CM4168">
        <v>2</v>
      </c>
      <c r="CN4168">
        <v>0</v>
      </c>
      <c r="CO4168">
        <v>6</v>
      </c>
      <c r="CP4168" t="s">
        <v>119</v>
      </c>
      <c r="CQ4168">
        <v>285</v>
      </c>
      <c r="CR4168">
        <v>0</v>
      </c>
      <c r="CW4168">
        <v>8889820</v>
      </c>
      <c r="CY4168">
        <v>0</v>
      </c>
      <c r="CZ4168">
        <v>0</v>
      </c>
      <c r="DA4168">
        <v>0</v>
      </c>
      <c r="DB4168">
        <v>0</v>
      </c>
      <c r="DC4168">
        <v>0</v>
      </c>
      <c r="DD4168">
        <v>0</v>
      </c>
      <c r="DE4168">
        <v>0</v>
      </c>
      <c r="DF4168">
        <v>0</v>
      </c>
      <c r="DG4168">
        <v>0</v>
      </c>
      <c r="DH4168">
        <v>0</v>
      </c>
      <c r="DI4168">
        <v>0</v>
      </c>
    </row>
    <row r="4169" spans="1:113" x14ac:dyDescent="0.25">
      <c r="A4169" t="str">
        <f t="shared" si="2337"/>
        <v>06/05/2020 14:59:19.671</v>
      </c>
      <c r="C4169" t="str">
        <f t="shared" si="2315"/>
        <v>FFDFD3C0</v>
      </c>
      <c r="D4169" t="s">
        <v>141</v>
      </c>
      <c r="E4169">
        <v>20</v>
      </c>
      <c r="F4169">
        <v>1020</v>
      </c>
      <c r="G4169" t="s">
        <v>114</v>
      </c>
      <c r="J4169" t="s">
        <v>142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 t="shared" si="2338"/>
        <v>14:59:25.305</v>
      </c>
      <c r="T4169" t="str">
        <f t="shared" si="2339"/>
        <v>14:59:25.105</v>
      </c>
      <c r="U4169" t="str">
        <f t="shared" si="2335"/>
        <v>ACC530</v>
      </c>
      <c r="V4169">
        <v>0</v>
      </c>
      <c r="W4169">
        <v>0</v>
      </c>
      <c r="X4169">
        <v>1</v>
      </c>
      <c r="Z4169">
        <v>0</v>
      </c>
      <c r="AA4169">
        <v>9</v>
      </c>
      <c r="AB4169">
        <v>3</v>
      </c>
      <c r="AC4169">
        <v>0</v>
      </c>
      <c r="AD4169">
        <v>9</v>
      </c>
      <c r="AE4169">
        <v>0</v>
      </c>
      <c r="AF4169">
        <v>3</v>
      </c>
      <c r="AG4169">
        <v>1</v>
      </c>
      <c r="AH4169">
        <v>0</v>
      </c>
      <c r="AI4169" t="s">
        <v>1322</v>
      </c>
      <c r="AJ4169">
        <v>34.067959999999999</v>
      </c>
      <c r="AK4169" t="s">
        <v>1323</v>
      </c>
      <c r="AL4169">
        <v>-117.02031599999999</v>
      </c>
      <c r="AM4169">
        <v>100</v>
      </c>
      <c r="AN4169">
        <v>5400</v>
      </c>
      <c r="AO4169" t="s">
        <v>118</v>
      </c>
      <c r="AP4169">
        <v>-90</v>
      </c>
      <c r="AQ4169">
        <v>37</v>
      </c>
      <c r="AR4169">
        <v>-448</v>
      </c>
      <c r="AZ4169">
        <v>1200</v>
      </c>
      <c r="BA4169">
        <v>1</v>
      </c>
      <c r="BB4169" t="str">
        <f t="shared" si="2336"/>
        <v xml:space="preserve">N9217B  </v>
      </c>
      <c r="BC4169">
        <v>1</v>
      </c>
      <c r="BE4169">
        <v>0</v>
      </c>
      <c r="BF4169">
        <v>0</v>
      </c>
      <c r="BG4169">
        <v>0</v>
      </c>
      <c r="BH4169">
        <v>5200</v>
      </c>
      <c r="BI4169">
        <v>1</v>
      </c>
      <c r="BJ4169">
        <v>0</v>
      </c>
      <c r="BK4169">
        <v>0</v>
      </c>
      <c r="BL4169">
        <v>0</v>
      </c>
      <c r="BO4169">
        <v>0</v>
      </c>
      <c r="BP4169">
        <v>0</v>
      </c>
      <c r="BW4169" t="str">
        <f t="shared" si="2340"/>
        <v>14:59:25.312</v>
      </c>
      <c r="CJ4169">
        <v>0</v>
      </c>
      <c r="CK4169">
        <v>2</v>
      </c>
      <c r="CL4169">
        <v>0</v>
      </c>
      <c r="CM4169">
        <v>2</v>
      </c>
      <c r="CN4169">
        <v>0</v>
      </c>
      <c r="CO4169">
        <v>6</v>
      </c>
      <c r="CP4169" t="s">
        <v>119</v>
      </c>
      <c r="CQ4169">
        <v>285</v>
      </c>
      <c r="CR4169">
        <v>0</v>
      </c>
      <c r="CW4169">
        <v>8889820</v>
      </c>
      <c r="CY4169">
        <v>0</v>
      </c>
      <c r="CZ4169">
        <v>0</v>
      </c>
      <c r="DA4169">
        <v>1</v>
      </c>
      <c r="DB4169">
        <v>0</v>
      </c>
      <c r="DC4169">
        <v>0</v>
      </c>
      <c r="DD4169">
        <v>0</v>
      </c>
      <c r="DE4169">
        <v>0</v>
      </c>
      <c r="DF4169">
        <v>0</v>
      </c>
      <c r="DG4169">
        <v>0</v>
      </c>
      <c r="DH4169">
        <v>0</v>
      </c>
      <c r="DI4169">
        <v>0</v>
      </c>
    </row>
    <row r="4170" spans="1:113" x14ac:dyDescent="0.25">
      <c r="A4170" t="str">
        <f t="shared" si="2337"/>
        <v>06/05/2020 14:59:19.671</v>
      </c>
      <c r="C4170" t="str">
        <f t="shared" si="2315"/>
        <v>FFDFD3C0</v>
      </c>
      <c r="D4170" t="s">
        <v>113</v>
      </c>
      <c r="E4170">
        <v>3</v>
      </c>
      <c r="H4170">
        <v>166</v>
      </c>
      <c r="I4170" t="s">
        <v>114</v>
      </c>
      <c r="J4170" t="s">
        <v>115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 t="shared" si="2338"/>
        <v>14:59:25.305</v>
      </c>
      <c r="T4170" t="str">
        <f t="shared" si="2339"/>
        <v>14:59:25.105</v>
      </c>
      <c r="U4170" t="str">
        <f t="shared" si="2335"/>
        <v>ACC530</v>
      </c>
      <c r="V4170">
        <v>0</v>
      </c>
      <c r="W4170">
        <v>0</v>
      </c>
      <c r="X4170">
        <v>1</v>
      </c>
      <c r="Z4170">
        <v>0</v>
      </c>
      <c r="AA4170">
        <v>9</v>
      </c>
      <c r="AB4170">
        <v>3</v>
      </c>
      <c r="AC4170">
        <v>0</v>
      </c>
      <c r="AD4170">
        <v>9</v>
      </c>
      <c r="AE4170">
        <v>0</v>
      </c>
      <c r="AF4170">
        <v>3</v>
      </c>
      <c r="AG4170">
        <v>1</v>
      </c>
      <c r="AH4170">
        <v>0</v>
      </c>
      <c r="AI4170" t="s">
        <v>1322</v>
      </c>
      <c r="AJ4170">
        <v>34.067959999999999</v>
      </c>
      <c r="AK4170" t="s">
        <v>1323</v>
      </c>
      <c r="AL4170">
        <v>-117.02031599999999</v>
      </c>
      <c r="AM4170">
        <v>100</v>
      </c>
      <c r="AN4170">
        <v>5400</v>
      </c>
      <c r="AO4170" t="s">
        <v>118</v>
      </c>
      <c r="AP4170">
        <v>-90</v>
      </c>
      <c r="AQ4170">
        <v>37</v>
      </c>
      <c r="AR4170">
        <v>-448</v>
      </c>
      <c r="AZ4170">
        <v>1200</v>
      </c>
      <c r="BA4170">
        <v>1</v>
      </c>
      <c r="BB4170" t="str">
        <f t="shared" si="2336"/>
        <v xml:space="preserve">N9217B  </v>
      </c>
      <c r="BC4170">
        <v>1</v>
      </c>
      <c r="BE4170">
        <v>0</v>
      </c>
      <c r="BF4170">
        <v>0</v>
      </c>
      <c r="BG4170">
        <v>0</v>
      </c>
      <c r="BH4170">
        <v>5200</v>
      </c>
      <c r="BI4170">
        <v>1</v>
      </c>
      <c r="BJ4170">
        <v>0</v>
      </c>
      <c r="BK4170">
        <v>0</v>
      </c>
      <c r="BL4170">
        <v>0</v>
      </c>
      <c r="BO4170">
        <v>0</v>
      </c>
      <c r="BP4170">
        <v>0</v>
      </c>
      <c r="BW4170" t="str">
        <f t="shared" si="2340"/>
        <v>14:59:25.312</v>
      </c>
      <c r="CJ4170">
        <v>0</v>
      </c>
      <c r="CK4170">
        <v>2</v>
      </c>
      <c r="CL4170">
        <v>0</v>
      </c>
      <c r="CM4170">
        <v>2</v>
      </c>
      <c r="CN4170">
        <v>0</v>
      </c>
      <c r="CO4170">
        <v>6</v>
      </c>
      <c r="CP4170" t="s">
        <v>119</v>
      </c>
      <c r="CQ4170">
        <v>285</v>
      </c>
      <c r="CR4170">
        <v>0</v>
      </c>
      <c r="CW4170">
        <v>8889820</v>
      </c>
      <c r="CY4170">
        <v>0</v>
      </c>
      <c r="CZ4170">
        <v>0</v>
      </c>
      <c r="DA4170">
        <v>1</v>
      </c>
      <c r="DB4170">
        <v>0</v>
      </c>
      <c r="DC4170">
        <v>0</v>
      </c>
      <c r="DD4170">
        <v>0</v>
      </c>
      <c r="DE4170">
        <v>0</v>
      </c>
      <c r="DF4170">
        <v>0</v>
      </c>
      <c r="DG4170">
        <v>0</v>
      </c>
      <c r="DH4170">
        <v>0</v>
      </c>
      <c r="DI4170">
        <v>0</v>
      </c>
    </row>
    <row r="4171" spans="1:113" x14ac:dyDescent="0.25">
      <c r="A4171" t="str">
        <f t="shared" si="2337"/>
        <v>06/05/2020 14:59:19.671</v>
      </c>
      <c r="C4171" t="str">
        <f t="shared" si="2315"/>
        <v>FFDFD3C0</v>
      </c>
      <c r="D4171" t="s">
        <v>151</v>
      </c>
      <c r="E4171">
        <v>8</v>
      </c>
      <c r="H4171">
        <v>225</v>
      </c>
      <c r="I4171" t="s">
        <v>353</v>
      </c>
      <c r="J4171" t="s">
        <v>150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 t="shared" si="2338"/>
        <v>14:59:25.305</v>
      </c>
      <c r="T4171" t="str">
        <f t="shared" si="2339"/>
        <v>14:59:25.105</v>
      </c>
      <c r="U4171" t="str">
        <f t="shared" si="2335"/>
        <v>ACC530</v>
      </c>
      <c r="V4171">
        <v>0</v>
      </c>
      <c r="W4171">
        <v>0</v>
      </c>
      <c r="X4171">
        <v>1</v>
      </c>
      <c r="Z4171">
        <v>0</v>
      </c>
      <c r="AA4171">
        <v>9</v>
      </c>
      <c r="AB4171">
        <v>3</v>
      </c>
      <c r="AC4171">
        <v>0</v>
      </c>
      <c r="AD4171">
        <v>9</v>
      </c>
      <c r="AE4171">
        <v>0</v>
      </c>
      <c r="AF4171">
        <v>3</v>
      </c>
      <c r="AG4171">
        <v>1</v>
      </c>
      <c r="AH4171">
        <v>0</v>
      </c>
      <c r="AI4171" t="s">
        <v>1322</v>
      </c>
      <c r="AJ4171">
        <v>34.067959999999999</v>
      </c>
      <c r="AK4171" t="s">
        <v>1323</v>
      </c>
      <c r="AL4171">
        <v>-117.02031599999999</v>
      </c>
      <c r="AM4171">
        <v>100</v>
      </c>
      <c r="AN4171">
        <v>5400</v>
      </c>
      <c r="AO4171" t="s">
        <v>118</v>
      </c>
      <c r="AP4171">
        <v>-90</v>
      </c>
      <c r="AQ4171">
        <v>37</v>
      </c>
      <c r="AR4171">
        <v>-448</v>
      </c>
      <c r="AZ4171">
        <v>1200</v>
      </c>
      <c r="BA4171">
        <v>1</v>
      </c>
      <c r="BB4171" t="str">
        <f t="shared" si="2336"/>
        <v xml:space="preserve">N9217B  </v>
      </c>
      <c r="BC4171">
        <v>1</v>
      </c>
      <c r="BE4171">
        <v>0</v>
      </c>
      <c r="BF4171">
        <v>0</v>
      </c>
      <c r="BG4171">
        <v>0</v>
      </c>
      <c r="BH4171">
        <v>5200</v>
      </c>
      <c r="BI4171">
        <v>1</v>
      </c>
      <c r="BJ4171">
        <v>0</v>
      </c>
      <c r="BK4171">
        <v>0</v>
      </c>
      <c r="BL4171">
        <v>0</v>
      </c>
      <c r="BO4171">
        <v>0</v>
      </c>
      <c r="BP4171">
        <v>0</v>
      </c>
      <c r="BW4171" t="str">
        <f t="shared" si="2340"/>
        <v>14:59:25.312</v>
      </c>
      <c r="CJ4171">
        <v>0</v>
      </c>
      <c r="CK4171">
        <v>2</v>
      </c>
      <c r="CL4171">
        <v>0</v>
      </c>
      <c r="CM4171">
        <v>2</v>
      </c>
      <c r="CN4171">
        <v>0</v>
      </c>
      <c r="CO4171">
        <v>6</v>
      </c>
      <c r="CP4171" t="s">
        <v>119</v>
      </c>
      <c r="CQ4171">
        <v>285</v>
      </c>
      <c r="CR4171">
        <v>0</v>
      </c>
      <c r="CW4171">
        <v>8889820</v>
      </c>
      <c r="CY4171">
        <v>0</v>
      </c>
      <c r="CZ4171">
        <v>0</v>
      </c>
      <c r="DA4171">
        <v>1</v>
      </c>
      <c r="DB4171">
        <v>0</v>
      </c>
      <c r="DC4171">
        <v>0</v>
      </c>
      <c r="DD4171">
        <v>0</v>
      </c>
      <c r="DE4171">
        <v>0</v>
      </c>
      <c r="DF4171">
        <v>0</v>
      </c>
      <c r="DG4171">
        <v>0</v>
      </c>
      <c r="DH4171">
        <v>0</v>
      </c>
      <c r="DI4171">
        <v>0</v>
      </c>
    </row>
    <row r="4172" spans="1:113" x14ac:dyDescent="0.25">
      <c r="A4172" t="str">
        <f t="shared" si="2337"/>
        <v>06/05/2020 14:59:19.671</v>
      </c>
      <c r="C4172" t="str">
        <f t="shared" si="2315"/>
        <v>FFDFD3C0</v>
      </c>
      <c r="D4172" t="s">
        <v>148</v>
      </c>
      <c r="E4172">
        <v>8</v>
      </c>
      <c r="H4172">
        <v>50</v>
      </c>
      <c r="I4172" t="s">
        <v>149</v>
      </c>
      <c r="J4172" t="s">
        <v>150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 t="shared" si="2338"/>
        <v>14:59:25.305</v>
      </c>
      <c r="T4172" t="str">
        <f t="shared" si="2339"/>
        <v>14:59:25.105</v>
      </c>
      <c r="U4172" t="str">
        <f t="shared" si="2335"/>
        <v>ACC530</v>
      </c>
      <c r="V4172">
        <v>0</v>
      </c>
      <c r="W4172">
        <v>0</v>
      </c>
      <c r="X4172">
        <v>1</v>
      </c>
      <c r="Z4172">
        <v>0</v>
      </c>
      <c r="AA4172">
        <v>9</v>
      </c>
      <c r="AB4172">
        <v>3</v>
      </c>
      <c r="AC4172">
        <v>0</v>
      </c>
      <c r="AD4172">
        <v>9</v>
      </c>
      <c r="AE4172">
        <v>0</v>
      </c>
      <c r="AF4172">
        <v>3</v>
      </c>
      <c r="AG4172">
        <v>1</v>
      </c>
      <c r="AH4172">
        <v>0</v>
      </c>
      <c r="AI4172" t="s">
        <v>1322</v>
      </c>
      <c r="AJ4172">
        <v>34.067959999999999</v>
      </c>
      <c r="AK4172" t="s">
        <v>1323</v>
      </c>
      <c r="AL4172">
        <v>-117.02031599999999</v>
      </c>
      <c r="AM4172">
        <v>100</v>
      </c>
      <c r="AN4172">
        <v>5400</v>
      </c>
      <c r="AO4172" t="s">
        <v>118</v>
      </c>
      <c r="AP4172">
        <v>-90</v>
      </c>
      <c r="AQ4172">
        <v>37</v>
      </c>
      <c r="AR4172">
        <v>-448</v>
      </c>
      <c r="AZ4172">
        <v>1200</v>
      </c>
      <c r="BA4172">
        <v>1</v>
      </c>
      <c r="BB4172" t="str">
        <f t="shared" si="2336"/>
        <v xml:space="preserve">N9217B  </v>
      </c>
      <c r="BC4172">
        <v>1</v>
      </c>
      <c r="BE4172">
        <v>0</v>
      </c>
      <c r="BF4172">
        <v>0</v>
      </c>
      <c r="BG4172">
        <v>0</v>
      </c>
      <c r="BH4172">
        <v>5200</v>
      </c>
      <c r="BI4172">
        <v>1</v>
      </c>
      <c r="BJ4172">
        <v>0</v>
      </c>
      <c r="BK4172">
        <v>0</v>
      </c>
      <c r="BL4172">
        <v>0</v>
      </c>
      <c r="BO4172">
        <v>0</v>
      </c>
      <c r="BP4172">
        <v>0</v>
      </c>
      <c r="BW4172" t="str">
        <f t="shared" si="2340"/>
        <v>14:59:25.312</v>
      </c>
      <c r="CJ4172">
        <v>0</v>
      </c>
      <c r="CK4172">
        <v>2</v>
      </c>
      <c r="CL4172">
        <v>0</v>
      </c>
      <c r="CM4172">
        <v>2</v>
      </c>
      <c r="CN4172">
        <v>0</v>
      </c>
      <c r="CO4172">
        <v>6</v>
      </c>
      <c r="CP4172" t="s">
        <v>119</v>
      </c>
      <c r="CQ4172">
        <v>285</v>
      </c>
      <c r="CR4172">
        <v>0</v>
      </c>
      <c r="CW4172">
        <v>8889820</v>
      </c>
      <c r="CY4172">
        <v>0</v>
      </c>
      <c r="CZ4172">
        <v>0</v>
      </c>
      <c r="DA4172">
        <v>1</v>
      </c>
      <c r="DB4172">
        <v>0</v>
      </c>
      <c r="DC4172">
        <v>0</v>
      </c>
      <c r="DD4172">
        <v>0</v>
      </c>
      <c r="DE4172">
        <v>0</v>
      </c>
      <c r="DF4172">
        <v>0</v>
      </c>
      <c r="DG4172">
        <v>0</v>
      </c>
      <c r="DH4172">
        <v>0</v>
      </c>
      <c r="DI4172">
        <v>0</v>
      </c>
    </row>
    <row r="4173" spans="1:113" x14ac:dyDescent="0.25">
      <c r="A4173" t="str">
        <f t="shared" si="2337"/>
        <v>06/05/2020 14:59:19.671</v>
      </c>
      <c r="C4173" t="str">
        <f t="shared" si="2315"/>
        <v>FFDFD3C0</v>
      </c>
      <c r="D4173" t="s">
        <v>151</v>
      </c>
      <c r="E4173">
        <v>9</v>
      </c>
      <c r="H4173">
        <v>226</v>
      </c>
      <c r="I4173" t="s">
        <v>152</v>
      </c>
      <c r="J4173" t="s">
        <v>150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 t="shared" si="2338"/>
        <v>14:59:25.305</v>
      </c>
      <c r="T4173" t="str">
        <f t="shared" si="2339"/>
        <v>14:59:25.105</v>
      </c>
      <c r="U4173" t="str">
        <f t="shared" si="2335"/>
        <v>ACC530</v>
      </c>
      <c r="V4173">
        <v>0</v>
      </c>
      <c r="W4173">
        <v>0</v>
      </c>
      <c r="X4173">
        <v>1</v>
      </c>
      <c r="Z4173">
        <v>0</v>
      </c>
      <c r="AA4173">
        <v>9</v>
      </c>
      <c r="AB4173">
        <v>3</v>
      </c>
      <c r="AC4173">
        <v>0</v>
      </c>
      <c r="AD4173">
        <v>9</v>
      </c>
      <c r="AE4173">
        <v>0</v>
      </c>
      <c r="AF4173">
        <v>3</v>
      </c>
      <c r="AG4173">
        <v>1</v>
      </c>
      <c r="AH4173">
        <v>0</v>
      </c>
      <c r="AI4173" t="s">
        <v>1322</v>
      </c>
      <c r="AJ4173">
        <v>34.067959999999999</v>
      </c>
      <c r="AK4173" t="s">
        <v>1323</v>
      </c>
      <c r="AL4173">
        <v>-117.02031599999999</v>
      </c>
      <c r="AM4173">
        <v>100</v>
      </c>
      <c r="AN4173">
        <v>5400</v>
      </c>
      <c r="AO4173" t="s">
        <v>118</v>
      </c>
      <c r="AP4173">
        <v>-90</v>
      </c>
      <c r="AQ4173">
        <v>37</v>
      </c>
      <c r="AR4173">
        <v>-448</v>
      </c>
      <c r="AZ4173">
        <v>1200</v>
      </c>
      <c r="BA4173">
        <v>1</v>
      </c>
      <c r="BB4173" t="str">
        <f t="shared" si="2336"/>
        <v xml:space="preserve">N9217B  </v>
      </c>
      <c r="BC4173">
        <v>1</v>
      </c>
      <c r="BE4173">
        <v>0</v>
      </c>
      <c r="BF4173">
        <v>0</v>
      </c>
      <c r="BG4173">
        <v>0</v>
      </c>
      <c r="BH4173">
        <v>5200</v>
      </c>
      <c r="BI4173">
        <v>1</v>
      </c>
      <c r="BJ4173">
        <v>0</v>
      </c>
      <c r="BK4173">
        <v>0</v>
      </c>
      <c r="BL4173">
        <v>0</v>
      </c>
      <c r="BO4173">
        <v>0</v>
      </c>
      <c r="BP4173">
        <v>0</v>
      </c>
      <c r="BW4173" t="str">
        <f t="shared" si="2340"/>
        <v>14:59:25.312</v>
      </c>
      <c r="CJ4173">
        <v>0</v>
      </c>
      <c r="CK4173">
        <v>2</v>
      </c>
      <c r="CL4173">
        <v>0</v>
      </c>
      <c r="CM4173">
        <v>2</v>
      </c>
      <c r="CN4173">
        <v>0</v>
      </c>
      <c r="CO4173">
        <v>6</v>
      </c>
      <c r="CP4173" t="s">
        <v>119</v>
      </c>
      <c r="CQ4173">
        <v>285</v>
      </c>
      <c r="CR4173">
        <v>0</v>
      </c>
      <c r="CW4173">
        <v>8889820</v>
      </c>
      <c r="CY4173">
        <v>0</v>
      </c>
      <c r="CZ4173">
        <v>0</v>
      </c>
      <c r="DA4173">
        <v>1</v>
      </c>
      <c r="DB4173">
        <v>0</v>
      </c>
      <c r="DC4173">
        <v>0</v>
      </c>
      <c r="DD4173">
        <v>0</v>
      </c>
      <c r="DE4173">
        <v>0</v>
      </c>
      <c r="DF4173">
        <v>0</v>
      </c>
      <c r="DG4173">
        <v>0</v>
      </c>
      <c r="DH4173">
        <v>0</v>
      </c>
      <c r="DI4173">
        <v>0</v>
      </c>
    </row>
    <row r="4174" spans="1:113" x14ac:dyDescent="0.25">
      <c r="A4174" t="str">
        <f t="shared" si="2337"/>
        <v>06/05/2020 14:59:19.671</v>
      </c>
      <c r="C4174" t="str">
        <f t="shared" si="2315"/>
        <v>FFDFD3C0</v>
      </c>
      <c r="D4174" t="s">
        <v>134</v>
      </c>
      <c r="E4174">
        <v>7</v>
      </c>
      <c r="F4174">
        <v>2007</v>
      </c>
      <c r="G4174" t="s">
        <v>135</v>
      </c>
      <c r="J4174" t="s">
        <v>136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 t="shared" si="2338"/>
        <v>14:59:25.305</v>
      </c>
      <c r="T4174" t="str">
        <f t="shared" si="2339"/>
        <v>14:59:25.105</v>
      </c>
      <c r="U4174" t="str">
        <f t="shared" si="2335"/>
        <v>ACC530</v>
      </c>
      <c r="V4174">
        <v>0</v>
      </c>
      <c r="W4174">
        <v>0</v>
      </c>
      <c r="X4174">
        <v>1</v>
      </c>
      <c r="Z4174">
        <v>0</v>
      </c>
      <c r="AA4174">
        <v>9</v>
      </c>
      <c r="AB4174">
        <v>3</v>
      </c>
      <c r="AC4174">
        <v>0</v>
      </c>
      <c r="AD4174">
        <v>9</v>
      </c>
      <c r="AE4174">
        <v>0</v>
      </c>
      <c r="AF4174">
        <v>3</v>
      </c>
      <c r="AG4174">
        <v>1</v>
      </c>
      <c r="AH4174">
        <v>0</v>
      </c>
      <c r="AI4174" t="s">
        <v>1322</v>
      </c>
      <c r="AJ4174">
        <v>34.067959999999999</v>
      </c>
      <c r="AK4174" t="s">
        <v>1323</v>
      </c>
      <c r="AL4174">
        <v>-117.02031599999999</v>
      </c>
      <c r="AM4174">
        <v>100</v>
      </c>
      <c r="AN4174">
        <v>5400</v>
      </c>
      <c r="AO4174" t="s">
        <v>118</v>
      </c>
      <c r="AP4174">
        <v>-90</v>
      </c>
      <c r="AQ4174">
        <v>37</v>
      </c>
      <c r="AR4174">
        <v>-448</v>
      </c>
      <c r="AZ4174">
        <v>1200</v>
      </c>
      <c r="BA4174">
        <v>1</v>
      </c>
      <c r="BB4174" t="str">
        <f t="shared" si="2336"/>
        <v xml:space="preserve">N9217B  </v>
      </c>
      <c r="BC4174">
        <v>1</v>
      </c>
      <c r="BE4174">
        <v>0</v>
      </c>
      <c r="BF4174">
        <v>0</v>
      </c>
      <c r="BG4174">
        <v>0</v>
      </c>
      <c r="BH4174">
        <v>5200</v>
      </c>
      <c r="BI4174">
        <v>1</v>
      </c>
      <c r="BJ4174">
        <v>0</v>
      </c>
      <c r="BK4174">
        <v>0</v>
      </c>
      <c r="BL4174">
        <v>0</v>
      </c>
      <c r="BO4174">
        <v>0</v>
      </c>
      <c r="BP4174">
        <v>0</v>
      </c>
      <c r="BW4174" t="str">
        <f t="shared" si="2340"/>
        <v>14:59:25.312</v>
      </c>
      <c r="CJ4174">
        <v>0</v>
      </c>
      <c r="CK4174">
        <v>2</v>
      </c>
      <c r="CL4174">
        <v>0</v>
      </c>
      <c r="CM4174">
        <v>2</v>
      </c>
      <c r="CN4174">
        <v>0</v>
      </c>
      <c r="CO4174">
        <v>6</v>
      </c>
      <c r="CP4174" t="s">
        <v>119</v>
      </c>
      <c r="CQ4174">
        <v>285</v>
      </c>
      <c r="CR4174">
        <v>0</v>
      </c>
      <c r="CW4174">
        <v>8889820</v>
      </c>
      <c r="CY4174">
        <v>0</v>
      </c>
      <c r="CZ4174">
        <v>0</v>
      </c>
      <c r="DA4174">
        <v>1</v>
      </c>
      <c r="DB4174">
        <v>0</v>
      </c>
      <c r="DC4174">
        <v>0</v>
      </c>
      <c r="DD4174">
        <v>0</v>
      </c>
      <c r="DE4174">
        <v>0</v>
      </c>
      <c r="DF4174">
        <v>0</v>
      </c>
      <c r="DG4174">
        <v>0</v>
      </c>
      <c r="DH4174">
        <v>0</v>
      </c>
      <c r="DI4174">
        <v>0</v>
      </c>
    </row>
    <row r="4175" spans="1:113" x14ac:dyDescent="0.25">
      <c r="A4175" t="str">
        <f t="shared" ref="A4175:A4181" si="2341">"06/05/2020 14:59:20.692"</f>
        <v>06/05/2020 14:59:20.692</v>
      </c>
      <c r="C4175" t="str">
        <f t="shared" si="2315"/>
        <v>FFDFD3C0</v>
      </c>
      <c r="D4175" t="s">
        <v>113</v>
      </c>
      <c r="E4175">
        <v>3</v>
      </c>
      <c r="H4175">
        <v>166</v>
      </c>
      <c r="I4175" t="s">
        <v>114</v>
      </c>
      <c r="J4175" t="s">
        <v>115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 t="shared" ref="S4175:S4181" si="2342">"14:59:26.313"</f>
        <v>14:59:26.313</v>
      </c>
      <c r="T4175" t="str">
        <f t="shared" ref="T4175:T4181" si="2343">"14:59:26.013"</f>
        <v>14:59:26.013</v>
      </c>
      <c r="U4175" t="str">
        <f t="shared" si="2335"/>
        <v>ACC530</v>
      </c>
      <c r="V4175">
        <v>0</v>
      </c>
      <c r="W4175">
        <v>0</v>
      </c>
      <c r="X4175">
        <v>1</v>
      </c>
      <c r="Z4175">
        <v>0</v>
      </c>
      <c r="AA4175">
        <v>9</v>
      </c>
      <c r="AB4175">
        <v>3</v>
      </c>
      <c r="AC4175">
        <v>0</v>
      </c>
      <c r="AD4175">
        <v>9</v>
      </c>
      <c r="AE4175">
        <v>0</v>
      </c>
      <c r="AF4175">
        <v>3</v>
      </c>
      <c r="AG4175">
        <v>1</v>
      </c>
      <c r="AH4175">
        <v>0</v>
      </c>
      <c r="AI4175" t="s">
        <v>1324</v>
      </c>
      <c r="AJ4175">
        <v>34.068089000000001</v>
      </c>
      <c r="AK4175" t="s">
        <v>1170</v>
      </c>
      <c r="AL4175">
        <v>-117.02081</v>
      </c>
      <c r="AM4175">
        <v>100</v>
      </c>
      <c r="AN4175">
        <v>5400</v>
      </c>
      <c r="AO4175" t="s">
        <v>118</v>
      </c>
      <c r="AP4175">
        <v>-90</v>
      </c>
      <c r="AQ4175">
        <v>36</v>
      </c>
      <c r="AR4175">
        <v>-448</v>
      </c>
      <c r="AZ4175">
        <v>1200</v>
      </c>
      <c r="BA4175">
        <v>1</v>
      </c>
      <c r="BB4175" t="str">
        <f t="shared" si="2336"/>
        <v xml:space="preserve">N9217B  </v>
      </c>
      <c r="BC4175">
        <v>1</v>
      </c>
      <c r="BE4175">
        <v>0</v>
      </c>
      <c r="BF4175">
        <v>0</v>
      </c>
      <c r="BG4175">
        <v>0</v>
      </c>
      <c r="BH4175">
        <v>5200</v>
      </c>
      <c r="BI4175">
        <v>1</v>
      </c>
      <c r="BJ4175">
        <v>0</v>
      </c>
      <c r="BK4175">
        <v>0</v>
      </c>
      <c r="BL4175">
        <v>0</v>
      </c>
      <c r="BO4175">
        <v>0</v>
      </c>
      <c r="BP4175">
        <v>0</v>
      </c>
      <c r="BW4175" t="str">
        <f t="shared" ref="BW4175:BW4181" si="2344">"14:59:26.317"</f>
        <v>14:59:26.317</v>
      </c>
      <c r="CJ4175">
        <v>0</v>
      </c>
      <c r="CK4175">
        <v>2</v>
      </c>
      <c r="CL4175">
        <v>0</v>
      </c>
      <c r="CM4175">
        <v>2</v>
      </c>
      <c r="CN4175">
        <v>0</v>
      </c>
      <c r="CO4175">
        <v>6</v>
      </c>
      <c r="CP4175" t="s">
        <v>119</v>
      </c>
      <c r="CQ4175">
        <v>285</v>
      </c>
      <c r="CR4175">
        <v>0</v>
      </c>
      <c r="CW4175">
        <v>8889921</v>
      </c>
      <c r="CY4175">
        <v>0</v>
      </c>
      <c r="CZ4175">
        <v>0</v>
      </c>
      <c r="DA4175">
        <v>0</v>
      </c>
      <c r="DB4175">
        <v>0</v>
      </c>
      <c r="DC4175">
        <v>0</v>
      </c>
      <c r="DD4175">
        <v>0</v>
      </c>
      <c r="DE4175">
        <v>0</v>
      </c>
      <c r="DF4175">
        <v>0</v>
      </c>
      <c r="DG4175">
        <v>0</v>
      </c>
      <c r="DH4175">
        <v>0</v>
      </c>
      <c r="DI4175">
        <v>0</v>
      </c>
    </row>
    <row r="4176" spans="1:113" x14ac:dyDescent="0.25">
      <c r="A4176" t="str">
        <f t="shared" si="2341"/>
        <v>06/05/2020 14:59:20.692</v>
      </c>
      <c r="C4176" t="str">
        <f t="shared" si="2315"/>
        <v>FFDFD3C0</v>
      </c>
      <c r="D4176" t="s">
        <v>151</v>
      </c>
      <c r="E4176">
        <v>8</v>
      </c>
      <c r="H4176">
        <v>225</v>
      </c>
      <c r="I4176" t="s">
        <v>353</v>
      </c>
      <c r="J4176" t="s">
        <v>150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 t="shared" si="2342"/>
        <v>14:59:26.313</v>
      </c>
      <c r="T4176" t="str">
        <f t="shared" si="2343"/>
        <v>14:59:26.013</v>
      </c>
      <c r="U4176" t="str">
        <f t="shared" si="2335"/>
        <v>ACC530</v>
      </c>
      <c r="V4176">
        <v>0</v>
      </c>
      <c r="W4176">
        <v>0</v>
      </c>
      <c r="X4176">
        <v>1</v>
      </c>
      <c r="Z4176">
        <v>0</v>
      </c>
      <c r="AA4176">
        <v>9</v>
      </c>
      <c r="AB4176">
        <v>3</v>
      </c>
      <c r="AC4176">
        <v>0</v>
      </c>
      <c r="AD4176">
        <v>9</v>
      </c>
      <c r="AE4176">
        <v>0</v>
      </c>
      <c r="AF4176">
        <v>3</v>
      </c>
      <c r="AG4176">
        <v>1</v>
      </c>
      <c r="AH4176">
        <v>0</v>
      </c>
      <c r="AI4176" t="s">
        <v>1324</v>
      </c>
      <c r="AJ4176">
        <v>34.068089000000001</v>
      </c>
      <c r="AK4176" t="s">
        <v>1170</v>
      </c>
      <c r="AL4176">
        <v>-117.02081</v>
      </c>
      <c r="AM4176">
        <v>100</v>
      </c>
      <c r="AN4176">
        <v>5400</v>
      </c>
      <c r="AO4176" t="s">
        <v>118</v>
      </c>
      <c r="AP4176">
        <v>-90</v>
      </c>
      <c r="AQ4176">
        <v>36</v>
      </c>
      <c r="AR4176">
        <v>-448</v>
      </c>
      <c r="AZ4176">
        <v>1200</v>
      </c>
      <c r="BA4176">
        <v>1</v>
      </c>
      <c r="BB4176" t="str">
        <f t="shared" si="2336"/>
        <v xml:space="preserve">N9217B  </v>
      </c>
      <c r="BC4176">
        <v>1</v>
      </c>
      <c r="BE4176">
        <v>0</v>
      </c>
      <c r="BF4176">
        <v>0</v>
      </c>
      <c r="BG4176">
        <v>0</v>
      </c>
      <c r="BH4176">
        <v>5200</v>
      </c>
      <c r="BI4176">
        <v>1</v>
      </c>
      <c r="BJ4176">
        <v>0</v>
      </c>
      <c r="BK4176">
        <v>0</v>
      </c>
      <c r="BL4176">
        <v>0</v>
      </c>
      <c r="BO4176">
        <v>0</v>
      </c>
      <c r="BP4176">
        <v>0</v>
      </c>
      <c r="BW4176" t="str">
        <f t="shared" si="2344"/>
        <v>14:59:26.317</v>
      </c>
      <c r="CJ4176">
        <v>0</v>
      </c>
      <c r="CK4176">
        <v>2</v>
      </c>
      <c r="CL4176">
        <v>0</v>
      </c>
      <c r="CM4176">
        <v>2</v>
      </c>
      <c r="CN4176">
        <v>0</v>
      </c>
      <c r="CO4176">
        <v>6</v>
      </c>
      <c r="CP4176" t="s">
        <v>119</v>
      </c>
      <c r="CQ4176">
        <v>285</v>
      </c>
      <c r="CR4176">
        <v>0</v>
      </c>
      <c r="CW4176">
        <v>8889921</v>
      </c>
      <c r="CY4176">
        <v>0</v>
      </c>
      <c r="CZ4176">
        <v>0</v>
      </c>
      <c r="DA4176">
        <v>1</v>
      </c>
      <c r="DB4176">
        <v>0</v>
      </c>
      <c r="DC4176">
        <v>0</v>
      </c>
      <c r="DD4176">
        <v>0</v>
      </c>
      <c r="DE4176">
        <v>0</v>
      </c>
      <c r="DF4176">
        <v>0</v>
      </c>
      <c r="DG4176">
        <v>0</v>
      </c>
      <c r="DH4176">
        <v>0</v>
      </c>
      <c r="DI4176">
        <v>0</v>
      </c>
    </row>
    <row r="4177" spans="1:113" x14ac:dyDescent="0.25">
      <c r="A4177" t="str">
        <f t="shared" si="2341"/>
        <v>06/05/2020 14:59:20.692</v>
      </c>
      <c r="C4177" t="str">
        <f t="shared" si="2315"/>
        <v>FFDFD3C0</v>
      </c>
      <c r="D4177" t="s">
        <v>148</v>
      </c>
      <c r="E4177">
        <v>8</v>
      </c>
      <c r="H4177">
        <v>50</v>
      </c>
      <c r="I4177" t="s">
        <v>149</v>
      </c>
      <c r="J4177" t="s">
        <v>150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 t="shared" si="2342"/>
        <v>14:59:26.313</v>
      </c>
      <c r="T4177" t="str">
        <f t="shared" si="2343"/>
        <v>14:59:26.013</v>
      </c>
      <c r="U4177" t="str">
        <f t="shared" si="2335"/>
        <v>ACC530</v>
      </c>
      <c r="V4177">
        <v>0</v>
      </c>
      <c r="W4177">
        <v>0</v>
      </c>
      <c r="X4177">
        <v>1</v>
      </c>
      <c r="Z4177">
        <v>0</v>
      </c>
      <c r="AA4177">
        <v>9</v>
      </c>
      <c r="AB4177">
        <v>3</v>
      </c>
      <c r="AC4177">
        <v>0</v>
      </c>
      <c r="AD4177">
        <v>9</v>
      </c>
      <c r="AE4177">
        <v>0</v>
      </c>
      <c r="AF4177">
        <v>3</v>
      </c>
      <c r="AG4177">
        <v>1</v>
      </c>
      <c r="AH4177">
        <v>0</v>
      </c>
      <c r="AI4177" t="s">
        <v>1324</v>
      </c>
      <c r="AJ4177">
        <v>34.068089000000001</v>
      </c>
      <c r="AK4177" t="s">
        <v>1170</v>
      </c>
      <c r="AL4177">
        <v>-117.02081</v>
      </c>
      <c r="AM4177">
        <v>100</v>
      </c>
      <c r="AN4177">
        <v>5400</v>
      </c>
      <c r="AO4177" t="s">
        <v>118</v>
      </c>
      <c r="AP4177">
        <v>-90</v>
      </c>
      <c r="AQ4177">
        <v>36</v>
      </c>
      <c r="AR4177">
        <v>-448</v>
      </c>
      <c r="AZ4177">
        <v>1200</v>
      </c>
      <c r="BA4177">
        <v>1</v>
      </c>
      <c r="BB4177" t="str">
        <f t="shared" si="2336"/>
        <v xml:space="preserve">N9217B  </v>
      </c>
      <c r="BC4177">
        <v>1</v>
      </c>
      <c r="BE4177">
        <v>0</v>
      </c>
      <c r="BF4177">
        <v>0</v>
      </c>
      <c r="BG4177">
        <v>0</v>
      </c>
      <c r="BH4177">
        <v>5200</v>
      </c>
      <c r="BI4177">
        <v>1</v>
      </c>
      <c r="BJ4177">
        <v>0</v>
      </c>
      <c r="BK4177">
        <v>0</v>
      </c>
      <c r="BL4177">
        <v>0</v>
      </c>
      <c r="BO4177">
        <v>0</v>
      </c>
      <c r="BP4177">
        <v>0</v>
      </c>
      <c r="BW4177" t="str">
        <f t="shared" si="2344"/>
        <v>14:59:26.317</v>
      </c>
      <c r="CJ4177">
        <v>0</v>
      </c>
      <c r="CK4177">
        <v>2</v>
      </c>
      <c r="CL4177">
        <v>0</v>
      </c>
      <c r="CM4177">
        <v>2</v>
      </c>
      <c r="CN4177">
        <v>0</v>
      </c>
      <c r="CO4177">
        <v>6</v>
      </c>
      <c r="CP4177" t="s">
        <v>119</v>
      </c>
      <c r="CQ4177">
        <v>285</v>
      </c>
      <c r="CR4177">
        <v>0</v>
      </c>
      <c r="CW4177">
        <v>8889921</v>
      </c>
      <c r="CY4177">
        <v>0</v>
      </c>
      <c r="CZ4177">
        <v>0</v>
      </c>
      <c r="DA4177">
        <v>1</v>
      </c>
      <c r="DB4177">
        <v>0</v>
      </c>
      <c r="DC4177">
        <v>0</v>
      </c>
      <c r="DD4177">
        <v>0</v>
      </c>
      <c r="DE4177">
        <v>0</v>
      </c>
      <c r="DF4177">
        <v>0</v>
      </c>
      <c r="DG4177">
        <v>0</v>
      </c>
      <c r="DH4177">
        <v>0</v>
      </c>
      <c r="DI4177">
        <v>0</v>
      </c>
    </row>
    <row r="4178" spans="1:113" x14ac:dyDescent="0.25">
      <c r="A4178" t="str">
        <f t="shared" si="2341"/>
        <v>06/05/2020 14:59:20.692</v>
      </c>
      <c r="C4178" t="str">
        <f t="shared" si="2315"/>
        <v>FFDFD3C0</v>
      </c>
      <c r="D4178" t="s">
        <v>151</v>
      </c>
      <c r="E4178">
        <v>9</v>
      </c>
      <c r="H4178">
        <v>226</v>
      </c>
      <c r="I4178" t="s">
        <v>152</v>
      </c>
      <c r="J4178" t="s">
        <v>150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 t="shared" si="2342"/>
        <v>14:59:26.313</v>
      </c>
      <c r="T4178" t="str">
        <f t="shared" si="2343"/>
        <v>14:59:26.013</v>
      </c>
      <c r="U4178" t="str">
        <f t="shared" si="2335"/>
        <v>ACC530</v>
      </c>
      <c r="V4178">
        <v>0</v>
      </c>
      <c r="W4178">
        <v>0</v>
      </c>
      <c r="X4178">
        <v>1</v>
      </c>
      <c r="Z4178">
        <v>0</v>
      </c>
      <c r="AA4178">
        <v>9</v>
      </c>
      <c r="AB4178">
        <v>3</v>
      </c>
      <c r="AC4178">
        <v>0</v>
      </c>
      <c r="AD4178">
        <v>9</v>
      </c>
      <c r="AE4178">
        <v>0</v>
      </c>
      <c r="AF4178">
        <v>3</v>
      </c>
      <c r="AG4178">
        <v>1</v>
      </c>
      <c r="AH4178">
        <v>0</v>
      </c>
      <c r="AI4178" t="s">
        <v>1324</v>
      </c>
      <c r="AJ4178">
        <v>34.068089000000001</v>
      </c>
      <c r="AK4178" t="s">
        <v>1170</v>
      </c>
      <c r="AL4178">
        <v>-117.02081</v>
      </c>
      <c r="AM4178">
        <v>100</v>
      </c>
      <c r="AN4178">
        <v>5400</v>
      </c>
      <c r="AO4178" t="s">
        <v>118</v>
      </c>
      <c r="AP4178">
        <v>-90</v>
      </c>
      <c r="AQ4178">
        <v>36</v>
      </c>
      <c r="AR4178">
        <v>-448</v>
      </c>
      <c r="AZ4178">
        <v>1200</v>
      </c>
      <c r="BA4178">
        <v>1</v>
      </c>
      <c r="BB4178" t="str">
        <f t="shared" si="2336"/>
        <v xml:space="preserve">N9217B  </v>
      </c>
      <c r="BC4178">
        <v>1</v>
      </c>
      <c r="BE4178">
        <v>0</v>
      </c>
      <c r="BF4178">
        <v>0</v>
      </c>
      <c r="BG4178">
        <v>0</v>
      </c>
      <c r="BH4178">
        <v>5200</v>
      </c>
      <c r="BI4178">
        <v>1</v>
      </c>
      <c r="BJ4178">
        <v>0</v>
      </c>
      <c r="BK4178">
        <v>0</v>
      </c>
      <c r="BL4178">
        <v>0</v>
      </c>
      <c r="BO4178">
        <v>0</v>
      </c>
      <c r="BP4178">
        <v>0</v>
      </c>
      <c r="BW4178" t="str">
        <f t="shared" si="2344"/>
        <v>14:59:26.317</v>
      </c>
      <c r="CJ4178">
        <v>0</v>
      </c>
      <c r="CK4178">
        <v>2</v>
      </c>
      <c r="CL4178">
        <v>0</v>
      </c>
      <c r="CM4178">
        <v>2</v>
      </c>
      <c r="CN4178">
        <v>0</v>
      </c>
      <c r="CO4178">
        <v>6</v>
      </c>
      <c r="CP4178" t="s">
        <v>119</v>
      </c>
      <c r="CQ4178">
        <v>285</v>
      </c>
      <c r="CR4178">
        <v>0</v>
      </c>
      <c r="CW4178">
        <v>8889921</v>
      </c>
      <c r="CY4178">
        <v>0</v>
      </c>
      <c r="CZ4178">
        <v>0</v>
      </c>
      <c r="DA4178">
        <v>1</v>
      </c>
      <c r="DB4178">
        <v>0</v>
      </c>
      <c r="DC4178">
        <v>0</v>
      </c>
      <c r="DD4178">
        <v>0</v>
      </c>
      <c r="DE4178">
        <v>0</v>
      </c>
      <c r="DF4178">
        <v>0</v>
      </c>
      <c r="DG4178">
        <v>0</v>
      </c>
      <c r="DH4178">
        <v>0</v>
      </c>
      <c r="DI4178">
        <v>0</v>
      </c>
    </row>
    <row r="4179" spans="1:113" x14ac:dyDescent="0.25">
      <c r="A4179" t="str">
        <f t="shared" si="2341"/>
        <v>06/05/2020 14:59:20.692</v>
      </c>
      <c r="C4179" t="str">
        <f t="shared" si="2315"/>
        <v>FFDFD3C0</v>
      </c>
      <c r="D4179" t="s">
        <v>134</v>
      </c>
      <c r="E4179">
        <v>7</v>
      </c>
      <c r="F4179">
        <v>2007</v>
      </c>
      <c r="G4179" t="s">
        <v>135</v>
      </c>
      <c r="J4179" t="s">
        <v>136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 t="shared" si="2342"/>
        <v>14:59:26.313</v>
      </c>
      <c r="T4179" t="str">
        <f t="shared" si="2343"/>
        <v>14:59:26.013</v>
      </c>
      <c r="U4179" t="str">
        <f t="shared" si="2335"/>
        <v>ACC530</v>
      </c>
      <c r="V4179">
        <v>0</v>
      </c>
      <c r="W4179">
        <v>0</v>
      </c>
      <c r="X4179">
        <v>1</v>
      </c>
      <c r="Z4179">
        <v>0</v>
      </c>
      <c r="AA4179">
        <v>9</v>
      </c>
      <c r="AB4179">
        <v>3</v>
      </c>
      <c r="AC4179">
        <v>0</v>
      </c>
      <c r="AD4179">
        <v>9</v>
      </c>
      <c r="AE4179">
        <v>0</v>
      </c>
      <c r="AF4179">
        <v>3</v>
      </c>
      <c r="AG4179">
        <v>1</v>
      </c>
      <c r="AH4179">
        <v>0</v>
      </c>
      <c r="AI4179" t="s">
        <v>1324</v>
      </c>
      <c r="AJ4179">
        <v>34.068089000000001</v>
      </c>
      <c r="AK4179" t="s">
        <v>1170</v>
      </c>
      <c r="AL4179">
        <v>-117.02081</v>
      </c>
      <c r="AM4179">
        <v>100</v>
      </c>
      <c r="AN4179">
        <v>5400</v>
      </c>
      <c r="AO4179" t="s">
        <v>118</v>
      </c>
      <c r="AP4179">
        <v>-90</v>
      </c>
      <c r="AQ4179">
        <v>36</v>
      </c>
      <c r="AR4179">
        <v>-448</v>
      </c>
      <c r="AZ4179">
        <v>1200</v>
      </c>
      <c r="BA4179">
        <v>1</v>
      </c>
      <c r="BB4179" t="str">
        <f t="shared" si="2336"/>
        <v xml:space="preserve">N9217B  </v>
      </c>
      <c r="BC4179">
        <v>1</v>
      </c>
      <c r="BE4179">
        <v>0</v>
      </c>
      <c r="BF4179">
        <v>0</v>
      </c>
      <c r="BG4179">
        <v>0</v>
      </c>
      <c r="BH4179">
        <v>5200</v>
      </c>
      <c r="BI4179">
        <v>1</v>
      </c>
      <c r="BJ4179">
        <v>0</v>
      </c>
      <c r="BK4179">
        <v>0</v>
      </c>
      <c r="BL4179">
        <v>0</v>
      </c>
      <c r="BO4179">
        <v>0</v>
      </c>
      <c r="BP4179">
        <v>0</v>
      </c>
      <c r="BW4179" t="str">
        <f t="shared" si="2344"/>
        <v>14:59:26.317</v>
      </c>
      <c r="CJ4179">
        <v>0</v>
      </c>
      <c r="CK4179">
        <v>2</v>
      </c>
      <c r="CL4179">
        <v>0</v>
      </c>
      <c r="CM4179">
        <v>2</v>
      </c>
      <c r="CN4179">
        <v>0</v>
      </c>
      <c r="CO4179">
        <v>6</v>
      </c>
      <c r="CP4179" t="s">
        <v>119</v>
      </c>
      <c r="CQ4179">
        <v>285</v>
      </c>
      <c r="CR4179">
        <v>0</v>
      </c>
      <c r="CW4179">
        <v>8889921</v>
      </c>
      <c r="CY4179">
        <v>0</v>
      </c>
      <c r="CZ4179">
        <v>0</v>
      </c>
      <c r="DA4179">
        <v>1</v>
      </c>
      <c r="DB4179">
        <v>0</v>
      </c>
      <c r="DC4179">
        <v>0</v>
      </c>
      <c r="DD4179">
        <v>0</v>
      </c>
      <c r="DE4179">
        <v>0</v>
      </c>
      <c r="DF4179">
        <v>0</v>
      </c>
      <c r="DG4179">
        <v>0</v>
      </c>
      <c r="DH4179">
        <v>0</v>
      </c>
      <c r="DI4179">
        <v>0</v>
      </c>
    </row>
    <row r="4180" spans="1:113" x14ac:dyDescent="0.25">
      <c r="A4180" t="str">
        <f t="shared" si="2341"/>
        <v>06/05/2020 14:59:20.692</v>
      </c>
      <c r="C4180" t="str">
        <f t="shared" si="2315"/>
        <v>FFDFD3C0</v>
      </c>
      <c r="D4180" t="s">
        <v>141</v>
      </c>
      <c r="E4180">
        <v>20</v>
      </c>
      <c r="F4180">
        <v>1020</v>
      </c>
      <c r="G4180" t="s">
        <v>114</v>
      </c>
      <c r="J4180" t="s">
        <v>142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 t="shared" si="2342"/>
        <v>14:59:26.313</v>
      </c>
      <c r="T4180" t="str">
        <f t="shared" si="2343"/>
        <v>14:59:26.013</v>
      </c>
      <c r="U4180" t="str">
        <f t="shared" si="2335"/>
        <v>ACC530</v>
      </c>
      <c r="V4180">
        <v>0</v>
      </c>
      <c r="W4180">
        <v>0</v>
      </c>
      <c r="X4180">
        <v>1</v>
      </c>
      <c r="Z4180">
        <v>0</v>
      </c>
      <c r="AA4180">
        <v>9</v>
      </c>
      <c r="AB4180">
        <v>3</v>
      </c>
      <c r="AC4180">
        <v>0</v>
      </c>
      <c r="AD4180">
        <v>9</v>
      </c>
      <c r="AE4180">
        <v>0</v>
      </c>
      <c r="AF4180">
        <v>3</v>
      </c>
      <c r="AG4180">
        <v>1</v>
      </c>
      <c r="AH4180">
        <v>0</v>
      </c>
      <c r="AI4180" t="s">
        <v>1324</v>
      </c>
      <c r="AJ4180">
        <v>34.068089000000001</v>
      </c>
      <c r="AK4180" t="s">
        <v>1170</v>
      </c>
      <c r="AL4180">
        <v>-117.02081</v>
      </c>
      <c r="AM4180">
        <v>100</v>
      </c>
      <c r="AN4180">
        <v>5400</v>
      </c>
      <c r="AO4180" t="s">
        <v>118</v>
      </c>
      <c r="AP4180">
        <v>-90</v>
      </c>
      <c r="AQ4180">
        <v>36</v>
      </c>
      <c r="AR4180">
        <v>-448</v>
      </c>
      <c r="AZ4180">
        <v>1200</v>
      </c>
      <c r="BA4180">
        <v>1</v>
      </c>
      <c r="BB4180" t="str">
        <f t="shared" si="2336"/>
        <v xml:space="preserve">N9217B  </v>
      </c>
      <c r="BC4180">
        <v>1</v>
      </c>
      <c r="BE4180">
        <v>0</v>
      </c>
      <c r="BF4180">
        <v>0</v>
      </c>
      <c r="BG4180">
        <v>0</v>
      </c>
      <c r="BH4180">
        <v>5200</v>
      </c>
      <c r="BI4180">
        <v>1</v>
      </c>
      <c r="BJ4180">
        <v>0</v>
      </c>
      <c r="BK4180">
        <v>0</v>
      </c>
      <c r="BL4180">
        <v>0</v>
      </c>
      <c r="BO4180">
        <v>0</v>
      </c>
      <c r="BP4180">
        <v>0</v>
      </c>
      <c r="BW4180" t="str">
        <f t="shared" si="2344"/>
        <v>14:59:26.317</v>
      </c>
      <c r="CJ4180">
        <v>0</v>
      </c>
      <c r="CK4180">
        <v>2</v>
      </c>
      <c r="CL4180">
        <v>0</v>
      </c>
      <c r="CM4180">
        <v>2</v>
      </c>
      <c r="CN4180">
        <v>0</v>
      </c>
      <c r="CO4180">
        <v>6</v>
      </c>
      <c r="CP4180" t="s">
        <v>119</v>
      </c>
      <c r="CQ4180">
        <v>285</v>
      </c>
      <c r="CR4180">
        <v>0</v>
      </c>
      <c r="CW4180">
        <v>8889921</v>
      </c>
      <c r="CY4180">
        <v>0</v>
      </c>
      <c r="CZ4180">
        <v>0</v>
      </c>
      <c r="DA4180">
        <v>1</v>
      </c>
      <c r="DB4180">
        <v>0</v>
      </c>
      <c r="DC4180">
        <v>0</v>
      </c>
      <c r="DD4180">
        <v>0</v>
      </c>
      <c r="DE4180">
        <v>0</v>
      </c>
      <c r="DF4180">
        <v>0</v>
      </c>
      <c r="DG4180">
        <v>0</v>
      </c>
      <c r="DH4180">
        <v>0</v>
      </c>
      <c r="DI4180">
        <v>0</v>
      </c>
    </row>
    <row r="4181" spans="1:113" x14ac:dyDescent="0.25">
      <c r="A4181" t="str">
        <f t="shared" si="2341"/>
        <v>06/05/2020 14:59:20.692</v>
      </c>
      <c r="C4181" t="str">
        <f t="shared" si="2315"/>
        <v>FFDFD3C0</v>
      </c>
      <c r="D4181" t="s">
        <v>148</v>
      </c>
      <c r="E4181">
        <v>11</v>
      </c>
      <c r="H4181">
        <v>53</v>
      </c>
      <c r="I4181" t="s">
        <v>364</v>
      </c>
      <c r="J4181" t="s">
        <v>150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 t="shared" si="2342"/>
        <v>14:59:26.313</v>
      </c>
      <c r="T4181" t="str">
        <f t="shared" si="2343"/>
        <v>14:59:26.013</v>
      </c>
      <c r="U4181" t="str">
        <f t="shared" si="2335"/>
        <v>ACC530</v>
      </c>
      <c r="V4181">
        <v>0</v>
      </c>
      <c r="W4181">
        <v>0</v>
      </c>
      <c r="X4181">
        <v>1</v>
      </c>
      <c r="Z4181">
        <v>0</v>
      </c>
      <c r="AA4181">
        <v>9</v>
      </c>
      <c r="AB4181">
        <v>3</v>
      </c>
      <c r="AC4181">
        <v>0</v>
      </c>
      <c r="AD4181">
        <v>9</v>
      </c>
      <c r="AE4181">
        <v>0</v>
      </c>
      <c r="AF4181">
        <v>3</v>
      </c>
      <c r="AG4181">
        <v>1</v>
      </c>
      <c r="AH4181">
        <v>0</v>
      </c>
      <c r="AI4181" t="s">
        <v>1324</v>
      </c>
      <c r="AJ4181">
        <v>34.068089000000001</v>
      </c>
      <c r="AK4181" t="s">
        <v>1170</v>
      </c>
      <c r="AL4181">
        <v>-117.02081</v>
      </c>
      <c r="AM4181">
        <v>100</v>
      </c>
      <c r="AN4181">
        <v>5400</v>
      </c>
      <c r="AO4181" t="s">
        <v>118</v>
      </c>
      <c r="AP4181">
        <v>-90</v>
      </c>
      <c r="AQ4181">
        <v>36</v>
      </c>
      <c r="AR4181">
        <v>-448</v>
      </c>
      <c r="AZ4181">
        <v>1200</v>
      </c>
      <c r="BA4181">
        <v>1</v>
      </c>
      <c r="BB4181" t="str">
        <f t="shared" si="2336"/>
        <v xml:space="preserve">N9217B  </v>
      </c>
      <c r="BC4181">
        <v>1</v>
      </c>
      <c r="BE4181">
        <v>0</v>
      </c>
      <c r="BF4181">
        <v>0</v>
      </c>
      <c r="BG4181">
        <v>0</v>
      </c>
      <c r="BH4181">
        <v>5200</v>
      </c>
      <c r="BI4181">
        <v>1</v>
      </c>
      <c r="BJ4181">
        <v>0</v>
      </c>
      <c r="BK4181">
        <v>0</v>
      </c>
      <c r="BL4181">
        <v>0</v>
      </c>
      <c r="BO4181">
        <v>0</v>
      </c>
      <c r="BP4181">
        <v>0</v>
      </c>
      <c r="BW4181" t="str">
        <f t="shared" si="2344"/>
        <v>14:59:26.317</v>
      </c>
      <c r="CJ4181">
        <v>0</v>
      </c>
      <c r="CK4181">
        <v>2</v>
      </c>
      <c r="CL4181">
        <v>0</v>
      </c>
      <c r="CM4181">
        <v>2</v>
      </c>
      <c r="CN4181">
        <v>0</v>
      </c>
      <c r="CO4181">
        <v>6</v>
      </c>
      <c r="CP4181" t="s">
        <v>119</v>
      </c>
      <c r="CQ4181">
        <v>285</v>
      </c>
      <c r="CR4181">
        <v>0</v>
      </c>
      <c r="CW4181">
        <v>8889921</v>
      </c>
      <c r="CY4181">
        <v>0</v>
      </c>
      <c r="CZ4181">
        <v>0</v>
      </c>
      <c r="DA4181">
        <v>1</v>
      </c>
      <c r="DB4181">
        <v>0</v>
      </c>
      <c r="DC4181">
        <v>0</v>
      </c>
      <c r="DD4181">
        <v>0</v>
      </c>
      <c r="DE4181">
        <v>0</v>
      </c>
      <c r="DF4181">
        <v>0</v>
      </c>
      <c r="DG4181">
        <v>0</v>
      </c>
      <c r="DH4181">
        <v>0</v>
      </c>
      <c r="DI4181">
        <v>0</v>
      </c>
    </row>
    <row r="4182" spans="1:113" x14ac:dyDescent="0.25">
      <c r="A4182" t="str">
        <f t="shared" ref="A4182:A4188" si="2345">"06/05/2020 14:59:21.695"</f>
        <v>06/05/2020 14:59:21.695</v>
      </c>
      <c r="C4182" t="str">
        <f t="shared" si="2315"/>
        <v>FFDFD3C0</v>
      </c>
      <c r="D4182" t="s">
        <v>141</v>
      </c>
      <c r="E4182">
        <v>20</v>
      </c>
      <c r="F4182">
        <v>1020</v>
      </c>
      <c r="G4182" t="s">
        <v>114</v>
      </c>
      <c r="J4182" t="s">
        <v>142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 t="shared" ref="S4182:S4188" si="2346">"14:59:27.336"</f>
        <v>14:59:27.336</v>
      </c>
      <c r="T4182" t="str">
        <f t="shared" ref="T4182:T4188" si="2347">"14:59:27.036"</f>
        <v>14:59:27.036</v>
      </c>
      <c r="U4182" t="str">
        <f t="shared" si="2335"/>
        <v>ACC530</v>
      </c>
      <c r="V4182">
        <v>0</v>
      </c>
      <c r="W4182">
        <v>0</v>
      </c>
      <c r="X4182">
        <v>1</v>
      </c>
      <c r="Z4182">
        <v>0</v>
      </c>
      <c r="AA4182">
        <v>9</v>
      </c>
      <c r="AB4182">
        <v>3</v>
      </c>
      <c r="AC4182">
        <v>0</v>
      </c>
      <c r="AD4182">
        <v>9</v>
      </c>
      <c r="AE4182">
        <v>0</v>
      </c>
      <c r="AF4182">
        <v>3</v>
      </c>
      <c r="AG4182">
        <v>1</v>
      </c>
      <c r="AH4182">
        <v>0</v>
      </c>
      <c r="AI4182" t="s">
        <v>1325</v>
      </c>
      <c r="AJ4182">
        <v>34.068282000000004</v>
      </c>
      <c r="AK4182" t="s">
        <v>739</v>
      </c>
      <c r="AL4182">
        <v>-117.021325</v>
      </c>
      <c r="AM4182">
        <v>100</v>
      </c>
      <c r="AN4182">
        <v>5400</v>
      </c>
      <c r="AO4182" t="s">
        <v>118</v>
      </c>
      <c r="AP4182">
        <v>-92</v>
      </c>
      <c r="AQ4182">
        <v>35</v>
      </c>
      <c r="AR4182">
        <v>-512</v>
      </c>
      <c r="AZ4182">
        <v>1200</v>
      </c>
      <c r="BA4182">
        <v>1</v>
      </c>
      <c r="BB4182" t="str">
        <f t="shared" si="2336"/>
        <v xml:space="preserve">N9217B  </v>
      </c>
      <c r="BC4182">
        <v>1</v>
      </c>
      <c r="BE4182">
        <v>0</v>
      </c>
      <c r="BF4182">
        <v>0</v>
      </c>
      <c r="BG4182">
        <v>0</v>
      </c>
      <c r="BH4182">
        <v>5275</v>
      </c>
      <c r="BI4182">
        <v>1</v>
      </c>
      <c r="BJ4182">
        <v>0</v>
      </c>
      <c r="BK4182">
        <v>0</v>
      </c>
      <c r="BL4182">
        <v>0</v>
      </c>
      <c r="BO4182">
        <v>0</v>
      </c>
      <c r="BP4182">
        <v>0</v>
      </c>
      <c r="BW4182" t="str">
        <f t="shared" ref="BW4182:BW4188" si="2348">"14:59:27.336"</f>
        <v>14:59:27.336</v>
      </c>
      <c r="CJ4182">
        <v>0</v>
      </c>
      <c r="CK4182">
        <v>2</v>
      </c>
      <c r="CL4182">
        <v>0</v>
      </c>
      <c r="CM4182">
        <v>2</v>
      </c>
      <c r="CN4182">
        <v>0</v>
      </c>
      <c r="CO4182">
        <v>7</v>
      </c>
      <c r="CP4182" t="s">
        <v>119</v>
      </c>
      <c r="CQ4182">
        <v>285</v>
      </c>
      <c r="CR4182">
        <v>0</v>
      </c>
      <c r="CW4182">
        <v>8890020</v>
      </c>
      <c r="CY4182">
        <v>0</v>
      </c>
      <c r="CZ4182">
        <v>0</v>
      </c>
      <c r="DA4182">
        <v>0</v>
      </c>
      <c r="DB4182">
        <v>0</v>
      </c>
      <c r="DC4182">
        <v>0</v>
      </c>
      <c r="DD4182">
        <v>0</v>
      </c>
      <c r="DE4182">
        <v>0</v>
      </c>
      <c r="DF4182">
        <v>0</v>
      </c>
      <c r="DG4182">
        <v>0</v>
      </c>
      <c r="DH4182">
        <v>0</v>
      </c>
      <c r="DI4182">
        <v>0</v>
      </c>
    </row>
    <row r="4183" spans="1:113" x14ac:dyDescent="0.25">
      <c r="A4183" t="str">
        <f t="shared" si="2345"/>
        <v>06/05/2020 14:59:21.695</v>
      </c>
      <c r="C4183" t="str">
        <f t="shared" si="2315"/>
        <v>FFDFD3C0</v>
      </c>
      <c r="D4183" t="s">
        <v>148</v>
      </c>
      <c r="E4183">
        <v>11</v>
      </c>
      <c r="H4183">
        <v>53</v>
      </c>
      <c r="I4183" t="s">
        <v>364</v>
      </c>
      <c r="J4183" t="s">
        <v>150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 t="shared" si="2346"/>
        <v>14:59:27.336</v>
      </c>
      <c r="T4183" t="str">
        <f t="shared" si="2347"/>
        <v>14:59:27.036</v>
      </c>
      <c r="U4183" t="str">
        <f t="shared" si="2335"/>
        <v>ACC530</v>
      </c>
      <c r="V4183">
        <v>0</v>
      </c>
      <c r="W4183">
        <v>0</v>
      </c>
      <c r="X4183">
        <v>1</v>
      </c>
      <c r="Z4183">
        <v>0</v>
      </c>
      <c r="AA4183">
        <v>9</v>
      </c>
      <c r="AB4183">
        <v>3</v>
      </c>
      <c r="AC4183">
        <v>0</v>
      </c>
      <c r="AD4183">
        <v>9</v>
      </c>
      <c r="AE4183">
        <v>0</v>
      </c>
      <c r="AF4183">
        <v>3</v>
      </c>
      <c r="AG4183">
        <v>1</v>
      </c>
      <c r="AH4183">
        <v>0</v>
      </c>
      <c r="AI4183" t="s">
        <v>1325</v>
      </c>
      <c r="AJ4183">
        <v>34.068282000000004</v>
      </c>
      <c r="AK4183" t="s">
        <v>739</v>
      </c>
      <c r="AL4183">
        <v>-117.021325</v>
      </c>
      <c r="AM4183">
        <v>100</v>
      </c>
      <c r="AN4183">
        <v>5400</v>
      </c>
      <c r="AO4183" t="s">
        <v>118</v>
      </c>
      <c r="AP4183">
        <v>-92</v>
      </c>
      <c r="AQ4183">
        <v>35</v>
      </c>
      <c r="AR4183">
        <v>-512</v>
      </c>
      <c r="AZ4183">
        <v>1200</v>
      </c>
      <c r="BA4183">
        <v>1</v>
      </c>
      <c r="BB4183" t="str">
        <f t="shared" si="2336"/>
        <v xml:space="preserve">N9217B  </v>
      </c>
      <c r="BC4183">
        <v>1</v>
      </c>
      <c r="BE4183">
        <v>0</v>
      </c>
      <c r="BF4183">
        <v>0</v>
      </c>
      <c r="BG4183">
        <v>0</v>
      </c>
      <c r="BH4183">
        <v>5275</v>
      </c>
      <c r="BI4183">
        <v>1</v>
      </c>
      <c r="BJ4183">
        <v>0</v>
      </c>
      <c r="BK4183">
        <v>0</v>
      </c>
      <c r="BL4183">
        <v>0</v>
      </c>
      <c r="BO4183">
        <v>0</v>
      </c>
      <c r="BP4183">
        <v>0</v>
      </c>
      <c r="BW4183" t="str">
        <f t="shared" si="2348"/>
        <v>14:59:27.336</v>
      </c>
      <c r="CJ4183">
        <v>0</v>
      </c>
      <c r="CK4183">
        <v>2</v>
      </c>
      <c r="CL4183">
        <v>0</v>
      </c>
      <c r="CM4183">
        <v>2</v>
      </c>
      <c r="CN4183">
        <v>0</v>
      </c>
      <c r="CO4183">
        <v>7</v>
      </c>
      <c r="CP4183" t="s">
        <v>119</v>
      </c>
      <c r="CQ4183">
        <v>285</v>
      </c>
      <c r="CR4183">
        <v>0</v>
      </c>
      <c r="CW4183">
        <v>8890020</v>
      </c>
      <c r="CY4183">
        <v>0</v>
      </c>
      <c r="CZ4183">
        <v>0</v>
      </c>
      <c r="DA4183">
        <v>1</v>
      </c>
      <c r="DB4183">
        <v>0</v>
      </c>
      <c r="DC4183">
        <v>0</v>
      </c>
      <c r="DD4183">
        <v>0</v>
      </c>
      <c r="DE4183">
        <v>0</v>
      </c>
      <c r="DF4183">
        <v>0</v>
      </c>
      <c r="DG4183">
        <v>0</v>
      </c>
      <c r="DH4183">
        <v>0</v>
      </c>
      <c r="DI4183">
        <v>0</v>
      </c>
    </row>
    <row r="4184" spans="1:113" x14ac:dyDescent="0.25">
      <c r="A4184" t="str">
        <f t="shared" si="2345"/>
        <v>06/05/2020 14:59:21.695</v>
      </c>
      <c r="C4184" t="str">
        <f t="shared" si="2315"/>
        <v>FFDFD3C0</v>
      </c>
      <c r="D4184" t="s">
        <v>113</v>
      </c>
      <c r="E4184">
        <v>3</v>
      </c>
      <c r="H4184">
        <v>166</v>
      </c>
      <c r="I4184" t="s">
        <v>114</v>
      </c>
      <c r="J4184" t="s">
        <v>115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 t="shared" si="2346"/>
        <v>14:59:27.336</v>
      </c>
      <c r="T4184" t="str">
        <f t="shared" si="2347"/>
        <v>14:59:27.036</v>
      </c>
      <c r="U4184" t="str">
        <f t="shared" si="2335"/>
        <v>ACC530</v>
      </c>
      <c r="V4184">
        <v>0</v>
      </c>
      <c r="W4184">
        <v>0</v>
      </c>
      <c r="X4184">
        <v>1</v>
      </c>
      <c r="Z4184">
        <v>0</v>
      </c>
      <c r="AA4184">
        <v>9</v>
      </c>
      <c r="AB4184">
        <v>3</v>
      </c>
      <c r="AC4184">
        <v>0</v>
      </c>
      <c r="AD4184">
        <v>9</v>
      </c>
      <c r="AE4184">
        <v>0</v>
      </c>
      <c r="AF4184">
        <v>3</v>
      </c>
      <c r="AG4184">
        <v>1</v>
      </c>
      <c r="AH4184">
        <v>0</v>
      </c>
      <c r="AI4184" t="s">
        <v>1325</v>
      </c>
      <c r="AJ4184">
        <v>34.068282000000004</v>
      </c>
      <c r="AK4184" t="s">
        <v>739</v>
      </c>
      <c r="AL4184">
        <v>-117.021325</v>
      </c>
      <c r="AM4184">
        <v>100</v>
      </c>
      <c r="AN4184">
        <v>5400</v>
      </c>
      <c r="AO4184" t="s">
        <v>118</v>
      </c>
      <c r="AP4184">
        <v>-92</v>
      </c>
      <c r="AQ4184">
        <v>35</v>
      </c>
      <c r="AR4184">
        <v>-512</v>
      </c>
      <c r="AZ4184">
        <v>1200</v>
      </c>
      <c r="BA4184">
        <v>1</v>
      </c>
      <c r="BB4184" t="str">
        <f t="shared" si="2336"/>
        <v xml:space="preserve">N9217B  </v>
      </c>
      <c r="BC4184">
        <v>1</v>
      </c>
      <c r="BE4184">
        <v>0</v>
      </c>
      <c r="BF4184">
        <v>0</v>
      </c>
      <c r="BG4184">
        <v>0</v>
      </c>
      <c r="BH4184">
        <v>5275</v>
      </c>
      <c r="BI4184">
        <v>1</v>
      </c>
      <c r="BJ4184">
        <v>0</v>
      </c>
      <c r="BK4184">
        <v>0</v>
      </c>
      <c r="BL4184">
        <v>0</v>
      </c>
      <c r="BO4184">
        <v>0</v>
      </c>
      <c r="BP4184">
        <v>0</v>
      </c>
      <c r="BW4184" t="str">
        <f t="shared" si="2348"/>
        <v>14:59:27.336</v>
      </c>
      <c r="CJ4184">
        <v>0</v>
      </c>
      <c r="CK4184">
        <v>2</v>
      </c>
      <c r="CL4184">
        <v>0</v>
      </c>
      <c r="CM4184">
        <v>2</v>
      </c>
      <c r="CN4184">
        <v>0</v>
      </c>
      <c r="CO4184">
        <v>7</v>
      </c>
      <c r="CP4184" t="s">
        <v>119</v>
      </c>
      <c r="CQ4184">
        <v>285</v>
      </c>
      <c r="CR4184">
        <v>0</v>
      </c>
      <c r="CW4184">
        <v>8890020</v>
      </c>
      <c r="CY4184">
        <v>0</v>
      </c>
      <c r="CZ4184">
        <v>0</v>
      </c>
      <c r="DA4184">
        <v>1</v>
      </c>
      <c r="DB4184">
        <v>0</v>
      </c>
      <c r="DC4184">
        <v>0</v>
      </c>
      <c r="DD4184">
        <v>0</v>
      </c>
      <c r="DE4184">
        <v>0</v>
      </c>
      <c r="DF4184">
        <v>0</v>
      </c>
      <c r="DG4184">
        <v>0</v>
      </c>
      <c r="DH4184">
        <v>0</v>
      </c>
      <c r="DI4184">
        <v>0</v>
      </c>
    </row>
    <row r="4185" spans="1:113" x14ac:dyDescent="0.25">
      <c r="A4185" t="str">
        <f t="shared" si="2345"/>
        <v>06/05/2020 14:59:21.695</v>
      </c>
      <c r="C4185" t="str">
        <f t="shared" si="2315"/>
        <v>FFDFD3C0</v>
      </c>
      <c r="D4185" t="s">
        <v>151</v>
      </c>
      <c r="E4185">
        <v>8</v>
      </c>
      <c r="H4185">
        <v>225</v>
      </c>
      <c r="I4185" t="s">
        <v>353</v>
      </c>
      <c r="J4185" t="s">
        <v>150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 t="shared" si="2346"/>
        <v>14:59:27.336</v>
      </c>
      <c r="T4185" t="str">
        <f t="shared" si="2347"/>
        <v>14:59:27.036</v>
      </c>
      <c r="U4185" t="str">
        <f t="shared" si="2335"/>
        <v>ACC530</v>
      </c>
      <c r="V4185">
        <v>0</v>
      </c>
      <c r="W4185">
        <v>0</v>
      </c>
      <c r="X4185">
        <v>1</v>
      </c>
      <c r="Z4185">
        <v>0</v>
      </c>
      <c r="AA4185">
        <v>9</v>
      </c>
      <c r="AB4185">
        <v>3</v>
      </c>
      <c r="AC4185">
        <v>0</v>
      </c>
      <c r="AD4185">
        <v>9</v>
      </c>
      <c r="AE4185">
        <v>0</v>
      </c>
      <c r="AF4185">
        <v>3</v>
      </c>
      <c r="AG4185">
        <v>1</v>
      </c>
      <c r="AH4185">
        <v>0</v>
      </c>
      <c r="AI4185" t="s">
        <v>1325</v>
      </c>
      <c r="AJ4185">
        <v>34.068282000000004</v>
      </c>
      <c r="AK4185" t="s">
        <v>739</v>
      </c>
      <c r="AL4185">
        <v>-117.021325</v>
      </c>
      <c r="AM4185">
        <v>100</v>
      </c>
      <c r="AN4185">
        <v>5400</v>
      </c>
      <c r="AO4185" t="s">
        <v>118</v>
      </c>
      <c r="AP4185">
        <v>-92</v>
      </c>
      <c r="AQ4185">
        <v>35</v>
      </c>
      <c r="AR4185">
        <v>-512</v>
      </c>
      <c r="AZ4185">
        <v>1200</v>
      </c>
      <c r="BA4185">
        <v>1</v>
      </c>
      <c r="BB4185" t="str">
        <f t="shared" si="2336"/>
        <v xml:space="preserve">N9217B  </v>
      </c>
      <c r="BC4185">
        <v>1</v>
      </c>
      <c r="BE4185">
        <v>0</v>
      </c>
      <c r="BF4185">
        <v>0</v>
      </c>
      <c r="BG4185">
        <v>0</v>
      </c>
      <c r="BH4185">
        <v>5275</v>
      </c>
      <c r="BI4185">
        <v>1</v>
      </c>
      <c r="BJ4185">
        <v>0</v>
      </c>
      <c r="BK4185">
        <v>0</v>
      </c>
      <c r="BL4185">
        <v>0</v>
      </c>
      <c r="BO4185">
        <v>0</v>
      </c>
      <c r="BP4185">
        <v>0</v>
      </c>
      <c r="BW4185" t="str">
        <f t="shared" si="2348"/>
        <v>14:59:27.336</v>
      </c>
      <c r="CJ4185">
        <v>0</v>
      </c>
      <c r="CK4185">
        <v>2</v>
      </c>
      <c r="CL4185">
        <v>0</v>
      </c>
      <c r="CM4185">
        <v>2</v>
      </c>
      <c r="CN4185">
        <v>0</v>
      </c>
      <c r="CO4185">
        <v>7</v>
      </c>
      <c r="CP4185" t="s">
        <v>119</v>
      </c>
      <c r="CQ4185">
        <v>285</v>
      </c>
      <c r="CR4185">
        <v>0</v>
      </c>
      <c r="CW4185">
        <v>8890020</v>
      </c>
      <c r="CY4185">
        <v>0</v>
      </c>
      <c r="CZ4185">
        <v>0</v>
      </c>
      <c r="DA4185">
        <v>1</v>
      </c>
      <c r="DB4185">
        <v>0</v>
      </c>
      <c r="DC4185">
        <v>0</v>
      </c>
      <c r="DD4185">
        <v>0</v>
      </c>
      <c r="DE4185">
        <v>0</v>
      </c>
      <c r="DF4185">
        <v>0</v>
      </c>
      <c r="DG4185">
        <v>0</v>
      </c>
      <c r="DH4185">
        <v>0</v>
      </c>
      <c r="DI4185">
        <v>0</v>
      </c>
    </row>
    <row r="4186" spans="1:113" x14ac:dyDescent="0.25">
      <c r="A4186" t="str">
        <f t="shared" si="2345"/>
        <v>06/05/2020 14:59:21.695</v>
      </c>
      <c r="C4186" t="str">
        <f t="shared" si="2315"/>
        <v>FFDFD3C0</v>
      </c>
      <c r="D4186" t="s">
        <v>134</v>
      </c>
      <c r="E4186">
        <v>7</v>
      </c>
      <c r="F4186">
        <v>2007</v>
      </c>
      <c r="G4186" t="s">
        <v>135</v>
      </c>
      <c r="J4186" t="s">
        <v>136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 t="shared" si="2346"/>
        <v>14:59:27.336</v>
      </c>
      <c r="T4186" t="str">
        <f t="shared" si="2347"/>
        <v>14:59:27.036</v>
      </c>
      <c r="U4186" t="str">
        <f t="shared" si="2335"/>
        <v>ACC530</v>
      </c>
      <c r="V4186">
        <v>0</v>
      </c>
      <c r="W4186">
        <v>0</v>
      </c>
      <c r="X4186">
        <v>1</v>
      </c>
      <c r="Z4186">
        <v>0</v>
      </c>
      <c r="AA4186">
        <v>9</v>
      </c>
      <c r="AB4186">
        <v>3</v>
      </c>
      <c r="AC4186">
        <v>0</v>
      </c>
      <c r="AD4186">
        <v>9</v>
      </c>
      <c r="AE4186">
        <v>0</v>
      </c>
      <c r="AF4186">
        <v>3</v>
      </c>
      <c r="AG4186">
        <v>1</v>
      </c>
      <c r="AH4186">
        <v>0</v>
      </c>
      <c r="AI4186" t="s">
        <v>1325</v>
      </c>
      <c r="AJ4186">
        <v>34.068282000000004</v>
      </c>
      <c r="AK4186" t="s">
        <v>739</v>
      </c>
      <c r="AL4186">
        <v>-117.021325</v>
      </c>
      <c r="AM4186">
        <v>100</v>
      </c>
      <c r="AN4186">
        <v>5400</v>
      </c>
      <c r="AO4186" t="s">
        <v>118</v>
      </c>
      <c r="AP4186">
        <v>-92</v>
      </c>
      <c r="AQ4186">
        <v>35</v>
      </c>
      <c r="AR4186">
        <v>-512</v>
      </c>
      <c r="AZ4186">
        <v>1200</v>
      </c>
      <c r="BA4186">
        <v>1</v>
      </c>
      <c r="BB4186" t="str">
        <f t="shared" si="2336"/>
        <v xml:space="preserve">N9217B  </v>
      </c>
      <c r="BC4186">
        <v>1</v>
      </c>
      <c r="BE4186">
        <v>0</v>
      </c>
      <c r="BF4186">
        <v>0</v>
      </c>
      <c r="BG4186">
        <v>0</v>
      </c>
      <c r="BH4186">
        <v>5275</v>
      </c>
      <c r="BI4186">
        <v>1</v>
      </c>
      <c r="BJ4186">
        <v>0</v>
      </c>
      <c r="BK4186">
        <v>0</v>
      </c>
      <c r="BL4186">
        <v>0</v>
      </c>
      <c r="BO4186">
        <v>0</v>
      </c>
      <c r="BP4186">
        <v>0</v>
      </c>
      <c r="BW4186" t="str">
        <f t="shared" si="2348"/>
        <v>14:59:27.336</v>
      </c>
      <c r="CJ4186">
        <v>0</v>
      </c>
      <c r="CK4186">
        <v>2</v>
      </c>
      <c r="CL4186">
        <v>0</v>
      </c>
      <c r="CM4186">
        <v>2</v>
      </c>
      <c r="CN4186">
        <v>0</v>
      </c>
      <c r="CO4186">
        <v>7</v>
      </c>
      <c r="CP4186" t="s">
        <v>119</v>
      </c>
      <c r="CQ4186">
        <v>285</v>
      </c>
      <c r="CR4186">
        <v>0</v>
      </c>
      <c r="CW4186">
        <v>8890020</v>
      </c>
      <c r="CY4186">
        <v>0</v>
      </c>
      <c r="CZ4186">
        <v>0</v>
      </c>
      <c r="DA4186">
        <v>1</v>
      </c>
      <c r="DB4186">
        <v>0</v>
      </c>
      <c r="DC4186">
        <v>0</v>
      </c>
      <c r="DD4186">
        <v>0</v>
      </c>
      <c r="DE4186">
        <v>0</v>
      </c>
      <c r="DF4186">
        <v>0</v>
      </c>
      <c r="DG4186">
        <v>0</v>
      </c>
      <c r="DH4186">
        <v>0</v>
      </c>
      <c r="DI4186">
        <v>0</v>
      </c>
    </row>
    <row r="4187" spans="1:113" x14ac:dyDescent="0.25">
      <c r="A4187" t="str">
        <f t="shared" si="2345"/>
        <v>06/05/2020 14:59:21.695</v>
      </c>
      <c r="C4187" t="str">
        <f t="shared" si="2315"/>
        <v>FFDFD3C0</v>
      </c>
      <c r="D4187" t="s">
        <v>148</v>
      </c>
      <c r="E4187">
        <v>8</v>
      </c>
      <c r="H4187">
        <v>50</v>
      </c>
      <c r="I4187" t="s">
        <v>149</v>
      </c>
      <c r="J4187" t="s">
        <v>150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 t="shared" si="2346"/>
        <v>14:59:27.336</v>
      </c>
      <c r="T4187" t="str">
        <f t="shared" si="2347"/>
        <v>14:59:27.036</v>
      </c>
      <c r="U4187" t="str">
        <f t="shared" si="2335"/>
        <v>ACC530</v>
      </c>
      <c r="V4187">
        <v>0</v>
      </c>
      <c r="W4187">
        <v>0</v>
      </c>
      <c r="X4187">
        <v>1</v>
      </c>
      <c r="Z4187">
        <v>0</v>
      </c>
      <c r="AA4187">
        <v>9</v>
      </c>
      <c r="AB4187">
        <v>3</v>
      </c>
      <c r="AC4187">
        <v>0</v>
      </c>
      <c r="AD4187">
        <v>9</v>
      </c>
      <c r="AE4187">
        <v>0</v>
      </c>
      <c r="AF4187">
        <v>3</v>
      </c>
      <c r="AG4187">
        <v>1</v>
      </c>
      <c r="AH4187">
        <v>0</v>
      </c>
      <c r="AI4187" t="s">
        <v>1325</v>
      </c>
      <c r="AJ4187">
        <v>34.068282000000004</v>
      </c>
      <c r="AK4187" t="s">
        <v>739</v>
      </c>
      <c r="AL4187">
        <v>-117.021325</v>
      </c>
      <c r="AM4187">
        <v>100</v>
      </c>
      <c r="AN4187">
        <v>5400</v>
      </c>
      <c r="AO4187" t="s">
        <v>118</v>
      </c>
      <c r="AP4187">
        <v>-92</v>
      </c>
      <c r="AQ4187">
        <v>35</v>
      </c>
      <c r="AR4187">
        <v>-512</v>
      </c>
      <c r="AZ4187">
        <v>1200</v>
      </c>
      <c r="BA4187">
        <v>1</v>
      </c>
      <c r="BB4187" t="str">
        <f t="shared" si="2336"/>
        <v xml:space="preserve">N9217B  </v>
      </c>
      <c r="BC4187">
        <v>1</v>
      </c>
      <c r="BE4187">
        <v>0</v>
      </c>
      <c r="BF4187">
        <v>0</v>
      </c>
      <c r="BG4187">
        <v>0</v>
      </c>
      <c r="BH4187">
        <v>5275</v>
      </c>
      <c r="BI4187">
        <v>1</v>
      </c>
      <c r="BJ4187">
        <v>0</v>
      </c>
      <c r="BK4187">
        <v>0</v>
      </c>
      <c r="BL4187">
        <v>0</v>
      </c>
      <c r="BO4187">
        <v>0</v>
      </c>
      <c r="BP4187">
        <v>0</v>
      </c>
      <c r="BW4187" t="str">
        <f t="shared" si="2348"/>
        <v>14:59:27.336</v>
      </c>
      <c r="CJ4187">
        <v>0</v>
      </c>
      <c r="CK4187">
        <v>2</v>
      </c>
      <c r="CL4187">
        <v>0</v>
      </c>
      <c r="CM4187">
        <v>2</v>
      </c>
      <c r="CN4187">
        <v>0</v>
      </c>
      <c r="CO4187">
        <v>7</v>
      </c>
      <c r="CP4187" t="s">
        <v>119</v>
      </c>
      <c r="CQ4187">
        <v>285</v>
      </c>
      <c r="CR4187">
        <v>0</v>
      </c>
      <c r="CW4187">
        <v>8890020</v>
      </c>
      <c r="CY4187">
        <v>0</v>
      </c>
      <c r="CZ4187">
        <v>0</v>
      </c>
      <c r="DA4187">
        <v>1</v>
      </c>
      <c r="DB4187">
        <v>0</v>
      </c>
      <c r="DC4187">
        <v>0</v>
      </c>
      <c r="DD4187">
        <v>0</v>
      </c>
      <c r="DE4187">
        <v>0</v>
      </c>
      <c r="DF4187">
        <v>0</v>
      </c>
      <c r="DG4187">
        <v>0</v>
      </c>
      <c r="DH4187">
        <v>0</v>
      </c>
      <c r="DI4187">
        <v>0</v>
      </c>
    </row>
    <row r="4188" spans="1:113" x14ac:dyDescent="0.25">
      <c r="A4188" t="str">
        <f t="shared" si="2345"/>
        <v>06/05/2020 14:59:21.695</v>
      </c>
      <c r="C4188" t="str">
        <f t="shared" si="2315"/>
        <v>FFDFD3C0</v>
      </c>
      <c r="D4188" t="s">
        <v>151</v>
      </c>
      <c r="E4188">
        <v>9</v>
      </c>
      <c r="H4188">
        <v>226</v>
      </c>
      <c r="I4188" t="s">
        <v>152</v>
      </c>
      <c r="J4188" t="s">
        <v>150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 t="shared" si="2346"/>
        <v>14:59:27.336</v>
      </c>
      <c r="T4188" t="str">
        <f t="shared" si="2347"/>
        <v>14:59:27.036</v>
      </c>
      <c r="U4188" t="str">
        <f t="shared" si="2335"/>
        <v>ACC530</v>
      </c>
      <c r="V4188">
        <v>0</v>
      </c>
      <c r="W4188">
        <v>0</v>
      </c>
      <c r="X4188">
        <v>1</v>
      </c>
      <c r="Z4188">
        <v>0</v>
      </c>
      <c r="AA4188">
        <v>9</v>
      </c>
      <c r="AB4188">
        <v>3</v>
      </c>
      <c r="AC4188">
        <v>0</v>
      </c>
      <c r="AD4188">
        <v>9</v>
      </c>
      <c r="AE4188">
        <v>0</v>
      </c>
      <c r="AF4188">
        <v>3</v>
      </c>
      <c r="AG4188">
        <v>1</v>
      </c>
      <c r="AH4188">
        <v>0</v>
      </c>
      <c r="AI4188" t="s">
        <v>1325</v>
      </c>
      <c r="AJ4188">
        <v>34.068282000000004</v>
      </c>
      <c r="AK4188" t="s">
        <v>739</v>
      </c>
      <c r="AL4188">
        <v>-117.021325</v>
      </c>
      <c r="AM4188">
        <v>100</v>
      </c>
      <c r="AN4188">
        <v>5400</v>
      </c>
      <c r="AO4188" t="s">
        <v>118</v>
      </c>
      <c r="AP4188">
        <v>-92</v>
      </c>
      <c r="AQ4188">
        <v>35</v>
      </c>
      <c r="AR4188">
        <v>-512</v>
      </c>
      <c r="AZ4188">
        <v>1200</v>
      </c>
      <c r="BA4188">
        <v>1</v>
      </c>
      <c r="BB4188" t="str">
        <f t="shared" si="2336"/>
        <v xml:space="preserve">N9217B  </v>
      </c>
      <c r="BC4188">
        <v>1</v>
      </c>
      <c r="BE4188">
        <v>0</v>
      </c>
      <c r="BF4188">
        <v>0</v>
      </c>
      <c r="BG4188">
        <v>0</v>
      </c>
      <c r="BH4188">
        <v>5275</v>
      </c>
      <c r="BI4188">
        <v>1</v>
      </c>
      <c r="BJ4188">
        <v>0</v>
      </c>
      <c r="BK4188">
        <v>0</v>
      </c>
      <c r="BL4188">
        <v>0</v>
      </c>
      <c r="BO4188">
        <v>0</v>
      </c>
      <c r="BP4188">
        <v>0</v>
      </c>
      <c r="BW4188" t="str">
        <f t="shared" si="2348"/>
        <v>14:59:27.336</v>
      </c>
      <c r="CJ4188">
        <v>0</v>
      </c>
      <c r="CK4188">
        <v>2</v>
      </c>
      <c r="CL4188">
        <v>0</v>
      </c>
      <c r="CM4188">
        <v>2</v>
      </c>
      <c r="CN4188">
        <v>0</v>
      </c>
      <c r="CO4188">
        <v>7</v>
      </c>
      <c r="CP4188" t="s">
        <v>119</v>
      </c>
      <c r="CQ4188">
        <v>285</v>
      </c>
      <c r="CR4188">
        <v>0</v>
      </c>
      <c r="CW4188">
        <v>8890020</v>
      </c>
      <c r="CY4188">
        <v>0</v>
      </c>
      <c r="CZ4188">
        <v>0</v>
      </c>
      <c r="DA4188">
        <v>1</v>
      </c>
      <c r="DB4188">
        <v>0</v>
      </c>
      <c r="DC4188">
        <v>0</v>
      </c>
      <c r="DD4188">
        <v>0</v>
      </c>
      <c r="DE4188">
        <v>0</v>
      </c>
      <c r="DF4188">
        <v>0</v>
      </c>
      <c r="DG4188">
        <v>0</v>
      </c>
      <c r="DH4188">
        <v>0</v>
      </c>
      <c r="DI4188">
        <v>0</v>
      </c>
    </row>
    <row r="4189" spans="1:113" x14ac:dyDescent="0.25">
      <c r="A4189" t="str">
        <f t="shared" ref="A4189:A4195" si="2349">"06/05/2020 14:59:22.791"</f>
        <v>06/05/2020 14:59:22.791</v>
      </c>
      <c r="C4189" t="str">
        <f t="shared" si="2315"/>
        <v>FFDFD3C0</v>
      </c>
      <c r="D4189" t="s">
        <v>134</v>
      </c>
      <c r="E4189">
        <v>7</v>
      </c>
      <c r="F4189">
        <v>2007</v>
      </c>
      <c r="G4189" t="s">
        <v>135</v>
      </c>
      <c r="J4189" t="s">
        <v>136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 t="shared" ref="S4189:S4195" si="2350">"14:59:28.430"</f>
        <v>14:59:28.430</v>
      </c>
      <c r="T4189" t="str">
        <f t="shared" ref="T4189:T4195" si="2351">"14:59:28.030"</f>
        <v>14:59:28.030</v>
      </c>
      <c r="U4189" t="str">
        <f t="shared" si="2335"/>
        <v>ACC530</v>
      </c>
      <c r="V4189">
        <v>0</v>
      </c>
      <c r="W4189">
        <v>0</v>
      </c>
      <c r="X4189">
        <v>1</v>
      </c>
      <c r="Z4189">
        <v>0</v>
      </c>
      <c r="AA4189">
        <v>9</v>
      </c>
      <c r="AB4189">
        <v>3</v>
      </c>
      <c r="AC4189">
        <v>0</v>
      </c>
      <c r="AD4189">
        <v>9</v>
      </c>
      <c r="AE4189">
        <v>0</v>
      </c>
      <c r="AF4189">
        <v>3</v>
      </c>
      <c r="AG4189">
        <v>1</v>
      </c>
      <c r="AH4189">
        <v>0</v>
      </c>
      <c r="AI4189" t="s">
        <v>1326</v>
      </c>
      <c r="AJ4189">
        <v>34.068474999999999</v>
      </c>
      <c r="AK4189" t="s">
        <v>1327</v>
      </c>
      <c r="AL4189">
        <v>-117.021883</v>
      </c>
      <c r="AM4189">
        <v>100</v>
      </c>
      <c r="AN4189">
        <v>5300</v>
      </c>
      <c r="AO4189" t="s">
        <v>118</v>
      </c>
      <c r="AP4189">
        <v>-92</v>
      </c>
      <c r="AQ4189">
        <v>35</v>
      </c>
      <c r="AR4189">
        <v>-512</v>
      </c>
      <c r="AZ4189">
        <v>1200</v>
      </c>
      <c r="BA4189">
        <v>1</v>
      </c>
      <c r="BB4189" t="str">
        <f t="shared" si="2336"/>
        <v xml:space="preserve">N9217B  </v>
      </c>
      <c r="BC4189">
        <v>1</v>
      </c>
      <c r="BE4189">
        <v>0</v>
      </c>
      <c r="BF4189">
        <v>0</v>
      </c>
      <c r="BG4189">
        <v>0</v>
      </c>
      <c r="BH4189">
        <v>5175</v>
      </c>
      <c r="BI4189">
        <v>1</v>
      </c>
      <c r="BJ4189">
        <v>0</v>
      </c>
      <c r="BK4189">
        <v>0</v>
      </c>
      <c r="BL4189">
        <v>0</v>
      </c>
      <c r="BO4189">
        <v>0</v>
      </c>
      <c r="BP4189">
        <v>0</v>
      </c>
      <c r="BW4189" t="str">
        <f t="shared" ref="BW4189:BW4195" si="2352">"14:59:28.431"</f>
        <v>14:59:28.431</v>
      </c>
      <c r="CJ4189">
        <v>0</v>
      </c>
      <c r="CK4189">
        <v>2</v>
      </c>
      <c r="CL4189">
        <v>0</v>
      </c>
      <c r="CM4189">
        <v>2</v>
      </c>
      <c r="CN4189">
        <v>0</v>
      </c>
      <c r="CO4189">
        <v>6</v>
      </c>
      <c r="CP4189" t="s">
        <v>119</v>
      </c>
      <c r="CQ4189">
        <v>285</v>
      </c>
      <c r="CR4189">
        <v>0</v>
      </c>
      <c r="CW4189">
        <v>8890121</v>
      </c>
      <c r="CY4189">
        <v>0</v>
      </c>
      <c r="CZ4189">
        <v>0</v>
      </c>
      <c r="DA4189">
        <v>0</v>
      </c>
      <c r="DB4189">
        <v>0</v>
      </c>
      <c r="DC4189">
        <v>0</v>
      </c>
      <c r="DD4189">
        <v>0</v>
      </c>
      <c r="DE4189">
        <v>0</v>
      </c>
      <c r="DF4189">
        <v>0</v>
      </c>
      <c r="DG4189">
        <v>0</v>
      </c>
      <c r="DH4189">
        <v>0</v>
      </c>
      <c r="DI4189">
        <v>0</v>
      </c>
    </row>
    <row r="4190" spans="1:113" x14ac:dyDescent="0.25">
      <c r="A4190" t="str">
        <f t="shared" si="2349"/>
        <v>06/05/2020 14:59:22.791</v>
      </c>
      <c r="C4190" t="str">
        <f t="shared" si="2315"/>
        <v>FFDFD3C0</v>
      </c>
      <c r="D4190" t="s">
        <v>151</v>
      </c>
      <c r="E4190">
        <v>9</v>
      </c>
      <c r="H4190">
        <v>226</v>
      </c>
      <c r="I4190" t="s">
        <v>152</v>
      </c>
      <c r="J4190" t="s">
        <v>150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 t="shared" si="2350"/>
        <v>14:59:28.430</v>
      </c>
      <c r="T4190" t="str">
        <f t="shared" si="2351"/>
        <v>14:59:28.030</v>
      </c>
      <c r="U4190" t="str">
        <f t="shared" si="2335"/>
        <v>ACC530</v>
      </c>
      <c r="V4190">
        <v>0</v>
      </c>
      <c r="W4190">
        <v>0</v>
      </c>
      <c r="X4190">
        <v>1</v>
      </c>
      <c r="Z4190">
        <v>0</v>
      </c>
      <c r="AA4190">
        <v>9</v>
      </c>
      <c r="AB4190">
        <v>3</v>
      </c>
      <c r="AC4190">
        <v>0</v>
      </c>
      <c r="AD4190">
        <v>9</v>
      </c>
      <c r="AE4190">
        <v>0</v>
      </c>
      <c r="AF4190">
        <v>3</v>
      </c>
      <c r="AG4190">
        <v>1</v>
      </c>
      <c r="AH4190">
        <v>0</v>
      </c>
      <c r="AI4190" t="s">
        <v>1326</v>
      </c>
      <c r="AJ4190">
        <v>34.068474999999999</v>
      </c>
      <c r="AK4190" t="s">
        <v>1327</v>
      </c>
      <c r="AL4190">
        <v>-117.021883</v>
      </c>
      <c r="AM4190">
        <v>100</v>
      </c>
      <c r="AN4190">
        <v>5300</v>
      </c>
      <c r="AO4190" t="s">
        <v>118</v>
      </c>
      <c r="AP4190">
        <v>-92</v>
      </c>
      <c r="AQ4190">
        <v>35</v>
      </c>
      <c r="AR4190">
        <v>-512</v>
      </c>
      <c r="AZ4190">
        <v>1200</v>
      </c>
      <c r="BA4190">
        <v>1</v>
      </c>
      <c r="BB4190" t="str">
        <f t="shared" si="2336"/>
        <v xml:space="preserve">N9217B  </v>
      </c>
      <c r="BC4190">
        <v>1</v>
      </c>
      <c r="BE4190">
        <v>0</v>
      </c>
      <c r="BF4190">
        <v>0</v>
      </c>
      <c r="BG4190">
        <v>0</v>
      </c>
      <c r="BH4190">
        <v>5175</v>
      </c>
      <c r="BI4190">
        <v>1</v>
      </c>
      <c r="BJ4190">
        <v>0</v>
      </c>
      <c r="BK4190">
        <v>0</v>
      </c>
      <c r="BL4190">
        <v>0</v>
      </c>
      <c r="BO4190">
        <v>0</v>
      </c>
      <c r="BP4190">
        <v>0</v>
      </c>
      <c r="BW4190" t="str">
        <f t="shared" si="2352"/>
        <v>14:59:28.431</v>
      </c>
      <c r="CJ4190">
        <v>0</v>
      </c>
      <c r="CK4190">
        <v>2</v>
      </c>
      <c r="CL4190">
        <v>0</v>
      </c>
      <c r="CM4190">
        <v>2</v>
      </c>
      <c r="CN4190">
        <v>0</v>
      </c>
      <c r="CO4190">
        <v>6</v>
      </c>
      <c r="CP4190" t="s">
        <v>119</v>
      </c>
      <c r="CQ4190">
        <v>285</v>
      </c>
      <c r="CR4190">
        <v>0</v>
      </c>
      <c r="CW4190">
        <v>8890121</v>
      </c>
      <c r="CY4190">
        <v>0</v>
      </c>
      <c r="CZ4190">
        <v>0</v>
      </c>
      <c r="DA4190">
        <v>1</v>
      </c>
      <c r="DB4190">
        <v>0</v>
      </c>
      <c r="DC4190">
        <v>0</v>
      </c>
      <c r="DD4190">
        <v>0</v>
      </c>
      <c r="DE4190">
        <v>0</v>
      </c>
      <c r="DF4190">
        <v>0</v>
      </c>
      <c r="DG4190">
        <v>0</v>
      </c>
      <c r="DH4190">
        <v>0</v>
      </c>
      <c r="DI4190">
        <v>0</v>
      </c>
    </row>
    <row r="4191" spans="1:113" x14ac:dyDescent="0.25">
      <c r="A4191" t="str">
        <f t="shared" si="2349"/>
        <v>06/05/2020 14:59:22.791</v>
      </c>
      <c r="C4191" t="str">
        <f t="shared" si="2315"/>
        <v>FFDFD3C0</v>
      </c>
      <c r="D4191" t="s">
        <v>148</v>
      </c>
      <c r="E4191">
        <v>8</v>
      </c>
      <c r="H4191">
        <v>50</v>
      </c>
      <c r="I4191" t="s">
        <v>149</v>
      </c>
      <c r="J4191" t="s">
        <v>150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 t="shared" si="2350"/>
        <v>14:59:28.430</v>
      </c>
      <c r="T4191" t="str">
        <f t="shared" si="2351"/>
        <v>14:59:28.030</v>
      </c>
      <c r="U4191" t="str">
        <f t="shared" si="2335"/>
        <v>ACC530</v>
      </c>
      <c r="V4191">
        <v>0</v>
      </c>
      <c r="W4191">
        <v>0</v>
      </c>
      <c r="X4191">
        <v>1</v>
      </c>
      <c r="Z4191">
        <v>0</v>
      </c>
      <c r="AA4191">
        <v>9</v>
      </c>
      <c r="AB4191">
        <v>3</v>
      </c>
      <c r="AC4191">
        <v>0</v>
      </c>
      <c r="AD4191">
        <v>9</v>
      </c>
      <c r="AE4191">
        <v>0</v>
      </c>
      <c r="AF4191">
        <v>3</v>
      </c>
      <c r="AG4191">
        <v>1</v>
      </c>
      <c r="AH4191">
        <v>0</v>
      </c>
      <c r="AI4191" t="s">
        <v>1326</v>
      </c>
      <c r="AJ4191">
        <v>34.068474999999999</v>
      </c>
      <c r="AK4191" t="s">
        <v>1327</v>
      </c>
      <c r="AL4191">
        <v>-117.021883</v>
      </c>
      <c r="AM4191">
        <v>100</v>
      </c>
      <c r="AN4191">
        <v>5300</v>
      </c>
      <c r="AO4191" t="s">
        <v>118</v>
      </c>
      <c r="AP4191">
        <v>-92</v>
      </c>
      <c r="AQ4191">
        <v>35</v>
      </c>
      <c r="AR4191">
        <v>-512</v>
      </c>
      <c r="AZ4191">
        <v>1200</v>
      </c>
      <c r="BA4191">
        <v>1</v>
      </c>
      <c r="BB4191" t="str">
        <f t="shared" si="2336"/>
        <v xml:space="preserve">N9217B  </v>
      </c>
      <c r="BC4191">
        <v>1</v>
      </c>
      <c r="BE4191">
        <v>0</v>
      </c>
      <c r="BF4191">
        <v>0</v>
      </c>
      <c r="BG4191">
        <v>0</v>
      </c>
      <c r="BH4191">
        <v>5175</v>
      </c>
      <c r="BI4191">
        <v>1</v>
      </c>
      <c r="BJ4191">
        <v>0</v>
      </c>
      <c r="BK4191">
        <v>0</v>
      </c>
      <c r="BL4191">
        <v>0</v>
      </c>
      <c r="BO4191">
        <v>0</v>
      </c>
      <c r="BP4191">
        <v>0</v>
      </c>
      <c r="BW4191" t="str">
        <f t="shared" si="2352"/>
        <v>14:59:28.431</v>
      </c>
      <c r="CJ4191">
        <v>0</v>
      </c>
      <c r="CK4191">
        <v>2</v>
      </c>
      <c r="CL4191">
        <v>0</v>
      </c>
      <c r="CM4191">
        <v>2</v>
      </c>
      <c r="CN4191">
        <v>0</v>
      </c>
      <c r="CO4191">
        <v>6</v>
      </c>
      <c r="CP4191" t="s">
        <v>119</v>
      </c>
      <c r="CQ4191">
        <v>285</v>
      </c>
      <c r="CR4191">
        <v>0</v>
      </c>
      <c r="CW4191">
        <v>8890121</v>
      </c>
      <c r="CY4191">
        <v>0</v>
      </c>
      <c r="CZ4191">
        <v>0</v>
      </c>
      <c r="DA4191">
        <v>1</v>
      </c>
      <c r="DB4191">
        <v>0</v>
      </c>
      <c r="DC4191">
        <v>0</v>
      </c>
      <c r="DD4191">
        <v>0</v>
      </c>
      <c r="DE4191">
        <v>0</v>
      </c>
      <c r="DF4191">
        <v>0</v>
      </c>
      <c r="DG4191">
        <v>0</v>
      </c>
      <c r="DH4191">
        <v>0</v>
      </c>
      <c r="DI4191">
        <v>0</v>
      </c>
    </row>
    <row r="4192" spans="1:113" x14ac:dyDescent="0.25">
      <c r="A4192" t="str">
        <f t="shared" si="2349"/>
        <v>06/05/2020 14:59:22.791</v>
      </c>
      <c r="C4192" t="str">
        <f t="shared" si="2315"/>
        <v>FFDFD3C0</v>
      </c>
      <c r="D4192" t="s">
        <v>141</v>
      </c>
      <c r="E4192">
        <v>20</v>
      </c>
      <c r="F4192">
        <v>1020</v>
      </c>
      <c r="G4192" t="s">
        <v>114</v>
      </c>
      <c r="J4192" t="s">
        <v>142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 t="shared" si="2350"/>
        <v>14:59:28.430</v>
      </c>
      <c r="T4192" t="str">
        <f t="shared" si="2351"/>
        <v>14:59:28.030</v>
      </c>
      <c r="U4192" t="str">
        <f t="shared" si="2335"/>
        <v>ACC530</v>
      </c>
      <c r="V4192">
        <v>0</v>
      </c>
      <c r="W4192">
        <v>0</v>
      </c>
      <c r="X4192">
        <v>1</v>
      </c>
      <c r="Z4192">
        <v>0</v>
      </c>
      <c r="AA4192">
        <v>9</v>
      </c>
      <c r="AB4192">
        <v>3</v>
      </c>
      <c r="AC4192">
        <v>0</v>
      </c>
      <c r="AD4192">
        <v>9</v>
      </c>
      <c r="AE4192">
        <v>0</v>
      </c>
      <c r="AF4192">
        <v>3</v>
      </c>
      <c r="AG4192">
        <v>1</v>
      </c>
      <c r="AH4192">
        <v>0</v>
      </c>
      <c r="AI4192" t="s">
        <v>1326</v>
      </c>
      <c r="AJ4192">
        <v>34.068474999999999</v>
      </c>
      <c r="AK4192" t="s">
        <v>1327</v>
      </c>
      <c r="AL4192">
        <v>-117.021883</v>
      </c>
      <c r="AM4192">
        <v>100</v>
      </c>
      <c r="AN4192">
        <v>5300</v>
      </c>
      <c r="AO4192" t="s">
        <v>118</v>
      </c>
      <c r="AP4192">
        <v>-92</v>
      </c>
      <c r="AQ4192">
        <v>35</v>
      </c>
      <c r="AR4192">
        <v>-512</v>
      </c>
      <c r="AZ4192">
        <v>1200</v>
      </c>
      <c r="BA4192">
        <v>1</v>
      </c>
      <c r="BB4192" t="str">
        <f t="shared" si="2336"/>
        <v xml:space="preserve">N9217B  </v>
      </c>
      <c r="BC4192">
        <v>1</v>
      </c>
      <c r="BE4192">
        <v>0</v>
      </c>
      <c r="BF4192">
        <v>0</v>
      </c>
      <c r="BG4192">
        <v>0</v>
      </c>
      <c r="BH4192">
        <v>5175</v>
      </c>
      <c r="BI4192">
        <v>1</v>
      </c>
      <c r="BJ4192">
        <v>0</v>
      </c>
      <c r="BK4192">
        <v>0</v>
      </c>
      <c r="BL4192">
        <v>0</v>
      </c>
      <c r="BO4192">
        <v>0</v>
      </c>
      <c r="BP4192">
        <v>0</v>
      </c>
      <c r="BW4192" t="str">
        <f t="shared" si="2352"/>
        <v>14:59:28.431</v>
      </c>
      <c r="CJ4192">
        <v>0</v>
      </c>
      <c r="CK4192">
        <v>2</v>
      </c>
      <c r="CL4192">
        <v>0</v>
      </c>
      <c r="CM4192">
        <v>2</v>
      </c>
      <c r="CN4192">
        <v>0</v>
      </c>
      <c r="CO4192">
        <v>6</v>
      </c>
      <c r="CP4192" t="s">
        <v>119</v>
      </c>
      <c r="CQ4192">
        <v>285</v>
      </c>
      <c r="CR4192">
        <v>0</v>
      </c>
      <c r="CW4192">
        <v>8890121</v>
      </c>
      <c r="CY4192">
        <v>0</v>
      </c>
      <c r="CZ4192">
        <v>0</v>
      </c>
      <c r="DA4192">
        <v>1</v>
      </c>
      <c r="DB4192">
        <v>0</v>
      </c>
      <c r="DC4192">
        <v>0</v>
      </c>
      <c r="DD4192">
        <v>0</v>
      </c>
      <c r="DE4192">
        <v>0</v>
      </c>
      <c r="DF4192">
        <v>0</v>
      </c>
      <c r="DG4192">
        <v>0</v>
      </c>
      <c r="DH4192">
        <v>0</v>
      </c>
      <c r="DI4192">
        <v>0</v>
      </c>
    </row>
    <row r="4193" spans="1:113" x14ac:dyDescent="0.25">
      <c r="A4193" t="str">
        <f t="shared" si="2349"/>
        <v>06/05/2020 14:59:22.791</v>
      </c>
      <c r="C4193" t="str">
        <f t="shared" si="2315"/>
        <v>FFDFD3C0</v>
      </c>
      <c r="D4193" t="s">
        <v>148</v>
      </c>
      <c r="E4193">
        <v>11</v>
      </c>
      <c r="H4193">
        <v>53</v>
      </c>
      <c r="I4193" t="s">
        <v>364</v>
      </c>
      <c r="J4193" t="s">
        <v>150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 t="shared" si="2350"/>
        <v>14:59:28.430</v>
      </c>
      <c r="T4193" t="str">
        <f t="shared" si="2351"/>
        <v>14:59:28.030</v>
      </c>
      <c r="U4193" t="str">
        <f t="shared" si="2335"/>
        <v>ACC530</v>
      </c>
      <c r="V4193">
        <v>0</v>
      </c>
      <c r="W4193">
        <v>0</v>
      </c>
      <c r="X4193">
        <v>1</v>
      </c>
      <c r="Z4193">
        <v>0</v>
      </c>
      <c r="AA4193">
        <v>9</v>
      </c>
      <c r="AB4193">
        <v>3</v>
      </c>
      <c r="AC4193">
        <v>0</v>
      </c>
      <c r="AD4193">
        <v>9</v>
      </c>
      <c r="AE4193">
        <v>0</v>
      </c>
      <c r="AF4193">
        <v>3</v>
      </c>
      <c r="AG4193">
        <v>1</v>
      </c>
      <c r="AH4193">
        <v>0</v>
      </c>
      <c r="AI4193" t="s">
        <v>1326</v>
      </c>
      <c r="AJ4193">
        <v>34.068474999999999</v>
      </c>
      <c r="AK4193" t="s">
        <v>1327</v>
      </c>
      <c r="AL4193">
        <v>-117.021883</v>
      </c>
      <c r="AM4193">
        <v>100</v>
      </c>
      <c r="AN4193">
        <v>5300</v>
      </c>
      <c r="AO4193" t="s">
        <v>118</v>
      </c>
      <c r="AP4193">
        <v>-92</v>
      </c>
      <c r="AQ4193">
        <v>35</v>
      </c>
      <c r="AR4193">
        <v>-512</v>
      </c>
      <c r="AZ4193">
        <v>1200</v>
      </c>
      <c r="BA4193">
        <v>1</v>
      </c>
      <c r="BB4193" t="str">
        <f t="shared" si="2336"/>
        <v xml:space="preserve">N9217B  </v>
      </c>
      <c r="BC4193">
        <v>1</v>
      </c>
      <c r="BE4193">
        <v>0</v>
      </c>
      <c r="BF4193">
        <v>0</v>
      </c>
      <c r="BG4193">
        <v>0</v>
      </c>
      <c r="BH4193">
        <v>5175</v>
      </c>
      <c r="BI4193">
        <v>1</v>
      </c>
      <c r="BJ4193">
        <v>0</v>
      </c>
      <c r="BK4193">
        <v>0</v>
      </c>
      <c r="BL4193">
        <v>0</v>
      </c>
      <c r="BO4193">
        <v>0</v>
      </c>
      <c r="BP4193">
        <v>0</v>
      </c>
      <c r="BW4193" t="str">
        <f t="shared" si="2352"/>
        <v>14:59:28.431</v>
      </c>
      <c r="CJ4193">
        <v>0</v>
      </c>
      <c r="CK4193">
        <v>2</v>
      </c>
      <c r="CL4193">
        <v>0</v>
      </c>
      <c r="CM4193">
        <v>2</v>
      </c>
      <c r="CN4193">
        <v>0</v>
      </c>
      <c r="CO4193">
        <v>6</v>
      </c>
      <c r="CP4193" t="s">
        <v>119</v>
      </c>
      <c r="CQ4193">
        <v>285</v>
      </c>
      <c r="CR4193">
        <v>0</v>
      </c>
      <c r="CW4193">
        <v>8890121</v>
      </c>
      <c r="CY4193">
        <v>0</v>
      </c>
      <c r="CZ4193">
        <v>0</v>
      </c>
      <c r="DA4193">
        <v>1</v>
      </c>
      <c r="DB4193">
        <v>0</v>
      </c>
      <c r="DC4193">
        <v>0</v>
      </c>
      <c r="DD4193">
        <v>0</v>
      </c>
      <c r="DE4193">
        <v>0</v>
      </c>
      <c r="DF4193">
        <v>0</v>
      </c>
      <c r="DG4193">
        <v>0</v>
      </c>
      <c r="DH4193">
        <v>0</v>
      </c>
      <c r="DI4193">
        <v>0</v>
      </c>
    </row>
    <row r="4194" spans="1:113" x14ac:dyDescent="0.25">
      <c r="A4194" t="str">
        <f t="shared" si="2349"/>
        <v>06/05/2020 14:59:22.791</v>
      </c>
      <c r="C4194" t="str">
        <f t="shared" si="2315"/>
        <v>FFDFD3C0</v>
      </c>
      <c r="D4194" t="s">
        <v>113</v>
      </c>
      <c r="E4194">
        <v>3</v>
      </c>
      <c r="H4194">
        <v>166</v>
      </c>
      <c r="I4194" t="s">
        <v>114</v>
      </c>
      <c r="J4194" t="s">
        <v>115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 t="shared" si="2350"/>
        <v>14:59:28.430</v>
      </c>
      <c r="T4194" t="str">
        <f t="shared" si="2351"/>
        <v>14:59:28.030</v>
      </c>
      <c r="U4194" t="str">
        <f t="shared" si="2335"/>
        <v>ACC530</v>
      </c>
      <c r="V4194">
        <v>0</v>
      </c>
      <c r="W4194">
        <v>0</v>
      </c>
      <c r="X4194">
        <v>1</v>
      </c>
      <c r="Z4194">
        <v>0</v>
      </c>
      <c r="AA4194">
        <v>9</v>
      </c>
      <c r="AB4194">
        <v>3</v>
      </c>
      <c r="AC4194">
        <v>0</v>
      </c>
      <c r="AD4194">
        <v>9</v>
      </c>
      <c r="AE4194">
        <v>0</v>
      </c>
      <c r="AF4194">
        <v>3</v>
      </c>
      <c r="AG4194">
        <v>1</v>
      </c>
      <c r="AH4194">
        <v>0</v>
      </c>
      <c r="AI4194" t="s">
        <v>1326</v>
      </c>
      <c r="AJ4194">
        <v>34.068474999999999</v>
      </c>
      <c r="AK4194" t="s">
        <v>1327</v>
      </c>
      <c r="AL4194">
        <v>-117.021883</v>
      </c>
      <c r="AM4194">
        <v>100</v>
      </c>
      <c r="AN4194">
        <v>5300</v>
      </c>
      <c r="AO4194" t="s">
        <v>118</v>
      </c>
      <c r="AP4194">
        <v>-92</v>
      </c>
      <c r="AQ4194">
        <v>35</v>
      </c>
      <c r="AR4194">
        <v>-512</v>
      </c>
      <c r="AZ4194">
        <v>1200</v>
      </c>
      <c r="BA4194">
        <v>1</v>
      </c>
      <c r="BB4194" t="str">
        <f t="shared" si="2336"/>
        <v xml:space="preserve">N9217B  </v>
      </c>
      <c r="BC4194">
        <v>1</v>
      </c>
      <c r="BE4194">
        <v>0</v>
      </c>
      <c r="BF4194">
        <v>0</v>
      </c>
      <c r="BG4194">
        <v>0</v>
      </c>
      <c r="BH4194">
        <v>5175</v>
      </c>
      <c r="BI4194">
        <v>1</v>
      </c>
      <c r="BJ4194">
        <v>0</v>
      </c>
      <c r="BK4194">
        <v>0</v>
      </c>
      <c r="BL4194">
        <v>0</v>
      </c>
      <c r="BO4194">
        <v>0</v>
      </c>
      <c r="BP4194">
        <v>0</v>
      </c>
      <c r="BW4194" t="str">
        <f t="shared" si="2352"/>
        <v>14:59:28.431</v>
      </c>
      <c r="CJ4194">
        <v>0</v>
      </c>
      <c r="CK4194">
        <v>2</v>
      </c>
      <c r="CL4194">
        <v>0</v>
      </c>
      <c r="CM4194">
        <v>2</v>
      </c>
      <c r="CN4194">
        <v>0</v>
      </c>
      <c r="CO4194">
        <v>6</v>
      </c>
      <c r="CP4194" t="s">
        <v>119</v>
      </c>
      <c r="CQ4194">
        <v>285</v>
      </c>
      <c r="CR4194">
        <v>0</v>
      </c>
      <c r="CW4194">
        <v>8890121</v>
      </c>
      <c r="CY4194">
        <v>0</v>
      </c>
      <c r="CZ4194">
        <v>0</v>
      </c>
      <c r="DA4194">
        <v>1</v>
      </c>
      <c r="DB4194">
        <v>0</v>
      </c>
      <c r="DC4194">
        <v>0</v>
      </c>
      <c r="DD4194">
        <v>0</v>
      </c>
      <c r="DE4194">
        <v>0</v>
      </c>
      <c r="DF4194">
        <v>0</v>
      </c>
      <c r="DG4194">
        <v>0</v>
      </c>
      <c r="DH4194">
        <v>0</v>
      </c>
      <c r="DI4194">
        <v>0</v>
      </c>
    </row>
    <row r="4195" spans="1:113" x14ac:dyDescent="0.25">
      <c r="A4195" t="str">
        <f t="shared" si="2349"/>
        <v>06/05/2020 14:59:22.791</v>
      </c>
      <c r="C4195" t="str">
        <f t="shared" ref="C4195:C4258" si="2353">"FFDFD3C0"</f>
        <v>FFDFD3C0</v>
      </c>
      <c r="D4195" t="s">
        <v>151</v>
      </c>
      <c r="E4195">
        <v>8</v>
      </c>
      <c r="H4195">
        <v>225</v>
      </c>
      <c r="I4195" t="s">
        <v>353</v>
      </c>
      <c r="J4195" t="s">
        <v>150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 t="shared" si="2350"/>
        <v>14:59:28.430</v>
      </c>
      <c r="T4195" t="str">
        <f t="shared" si="2351"/>
        <v>14:59:28.030</v>
      </c>
      <c r="U4195" t="str">
        <f t="shared" si="2335"/>
        <v>ACC530</v>
      </c>
      <c r="V4195">
        <v>0</v>
      </c>
      <c r="W4195">
        <v>0</v>
      </c>
      <c r="X4195">
        <v>1</v>
      </c>
      <c r="Z4195">
        <v>0</v>
      </c>
      <c r="AA4195">
        <v>9</v>
      </c>
      <c r="AB4195">
        <v>3</v>
      </c>
      <c r="AC4195">
        <v>0</v>
      </c>
      <c r="AD4195">
        <v>9</v>
      </c>
      <c r="AE4195">
        <v>0</v>
      </c>
      <c r="AF4195">
        <v>3</v>
      </c>
      <c r="AG4195">
        <v>1</v>
      </c>
      <c r="AH4195">
        <v>0</v>
      </c>
      <c r="AI4195" t="s">
        <v>1326</v>
      </c>
      <c r="AJ4195">
        <v>34.068474999999999</v>
      </c>
      <c r="AK4195" t="s">
        <v>1327</v>
      </c>
      <c r="AL4195">
        <v>-117.021883</v>
      </c>
      <c r="AM4195">
        <v>100</v>
      </c>
      <c r="AN4195">
        <v>5300</v>
      </c>
      <c r="AO4195" t="s">
        <v>118</v>
      </c>
      <c r="AP4195">
        <v>-92</v>
      </c>
      <c r="AQ4195">
        <v>35</v>
      </c>
      <c r="AR4195">
        <v>-512</v>
      </c>
      <c r="AZ4195">
        <v>1200</v>
      </c>
      <c r="BA4195">
        <v>1</v>
      </c>
      <c r="BB4195" t="str">
        <f t="shared" si="2336"/>
        <v xml:space="preserve">N9217B  </v>
      </c>
      <c r="BC4195">
        <v>1</v>
      </c>
      <c r="BE4195">
        <v>0</v>
      </c>
      <c r="BF4195">
        <v>0</v>
      </c>
      <c r="BG4195">
        <v>0</v>
      </c>
      <c r="BH4195">
        <v>5175</v>
      </c>
      <c r="BI4195">
        <v>1</v>
      </c>
      <c r="BJ4195">
        <v>0</v>
      </c>
      <c r="BK4195">
        <v>0</v>
      </c>
      <c r="BL4195">
        <v>0</v>
      </c>
      <c r="BO4195">
        <v>0</v>
      </c>
      <c r="BP4195">
        <v>0</v>
      </c>
      <c r="BW4195" t="str">
        <f t="shared" si="2352"/>
        <v>14:59:28.431</v>
      </c>
      <c r="CJ4195">
        <v>0</v>
      </c>
      <c r="CK4195">
        <v>2</v>
      </c>
      <c r="CL4195">
        <v>0</v>
      </c>
      <c r="CM4195">
        <v>2</v>
      </c>
      <c r="CN4195">
        <v>0</v>
      </c>
      <c r="CO4195">
        <v>6</v>
      </c>
      <c r="CP4195" t="s">
        <v>119</v>
      </c>
      <c r="CQ4195">
        <v>285</v>
      </c>
      <c r="CR4195">
        <v>0</v>
      </c>
      <c r="CW4195">
        <v>8890121</v>
      </c>
      <c r="CY4195">
        <v>0</v>
      </c>
      <c r="CZ4195">
        <v>0</v>
      </c>
      <c r="DA4195">
        <v>1</v>
      </c>
      <c r="DB4195">
        <v>0</v>
      </c>
      <c r="DC4195">
        <v>0</v>
      </c>
      <c r="DD4195">
        <v>0</v>
      </c>
      <c r="DE4195">
        <v>0</v>
      </c>
      <c r="DF4195">
        <v>0</v>
      </c>
      <c r="DG4195">
        <v>0</v>
      </c>
      <c r="DH4195">
        <v>0</v>
      </c>
      <c r="DI4195">
        <v>0</v>
      </c>
    </row>
    <row r="4196" spans="1:113" x14ac:dyDescent="0.25">
      <c r="A4196" t="str">
        <f t="shared" ref="A4196:A4202" si="2354">"06/05/2020 14:59:23.768"</f>
        <v>06/05/2020 14:59:23.768</v>
      </c>
      <c r="C4196" t="str">
        <f t="shared" si="2353"/>
        <v>FFDFD3C0</v>
      </c>
      <c r="D4196" t="s">
        <v>148</v>
      </c>
      <c r="E4196">
        <v>11</v>
      </c>
      <c r="H4196">
        <v>53</v>
      </c>
      <c r="I4196" t="s">
        <v>364</v>
      </c>
      <c r="J4196" t="s">
        <v>150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 t="shared" ref="S4196:S4202" si="2355">"14:59:29.430"</f>
        <v>14:59:29.430</v>
      </c>
      <c r="T4196" t="str">
        <f t="shared" ref="T4196:T4202" si="2356">"14:59:28.930"</f>
        <v>14:59:28.930</v>
      </c>
      <c r="U4196" t="str">
        <f t="shared" si="2335"/>
        <v>ACC530</v>
      </c>
      <c r="V4196">
        <v>0</v>
      </c>
      <c r="W4196">
        <v>0</v>
      </c>
      <c r="X4196">
        <v>1</v>
      </c>
      <c r="Z4196">
        <v>0</v>
      </c>
      <c r="AA4196">
        <v>9</v>
      </c>
      <c r="AB4196">
        <v>3</v>
      </c>
      <c r="AC4196">
        <v>0</v>
      </c>
      <c r="AD4196">
        <v>9</v>
      </c>
      <c r="AE4196">
        <v>0</v>
      </c>
      <c r="AF4196">
        <v>3</v>
      </c>
      <c r="AG4196">
        <v>1</v>
      </c>
      <c r="AH4196">
        <v>0</v>
      </c>
      <c r="AI4196" t="s">
        <v>1328</v>
      </c>
      <c r="AJ4196">
        <v>34.068604000000001</v>
      </c>
      <c r="AK4196" t="s">
        <v>1329</v>
      </c>
      <c r="AL4196">
        <v>-117.022419</v>
      </c>
      <c r="AM4196">
        <v>100</v>
      </c>
      <c r="AN4196">
        <v>5300</v>
      </c>
      <c r="AO4196" t="s">
        <v>118</v>
      </c>
      <c r="AP4196">
        <v>-93</v>
      </c>
      <c r="AQ4196">
        <v>35</v>
      </c>
      <c r="AR4196">
        <v>-576</v>
      </c>
      <c r="AZ4196">
        <v>1200</v>
      </c>
      <c r="BA4196">
        <v>1</v>
      </c>
      <c r="BB4196" t="str">
        <f t="shared" si="2336"/>
        <v xml:space="preserve">N9217B  </v>
      </c>
      <c r="BC4196">
        <v>1</v>
      </c>
      <c r="BE4196">
        <v>0</v>
      </c>
      <c r="BF4196">
        <v>0</v>
      </c>
      <c r="BG4196">
        <v>0</v>
      </c>
      <c r="BH4196">
        <v>5175</v>
      </c>
      <c r="BI4196">
        <v>1</v>
      </c>
      <c r="BJ4196">
        <v>0</v>
      </c>
      <c r="BK4196">
        <v>0</v>
      </c>
      <c r="BL4196">
        <v>0</v>
      </c>
      <c r="BO4196">
        <v>0</v>
      </c>
      <c r="BP4196">
        <v>0</v>
      </c>
      <c r="BW4196" t="str">
        <f t="shared" ref="BW4196:BW4202" si="2357">"14:59:29.436"</f>
        <v>14:59:29.436</v>
      </c>
      <c r="CJ4196">
        <v>0</v>
      </c>
      <c r="CK4196">
        <v>2</v>
      </c>
      <c r="CL4196">
        <v>0</v>
      </c>
      <c r="CM4196">
        <v>2</v>
      </c>
      <c r="CN4196">
        <v>0</v>
      </c>
      <c r="CO4196">
        <v>7</v>
      </c>
      <c r="CP4196" t="s">
        <v>119</v>
      </c>
      <c r="CQ4196">
        <v>285</v>
      </c>
      <c r="CR4196">
        <v>0</v>
      </c>
      <c r="CW4196">
        <v>8890222</v>
      </c>
      <c r="CY4196">
        <v>0</v>
      </c>
      <c r="CZ4196">
        <v>0</v>
      </c>
      <c r="DA4196">
        <v>0</v>
      </c>
      <c r="DB4196">
        <v>0</v>
      </c>
      <c r="DC4196">
        <v>0</v>
      </c>
      <c r="DD4196">
        <v>0</v>
      </c>
      <c r="DE4196">
        <v>0</v>
      </c>
      <c r="DF4196">
        <v>0</v>
      </c>
      <c r="DG4196">
        <v>0</v>
      </c>
      <c r="DH4196">
        <v>0</v>
      </c>
      <c r="DI4196">
        <v>0</v>
      </c>
    </row>
    <row r="4197" spans="1:113" x14ac:dyDescent="0.25">
      <c r="A4197" t="str">
        <f t="shared" si="2354"/>
        <v>06/05/2020 14:59:23.768</v>
      </c>
      <c r="C4197" t="str">
        <f t="shared" si="2353"/>
        <v>FFDFD3C0</v>
      </c>
      <c r="D4197" t="s">
        <v>113</v>
      </c>
      <c r="E4197">
        <v>3</v>
      </c>
      <c r="H4197">
        <v>166</v>
      </c>
      <c r="I4197" t="s">
        <v>114</v>
      </c>
      <c r="J4197" t="s">
        <v>115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 t="shared" si="2355"/>
        <v>14:59:29.430</v>
      </c>
      <c r="T4197" t="str">
        <f t="shared" si="2356"/>
        <v>14:59:28.930</v>
      </c>
      <c r="U4197" t="str">
        <f t="shared" si="2335"/>
        <v>ACC530</v>
      </c>
      <c r="V4197">
        <v>0</v>
      </c>
      <c r="W4197">
        <v>0</v>
      </c>
      <c r="X4197">
        <v>1</v>
      </c>
      <c r="Z4197">
        <v>0</v>
      </c>
      <c r="AA4197">
        <v>9</v>
      </c>
      <c r="AB4197">
        <v>3</v>
      </c>
      <c r="AC4197">
        <v>0</v>
      </c>
      <c r="AD4197">
        <v>9</v>
      </c>
      <c r="AE4197">
        <v>0</v>
      </c>
      <c r="AF4197">
        <v>3</v>
      </c>
      <c r="AG4197">
        <v>1</v>
      </c>
      <c r="AH4197">
        <v>0</v>
      </c>
      <c r="AI4197" t="s">
        <v>1328</v>
      </c>
      <c r="AJ4197">
        <v>34.068604000000001</v>
      </c>
      <c r="AK4197" t="s">
        <v>1329</v>
      </c>
      <c r="AL4197">
        <v>-117.022419</v>
      </c>
      <c r="AM4197">
        <v>100</v>
      </c>
      <c r="AN4197">
        <v>5300</v>
      </c>
      <c r="AO4197" t="s">
        <v>118</v>
      </c>
      <c r="AP4197">
        <v>-93</v>
      </c>
      <c r="AQ4197">
        <v>35</v>
      </c>
      <c r="AR4197">
        <v>-576</v>
      </c>
      <c r="AZ4197">
        <v>1200</v>
      </c>
      <c r="BA4197">
        <v>1</v>
      </c>
      <c r="BB4197" t="str">
        <f t="shared" si="2336"/>
        <v xml:space="preserve">N9217B  </v>
      </c>
      <c r="BC4197">
        <v>1</v>
      </c>
      <c r="BE4197">
        <v>0</v>
      </c>
      <c r="BF4197">
        <v>0</v>
      </c>
      <c r="BG4197">
        <v>0</v>
      </c>
      <c r="BH4197">
        <v>5175</v>
      </c>
      <c r="BI4197">
        <v>1</v>
      </c>
      <c r="BJ4197">
        <v>0</v>
      </c>
      <c r="BK4197">
        <v>0</v>
      </c>
      <c r="BL4197">
        <v>0</v>
      </c>
      <c r="BO4197">
        <v>0</v>
      </c>
      <c r="BP4197">
        <v>0</v>
      </c>
      <c r="BW4197" t="str">
        <f t="shared" si="2357"/>
        <v>14:59:29.436</v>
      </c>
      <c r="CJ4197">
        <v>0</v>
      </c>
      <c r="CK4197">
        <v>2</v>
      </c>
      <c r="CL4197">
        <v>0</v>
      </c>
      <c r="CM4197">
        <v>2</v>
      </c>
      <c r="CN4197">
        <v>0</v>
      </c>
      <c r="CO4197">
        <v>7</v>
      </c>
      <c r="CP4197" t="s">
        <v>119</v>
      </c>
      <c r="CQ4197">
        <v>285</v>
      </c>
      <c r="CR4197">
        <v>0</v>
      </c>
      <c r="CW4197">
        <v>8890222</v>
      </c>
      <c r="CY4197">
        <v>0</v>
      </c>
      <c r="CZ4197">
        <v>0</v>
      </c>
      <c r="DA4197">
        <v>1</v>
      </c>
      <c r="DB4197">
        <v>0</v>
      </c>
      <c r="DC4197">
        <v>0</v>
      </c>
      <c r="DD4197">
        <v>0</v>
      </c>
      <c r="DE4197">
        <v>0</v>
      </c>
      <c r="DF4197">
        <v>0</v>
      </c>
      <c r="DG4197">
        <v>0</v>
      </c>
      <c r="DH4197">
        <v>0</v>
      </c>
      <c r="DI4197">
        <v>0</v>
      </c>
    </row>
    <row r="4198" spans="1:113" x14ac:dyDescent="0.25">
      <c r="A4198" t="str">
        <f t="shared" si="2354"/>
        <v>06/05/2020 14:59:23.768</v>
      </c>
      <c r="C4198" t="str">
        <f t="shared" si="2353"/>
        <v>FFDFD3C0</v>
      </c>
      <c r="D4198" t="s">
        <v>151</v>
      </c>
      <c r="E4198">
        <v>8</v>
      </c>
      <c r="H4198">
        <v>225</v>
      </c>
      <c r="I4198" t="s">
        <v>353</v>
      </c>
      <c r="J4198" t="s">
        <v>150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 t="shared" si="2355"/>
        <v>14:59:29.430</v>
      </c>
      <c r="T4198" t="str">
        <f t="shared" si="2356"/>
        <v>14:59:28.930</v>
      </c>
      <c r="U4198" t="str">
        <f t="shared" si="2335"/>
        <v>ACC530</v>
      </c>
      <c r="V4198">
        <v>0</v>
      </c>
      <c r="W4198">
        <v>0</v>
      </c>
      <c r="X4198">
        <v>1</v>
      </c>
      <c r="Z4198">
        <v>0</v>
      </c>
      <c r="AA4198">
        <v>9</v>
      </c>
      <c r="AB4198">
        <v>3</v>
      </c>
      <c r="AC4198">
        <v>0</v>
      </c>
      <c r="AD4198">
        <v>9</v>
      </c>
      <c r="AE4198">
        <v>0</v>
      </c>
      <c r="AF4198">
        <v>3</v>
      </c>
      <c r="AG4198">
        <v>1</v>
      </c>
      <c r="AH4198">
        <v>0</v>
      </c>
      <c r="AI4198" t="s">
        <v>1328</v>
      </c>
      <c r="AJ4198">
        <v>34.068604000000001</v>
      </c>
      <c r="AK4198" t="s">
        <v>1329</v>
      </c>
      <c r="AL4198">
        <v>-117.022419</v>
      </c>
      <c r="AM4198">
        <v>100</v>
      </c>
      <c r="AN4198">
        <v>5300</v>
      </c>
      <c r="AO4198" t="s">
        <v>118</v>
      </c>
      <c r="AP4198">
        <v>-93</v>
      </c>
      <c r="AQ4198">
        <v>35</v>
      </c>
      <c r="AR4198">
        <v>-576</v>
      </c>
      <c r="AZ4198">
        <v>1200</v>
      </c>
      <c r="BA4198">
        <v>1</v>
      </c>
      <c r="BB4198" t="str">
        <f t="shared" si="2336"/>
        <v xml:space="preserve">N9217B  </v>
      </c>
      <c r="BC4198">
        <v>1</v>
      </c>
      <c r="BE4198">
        <v>0</v>
      </c>
      <c r="BF4198">
        <v>0</v>
      </c>
      <c r="BG4198">
        <v>0</v>
      </c>
      <c r="BH4198">
        <v>5175</v>
      </c>
      <c r="BI4198">
        <v>1</v>
      </c>
      <c r="BJ4198">
        <v>0</v>
      </c>
      <c r="BK4198">
        <v>0</v>
      </c>
      <c r="BL4198">
        <v>0</v>
      </c>
      <c r="BO4198">
        <v>0</v>
      </c>
      <c r="BP4198">
        <v>0</v>
      </c>
      <c r="BW4198" t="str">
        <f t="shared" si="2357"/>
        <v>14:59:29.436</v>
      </c>
      <c r="CJ4198">
        <v>0</v>
      </c>
      <c r="CK4198">
        <v>2</v>
      </c>
      <c r="CL4198">
        <v>0</v>
      </c>
      <c r="CM4198">
        <v>2</v>
      </c>
      <c r="CN4198">
        <v>0</v>
      </c>
      <c r="CO4198">
        <v>7</v>
      </c>
      <c r="CP4198" t="s">
        <v>119</v>
      </c>
      <c r="CQ4198">
        <v>285</v>
      </c>
      <c r="CR4198">
        <v>0</v>
      </c>
      <c r="CW4198">
        <v>8890222</v>
      </c>
      <c r="CY4198">
        <v>0</v>
      </c>
      <c r="CZ4198">
        <v>0</v>
      </c>
      <c r="DA4198">
        <v>1</v>
      </c>
      <c r="DB4198">
        <v>0</v>
      </c>
      <c r="DC4198">
        <v>0</v>
      </c>
      <c r="DD4198">
        <v>0</v>
      </c>
      <c r="DE4198">
        <v>0</v>
      </c>
      <c r="DF4198">
        <v>0</v>
      </c>
      <c r="DG4198">
        <v>0</v>
      </c>
      <c r="DH4198">
        <v>0</v>
      </c>
      <c r="DI4198">
        <v>0</v>
      </c>
    </row>
    <row r="4199" spans="1:113" x14ac:dyDescent="0.25">
      <c r="A4199" t="str">
        <f t="shared" si="2354"/>
        <v>06/05/2020 14:59:23.768</v>
      </c>
      <c r="C4199" t="str">
        <f t="shared" si="2353"/>
        <v>FFDFD3C0</v>
      </c>
      <c r="D4199" t="s">
        <v>134</v>
      </c>
      <c r="E4199">
        <v>7</v>
      </c>
      <c r="F4199">
        <v>2007</v>
      </c>
      <c r="G4199" t="s">
        <v>135</v>
      </c>
      <c r="J4199" t="s">
        <v>136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 t="shared" si="2355"/>
        <v>14:59:29.430</v>
      </c>
      <c r="T4199" t="str">
        <f t="shared" si="2356"/>
        <v>14:59:28.930</v>
      </c>
      <c r="U4199" t="str">
        <f t="shared" si="2335"/>
        <v>ACC530</v>
      </c>
      <c r="V4199">
        <v>0</v>
      </c>
      <c r="W4199">
        <v>0</v>
      </c>
      <c r="X4199">
        <v>1</v>
      </c>
      <c r="Z4199">
        <v>0</v>
      </c>
      <c r="AA4199">
        <v>9</v>
      </c>
      <c r="AB4199">
        <v>3</v>
      </c>
      <c r="AC4199">
        <v>0</v>
      </c>
      <c r="AD4199">
        <v>9</v>
      </c>
      <c r="AE4199">
        <v>0</v>
      </c>
      <c r="AF4199">
        <v>3</v>
      </c>
      <c r="AG4199">
        <v>1</v>
      </c>
      <c r="AH4199">
        <v>0</v>
      </c>
      <c r="AI4199" t="s">
        <v>1328</v>
      </c>
      <c r="AJ4199">
        <v>34.068604000000001</v>
      </c>
      <c r="AK4199" t="s">
        <v>1329</v>
      </c>
      <c r="AL4199">
        <v>-117.022419</v>
      </c>
      <c r="AM4199">
        <v>100</v>
      </c>
      <c r="AN4199">
        <v>5300</v>
      </c>
      <c r="AO4199" t="s">
        <v>118</v>
      </c>
      <c r="AP4199">
        <v>-93</v>
      </c>
      <c r="AQ4199">
        <v>35</v>
      </c>
      <c r="AR4199">
        <v>-576</v>
      </c>
      <c r="AZ4199">
        <v>1200</v>
      </c>
      <c r="BA4199">
        <v>1</v>
      </c>
      <c r="BB4199" t="str">
        <f t="shared" si="2336"/>
        <v xml:space="preserve">N9217B  </v>
      </c>
      <c r="BC4199">
        <v>1</v>
      </c>
      <c r="BE4199">
        <v>0</v>
      </c>
      <c r="BF4199">
        <v>0</v>
      </c>
      <c r="BG4199">
        <v>0</v>
      </c>
      <c r="BH4199">
        <v>5175</v>
      </c>
      <c r="BI4199">
        <v>1</v>
      </c>
      <c r="BJ4199">
        <v>0</v>
      </c>
      <c r="BK4199">
        <v>0</v>
      </c>
      <c r="BL4199">
        <v>0</v>
      </c>
      <c r="BO4199">
        <v>0</v>
      </c>
      <c r="BP4199">
        <v>0</v>
      </c>
      <c r="BW4199" t="str">
        <f t="shared" si="2357"/>
        <v>14:59:29.436</v>
      </c>
      <c r="CJ4199">
        <v>0</v>
      </c>
      <c r="CK4199">
        <v>2</v>
      </c>
      <c r="CL4199">
        <v>0</v>
      </c>
      <c r="CM4199">
        <v>2</v>
      </c>
      <c r="CN4199">
        <v>0</v>
      </c>
      <c r="CO4199">
        <v>7</v>
      </c>
      <c r="CP4199" t="s">
        <v>119</v>
      </c>
      <c r="CQ4199">
        <v>285</v>
      </c>
      <c r="CR4199">
        <v>0</v>
      </c>
      <c r="CW4199">
        <v>8890222</v>
      </c>
      <c r="CY4199">
        <v>0</v>
      </c>
      <c r="CZ4199">
        <v>0</v>
      </c>
      <c r="DA4199">
        <v>1</v>
      </c>
      <c r="DB4199">
        <v>0</v>
      </c>
      <c r="DC4199">
        <v>0</v>
      </c>
      <c r="DD4199">
        <v>0</v>
      </c>
      <c r="DE4199">
        <v>0</v>
      </c>
      <c r="DF4199">
        <v>0</v>
      </c>
      <c r="DG4199">
        <v>0</v>
      </c>
      <c r="DH4199">
        <v>0</v>
      </c>
      <c r="DI4199">
        <v>0</v>
      </c>
    </row>
    <row r="4200" spans="1:113" x14ac:dyDescent="0.25">
      <c r="A4200" t="str">
        <f t="shared" si="2354"/>
        <v>06/05/2020 14:59:23.768</v>
      </c>
      <c r="C4200" t="str">
        <f t="shared" si="2353"/>
        <v>FFDFD3C0</v>
      </c>
      <c r="D4200" t="s">
        <v>151</v>
      </c>
      <c r="E4200">
        <v>9</v>
      </c>
      <c r="H4200">
        <v>226</v>
      </c>
      <c r="I4200" t="s">
        <v>152</v>
      </c>
      <c r="J4200" t="s">
        <v>150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 t="shared" si="2355"/>
        <v>14:59:29.430</v>
      </c>
      <c r="T4200" t="str">
        <f t="shared" si="2356"/>
        <v>14:59:28.930</v>
      </c>
      <c r="U4200" t="str">
        <f t="shared" si="2335"/>
        <v>ACC530</v>
      </c>
      <c r="V4200">
        <v>0</v>
      </c>
      <c r="W4200">
        <v>0</v>
      </c>
      <c r="X4200">
        <v>1</v>
      </c>
      <c r="Z4200">
        <v>0</v>
      </c>
      <c r="AA4200">
        <v>9</v>
      </c>
      <c r="AB4200">
        <v>3</v>
      </c>
      <c r="AC4200">
        <v>0</v>
      </c>
      <c r="AD4200">
        <v>9</v>
      </c>
      <c r="AE4200">
        <v>0</v>
      </c>
      <c r="AF4200">
        <v>3</v>
      </c>
      <c r="AG4200">
        <v>1</v>
      </c>
      <c r="AH4200">
        <v>0</v>
      </c>
      <c r="AI4200" t="s">
        <v>1328</v>
      </c>
      <c r="AJ4200">
        <v>34.068604000000001</v>
      </c>
      <c r="AK4200" t="s">
        <v>1329</v>
      </c>
      <c r="AL4200">
        <v>-117.022419</v>
      </c>
      <c r="AM4200">
        <v>100</v>
      </c>
      <c r="AN4200">
        <v>5300</v>
      </c>
      <c r="AO4200" t="s">
        <v>118</v>
      </c>
      <c r="AP4200">
        <v>-93</v>
      </c>
      <c r="AQ4200">
        <v>35</v>
      </c>
      <c r="AR4200">
        <v>-576</v>
      </c>
      <c r="AZ4200">
        <v>1200</v>
      </c>
      <c r="BA4200">
        <v>1</v>
      </c>
      <c r="BB4200" t="str">
        <f t="shared" si="2336"/>
        <v xml:space="preserve">N9217B  </v>
      </c>
      <c r="BC4200">
        <v>1</v>
      </c>
      <c r="BE4200">
        <v>0</v>
      </c>
      <c r="BF4200">
        <v>0</v>
      </c>
      <c r="BG4200">
        <v>0</v>
      </c>
      <c r="BH4200">
        <v>5175</v>
      </c>
      <c r="BI4200">
        <v>1</v>
      </c>
      <c r="BJ4200">
        <v>0</v>
      </c>
      <c r="BK4200">
        <v>0</v>
      </c>
      <c r="BL4200">
        <v>0</v>
      </c>
      <c r="BO4200">
        <v>0</v>
      </c>
      <c r="BP4200">
        <v>0</v>
      </c>
      <c r="BW4200" t="str">
        <f t="shared" si="2357"/>
        <v>14:59:29.436</v>
      </c>
      <c r="CJ4200">
        <v>0</v>
      </c>
      <c r="CK4200">
        <v>2</v>
      </c>
      <c r="CL4200">
        <v>0</v>
      </c>
      <c r="CM4200">
        <v>2</v>
      </c>
      <c r="CN4200">
        <v>0</v>
      </c>
      <c r="CO4200">
        <v>7</v>
      </c>
      <c r="CP4200" t="s">
        <v>119</v>
      </c>
      <c r="CQ4200">
        <v>285</v>
      </c>
      <c r="CR4200">
        <v>0</v>
      </c>
      <c r="CW4200">
        <v>8890222</v>
      </c>
      <c r="CY4200">
        <v>0</v>
      </c>
      <c r="CZ4200">
        <v>0</v>
      </c>
      <c r="DA4200">
        <v>1</v>
      </c>
      <c r="DB4200">
        <v>0</v>
      </c>
      <c r="DC4200">
        <v>0</v>
      </c>
      <c r="DD4200">
        <v>0</v>
      </c>
      <c r="DE4200">
        <v>0</v>
      </c>
      <c r="DF4200">
        <v>0</v>
      </c>
      <c r="DG4200">
        <v>0</v>
      </c>
      <c r="DH4200">
        <v>0</v>
      </c>
      <c r="DI4200">
        <v>0</v>
      </c>
    </row>
    <row r="4201" spans="1:113" x14ac:dyDescent="0.25">
      <c r="A4201" t="str">
        <f t="shared" si="2354"/>
        <v>06/05/2020 14:59:23.768</v>
      </c>
      <c r="C4201" t="str">
        <f t="shared" si="2353"/>
        <v>FFDFD3C0</v>
      </c>
      <c r="D4201" t="s">
        <v>148</v>
      </c>
      <c r="E4201">
        <v>8</v>
      </c>
      <c r="H4201">
        <v>50</v>
      </c>
      <c r="I4201" t="s">
        <v>149</v>
      </c>
      <c r="J4201" t="s">
        <v>150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 t="shared" si="2355"/>
        <v>14:59:29.430</v>
      </c>
      <c r="T4201" t="str">
        <f t="shared" si="2356"/>
        <v>14:59:28.930</v>
      </c>
      <c r="U4201" t="str">
        <f t="shared" si="2335"/>
        <v>ACC530</v>
      </c>
      <c r="V4201">
        <v>0</v>
      </c>
      <c r="W4201">
        <v>0</v>
      </c>
      <c r="X4201">
        <v>1</v>
      </c>
      <c r="Z4201">
        <v>0</v>
      </c>
      <c r="AA4201">
        <v>9</v>
      </c>
      <c r="AB4201">
        <v>3</v>
      </c>
      <c r="AC4201">
        <v>0</v>
      </c>
      <c r="AD4201">
        <v>9</v>
      </c>
      <c r="AE4201">
        <v>0</v>
      </c>
      <c r="AF4201">
        <v>3</v>
      </c>
      <c r="AG4201">
        <v>1</v>
      </c>
      <c r="AH4201">
        <v>0</v>
      </c>
      <c r="AI4201" t="s">
        <v>1328</v>
      </c>
      <c r="AJ4201">
        <v>34.068604000000001</v>
      </c>
      <c r="AK4201" t="s">
        <v>1329</v>
      </c>
      <c r="AL4201">
        <v>-117.022419</v>
      </c>
      <c r="AM4201">
        <v>100</v>
      </c>
      <c r="AN4201">
        <v>5300</v>
      </c>
      <c r="AO4201" t="s">
        <v>118</v>
      </c>
      <c r="AP4201">
        <v>-93</v>
      </c>
      <c r="AQ4201">
        <v>35</v>
      </c>
      <c r="AR4201">
        <v>-576</v>
      </c>
      <c r="AZ4201">
        <v>1200</v>
      </c>
      <c r="BA4201">
        <v>1</v>
      </c>
      <c r="BB4201" t="str">
        <f t="shared" si="2336"/>
        <v xml:space="preserve">N9217B  </v>
      </c>
      <c r="BC4201">
        <v>1</v>
      </c>
      <c r="BE4201">
        <v>0</v>
      </c>
      <c r="BF4201">
        <v>0</v>
      </c>
      <c r="BG4201">
        <v>0</v>
      </c>
      <c r="BH4201">
        <v>5175</v>
      </c>
      <c r="BI4201">
        <v>1</v>
      </c>
      <c r="BJ4201">
        <v>0</v>
      </c>
      <c r="BK4201">
        <v>0</v>
      </c>
      <c r="BL4201">
        <v>0</v>
      </c>
      <c r="BO4201">
        <v>0</v>
      </c>
      <c r="BP4201">
        <v>0</v>
      </c>
      <c r="BW4201" t="str">
        <f t="shared" si="2357"/>
        <v>14:59:29.436</v>
      </c>
      <c r="CJ4201">
        <v>0</v>
      </c>
      <c r="CK4201">
        <v>2</v>
      </c>
      <c r="CL4201">
        <v>0</v>
      </c>
      <c r="CM4201">
        <v>2</v>
      </c>
      <c r="CN4201">
        <v>0</v>
      </c>
      <c r="CO4201">
        <v>7</v>
      </c>
      <c r="CP4201" t="s">
        <v>119</v>
      </c>
      <c r="CQ4201">
        <v>285</v>
      </c>
      <c r="CR4201">
        <v>0</v>
      </c>
      <c r="CW4201">
        <v>8890222</v>
      </c>
      <c r="CY4201">
        <v>0</v>
      </c>
      <c r="CZ4201">
        <v>0</v>
      </c>
      <c r="DA4201">
        <v>1</v>
      </c>
      <c r="DB4201">
        <v>0</v>
      </c>
      <c r="DC4201">
        <v>0</v>
      </c>
      <c r="DD4201">
        <v>0</v>
      </c>
      <c r="DE4201">
        <v>0</v>
      </c>
      <c r="DF4201">
        <v>0</v>
      </c>
      <c r="DG4201">
        <v>0</v>
      </c>
      <c r="DH4201">
        <v>0</v>
      </c>
      <c r="DI4201">
        <v>0</v>
      </c>
    </row>
    <row r="4202" spans="1:113" x14ac:dyDescent="0.25">
      <c r="A4202" t="str">
        <f t="shared" si="2354"/>
        <v>06/05/2020 14:59:23.768</v>
      </c>
      <c r="C4202" t="str">
        <f t="shared" si="2353"/>
        <v>FFDFD3C0</v>
      </c>
      <c r="D4202" t="s">
        <v>141</v>
      </c>
      <c r="E4202">
        <v>20</v>
      </c>
      <c r="F4202">
        <v>1020</v>
      </c>
      <c r="G4202" t="s">
        <v>114</v>
      </c>
      <c r="J4202" t="s">
        <v>142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 t="shared" si="2355"/>
        <v>14:59:29.430</v>
      </c>
      <c r="T4202" t="str">
        <f t="shared" si="2356"/>
        <v>14:59:28.930</v>
      </c>
      <c r="U4202" t="str">
        <f t="shared" si="2335"/>
        <v>ACC530</v>
      </c>
      <c r="V4202">
        <v>0</v>
      </c>
      <c r="W4202">
        <v>0</v>
      </c>
      <c r="X4202">
        <v>1</v>
      </c>
      <c r="Z4202">
        <v>0</v>
      </c>
      <c r="AA4202">
        <v>9</v>
      </c>
      <c r="AB4202">
        <v>3</v>
      </c>
      <c r="AC4202">
        <v>0</v>
      </c>
      <c r="AD4202">
        <v>9</v>
      </c>
      <c r="AE4202">
        <v>0</v>
      </c>
      <c r="AF4202">
        <v>3</v>
      </c>
      <c r="AG4202">
        <v>1</v>
      </c>
      <c r="AH4202">
        <v>0</v>
      </c>
      <c r="AI4202" t="s">
        <v>1328</v>
      </c>
      <c r="AJ4202">
        <v>34.068604000000001</v>
      </c>
      <c r="AK4202" t="s">
        <v>1329</v>
      </c>
      <c r="AL4202">
        <v>-117.022419</v>
      </c>
      <c r="AM4202">
        <v>100</v>
      </c>
      <c r="AN4202">
        <v>5300</v>
      </c>
      <c r="AO4202" t="s">
        <v>118</v>
      </c>
      <c r="AP4202">
        <v>-93</v>
      </c>
      <c r="AQ4202">
        <v>35</v>
      </c>
      <c r="AR4202">
        <v>-576</v>
      </c>
      <c r="AZ4202">
        <v>1200</v>
      </c>
      <c r="BA4202">
        <v>1</v>
      </c>
      <c r="BB4202" t="str">
        <f t="shared" si="2336"/>
        <v xml:space="preserve">N9217B  </v>
      </c>
      <c r="BC4202">
        <v>1</v>
      </c>
      <c r="BE4202">
        <v>0</v>
      </c>
      <c r="BF4202">
        <v>0</v>
      </c>
      <c r="BG4202">
        <v>0</v>
      </c>
      <c r="BH4202">
        <v>5175</v>
      </c>
      <c r="BI4202">
        <v>1</v>
      </c>
      <c r="BJ4202">
        <v>0</v>
      </c>
      <c r="BK4202">
        <v>0</v>
      </c>
      <c r="BL4202">
        <v>0</v>
      </c>
      <c r="BO4202">
        <v>0</v>
      </c>
      <c r="BP4202">
        <v>0</v>
      </c>
      <c r="BW4202" t="str">
        <f t="shared" si="2357"/>
        <v>14:59:29.436</v>
      </c>
      <c r="CJ4202">
        <v>0</v>
      </c>
      <c r="CK4202">
        <v>2</v>
      </c>
      <c r="CL4202">
        <v>0</v>
      </c>
      <c r="CM4202">
        <v>2</v>
      </c>
      <c r="CN4202">
        <v>0</v>
      </c>
      <c r="CO4202">
        <v>7</v>
      </c>
      <c r="CP4202" t="s">
        <v>119</v>
      </c>
      <c r="CQ4202">
        <v>285</v>
      </c>
      <c r="CR4202">
        <v>0</v>
      </c>
      <c r="CW4202">
        <v>8890222</v>
      </c>
      <c r="CY4202">
        <v>0</v>
      </c>
      <c r="CZ4202">
        <v>0</v>
      </c>
      <c r="DA4202">
        <v>1</v>
      </c>
      <c r="DB4202">
        <v>0</v>
      </c>
      <c r="DC4202">
        <v>0</v>
      </c>
      <c r="DD4202">
        <v>0</v>
      </c>
      <c r="DE4202">
        <v>0</v>
      </c>
      <c r="DF4202">
        <v>0</v>
      </c>
      <c r="DG4202">
        <v>0</v>
      </c>
      <c r="DH4202">
        <v>0</v>
      </c>
      <c r="DI4202">
        <v>0</v>
      </c>
    </row>
    <row r="4203" spans="1:113" x14ac:dyDescent="0.25">
      <c r="A4203" t="str">
        <f t="shared" ref="A4203:A4209" si="2358">"06/05/2020 14:59:24.816"</f>
        <v>06/05/2020 14:59:24.816</v>
      </c>
      <c r="C4203" t="str">
        <f t="shared" si="2353"/>
        <v>FFDFD3C0</v>
      </c>
      <c r="D4203" t="s">
        <v>141</v>
      </c>
      <c r="E4203">
        <v>20</v>
      </c>
      <c r="F4203">
        <v>1020</v>
      </c>
      <c r="G4203" t="s">
        <v>114</v>
      </c>
      <c r="J4203" t="s">
        <v>142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 t="shared" ref="S4203:S4209" si="2359">"14:59:30.484"</f>
        <v>14:59:30.484</v>
      </c>
      <c r="T4203" t="str">
        <f t="shared" ref="T4203:T4209" si="2360">"14:59:30.084"</f>
        <v>14:59:30.084</v>
      </c>
      <c r="U4203" t="str">
        <f t="shared" si="2335"/>
        <v>ACC530</v>
      </c>
      <c r="V4203">
        <v>0</v>
      </c>
      <c r="W4203">
        <v>0</v>
      </c>
      <c r="X4203">
        <v>1</v>
      </c>
      <c r="Z4203">
        <v>0</v>
      </c>
      <c r="AA4203">
        <v>9</v>
      </c>
      <c r="AB4203">
        <v>3</v>
      </c>
      <c r="AC4203">
        <v>0</v>
      </c>
      <c r="AD4203">
        <v>9</v>
      </c>
      <c r="AE4203">
        <v>0</v>
      </c>
      <c r="AF4203">
        <v>3</v>
      </c>
      <c r="AG4203">
        <v>1</v>
      </c>
      <c r="AH4203">
        <v>0</v>
      </c>
      <c r="AI4203" t="s">
        <v>1330</v>
      </c>
      <c r="AJ4203">
        <v>34.068797000000004</v>
      </c>
      <c r="AK4203" t="s">
        <v>1331</v>
      </c>
      <c r="AL4203">
        <v>-117.022955</v>
      </c>
      <c r="AM4203">
        <v>100</v>
      </c>
      <c r="AN4203">
        <v>5300</v>
      </c>
      <c r="AO4203" t="s">
        <v>118</v>
      </c>
      <c r="AP4203">
        <v>-93</v>
      </c>
      <c r="AQ4203">
        <v>35</v>
      </c>
      <c r="AR4203">
        <v>-640</v>
      </c>
      <c r="AZ4203">
        <v>1200</v>
      </c>
      <c r="BA4203">
        <v>1</v>
      </c>
      <c r="BB4203" t="str">
        <f t="shared" si="2336"/>
        <v xml:space="preserve">N9217B  </v>
      </c>
      <c r="BC4203">
        <v>1</v>
      </c>
      <c r="BE4203">
        <v>0</v>
      </c>
      <c r="BF4203">
        <v>0</v>
      </c>
      <c r="BG4203">
        <v>0</v>
      </c>
      <c r="BH4203">
        <v>5150</v>
      </c>
      <c r="BI4203">
        <v>1</v>
      </c>
      <c r="BJ4203">
        <v>0</v>
      </c>
      <c r="BK4203">
        <v>0</v>
      </c>
      <c r="BL4203">
        <v>0</v>
      </c>
      <c r="BO4203">
        <v>0</v>
      </c>
      <c r="BP4203">
        <v>0</v>
      </c>
      <c r="BW4203" t="str">
        <f t="shared" ref="BW4203:BW4209" si="2361">"14:59:30.486"</f>
        <v>14:59:30.486</v>
      </c>
      <c r="CJ4203">
        <v>0</v>
      </c>
      <c r="CK4203">
        <v>2</v>
      </c>
      <c r="CL4203">
        <v>0</v>
      </c>
      <c r="CM4203">
        <v>2</v>
      </c>
      <c r="CN4203">
        <v>0</v>
      </c>
      <c r="CO4203">
        <v>6</v>
      </c>
      <c r="CP4203" t="s">
        <v>119</v>
      </c>
      <c r="CQ4203">
        <v>285</v>
      </c>
      <c r="CR4203">
        <v>0</v>
      </c>
      <c r="CW4203">
        <v>8890322</v>
      </c>
      <c r="CY4203">
        <v>0</v>
      </c>
      <c r="CZ4203">
        <v>0</v>
      </c>
      <c r="DA4203">
        <v>0</v>
      </c>
      <c r="DB4203">
        <v>0</v>
      </c>
      <c r="DC4203">
        <v>0</v>
      </c>
      <c r="DD4203">
        <v>0</v>
      </c>
      <c r="DE4203">
        <v>0</v>
      </c>
      <c r="DF4203">
        <v>0</v>
      </c>
      <c r="DG4203">
        <v>0</v>
      </c>
      <c r="DH4203">
        <v>0</v>
      </c>
      <c r="DI4203">
        <v>0</v>
      </c>
    </row>
    <row r="4204" spans="1:113" x14ac:dyDescent="0.25">
      <c r="A4204" t="str">
        <f t="shared" si="2358"/>
        <v>06/05/2020 14:59:24.816</v>
      </c>
      <c r="C4204" t="str">
        <f t="shared" si="2353"/>
        <v>FFDFD3C0</v>
      </c>
      <c r="D4204" t="s">
        <v>151</v>
      </c>
      <c r="E4204">
        <v>9</v>
      </c>
      <c r="H4204">
        <v>226</v>
      </c>
      <c r="I4204" t="s">
        <v>152</v>
      </c>
      <c r="J4204" t="s">
        <v>150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 t="shared" si="2359"/>
        <v>14:59:30.484</v>
      </c>
      <c r="T4204" t="str">
        <f t="shared" si="2360"/>
        <v>14:59:30.084</v>
      </c>
      <c r="U4204" t="str">
        <f t="shared" si="2335"/>
        <v>ACC530</v>
      </c>
      <c r="V4204">
        <v>0</v>
      </c>
      <c r="W4204">
        <v>0</v>
      </c>
      <c r="X4204">
        <v>1</v>
      </c>
      <c r="Z4204">
        <v>0</v>
      </c>
      <c r="AA4204">
        <v>9</v>
      </c>
      <c r="AB4204">
        <v>3</v>
      </c>
      <c r="AC4204">
        <v>0</v>
      </c>
      <c r="AD4204">
        <v>9</v>
      </c>
      <c r="AE4204">
        <v>0</v>
      </c>
      <c r="AF4204">
        <v>3</v>
      </c>
      <c r="AG4204">
        <v>1</v>
      </c>
      <c r="AH4204">
        <v>0</v>
      </c>
      <c r="AI4204" t="s">
        <v>1330</v>
      </c>
      <c r="AJ4204">
        <v>34.068797000000004</v>
      </c>
      <c r="AK4204" t="s">
        <v>1331</v>
      </c>
      <c r="AL4204">
        <v>-117.022955</v>
      </c>
      <c r="AM4204">
        <v>100</v>
      </c>
      <c r="AN4204">
        <v>5300</v>
      </c>
      <c r="AO4204" t="s">
        <v>118</v>
      </c>
      <c r="AP4204">
        <v>-93</v>
      </c>
      <c r="AQ4204">
        <v>35</v>
      </c>
      <c r="AR4204">
        <v>-640</v>
      </c>
      <c r="AZ4204">
        <v>1200</v>
      </c>
      <c r="BA4204">
        <v>1</v>
      </c>
      <c r="BB4204" t="str">
        <f t="shared" si="2336"/>
        <v xml:space="preserve">N9217B  </v>
      </c>
      <c r="BC4204">
        <v>1</v>
      </c>
      <c r="BE4204">
        <v>0</v>
      </c>
      <c r="BF4204">
        <v>0</v>
      </c>
      <c r="BG4204">
        <v>0</v>
      </c>
      <c r="BH4204">
        <v>5150</v>
      </c>
      <c r="BI4204">
        <v>1</v>
      </c>
      <c r="BJ4204">
        <v>0</v>
      </c>
      <c r="BK4204">
        <v>0</v>
      </c>
      <c r="BL4204">
        <v>0</v>
      </c>
      <c r="BO4204">
        <v>0</v>
      </c>
      <c r="BP4204">
        <v>0</v>
      </c>
      <c r="BW4204" t="str">
        <f t="shared" si="2361"/>
        <v>14:59:30.486</v>
      </c>
      <c r="CJ4204">
        <v>0</v>
      </c>
      <c r="CK4204">
        <v>2</v>
      </c>
      <c r="CL4204">
        <v>0</v>
      </c>
      <c r="CM4204">
        <v>2</v>
      </c>
      <c r="CN4204">
        <v>0</v>
      </c>
      <c r="CO4204">
        <v>6</v>
      </c>
      <c r="CP4204" t="s">
        <v>119</v>
      </c>
      <c r="CQ4204">
        <v>285</v>
      </c>
      <c r="CR4204">
        <v>0</v>
      </c>
      <c r="CW4204">
        <v>8890322</v>
      </c>
      <c r="CY4204">
        <v>0</v>
      </c>
      <c r="CZ4204">
        <v>0</v>
      </c>
      <c r="DA4204">
        <v>1</v>
      </c>
      <c r="DB4204">
        <v>0</v>
      </c>
      <c r="DC4204">
        <v>0</v>
      </c>
      <c r="DD4204">
        <v>0</v>
      </c>
      <c r="DE4204">
        <v>0</v>
      </c>
      <c r="DF4204">
        <v>0</v>
      </c>
      <c r="DG4204">
        <v>0</v>
      </c>
      <c r="DH4204">
        <v>0</v>
      </c>
      <c r="DI4204">
        <v>0</v>
      </c>
    </row>
    <row r="4205" spans="1:113" x14ac:dyDescent="0.25">
      <c r="A4205" t="str">
        <f t="shared" si="2358"/>
        <v>06/05/2020 14:59:24.816</v>
      </c>
      <c r="C4205" t="str">
        <f t="shared" si="2353"/>
        <v>FFDFD3C0</v>
      </c>
      <c r="D4205" t="s">
        <v>148</v>
      </c>
      <c r="E4205">
        <v>8</v>
      </c>
      <c r="H4205">
        <v>50</v>
      </c>
      <c r="I4205" t="s">
        <v>149</v>
      </c>
      <c r="J4205" t="s">
        <v>150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 t="shared" si="2359"/>
        <v>14:59:30.484</v>
      </c>
      <c r="T4205" t="str">
        <f t="shared" si="2360"/>
        <v>14:59:30.084</v>
      </c>
      <c r="U4205" t="str">
        <f t="shared" si="2335"/>
        <v>ACC530</v>
      </c>
      <c r="V4205">
        <v>0</v>
      </c>
      <c r="W4205">
        <v>0</v>
      </c>
      <c r="X4205">
        <v>1</v>
      </c>
      <c r="Z4205">
        <v>0</v>
      </c>
      <c r="AA4205">
        <v>9</v>
      </c>
      <c r="AB4205">
        <v>3</v>
      </c>
      <c r="AC4205">
        <v>0</v>
      </c>
      <c r="AD4205">
        <v>9</v>
      </c>
      <c r="AE4205">
        <v>0</v>
      </c>
      <c r="AF4205">
        <v>3</v>
      </c>
      <c r="AG4205">
        <v>1</v>
      </c>
      <c r="AH4205">
        <v>0</v>
      </c>
      <c r="AI4205" t="s">
        <v>1330</v>
      </c>
      <c r="AJ4205">
        <v>34.068797000000004</v>
      </c>
      <c r="AK4205" t="s">
        <v>1331</v>
      </c>
      <c r="AL4205">
        <v>-117.022955</v>
      </c>
      <c r="AM4205">
        <v>100</v>
      </c>
      <c r="AN4205">
        <v>5300</v>
      </c>
      <c r="AO4205" t="s">
        <v>118</v>
      </c>
      <c r="AP4205">
        <v>-93</v>
      </c>
      <c r="AQ4205">
        <v>35</v>
      </c>
      <c r="AR4205">
        <v>-640</v>
      </c>
      <c r="AZ4205">
        <v>1200</v>
      </c>
      <c r="BA4205">
        <v>1</v>
      </c>
      <c r="BB4205" t="str">
        <f t="shared" si="2336"/>
        <v xml:space="preserve">N9217B  </v>
      </c>
      <c r="BC4205">
        <v>1</v>
      </c>
      <c r="BE4205">
        <v>0</v>
      </c>
      <c r="BF4205">
        <v>0</v>
      </c>
      <c r="BG4205">
        <v>0</v>
      </c>
      <c r="BH4205">
        <v>5150</v>
      </c>
      <c r="BI4205">
        <v>1</v>
      </c>
      <c r="BJ4205">
        <v>0</v>
      </c>
      <c r="BK4205">
        <v>0</v>
      </c>
      <c r="BL4205">
        <v>0</v>
      </c>
      <c r="BO4205">
        <v>0</v>
      </c>
      <c r="BP4205">
        <v>0</v>
      </c>
      <c r="BW4205" t="str">
        <f t="shared" si="2361"/>
        <v>14:59:30.486</v>
      </c>
      <c r="CJ4205">
        <v>0</v>
      </c>
      <c r="CK4205">
        <v>2</v>
      </c>
      <c r="CL4205">
        <v>0</v>
      </c>
      <c r="CM4205">
        <v>2</v>
      </c>
      <c r="CN4205">
        <v>0</v>
      </c>
      <c r="CO4205">
        <v>6</v>
      </c>
      <c r="CP4205" t="s">
        <v>119</v>
      </c>
      <c r="CQ4205">
        <v>285</v>
      </c>
      <c r="CR4205">
        <v>0</v>
      </c>
      <c r="CW4205">
        <v>8890322</v>
      </c>
      <c r="CY4205">
        <v>0</v>
      </c>
      <c r="CZ4205">
        <v>0</v>
      </c>
      <c r="DA4205">
        <v>1</v>
      </c>
      <c r="DB4205">
        <v>0</v>
      </c>
      <c r="DC4205">
        <v>0</v>
      </c>
      <c r="DD4205">
        <v>0</v>
      </c>
      <c r="DE4205">
        <v>0</v>
      </c>
      <c r="DF4205">
        <v>0</v>
      </c>
      <c r="DG4205">
        <v>0</v>
      </c>
      <c r="DH4205">
        <v>0</v>
      </c>
      <c r="DI4205">
        <v>0</v>
      </c>
    </row>
    <row r="4206" spans="1:113" x14ac:dyDescent="0.25">
      <c r="A4206" t="str">
        <f t="shared" si="2358"/>
        <v>06/05/2020 14:59:24.816</v>
      </c>
      <c r="C4206" t="str">
        <f t="shared" si="2353"/>
        <v>FFDFD3C0</v>
      </c>
      <c r="D4206" t="s">
        <v>148</v>
      </c>
      <c r="E4206">
        <v>11</v>
      </c>
      <c r="H4206">
        <v>53</v>
      </c>
      <c r="I4206" t="s">
        <v>364</v>
      </c>
      <c r="J4206" t="s">
        <v>150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 t="shared" si="2359"/>
        <v>14:59:30.484</v>
      </c>
      <c r="T4206" t="str">
        <f t="shared" si="2360"/>
        <v>14:59:30.084</v>
      </c>
      <c r="U4206" t="str">
        <f t="shared" si="2335"/>
        <v>ACC530</v>
      </c>
      <c r="V4206">
        <v>0</v>
      </c>
      <c r="W4206">
        <v>0</v>
      </c>
      <c r="X4206">
        <v>1</v>
      </c>
      <c r="Z4206">
        <v>0</v>
      </c>
      <c r="AA4206">
        <v>9</v>
      </c>
      <c r="AB4206">
        <v>3</v>
      </c>
      <c r="AC4206">
        <v>0</v>
      </c>
      <c r="AD4206">
        <v>9</v>
      </c>
      <c r="AE4206">
        <v>0</v>
      </c>
      <c r="AF4206">
        <v>3</v>
      </c>
      <c r="AG4206">
        <v>1</v>
      </c>
      <c r="AH4206">
        <v>0</v>
      </c>
      <c r="AI4206" t="s">
        <v>1330</v>
      </c>
      <c r="AJ4206">
        <v>34.068797000000004</v>
      </c>
      <c r="AK4206" t="s">
        <v>1331</v>
      </c>
      <c r="AL4206">
        <v>-117.022955</v>
      </c>
      <c r="AM4206">
        <v>100</v>
      </c>
      <c r="AN4206">
        <v>5300</v>
      </c>
      <c r="AO4206" t="s">
        <v>118</v>
      </c>
      <c r="AP4206">
        <v>-93</v>
      </c>
      <c r="AQ4206">
        <v>35</v>
      </c>
      <c r="AR4206">
        <v>-640</v>
      </c>
      <c r="AZ4206">
        <v>1200</v>
      </c>
      <c r="BA4206">
        <v>1</v>
      </c>
      <c r="BB4206" t="str">
        <f t="shared" si="2336"/>
        <v xml:space="preserve">N9217B  </v>
      </c>
      <c r="BC4206">
        <v>1</v>
      </c>
      <c r="BE4206">
        <v>0</v>
      </c>
      <c r="BF4206">
        <v>0</v>
      </c>
      <c r="BG4206">
        <v>0</v>
      </c>
      <c r="BH4206">
        <v>5150</v>
      </c>
      <c r="BI4206">
        <v>1</v>
      </c>
      <c r="BJ4206">
        <v>0</v>
      </c>
      <c r="BK4206">
        <v>0</v>
      </c>
      <c r="BL4206">
        <v>0</v>
      </c>
      <c r="BO4206">
        <v>0</v>
      </c>
      <c r="BP4206">
        <v>0</v>
      </c>
      <c r="BW4206" t="str">
        <f t="shared" si="2361"/>
        <v>14:59:30.486</v>
      </c>
      <c r="CJ4206">
        <v>0</v>
      </c>
      <c r="CK4206">
        <v>2</v>
      </c>
      <c r="CL4206">
        <v>0</v>
      </c>
      <c r="CM4206">
        <v>2</v>
      </c>
      <c r="CN4206">
        <v>0</v>
      </c>
      <c r="CO4206">
        <v>6</v>
      </c>
      <c r="CP4206" t="s">
        <v>119</v>
      </c>
      <c r="CQ4206">
        <v>285</v>
      </c>
      <c r="CR4206">
        <v>0</v>
      </c>
      <c r="CW4206">
        <v>8890322</v>
      </c>
      <c r="CY4206">
        <v>0</v>
      </c>
      <c r="CZ4206">
        <v>0</v>
      </c>
      <c r="DA4206">
        <v>1</v>
      </c>
      <c r="DB4206">
        <v>0</v>
      </c>
      <c r="DC4206">
        <v>0</v>
      </c>
      <c r="DD4206">
        <v>0</v>
      </c>
      <c r="DE4206">
        <v>0</v>
      </c>
      <c r="DF4206">
        <v>0</v>
      </c>
      <c r="DG4206">
        <v>0</v>
      </c>
      <c r="DH4206">
        <v>0</v>
      </c>
      <c r="DI4206">
        <v>0</v>
      </c>
    </row>
    <row r="4207" spans="1:113" x14ac:dyDescent="0.25">
      <c r="A4207" t="str">
        <f t="shared" si="2358"/>
        <v>06/05/2020 14:59:24.816</v>
      </c>
      <c r="C4207" t="str">
        <f t="shared" si="2353"/>
        <v>FFDFD3C0</v>
      </c>
      <c r="D4207" t="s">
        <v>113</v>
      </c>
      <c r="E4207">
        <v>3</v>
      </c>
      <c r="H4207">
        <v>166</v>
      </c>
      <c r="I4207" t="s">
        <v>114</v>
      </c>
      <c r="J4207" t="s">
        <v>115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 t="shared" si="2359"/>
        <v>14:59:30.484</v>
      </c>
      <c r="T4207" t="str">
        <f t="shared" si="2360"/>
        <v>14:59:30.084</v>
      </c>
      <c r="U4207" t="str">
        <f t="shared" si="2335"/>
        <v>ACC530</v>
      </c>
      <c r="V4207">
        <v>0</v>
      </c>
      <c r="W4207">
        <v>0</v>
      </c>
      <c r="X4207">
        <v>1</v>
      </c>
      <c r="Z4207">
        <v>0</v>
      </c>
      <c r="AA4207">
        <v>9</v>
      </c>
      <c r="AB4207">
        <v>3</v>
      </c>
      <c r="AC4207">
        <v>0</v>
      </c>
      <c r="AD4207">
        <v>9</v>
      </c>
      <c r="AE4207">
        <v>0</v>
      </c>
      <c r="AF4207">
        <v>3</v>
      </c>
      <c r="AG4207">
        <v>1</v>
      </c>
      <c r="AH4207">
        <v>0</v>
      </c>
      <c r="AI4207" t="s">
        <v>1330</v>
      </c>
      <c r="AJ4207">
        <v>34.068797000000004</v>
      </c>
      <c r="AK4207" t="s">
        <v>1331</v>
      </c>
      <c r="AL4207">
        <v>-117.022955</v>
      </c>
      <c r="AM4207">
        <v>100</v>
      </c>
      <c r="AN4207">
        <v>5300</v>
      </c>
      <c r="AO4207" t="s">
        <v>118</v>
      </c>
      <c r="AP4207">
        <v>-93</v>
      </c>
      <c r="AQ4207">
        <v>35</v>
      </c>
      <c r="AR4207">
        <v>-640</v>
      </c>
      <c r="AZ4207">
        <v>1200</v>
      </c>
      <c r="BA4207">
        <v>1</v>
      </c>
      <c r="BB4207" t="str">
        <f t="shared" si="2336"/>
        <v xml:space="preserve">N9217B  </v>
      </c>
      <c r="BC4207">
        <v>1</v>
      </c>
      <c r="BE4207">
        <v>0</v>
      </c>
      <c r="BF4207">
        <v>0</v>
      </c>
      <c r="BG4207">
        <v>0</v>
      </c>
      <c r="BH4207">
        <v>5150</v>
      </c>
      <c r="BI4207">
        <v>1</v>
      </c>
      <c r="BJ4207">
        <v>0</v>
      </c>
      <c r="BK4207">
        <v>0</v>
      </c>
      <c r="BL4207">
        <v>0</v>
      </c>
      <c r="BO4207">
        <v>0</v>
      </c>
      <c r="BP4207">
        <v>0</v>
      </c>
      <c r="BW4207" t="str">
        <f t="shared" si="2361"/>
        <v>14:59:30.486</v>
      </c>
      <c r="CJ4207">
        <v>0</v>
      </c>
      <c r="CK4207">
        <v>2</v>
      </c>
      <c r="CL4207">
        <v>0</v>
      </c>
      <c r="CM4207">
        <v>2</v>
      </c>
      <c r="CN4207">
        <v>0</v>
      </c>
      <c r="CO4207">
        <v>6</v>
      </c>
      <c r="CP4207" t="s">
        <v>119</v>
      </c>
      <c r="CQ4207">
        <v>285</v>
      </c>
      <c r="CR4207">
        <v>0</v>
      </c>
      <c r="CW4207">
        <v>8890322</v>
      </c>
      <c r="CY4207">
        <v>0</v>
      </c>
      <c r="CZ4207">
        <v>0</v>
      </c>
      <c r="DA4207">
        <v>1</v>
      </c>
      <c r="DB4207">
        <v>0</v>
      </c>
      <c r="DC4207">
        <v>0</v>
      </c>
      <c r="DD4207">
        <v>0</v>
      </c>
      <c r="DE4207">
        <v>0</v>
      </c>
      <c r="DF4207">
        <v>0</v>
      </c>
      <c r="DG4207">
        <v>0</v>
      </c>
      <c r="DH4207">
        <v>0</v>
      </c>
      <c r="DI4207">
        <v>0</v>
      </c>
    </row>
    <row r="4208" spans="1:113" x14ac:dyDescent="0.25">
      <c r="A4208" t="str">
        <f t="shared" si="2358"/>
        <v>06/05/2020 14:59:24.816</v>
      </c>
      <c r="C4208" t="str">
        <f t="shared" si="2353"/>
        <v>FFDFD3C0</v>
      </c>
      <c r="D4208" t="s">
        <v>151</v>
      </c>
      <c r="E4208">
        <v>8</v>
      </c>
      <c r="H4208">
        <v>225</v>
      </c>
      <c r="I4208" t="s">
        <v>353</v>
      </c>
      <c r="J4208" t="s">
        <v>150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 t="shared" si="2359"/>
        <v>14:59:30.484</v>
      </c>
      <c r="T4208" t="str">
        <f t="shared" si="2360"/>
        <v>14:59:30.084</v>
      </c>
      <c r="U4208" t="str">
        <f t="shared" si="2335"/>
        <v>ACC530</v>
      </c>
      <c r="V4208">
        <v>0</v>
      </c>
      <c r="W4208">
        <v>0</v>
      </c>
      <c r="X4208">
        <v>1</v>
      </c>
      <c r="Z4208">
        <v>0</v>
      </c>
      <c r="AA4208">
        <v>9</v>
      </c>
      <c r="AB4208">
        <v>3</v>
      </c>
      <c r="AC4208">
        <v>0</v>
      </c>
      <c r="AD4208">
        <v>9</v>
      </c>
      <c r="AE4208">
        <v>0</v>
      </c>
      <c r="AF4208">
        <v>3</v>
      </c>
      <c r="AG4208">
        <v>1</v>
      </c>
      <c r="AH4208">
        <v>0</v>
      </c>
      <c r="AI4208" t="s">
        <v>1330</v>
      </c>
      <c r="AJ4208">
        <v>34.068797000000004</v>
      </c>
      <c r="AK4208" t="s">
        <v>1331</v>
      </c>
      <c r="AL4208">
        <v>-117.022955</v>
      </c>
      <c r="AM4208">
        <v>100</v>
      </c>
      <c r="AN4208">
        <v>5300</v>
      </c>
      <c r="AO4208" t="s">
        <v>118</v>
      </c>
      <c r="AP4208">
        <v>-93</v>
      </c>
      <c r="AQ4208">
        <v>35</v>
      </c>
      <c r="AR4208">
        <v>-640</v>
      </c>
      <c r="AZ4208">
        <v>1200</v>
      </c>
      <c r="BA4208">
        <v>1</v>
      </c>
      <c r="BB4208" t="str">
        <f t="shared" si="2336"/>
        <v xml:space="preserve">N9217B  </v>
      </c>
      <c r="BC4208">
        <v>1</v>
      </c>
      <c r="BE4208">
        <v>0</v>
      </c>
      <c r="BF4208">
        <v>0</v>
      </c>
      <c r="BG4208">
        <v>0</v>
      </c>
      <c r="BH4208">
        <v>5150</v>
      </c>
      <c r="BI4208">
        <v>1</v>
      </c>
      <c r="BJ4208">
        <v>0</v>
      </c>
      <c r="BK4208">
        <v>0</v>
      </c>
      <c r="BL4208">
        <v>0</v>
      </c>
      <c r="BO4208">
        <v>0</v>
      </c>
      <c r="BP4208">
        <v>0</v>
      </c>
      <c r="BW4208" t="str">
        <f t="shared" si="2361"/>
        <v>14:59:30.486</v>
      </c>
      <c r="CJ4208">
        <v>0</v>
      </c>
      <c r="CK4208">
        <v>2</v>
      </c>
      <c r="CL4208">
        <v>0</v>
      </c>
      <c r="CM4208">
        <v>2</v>
      </c>
      <c r="CN4208">
        <v>0</v>
      </c>
      <c r="CO4208">
        <v>6</v>
      </c>
      <c r="CP4208" t="s">
        <v>119</v>
      </c>
      <c r="CQ4208">
        <v>285</v>
      </c>
      <c r="CR4208">
        <v>0</v>
      </c>
      <c r="CW4208">
        <v>8890322</v>
      </c>
      <c r="CY4208">
        <v>0</v>
      </c>
      <c r="CZ4208">
        <v>0</v>
      </c>
      <c r="DA4208">
        <v>1</v>
      </c>
      <c r="DB4208">
        <v>0</v>
      </c>
      <c r="DC4208">
        <v>0</v>
      </c>
      <c r="DD4208">
        <v>0</v>
      </c>
      <c r="DE4208">
        <v>0</v>
      </c>
      <c r="DF4208">
        <v>0</v>
      </c>
      <c r="DG4208">
        <v>0</v>
      </c>
      <c r="DH4208">
        <v>0</v>
      </c>
      <c r="DI4208">
        <v>0</v>
      </c>
    </row>
    <row r="4209" spans="1:113" x14ac:dyDescent="0.25">
      <c r="A4209" t="str">
        <f t="shared" si="2358"/>
        <v>06/05/2020 14:59:24.816</v>
      </c>
      <c r="C4209" t="str">
        <f t="shared" si="2353"/>
        <v>FFDFD3C0</v>
      </c>
      <c r="D4209" t="s">
        <v>134</v>
      </c>
      <c r="E4209">
        <v>7</v>
      </c>
      <c r="F4209">
        <v>2007</v>
      </c>
      <c r="G4209" t="s">
        <v>135</v>
      </c>
      <c r="J4209" t="s">
        <v>136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 t="shared" si="2359"/>
        <v>14:59:30.484</v>
      </c>
      <c r="T4209" t="str">
        <f t="shared" si="2360"/>
        <v>14:59:30.084</v>
      </c>
      <c r="U4209" t="str">
        <f t="shared" si="2335"/>
        <v>ACC530</v>
      </c>
      <c r="V4209">
        <v>0</v>
      </c>
      <c r="W4209">
        <v>0</v>
      </c>
      <c r="X4209">
        <v>1</v>
      </c>
      <c r="Z4209">
        <v>0</v>
      </c>
      <c r="AA4209">
        <v>9</v>
      </c>
      <c r="AB4209">
        <v>3</v>
      </c>
      <c r="AC4209">
        <v>0</v>
      </c>
      <c r="AD4209">
        <v>9</v>
      </c>
      <c r="AE4209">
        <v>0</v>
      </c>
      <c r="AF4209">
        <v>3</v>
      </c>
      <c r="AG4209">
        <v>1</v>
      </c>
      <c r="AH4209">
        <v>0</v>
      </c>
      <c r="AI4209" t="s">
        <v>1330</v>
      </c>
      <c r="AJ4209">
        <v>34.068797000000004</v>
      </c>
      <c r="AK4209" t="s">
        <v>1331</v>
      </c>
      <c r="AL4209">
        <v>-117.022955</v>
      </c>
      <c r="AM4209">
        <v>100</v>
      </c>
      <c r="AN4209">
        <v>5300</v>
      </c>
      <c r="AO4209" t="s">
        <v>118</v>
      </c>
      <c r="AP4209">
        <v>-93</v>
      </c>
      <c r="AQ4209">
        <v>35</v>
      </c>
      <c r="AR4209">
        <v>-640</v>
      </c>
      <c r="AZ4209">
        <v>1200</v>
      </c>
      <c r="BA4209">
        <v>1</v>
      </c>
      <c r="BB4209" t="str">
        <f t="shared" si="2336"/>
        <v xml:space="preserve">N9217B  </v>
      </c>
      <c r="BC4209">
        <v>1</v>
      </c>
      <c r="BE4209">
        <v>0</v>
      </c>
      <c r="BF4209">
        <v>0</v>
      </c>
      <c r="BG4209">
        <v>0</v>
      </c>
      <c r="BH4209">
        <v>5150</v>
      </c>
      <c r="BI4209">
        <v>1</v>
      </c>
      <c r="BJ4209">
        <v>0</v>
      </c>
      <c r="BK4209">
        <v>0</v>
      </c>
      <c r="BL4209">
        <v>0</v>
      </c>
      <c r="BO4209">
        <v>0</v>
      </c>
      <c r="BP4209">
        <v>0</v>
      </c>
      <c r="BW4209" t="str">
        <f t="shared" si="2361"/>
        <v>14:59:30.486</v>
      </c>
      <c r="CJ4209">
        <v>0</v>
      </c>
      <c r="CK4209">
        <v>2</v>
      </c>
      <c r="CL4209">
        <v>0</v>
      </c>
      <c r="CM4209">
        <v>2</v>
      </c>
      <c r="CN4209">
        <v>0</v>
      </c>
      <c r="CO4209">
        <v>6</v>
      </c>
      <c r="CP4209" t="s">
        <v>119</v>
      </c>
      <c r="CQ4209">
        <v>285</v>
      </c>
      <c r="CR4209">
        <v>0</v>
      </c>
      <c r="CW4209">
        <v>8890322</v>
      </c>
      <c r="CY4209">
        <v>0</v>
      </c>
      <c r="CZ4209">
        <v>0</v>
      </c>
      <c r="DA4209">
        <v>1</v>
      </c>
      <c r="DB4209">
        <v>0</v>
      </c>
      <c r="DC4209">
        <v>0</v>
      </c>
      <c r="DD4209">
        <v>0</v>
      </c>
      <c r="DE4209">
        <v>0</v>
      </c>
      <c r="DF4209">
        <v>0</v>
      </c>
      <c r="DG4209">
        <v>0</v>
      </c>
      <c r="DH4209">
        <v>0</v>
      </c>
      <c r="DI4209">
        <v>0</v>
      </c>
    </row>
    <row r="4210" spans="1:113" x14ac:dyDescent="0.25">
      <c r="A4210" t="str">
        <f t="shared" ref="A4210:A4216" si="2362">"06/05/2020 14:59:25.932"</f>
        <v>06/05/2020 14:59:25.932</v>
      </c>
      <c r="C4210" t="str">
        <f t="shared" si="2353"/>
        <v>FFDFD3C0</v>
      </c>
      <c r="D4210" t="s">
        <v>148</v>
      </c>
      <c r="E4210">
        <v>8</v>
      </c>
      <c r="H4210">
        <v>50</v>
      </c>
      <c r="I4210" t="s">
        <v>149</v>
      </c>
      <c r="J4210" t="s">
        <v>150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 t="shared" ref="S4210:S4216" si="2363">"14:59:31.563"</f>
        <v>14:59:31.563</v>
      </c>
      <c r="T4210" t="str">
        <f t="shared" ref="T4210:T4216" si="2364">"14:59:31.463"</f>
        <v>14:59:31.463</v>
      </c>
      <c r="U4210" t="str">
        <f t="shared" si="2335"/>
        <v>ACC530</v>
      </c>
      <c r="V4210">
        <v>0</v>
      </c>
      <c r="W4210">
        <v>0</v>
      </c>
      <c r="X4210">
        <v>1</v>
      </c>
      <c r="Z4210">
        <v>0</v>
      </c>
      <c r="AA4210">
        <v>9</v>
      </c>
      <c r="AB4210">
        <v>3</v>
      </c>
      <c r="AC4210">
        <v>0</v>
      </c>
      <c r="AD4210">
        <v>9</v>
      </c>
      <c r="AE4210">
        <v>0</v>
      </c>
      <c r="AF4210">
        <v>3</v>
      </c>
      <c r="AG4210">
        <v>1</v>
      </c>
      <c r="AH4210">
        <v>0</v>
      </c>
      <c r="AI4210" t="s">
        <v>1332</v>
      </c>
      <c r="AJ4210">
        <v>34.068967999999998</v>
      </c>
      <c r="AK4210" t="s">
        <v>1333</v>
      </c>
      <c r="AL4210">
        <v>-117.02351299999999</v>
      </c>
      <c r="AM4210">
        <v>100</v>
      </c>
      <c r="AN4210">
        <v>5300</v>
      </c>
      <c r="AO4210" t="s">
        <v>118</v>
      </c>
      <c r="AP4210">
        <v>-94</v>
      </c>
      <c r="AQ4210">
        <v>35</v>
      </c>
      <c r="AR4210">
        <v>-640</v>
      </c>
      <c r="AZ4210">
        <v>1200</v>
      </c>
      <c r="BA4210">
        <v>1</v>
      </c>
      <c r="BB4210" t="str">
        <f t="shared" si="2336"/>
        <v xml:space="preserve">N9217B  </v>
      </c>
      <c r="BC4210">
        <v>1</v>
      </c>
      <c r="BE4210">
        <v>0</v>
      </c>
      <c r="BF4210">
        <v>0</v>
      </c>
      <c r="BG4210">
        <v>0</v>
      </c>
      <c r="BH4210">
        <v>5150</v>
      </c>
      <c r="BI4210">
        <v>1</v>
      </c>
      <c r="BJ4210">
        <v>0</v>
      </c>
      <c r="BK4210">
        <v>0</v>
      </c>
      <c r="BL4210">
        <v>0</v>
      </c>
      <c r="BO4210">
        <v>0</v>
      </c>
      <c r="BP4210">
        <v>0</v>
      </c>
      <c r="BW4210" t="str">
        <f t="shared" ref="BW4210:BW4216" si="2365">"14:59:31.566"</f>
        <v>14:59:31.566</v>
      </c>
      <c r="CJ4210">
        <v>0</v>
      </c>
      <c r="CK4210">
        <v>2</v>
      </c>
      <c r="CL4210">
        <v>0</v>
      </c>
      <c r="CM4210">
        <v>2</v>
      </c>
      <c r="CN4210">
        <v>0</v>
      </c>
      <c r="CO4210">
        <v>6</v>
      </c>
      <c r="CP4210" t="s">
        <v>119</v>
      </c>
      <c r="CQ4210">
        <v>285</v>
      </c>
      <c r="CR4210">
        <v>0</v>
      </c>
      <c r="CW4210">
        <v>8890425</v>
      </c>
      <c r="CY4210">
        <v>0</v>
      </c>
      <c r="CZ4210">
        <v>0</v>
      </c>
      <c r="DA4210">
        <v>0</v>
      </c>
      <c r="DB4210">
        <v>0</v>
      </c>
      <c r="DC4210">
        <v>0</v>
      </c>
      <c r="DD4210">
        <v>0</v>
      </c>
      <c r="DE4210">
        <v>0</v>
      </c>
      <c r="DF4210">
        <v>0</v>
      </c>
      <c r="DG4210">
        <v>0</v>
      </c>
      <c r="DH4210">
        <v>0</v>
      </c>
      <c r="DI4210">
        <v>0</v>
      </c>
    </row>
    <row r="4211" spans="1:113" x14ac:dyDescent="0.25">
      <c r="A4211" t="str">
        <f t="shared" si="2362"/>
        <v>06/05/2020 14:59:25.932</v>
      </c>
      <c r="C4211" t="str">
        <f t="shared" si="2353"/>
        <v>FFDFD3C0</v>
      </c>
      <c r="D4211" t="s">
        <v>151</v>
      </c>
      <c r="E4211">
        <v>9</v>
      </c>
      <c r="H4211">
        <v>226</v>
      </c>
      <c r="I4211" t="s">
        <v>152</v>
      </c>
      <c r="J4211" t="s">
        <v>150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 t="shared" si="2363"/>
        <v>14:59:31.563</v>
      </c>
      <c r="T4211" t="str">
        <f t="shared" si="2364"/>
        <v>14:59:31.463</v>
      </c>
      <c r="U4211" t="str">
        <f t="shared" si="2335"/>
        <v>ACC530</v>
      </c>
      <c r="V4211">
        <v>0</v>
      </c>
      <c r="W4211">
        <v>0</v>
      </c>
      <c r="X4211">
        <v>1</v>
      </c>
      <c r="Z4211">
        <v>0</v>
      </c>
      <c r="AA4211">
        <v>9</v>
      </c>
      <c r="AB4211">
        <v>3</v>
      </c>
      <c r="AC4211">
        <v>0</v>
      </c>
      <c r="AD4211">
        <v>9</v>
      </c>
      <c r="AE4211">
        <v>0</v>
      </c>
      <c r="AF4211">
        <v>3</v>
      </c>
      <c r="AG4211">
        <v>1</v>
      </c>
      <c r="AH4211">
        <v>0</v>
      </c>
      <c r="AI4211" t="s">
        <v>1332</v>
      </c>
      <c r="AJ4211">
        <v>34.068967999999998</v>
      </c>
      <c r="AK4211" t="s">
        <v>1333</v>
      </c>
      <c r="AL4211">
        <v>-117.02351299999999</v>
      </c>
      <c r="AM4211">
        <v>100</v>
      </c>
      <c r="AN4211">
        <v>5300</v>
      </c>
      <c r="AO4211" t="s">
        <v>118</v>
      </c>
      <c r="AP4211">
        <v>-94</v>
      </c>
      <c r="AQ4211">
        <v>35</v>
      </c>
      <c r="AR4211">
        <v>-640</v>
      </c>
      <c r="AZ4211">
        <v>1200</v>
      </c>
      <c r="BA4211">
        <v>1</v>
      </c>
      <c r="BB4211" t="str">
        <f t="shared" si="2336"/>
        <v xml:space="preserve">N9217B  </v>
      </c>
      <c r="BC4211">
        <v>1</v>
      </c>
      <c r="BE4211">
        <v>0</v>
      </c>
      <c r="BF4211">
        <v>0</v>
      </c>
      <c r="BG4211">
        <v>0</v>
      </c>
      <c r="BH4211">
        <v>5150</v>
      </c>
      <c r="BI4211">
        <v>1</v>
      </c>
      <c r="BJ4211">
        <v>0</v>
      </c>
      <c r="BK4211">
        <v>0</v>
      </c>
      <c r="BL4211">
        <v>0</v>
      </c>
      <c r="BO4211">
        <v>0</v>
      </c>
      <c r="BP4211">
        <v>0</v>
      </c>
      <c r="BW4211" t="str">
        <f t="shared" si="2365"/>
        <v>14:59:31.566</v>
      </c>
      <c r="CJ4211">
        <v>0</v>
      </c>
      <c r="CK4211">
        <v>2</v>
      </c>
      <c r="CL4211">
        <v>0</v>
      </c>
      <c r="CM4211">
        <v>2</v>
      </c>
      <c r="CN4211">
        <v>0</v>
      </c>
      <c r="CO4211">
        <v>6</v>
      </c>
      <c r="CP4211" t="s">
        <v>119</v>
      </c>
      <c r="CQ4211">
        <v>285</v>
      </c>
      <c r="CR4211">
        <v>0</v>
      </c>
      <c r="CW4211">
        <v>8890425</v>
      </c>
      <c r="CY4211">
        <v>0</v>
      </c>
      <c r="CZ4211">
        <v>0</v>
      </c>
      <c r="DA4211">
        <v>1</v>
      </c>
      <c r="DB4211">
        <v>0</v>
      </c>
      <c r="DC4211">
        <v>0</v>
      </c>
      <c r="DD4211">
        <v>0</v>
      </c>
      <c r="DE4211">
        <v>0</v>
      </c>
      <c r="DF4211">
        <v>0</v>
      </c>
      <c r="DG4211">
        <v>0</v>
      </c>
      <c r="DH4211">
        <v>0</v>
      </c>
      <c r="DI4211">
        <v>0</v>
      </c>
    </row>
    <row r="4212" spans="1:113" x14ac:dyDescent="0.25">
      <c r="A4212" t="str">
        <f t="shared" si="2362"/>
        <v>06/05/2020 14:59:25.932</v>
      </c>
      <c r="C4212" t="str">
        <f t="shared" si="2353"/>
        <v>FFDFD3C0</v>
      </c>
      <c r="D4212" t="s">
        <v>148</v>
      </c>
      <c r="E4212">
        <v>11</v>
      </c>
      <c r="H4212">
        <v>53</v>
      </c>
      <c r="I4212" t="s">
        <v>364</v>
      </c>
      <c r="J4212" t="s">
        <v>150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 t="shared" si="2363"/>
        <v>14:59:31.563</v>
      </c>
      <c r="T4212" t="str">
        <f t="shared" si="2364"/>
        <v>14:59:31.463</v>
      </c>
      <c r="U4212" t="str">
        <f t="shared" si="2335"/>
        <v>ACC530</v>
      </c>
      <c r="V4212">
        <v>0</v>
      </c>
      <c r="W4212">
        <v>0</v>
      </c>
      <c r="X4212">
        <v>1</v>
      </c>
      <c r="Z4212">
        <v>0</v>
      </c>
      <c r="AA4212">
        <v>9</v>
      </c>
      <c r="AB4212">
        <v>3</v>
      </c>
      <c r="AC4212">
        <v>0</v>
      </c>
      <c r="AD4212">
        <v>9</v>
      </c>
      <c r="AE4212">
        <v>0</v>
      </c>
      <c r="AF4212">
        <v>3</v>
      </c>
      <c r="AG4212">
        <v>1</v>
      </c>
      <c r="AH4212">
        <v>0</v>
      </c>
      <c r="AI4212" t="s">
        <v>1332</v>
      </c>
      <c r="AJ4212">
        <v>34.068967999999998</v>
      </c>
      <c r="AK4212" t="s">
        <v>1333</v>
      </c>
      <c r="AL4212">
        <v>-117.02351299999999</v>
      </c>
      <c r="AM4212">
        <v>100</v>
      </c>
      <c r="AN4212">
        <v>5300</v>
      </c>
      <c r="AO4212" t="s">
        <v>118</v>
      </c>
      <c r="AP4212">
        <v>-94</v>
      </c>
      <c r="AQ4212">
        <v>35</v>
      </c>
      <c r="AR4212">
        <v>-640</v>
      </c>
      <c r="AZ4212">
        <v>1200</v>
      </c>
      <c r="BA4212">
        <v>1</v>
      </c>
      <c r="BB4212" t="str">
        <f t="shared" si="2336"/>
        <v xml:space="preserve">N9217B  </v>
      </c>
      <c r="BC4212">
        <v>1</v>
      </c>
      <c r="BE4212">
        <v>0</v>
      </c>
      <c r="BF4212">
        <v>0</v>
      </c>
      <c r="BG4212">
        <v>0</v>
      </c>
      <c r="BH4212">
        <v>5150</v>
      </c>
      <c r="BI4212">
        <v>1</v>
      </c>
      <c r="BJ4212">
        <v>0</v>
      </c>
      <c r="BK4212">
        <v>0</v>
      </c>
      <c r="BL4212">
        <v>0</v>
      </c>
      <c r="BO4212">
        <v>0</v>
      </c>
      <c r="BP4212">
        <v>0</v>
      </c>
      <c r="BW4212" t="str">
        <f t="shared" si="2365"/>
        <v>14:59:31.566</v>
      </c>
      <c r="CJ4212">
        <v>0</v>
      </c>
      <c r="CK4212">
        <v>2</v>
      </c>
      <c r="CL4212">
        <v>0</v>
      </c>
      <c r="CM4212">
        <v>2</v>
      </c>
      <c r="CN4212">
        <v>0</v>
      </c>
      <c r="CO4212">
        <v>6</v>
      </c>
      <c r="CP4212" t="s">
        <v>119</v>
      </c>
      <c r="CQ4212">
        <v>285</v>
      </c>
      <c r="CR4212">
        <v>0</v>
      </c>
      <c r="CW4212">
        <v>8890425</v>
      </c>
      <c r="CY4212">
        <v>0</v>
      </c>
      <c r="CZ4212">
        <v>0</v>
      </c>
      <c r="DA4212">
        <v>1</v>
      </c>
      <c r="DB4212">
        <v>0</v>
      </c>
      <c r="DC4212">
        <v>0</v>
      </c>
      <c r="DD4212">
        <v>0</v>
      </c>
      <c r="DE4212">
        <v>0</v>
      </c>
      <c r="DF4212">
        <v>0</v>
      </c>
      <c r="DG4212">
        <v>0</v>
      </c>
      <c r="DH4212">
        <v>0</v>
      </c>
      <c r="DI4212">
        <v>0</v>
      </c>
    </row>
    <row r="4213" spans="1:113" x14ac:dyDescent="0.25">
      <c r="A4213" t="str">
        <f t="shared" si="2362"/>
        <v>06/05/2020 14:59:25.932</v>
      </c>
      <c r="C4213" t="str">
        <f t="shared" si="2353"/>
        <v>FFDFD3C0</v>
      </c>
      <c r="D4213" t="s">
        <v>113</v>
      </c>
      <c r="E4213">
        <v>3</v>
      </c>
      <c r="H4213">
        <v>166</v>
      </c>
      <c r="I4213" t="s">
        <v>114</v>
      </c>
      <c r="J4213" t="s">
        <v>115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 t="shared" si="2363"/>
        <v>14:59:31.563</v>
      </c>
      <c r="T4213" t="str">
        <f t="shared" si="2364"/>
        <v>14:59:31.463</v>
      </c>
      <c r="U4213" t="str">
        <f t="shared" si="2335"/>
        <v>ACC530</v>
      </c>
      <c r="V4213">
        <v>0</v>
      </c>
      <c r="W4213">
        <v>0</v>
      </c>
      <c r="X4213">
        <v>1</v>
      </c>
      <c r="Z4213">
        <v>0</v>
      </c>
      <c r="AA4213">
        <v>9</v>
      </c>
      <c r="AB4213">
        <v>3</v>
      </c>
      <c r="AC4213">
        <v>0</v>
      </c>
      <c r="AD4213">
        <v>9</v>
      </c>
      <c r="AE4213">
        <v>0</v>
      </c>
      <c r="AF4213">
        <v>3</v>
      </c>
      <c r="AG4213">
        <v>1</v>
      </c>
      <c r="AH4213">
        <v>0</v>
      </c>
      <c r="AI4213" t="s">
        <v>1332</v>
      </c>
      <c r="AJ4213">
        <v>34.068967999999998</v>
      </c>
      <c r="AK4213" t="s">
        <v>1333</v>
      </c>
      <c r="AL4213">
        <v>-117.02351299999999</v>
      </c>
      <c r="AM4213">
        <v>100</v>
      </c>
      <c r="AN4213">
        <v>5300</v>
      </c>
      <c r="AO4213" t="s">
        <v>118</v>
      </c>
      <c r="AP4213">
        <v>-94</v>
      </c>
      <c r="AQ4213">
        <v>35</v>
      </c>
      <c r="AR4213">
        <v>-640</v>
      </c>
      <c r="AZ4213">
        <v>1200</v>
      </c>
      <c r="BA4213">
        <v>1</v>
      </c>
      <c r="BB4213" t="str">
        <f t="shared" si="2336"/>
        <v xml:space="preserve">N9217B  </v>
      </c>
      <c r="BC4213">
        <v>1</v>
      </c>
      <c r="BE4213">
        <v>0</v>
      </c>
      <c r="BF4213">
        <v>0</v>
      </c>
      <c r="BG4213">
        <v>0</v>
      </c>
      <c r="BH4213">
        <v>5150</v>
      </c>
      <c r="BI4213">
        <v>1</v>
      </c>
      <c r="BJ4213">
        <v>0</v>
      </c>
      <c r="BK4213">
        <v>0</v>
      </c>
      <c r="BL4213">
        <v>0</v>
      </c>
      <c r="BO4213">
        <v>0</v>
      </c>
      <c r="BP4213">
        <v>0</v>
      </c>
      <c r="BW4213" t="str">
        <f t="shared" si="2365"/>
        <v>14:59:31.566</v>
      </c>
      <c r="CJ4213">
        <v>0</v>
      </c>
      <c r="CK4213">
        <v>2</v>
      </c>
      <c r="CL4213">
        <v>0</v>
      </c>
      <c r="CM4213">
        <v>2</v>
      </c>
      <c r="CN4213">
        <v>0</v>
      </c>
      <c r="CO4213">
        <v>6</v>
      </c>
      <c r="CP4213" t="s">
        <v>119</v>
      </c>
      <c r="CQ4213">
        <v>285</v>
      </c>
      <c r="CR4213">
        <v>0</v>
      </c>
      <c r="CW4213">
        <v>8890425</v>
      </c>
      <c r="CY4213">
        <v>0</v>
      </c>
      <c r="CZ4213">
        <v>0</v>
      </c>
      <c r="DA4213">
        <v>1</v>
      </c>
      <c r="DB4213">
        <v>0</v>
      </c>
      <c r="DC4213">
        <v>0</v>
      </c>
      <c r="DD4213">
        <v>0</v>
      </c>
      <c r="DE4213">
        <v>0</v>
      </c>
      <c r="DF4213">
        <v>0</v>
      </c>
      <c r="DG4213">
        <v>0</v>
      </c>
      <c r="DH4213">
        <v>0</v>
      </c>
      <c r="DI4213">
        <v>0</v>
      </c>
    </row>
    <row r="4214" spans="1:113" x14ac:dyDescent="0.25">
      <c r="A4214" t="str">
        <f t="shared" si="2362"/>
        <v>06/05/2020 14:59:25.932</v>
      </c>
      <c r="C4214" t="str">
        <f t="shared" si="2353"/>
        <v>FFDFD3C0</v>
      </c>
      <c r="D4214" t="s">
        <v>151</v>
      </c>
      <c r="E4214">
        <v>8</v>
      </c>
      <c r="H4214">
        <v>225</v>
      </c>
      <c r="I4214" t="s">
        <v>353</v>
      </c>
      <c r="J4214" t="s">
        <v>150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 t="shared" si="2363"/>
        <v>14:59:31.563</v>
      </c>
      <c r="T4214" t="str">
        <f t="shared" si="2364"/>
        <v>14:59:31.463</v>
      </c>
      <c r="U4214" t="str">
        <f t="shared" si="2335"/>
        <v>ACC530</v>
      </c>
      <c r="V4214">
        <v>0</v>
      </c>
      <c r="W4214">
        <v>0</v>
      </c>
      <c r="X4214">
        <v>1</v>
      </c>
      <c r="Z4214">
        <v>0</v>
      </c>
      <c r="AA4214">
        <v>9</v>
      </c>
      <c r="AB4214">
        <v>3</v>
      </c>
      <c r="AC4214">
        <v>0</v>
      </c>
      <c r="AD4214">
        <v>9</v>
      </c>
      <c r="AE4214">
        <v>0</v>
      </c>
      <c r="AF4214">
        <v>3</v>
      </c>
      <c r="AG4214">
        <v>1</v>
      </c>
      <c r="AH4214">
        <v>0</v>
      </c>
      <c r="AI4214" t="s">
        <v>1332</v>
      </c>
      <c r="AJ4214">
        <v>34.068967999999998</v>
      </c>
      <c r="AK4214" t="s">
        <v>1333</v>
      </c>
      <c r="AL4214">
        <v>-117.02351299999999</v>
      </c>
      <c r="AM4214">
        <v>100</v>
      </c>
      <c r="AN4214">
        <v>5300</v>
      </c>
      <c r="AO4214" t="s">
        <v>118</v>
      </c>
      <c r="AP4214">
        <v>-94</v>
      </c>
      <c r="AQ4214">
        <v>35</v>
      </c>
      <c r="AR4214">
        <v>-640</v>
      </c>
      <c r="AZ4214">
        <v>1200</v>
      </c>
      <c r="BA4214">
        <v>1</v>
      </c>
      <c r="BB4214" t="str">
        <f t="shared" si="2336"/>
        <v xml:space="preserve">N9217B  </v>
      </c>
      <c r="BC4214">
        <v>1</v>
      </c>
      <c r="BE4214">
        <v>0</v>
      </c>
      <c r="BF4214">
        <v>0</v>
      </c>
      <c r="BG4214">
        <v>0</v>
      </c>
      <c r="BH4214">
        <v>5150</v>
      </c>
      <c r="BI4214">
        <v>1</v>
      </c>
      <c r="BJ4214">
        <v>0</v>
      </c>
      <c r="BK4214">
        <v>0</v>
      </c>
      <c r="BL4214">
        <v>0</v>
      </c>
      <c r="BO4214">
        <v>0</v>
      </c>
      <c r="BP4214">
        <v>0</v>
      </c>
      <c r="BW4214" t="str">
        <f t="shared" si="2365"/>
        <v>14:59:31.566</v>
      </c>
      <c r="CJ4214">
        <v>0</v>
      </c>
      <c r="CK4214">
        <v>2</v>
      </c>
      <c r="CL4214">
        <v>0</v>
      </c>
      <c r="CM4214">
        <v>2</v>
      </c>
      <c r="CN4214">
        <v>0</v>
      </c>
      <c r="CO4214">
        <v>6</v>
      </c>
      <c r="CP4214" t="s">
        <v>119</v>
      </c>
      <c r="CQ4214">
        <v>285</v>
      </c>
      <c r="CR4214">
        <v>0</v>
      </c>
      <c r="CW4214">
        <v>8890425</v>
      </c>
      <c r="CY4214">
        <v>0</v>
      </c>
      <c r="CZ4214">
        <v>0</v>
      </c>
      <c r="DA4214">
        <v>1</v>
      </c>
      <c r="DB4214">
        <v>0</v>
      </c>
      <c r="DC4214">
        <v>0</v>
      </c>
      <c r="DD4214">
        <v>0</v>
      </c>
      <c r="DE4214">
        <v>0</v>
      </c>
      <c r="DF4214">
        <v>0</v>
      </c>
      <c r="DG4214">
        <v>0</v>
      </c>
      <c r="DH4214">
        <v>0</v>
      </c>
      <c r="DI4214">
        <v>0</v>
      </c>
    </row>
    <row r="4215" spans="1:113" x14ac:dyDescent="0.25">
      <c r="A4215" t="str">
        <f t="shared" si="2362"/>
        <v>06/05/2020 14:59:25.932</v>
      </c>
      <c r="C4215" t="str">
        <f t="shared" si="2353"/>
        <v>FFDFD3C0</v>
      </c>
      <c r="D4215" t="s">
        <v>134</v>
      </c>
      <c r="E4215">
        <v>7</v>
      </c>
      <c r="F4215">
        <v>2007</v>
      </c>
      <c r="G4215" t="s">
        <v>135</v>
      </c>
      <c r="J4215" t="s">
        <v>136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 t="shared" si="2363"/>
        <v>14:59:31.563</v>
      </c>
      <c r="T4215" t="str">
        <f t="shared" si="2364"/>
        <v>14:59:31.463</v>
      </c>
      <c r="U4215" t="str">
        <f t="shared" si="2335"/>
        <v>ACC530</v>
      </c>
      <c r="V4215">
        <v>0</v>
      </c>
      <c r="W4215">
        <v>0</v>
      </c>
      <c r="X4215">
        <v>1</v>
      </c>
      <c r="Z4215">
        <v>0</v>
      </c>
      <c r="AA4215">
        <v>9</v>
      </c>
      <c r="AB4215">
        <v>3</v>
      </c>
      <c r="AC4215">
        <v>0</v>
      </c>
      <c r="AD4215">
        <v>9</v>
      </c>
      <c r="AE4215">
        <v>0</v>
      </c>
      <c r="AF4215">
        <v>3</v>
      </c>
      <c r="AG4215">
        <v>1</v>
      </c>
      <c r="AH4215">
        <v>0</v>
      </c>
      <c r="AI4215" t="s">
        <v>1332</v>
      </c>
      <c r="AJ4215">
        <v>34.068967999999998</v>
      </c>
      <c r="AK4215" t="s">
        <v>1333</v>
      </c>
      <c r="AL4215">
        <v>-117.02351299999999</v>
      </c>
      <c r="AM4215">
        <v>100</v>
      </c>
      <c r="AN4215">
        <v>5300</v>
      </c>
      <c r="AO4215" t="s">
        <v>118</v>
      </c>
      <c r="AP4215">
        <v>-94</v>
      </c>
      <c r="AQ4215">
        <v>35</v>
      </c>
      <c r="AR4215">
        <v>-640</v>
      </c>
      <c r="AZ4215">
        <v>1200</v>
      </c>
      <c r="BA4215">
        <v>1</v>
      </c>
      <c r="BB4215" t="str">
        <f t="shared" si="2336"/>
        <v xml:space="preserve">N9217B  </v>
      </c>
      <c r="BC4215">
        <v>1</v>
      </c>
      <c r="BE4215">
        <v>0</v>
      </c>
      <c r="BF4215">
        <v>0</v>
      </c>
      <c r="BG4215">
        <v>0</v>
      </c>
      <c r="BH4215">
        <v>5150</v>
      </c>
      <c r="BI4215">
        <v>1</v>
      </c>
      <c r="BJ4215">
        <v>0</v>
      </c>
      <c r="BK4215">
        <v>0</v>
      </c>
      <c r="BL4215">
        <v>0</v>
      </c>
      <c r="BO4215">
        <v>0</v>
      </c>
      <c r="BP4215">
        <v>0</v>
      </c>
      <c r="BW4215" t="str">
        <f t="shared" si="2365"/>
        <v>14:59:31.566</v>
      </c>
      <c r="CJ4215">
        <v>0</v>
      </c>
      <c r="CK4215">
        <v>2</v>
      </c>
      <c r="CL4215">
        <v>0</v>
      </c>
      <c r="CM4215">
        <v>2</v>
      </c>
      <c r="CN4215">
        <v>0</v>
      </c>
      <c r="CO4215">
        <v>6</v>
      </c>
      <c r="CP4215" t="s">
        <v>119</v>
      </c>
      <c r="CQ4215">
        <v>285</v>
      </c>
      <c r="CR4215">
        <v>0</v>
      </c>
      <c r="CW4215">
        <v>8890425</v>
      </c>
      <c r="CY4215">
        <v>0</v>
      </c>
      <c r="CZ4215">
        <v>0</v>
      </c>
      <c r="DA4215">
        <v>1</v>
      </c>
      <c r="DB4215">
        <v>0</v>
      </c>
      <c r="DC4215">
        <v>0</v>
      </c>
      <c r="DD4215">
        <v>0</v>
      </c>
      <c r="DE4215">
        <v>0</v>
      </c>
      <c r="DF4215">
        <v>0</v>
      </c>
      <c r="DG4215">
        <v>0</v>
      </c>
      <c r="DH4215">
        <v>0</v>
      </c>
      <c r="DI4215">
        <v>0</v>
      </c>
    </row>
    <row r="4216" spans="1:113" x14ac:dyDescent="0.25">
      <c r="A4216" t="str">
        <f t="shared" si="2362"/>
        <v>06/05/2020 14:59:25.932</v>
      </c>
      <c r="C4216" t="str">
        <f t="shared" si="2353"/>
        <v>FFDFD3C0</v>
      </c>
      <c r="D4216" t="s">
        <v>141</v>
      </c>
      <c r="E4216">
        <v>20</v>
      </c>
      <c r="F4216">
        <v>1020</v>
      </c>
      <c r="G4216" t="s">
        <v>114</v>
      </c>
      <c r="J4216" t="s">
        <v>142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 t="shared" si="2363"/>
        <v>14:59:31.563</v>
      </c>
      <c r="T4216" t="str">
        <f t="shared" si="2364"/>
        <v>14:59:31.463</v>
      </c>
      <c r="U4216" t="str">
        <f t="shared" si="2335"/>
        <v>ACC530</v>
      </c>
      <c r="V4216">
        <v>0</v>
      </c>
      <c r="W4216">
        <v>0</v>
      </c>
      <c r="X4216">
        <v>1</v>
      </c>
      <c r="Z4216">
        <v>0</v>
      </c>
      <c r="AA4216">
        <v>9</v>
      </c>
      <c r="AB4216">
        <v>3</v>
      </c>
      <c r="AC4216">
        <v>0</v>
      </c>
      <c r="AD4216">
        <v>9</v>
      </c>
      <c r="AE4216">
        <v>0</v>
      </c>
      <c r="AF4216">
        <v>3</v>
      </c>
      <c r="AG4216">
        <v>1</v>
      </c>
      <c r="AH4216">
        <v>0</v>
      </c>
      <c r="AI4216" t="s">
        <v>1332</v>
      </c>
      <c r="AJ4216">
        <v>34.068967999999998</v>
      </c>
      <c r="AK4216" t="s">
        <v>1333</v>
      </c>
      <c r="AL4216">
        <v>-117.02351299999999</v>
      </c>
      <c r="AM4216">
        <v>100</v>
      </c>
      <c r="AN4216">
        <v>5300</v>
      </c>
      <c r="AO4216" t="s">
        <v>118</v>
      </c>
      <c r="AP4216">
        <v>-94</v>
      </c>
      <c r="AQ4216">
        <v>35</v>
      </c>
      <c r="AR4216">
        <v>-640</v>
      </c>
      <c r="AZ4216">
        <v>1200</v>
      </c>
      <c r="BA4216">
        <v>1</v>
      </c>
      <c r="BB4216" t="str">
        <f t="shared" si="2336"/>
        <v xml:space="preserve">N9217B  </v>
      </c>
      <c r="BC4216">
        <v>1</v>
      </c>
      <c r="BE4216">
        <v>0</v>
      </c>
      <c r="BF4216">
        <v>0</v>
      </c>
      <c r="BG4216">
        <v>0</v>
      </c>
      <c r="BH4216">
        <v>5150</v>
      </c>
      <c r="BI4216">
        <v>1</v>
      </c>
      <c r="BJ4216">
        <v>0</v>
      </c>
      <c r="BK4216">
        <v>0</v>
      </c>
      <c r="BL4216">
        <v>0</v>
      </c>
      <c r="BO4216">
        <v>0</v>
      </c>
      <c r="BP4216">
        <v>0</v>
      </c>
      <c r="BW4216" t="str">
        <f t="shared" si="2365"/>
        <v>14:59:31.566</v>
      </c>
      <c r="CJ4216">
        <v>0</v>
      </c>
      <c r="CK4216">
        <v>2</v>
      </c>
      <c r="CL4216">
        <v>0</v>
      </c>
      <c r="CM4216">
        <v>2</v>
      </c>
      <c r="CN4216">
        <v>0</v>
      </c>
      <c r="CO4216">
        <v>6</v>
      </c>
      <c r="CP4216" t="s">
        <v>119</v>
      </c>
      <c r="CQ4216">
        <v>285</v>
      </c>
      <c r="CR4216">
        <v>0</v>
      </c>
      <c r="CW4216">
        <v>8890425</v>
      </c>
      <c r="CY4216">
        <v>0</v>
      </c>
      <c r="CZ4216">
        <v>0</v>
      </c>
      <c r="DA4216">
        <v>1</v>
      </c>
      <c r="DB4216">
        <v>0</v>
      </c>
      <c r="DC4216">
        <v>0</v>
      </c>
      <c r="DD4216">
        <v>0</v>
      </c>
      <c r="DE4216">
        <v>0</v>
      </c>
      <c r="DF4216">
        <v>0</v>
      </c>
      <c r="DG4216">
        <v>0</v>
      </c>
      <c r="DH4216">
        <v>0</v>
      </c>
      <c r="DI4216">
        <v>0</v>
      </c>
    </row>
    <row r="4217" spans="1:113" x14ac:dyDescent="0.25">
      <c r="A4217" t="str">
        <f t="shared" ref="A4217:A4223" si="2366">"06/05/2020 14:59:26.750"</f>
        <v>06/05/2020 14:59:26.750</v>
      </c>
      <c r="C4217" t="str">
        <f t="shared" si="2353"/>
        <v>FFDFD3C0</v>
      </c>
      <c r="D4217" t="s">
        <v>148</v>
      </c>
      <c r="E4217">
        <v>11</v>
      </c>
      <c r="H4217">
        <v>53</v>
      </c>
      <c r="I4217" t="s">
        <v>364</v>
      </c>
      <c r="J4217" t="s">
        <v>150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 t="shared" ref="S4217:T4223" si="2367">"14:59:32.398"</f>
        <v>14:59:32.398</v>
      </c>
      <c r="T4217" t="str">
        <f t="shared" si="2367"/>
        <v>14:59:32.398</v>
      </c>
      <c r="U4217" t="str">
        <f t="shared" si="2335"/>
        <v>ACC530</v>
      </c>
      <c r="V4217">
        <v>0</v>
      </c>
      <c r="W4217">
        <v>0</v>
      </c>
      <c r="X4217">
        <v>1</v>
      </c>
      <c r="Z4217">
        <v>0</v>
      </c>
      <c r="AA4217">
        <v>9</v>
      </c>
      <c r="AB4217">
        <v>3</v>
      </c>
      <c r="AC4217">
        <v>0</v>
      </c>
      <c r="AD4217">
        <v>9</v>
      </c>
      <c r="AE4217">
        <v>0</v>
      </c>
      <c r="AF4217">
        <v>3</v>
      </c>
      <c r="AG4217">
        <v>1</v>
      </c>
      <c r="AH4217">
        <v>0</v>
      </c>
      <c r="AI4217" t="s">
        <v>1334</v>
      </c>
      <c r="AJ4217">
        <v>34.069096999999999</v>
      </c>
      <c r="AK4217" t="s">
        <v>1335</v>
      </c>
      <c r="AL4217">
        <v>-117.02396400000001</v>
      </c>
      <c r="AM4217">
        <v>100</v>
      </c>
      <c r="AN4217">
        <v>5300</v>
      </c>
      <c r="AO4217" t="s">
        <v>118</v>
      </c>
      <c r="AP4217">
        <v>-94</v>
      </c>
      <c r="AQ4217">
        <v>35</v>
      </c>
      <c r="AR4217">
        <v>-704</v>
      </c>
      <c r="AZ4217">
        <v>1200</v>
      </c>
      <c r="BA4217">
        <v>1</v>
      </c>
      <c r="BB4217" t="str">
        <f t="shared" si="2336"/>
        <v xml:space="preserve">N9217B  </v>
      </c>
      <c r="BC4217">
        <v>1</v>
      </c>
      <c r="BE4217">
        <v>0</v>
      </c>
      <c r="BF4217">
        <v>0</v>
      </c>
      <c r="BG4217">
        <v>0</v>
      </c>
      <c r="BH4217">
        <v>5125</v>
      </c>
      <c r="BI4217">
        <v>1</v>
      </c>
      <c r="BJ4217">
        <v>0</v>
      </c>
      <c r="BK4217">
        <v>0</v>
      </c>
      <c r="BL4217">
        <v>0</v>
      </c>
      <c r="BO4217">
        <v>0</v>
      </c>
      <c r="BP4217">
        <v>0</v>
      </c>
      <c r="BW4217" t="str">
        <f t="shared" ref="BW4217:BW4223" si="2368">"14:59:32.406"</f>
        <v>14:59:32.406</v>
      </c>
      <c r="CJ4217">
        <v>0</v>
      </c>
      <c r="CK4217">
        <v>2</v>
      </c>
      <c r="CL4217">
        <v>0</v>
      </c>
      <c r="CM4217">
        <v>2</v>
      </c>
      <c r="CN4217">
        <v>0</v>
      </c>
      <c r="CO4217">
        <v>6</v>
      </c>
      <c r="CP4217" t="s">
        <v>119</v>
      </c>
      <c r="CQ4217">
        <v>285</v>
      </c>
      <c r="CR4217">
        <v>0</v>
      </c>
      <c r="CW4217">
        <v>8890509</v>
      </c>
      <c r="CY4217">
        <v>0</v>
      </c>
      <c r="CZ4217">
        <v>0</v>
      </c>
      <c r="DA4217">
        <v>0</v>
      </c>
      <c r="DB4217">
        <v>0</v>
      </c>
      <c r="DC4217">
        <v>0</v>
      </c>
      <c r="DD4217">
        <v>0</v>
      </c>
      <c r="DE4217">
        <v>0</v>
      </c>
      <c r="DF4217">
        <v>0</v>
      </c>
      <c r="DG4217">
        <v>0</v>
      </c>
      <c r="DH4217">
        <v>0</v>
      </c>
      <c r="DI4217">
        <v>0</v>
      </c>
    </row>
    <row r="4218" spans="1:113" x14ac:dyDescent="0.25">
      <c r="A4218" t="str">
        <f t="shared" si="2366"/>
        <v>06/05/2020 14:59:26.750</v>
      </c>
      <c r="C4218" t="str">
        <f t="shared" si="2353"/>
        <v>FFDFD3C0</v>
      </c>
      <c r="D4218" t="s">
        <v>113</v>
      </c>
      <c r="E4218">
        <v>3</v>
      </c>
      <c r="H4218">
        <v>166</v>
      </c>
      <c r="I4218" t="s">
        <v>114</v>
      </c>
      <c r="J4218" t="s">
        <v>115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 t="shared" si="2367"/>
        <v>14:59:32.398</v>
      </c>
      <c r="T4218" t="str">
        <f t="shared" si="2367"/>
        <v>14:59:32.398</v>
      </c>
      <c r="U4218" t="str">
        <f t="shared" si="2335"/>
        <v>ACC530</v>
      </c>
      <c r="V4218">
        <v>0</v>
      </c>
      <c r="W4218">
        <v>0</v>
      </c>
      <c r="X4218">
        <v>1</v>
      </c>
      <c r="Z4218">
        <v>0</v>
      </c>
      <c r="AA4218">
        <v>9</v>
      </c>
      <c r="AB4218">
        <v>3</v>
      </c>
      <c r="AC4218">
        <v>0</v>
      </c>
      <c r="AD4218">
        <v>9</v>
      </c>
      <c r="AE4218">
        <v>0</v>
      </c>
      <c r="AF4218">
        <v>3</v>
      </c>
      <c r="AG4218">
        <v>1</v>
      </c>
      <c r="AH4218">
        <v>0</v>
      </c>
      <c r="AI4218" t="s">
        <v>1334</v>
      </c>
      <c r="AJ4218">
        <v>34.069096999999999</v>
      </c>
      <c r="AK4218" t="s">
        <v>1335</v>
      </c>
      <c r="AL4218">
        <v>-117.02396400000001</v>
      </c>
      <c r="AM4218">
        <v>100</v>
      </c>
      <c r="AN4218">
        <v>5300</v>
      </c>
      <c r="AO4218" t="s">
        <v>118</v>
      </c>
      <c r="AP4218">
        <v>-94</v>
      </c>
      <c r="AQ4218">
        <v>35</v>
      </c>
      <c r="AR4218">
        <v>-704</v>
      </c>
      <c r="AZ4218">
        <v>1200</v>
      </c>
      <c r="BA4218">
        <v>1</v>
      </c>
      <c r="BB4218" t="str">
        <f t="shared" si="2336"/>
        <v xml:space="preserve">N9217B  </v>
      </c>
      <c r="BC4218">
        <v>1</v>
      </c>
      <c r="BE4218">
        <v>0</v>
      </c>
      <c r="BF4218">
        <v>0</v>
      </c>
      <c r="BG4218">
        <v>0</v>
      </c>
      <c r="BH4218">
        <v>5125</v>
      </c>
      <c r="BI4218">
        <v>1</v>
      </c>
      <c r="BJ4218">
        <v>0</v>
      </c>
      <c r="BK4218">
        <v>0</v>
      </c>
      <c r="BL4218">
        <v>0</v>
      </c>
      <c r="BO4218">
        <v>0</v>
      </c>
      <c r="BP4218">
        <v>0</v>
      </c>
      <c r="BW4218" t="str">
        <f t="shared" si="2368"/>
        <v>14:59:32.406</v>
      </c>
      <c r="CJ4218">
        <v>0</v>
      </c>
      <c r="CK4218">
        <v>2</v>
      </c>
      <c r="CL4218">
        <v>0</v>
      </c>
      <c r="CM4218">
        <v>2</v>
      </c>
      <c r="CN4218">
        <v>0</v>
      </c>
      <c r="CO4218">
        <v>6</v>
      </c>
      <c r="CP4218" t="s">
        <v>119</v>
      </c>
      <c r="CQ4218">
        <v>285</v>
      </c>
      <c r="CR4218">
        <v>0</v>
      </c>
      <c r="CW4218">
        <v>8890509</v>
      </c>
      <c r="CY4218">
        <v>0</v>
      </c>
      <c r="CZ4218">
        <v>0</v>
      </c>
      <c r="DA4218">
        <v>1</v>
      </c>
      <c r="DB4218">
        <v>0</v>
      </c>
      <c r="DC4218">
        <v>0</v>
      </c>
      <c r="DD4218">
        <v>0</v>
      </c>
      <c r="DE4218">
        <v>0</v>
      </c>
      <c r="DF4218">
        <v>0</v>
      </c>
      <c r="DG4218">
        <v>0</v>
      </c>
      <c r="DH4218">
        <v>0</v>
      </c>
      <c r="DI4218">
        <v>0</v>
      </c>
    </row>
    <row r="4219" spans="1:113" x14ac:dyDescent="0.25">
      <c r="A4219" t="str">
        <f t="shared" si="2366"/>
        <v>06/05/2020 14:59:26.750</v>
      </c>
      <c r="C4219" t="str">
        <f t="shared" si="2353"/>
        <v>FFDFD3C0</v>
      </c>
      <c r="D4219" t="s">
        <v>134</v>
      </c>
      <c r="E4219">
        <v>7</v>
      </c>
      <c r="F4219">
        <v>2007</v>
      </c>
      <c r="G4219" t="s">
        <v>135</v>
      </c>
      <c r="J4219" t="s">
        <v>136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 t="shared" si="2367"/>
        <v>14:59:32.398</v>
      </c>
      <c r="T4219" t="str">
        <f t="shared" si="2367"/>
        <v>14:59:32.398</v>
      </c>
      <c r="U4219" t="str">
        <f t="shared" si="2335"/>
        <v>ACC530</v>
      </c>
      <c r="V4219">
        <v>0</v>
      </c>
      <c r="W4219">
        <v>0</v>
      </c>
      <c r="X4219">
        <v>1</v>
      </c>
      <c r="Z4219">
        <v>0</v>
      </c>
      <c r="AA4219">
        <v>9</v>
      </c>
      <c r="AB4219">
        <v>3</v>
      </c>
      <c r="AC4219">
        <v>0</v>
      </c>
      <c r="AD4219">
        <v>9</v>
      </c>
      <c r="AE4219">
        <v>0</v>
      </c>
      <c r="AF4219">
        <v>3</v>
      </c>
      <c r="AG4219">
        <v>1</v>
      </c>
      <c r="AH4219">
        <v>0</v>
      </c>
      <c r="AI4219" t="s">
        <v>1334</v>
      </c>
      <c r="AJ4219">
        <v>34.069096999999999</v>
      </c>
      <c r="AK4219" t="s">
        <v>1335</v>
      </c>
      <c r="AL4219">
        <v>-117.02396400000001</v>
      </c>
      <c r="AM4219">
        <v>100</v>
      </c>
      <c r="AN4219">
        <v>5300</v>
      </c>
      <c r="AO4219" t="s">
        <v>118</v>
      </c>
      <c r="AP4219">
        <v>-94</v>
      </c>
      <c r="AQ4219">
        <v>35</v>
      </c>
      <c r="AR4219">
        <v>-704</v>
      </c>
      <c r="AZ4219">
        <v>1200</v>
      </c>
      <c r="BA4219">
        <v>1</v>
      </c>
      <c r="BB4219" t="str">
        <f t="shared" si="2336"/>
        <v xml:space="preserve">N9217B  </v>
      </c>
      <c r="BC4219">
        <v>1</v>
      </c>
      <c r="BE4219">
        <v>0</v>
      </c>
      <c r="BF4219">
        <v>0</v>
      </c>
      <c r="BG4219">
        <v>0</v>
      </c>
      <c r="BH4219">
        <v>5125</v>
      </c>
      <c r="BI4219">
        <v>1</v>
      </c>
      <c r="BJ4219">
        <v>0</v>
      </c>
      <c r="BK4219">
        <v>0</v>
      </c>
      <c r="BL4219">
        <v>0</v>
      </c>
      <c r="BO4219">
        <v>0</v>
      </c>
      <c r="BP4219">
        <v>0</v>
      </c>
      <c r="BW4219" t="str">
        <f t="shared" si="2368"/>
        <v>14:59:32.406</v>
      </c>
      <c r="CJ4219">
        <v>0</v>
      </c>
      <c r="CK4219">
        <v>2</v>
      </c>
      <c r="CL4219">
        <v>0</v>
      </c>
      <c r="CM4219">
        <v>2</v>
      </c>
      <c r="CN4219">
        <v>0</v>
      </c>
      <c r="CO4219">
        <v>6</v>
      </c>
      <c r="CP4219" t="s">
        <v>119</v>
      </c>
      <c r="CQ4219">
        <v>285</v>
      </c>
      <c r="CR4219">
        <v>0</v>
      </c>
      <c r="CW4219">
        <v>8890509</v>
      </c>
      <c r="CY4219">
        <v>0</v>
      </c>
      <c r="CZ4219">
        <v>0</v>
      </c>
      <c r="DA4219">
        <v>1</v>
      </c>
      <c r="DB4219">
        <v>0</v>
      </c>
      <c r="DC4219">
        <v>0</v>
      </c>
      <c r="DD4219">
        <v>0</v>
      </c>
      <c r="DE4219">
        <v>0</v>
      </c>
      <c r="DF4219">
        <v>0</v>
      </c>
      <c r="DG4219">
        <v>0</v>
      </c>
      <c r="DH4219">
        <v>0</v>
      </c>
      <c r="DI4219">
        <v>0</v>
      </c>
    </row>
    <row r="4220" spans="1:113" x14ac:dyDescent="0.25">
      <c r="A4220" t="str">
        <f t="shared" si="2366"/>
        <v>06/05/2020 14:59:26.750</v>
      </c>
      <c r="C4220" t="str">
        <f t="shared" si="2353"/>
        <v>FFDFD3C0</v>
      </c>
      <c r="D4220" t="s">
        <v>151</v>
      </c>
      <c r="E4220">
        <v>8</v>
      </c>
      <c r="H4220">
        <v>225</v>
      </c>
      <c r="I4220" t="s">
        <v>353</v>
      </c>
      <c r="J4220" t="s">
        <v>150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 t="shared" si="2367"/>
        <v>14:59:32.398</v>
      </c>
      <c r="T4220" t="str">
        <f t="shared" si="2367"/>
        <v>14:59:32.398</v>
      </c>
      <c r="U4220" t="str">
        <f t="shared" si="2335"/>
        <v>ACC530</v>
      </c>
      <c r="V4220">
        <v>0</v>
      </c>
      <c r="W4220">
        <v>0</v>
      </c>
      <c r="X4220">
        <v>1</v>
      </c>
      <c r="Z4220">
        <v>0</v>
      </c>
      <c r="AA4220">
        <v>9</v>
      </c>
      <c r="AB4220">
        <v>3</v>
      </c>
      <c r="AC4220">
        <v>0</v>
      </c>
      <c r="AD4220">
        <v>9</v>
      </c>
      <c r="AE4220">
        <v>0</v>
      </c>
      <c r="AF4220">
        <v>3</v>
      </c>
      <c r="AG4220">
        <v>1</v>
      </c>
      <c r="AH4220">
        <v>0</v>
      </c>
      <c r="AI4220" t="s">
        <v>1334</v>
      </c>
      <c r="AJ4220">
        <v>34.069096999999999</v>
      </c>
      <c r="AK4220" t="s">
        <v>1335</v>
      </c>
      <c r="AL4220">
        <v>-117.02396400000001</v>
      </c>
      <c r="AM4220">
        <v>100</v>
      </c>
      <c r="AN4220">
        <v>5300</v>
      </c>
      <c r="AO4220" t="s">
        <v>118</v>
      </c>
      <c r="AP4220">
        <v>-94</v>
      </c>
      <c r="AQ4220">
        <v>35</v>
      </c>
      <c r="AR4220">
        <v>-704</v>
      </c>
      <c r="AZ4220">
        <v>1200</v>
      </c>
      <c r="BA4220">
        <v>1</v>
      </c>
      <c r="BB4220" t="str">
        <f t="shared" si="2336"/>
        <v xml:space="preserve">N9217B  </v>
      </c>
      <c r="BC4220">
        <v>1</v>
      </c>
      <c r="BE4220">
        <v>0</v>
      </c>
      <c r="BF4220">
        <v>0</v>
      </c>
      <c r="BG4220">
        <v>0</v>
      </c>
      <c r="BH4220">
        <v>5125</v>
      </c>
      <c r="BI4220">
        <v>1</v>
      </c>
      <c r="BJ4220">
        <v>0</v>
      </c>
      <c r="BK4220">
        <v>0</v>
      </c>
      <c r="BL4220">
        <v>0</v>
      </c>
      <c r="BO4220">
        <v>0</v>
      </c>
      <c r="BP4220">
        <v>0</v>
      </c>
      <c r="BW4220" t="str">
        <f t="shared" si="2368"/>
        <v>14:59:32.406</v>
      </c>
      <c r="CJ4220">
        <v>0</v>
      </c>
      <c r="CK4220">
        <v>2</v>
      </c>
      <c r="CL4220">
        <v>0</v>
      </c>
      <c r="CM4220">
        <v>2</v>
      </c>
      <c r="CN4220">
        <v>0</v>
      </c>
      <c r="CO4220">
        <v>6</v>
      </c>
      <c r="CP4220" t="s">
        <v>119</v>
      </c>
      <c r="CQ4220">
        <v>285</v>
      </c>
      <c r="CR4220">
        <v>0</v>
      </c>
      <c r="CW4220">
        <v>8890509</v>
      </c>
      <c r="CY4220">
        <v>0</v>
      </c>
      <c r="CZ4220">
        <v>0</v>
      </c>
      <c r="DA4220">
        <v>1</v>
      </c>
      <c r="DB4220">
        <v>0</v>
      </c>
      <c r="DC4220">
        <v>0</v>
      </c>
      <c r="DD4220">
        <v>0</v>
      </c>
      <c r="DE4220">
        <v>0</v>
      </c>
      <c r="DF4220">
        <v>0</v>
      </c>
      <c r="DG4220">
        <v>0</v>
      </c>
      <c r="DH4220">
        <v>0</v>
      </c>
      <c r="DI4220">
        <v>0</v>
      </c>
    </row>
    <row r="4221" spans="1:113" x14ac:dyDescent="0.25">
      <c r="A4221" t="str">
        <f t="shared" si="2366"/>
        <v>06/05/2020 14:59:26.750</v>
      </c>
      <c r="C4221" t="str">
        <f t="shared" si="2353"/>
        <v>FFDFD3C0</v>
      </c>
      <c r="D4221" t="s">
        <v>141</v>
      </c>
      <c r="E4221">
        <v>20</v>
      </c>
      <c r="F4221">
        <v>1020</v>
      </c>
      <c r="G4221" t="s">
        <v>114</v>
      </c>
      <c r="J4221" t="s">
        <v>142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 t="shared" si="2367"/>
        <v>14:59:32.398</v>
      </c>
      <c r="T4221" t="str">
        <f t="shared" si="2367"/>
        <v>14:59:32.398</v>
      </c>
      <c r="U4221" t="str">
        <f t="shared" si="2335"/>
        <v>ACC530</v>
      </c>
      <c r="V4221">
        <v>0</v>
      </c>
      <c r="W4221">
        <v>0</v>
      </c>
      <c r="X4221">
        <v>1</v>
      </c>
      <c r="Z4221">
        <v>0</v>
      </c>
      <c r="AA4221">
        <v>9</v>
      </c>
      <c r="AB4221">
        <v>3</v>
      </c>
      <c r="AC4221">
        <v>0</v>
      </c>
      <c r="AD4221">
        <v>9</v>
      </c>
      <c r="AE4221">
        <v>0</v>
      </c>
      <c r="AF4221">
        <v>3</v>
      </c>
      <c r="AG4221">
        <v>1</v>
      </c>
      <c r="AH4221">
        <v>0</v>
      </c>
      <c r="AI4221" t="s">
        <v>1334</v>
      </c>
      <c r="AJ4221">
        <v>34.069096999999999</v>
      </c>
      <c r="AK4221" t="s">
        <v>1335</v>
      </c>
      <c r="AL4221">
        <v>-117.02396400000001</v>
      </c>
      <c r="AM4221">
        <v>100</v>
      </c>
      <c r="AN4221">
        <v>5300</v>
      </c>
      <c r="AO4221" t="s">
        <v>118</v>
      </c>
      <c r="AP4221">
        <v>-94</v>
      </c>
      <c r="AQ4221">
        <v>35</v>
      </c>
      <c r="AR4221">
        <v>-704</v>
      </c>
      <c r="AZ4221">
        <v>1200</v>
      </c>
      <c r="BA4221">
        <v>1</v>
      </c>
      <c r="BB4221" t="str">
        <f t="shared" si="2336"/>
        <v xml:space="preserve">N9217B  </v>
      </c>
      <c r="BC4221">
        <v>1</v>
      </c>
      <c r="BE4221">
        <v>0</v>
      </c>
      <c r="BF4221">
        <v>0</v>
      </c>
      <c r="BG4221">
        <v>0</v>
      </c>
      <c r="BH4221">
        <v>5125</v>
      </c>
      <c r="BI4221">
        <v>1</v>
      </c>
      <c r="BJ4221">
        <v>0</v>
      </c>
      <c r="BK4221">
        <v>0</v>
      </c>
      <c r="BL4221">
        <v>0</v>
      </c>
      <c r="BO4221">
        <v>0</v>
      </c>
      <c r="BP4221">
        <v>0</v>
      </c>
      <c r="BW4221" t="str">
        <f t="shared" si="2368"/>
        <v>14:59:32.406</v>
      </c>
      <c r="CJ4221">
        <v>0</v>
      </c>
      <c r="CK4221">
        <v>2</v>
      </c>
      <c r="CL4221">
        <v>0</v>
      </c>
      <c r="CM4221">
        <v>2</v>
      </c>
      <c r="CN4221">
        <v>0</v>
      </c>
      <c r="CO4221">
        <v>6</v>
      </c>
      <c r="CP4221" t="s">
        <v>119</v>
      </c>
      <c r="CQ4221">
        <v>285</v>
      </c>
      <c r="CR4221">
        <v>0</v>
      </c>
      <c r="CW4221">
        <v>8890509</v>
      </c>
      <c r="CY4221">
        <v>0</v>
      </c>
      <c r="CZ4221">
        <v>0</v>
      </c>
      <c r="DA4221">
        <v>1</v>
      </c>
      <c r="DB4221">
        <v>0</v>
      </c>
      <c r="DC4221">
        <v>0</v>
      </c>
      <c r="DD4221">
        <v>0</v>
      </c>
      <c r="DE4221">
        <v>0</v>
      </c>
      <c r="DF4221">
        <v>0</v>
      </c>
      <c r="DG4221">
        <v>0</v>
      </c>
      <c r="DH4221">
        <v>0</v>
      </c>
      <c r="DI4221">
        <v>0</v>
      </c>
    </row>
    <row r="4222" spans="1:113" x14ac:dyDescent="0.25">
      <c r="A4222" t="str">
        <f t="shared" si="2366"/>
        <v>06/05/2020 14:59:26.750</v>
      </c>
      <c r="C4222" t="str">
        <f t="shared" si="2353"/>
        <v>FFDFD3C0</v>
      </c>
      <c r="D4222" t="s">
        <v>148</v>
      </c>
      <c r="E4222">
        <v>8</v>
      </c>
      <c r="H4222">
        <v>50</v>
      </c>
      <c r="I4222" t="s">
        <v>149</v>
      </c>
      <c r="J4222" t="s">
        <v>150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 t="shared" si="2367"/>
        <v>14:59:32.398</v>
      </c>
      <c r="T4222" t="str">
        <f t="shared" si="2367"/>
        <v>14:59:32.398</v>
      </c>
      <c r="U4222" t="str">
        <f t="shared" si="2335"/>
        <v>ACC530</v>
      </c>
      <c r="V4222">
        <v>0</v>
      </c>
      <c r="W4222">
        <v>0</v>
      </c>
      <c r="X4222">
        <v>1</v>
      </c>
      <c r="Z4222">
        <v>0</v>
      </c>
      <c r="AA4222">
        <v>9</v>
      </c>
      <c r="AB4222">
        <v>3</v>
      </c>
      <c r="AC4222">
        <v>0</v>
      </c>
      <c r="AD4222">
        <v>9</v>
      </c>
      <c r="AE4222">
        <v>0</v>
      </c>
      <c r="AF4222">
        <v>3</v>
      </c>
      <c r="AG4222">
        <v>1</v>
      </c>
      <c r="AH4222">
        <v>0</v>
      </c>
      <c r="AI4222" t="s">
        <v>1334</v>
      </c>
      <c r="AJ4222">
        <v>34.069096999999999</v>
      </c>
      <c r="AK4222" t="s">
        <v>1335</v>
      </c>
      <c r="AL4222">
        <v>-117.02396400000001</v>
      </c>
      <c r="AM4222">
        <v>100</v>
      </c>
      <c r="AN4222">
        <v>5300</v>
      </c>
      <c r="AO4222" t="s">
        <v>118</v>
      </c>
      <c r="AP4222">
        <v>-94</v>
      </c>
      <c r="AQ4222">
        <v>35</v>
      </c>
      <c r="AR4222">
        <v>-704</v>
      </c>
      <c r="AZ4222">
        <v>1200</v>
      </c>
      <c r="BA4222">
        <v>1</v>
      </c>
      <c r="BB4222" t="str">
        <f t="shared" si="2336"/>
        <v xml:space="preserve">N9217B  </v>
      </c>
      <c r="BC4222">
        <v>1</v>
      </c>
      <c r="BE4222">
        <v>0</v>
      </c>
      <c r="BF4222">
        <v>0</v>
      </c>
      <c r="BG4222">
        <v>0</v>
      </c>
      <c r="BH4222">
        <v>5125</v>
      </c>
      <c r="BI4222">
        <v>1</v>
      </c>
      <c r="BJ4222">
        <v>0</v>
      </c>
      <c r="BK4222">
        <v>0</v>
      </c>
      <c r="BL4222">
        <v>0</v>
      </c>
      <c r="BO4222">
        <v>0</v>
      </c>
      <c r="BP4222">
        <v>0</v>
      </c>
      <c r="BW4222" t="str">
        <f t="shared" si="2368"/>
        <v>14:59:32.406</v>
      </c>
      <c r="CJ4222">
        <v>0</v>
      </c>
      <c r="CK4222">
        <v>2</v>
      </c>
      <c r="CL4222">
        <v>0</v>
      </c>
      <c r="CM4222">
        <v>2</v>
      </c>
      <c r="CN4222">
        <v>0</v>
      </c>
      <c r="CO4222">
        <v>6</v>
      </c>
      <c r="CP4222" t="s">
        <v>119</v>
      </c>
      <c r="CQ4222">
        <v>285</v>
      </c>
      <c r="CR4222">
        <v>0</v>
      </c>
      <c r="CW4222">
        <v>8890509</v>
      </c>
      <c r="CY4222">
        <v>0</v>
      </c>
      <c r="CZ4222">
        <v>0</v>
      </c>
      <c r="DA4222">
        <v>1</v>
      </c>
      <c r="DB4222">
        <v>0</v>
      </c>
      <c r="DC4222">
        <v>0</v>
      </c>
      <c r="DD4222">
        <v>0</v>
      </c>
      <c r="DE4222">
        <v>0</v>
      </c>
      <c r="DF4222">
        <v>0</v>
      </c>
      <c r="DG4222">
        <v>0</v>
      </c>
      <c r="DH4222">
        <v>0</v>
      </c>
      <c r="DI4222">
        <v>0</v>
      </c>
    </row>
    <row r="4223" spans="1:113" x14ac:dyDescent="0.25">
      <c r="A4223" t="str">
        <f t="shared" si="2366"/>
        <v>06/05/2020 14:59:26.750</v>
      </c>
      <c r="C4223" t="str">
        <f t="shared" si="2353"/>
        <v>FFDFD3C0</v>
      </c>
      <c r="D4223" t="s">
        <v>151</v>
      </c>
      <c r="E4223">
        <v>9</v>
      </c>
      <c r="H4223">
        <v>226</v>
      </c>
      <c r="I4223" t="s">
        <v>152</v>
      </c>
      <c r="J4223" t="s">
        <v>150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 t="shared" si="2367"/>
        <v>14:59:32.398</v>
      </c>
      <c r="T4223" t="str">
        <f t="shared" si="2367"/>
        <v>14:59:32.398</v>
      </c>
      <c r="U4223" t="str">
        <f t="shared" si="2335"/>
        <v>ACC530</v>
      </c>
      <c r="V4223">
        <v>0</v>
      </c>
      <c r="W4223">
        <v>0</v>
      </c>
      <c r="X4223">
        <v>1</v>
      </c>
      <c r="Z4223">
        <v>0</v>
      </c>
      <c r="AA4223">
        <v>9</v>
      </c>
      <c r="AB4223">
        <v>3</v>
      </c>
      <c r="AC4223">
        <v>0</v>
      </c>
      <c r="AD4223">
        <v>9</v>
      </c>
      <c r="AE4223">
        <v>0</v>
      </c>
      <c r="AF4223">
        <v>3</v>
      </c>
      <c r="AG4223">
        <v>1</v>
      </c>
      <c r="AH4223">
        <v>0</v>
      </c>
      <c r="AI4223" t="s">
        <v>1334</v>
      </c>
      <c r="AJ4223">
        <v>34.069096999999999</v>
      </c>
      <c r="AK4223" t="s">
        <v>1335</v>
      </c>
      <c r="AL4223">
        <v>-117.02396400000001</v>
      </c>
      <c r="AM4223">
        <v>100</v>
      </c>
      <c r="AN4223">
        <v>5300</v>
      </c>
      <c r="AO4223" t="s">
        <v>118</v>
      </c>
      <c r="AP4223">
        <v>-94</v>
      </c>
      <c r="AQ4223">
        <v>35</v>
      </c>
      <c r="AR4223">
        <v>-704</v>
      </c>
      <c r="AZ4223">
        <v>1200</v>
      </c>
      <c r="BA4223">
        <v>1</v>
      </c>
      <c r="BB4223" t="str">
        <f t="shared" si="2336"/>
        <v xml:space="preserve">N9217B  </v>
      </c>
      <c r="BC4223">
        <v>1</v>
      </c>
      <c r="BE4223">
        <v>0</v>
      </c>
      <c r="BF4223">
        <v>0</v>
      </c>
      <c r="BG4223">
        <v>0</v>
      </c>
      <c r="BH4223">
        <v>5125</v>
      </c>
      <c r="BI4223">
        <v>1</v>
      </c>
      <c r="BJ4223">
        <v>0</v>
      </c>
      <c r="BK4223">
        <v>0</v>
      </c>
      <c r="BL4223">
        <v>0</v>
      </c>
      <c r="BO4223">
        <v>0</v>
      </c>
      <c r="BP4223">
        <v>0</v>
      </c>
      <c r="BW4223" t="str">
        <f t="shared" si="2368"/>
        <v>14:59:32.406</v>
      </c>
      <c r="CJ4223">
        <v>0</v>
      </c>
      <c r="CK4223">
        <v>2</v>
      </c>
      <c r="CL4223">
        <v>0</v>
      </c>
      <c r="CM4223">
        <v>2</v>
      </c>
      <c r="CN4223">
        <v>0</v>
      </c>
      <c r="CO4223">
        <v>6</v>
      </c>
      <c r="CP4223" t="s">
        <v>119</v>
      </c>
      <c r="CQ4223">
        <v>285</v>
      </c>
      <c r="CR4223">
        <v>0</v>
      </c>
      <c r="CW4223">
        <v>8890509</v>
      </c>
      <c r="CY4223">
        <v>0</v>
      </c>
      <c r="CZ4223">
        <v>0</v>
      </c>
      <c r="DA4223">
        <v>1</v>
      </c>
      <c r="DB4223">
        <v>0</v>
      </c>
      <c r="DC4223">
        <v>0</v>
      </c>
      <c r="DD4223">
        <v>0</v>
      </c>
      <c r="DE4223">
        <v>0</v>
      </c>
      <c r="DF4223">
        <v>0</v>
      </c>
      <c r="DG4223">
        <v>0</v>
      </c>
      <c r="DH4223">
        <v>0</v>
      </c>
      <c r="DI4223">
        <v>0</v>
      </c>
    </row>
    <row r="4224" spans="1:113" x14ac:dyDescent="0.25">
      <c r="A4224" t="str">
        <f t="shared" ref="A4224:A4230" si="2369">"06/05/2020 14:59:27.830"</f>
        <v>06/05/2020 14:59:27.830</v>
      </c>
      <c r="C4224" t="str">
        <f t="shared" si="2353"/>
        <v>FFDFD3C0</v>
      </c>
      <c r="D4224" t="s">
        <v>134</v>
      </c>
      <c r="E4224">
        <v>7</v>
      </c>
      <c r="F4224">
        <v>2007</v>
      </c>
      <c r="G4224" t="s">
        <v>135</v>
      </c>
      <c r="J4224" t="s">
        <v>136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 t="shared" ref="S4224:S4230" si="2370">"14:59:33.469"</f>
        <v>14:59:33.469</v>
      </c>
      <c r="T4224" t="str">
        <f t="shared" ref="T4224:T4230" si="2371">"14:59:33.369"</f>
        <v>14:59:33.369</v>
      </c>
      <c r="U4224" t="str">
        <f t="shared" si="2335"/>
        <v>ACC530</v>
      </c>
      <c r="V4224">
        <v>0</v>
      </c>
      <c r="W4224">
        <v>0</v>
      </c>
      <c r="X4224">
        <v>1</v>
      </c>
      <c r="Z4224">
        <v>0</v>
      </c>
      <c r="AA4224">
        <v>9</v>
      </c>
      <c r="AB4224">
        <v>3</v>
      </c>
      <c r="AC4224">
        <v>0</v>
      </c>
      <c r="AD4224">
        <v>9</v>
      </c>
      <c r="AE4224">
        <v>0</v>
      </c>
      <c r="AF4224">
        <v>3</v>
      </c>
      <c r="AG4224">
        <v>1</v>
      </c>
      <c r="AH4224">
        <v>0</v>
      </c>
      <c r="AI4224" t="s">
        <v>1211</v>
      </c>
      <c r="AJ4224">
        <v>34.069246999999997</v>
      </c>
      <c r="AK4224" t="s">
        <v>1336</v>
      </c>
      <c r="AL4224">
        <v>-117.02454299999999</v>
      </c>
      <c r="AM4224">
        <v>100</v>
      </c>
      <c r="AN4224">
        <v>5300</v>
      </c>
      <c r="AO4224" t="s">
        <v>118</v>
      </c>
      <c r="AP4224">
        <v>-95</v>
      </c>
      <c r="AQ4224">
        <v>35</v>
      </c>
      <c r="AR4224">
        <v>-768</v>
      </c>
      <c r="AZ4224">
        <v>1200</v>
      </c>
      <c r="BA4224">
        <v>1</v>
      </c>
      <c r="BB4224" t="str">
        <f t="shared" si="2336"/>
        <v xml:space="preserve">N9217B  </v>
      </c>
      <c r="BC4224">
        <v>1</v>
      </c>
      <c r="BE4224">
        <v>0</v>
      </c>
      <c r="BF4224">
        <v>0</v>
      </c>
      <c r="BG4224">
        <v>0</v>
      </c>
      <c r="BH4224">
        <v>5125</v>
      </c>
      <c r="BI4224">
        <v>1</v>
      </c>
      <c r="BJ4224">
        <v>0</v>
      </c>
      <c r="BK4224">
        <v>0</v>
      </c>
      <c r="BL4224">
        <v>0</v>
      </c>
      <c r="BO4224">
        <v>0</v>
      </c>
      <c r="BP4224">
        <v>0</v>
      </c>
      <c r="BW4224" t="str">
        <f t="shared" ref="BW4224:BW4230" si="2372">"14:59:33.471"</f>
        <v>14:59:33.471</v>
      </c>
      <c r="CJ4224">
        <v>0</v>
      </c>
      <c r="CK4224">
        <v>2</v>
      </c>
      <c r="CL4224">
        <v>0</v>
      </c>
      <c r="CM4224">
        <v>2</v>
      </c>
      <c r="CN4224">
        <v>0</v>
      </c>
      <c r="CO4224">
        <v>6</v>
      </c>
      <c r="CP4224" t="s">
        <v>119</v>
      </c>
      <c r="CQ4224">
        <v>285</v>
      </c>
      <c r="CR4224">
        <v>0</v>
      </c>
      <c r="CW4224">
        <v>8890608</v>
      </c>
      <c r="CY4224">
        <v>0</v>
      </c>
      <c r="CZ4224">
        <v>0</v>
      </c>
      <c r="DA4224">
        <v>0</v>
      </c>
      <c r="DB4224">
        <v>0</v>
      </c>
      <c r="DC4224">
        <v>0</v>
      </c>
      <c r="DD4224">
        <v>0</v>
      </c>
      <c r="DE4224">
        <v>0</v>
      </c>
      <c r="DF4224">
        <v>0</v>
      </c>
      <c r="DG4224">
        <v>0</v>
      </c>
      <c r="DH4224">
        <v>0</v>
      </c>
      <c r="DI4224">
        <v>0</v>
      </c>
    </row>
    <row r="4225" spans="1:113" x14ac:dyDescent="0.25">
      <c r="A4225" t="str">
        <f t="shared" si="2369"/>
        <v>06/05/2020 14:59:27.830</v>
      </c>
      <c r="C4225" t="str">
        <f t="shared" si="2353"/>
        <v>FFDFD3C0</v>
      </c>
      <c r="D4225" t="s">
        <v>151</v>
      </c>
      <c r="E4225">
        <v>8</v>
      </c>
      <c r="H4225">
        <v>225</v>
      </c>
      <c r="I4225" t="s">
        <v>353</v>
      </c>
      <c r="J4225" t="s">
        <v>150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 t="shared" si="2370"/>
        <v>14:59:33.469</v>
      </c>
      <c r="T4225" t="str">
        <f t="shared" si="2371"/>
        <v>14:59:33.369</v>
      </c>
      <c r="U4225" t="str">
        <f t="shared" si="2335"/>
        <v>ACC530</v>
      </c>
      <c r="V4225">
        <v>0</v>
      </c>
      <c r="W4225">
        <v>0</v>
      </c>
      <c r="X4225">
        <v>1</v>
      </c>
      <c r="Z4225">
        <v>0</v>
      </c>
      <c r="AA4225">
        <v>9</v>
      </c>
      <c r="AB4225">
        <v>3</v>
      </c>
      <c r="AC4225">
        <v>0</v>
      </c>
      <c r="AD4225">
        <v>9</v>
      </c>
      <c r="AE4225">
        <v>0</v>
      </c>
      <c r="AF4225">
        <v>3</v>
      </c>
      <c r="AG4225">
        <v>1</v>
      </c>
      <c r="AH4225">
        <v>0</v>
      </c>
      <c r="AI4225" t="s">
        <v>1211</v>
      </c>
      <c r="AJ4225">
        <v>34.069246999999997</v>
      </c>
      <c r="AK4225" t="s">
        <v>1336</v>
      </c>
      <c r="AL4225">
        <v>-117.02454299999999</v>
      </c>
      <c r="AM4225">
        <v>100</v>
      </c>
      <c r="AN4225">
        <v>5300</v>
      </c>
      <c r="AO4225" t="s">
        <v>118</v>
      </c>
      <c r="AP4225">
        <v>-95</v>
      </c>
      <c r="AQ4225">
        <v>35</v>
      </c>
      <c r="AR4225">
        <v>-768</v>
      </c>
      <c r="AZ4225">
        <v>1200</v>
      </c>
      <c r="BA4225">
        <v>1</v>
      </c>
      <c r="BB4225" t="str">
        <f t="shared" si="2336"/>
        <v xml:space="preserve">N9217B  </v>
      </c>
      <c r="BC4225">
        <v>1</v>
      </c>
      <c r="BE4225">
        <v>0</v>
      </c>
      <c r="BF4225">
        <v>0</v>
      </c>
      <c r="BG4225">
        <v>0</v>
      </c>
      <c r="BH4225">
        <v>5125</v>
      </c>
      <c r="BI4225">
        <v>1</v>
      </c>
      <c r="BJ4225">
        <v>0</v>
      </c>
      <c r="BK4225">
        <v>0</v>
      </c>
      <c r="BL4225">
        <v>0</v>
      </c>
      <c r="BO4225">
        <v>0</v>
      </c>
      <c r="BP4225">
        <v>0</v>
      </c>
      <c r="BW4225" t="str">
        <f t="shared" si="2372"/>
        <v>14:59:33.471</v>
      </c>
      <c r="CJ4225">
        <v>0</v>
      </c>
      <c r="CK4225">
        <v>2</v>
      </c>
      <c r="CL4225">
        <v>0</v>
      </c>
      <c r="CM4225">
        <v>2</v>
      </c>
      <c r="CN4225">
        <v>0</v>
      </c>
      <c r="CO4225">
        <v>6</v>
      </c>
      <c r="CP4225" t="s">
        <v>119</v>
      </c>
      <c r="CQ4225">
        <v>285</v>
      </c>
      <c r="CR4225">
        <v>0</v>
      </c>
      <c r="CW4225">
        <v>8890608</v>
      </c>
      <c r="CY4225">
        <v>0</v>
      </c>
      <c r="CZ4225">
        <v>0</v>
      </c>
      <c r="DA4225">
        <v>1</v>
      </c>
      <c r="DB4225">
        <v>0</v>
      </c>
      <c r="DC4225">
        <v>0</v>
      </c>
      <c r="DD4225">
        <v>0</v>
      </c>
      <c r="DE4225">
        <v>0</v>
      </c>
      <c r="DF4225">
        <v>0</v>
      </c>
      <c r="DG4225">
        <v>0</v>
      </c>
      <c r="DH4225">
        <v>0</v>
      </c>
      <c r="DI4225">
        <v>0</v>
      </c>
    </row>
    <row r="4226" spans="1:113" x14ac:dyDescent="0.25">
      <c r="A4226" t="str">
        <f t="shared" si="2369"/>
        <v>06/05/2020 14:59:27.830</v>
      </c>
      <c r="C4226" t="str">
        <f t="shared" si="2353"/>
        <v>FFDFD3C0</v>
      </c>
      <c r="D4226" t="s">
        <v>141</v>
      </c>
      <c r="E4226">
        <v>20</v>
      </c>
      <c r="F4226">
        <v>1020</v>
      </c>
      <c r="G4226" t="s">
        <v>114</v>
      </c>
      <c r="J4226" t="s">
        <v>142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 t="shared" si="2370"/>
        <v>14:59:33.469</v>
      </c>
      <c r="T4226" t="str">
        <f t="shared" si="2371"/>
        <v>14:59:33.369</v>
      </c>
      <c r="U4226" t="str">
        <f t="shared" ref="U4226:U4289" si="2373">"ACC530"</f>
        <v>ACC530</v>
      </c>
      <c r="V4226">
        <v>0</v>
      </c>
      <c r="W4226">
        <v>0</v>
      </c>
      <c r="X4226">
        <v>1</v>
      </c>
      <c r="Z4226">
        <v>0</v>
      </c>
      <c r="AA4226">
        <v>9</v>
      </c>
      <c r="AB4226">
        <v>3</v>
      </c>
      <c r="AC4226">
        <v>0</v>
      </c>
      <c r="AD4226">
        <v>9</v>
      </c>
      <c r="AE4226">
        <v>0</v>
      </c>
      <c r="AF4226">
        <v>3</v>
      </c>
      <c r="AG4226">
        <v>1</v>
      </c>
      <c r="AH4226">
        <v>0</v>
      </c>
      <c r="AI4226" t="s">
        <v>1211</v>
      </c>
      <c r="AJ4226">
        <v>34.069246999999997</v>
      </c>
      <c r="AK4226" t="s">
        <v>1336</v>
      </c>
      <c r="AL4226">
        <v>-117.02454299999999</v>
      </c>
      <c r="AM4226">
        <v>100</v>
      </c>
      <c r="AN4226">
        <v>5300</v>
      </c>
      <c r="AO4226" t="s">
        <v>118</v>
      </c>
      <c r="AP4226">
        <v>-95</v>
      </c>
      <c r="AQ4226">
        <v>35</v>
      </c>
      <c r="AR4226">
        <v>-768</v>
      </c>
      <c r="AZ4226">
        <v>1200</v>
      </c>
      <c r="BA4226">
        <v>1</v>
      </c>
      <c r="BB4226" t="str">
        <f t="shared" si="2336"/>
        <v xml:space="preserve">N9217B  </v>
      </c>
      <c r="BC4226">
        <v>1</v>
      </c>
      <c r="BE4226">
        <v>0</v>
      </c>
      <c r="BF4226">
        <v>0</v>
      </c>
      <c r="BG4226">
        <v>0</v>
      </c>
      <c r="BH4226">
        <v>5125</v>
      </c>
      <c r="BI4226">
        <v>1</v>
      </c>
      <c r="BJ4226">
        <v>0</v>
      </c>
      <c r="BK4226">
        <v>0</v>
      </c>
      <c r="BL4226">
        <v>0</v>
      </c>
      <c r="BO4226">
        <v>0</v>
      </c>
      <c r="BP4226">
        <v>0</v>
      </c>
      <c r="BW4226" t="str">
        <f t="shared" si="2372"/>
        <v>14:59:33.471</v>
      </c>
      <c r="CJ4226">
        <v>0</v>
      </c>
      <c r="CK4226">
        <v>2</v>
      </c>
      <c r="CL4226">
        <v>0</v>
      </c>
      <c r="CM4226">
        <v>2</v>
      </c>
      <c r="CN4226">
        <v>0</v>
      </c>
      <c r="CO4226">
        <v>6</v>
      </c>
      <c r="CP4226" t="s">
        <v>119</v>
      </c>
      <c r="CQ4226">
        <v>285</v>
      </c>
      <c r="CR4226">
        <v>0</v>
      </c>
      <c r="CW4226">
        <v>8890608</v>
      </c>
      <c r="CY4226">
        <v>0</v>
      </c>
      <c r="CZ4226">
        <v>0</v>
      </c>
      <c r="DA4226">
        <v>1</v>
      </c>
      <c r="DB4226">
        <v>0</v>
      </c>
      <c r="DC4226">
        <v>0</v>
      </c>
      <c r="DD4226">
        <v>0</v>
      </c>
      <c r="DE4226">
        <v>0</v>
      </c>
      <c r="DF4226">
        <v>0</v>
      </c>
      <c r="DG4226">
        <v>0</v>
      </c>
      <c r="DH4226">
        <v>0</v>
      </c>
      <c r="DI4226">
        <v>0</v>
      </c>
    </row>
    <row r="4227" spans="1:113" x14ac:dyDescent="0.25">
      <c r="A4227" t="str">
        <f t="shared" si="2369"/>
        <v>06/05/2020 14:59:27.830</v>
      </c>
      <c r="C4227" t="str">
        <f t="shared" si="2353"/>
        <v>FFDFD3C0</v>
      </c>
      <c r="D4227" t="s">
        <v>148</v>
      </c>
      <c r="E4227">
        <v>8</v>
      </c>
      <c r="H4227">
        <v>50</v>
      </c>
      <c r="I4227" t="s">
        <v>149</v>
      </c>
      <c r="J4227" t="s">
        <v>150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 t="shared" si="2370"/>
        <v>14:59:33.469</v>
      </c>
      <c r="T4227" t="str">
        <f t="shared" si="2371"/>
        <v>14:59:33.369</v>
      </c>
      <c r="U4227" t="str">
        <f t="shared" si="2373"/>
        <v>ACC530</v>
      </c>
      <c r="V4227">
        <v>0</v>
      </c>
      <c r="W4227">
        <v>0</v>
      </c>
      <c r="X4227">
        <v>1</v>
      </c>
      <c r="Z4227">
        <v>0</v>
      </c>
      <c r="AA4227">
        <v>9</v>
      </c>
      <c r="AB4227">
        <v>3</v>
      </c>
      <c r="AC4227">
        <v>0</v>
      </c>
      <c r="AD4227">
        <v>9</v>
      </c>
      <c r="AE4227">
        <v>0</v>
      </c>
      <c r="AF4227">
        <v>3</v>
      </c>
      <c r="AG4227">
        <v>1</v>
      </c>
      <c r="AH4227">
        <v>0</v>
      </c>
      <c r="AI4227" t="s">
        <v>1211</v>
      </c>
      <c r="AJ4227">
        <v>34.069246999999997</v>
      </c>
      <c r="AK4227" t="s">
        <v>1336</v>
      </c>
      <c r="AL4227">
        <v>-117.02454299999999</v>
      </c>
      <c r="AM4227">
        <v>100</v>
      </c>
      <c r="AN4227">
        <v>5300</v>
      </c>
      <c r="AO4227" t="s">
        <v>118</v>
      </c>
      <c r="AP4227">
        <v>-95</v>
      </c>
      <c r="AQ4227">
        <v>35</v>
      </c>
      <c r="AR4227">
        <v>-768</v>
      </c>
      <c r="AZ4227">
        <v>1200</v>
      </c>
      <c r="BA4227">
        <v>1</v>
      </c>
      <c r="BB4227" t="str">
        <f t="shared" si="2336"/>
        <v xml:space="preserve">N9217B  </v>
      </c>
      <c r="BC4227">
        <v>1</v>
      </c>
      <c r="BE4227">
        <v>0</v>
      </c>
      <c r="BF4227">
        <v>0</v>
      </c>
      <c r="BG4227">
        <v>0</v>
      </c>
      <c r="BH4227">
        <v>5125</v>
      </c>
      <c r="BI4227">
        <v>1</v>
      </c>
      <c r="BJ4227">
        <v>0</v>
      </c>
      <c r="BK4227">
        <v>0</v>
      </c>
      <c r="BL4227">
        <v>0</v>
      </c>
      <c r="BO4227">
        <v>0</v>
      </c>
      <c r="BP4227">
        <v>0</v>
      </c>
      <c r="BW4227" t="str">
        <f t="shared" si="2372"/>
        <v>14:59:33.471</v>
      </c>
      <c r="CJ4227">
        <v>0</v>
      </c>
      <c r="CK4227">
        <v>2</v>
      </c>
      <c r="CL4227">
        <v>0</v>
      </c>
      <c r="CM4227">
        <v>2</v>
      </c>
      <c r="CN4227">
        <v>0</v>
      </c>
      <c r="CO4227">
        <v>6</v>
      </c>
      <c r="CP4227" t="s">
        <v>119</v>
      </c>
      <c r="CQ4227">
        <v>285</v>
      </c>
      <c r="CR4227">
        <v>0</v>
      </c>
      <c r="CW4227">
        <v>8890608</v>
      </c>
      <c r="CY4227">
        <v>0</v>
      </c>
      <c r="CZ4227">
        <v>0</v>
      </c>
      <c r="DA4227">
        <v>1</v>
      </c>
      <c r="DB4227">
        <v>0</v>
      </c>
      <c r="DC4227">
        <v>0</v>
      </c>
      <c r="DD4227">
        <v>0</v>
      </c>
      <c r="DE4227">
        <v>0</v>
      </c>
      <c r="DF4227">
        <v>0</v>
      </c>
      <c r="DG4227">
        <v>0</v>
      </c>
      <c r="DH4227">
        <v>0</v>
      </c>
      <c r="DI4227">
        <v>0</v>
      </c>
    </row>
    <row r="4228" spans="1:113" x14ac:dyDescent="0.25">
      <c r="A4228" t="str">
        <f t="shared" si="2369"/>
        <v>06/05/2020 14:59:27.830</v>
      </c>
      <c r="C4228" t="str">
        <f t="shared" si="2353"/>
        <v>FFDFD3C0</v>
      </c>
      <c r="D4228" t="s">
        <v>151</v>
      </c>
      <c r="E4228">
        <v>9</v>
      </c>
      <c r="H4228">
        <v>226</v>
      </c>
      <c r="I4228" t="s">
        <v>152</v>
      </c>
      <c r="J4228" t="s">
        <v>150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 t="shared" si="2370"/>
        <v>14:59:33.469</v>
      </c>
      <c r="T4228" t="str">
        <f t="shared" si="2371"/>
        <v>14:59:33.369</v>
      </c>
      <c r="U4228" t="str">
        <f t="shared" si="2373"/>
        <v>ACC530</v>
      </c>
      <c r="V4228">
        <v>0</v>
      </c>
      <c r="W4228">
        <v>0</v>
      </c>
      <c r="X4228">
        <v>1</v>
      </c>
      <c r="Z4228">
        <v>0</v>
      </c>
      <c r="AA4228">
        <v>9</v>
      </c>
      <c r="AB4228">
        <v>3</v>
      </c>
      <c r="AC4228">
        <v>0</v>
      </c>
      <c r="AD4228">
        <v>9</v>
      </c>
      <c r="AE4228">
        <v>0</v>
      </c>
      <c r="AF4228">
        <v>3</v>
      </c>
      <c r="AG4228">
        <v>1</v>
      </c>
      <c r="AH4228">
        <v>0</v>
      </c>
      <c r="AI4228" t="s">
        <v>1211</v>
      </c>
      <c r="AJ4228">
        <v>34.069246999999997</v>
      </c>
      <c r="AK4228" t="s">
        <v>1336</v>
      </c>
      <c r="AL4228">
        <v>-117.02454299999999</v>
      </c>
      <c r="AM4228">
        <v>100</v>
      </c>
      <c r="AN4228">
        <v>5300</v>
      </c>
      <c r="AO4228" t="s">
        <v>118</v>
      </c>
      <c r="AP4228">
        <v>-95</v>
      </c>
      <c r="AQ4228">
        <v>35</v>
      </c>
      <c r="AR4228">
        <v>-768</v>
      </c>
      <c r="AZ4228">
        <v>1200</v>
      </c>
      <c r="BA4228">
        <v>1</v>
      </c>
      <c r="BB4228" t="str">
        <f t="shared" si="2336"/>
        <v xml:space="preserve">N9217B  </v>
      </c>
      <c r="BC4228">
        <v>1</v>
      </c>
      <c r="BE4228">
        <v>0</v>
      </c>
      <c r="BF4228">
        <v>0</v>
      </c>
      <c r="BG4228">
        <v>0</v>
      </c>
      <c r="BH4228">
        <v>5125</v>
      </c>
      <c r="BI4228">
        <v>1</v>
      </c>
      <c r="BJ4228">
        <v>0</v>
      </c>
      <c r="BK4228">
        <v>0</v>
      </c>
      <c r="BL4228">
        <v>0</v>
      </c>
      <c r="BO4228">
        <v>0</v>
      </c>
      <c r="BP4228">
        <v>0</v>
      </c>
      <c r="BW4228" t="str">
        <f t="shared" si="2372"/>
        <v>14:59:33.471</v>
      </c>
      <c r="CJ4228">
        <v>0</v>
      </c>
      <c r="CK4228">
        <v>2</v>
      </c>
      <c r="CL4228">
        <v>0</v>
      </c>
      <c r="CM4228">
        <v>2</v>
      </c>
      <c r="CN4228">
        <v>0</v>
      </c>
      <c r="CO4228">
        <v>6</v>
      </c>
      <c r="CP4228" t="s">
        <v>119</v>
      </c>
      <c r="CQ4228">
        <v>285</v>
      </c>
      <c r="CR4228">
        <v>0</v>
      </c>
      <c r="CW4228">
        <v>8890608</v>
      </c>
      <c r="CY4228">
        <v>0</v>
      </c>
      <c r="CZ4228">
        <v>0</v>
      </c>
      <c r="DA4228">
        <v>1</v>
      </c>
      <c r="DB4228">
        <v>0</v>
      </c>
      <c r="DC4228">
        <v>0</v>
      </c>
      <c r="DD4228">
        <v>0</v>
      </c>
      <c r="DE4228">
        <v>0</v>
      </c>
      <c r="DF4228">
        <v>0</v>
      </c>
      <c r="DG4228">
        <v>0</v>
      </c>
      <c r="DH4228">
        <v>0</v>
      </c>
      <c r="DI4228">
        <v>0</v>
      </c>
    </row>
    <row r="4229" spans="1:113" x14ac:dyDescent="0.25">
      <c r="A4229" t="str">
        <f t="shared" si="2369"/>
        <v>06/05/2020 14:59:27.830</v>
      </c>
      <c r="C4229" t="str">
        <f t="shared" si="2353"/>
        <v>FFDFD3C0</v>
      </c>
      <c r="D4229" t="s">
        <v>148</v>
      </c>
      <c r="E4229">
        <v>11</v>
      </c>
      <c r="H4229">
        <v>53</v>
      </c>
      <c r="I4229" t="s">
        <v>364</v>
      </c>
      <c r="J4229" t="s">
        <v>150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 t="shared" si="2370"/>
        <v>14:59:33.469</v>
      </c>
      <c r="T4229" t="str">
        <f t="shared" si="2371"/>
        <v>14:59:33.369</v>
      </c>
      <c r="U4229" t="str">
        <f t="shared" si="2373"/>
        <v>ACC530</v>
      </c>
      <c r="V4229">
        <v>0</v>
      </c>
      <c r="W4229">
        <v>0</v>
      </c>
      <c r="X4229">
        <v>1</v>
      </c>
      <c r="Z4229">
        <v>0</v>
      </c>
      <c r="AA4229">
        <v>9</v>
      </c>
      <c r="AB4229">
        <v>3</v>
      </c>
      <c r="AC4229">
        <v>0</v>
      </c>
      <c r="AD4229">
        <v>9</v>
      </c>
      <c r="AE4229">
        <v>0</v>
      </c>
      <c r="AF4229">
        <v>3</v>
      </c>
      <c r="AG4229">
        <v>1</v>
      </c>
      <c r="AH4229">
        <v>0</v>
      </c>
      <c r="AI4229" t="s">
        <v>1211</v>
      </c>
      <c r="AJ4229">
        <v>34.069246999999997</v>
      </c>
      <c r="AK4229" t="s">
        <v>1336</v>
      </c>
      <c r="AL4229">
        <v>-117.02454299999999</v>
      </c>
      <c r="AM4229">
        <v>100</v>
      </c>
      <c r="AN4229">
        <v>5300</v>
      </c>
      <c r="AO4229" t="s">
        <v>118</v>
      </c>
      <c r="AP4229">
        <v>-95</v>
      </c>
      <c r="AQ4229">
        <v>35</v>
      </c>
      <c r="AR4229">
        <v>-768</v>
      </c>
      <c r="AZ4229">
        <v>1200</v>
      </c>
      <c r="BA4229">
        <v>1</v>
      </c>
      <c r="BB4229" t="str">
        <f t="shared" ref="BB4229:BB4292" si="2374">"N9217B  "</f>
        <v xml:space="preserve">N9217B  </v>
      </c>
      <c r="BC4229">
        <v>1</v>
      </c>
      <c r="BE4229">
        <v>0</v>
      </c>
      <c r="BF4229">
        <v>0</v>
      </c>
      <c r="BG4229">
        <v>0</v>
      </c>
      <c r="BH4229">
        <v>5125</v>
      </c>
      <c r="BI4229">
        <v>1</v>
      </c>
      <c r="BJ4229">
        <v>0</v>
      </c>
      <c r="BK4229">
        <v>0</v>
      </c>
      <c r="BL4229">
        <v>0</v>
      </c>
      <c r="BO4229">
        <v>0</v>
      </c>
      <c r="BP4229">
        <v>0</v>
      </c>
      <c r="BW4229" t="str">
        <f t="shared" si="2372"/>
        <v>14:59:33.471</v>
      </c>
      <c r="CJ4229">
        <v>0</v>
      </c>
      <c r="CK4229">
        <v>2</v>
      </c>
      <c r="CL4229">
        <v>0</v>
      </c>
      <c r="CM4229">
        <v>2</v>
      </c>
      <c r="CN4229">
        <v>0</v>
      </c>
      <c r="CO4229">
        <v>6</v>
      </c>
      <c r="CP4229" t="s">
        <v>119</v>
      </c>
      <c r="CQ4229">
        <v>285</v>
      </c>
      <c r="CR4229">
        <v>0</v>
      </c>
      <c r="CW4229">
        <v>8890608</v>
      </c>
      <c r="CY4229">
        <v>0</v>
      </c>
      <c r="CZ4229">
        <v>0</v>
      </c>
      <c r="DA4229">
        <v>1</v>
      </c>
      <c r="DB4229">
        <v>0</v>
      </c>
      <c r="DC4229">
        <v>0</v>
      </c>
      <c r="DD4229">
        <v>0</v>
      </c>
      <c r="DE4229">
        <v>0</v>
      </c>
      <c r="DF4229">
        <v>0</v>
      </c>
      <c r="DG4229">
        <v>0</v>
      </c>
      <c r="DH4229">
        <v>0</v>
      </c>
      <c r="DI4229">
        <v>0</v>
      </c>
    </row>
    <row r="4230" spans="1:113" x14ac:dyDescent="0.25">
      <c r="A4230" t="str">
        <f t="shared" si="2369"/>
        <v>06/05/2020 14:59:27.830</v>
      </c>
      <c r="C4230" t="str">
        <f t="shared" si="2353"/>
        <v>FFDFD3C0</v>
      </c>
      <c r="D4230" t="s">
        <v>113</v>
      </c>
      <c r="E4230">
        <v>3</v>
      </c>
      <c r="H4230">
        <v>166</v>
      </c>
      <c r="I4230" t="s">
        <v>114</v>
      </c>
      <c r="J4230" t="s">
        <v>115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 t="shared" si="2370"/>
        <v>14:59:33.469</v>
      </c>
      <c r="T4230" t="str">
        <f t="shared" si="2371"/>
        <v>14:59:33.369</v>
      </c>
      <c r="U4230" t="str">
        <f t="shared" si="2373"/>
        <v>ACC530</v>
      </c>
      <c r="V4230">
        <v>0</v>
      </c>
      <c r="W4230">
        <v>0</v>
      </c>
      <c r="X4230">
        <v>1</v>
      </c>
      <c r="Z4230">
        <v>0</v>
      </c>
      <c r="AA4230">
        <v>9</v>
      </c>
      <c r="AB4230">
        <v>3</v>
      </c>
      <c r="AC4230">
        <v>0</v>
      </c>
      <c r="AD4230">
        <v>9</v>
      </c>
      <c r="AE4230">
        <v>0</v>
      </c>
      <c r="AF4230">
        <v>3</v>
      </c>
      <c r="AG4230">
        <v>1</v>
      </c>
      <c r="AH4230">
        <v>0</v>
      </c>
      <c r="AI4230" t="s">
        <v>1211</v>
      </c>
      <c r="AJ4230">
        <v>34.069246999999997</v>
      </c>
      <c r="AK4230" t="s">
        <v>1336</v>
      </c>
      <c r="AL4230">
        <v>-117.02454299999999</v>
      </c>
      <c r="AM4230">
        <v>100</v>
      </c>
      <c r="AN4230">
        <v>5300</v>
      </c>
      <c r="AO4230" t="s">
        <v>118</v>
      </c>
      <c r="AP4230">
        <v>-95</v>
      </c>
      <c r="AQ4230">
        <v>35</v>
      </c>
      <c r="AR4230">
        <v>-768</v>
      </c>
      <c r="AZ4230">
        <v>1200</v>
      </c>
      <c r="BA4230">
        <v>1</v>
      </c>
      <c r="BB4230" t="str">
        <f t="shared" si="2374"/>
        <v xml:space="preserve">N9217B  </v>
      </c>
      <c r="BC4230">
        <v>1</v>
      </c>
      <c r="BE4230">
        <v>0</v>
      </c>
      <c r="BF4230">
        <v>0</v>
      </c>
      <c r="BG4230">
        <v>0</v>
      </c>
      <c r="BH4230">
        <v>5125</v>
      </c>
      <c r="BI4230">
        <v>1</v>
      </c>
      <c r="BJ4230">
        <v>0</v>
      </c>
      <c r="BK4230">
        <v>0</v>
      </c>
      <c r="BL4230">
        <v>0</v>
      </c>
      <c r="BO4230">
        <v>0</v>
      </c>
      <c r="BP4230">
        <v>0</v>
      </c>
      <c r="BW4230" t="str">
        <f t="shared" si="2372"/>
        <v>14:59:33.471</v>
      </c>
      <c r="CJ4230">
        <v>0</v>
      </c>
      <c r="CK4230">
        <v>2</v>
      </c>
      <c r="CL4230">
        <v>0</v>
      </c>
      <c r="CM4230">
        <v>2</v>
      </c>
      <c r="CN4230">
        <v>0</v>
      </c>
      <c r="CO4230">
        <v>6</v>
      </c>
      <c r="CP4230" t="s">
        <v>119</v>
      </c>
      <c r="CQ4230">
        <v>285</v>
      </c>
      <c r="CR4230">
        <v>0</v>
      </c>
      <c r="CW4230">
        <v>8890608</v>
      </c>
      <c r="CY4230">
        <v>0</v>
      </c>
      <c r="CZ4230">
        <v>0</v>
      </c>
      <c r="DA4230">
        <v>1</v>
      </c>
      <c r="DB4230">
        <v>0</v>
      </c>
      <c r="DC4230">
        <v>0</v>
      </c>
      <c r="DD4230">
        <v>0</v>
      </c>
      <c r="DE4230">
        <v>0</v>
      </c>
      <c r="DF4230">
        <v>0</v>
      </c>
      <c r="DG4230">
        <v>0</v>
      </c>
      <c r="DH4230">
        <v>0</v>
      </c>
      <c r="DI4230">
        <v>0</v>
      </c>
    </row>
    <row r="4231" spans="1:113" x14ac:dyDescent="0.25">
      <c r="A4231" t="str">
        <f t="shared" ref="A4231:A4237" si="2375">"06/05/2020 14:59:28.789"</f>
        <v>06/05/2020 14:59:28.789</v>
      </c>
      <c r="C4231" t="str">
        <f t="shared" si="2353"/>
        <v>FFDFD3C0</v>
      </c>
      <c r="D4231" t="s">
        <v>134</v>
      </c>
      <c r="E4231">
        <v>7</v>
      </c>
      <c r="F4231">
        <v>2007</v>
      </c>
      <c r="G4231" t="s">
        <v>135</v>
      </c>
      <c r="J4231" t="s">
        <v>136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 t="shared" ref="S4231:T4237" si="2376">"14:59:34.430"</f>
        <v>14:59:34.430</v>
      </c>
      <c r="T4231" t="str">
        <f t="shared" si="2376"/>
        <v>14:59:34.430</v>
      </c>
      <c r="U4231" t="str">
        <f t="shared" si="2373"/>
        <v>ACC530</v>
      </c>
      <c r="V4231">
        <v>0</v>
      </c>
      <c r="W4231">
        <v>0</v>
      </c>
      <c r="X4231">
        <v>1</v>
      </c>
      <c r="Z4231">
        <v>0</v>
      </c>
      <c r="AA4231">
        <v>9</v>
      </c>
      <c r="AB4231">
        <v>3</v>
      </c>
      <c r="AC4231">
        <v>0</v>
      </c>
      <c r="AD4231">
        <v>9</v>
      </c>
      <c r="AE4231">
        <v>0</v>
      </c>
      <c r="AF4231">
        <v>3</v>
      </c>
      <c r="AG4231">
        <v>1</v>
      </c>
      <c r="AH4231">
        <v>0</v>
      </c>
      <c r="AI4231" t="s">
        <v>1337</v>
      </c>
      <c r="AJ4231">
        <v>34.069419000000003</v>
      </c>
      <c r="AK4231" t="s">
        <v>1338</v>
      </c>
      <c r="AL4231">
        <v>-117.025015</v>
      </c>
      <c r="AM4231">
        <v>100</v>
      </c>
      <c r="AN4231">
        <v>5300</v>
      </c>
      <c r="AO4231" t="s">
        <v>118</v>
      </c>
      <c r="AP4231">
        <v>-96</v>
      </c>
      <c r="AQ4231">
        <v>34</v>
      </c>
      <c r="AR4231">
        <v>-768</v>
      </c>
      <c r="AZ4231">
        <v>1200</v>
      </c>
      <c r="BA4231">
        <v>1</v>
      </c>
      <c r="BB4231" t="str">
        <f t="shared" si="2374"/>
        <v xml:space="preserve">N9217B  </v>
      </c>
      <c r="BC4231">
        <v>1</v>
      </c>
      <c r="BE4231">
        <v>0</v>
      </c>
      <c r="BF4231">
        <v>0</v>
      </c>
      <c r="BG4231">
        <v>0</v>
      </c>
      <c r="BH4231">
        <v>5100</v>
      </c>
      <c r="BI4231">
        <v>1</v>
      </c>
      <c r="BJ4231">
        <v>0</v>
      </c>
      <c r="BK4231">
        <v>0</v>
      </c>
      <c r="BL4231">
        <v>0</v>
      </c>
      <c r="BO4231">
        <v>0</v>
      </c>
      <c r="BP4231">
        <v>0</v>
      </c>
      <c r="BW4231" t="str">
        <f t="shared" ref="BW4231:BW4237" si="2377">"14:59:34.431"</f>
        <v>14:59:34.431</v>
      </c>
      <c r="CJ4231">
        <v>0</v>
      </c>
      <c r="CK4231">
        <v>2</v>
      </c>
      <c r="CL4231">
        <v>0</v>
      </c>
      <c r="CM4231">
        <v>2</v>
      </c>
      <c r="CN4231">
        <v>0</v>
      </c>
      <c r="CO4231">
        <v>6</v>
      </c>
      <c r="CP4231" t="s">
        <v>119</v>
      </c>
      <c r="CQ4231">
        <v>285</v>
      </c>
      <c r="CR4231">
        <v>0</v>
      </c>
      <c r="CW4231">
        <v>8890698</v>
      </c>
      <c r="CY4231">
        <v>0</v>
      </c>
      <c r="CZ4231">
        <v>0</v>
      </c>
      <c r="DA4231">
        <v>0</v>
      </c>
      <c r="DB4231">
        <v>0</v>
      </c>
      <c r="DC4231">
        <v>0</v>
      </c>
      <c r="DD4231">
        <v>0</v>
      </c>
      <c r="DE4231">
        <v>0</v>
      </c>
      <c r="DF4231">
        <v>0</v>
      </c>
      <c r="DG4231">
        <v>0</v>
      </c>
      <c r="DH4231">
        <v>0</v>
      </c>
      <c r="DI4231">
        <v>0</v>
      </c>
    </row>
    <row r="4232" spans="1:113" x14ac:dyDescent="0.25">
      <c r="A4232" t="str">
        <f t="shared" si="2375"/>
        <v>06/05/2020 14:59:28.789</v>
      </c>
      <c r="C4232" t="str">
        <f t="shared" si="2353"/>
        <v>FFDFD3C0</v>
      </c>
      <c r="D4232" t="s">
        <v>141</v>
      </c>
      <c r="E4232">
        <v>20</v>
      </c>
      <c r="F4232">
        <v>1020</v>
      </c>
      <c r="G4232" t="s">
        <v>114</v>
      </c>
      <c r="J4232" t="s">
        <v>142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 t="shared" si="2376"/>
        <v>14:59:34.430</v>
      </c>
      <c r="T4232" t="str">
        <f t="shared" si="2376"/>
        <v>14:59:34.430</v>
      </c>
      <c r="U4232" t="str">
        <f t="shared" si="2373"/>
        <v>ACC530</v>
      </c>
      <c r="V4232">
        <v>0</v>
      </c>
      <c r="W4232">
        <v>0</v>
      </c>
      <c r="X4232">
        <v>1</v>
      </c>
      <c r="Z4232">
        <v>0</v>
      </c>
      <c r="AA4232">
        <v>9</v>
      </c>
      <c r="AB4232">
        <v>3</v>
      </c>
      <c r="AC4232">
        <v>0</v>
      </c>
      <c r="AD4232">
        <v>9</v>
      </c>
      <c r="AE4232">
        <v>0</v>
      </c>
      <c r="AF4232">
        <v>3</v>
      </c>
      <c r="AG4232">
        <v>1</v>
      </c>
      <c r="AH4232">
        <v>0</v>
      </c>
      <c r="AI4232" t="s">
        <v>1337</v>
      </c>
      <c r="AJ4232">
        <v>34.069419000000003</v>
      </c>
      <c r="AK4232" t="s">
        <v>1338</v>
      </c>
      <c r="AL4232">
        <v>-117.025015</v>
      </c>
      <c r="AM4232">
        <v>100</v>
      </c>
      <c r="AN4232">
        <v>5300</v>
      </c>
      <c r="AO4232" t="s">
        <v>118</v>
      </c>
      <c r="AP4232">
        <v>-96</v>
      </c>
      <c r="AQ4232">
        <v>34</v>
      </c>
      <c r="AR4232">
        <v>-768</v>
      </c>
      <c r="AZ4232">
        <v>1200</v>
      </c>
      <c r="BA4232">
        <v>1</v>
      </c>
      <c r="BB4232" t="str">
        <f t="shared" si="2374"/>
        <v xml:space="preserve">N9217B  </v>
      </c>
      <c r="BC4232">
        <v>1</v>
      </c>
      <c r="BE4232">
        <v>0</v>
      </c>
      <c r="BF4232">
        <v>0</v>
      </c>
      <c r="BG4232">
        <v>0</v>
      </c>
      <c r="BH4232">
        <v>5100</v>
      </c>
      <c r="BI4232">
        <v>1</v>
      </c>
      <c r="BJ4232">
        <v>0</v>
      </c>
      <c r="BK4232">
        <v>0</v>
      </c>
      <c r="BL4232">
        <v>0</v>
      </c>
      <c r="BO4232">
        <v>0</v>
      </c>
      <c r="BP4232">
        <v>0</v>
      </c>
      <c r="BW4232" t="str">
        <f t="shared" si="2377"/>
        <v>14:59:34.431</v>
      </c>
      <c r="CJ4232">
        <v>0</v>
      </c>
      <c r="CK4232">
        <v>2</v>
      </c>
      <c r="CL4232">
        <v>0</v>
      </c>
      <c r="CM4232">
        <v>2</v>
      </c>
      <c r="CN4232">
        <v>0</v>
      </c>
      <c r="CO4232">
        <v>6</v>
      </c>
      <c r="CP4232" t="s">
        <v>119</v>
      </c>
      <c r="CQ4232">
        <v>285</v>
      </c>
      <c r="CR4232">
        <v>0</v>
      </c>
      <c r="CW4232">
        <v>8890698</v>
      </c>
      <c r="CY4232">
        <v>0</v>
      </c>
      <c r="CZ4232">
        <v>0</v>
      </c>
      <c r="DA4232">
        <v>1</v>
      </c>
      <c r="DB4232">
        <v>0</v>
      </c>
      <c r="DC4232">
        <v>0</v>
      </c>
      <c r="DD4232">
        <v>0</v>
      </c>
      <c r="DE4232">
        <v>0</v>
      </c>
      <c r="DF4232">
        <v>0</v>
      </c>
      <c r="DG4232">
        <v>0</v>
      </c>
      <c r="DH4232">
        <v>0</v>
      </c>
      <c r="DI4232">
        <v>0</v>
      </c>
    </row>
    <row r="4233" spans="1:113" x14ac:dyDescent="0.25">
      <c r="A4233" t="str">
        <f t="shared" si="2375"/>
        <v>06/05/2020 14:59:28.789</v>
      </c>
      <c r="C4233" t="str">
        <f t="shared" si="2353"/>
        <v>FFDFD3C0</v>
      </c>
      <c r="D4233" t="s">
        <v>151</v>
      </c>
      <c r="E4233">
        <v>8</v>
      </c>
      <c r="H4233">
        <v>225</v>
      </c>
      <c r="I4233" t="s">
        <v>353</v>
      </c>
      <c r="J4233" t="s">
        <v>150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 t="shared" si="2376"/>
        <v>14:59:34.430</v>
      </c>
      <c r="T4233" t="str">
        <f t="shared" si="2376"/>
        <v>14:59:34.430</v>
      </c>
      <c r="U4233" t="str">
        <f t="shared" si="2373"/>
        <v>ACC530</v>
      </c>
      <c r="V4233">
        <v>0</v>
      </c>
      <c r="W4233">
        <v>0</v>
      </c>
      <c r="X4233">
        <v>1</v>
      </c>
      <c r="Z4233">
        <v>0</v>
      </c>
      <c r="AA4233">
        <v>9</v>
      </c>
      <c r="AB4233">
        <v>3</v>
      </c>
      <c r="AC4233">
        <v>0</v>
      </c>
      <c r="AD4233">
        <v>9</v>
      </c>
      <c r="AE4233">
        <v>0</v>
      </c>
      <c r="AF4233">
        <v>3</v>
      </c>
      <c r="AG4233">
        <v>1</v>
      </c>
      <c r="AH4233">
        <v>0</v>
      </c>
      <c r="AI4233" t="s">
        <v>1337</v>
      </c>
      <c r="AJ4233">
        <v>34.069419000000003</v>
      </c>
      <c r="AK4233" t="s">
        <v>1338</v>
      </c>
      <c r="AL4233">
        <v>-117.025015</v>
      </c>
      <c r="AM4233">
        <v>100</v>
      </c>
      <c r="AN4233">
        <v>5300</v>
      </c>
      <c r="AO4233" t="s">
        <v>118</v>
      </c>
      <c r="AP4233">
        <v>-96</v>
      </c>
      <c r="AQ4233">
        <v>34</v>
      </c>
      <c r="AR4233">
        <v>-768</v>
      </c>
      <c r="AZ4233">
        <v>1200</v>
      </c>
      <c r="BA4233">
        <v>1</v>
      </c>
      <c r="BB4233" t="str">
        <f t="shared" si="2374"/>
        <v xml:space="preserve">N9217B  </v>
      </c>
      <c r="BC4233">
        <v>1</v>
      </c>
      <c r="BE4233">
        <v>0</v>
      </c>
      <c r="BF4233">
        <v>0</v>
      </c>
      <c r="BG4233">
        <v>0</v>
      </c>
      <c r="BH4233">
        <v>5100</v>
      </c>
      <c r="BI4233">
        <v>1</v>
      </c>
      <c r="BJ4233">
        <v>0</v>
      </c>
      <c r="BK4233">
        <v>0</v>
      </c>
      <c r="BL4233">
        <v>0</v>
      </c>
      <c r="BO4233">
        <v>0</v>
      </c>
      <c r="BP4233">
        <v>0</v>
      </c>
      <c r="BW4233" t="str">
        <f t="shared" si="2377"/>
        <v>14:59:34.431</v>
      </c>
      <c r="CJ4233">
        <v>0</v>
      </c>
      <c r="CK4233">
        <v>2</v>
      </c>
      <c r="CL4233">
        <v>0</v>
      </c>
      <c r="CM4233">
        <v>2</v>
      </c>
      <c r="CN4233">
        <v>0</v>
      </c>
      <c r="CO4233">
        <v>6</v>
      </c>
      <c r="CP4233" t="s">
        <v>119</v>
      </c>
      <c r="CQ4233">
        <v>285</v>
      </c>
      <c r="CR4233">
        <v>0</v>
      </c>
      <c r="CW4233">
        <v>8890698</v>
      </c>
      <c r="CY4233">
        <v>0</v>
      </c>
      <c r="CZ4233">
        <v>0</v>
      </c>
      <c r="DA4233">
        <v>1</v>
      </c>
      <c r="DB4233">
        <v>0</v>
      </c>
      <c r="DC4233">
        <v>0</v>
      </c>
      <c r="DD4233">
        <v>0</v>
      </c>
      <c r="DE4233">
        <v>0</v>
      </c>
      <c r="DF4233">
        <v>0</v>
      </c>
      <c r="DG4233">
        <v>0</v>
      </c>
      <c r="DH4233">
        <v>0</v>
      </c>
      <c r="DI4233">
        <v>0</v>
      </c>
    </row>
    <row r="4234" spans="1:113" x14ac:dyDescent="0.25">
      <c r="A4234" t="str">
        <f t="shared" si="2375"/>
        <v>06/05/2020 14:59:28.789</v>
      </c>
      <c r="C4234" t="str">
        <f t="shared" si="2353"/>
        <v>FFDFD3C0</v>
      </c>
      <c r="D4234" t="s">
        <v>151</v>
      </c>
      <c r="E4234">
        <v>9</v>
      </c>
      <c r="H4234">
        <v>226</v>
      </c>
      <c r="I4234" t="s">
        <v>152</v>
      </c>
      <c r="J4234" t="s">
        <v>150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 t="shared" si="2376"/>
        <v>14:59:34.430</v>
      </c>
      <c r="T4234" t="str">
        <f t="shared" si="2376"/>
        <v>14:59:34.430</v>
      </c>
      <c r="U4234" t="str">
        <f t="shared" si="2373"/>
        <v>ACC530</v>
      </c>
      <c r="V4234">
        <v>0</v>
      </c>
      <c r="W4234">
        <v>0</v>
      </c>
      <c r="X4234">
        <v>1</v>
      </c>
      <c r="Z4234">
        <v>0</v>
      </c>
      <c r="AA4234">
        <v>9</v>
      </c>
      <c r="AB4234">
        <v>3</v>
      </c>
      <c r="AC4234">
        <v>0</v>
      </c>
      <c r="AD4234">
        <v>9</v>
      </c>
      <c r="AE4234">
        <v>0</v>
      </c>
      <c r="AF4234">
        <v>3</v>
      </c>
      <c r="AG4234">
        <v>1</v>
      </c>
      <c r="AH4234">
        <v>0</v>
      </c>
      <c r="AI4234" t="s">
        <v>1337</v>
      </c>
      <c r="AJ4234">
        <v>34.069419000000003</v>
      </c>
      <c r="AK4234" t="s">
        <v>1338</v>
      </c>
      <c r="AL4234">
        <v>-117.025015</v>
      </c>
      <c r="AM4234">
        <v>100</v>
      </c>
      <c r="AN4234">
        <v>5300</v>
      </c>
      <c r="AO4234" t="s">
        <v>118</v>
      </c>
      <c r="AP4234">
        <v>-96</v>
      </c>
      <c r="AQ4234">
        <v>34</v>
      </c>
      <c r="AR4234">
        <v>-768</v>
      </c>
      <c r="AZ4234">
        <v>1200</v>
      </c>
      <c r="BA4234">
        <v>1</v>
      </c>
      <c r="BB4234" t="str">
        <f t="shared" si="2374"/>
        <v xml:space="preserve">N9217B  </v>
      </c>
      <c r="BC4234">
        <v>1</v>
      </c>
      <c r="BE4234">
        <v>0</v>
      </c>
      <c r="BF4234">
        <v>0</v>
      </c>
      <c r="BG4234">
        <v>0</v>
      </c>
      <c r="BH4234">
        <v>5100</v>
      </c>
      <c r="BI4234">
        <v>1</v>
      </c>
      <c r="BJ4234">
        <v>0</v>
      </c>
      <c r="BK4234">
        <v>0</v>
      </c>
      <c r="BL4234">
        <v>0</v>
      </c>
      <c r="BO4234">
        <v>0</v>
      </c>
      <c r="BP4234">
        <v>0</v>
      </c>
      <c r="BW4234" t="str">
        <f t="shared" si="2377"/>
        <v>14:59:34.431</v>
      </c>
      <c r="CJ4234">
        <v>0</v>
      </c>
      <c r="CK4234">
        <v>2</v>
      </c>
      <c r="CL4234">
        <v>0</v>
      </c>
      <c r="CM4234">
        <v>2</v>
      </c>
      <c r="CN4234">
        <v>0</v>
      </c>
      <c r="CO4234">
        <v>6</v>
      </c>
      <c r="CP4234" t="s">
        <v>119</v>
      </c>
      <c r="CQ4234">
        <v>285</v>
      </c>
      <c r="CR4234">
        <v>0</v>
      </c>
      <c r="CW4234">
        <v>8890698</v>
      </c>
      <c r="CY4234">
        <v>0</v>
      </c>
      <c r="CZ4234">
        <v>0</v>
      </c>
      <c r="DA4234">
        <v>1</v>
      </c>
      <c r="DB4234">
        <v>0</v>
      </c>
      <c r="DC4234">
        <v>0</v>
      </c>
      <c r="DD4234">
        <v>0</v>
      </c>
      <c r="DE4234">
        <v>0</v>
      </c>
      <c r="DF4234">
        <v>0</v>
      </c>
      <c r="DG4234">
        <v>0</v>
      </c>
      <c r="DH4234">
        <v>0</v>
      </c>
      <c r="DI4234">
        <v>0</v>
      </c>
    </row>
    <row r="4235" spans="1:113" x14ac:dyDescent="0.25">
      <c r="A4235" t="str">
        <f t="shared" si="2375"/>
        <v>06/05/2020 14:59:28.789</v>
      </c>
      <c r="C4235" t="str">
        <f t="shared" si="2353"/>
        <v>FFDFD3C0</v>
      </c>
      <c r="D4235" t="s">
        <v>148</v>
      </c>
      <c r="E4235">
        <v>8</v>
      </c>
      <c r="H4235">
        <v>50</v>
      </c>
      <c r="I4235" t="s">
        <v>149</v>
      </c>
      <c r="J4235" t="s">
        <v>150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 t="shared" si="2376"/>
        <v>14:59:34.430</v>
      </c>
      <c r="T4235" t="str">
        <f t="shared" si="2376"/>
        <v>14:59:34.430</v>
      </c>
      <c r="U4235" t="str">
        <f t="shared" si="2373"/>
        <v>ACC530</v>
      </c>
      <c r="V4235">
        <v>0</v>
      </c>
      <c r="W4235">
        <v>0</v>
      </c>
      <c r="X4235">
        <v>1</v>
      </c>
      <c r="Z4235">
        <v>0</v>
      </c>
      <c r="AA4235">
        <v>9</v>
      </c>
      <c r="AB4235">
        <v>3</v>
      </c>
      <c r="AC4235">
        <v>0</v>
      </c>
      <c r="AD4235">
        <v>9</v>
      </c>
      <c r="AE4235">
        <v>0</v>
      </c>
      <c r="AF4235">
        <v>3</v>
      </c>
      <c r="AG4235">
        <v>1</v>
      </c>
      <c r="AH4235">
        <v>0</v>
      </c>
      <c r="AI4235" t="s">
        <v>1337</v>
      </c>
      <c r="AJ4235">
        <v>34.069419000000003</v>
      </c>
      <c r="AK4235" t="s">
        <v>1338</v>
      </c>
      <c r="AL4235">
        <v>-117.025015</v>
      </c>
      <c r="AM4235">
        <v>100</v>
      </c>
      <c r="AN4235">
        <v>5300</v>
      </c>
      <c r="AO4235" t="s">
        <v>118</v>
      </c>
      <c r="AP4235">
        <v>-96</v>
      </c>
      <c r="AQ4235">
        <v>34</v>
      </c>
      <c r="AR4235">
        <v>-768</v>
      </c>
      <c r="AZ4235">
        <v>1200</v>
      </c>
      <c r="BA4235">
        <v>1</v>
      </c>
      <c r="BB4235" t="str">
        <f t="shared" si="2374"/>
        <v xml:space="preserve">N9217B  </v>
      </c>
      <c r="BC4235">
        <v>1</v>
      </c>
      <c r="BE4235">
        <v>0</v>
      </c>
      <c r="BF4235">
        <v>0</v>
      </c>
      <c r="BG4235">
        <v>0</v>
      </c>
      <c r="BH4235">
        <v>5100</v>
      </c>
      <c r="BI4235">
        <v>1</v>
      </c>
      <c r="BJ4235">
        <v>0</v>
      </c>
      <c r="BK4235">
        <v>0</v>
      </c>
      <c r="BL4235">
        <v>0</v>
      </c>
      <c r="BO4235">
        <v>0</v>
      </c>
      <c r="BP4235">
        <v>0</v>
      </c>
      <c r="BW4235" t="str">
        <f t="shared" si="2377"/>
        <v>14:59:34.431</v>
      </c>
      <c r="CJ4235">
        <v>0</v>
      </c>
      <c r="CK4235">
        <v>2</v>
      </c>
      <c r="CL4235">
        <v>0</v>
      </c>
      <c r="CM4235">
        <v>2</v>
      </c>
      <c r="CN4235">
        <v>0</v>
      </c>
      <c r="CO4235">
        <v>6</v>
      </c>
      <c r="CP4235" t="s">
        <v>119</v>
      </c>
      <c r="CQ4235">
        <v>285</v>
      </c>
      <c r="CR4235">
        <v>0</v>
      </c>
      <c r="CW4235">
        <v>8890698</v>
      </c>
      <c r="CY4235">
        <v>0</v>
      </c>
      <c r="CZ4235">
        <v>0</v>
      </c>
      <c r="DA4235">
        <v>1</v>
      </c>
      <c r="DB4235">
        <v>0</v>
      </c>
      <c r="DC4235">
        <v>0</v>
      </c>
      <c r="DD4235">
        <v>0</v>
      </c>
      <c r="DE4235">
        <v>0</v>
      </c>
      <c r="DF4235">
        <v>0</v>
      </c>
      <c r="DG4235">
        <v>0</v>
      </c>
      <c r="DH4235">
        <v>0</v>
      </c>
      <c r="DI4235">
        <v>0</v>
      </c>
    </row>
    <row r="4236" spans="1:113" x14ac:dyDescent="0.25">
      <c r="A4236" t="str">
        <f t="shared" si="2375"/>
        <v>06/05/2020 14:59:28.789</v>
      </c>
      <c r="C4236" t="str">
        <f t="shared" si="2353"/>
        <v>FFDFD3C0</v>
      </c>
      <c r="D4236" t="s">
        <v>148</v>
      </c>
      <c r="E4236">
        <v>11</v>
      </c>
      <c r="H4236">
        <v>53</v>
      </c>
      <c r="I4236" t="s">
        <v>364</v>
      </c>
      <c r="J4236" t="s">
        <v>150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 t="shared" si="2376"/>
        <v>14:59:34.430</v>
      </c>
      <c r="T4236" t="str">
        <f t="shared" si="2376"/>
        <v>14:59:34.430</v>
      </c>
      <c r="U4236" t="str">
        <f t="shared" si="2373"/>
        <v>ACC530</v>
      </c>
      <c r="V4236">
        <v>0</v>
      </c>
      <c r="W4236">
        <v>0</v>
      </c>
      <c r="X4236">
        <v>1</v>
      </c>
      <c r="Z4236">
        <v>0</v>
      </c>
      <c r="AA4236">
        <v>9</v>
      </c>
      <c r="AB4236">
        <v>3</v>
      </c>
      <c r="AC4236">
        <v>0</v>
      </c>
      <c r="AD4236">
        <v>9</v>
      </c>
      <c r="AE4236">
        <v>0</v>
      </c>
      <c r="AF4236">
        <v>3</v>
      </c>
      <c r="AG4236">
        <v>1</v>
      </c>
      <c r="AH4236">
        <v>0</v>
      </c>
      <c r="AI4236" t="s">
        <v>1337</v>
      </c>
      <c r="AJ4236">
        <v>34.069419000000003</v>
      </c>
      <c r="AK4236" t="s">
        <v>1338</v>
      </c>
      <c r="AL4236">
        <v>-117.025015</v>
      </c>
      <c r="AM4236">
        <v>100</v>
      </c>
      <c r="AN4236">
        <v>5300</v>
      </c>
      <c r="AO4236" t="s">
        <v>118</v>
      </c>
      <c r="AP4236">
        <v>-96</v>
      </c>
      <c r="AQ4236">
        <v>34</v>
      </c>
      <c r="AR4236">
        <v>-768</v>
      </c>
      <c r="AZ4236">
        <v>1200</v>
      </c>
      <c r="BA4236">
        <v>1</v>
      </c>
      <c r="BB4236" t="str">
        <f t="shared" si="2374"/>
        <v xml:space="preserve">N9217B  </v>
      </c>
      <c r="BC4236">
        <v>1</v>
      </c>
      <c r="BE4236">
        <v>0</v>
      </c>
      <c r="BF4236">
        <v>0</v>
      </c>
      <c r="BG4236">
        <v>0</v>
      </c>
      <c r="BH4236">
        <v>5100</v>
      </c>
      <c r="BI4236">
        <v>1</v>
      </c>
      <c r="BJ4236">
        <v>0</v>
      </c>
      <c r="BK4236">
        <v>0</v>
      </c>
      <c r="BL4236">
        <v>0</v>
      </c>
      <c r="BO4236">
        <v>0</v>
      </c>
      <c r="BP4236">
        <v>0</v>
      </c>
      <c r="BW4236" t="str">
        <f t="shared" si="2377"/>
        <v>14:59:34.431</v>
      </c>
      <c r="CJ4236">
        <v>0</v>
      </c>
      <c r="CK4236">
        <v>2</v>
      </c>
      <c r="CL4236">
        <v>0</v>
      </c>
      <c r="CM4236">
        <v>2</v>
      </c>
      <c r="CN4236">
        <v>0</v>
      </c>
      <c r="CO4236">
        <v>6</v>
      </c>
      <c r="CP4236" t="s">
        <v>119</v>
      </c>
      <c r="CQ4236">
        <v>285</v>
      </c>
      <c r="CR4236">
        <v>0</v>
      </c>
      <c r="CW4236">
        <v>8890698</v>
      </c>
      <c r="CY4236">
        <v>0</v>
      </c>
      <c r="CZ4236">
        <v>0</v>
      </c>
      <c r="DA4236">
        <v>1</v>
      </c>
      <c r="DB4236">
        <v>0</v>
      </c>
      <c r="DC4236">
        <v>0</v>
      </c>
      <c r="DD4236">
        <v>0</v>
      </c>
      <c r="DE4236">
        <v>0</v>
      </c>
      <c r="DF4236">
        <v>0</v>
      </c>
      <c r="DG4236">
        <v>0</v>
      </c>
      <c r="DH4236">
        <v>0</v>
      </c>
      <c r="DI4236">
        <v>0</v>
      </c>
    </row>
    <row r="4237" spans="1:113" x14ac:dyDescent="0.25">
      <c r="A4237" t="str">
        <f t="shared" si="2375"/>
        <v>06/05/2020 14:59:28.789</v>
      </c>
      <c r="C4237" t="str">
        <f t="shared" si="2353"/>
        <v>FFDFD3C0</v>
      </c>
      <c r="D4237" t="s">
        <v>113</v>
      </c>
      <c r="E4237">
        <v>3</v>
      </c>
      <c r="H4237">
        <v>166</v>
      </c>
      <c r="I4237" t="s">
        <v>114</v>
      </c>
      <c r="J4237" t="s">
        <v>115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 t="shared" si="2376"/>
        <v>14:59:34.430</v>
      </c>
      <c r="T4237" t="str">
        <f t="shared" si="2376"/>
        <v>14:59:34.430</v>
      </c>
      <c r="U4237" t="str">
        <f t="shared" si="2373"/>
        <v>ACC530</v>
      </c>
      <c r="V4237">
        <v>0</v>
      </c>
      <c r="W4237">
        <v>0</v>
      </c>
      <c r="X4237">
        <v>1</v>
      </c>
      <c r="Z4237">
        <v>0</v>
      </c>
      <c r="AA4237">
        <v>9</v>
      </c>
      <c r="AB4237">
        <v>3</v>
      </c>
      <c r="AC4237">
        <v>0</v>
      </c>
      <c r="AD4237">
        <v>9</v>
      </c>
      <c r="AE4237">
        <v>0</v>
      </c>
      <c r="AF4237">
        <v>3</v>
      </c>
      <c r="AG4237">
        <v>1</v>
      </c>
      <c r="AH4237">
        <v>0</v>
      </c>
      <c r="AI4237" t="s">
        <v>1337</v>
      </c>
      <c r="AJ4237">
        <v>34.069419000000003</v>
      </c>
      <c r="AK4237" t="s">
        <v>1338</v>
      </c>
      <c r="AL4237">
        <v>-117.025015</v>
      </c>
      <c r="AM4237">
        <v>100</v>
      </c>
      <c r="AN4237">
        <v>5300</v>
      </c>
      <c r="AO4237" t="s">
        <v>118</v>
      </c>
      <c r="AP4237">
        <v>-96</v>
      </c>
      <c r="AQ4237">
        <v>34</v>
      </c>
      <c r="AR4237">
        <v>-768</v>
      </c>
      <c r="AZ4237">
        <v>1200</v>
      </c>
      <c r="BA4237">
        <v>1</v>
      </c>
      <c r="BB4237" t="str">
        <f t="shared" si="2374"/>
        <v xml:space="preserve">N9217B  </v>
      </c>
      <c r="BC4237">
        <v>1</v>
      </c>
      <c r="BE4237">
        <v>0</v>
      </c>
      <c r="BF4237">
        <v>0</v>
      </c>
      <c r="BG4237">
        <v>0</v>
      </c>
      <c r="BH4237">
        <v>5100</v>
      </c>
      <c r="BI4237">
        <v>1</v>
      </c>
      <c r="BJ4237">
        <v>0</v>
      </c>
      <c r="BK4237">
        <v>0</v>
      </c>
      <c r="BL4237">
        <v>0</v>
      </c>
      <c r="BO4237">
        <v>0</v>
      </c>
      <c r="BP4237">
        <v>0</v>
      </c>
      <c r="BW4237" t="str">
        <f t="shared" si="2377"/>
        <v>14:59:34.431</v>
      </c>
      <c r="CJ4237">
        <v>0</v>
      </c>
      <c r="CK4237">
        <v>2</v>
      </c>
      <c r="CL4237">
        <v>0</v>
      </c>
      <c r="CM4237">
        <v>2</v>
      </c>
      <c r="CN4237">
        <v>0</v>
      </c>
      <c r="CO4237">
        <v>6</v>
      </c>
      <c r="CP4237" t="s">
        <v>119</v>
      </c>
      <c r="CQ4237">
        <v>285</v>
      </c>
      <c r="CR4237">
        <v>0</v>
      </c>
      <c r="CW4237">
        <v>8890698</v>
      </c>
      <c r="CY4237">
        <v>0</v>
      </c>
      <c r="CZ4237">
        <v>0</v>
      </c>
      <c r="DA4237">
        <v>1</v>
      </c>
      <c r="DB4237">
        <v>0</v>
      </c>
      <c r="DC4237">
        <v>0</v>
      </c>
      <c r="DD4237">
        <v>0</v>
      </c>
      <c r="DE4237">
        <v>0</v>
      </c>
      <c r="DF4237">
        <v>0</v>
      </c>
      <c r="DG4237">
        <v>0</v>
      </c>
      <c r="DH4237">
        <v>0</v>
      </c>
      <c r="DI4237">
        <v>0</v>
      </c>
    </row>
    <row r="4238" spans="1:113" x14ac:dyDescent="0.25">
      <c r="A4238" t="str">
        <f t="shared" ref="A4238:A4244" si="2378">"06/05/2020 14:59:29.648"</f>
        <v>06/05/2020 14:59:29.648</v>
      </c>
      <c r="C4238" t="str">
        <f t="shared" si="2353"/>
        <v>FFDFD3C0</v>
      </c>
      <c r="D4238" t="s">
        <v>134</v>
      </c>
      <c r="E4238">
        <v>7</v>
      </c>
      <c r="F4238">
        <v>2007</v>
      </c>
      <c r="G4238" t="s">
        <v>135</v>
      </c>
      <c r="J4238" t="s">
        <v>136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 t="shared" ref="S4238:S4244" si="2379">"14:59:35.297"</f>
        <v>14:59:35.297</v>
      </c>
      <c r="T4238" t="str">
        <f t="shared" ref="T4238:T4244" si="2380">"14:59:34.997"</f>
        <v>14:59:34.997</v>
      </c>
      <c r="U4238" t="str">
        <f t="shared" si="2373"/>
        <v>ACC530</v>
      </c>
      <c r="V4238">
        <v>0</v>
      </c>
      <c r="W4238">
        <v>0</v>
      </c>
      <c r="X4238">
        <v>1</v>
      </c>
      <c r="Z4238">
        <v>0</v>
      </c>
      <c r="AA4238">
        <v>9</v>
      </c>
      <c r="AB4238">
        <v>3</v>
      </c>
      <c r="AC4238">
        <v>0</v>
      </c>
      <c r="AD4238">
        <v>9</v>
      </c>
      <c r="AE4238">
        <v>0</v>
      </c>
      <c r="AF4238">
        <v>3</v>
      </c>
      <c r="AG4238">
        <v>1</v>
      </c>
      <c r="AH4238">
        <v>0</v>
      </c>
      <c r="AI4238" t="s">
        <v>1210</v>
      </c>
      <c r="AJ4238">
        <v>34.069569000000001</v>
      </c>
      <c r="AK4238" t="s">
        <v>1339</v>
      </c>
      <c r="AL4238">
        <v>-117.02546599999999</v>
      </c>
      <c r="AM4238">
        <v>100</v>
      </c>
      <c r="AN4238">
        <v>5300</v>
      </c>
      <c r="AO4238" t="s">
        <v>118</v>
      </c>
      <c r="AP4238">
        <v>-96</v>
      </c>
      <c r="AQ4238">
        <v>34</v>
      </c>
      <c r="AR4238">
        <v>-832</v>
      </c>
      <c r="AZ4238">
        <v>1200</v>
      </c>
      <c r="BA4238">
        <v>1</v>
      </c>
      <c r="BB4238" t="str">
        <f t="shared" si="2374"/>
        <v xml:space="preserve">N9217B  </v>
      </c>
      <c r="BC4238">
        <v>1</v>
      </c>
      <c r="BE4238">
        <v>0</v>
      </c>
      <c r="BF4238">
        <v>0</v>
      </c>
      <c r="BG4238">
        <v>0</v>
      </c>
      <c r="BH4238">
        <v>5100</v>
      </c>
      <c r="BI4238">
        <v>1</v>
      </c>
      <c r="BJ4238">
        <v>0</v>
      </c>
      <c r="BK4238">
        <v>0</v>
      </c>
      <c r="BL4238">
        <v>0</v>
      </c>
      <c r="BO4238">
        <v>0</v>
      </c>
      <c r="BP4238">
        <v>0</v>
      </c>
      <c r="BW4238" t="str">
        <f t="shared" ref="BW4238:BW4244" si="2381">"14:59:35.301"</f>
        <v>14:59:35.301</v>
      </c>
      <c r="CJ4238">
        <v>0</v>
      </c>
      <c r="CK4238">
        <v>2</v>
      </c>
      <c r="CL4238">
        <v>0</v>
      </c>
      <c r="CM4238">
        <v>2</v>
      </c>
      <c r="CN4238">
        <v>0</v>
      </c>
      <c r="CO4238">
        <v>6</v>
      </c>
      <c r="CP4238" t="s">
        <v>119</v>
      </c>
      <c r="CQ4238">
        <v>285</v>
      </c>
      <c r="CR4238">
        <v>0</v>
      </c>
      <c r="CW4238">
        <v>8890782</v>
      </c>
      <c r="CY4238">
        <v>0</v>
      </c>
      <c r="CZ4238">
        <v>0</v>
      </c>
      <c r="DA4238">
        <v>0</v>
      </c>
      <c r="DB4238">
        <v>0</v>
      </c>
      <c r="DC4238">
        <v>0</v>
      </c>
      <c r="DD4238">
        <v>0</v>
      </c>
      <c r="DE4238">
        <v>0</v>
      </c>
      <c r="DF4238">
        <v>0</v>
      </c>
      <c r="DG4238">
        <v>0</v>
      </c>
      <c r="DH4238">
        <v>0</v>
      </c>
      <c r="DI4238">
        <v>0</v>
      </c>
    </row>
    <row r="4239" spans="1:113" x14ac:dyDescent="0.25">
      <c r="A4239" t="str">
        <f t="shared" si="2378"/>
        <v>06/05/2020 14:59:29.648</v>
      </c>
      <c r="C4239" t="str">
        <f t="shared" si="2353"/>
        <v>FFDFD3C0</v>
      </c>
      <c r="D4239" t="s">
        <v>141</v>
      </c>
      <c r="E4239">
        <v>20</v>
      </c>
      <c r="F4239">
        <v>1020</v>
      </c>
      <c r="G4239" t="s">
        <v>114</v>
      </c>
      <c r="J4239" t="s">
        <v>142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 t="shared" si="2379"/>
        <v>14:59:35.297</v>
      </c>
      <c r="T4239" t="str">
        <f t="shared" si="2380"/>
        <v>14:59:34.997</v>
      </c>
      <c r="U4239" t="str">
        <f t="shared" si="2373"/>
        <v>ACC530</v>
      </c>
      <c r="V4239">
        <v>0</v>
      </c>
      <c r="W4239">
        <v>0</v>
      </c>
      <c r="X4239">
        <v>1</v>
      </c>
      <c r="Z4239">
        <v>0</v>
      </c>
      <c r="AA4239">
        <v>9</v>
      </c>
      <c r="AB4239">
        <v>3</v>
      </c>
      <c r="AC4239">
        <v>0</v>
      </c>
      <c r="AD4239">
        <v>9</v>
      </c>
      <c r="AE4239">
        <v>0</v>
      </c>
      <c r="AF4239">
        <v>3</v>
      </c>
      <c r="AG4239">
        <v>1</v>
      </c>
      <c r="AH4239">
        <v>0</v>
      </c>
      <c r="AI4239" t="s">
        <v>1210</v>
      </c>
      <c r="AJ4239">
        <v>34.069569000000001</v>
      </c>
      <c r="AK4239" t="s">
        <v>1339</v>
      </c>
      <c r="AL4239">
        <v>-117.02546599999999</v>
      </c>
      <c r="AM4239">
        <v>100</v>
      </c>
      <c r="AN4239">
        <v>5300</v>
      </c>
      <c r="AO4239" t="s">
        <v>118</v>
      </c>
      <c r="AP4239">
        <v>-96</v>
      </c>
      <c r="AQ4239">
        <v>34</v>
      </c>
      <c r="AR4239">
        <v>-832</v>
      </c>
      <c r="AZ4239">
        <v>1200</v>
      </c>
      <c r="BA4239">
        <v>1</v>
      </c>
      <c r="BB4239" t="str">
        <f t="shared" si="2374"/>
        <v xml:space="preserve">N9217B  </v>
      </c>
      <c r="BC4239">
        <v>1</v>
      </c>
      <c r="BE4239">
        <v>0</v>
      </c>
      <c r="BF4239">
        <v>0</v>
      </c>
      <c r="BG4239">
        <v>0</v>
      </c>
      <c r="BH4239">
        <v>5100</v>
      </c>
      <c r="BI4239">
        <v>1</v>
      </c>
      <c r="BJ4239">
        <v>0</v>
      </c>
      <c r="BK4239">
        <v>0</v>
      </c>
      <c r="BL4239">
        <v>0</v>
      </c>
      <c r="BO4239">
        <v>0</v>
      </c>
      <c r="BP4239">
        <v>0</v>
      </c>
      <c r="BW4239" t="str">
        <f t="shared" si="2381"/>
        <v>14:59:35.301</v>
      </c>
      <c r="CJ4239">
        <v>0</v>
      </c>
      <c r="CK4239">
        <v>2</v>
      </c>
      <c r="CL4239">
        <v>0</v>
      </c>
      <c r="CM4239">
        <v>2</v>
      </c>
      <c r="CN4239">
        <v>0</v>
      </c>
      <c r="CO4239">
        <v>6</v>
      </c>
      <c r="CP4239" t="s">
        <v>119</v>
      </c>
      <c r="CQ4239">
        <v>285</v>
      </c>
      <c r="CR4239">
        <v>0</v>
      </c>
      <c r="CW4239">
        <v>8890782</v>
      </c>
      <c r="CY4239">
        <v>0</v>
      </c>
      <c r="CZ4239">
        <v>0</v>
      </c>
      <c r="DA4239">
        <v>1</v>
      </c>
      <c r="DB4239">
        <v>0</v>
      </c>
      <c r="DC4239">
        <v>0</v>
      </c>
      <c r="DD4239">
        <v>0</v>
      </c>
      <c r="DE4239">
        <v>0</v>
      </c>
      <c r="DF4239">
        <v>0</v>
      </c>
      <c r="DG4239">
        <v>0</v>
      </c>
      <c r="DH4239">
        <v>0</v>
      </c>
      <c r="DI4239">
        <v>0</v>
      </c>
    </row>
    <row r="4240" spans="1:113" x14ac:dyDescent="0.25">
      <c r="A4240" t="str">
        <f t="shared" si="2378"/>
        <v>06/05/2020 14:59:29.648</v>
      </c>
      <c r="C4240" t="str">
        <f t="shared" si="2353"/>
        <v>FFDFD3C0</v>
      </c>
      <c r="D4240" t="s">
        <v>151</v>
      </c>
      <c r="E4240">
        <v>8</v>
      </c>
      <c r="H4240">
        <v>225</v>
      </c>
      <c r="I4240" t="s">
        <v>353</v>
      </c>
      <c r="J4240" t="s">
        <v>150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 t="shared" si="2379"/>
        <v>14:59:35.297</v>
      </c>
      <c r="T4240" t="str">
        <f t="shared" si="2380"/>
        <v>14:59:34.997</v>
      </c>
      <c r="U4240" t="str">
        <f t="shared" si="2373"/>
        <v>ACC530</v>
      </c>
      <c r="V4240">
        <v>0</v>
      </c>
      <c r="W4240">
        <v>0</v>
      </c>
      <c r="X4240">
        <v>1</v>
      </c>
      <c r="Z4240">
        <v>0</v>
      </c>
      <c r="AA4240">
        <v>9</v>
      </c>
      <c r="AB4240">
        <v>3</v>
      </c>
      <c r="AC4240">
        <v>0</v>
      </c>
      <c r="AD4240">
        <v>9</v>
      </c>
      <c r="AE4240">
        <v>0</v>
      </c>
      <c r="AF4240">
        <v>3</v>
      </c>
      <c r="AG4240">
        <v>1</v>
      </c>
      <c r="AH4240">
        <v>0</v>
      </c>
      <c r="AI4240" t="s">
        <v>1210</v>
      </c>
      <c r="AJ4240">
        <v>34.069569000000001</v>
      </c>
      <c r="AK4240" t="s">
        <v>1339</v>
      </c>
      <c r="AL4240">
        <v>-117.02546599999999</v>
      </c>
      <c r="AM4240">
        <v>100</v>
      </c>
      <c r="AN4240">
        <v>5300</v>
      </c>
      <c r="AO4240" t="s">
        <v>118</v>
      </c>
      <c r="AP4240">
        <v>-96</v>
      </c>
      <c r="AQ4240">
        <v>34</v>
      </c>
      <c r="AR4240">
        <v>-832</v>
      </c>
      <c r="AZ4240">
        <v>1200</v>
      </c>
      <c r="BA4240">
        <v>1</v>
      </c>
      <c r="BB4240" t="str">
        <f t="shared" si="2374"/>
        <v xml:space="preserve">N9217B  </v>
      </c>
      <c r="BC4240">
        <v>1</v>
      </c>
      <c r="BE4240">
        <v>0</v>
      </c>
      <c r="BF4240">
        <v>0</v>
      </c>
      <c r="BG4240">
        <v>0</v>
      </c>
      <c r="BH4240">
        <v>5100</v>
      </c>
      <c r="BI4240">
        <v>1</v>
      </c>
      <c r="BJ4240">
        <v>0</v>
      </c>
      <c r="BK4240">
        <v>0</v>
      </c>
      <c r="BL4240">
        <v>0</v>
      </c>
      <c r="BO4240">
        <v>0</v>
      </c>
      <c r="BP4240">
        <v>0</v>
      </c>
      <c r="BW4240" t="str">
        <f t="shared" si="2381"/>
        <v>14:59:35.301</v>
      </c>
      <c r="CJ4240">
        <v>0</v>
      </c>
      <c r="CK4240">
        <v>2</v>
      </c>
      <c r="CL4240">
        <v>0</v>
      </c>
      <c r="CM4240">
        <v>2</v>
      </c>
      <c r="CN4240">
        <v>0</v>
      </c>
      <c r="CO4240">
        <v>6</v>
      </c>
      <c r="CP4240" t="s">
        <v>119</v>
      </c>
      <c r="CQ4240">
        <v>285</v>
      </c>
      <c r="CR4240">
        <v>0</v>
      </c>
      <c r="CW4240">
        <v>8890782</v>
      </c>
      <c r="CY4240">
        <v>0</v>
      </c>
      <c r="CZ4240">
        <v>0</v>
      </c>
      <c r="DA4240">
        <v>1</v>
      </c>
      <c r="DB4240">
        <v>0</v>
      </c>
      <c r="DC4240">
        <v>0</v>
      </c>
      <c r="DD4240">
        <v>0</v>
      </c>
      <c r="DE4240">
        <v>0</v>
      </c>
      <c r="DF4240">
        <v>0</v>
      </c>
      <c r="DG4240">
        <v>0</v>
      </c>
      <c r="DH4240">
        <v>0</v>
      </c>
      <c r="DI4240">
        <v>0</v>
      </c>
    </row>
    <row r="4241" spans="1:113" x14ac:dyDescent="0.25">
      <c r="A4241" t="str">
        <f t="shared" si="2378"/>
        <v>06/05/2020 14:59:29.648</v>
      </c>
      <c r="C4241" t="str">
        <f t="shared" si="2353"/>
        <v>FFDFD3C0</v>
      </c>
      <c r="D4241" t="s">
        <v>148</v>
      </c>
      <c r="E4241">
        <v>8</v>
      </c>
      <c r="H4241">
        <v>50</v>
      </c>
      <c r="I4241" t="s">
        <v>149</v>
      </c>
      <c r="J4241" t="s">
        <v>150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 t="shared" si="2379"/>
        <v>14:59:35.297</v>
      </c>
      <c r="T4241" t="str">
        <f t="shared" si="2380"/>
        <v>14:59:34.997</v>
      </c>
      <c r="U4241" t="str">
        <f t="shared" si="2373"/>
        <v>ACC530</v>
      </c>
      <c r="V4241">
        <v>0</v>
      </c>
      <c r="W4241">
        <v>0</v>
      </c>
      <c r="X4241">
        <v>1</v>
      </c>
      <c r="Z4241">
        <v>0</v>
      </c>
      <c r="AA4241">
        <v>9</v>
      </c>
      <c r="AB4241">
        <v>3</v>
      </c>
      <c r="AC4241">
        <v>0</v>
      </c>
      <c r="AD4241">
        <v>9</v>
      </c>
      <c r="AE4241">
        <v>0</v>
      </c>
      <c r="AF4241">
        <v>3</v>
      </c>
      <c r="AG4241">
        <v>1</v>
      </c>
      <c r="AH4241">
        <v>0</v>
      </c>
      <c r="AI4241" t="s">
        <v>1210</v>
      </c>
      <c r="AJ4241">
        <v>34.069569000000001</v>
      </c>
      <c r="AK4241" t="s">
        <v>1339</v>
      </c>
      <c r="AL4241">
        <v>-117.02546599999999</v>
      </c>
      <c r="AM4241">
        <v>100</v>
      </c>
      <c r="AN4241">
        <v>5300</v>
      </c>
      <c r="AO4241" t="s">
        <v>118</v>
      </c>
      <c r="AP4241">
        <v>-96</v>
      </c>
      <c r="AQ4241">
        <v>34</v>
      </c>
      <c r="AR4241">
        <v>-832</v>
      </c>
      <c r="AZ4241">
        <v>1200</v>
      </c>
      <c r="BA4241">
        <v>1</v>
      </c>
      <c r="BB4241" t="str">
        <f t="shared" si="2374"/>
        <v xml:space="preserve">N9217B  </v>
      </c>
      <c r="BC4241">
        <v>1</v>
      </c>
      <c r="BE4241">
        <v>0</v>
      </c>
      <c r="BF4241">
        <v>0</v>
      </c>
      <c r="BG4241">
        <v>0</v>
      </c>
      <c r="BH4241">
        <v>5100</v>
      </c>
      <c r="BI4241">
        <v>1</v>
      </c>
      <c r="BJ4241">
        <v>0</v>
      </c>
      <c r="BK4241">
        <v>0</v>
      </c>
      <c r="BL4241">
        <v>0</v>
      </c>
      <c r="BO4241">
        <v>0</v>
      </c>
      <c r="BP4241">
        <v>0</v>
      </c>
      <c r="BW4241" t="str">
        <f t="shared" si="2381"/>
        <v>14:59:35.301</v>
      </c>
      <c r="CJ4241">
        <v>0</v>
      </c>
      <c r="CK4241">
        <v>2</v>
      </c>
      <c r="CL4241">
        <v>0</v>
      </c>
      <c r="CM4241">
        <v>2</v>
      </c>
      <c r="CN4241">
        <v>0</v>
      </c>
      <c r="CO4241">
        <v>6</v>
      </c>
      <c r="CP4241" t="s">
        <v>119</v>
      </c>
      <c r="CQ4241">
        <v>285</v>
      </c>
      <c r="CR4241">
        <v>0</v>
      </c>
      <c r="CW4241">
        <v>8890782</v>
      </c>
      <c r="CY4241">
        <v>0</v>
      </c>
      <c r="CZ4241">
        <v>0</v>
      </c>
      <c r="DA4241">
        <v>1</v>
      </c>
      <c r="DB4241">
        <v>0</v>
      </c>
      <c r="DC4241">
        <v>0</v>
      </c>
      <c r="DD4241">
        <v>0</v>
      </c>
      <c r="DE4241">
        <v>0</v>
      </c>
      <c r="DF4241">
        <v>0</v>
      </c>
      <c r="DG4241">
        <v>0</v>
      </c>
      <c r="DH4241">
        <v>0</v>
      </c>
      <c r="DI4241">
        <v>0</v>
      </c>
    </row>
    <row r="4242" spans="1:113" x14ac:dyDescent="0.25">
      <c r="A4242" t="str">
        <f t="shared" si="2378"/>
        <v>06/05/2020 14:59:29.648</v>
      </c>
      <c r="C4242" t="str">
        <f t="shared" si="2353"/>
        <v>FFDFD3C0</v>
      </c>
      <c r="D4242" t="s">
        <v>151</v>
      </c>
      <c r="E4242">
        <v>9</v>
      </c>
      <c r="H4242">
        <v>226</v>
      </c>
      <c r="I4242" t="s">
        <v>152</v>
      </c>
      <c r="J4242" t="s">
        <v>150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 t="shared" si="2379"/>
        <v>14:59:35.297</v>
      </c>
      <c r="T4242" t="str">
        <f t="shared" si="2380"/>
        <v>14:59:34.997</v>
      </c>
      <c r="U4242" t="str">
        <f t="shared" si="2373"/>
        <v>ACC530</v>
      </c>
      <c r="V4242">
        <v>0</v>
      </c>
      <c r="W4242">
        <v>0</v>
      </c>
      <c r="X4242">
        <v>1</v>
      </c>
      <c r="Z4242">
        <v>0</v>
      </c>
      <c r="AA4242">
        <v>9</v>
      </c>
      <c r="AB4242">
        <v>3</v>
      </c>
      <c r="AC4242">
        <v>0</v>
      </c>
      <c r="AD4242">
        <v>9</v>
      </c>
      <c r="AE4242">
        <v>0</v>
      </c>
      <c r="AF4242">
        <v>3</v>
      </c>
      <c r="AG4242">
        <v>1</v>
      </c>
      <c r="AH4242">
        <v>0</v>
      </c>
      <c r="AI4242" t="s">
        <v>1210</v>
      </c>
      <c r="AJ4242">
        <v>34.069569000000001</v>
      </c>
      <c r="AK4242" t="s">
        <v>1339</v>
      </c>
      <c r="AL4242">
        <v>-117.02546599999999</v>
      </c>
      <c r="AM4242">
        <v>100</v>
      </c>
      <c r="AN4242">
        <v>5300</v>
      </c>
      <c r="AO4242" t="s">
        <v>118</v>
      </c>
      <c r="AP4242">
        <v>-96</v>
      </c>
      <c r="AQ4242">
        <v>34</v>
      </c>
      <c r="AR4242">
        <v>-832</v>
      </c>
      <c r="AZ4242">
        <v>1200</v>
      </c>
      <c r="BA4242">
        <v>1</v>
      </c>
      <c r="BB4242" t="str">
        <f t="shared" si="2374"/>
        <v xml:space="preserve">N9217B  </v>
      </c>
      <c r="BC4242">
        <v>1</v>
      </c>
      <c r="BE4242">
        <v>0</v>
      </c>
      <c r="BF4242">
        <v>0</v>
      </c>
      <c r="BG4242">
        <v>0</v>
      </c>
      <c r="BH4242">
        <v>5100</v>
      </c>
      <c r="BI4242">
        <v>1</v>
      </c>
      <c r="BJ4242">
        <v>0</v>
      </c>
      <c r="BK4242">
        <v>0</v>
      </c>
      <c r="BL4242">
        <v>0</v>
      </c>
      <c r="BO4242">
        <v>0</v>
      </c>
      <c r="BP4242">
        <v>0</v>
      </c>
      <c r="BW4242" t="str">
        <f t="shared" si="2381"/>
        <v>14:59:35.301</v>
      </c>
      <c r="CJ4242">
        <v>0</v>
      </c>
      <c r="CK4242">
        <v>2</v>
      </c>
      <c r="CL4242">
        <v>0</v>
      </c>
      <c r="CM4242">
        <v>2</v>
      </c>
      <c r="CN4242">
        <v>0</v>
      </c>
      <c r="CO4242">
        <v>6</v>
      </c>
      <c r="CP4242" t="s">
        <v>119</v>
      </c>
      <c r="CQ4242">
        <v>285</v>
      </c>
      <c r="CR4242">
        <v>0</v>
      </c>
      <c r="CW4242">
        <v>8890782</v>
      </c>
      <c r="CY4242">
        <v>0</v>
      </c>
      <c r="CZ4242">
        <v>0</v>
      </c>
      <c r="DA4242">
        <v>1</v>
      </c>
      <c r="DB4242">
        <v>0</v>
      </c>
      <c r="DC4242">
        <v>0</v>
      </c>
      <c r="DD4242">
        <v>0</v>
      </c>
      <c r="DE4242">
        <v>0</v>
      </c>
      <c r="DF4242">
        <v>0</v>
      </c>
      <c r="DG4242">
        <v>0</v>
      </c>
      <c r="DH4242">
        <v>0</v>
      </c>
      <c r="DI4242">
        <v>0</v>
      </c>
    </row>
    <row r="4243" spans="1:113" x14ac:dyDescent="0.25">
      <c r="A4243" t="str">
        <f t="shared" si="2378"/>
        <v>06/05/2020 14:59:29.648</v>
      </c>
      <c r="C4243" t="str">
        <f t="shared" si="2353"/>
        <v>FFDFD3C0</v>
      </c>
      <c r="D4243" t="s">
        <v>148</v>
      </c>
      <c r="E4243">
        <v>11</v>
      </c>
      <c r="H4243">
        <v>53</v>
      </c>
      <c r="I4243" t="s">
        <v>364</v>
      </c>
      <c r="J4243" t="s">
        <v>150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 t="shared" si="2379"/>
        <v>14:59:35.297</v>
      </c>
      <c r="T4243" t="str">
        <f t="shared" si="2380"/>
        <v>14:59:34.997</v>
      </c>
      <c r="U4243" t="str">
        <f t="shared" si="2373"/>
        <v>ACC530</v>
      </c>
      <c r="V4243">
        <v>0</v>
      </c>
      <c r="W4243">
        <v>0</v>
      </c>
      <c r="X4243">
        <v>1</v>
      </c>
      <c r="Z4243">
        <v>0</v>
      </c>
      <c r="AA4243">
        <v>9</v>
      </c>
      <c r="AB4243">
        <v>3</v>
      </c>
      <c r="AC4243">
        <v>0</v>
      </c>
      <c r="AD4243">
        <v>9</v>
      </c>
      <c r="AE4243">
        <v>0</v>
      </c>
      <c r="AF4243">
        <v>3</v>
      </c>
      <c r="AG4243">
        <v>1</v>
      </c>
      <c r="AH4243">
        <v>0</v>
      </c>
      <c r="AI4243" t="s">
        <v>1210</v>
      </c>
      <c r="AJ4243">
        <v>34.069569000000001</v>
      </c>
      <c r="AK4243" t="s">
        <v>1339</v>
      </c>
      <c r="AL4243">
        <v>-117.02546599999999</v>
      </c>
      <c r="AM4243">
        <v>100</v>
      </c>
      <c r="AN4243">
        <v>5300</v>
      </c>
      <c r="AO4243" t="s">
        <v>118</v>
      </c>
      <c r="AP4243">
        <v>-96</v>
      </c>
      <c r="AQ4243">
        <v>34</v>
      </c>
      <c r="AR4243">
        <v>-832</v>
      </c>
      <c r="AZ4243">
        <v>1200</v>
      </c>
      <c r="BA4243">
        <v>1</v>
      </c>
      <c r="BB4243" t="str">
        <f t="shared" si="2374"/>
        <v xml:space="preserve">N9217B  </v>
      </c>
      <c r="BC4243">
        <v>1</v>
      </c>
      <c r="BE4243">
        <v>0</v>
      </c>
      <c r="BF4243">
        <v>0</v>
      </c>
      <c r="BG4243">
        <v>0</v>
      </c>
      <c r="BH4243">
        <v>5100</v>
      </c>
      <c r="BI4243">
        <v>1</v>
      </c>
      <c r="BJ4243">
        <v>0</v>
      </c>
      <c r="BK4243">
        <v>0</v>
      </c>
      <c r="BL4243">
        <v>0</v>
      </c>
      <c r="BO4243">
        <v>0</v>
      </c>
      <c r="BP4243">
        <v>0</v>
      </c>
      <c r="BW4243" t="str">
        <f t="shared" si="2381"/>
        <v>14:59:35.301</v>
      </c>
      <c r="CJ4243">
        <v>0</v>
      </c>
      <c r="CK4243">
        <v>2</v>
      </c>
      <c r="CL4243">
        <v>0</v>
      </c>
      <c r="CM4243">
        <v>2</v>
      </c>
      <c r="CN4243">
        <v>0</v>
      </c>
      <c r="CO4243">
        <v>6</v>
      </c>
      <c r="CP4243" t="s">
        <v>119</v>
      </c>
      <c r="CQ4243">
        <v>285</v>
      </c>
      <c r="CR4243">
        <v>0</v>
      </c>
      <c r="CW4243">
        <v>8890782</v>
      </c>
      <c r="CY4243">
        <v>0</v>
      </c>
      <c r="CZ4243">
        <v>0</v>
      </c>
      <c r="DA4243">
        <v>1</v>
      </c>
      <c r="DB4243">
        <v>0</v>
      </c>
      <c r="DC4243">
        <v>0</v>
      </c>
      <c r="DD4243">
        <v>0</v>
      </c>
      <c r="DE4243">
        <v>0</v>
      </c>
      <c r="DF4243">
        <v>0</v>
      </c>
      <c r="DG4243">
        <v>0</v>
      </c>
      <c r="DH4243">
        <v>0</v>
      </c>
      <c r="DI4243">
        <v>0</v>
      </c>
    </row>
    <row r="4244" spans="1:113" x14ac:dyDescent="0.25">
      <c r="A4244" t="str">
        <f t="shared" si="2378"/>
        <v>06/05/2020 14:59:29.648</v>
      </c>
      <c r="C4244" t="str">
        <f t="shared" si="2353"/>
        <v>FFDFD3C0</v>
      </c>
      <c r="D4244" t="s">
        <v>113</v>
      </c>
      <c r="E4244">
        <v>3</v>
      </c>
      <c r="H4244">
        <v>166</v>
      </c>
      <c r="I4244" t="s">
        <v>114</v>
      </c>
      <c r="J4244" t="s">
        <v>115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 t="shared" si="2379"/>
        <v>14:59:35.297</v>
      </c>
      <c r="T4244" t="str">
        <f t="shared" si="2380"/>
        <v>14:59:34.997</v>
      </c>
      <c r="U4244" t="str">
        <f t="shared" si="2373"/>
        <v>ACC530</v>
      </c>
      <c r="V4244">
        <v>0</v>
      </c>
      <c r="W4244">
        <v>0</v>
      </c>
      <c r="X4244">
        <v>1</v>
      </c>
      <c r="Z4244">
        <v>0</v>
      </c>
      <c r="AA4244">
        <v>9</v>
      </c>
      <c r="AB4244">
        <v>3</v>
      </c>
      <c r="AC4244">
        <v>0</v>
      </c>
      <c r="AD4244">
        <v>9</v>
      </c>
      <c r="AE4244">
        <v>0</v>
      </c>
      <c r="AF4244">
        <v>3</v>
      </c>
      <c r="AG4244">
        <v>1</v>
      </c>
      <c r="AH4244">
        <v>0</v>
      </c>
      <c r="AI4244" t="s">
        <v>1210</v>
      </c>
      <c r="AJ4244">
        <v>34.069569000000001</v>
      </c>
      <c r="AK4244" t="s">
        <v>1339</v>
      </c>
      <c r="AL4244">
        <v>-117.02546599999999</v>
      </c>
      <c r="AM4244">
        <v>100</v>
      </c>
      <c r="AN4244">
        <v>5300</v>
      </c>
      <c r="AO4244" t="s">
        <v>118</v>
      </c>
      <c r="AP4244">
        <v>-96</v>
      </c>
      <c r="AQ4244">
        <v>34</v>
      </c>
      <c r="AR4244">
        <v>-832</v>
      </c>
      <c r="AZ4244">
        <v>1200</v>
      </c>
      <c r="BA4244">
        <v>1</v>
      </c>
      <c r="BB4244" t="str">
        <f t="shared" si="2374"/>
        <v xml:space="preserve">N9217B  </v>
      </c>
      <c r="BC4244">
        <v>1</v>
      </c>
      <c r="BE4244">
        <v>0</v>
      </c>
      <c r="BF4244">
        <v>0</v>
      </c>
      <c r="BG4244">
        <v>0</v>
      </c>
      <c r="BH4244">
        <v>5100</v>
      </c>
      <c r="BI4244">
        <v>1</v>
      </c>
      <c r="BJ4244">
        <v>0</v>
      </c>
      <c r="BK4244">
        <v>0</v>
      </c>
      <c r="BL4244">
        <v>0</v>
      </c>
      <c r="BO4244">
        <v>0</v>
      </c>
      <c r="BP4244">
        <v>0</v>
      </c>
      <c r="BW4244" t="str">
        <f t="shared" si="2381"/>
        <v>14:59:35.301</v>
      </c>
      <c r="CJ4244">
        <v>0</v>
      </c>
      <c r="CK4244">
        <v>2</v>
      </c>
      <c r="CL4244">
        <v>0</v>
      </c>
      <c r="CM4244">
        <v>2</v>
      </c>
      <c r="CN4244">
        <v>0</v>
      </c>
      <c r="CO4244">
        <v>6</v>
      </c>
      <c r="CP4244" t="s">
        <v>119</v>
      </c>
      <c r="CQ4244">
        <v>285</v>
      </c>
      <c r="CR4244">
        <v>0</v>
      </c>
      <c r="CW4244">
        <v>8890782</v>
      </c>
      <c r="CY4244">
        <v>0</v>
      </c>
      <c r="CZ4244">
        <v>0</v>
      </c>
      <c r="DA4244">
        <v>1</v>
      </c>
      <c r="DB4244">
        <v>0</v>
      </c>
      <c r="DC4244">
        <v>0</v>
      </c>
      <c r="DD4244">
        <v>0</v>
      </c>
      <c r="DE4244">
        <v>0</v>
      </c>
      <c r="DF4244">
        <v>0</v>
      </c>
      <c r="DG4244">
        <v>0</v>
      </c>
      <c r="DH4244">
        <v>0</v>
      </c>
      <c r="DI4244">
        <v>0</v>
      </c>
    </row>
    <row r="4245" spans="1:113" x14ac:dyDescent="0.25">
      <c r="A4245" t="str">
        <f t="shared" ref="A4245:A4251" si="2382">"06/05/2020 14:59:30.695"</f>
        <v>06/05/2020 14:59:30.695</v>
      </c>
      <c r="C4245" t="str">
        <f t="shared" si="2353"/>
        <v>FFDFD3C0</v>
      </c>
      <c r="D4245" t="s">
        <v>148</v>
      </c>
      <c r="E4245">
        <v>11</v>
      </c>
      <c r="H4245">
        <v>53</v>
      </c>
      <c r="I4245" t="s">
        <v>364</v>
      </c>
      <c r="J4245" t="s">
        <v>150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 t="shared" ref="S4245:S4251" si="2383">"14:59:36.344"</f>
        <v>14:59:36.344</v>
      </c>
      <c r="T4245" t="str">
        <f t="shared" ref="T4245:T4251" si="2384">"14:59:36.044"</f>
        <v>14:59:36.044</v>
      </c>
      <c r="U4245" t="str">
        <f t="shared" si="2373"/>
        <v>ACC530</v>
      </c>
      <c r="V4245">
        <v>0</v>
      </c>
      <c r="W4245">
        <v>0</v>
      </c>
      <c r="X4245">
        <v>1</v>
      </c>
      <c r="Z4245">
        <v>0</v>
      </c>
      <c r="AA4245">
        <v>9</v>
      </c>
      <c r="AB4245">
        <v>3</v>
      </c>
      <c r="AC4245">
        <v>0</v>
      </c>
      <c r="AD4245">
        <v>9</v>
      </c>
      <c r="AE4245">
        <v>0</v>
      </c>
      <c r="AF4245">
        <v>3</v>
      </c>
      <c r="AG4245">
        <v>1</v>
      </c>
      <c r="AH4245">
        <v>0</v>
      </c>
      <c r="AI4245" t="s">
        <v>1340</v>
      </c>
      <c r="AJ4245">
        <v>34.069698000000002</v>
      </c>
      <c r="AK4245" t="s">
        <v>1341</v>
      </c>
      <c r="AL4245">
        <v>-117.026088</v>
      </c>
      <c r="AM4245">
        <v>100</v>
      </c>
      <c r="AN4245">
        <v>5300</v>
      </c>
      <c r="AO4245" t="s">
        <v>118</v>
      </c>
      <c r="AP4245">
        <v>-97</v>
      </c>
      <c r="AQ4245">
        <v>34</v>
      </c>
      <c r="AR4245">
        <v>-832</v>
      </c>
      <c r="AZ4245">
        <v>1200</v>
      </c>
      <c r="BA4245">
        <v>1</v>
      </c>
      <c r="BB4245" t="str">
        <f t="shared" si="2374"/>
        <v xml:space="preserve">N9217B  </v>
      </c>
      <c r="BC4245">
        <v>1</v>
      </c>
      <c r="BE4245">
        <v>0</v>
      </c>
      <c r="BF4245">
        <v>0</v>
      </c>
      <c r="BG4245">
        <v>0</v>
      </c>
      <c r="BH4245">
        <v>5075</v>
      </c>
      <c r="BI4245">
        <v>1</v>
      </c>
      <c r="BJ4245">
        <v>0</v>
      </c>
      <c r="BK4245">
        <v>0</v>
      </c>
      <c r="BL4245">
        <v>0</v>
      </c>
      <c r="BO4245">
        <v>0</v>
      </c>
      <c r="BP4245">
        <v>0</v>
      </c>
      <c r="BW4245" t="str">
        <f t="shared" ref="BW4245:BW4251" si="2385">"14:59:36.351"</f>
        <v>14:59:36.351</v>
      </c>
      <c r="CJ4245">
        <v>0</v>
      </c>
      <c r="CK4245">
        <v>2</v>
      </c>
      <c r="CL4245">
        <v>0</v>
      </c>
      <c r="CM4245">
        <v>2</v>
      </c>
      <c r="CN4245">
        <v>0</v>
      </c>
      <c r="CO4245">
        <v>7</v>
      </c>
      <c r="CP4245" t="s">
        <v>119</v>
      </c>
      <c r="CQ4245">
        <v>285</v>
      </c>
      <c r="CR4245">
        <v>0</v>
      </c>
      <c r="CW4245">
        <v>8890882</v>
      </c>
      <c r="CY4245">
        <v>0</v>
      </c>
      <c r="CZ4245">
        <v>0</v>
      </c>
      <c r="DA4245">
        <v>0</v>
      </c>
      <c r="DB4245">
        <v>0</v>
      </c>
      <c r="DC4245">
        <v>0</v>
      </c>
      <c r="DD4245">
        <v>0</v>
      </c>
      <c r="DE4245">
        <v>0</v>
      </c>
      <c r="DF4245">
        <v>0</v>
      </c>
      <c r="DG4245">
        <v>0</v>
      </c>
      <c r="DH4245">
        <v>0</v>
      </c>
      <c r="DI4245">
        <v>0</v>
      </c>
    </row>
    <row r="4246" spans="1:113" x14ac:dyDescent="0.25">
      <c r="A4246" t="str">
        <f t="shared" si="2382"/>
        <v>06/05/2020 14:59:30.695</v>
      </c>
      <c r="C4246" t="str">
        <f t="shared" si="2353"/>
        <v>FFDFD3C0</v>
      </c>
      <c r="D4246" t="s">
        <v>113</v>
      </c>
      <c r="E4246">
        <v>3</v>
      </c>
      <c r="H4246">
        <v>166</v>
      </c>
      <c r="I4246" t="s">
        <v>114</v>
      </c>
      <c r="J4246" t="s">
        <v>115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 t="shared" si="2383"/>
        <v>14:59:36.344</v>
      </c>
      <c r="T4246" t="str">
        <f t="shared" si="2384"/>
        <v>14:59:36.044</v>
      </c>
      <c r="U4246" t="str">
        <f t="shared" si="2373"/>
        <v>ACC530</v>
      </c>
      <c r="V4246">
        <v>0</v>
      </c>
      <c r="W4246">
        <v>0</v>
      </c>
      <c r="X4246">
        <v>1</v>
      </c>
      <c r="Z4246">
        <v>0</v>
      </c>
      <c r="AA4246">
        <v>9</v>
      </c>
      <c r="AB4246">
        <v>3</v>
      </c>
      <c r="AC4246">
        <v>0</v>
      </c>
      <c r="AD4246">
        <v>9</v>
      </c>
      <c r="AE4246">
        <v>0</v>
      </c>
      <c r="AF4246">
        <v>3</v>
      </c>
      <c r="AG4246">
        <v>1</v>
      </c>
      <c r="AH4246">
        <v>0</v>
      </c>
      <c r="AI4246" t="s">
        <v>1340</v>
      </c>
      <c r="AJ4246">
        <v>34.069698000000002</v>
      </c>
      <c r="AK4246" t="s">
        <v>1341</v>
      </c>
      <c r="AL4246">
        <v>-117.026088</v>
      </c>
      <c r="AM4246">
        <v>100</v>
      </c>
      <c r="AN4246">
        <v>5300</v>
      </c>
      <c r="AO4246" t="s">
        <v>118</v>
      </c>
      <c r="AP4246">
        <v>-97</v>
      </c>
      <c r="AQ4246">
        <v>34</v>
      </c>
      <c r="AR4246">
        <v>-832</v>
      </c>
      <c r="AZ4246">
        <v>1200</v>
      </c>
      <c r="BA4246">
        <v>1</v>
      </c>
      <c r="BB4246" t="str">
        <f t="shared" si="2374"/>
        <v xml:space="preserve">N9217B  </v>
      </c>
      <c r="BC4246">
        <v>1</v>
      </c>
      <c r="BE4246">
        <v>0</v>
      </c>
      <c r="BF4246">
        <v>0</v>
      </c>
      <c r="BG4246">
        <v>0</v>
      </c>
      <c r="BH4246">
        <v>5075</v>
      </c>
      <c r="BI4246">
        <v>1</v>
      </c>
      <c r="BJ4246">
        <v>0</v>
      </c>
      <c r="BK4246">
        <v>0</v>
      </c>
      <c r="BL4246">
        <v>0</v>
      </c>
      <c r="BO4246">
        <v>0</v>
      </c>
      <c r="BP4246">
        <v>0</v>
      </c>
      <c r="BW4246" t="str">
        <f t="shared" si="2385"/>
        <v>14:59:36.351</v>
      </c>
      <c r="CJ4246">
        <v>0</v>
      </c>
      <c r="CK4246">
        <v>2</v>
      </c>
      <c r="CL4246">
        <v>0</v>
      </c>
      <c r="CM4246">
        <v>2</v>
      </c>
      <c r="CN4246">
        <v>0</v>
      </c>
      <c r="CO4246">
        <v>7</v>
      </c>
      <c r="CP4246" t="s">
        <v>119</v>
      </c>
      <c r="CQ4246">
        <v>285</v>
      </c>
      <c r="CR4246">
        <v>0</v>
      </c>
      <c r="CW4246">
        <v>8890882</v>
      </c>
      <c r="CY4246">
        <v>0</v>
      </c>
      <c r="CZ4246">
        <v>0</v>
      </c>
      <c r="DA4246">
        <v>1</v>
      </c>
      <c r="DB4246">
        <v>0</v>
      </c>
      <c r="DC4246">
        <v>0</v>
      </c>
      <c r="DD4246">
        <v>0</v>
      </c>
      <c r="DE4246">
        <v>0</v>
      </c>
      <c r="DF4246">
        <v>0</v>
      </c>
      <c r="DG4246">
        <v>0</v>
      </c>
      <c r="DH4246">
        <v>0</v>
      </c>
      <c r="DI4246">
        <v>0</v>
      </c>
    </row>
    <row r="4247" spans="1:113" x14ac:dyDescent="0.25">
      <c r="A4247" t="str">
        <f t="shared" si="2382"/>
        <v>06/05/2020 14:59:30.695</v>
      </c>
      <c r="C4247" t="str">
        <f t="shared" si="2353"/>
        <v>FFDFD3C0</v>
      </c>
      <c r="D4247" t="s">
        <v>134</v>
      </c>
      <c r="E4247">
        <v>7</v>
      </c>
      <c r="F4247">
        <v>2007</v>
      </c>
      <c r="G4247" t="s">
        <v>135</v>
      </c>
      <c r="J4247" t="s">
        <v>136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 t="shared" si="2383"/>
        <v>14:59:36.344</v>
      </c>
      <c r="T4247" t="str">
        <f t="shared" si="2384"/>
        <v>14:59:36.044</v>
      </c>
      <c r="U4247" t="str">
        <f t="shared" si="2373"/>
        <v>ACC530</v>
      </c>
      <c r="V4247">
        <v>0</v>
      </c>
      <c r="W4247">
        <v>0</v>
      </c>
      <c r="X4247">
        <v>1</v>
      </c>
      <c r="Z4247">
        <v>0</v>
      </c>
      <c r="AA4247">
        <v>9</v>
      </c>
      <c r="AB4247">
        <v>3</v>
      </c>
      <c r="AC4247">
        <v>0</v>
      </c>
      <c r="AD4247">
        <v>9</v>
      </c>
      <c r="AE4247">
        <v>0</v>
      </c>
      <c r="AF4247">
        <v>3</v>
      </c>
      <c r="AG4247">
        <v>1</v>
      </c>
      <c r="AH4247">
        <v>0</v>
      </c>
      <c r="AI4247" t="s">
        <v>1340</v>
      </c>
      <c r="AJ4247">
        <v>34.069698000000002</v>
      </c>
      <c r="AK4247" t="s">
        <v>1341</v>
      </c>
      <c r="AL4247">
        <v>-117.026088</v>
      </c>
      <c r="AM4247">
        <v>100</v>
      </c>
      <c r="AN4247">
        <v>5300</v>
      </c>
      <c r="AO4247" t="s">
        <v>118</v>
      </c>
      <c r="AP4247">
        <v>-97</v>
      </c>
      <c r="AQ4247">
        <v>34</v>
      </c>
      <c r="AR4247">
        <v>-832</v>
      </c>
      <c r="AZ4247">
        <v>1200</v>
      </c>
      <c r="BA4247">
        <v>1</v>
      </c>
      <c r="BB4247" t="str">
        <f t="shared" si="2374"/>
        <v xml:space="preserve">N9217B  </v>
      </c>
      <c r="BC4247">
        <v>1</v>
      </c>
      <c r="BE4247">
        <v>0</v>
      </c>
      <c r="BF4247">
        <v>0</v>
      </c>
      <c r="BG4247">
        <v>0</v>
      </c>
      <c r="BH4247">
        <v>5075</v>
      </c>
      <c r="BI4247">
        <v>1</v>
      </c>
      <c r="BJ4247">
        <v>0</v>
      </c>
      <c r="BK4247">
        <v>0</v>
      </c>
      <c r="BL4247">
        <v>0</v>
      </c>
      <c r="BO4247">
        <v>0</v>
      </c>
      <c r="BP4247">
        <v>0</v>
      </c>
      <c r="BW4247" t="str">
        <f t="shared" si="2385"/>
        <v>14:59:36.351</v>
      </c>
      <c r="CJ4247">
        <v>0</v>
      </c>
      <c r="CK4247">
        <v>2</v>
      </c>
      <c r="CL4247">
        <v>0</v>
      </c>
      <c r="CM4247">
        <v>2</v>
      </c>
      <c r="CN4247">
        <v>0</v>
      </c>
      <c r="CO4247">
        <v>7</v>
      </c>
      <c r="CP4247" t="s">
        <v>119</v>
      </c>
      <c r="CQ4247">
        <v>285</v>
      </c>
      <c r="CR4247">
        <v>0</v>
      </c>
      <c r="CW4247">
        <v>8890882</v>
      </c>
      <c r="CY4247">
        <v>0</v>
      </c>
      <c r="CZ4247">
        <v>0</v>
      </c>
      <c r="DA4247">
        <v>1</v>
      </c>
      <c r="DB4247">
        <v>0</v>
      </c>
      <c r="DC4247">
        <v>0</v>
      </c>
      <c r="DD4247">
        <v>0</v>
      </c>
      <c r="DE4247">
        <v>0</v>
      </c>
      <c r="DF4247">
        <v>0</v>
      </c>
      <c r="DG4247">
        <v>0</v>
      </c>
      <c r="DH4247">
        <v>0</v>
      </c>
      <c r="DI4247">
        <v>0</v>
      </c>
    </row>
    <row r="4248" spans="1:113" x14ac:dyDescent="0.25">
      <c r="A4248" t="str">
        <f t="shared" si="2382"/>
        <v>06/05/2020 14:59:30.695</v>
      </c>
      <c r="C4248" t="str">
        <f t="shared" si="2353"/>
        <v>FFDFD3C0</v>
      </c>
      <c r="D4248" t="s">
        <v>141</v>
      </c>
      <c r="E4248">
        <v>20</v>
      </c>
      <c r="F4248">
        <v>1020</v>
      </c>
      <c r="G4248" t="s">
        <v>114</v>
      </c>
      <c r="J4248" t="s">
        <v>142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 t="shared" si="2383"/>
        <v>14:59:36.344</v>
      </c>
      <c r="T4248" t="str">
        <f t="shared" si="2384"/>
        <v>14:59:36.044</v>
      </c>
      <c r="U4248" t="str">
        <f t="shared" si="2373"/>
        <v>ACC530</v>
      </c>
      <c r="V4248">
        <v>0</v>
      </c>
      <c r="W4248">
        <v>0</v>
      </c>
      <c r="X4248">
        <v>1</v>
      </c>
      <c r="Z4248">
        <v>0</v>
      </c>
      <c r="AA4248">
        <v>9</v>
      </c>
      <c r="AB4248">
        <v>3</v>
      </c>
      <c r="AC4248">
        <v>0</v>
      </c>
      <c r="AD4248">
        <v>9</v>
      </c>
      <c r="AE4248">
        <v>0</v>
      </c>
      <c r="AF4248">
        <v>3</v>
      </c>
      <c r="AG4248">
        <v>1</v>
      </c>
      <c r="AH4248">
        <v>0</v>
      </c>
      <c r="AI4248" t="s">
        <v>1340</v>
      </c>
      <c r="AJ4248">
        <v>34.069698000000002</v>
      </c>
      <c r="AK4248" t="s">
        <v>1341</v>
      </c>
      <c r="AL4248">
        <v>-117.026088</v>
      </c>
      <c r="AM4248">
        <v>100</v>
      </c>
      <c r="AN4248">
        <v>5300</v>
      </c>
      <c r="AO4248" t="s">
        <v>118</v>
      </c>
      <c r="AP4248">
        <v>-97</v>
      </c>
      <c r="AQ4248">
        <v>34</v>
      </c>
      <c r="AR4248">
        <v>-832</v>
      </c>
      <c r="AZ4248">
        <v>1200</v>
      </c>
      <c r="BA4248">
        <v>1</v>
      </c>
      <c r="BB4248" t="str">
        <f t="shared" si="2374"/>
        <v xml:space="preserve">N9217B  </v>
      </c>
      <c r="BC4248">
        <v>1</v>
      </c>
      <c r="BE4248">
        <v>0</v>
      </c>
      <c r="BF4248">
        <v>0</v>
      </c>
      <c r="BG4248">
        <v>0</v>
      </c>
      <c r="BH4248">
        <v>5075</v>
      </c>
      <c r="BI4248">
        <v>1</v>
      </c>
      <c r="BJ4248">
        <v>0</v>
      </c>
      <c r="BK4248">
        <v>0</v>
      </c>
      <c r="BL4248">
        <v>0</v>
      </c>
      <c r="BO4248">
        <v>0</v>
      </c>
      <c r="BP4248">
        <v>0</v>
      </c>
      <c r="BW4248" t="str">
        <f t="shared" si="2385"/>
        <v>14:59:36.351</v>
      </c>
      <c r="CJ4248">
        <v>0</v>
      </c>
      <c r="CK4248">
        <v>2</v>
      </c>
      <c r="CL4248">
        <v>0</v>
      </c>
      <c r="CM4248">
        <v>2</v>
      </c>
      <c r="CN4248">
        <v>0</v>
      </c>
      <c r="CO4248">
        <v>7</v>
      </c>
      <c r="CP4248" t="s">
        <v>119</v>
      </c>
      <c r="CQ4248">
        <v>285</v>
      </c>
      <c r="CR4248">
        <v>0</v>
      </c>
      <c r="CW4248">
        <v>8890882</v>
      </c>
      <c r="CY4248">
        <v>0</v>
      </c>
      <c r="CZ4248">
        <v>0</v>
      </c>
      <c r="DA4248">
        <v>1</v>
      </c>
      <c r="DB4248">
        <v>0</v>
      </c>
      <c r="DC4248">
        <v>0</v>
      </c>
      <c r="DD4248">
        <v>0</v>
      </c>
      <c r="DE4248">
        <v>0</v>
      </c>
      <c r="DF4248">
        <v>0</v>
      </c>
      <c r="DG4248">
        <v>0</v>
      </c>
      <c r="DH4248">
        <v>0</v>
      </c>
      <c r="DI4248">
        <v>0</v>
      </c>
    </row>
    <row r="4249" spans="1:113" x14ac:dyDescent="0.25">
      <c r="A4249" t="str">
        <f t="shared" si="2382"/>
        <v>06/05/2020 14:59:30.695</v>
      </c>
      <c r="C4249" t="str">
        <f t="shared" si="2353"/>
        <v>FFDFD3C0</v>
      </c>
      <c r="D4249" t="s">
        <v>151</v>
      </c>
      <c r="E4249">
        <v>8</v>
      </c>
      <c r="H4249">
        <v>225</v>
      </c>
      <c r="I4249" t="s">
        <v>353</v>
      </c>
      <c r="J4249" t="s">
        <v>150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 t="shared" si="2383"/>
        <v>14:59:36.344</v>
      </c>
      <c r="T4249" t="str">
        <f t="shared" si="2384"/>
        <v>14:59:36.044</v>
      </c>
      <c r="U4249" t="str">
        <f t="shared" si="2373"/>
        <v>ACC530</v>
      </c>
      <c r="V4249">
        <v>0</v>
      </c>
      <c r="W4249">
        <v>0</v>
      </c>
      <c r="X4249">
        <v>1</v>
      </c>
      <c r="Z4249">
        <v>0</v>
      </c>
      <c r="AA4249">
        <v>9</v>
      </c>
      <c r="AB4249">
        <v>3</v>
      </c>
      <c r="AC4249">
        <v>0</v>
      </c>
      <c r="AD4249">
        <v>9</v>
      </c>
      <c r="AE4249">
        <v>0</v>
      </c>
      <c r="AF4249">
        <v>3</v>
      </c>
      <c r="AG4249">
        <v>1</v>
      </c>
      <c r="AH4249">
        <v>0</v>
      </c>
      <c r="AI4249" t="s">
        <v>1340</v>
      </c>
      <c r="AJ4249">
        <v>34.069698000000002</v>
      </c>
      <c r="AK4249" t="s">
        <v>1341</v>
      </c>
      <c r="AL4249">
        <v>-117.026088</v>
      </c>
      <c r="AM4249">
        <v>100</v>
      </c>
      <c r="AN4249">
        <v>5300</v>
      </c>
      <c r="AO4249" t="s">
        <v>118</v>
      </c>
      <c r="AP4249">
        <v>-97</v>
      </c>
      <c r="AQ4249">
        <v>34</v>
      </c>
      <c r="AR4249">
        <v>-832</v>
      </c>
      <c r="AZ4249">
        <v>1200</v>
      </c>
      <c r="BA4249">
        <v>1</v>
      </c>
      <c r="BB4249" t="str">
        <f t="shared" si="2374"/>
        <v xml:space="preserve">N9217B  </v>
      </c>
      <c r="BC4249">
        <v>1</v>
      </c>
      <c r="BE4249">
        <v>0</v>
      </c>
      <c r="BF4249">
        <v>0</v>
      </c>
      <c r="BG4249">
        <v>0</v>
      </c>
      <c r="BH4249">
        <v>5075</v>
      </c>
      <c r="BI4249">
        <v>1</v>
      </c>
      <c r="BJ4249">
        <v>0</v>
      </c>
      <c r="BK4249">
        <v>0</v>
      </c>
      <c r="BL4249">
        <v>0</v>
      </c>
      <c r="BO4249">
        <v>0</v>
      </c>
      <c r="BP4249">
        <v>0</v>
      </c>
      <c r="BW4249" t="str">
        <f t="shared" si="2385"/>
        <v>14:59:36.351</v>
      </c>
      <c r="CJ4249">
        <v>0</v>
      </c>
      <c r="CK4249">
        <v>2</v>
      </c>
      <c r="CL4249">
        <v>0</v>
      </c>
      <c r="CM4249">
        <v>2</v>
      </c>
      <c r="CN4249">
        <v>0</v>
      </c>
      <c r="CO4249">
        <v>7</v>
      </c>
      <c r="CP4249" t="s">
        <v>119</v>
      </c>
      <c r="CQ4249">
        <v>285</v>
      </c>
      <c r="CR4249">
        <v>0</v>
      </c>
      <c r="CW4249">
        <v>8890882</v>
      </c>
      <c r="CY4249">
        <v>0</v>
      </c>
      <c r="CZ4249">
        <v>0</v>
      </c>
      <c r="DA4249">
        <v>1</v>
      </c>
      <c r="DB4249">
        <v>0</v>
      </c>
      <c r="DC4249">
        <v>0</v>
      </c>
      <c r="DD4249">
        <v>0</v>
      </c>
      <c r="DE4249">
        <v>0</v>
      </c>
      <c r="DF4249">
        <v>0</v>
      </c>
      <c r="DG4249">
        <v>0</v>
      </c>
      <c r="DH4249">
        <v>0</v>
      </c>
      <c r="DI4249">
        <v>0</v>
      </c>
    </row>
    <row r="4250" spans="1:113" x14ac:dyDescent="0.25">
      <c r="A4250" t="str">
        <f t="shared" si="2382"/>
        <v>06/05/2020 14:59:30.695</v>
      </c>
      <c r="C4250" t="str">
        <f t="shared" si="2353"/>
        <v>FFDFD3C0</v>
      </c>
      <c r="D4250" t="s">
        <v>148</v>
      </c>
      <c r="E4250">
        <v>8</v>
      </c>
      <c r="H4250">
        <v>50</v>
      </c>
      <c r="I4250" t="s">
        <v>149</v>
      </c>
      <c r="J4250" t="s">
        <v>150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 t="shared" si="2383"/>
        <v>14:59:36.344</v>
      </c>
      <c r="T4250" t="str">
        <f t="shared" si="2384"/>
        <v>14:59:36.044</v>
      </c>
      <c r="U4250" t="str">
        <f t="shared" si="2373"/>
        <v>ACC530</v>
      </c>
      <c r="V4250">
        <v>0</v>
      </c>
      <c r="W4250">
        <v>0</v>
      </c>
      <c r="X4250">
        <v>1</v>
      </c>
      <c r="Z4250">
        <v>0</v>
      </c>
      <c r="AA4250">
        <v>9</v>
      </c>
      <c r="AB4250">
        <v>3</v>
      </c>
      <c r="AC4250">
        <v>0</v>
      </c>
      <c r="AD4250">
        <v>9</v>
      </c>
      <c r="AE4250">
        <v>0</v>
      </c>
      <c r="AF4250">
        <v>3</v>
      </c>
      <c r="AG4250">
        <v>1</v>
      </c>
      <c r="AH4250">
        <v>0</v>
      </c>
      <c r="AI4250" t="s">
        <v>1340</v>
      </c>
      <c r="AJ4250">
        <v>34.069698000000002</v>
      </c>
      <c r="AK4250" t="s">
        <v>1341</v>
      </c>
      <c r="AL4250">
        <v>-117.026088</v>
      </c>
      <c r="AM4250">
        <v>100</v>
      </c>
      <c r="AN4250">
        <v>5300</v>
      </c>
      <c r="AO4250" t="s">
        <v>118</v>
      </c>
      <c r="AP4250">
        <v>-97</v>
      </c>
      <c r="AQ4250">
        <v>34</v>
      </c>
      <c r="AR4250">
        <v>-832</v>
      </c>
      <c r="AZ4250">
        <v>1200</v>
      </c>
      <c r="BA4250">
        <v>1</v>
      </c>
      <c r="BB4250" t="str">
        <f t="shared" si="2374"/>
        <v xml:space="preserve">N9217B  </v>
      </c>
      <c r="BC4250">
        <v>1</v>
      </c>
      <c r="BE4250">
        <v>0</v>
      </c>
      <c r="BF4250">
        <v>0</v>
      </c>
      <c r="BG4250">
        <v>0</v>
      </c>
      <c r="BH4250">
        <v>5075</v>
      </c>
      <c r="BI4250">
        <v>1</v>
      </c>
      <c r="BJ4250">
        <v>0</v>
      </c>
      <c r="BK4250">
        <v>0</v>
      </c>
      <c r="BL4250">
        <v>0</v>
      </c>
      <c r="BO4250">
        <v>0</v>
      </c>
      <c r="BP4250">
        <v>0</v>
      </c>
      <c r="BW4250" t="str">
        <f t="shared" si="2385"/>
        <v>14:59:36.351</v>
      </c>
      <c r="CJ4250">
        <v>0</v>
      </c>
      <c r="CK4250">
        <v>2</v>
      </c>
      <c r="CL4250">
        <v>0</v>
      </c>
      <c r="CM4250">
        <v>2</v>
      </c>
      <c r="CN4250">
        <v>0</v>
      </c>
      <c r="CO4250">
        <v>7</v>
      </c>
      <c r="CP4250" t="s">
        <v>119</v>
      </c>
      <c r="CQ4250">
        <v>285</v>
      </c>
      <c r="CR4250">
        <v>0</v>
      </c>
      <c r="CW4250">
        <v>8890882</v>
      </c>
      <c r="CY4250">
        <v>0</v>
      </c>
      <c r="CZ4250">
        <v>0</v>
      </c>
      <c r="DA4250">
        <v>1</v>
      </c>
      <c r="DB4250">
        <v>0</v>
      </c>
      <c r="DC4250">
        <v>0</v>
      </c>
      <c r="DD4250">
        <v>0</v>
      </c>
      <c r="DE4250">
        <v>0</v>
      </c>
      <c r="DF4250">
        <v>0</v>
      </c>
      <c r="DG4250">
        <v>0</v>
      </c>
      <c r="DH4250">
        <v>0</v>
      </c>
      <c r="DI4250">
        <v>0</v>
      </c>
    </row>
    <row r="4251" spans="1:113" x14ac:dyDescent="0.25">
      <c r="A4251" t="str">
        <f t="shared" si="2382"/>
        <v>06/05/2020 14:59:30.695</v>
      </c>
      <c r="C4251" t="str">
        <f t="shared" si="2353"/>
        <v>FFDFD3C0</v>
      </c>
      <c r="D4251" t="s">
        <v>151</v>
      </c>
      <c r="E4251">
        <v>9</v>
      </c>
      <c r="H4251">
        <v>226</v>
      </c>
      <c r="I4251" t="s">
        <v>152</v>
      </c>
      <c r="J4251" t="s">
        <v>150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 t="shared" si="2383"/>
        <v>14:59:36.344</v>
      </c>
      <c r="T4251" t="str">
        <f t="shared" si="2384"/>
        <v>14:59:36.044</v>
      </c>
      <c r="U4251" t="str">
        <f t="shared" si="2373"/>
        <v>ACC530</v>
      </c>
      <c r="V4251">
        <v>0</v>
      </c>
      <c r="W4251">
        <v>0</v>
      </c>
      <c r="X4251">
        <v>1</v>
      </c>
      <c r="Z4251">
        <v>0</v>
      </c>
      <c r="AA4251">
        <v>9</v>
      </c>
      <c r="AB4251">
        <v>3</v>
      </c>
      <c r="AC4251">
        <v>0</v>
      </c>
      <c r="AD4251">
        <v>9</v>
      </c>
      <c r="AE4251">
        <v>0</v>
      </c>
      <c r="AF4251">
        <v>3</v>
      </c>
      <c r="AG4251">
        <v>1</v>
      </c>
      <c r="AH4251">
        <v>0</v>
      </c>
      <c r="AI4251" t="s">
        <v>1340</v>
      </c>
      <c r="AJ4251">
        <v>34.069698000000002</v>
      </c>
      <c r="AK4251" t="s">
        <v>1341</v>
      </c>
      <c r="AL4251">
        <v>-117.026088</v>
      </c>
      <c r="AM4251">
        <v>100</v>
      </c>
      <c r="AN4251">
        <v>5300</v>
      </c>
      <c r="AO4251" t="s">
        <v>118</v>
      </c>
      <c r="AP4251">
        <v>-97</v>
      </c>
      <c r="AQ4251">
        <v>34</v>
      </c>
      <c r="AR4251">
        <v>-832</v>
      </c>
      <c r="AZ4251">
        <v>1200</v>
      </c>
      <c r="BA4251">
        <v>1</v>
      </c>
      <c r="BB4251" t="str">
        <f t="shared" si="2374"/>
        <v xml:space="preserve">N9217B  </v>
      </c>
      <c r="BC4251">
        <v>1</v>
      </c>
      <c r="BE4251">
        <v>0</v>
      </c>
      <c r="BF4251">
        <v>0</v>
      </c>
      <c r="BG4251">
        <v>0</v>
      </c>
      <c r="BH4251">
        <v>5075</v>
      </c>
      <c r="BI4251">
        <v>1</v>
      </c>
      <c r="BJ4251">
        <v>0</v>
      </c>
      <c r="BK4251">
        <v>0</v>
      </c>
      <c r="BL4251">
        <v>0</v>
      </c>
      <c r="BO4251">
        <v>0</v>
      </c>
      <c r="BP4251">
        <v>0</v>
      </c>
      <c r="BW4251" t="str">
        <f t="shared" si="2385"/>
        <v>14:59:36.351</v>
      </c>
      <c r="CJ4251">
        <v>0</v>
      </c>
      <c r="CK4251">
        <v>2</v>
      </c>
      <c r="CL4251">
        <v>0</v>
      </c>
      <c r="CM4251">
        <v>2</v>
      </c>
      <c r="CN4251">
        <v>0</v>
      </c>
      <c r="CO4251">
        <v>7</v>
      </c>
      <c r="CP4251" t="s">
        <v>119</v>
      </c>
      <c r="CQ4251">
        <v>285</v>
      </c>
      <c r="CR4251">
        <v>0</v>
      </c>
      <c r="CW4251">
        <v>8890882</v>
      </c>
      <c r="CY4251">
        <v>0</v>
      </c>
      <c r="CZ4251">
        <v>0</v>
      </c>
      <c r="DA4251">
        <v>1</v>
      </c>
      <c r="DB4251">
        <v>0</v>
      </c>
      <c r="DC4251">
        <v>0</v>
      </c>
      <c r="DD4251">
        <v>0</v>
      </c>
      <c r="DE4251">
        <v>0</v>
      </c>
      <c r="DF4251">
        <v>0</v>
      </c>
      <c r="DG4251">
        <v>0</v>
      </c>
      <c r="DH4251">
        <v>0</v>
      </c>
      <c r="DI4251">
        <v>0</v>
      </c>
    </row>
    <row r="4252" spans="1:113" x14ac:dyDescent="0.25">
      <c r="A4252" t="str">
        <f t="shared" ref="A4252:A4258" si="2386">"06/05/2020 14:59:31.871"</f>
        <v>06/05/2020 14:59:31.871</v>
      </c>
      <c r="C4252" t="str">
        <f t="shared" si="2353"/>
        <v>FFDFD3C0</v>
      </c>
      <c r="D4252" t="s">
        <v>141</v>
      </c>
      <c r="E4252">
        <v>20</v>
      </c>
      <c r="F4252">
        <v>1020</v>
      </c>
      <c r="G4252" t="s">
        <v>114</v>
      </c>
      <c r="J4252" t="s">
        <v>142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 t="shared" ref="S4252:S4258" si="2387">"14:59:37.516"</f>
        <v>14:59:37.516</v>
      </c>
      <c r="T4252" t="str">
        <f t="shared" ref="T4252:T4258" si="2388">"14:59:37.016"</f>
        <v>14:59:37.016</v>
      </c>
      <c r="U4252" t="str">
        <f t="shared" si="2373"/>
        <v>ACC530</v>
      </c>
      <c r="V4252">
        <v>0</v>
      </c>
      <c r="W4252">
        <v>0</v>
      </c>
      <c r="X4252">
        <v>1</v>
      </c>
      <c r="Z4252">
        <v>0</v>
      </c>
      <c r="AA4252">
        <v>9</v>
      </c>
      <c r="AB4252">
        <v>3</v>
      </c>
      <c r="AC4252">
        <v>0</v>
      </c>
      <c r="AD4252">
        <v>9</v>
      </c>
      <c r="AE4252">
        <v>0</v>
      </c>
      <c r="AF4252">
        <v>3</v>
      </c>
      <c r="AG4252">
        <v>1</v>
      </c>
      <c r="AH4252">
        <v>0</v>
      </c>
      <c r="AI4252" t="s">
        <v>1342</v>
      </c>
      <c r="AJ4252">
        <v>34.069912000000002</v>
      </c>
      <c r="AK4252" t="s">
        <v>1343</v>
      </c>
      <c r="AL4252">
        <v>-117.02671100000001</v>
      </c>
      <c r="AM4252">
        <v>100</v>
      </c>
      <c r="AN4252">
        <v>5300</v>
      </c>
      <c r="AO4252" t="s">
        <v>118</v>
      </c>
      <c r="AP4252">
        <v>-97</v>
      </c>
      <c r="AQ4252">
        <v>34</v>
      </c>
      <c r="AR4252">
        <v>-768</v>
      </c>
      <c r="AZ4252">
        <v>1200</v>
      </c>
      <c r="BA4252">
        <v>1</v>
      </c>
      <c r="BB4252" t="str">
        <f t="shared" si="2374"/>
        <v xml:space="preserve">N9217B  </v>
      </c>
      <c r="BC4252">
        <v>1</v>
      </c>
      <c r="BE4252">
        <v>0</v>
      </c>
      <c r="BF4252">
        <v>0</v>
      </c>
      <c r="BG4252">
        <v>0</v>
      </c>
      <c r="BH4252">
        <v>5075</v>
      </c>
      <c r="BI4252">
        <v>1</v>
      </c>
      <c r="BJ4252">
        <v>0</v>
      </c>
      <c r="BK4252">
        <v>0</v>
      </c>
      <c r="BL4252">
        <v>0</v>
      </c>
      <c r="BO4252">
        <v>0</v>
      </c>
      <c r="BP4252">
        <v>0</v>
      </c>
      <c r="BW4252" t="str">
        <f t="shared" ref="BW4252:BW4258" si="2389">"14:59:37.520"</f>
        <v>14:59:37.520</v>
      </c>
      <c r="CJ4252">
        <v>0</v>
      </c>
      <c r="CK4252">
        <v>2</v>
      </c>
      <c r="CL4252">
        <v>0</v>
      </c>
      <c r="CM4252">
        <v>2</v>
      </c>
      <c r="CN4252">
        <v>0</v>
      </c>
      <c r="CO4252">
        <v>7</v>
      </c>
      <c r="CP4252" t="s">
        <v>119</v>
      </c>
      <c r="CQ4252">
        <v>285</v>
      </c>
      <c r="CR4252">
        <v>0</v>
      </c>
      <c r="CW4252">
        <v>8890999</v>
      </c>
      <c r="CY4252">
        <v>0</v>
      </c>
      <c r="CZ4252">
        <v>0</v>
      </c>
      <c r="DA4252">
        <v>0</v>
      </c>
      <c r="DB4252">
        <v>0</v>
      </c>
      <c r="DC4252">
        <v>0</v>
      </c>
      <c r="DD4252">
        <v>0</v>
      </c>
      <c r="DE4252">
        <v>0</v>
      </c>
      <c r="DF4252">
        <v>0</v>
      </c>
      <c r="DG4252">
        <v>0</v>
      </c>
      <c r="DH4252">
        <v>0</v>
      </c>
      <c r="DI4252">
        <v>0</v>
      </c>
    </row>
    <row r="4253" spans="1:113" x14ac:dyDescent="0.25">
      <c r="A4253" t="str">
        <f t="shared" si="2386"/>
        <v>06/05/2020 14:59:31.871</v>
      </c>
      <c r="C4253" t="str">
        <f t="shared" si="2353"/>
        <v>FFDFD3C0</v>
      </c>
      <c r="D4253" t="s">
        <v>151</v>
      </c>
      <c r="E4253">
        <v>8</v>
      </c>
      <c r="H4253">
        <v>225</v>
      </c>
      <c r="I4253" t="s">
        <v>353</v>
      </c>
      <c r="J4253" t="s">
        <v>150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 t="shared" si="2387"/>
        <v>14:59:37.516</v>
      </c>
      <c r="T4253" t="str">
        <f t="shared" si="2388"/>
        <v>14:59:37.016</v>
      </c>
      <c r="U4253" t="str">
        <f t="shared" si="2373"/>
        <v>ACC530</v>
      </c>
      <c r="V4253">
        <v>0</v>
      </c>
      <c r="W4253">
        <v>0</v>
      </c>
      <c r="X4253">
        <v>1</v>
      </c>
      <c r="Z4253">
        <v>0</v>
      </c>
      <c r="AA4253">
        <v>9</v>
      </c>
      <c r="AB4253">
        <v>3</v>
      </c>
      <c r="AC4253">
        <v>0</v>
      </c>
      <c r="AD4253">
        <v>9</v>
      </c>
      <c r="AE4253">
        <v>0</v>
      </c>
      <c r="AF4253">
        <v>3</v>
      </c>
      <c r="AG4253">
        <v>1</v>
      </c>
      <c r="AH4253">
        <v>0</v>
      </c>
      <c r="AI4253" t="s">
        <v>1342</v>
      </c>
      <c r="AJ4253">
        <v>34.069912000000002</v>
      </c>
      <c r="AK4253" t="s">
        <v>1343</v>
      </c>
      <c r="AL4253">
        <v>-117.02671100000001</v>
      </c>
      <c r="AM4253">
        <v>100</v>
      </c>
      <c r="AN4253">
        <v>5300</v>
      </c>
      <c r="AO4253" t="s">
        <v>118</v>
      </c>
      <c r="AP4253">
        <v>-97</v>
      </c>
      <c r="AQ4253">
        <v>34</v>
      </c>
      <c r="AR4253">
        <v>-768</v>
      </c>
      <c r="AZ4253">
        <v>1200</v>
      </c>
      <c r="BA4253">
        <v>1</v>
      </c>
      <c r="BB4253" t="str">
        <f t="shared" si="2374"/>
        <v xml:space="preserve">N9217B  </v>
      </c>
      <c r="BC4253">
        <v>1</v>
      </c>
      <c r="BE4253">
        <v>0</v>
      </c>
      <c r="BF4253">
        <v>0</v>
      </c>
      <c r="BG4253">
        <v>0</v>
      </c>
      <c r="BH4253">
        <v>5075</v>
      </c>
      <c r="BI4253">
        <v>1</v>
      </c>
      <c r="BJ4253">
        <v>0</v>
      </c>
      <c r="BK4253">
        <v>0</v>
      </c>
      <c r="BL4253">
        <v>0</v>
      </c>
      <c r="BO4253">
        <v>0</v>
      </c>
      <c r="BP4253">
        <v>0</v>
      </c>
      <c r="BW4253" t="str">
        <f t="shared" si="2389"/>
        <v>14:59:37.520</v>
      </c>
      <c r="CJ4253">
        <v>0</v>
      </c>
      <c r="CK4253">
        <v>2</v>
      </c>
      <c r="CL4253">
        <v>0</v>
      </c>
      <c r="CM4253">
        <v>2</v>
      </c>
      <c r="CN4253">
        <v>0</v>
      </c>
      <c r="CO4253">
        <v>7</v>
      </c>
      <c r="CP4253" t="s">
        <v>119</v>
      </c>
      <c r="CQ4253">
        <v>285</v>
      </c>
      <c r="CR4253">
        <v>0</v>
      </c>
      <c r="CW4253">
        <v>8890999</v>
      </c>
      <c r="CY4253">
        <v>0</v>
      </c>
      <c r="CZ4253">
        <v>0</v>
      </c>
      <c r="DA4253">
        <v>1</v>
      </c>
      <c r="DB4253">
        <v>0</v>
      </c>
      <c r="DC4253">
        <v>0</v>
      </c>
      <c r="DD4253">
        <v>0</v>
      </c>
      <c r="DE4253">
        <v>0</v>
      </c>
      <c r="DF4253">
        <v>0</v>
      </c>
      <c r="DG4253">
        <v>0</v>
      </c>
      <c r="DH4253">
        <v>0</v>
      </c>
      <c r="DI4253">
        <v>0</v>
      </c>
    </row>
    <row r="4254" spans="1:113" x14ac:dyDescent="0.25">
      <c r="A4254" t="str">
        <f t="shared" si="2386"/>
        <v>06/05/2020 14:59:31.871</v>
      </c>
      <c r="C4254" t="str">
        <f t="shared" si="2353"/>
        <v>FFDFD3C0</v>
      </c>
      <c r="D4254" t="s">
        <v>148</v>
      </c>
      <c r="E4254">
        <v>8</v>
      </c>
      <c r="H4254">
        <v>50</v>
      </c>
      <c r="I4254" t="s">
        <v>149</v>
      </c>
      <c r="J4254" t="s">
        <v>150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 t="shared" si="2387"/>
        <v>14:59:37.516</v>
      </c>
      <c r="T4254" t="str">
        <f t="shared" si="2388"/>
        <v>14:59:37.016</v>
      </c>
      <c r="U4254" t="str">
        <f t="shared" si="2373"/>
        <v>ACC530</v>
      </c>
      <c r="V4254">
        <v>0</v>
      </c>
      <c r="W4254">
        <v>0</v>
      </c>
      <c r="X4254">
        <v>1</v>
      </c>
      <c r="Z4254">
        <v>0</v>
      </c>
      <c r="AA4254">
        <v>9</v>
      </c>
      <c r="AB4254">
        <v>3</v>
      </c>
      <c r="AC4254">
        <v>0</v>
      </c>
      <c r="AD4254">
        <v>9</v>
      </c>
      <c r="AE4254">
        <v>0</v>
      </c>
      <c r="AF4254">
        <v>3</v>
      </c>
      <c r="AG4254">
        <v>1</v>
      </c>
      <c r="AH4254">
        <v>0</v>
      </c>
      <c r="AI4254" t="s">
        <v>1342</v>
      </c>
      <c r="AJ4254">
        <v>34.069912000000002</v>
      </c>
      <c r="AK4254" t="s">
        <v>1343</v>
      </c>
      <c r="AL4254">
        <v>-117.02671100000001</v>
      </c>
      <c r="AM4254">
        <v>100</v>
      </c>
      <c r="AN4254">
        <v>5300</v>
      </c>
      <c r="AO4254" t="s">
        <v>118</v>
      </c>
      <c r="AP4254">
        <v>-97</v>
      </c>
      <c r="AQ4254">
        <v>34</v>
      </c>
      <c r="AR4254">
        <v>-768</v>
      </c>
      <c r="AZ4254">
        <v>1200</v>
      </c>
      <c r="BA4254">
        <v>1</v>
      </c>
      <c r="BB4254" t="str">
        <f t="shared" si="2374"/>
        <v xml:space="preserve">N9217B  </v>
      </c>
      <c r="BC4254">
        <v>1</v>
      </c>
      <c r="BE4254">
        <v>0</v>
      </c>
      <c r="BF4254">
        <v>0</v>
      </c>
      <c r="BG4254">
        <v>0</v>
      </c>
      <c r="BH4254">
        <v>5075</v>
      </c>
      <c r="BI4254">
        <v>1</v>
      </c>
      <c r="BJ4254">
        <v>0</v>
      </c>
      <c r="BK4254">
        <v>0</v>
      </c>
      <c r="BL4254">
        <v>0</v>
      </c>
      <c r="BO4254">
        <v>0</v>
      </c>
      <c r="BP4254">
        <v>0</v>
      </c>
      <c r="BW4254" t="str">
        <f t="shared" si="2389"/>
        <v>14:59:37.520</v>
      </c>
      <c r="CJ4254">
        <v>0</v>
      </c>
      <c r="CK4254">
        <v>2</v>
      </c>
      <c r="CL4254">
        <v>0</v>
      </c>
      <c r="CM4254">
        <v>2</v>
      </c>
      <c r="CN4254">
        <v>0</v>
      </c>
      <c r="CO4254">
        <v>7</v>
      </c>
      <c r="CP4254" t="s">
        <v>119</v>
      </c>
      <c r="CQ4254">
        <v>285</v>
      </c>
      <c r="CR4254">
        <v>0</v>
      </c>
      <c r="CW4254">
        <v>8890999</v>
      </c>
      <c r="CY4254">
        <v>0</v>
      </c>
      <c r="CZ4254">
        <v>0</v>
      </c>
      <c r="DA4254">
        <v>1</v>
      </c>
      <c r="DB4254">
        <v>0</v>
      </c>
      <c r="DC4254">
        <v>0</v>
      </c>
      <c r="DD4254">
        <v>0</v>
      </c>
      <c r="DE4254">
        <v>0</v>
      </c>
      <c r="DF4254">
        <v>0</v>
      </c>
      <c r="DG4254">
        <v>0</v>
      </c>
      <c r="DH4254">
        <v>0</v>
      </c>
      <c r="DI4254">
        <v>0</v>
      </c>
    </row>
    <row r="4255" spans="1:113" x14ac:dyDescent="0.25">
      <c r="A4255" t="str">
        <f t="shared" si="2386"/>
        <v>06/05/2020 14:59:31.871</v>
      </c>
      <c r="C4255" t="str">
        <f t="shared" si="2353"/>
        <v>FFDFD3C0</v>
      </c>
      <c r="D4255" t="s">
        <v>151</v>
      </c>
      <c r="E4255">
        <v>9</v>
      </c>
      <c r="H4255">
        <v>226</v>
      </c>
      <c r="I4255" t="s">
        <v>152</v>
      </c>
      <c r="J4255" t="s">
        <v>150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 t="shared" si="2387"/>
        <v>14:59:37.516</v>
      </c>
      <c r="T4255" t="str">
        <f t="shared" si="2388"/>
        <v>14:59:37.016</v>
      </c>
      <c r="U4255" t="str">
        <f t="shared" si="2373"/>
        <v>ACC530</v>
      </c>
      <c r="V4255">
        <v>0</v>
      </c>
      <c r="W4255">
        <v>0</v>
      </c>
      <c r="X4255">
        <v>1</v>
      </c>
      <c r="Z4255">
        <v>0</v>
      </c>
      <c r="AA4255">
        <v>9</v>
      </c>
      <c r="AB4255">
        <v>3</v>
      </c>
      <c r="AC4255">
        <v>0</v>
      </c>
      <c r="AD4255">
        <v>9</v>
      </c>
      <c r="AE4255">
        <v>0</v>
      </c>
      <c r="AF4255">
        <v>3</v>
      </c>
      <c r="AG4255">
        <v>1</v>
      </c>
      <c r="AH4255">
        <v>0</v>
      </c>
      <c r="AI4255" t="s">
        <v>1342</v>
      </c>
      <c r="AJ4255">
        <v>34.069912000000002</v>
      </c>
      <c r="AK4255" t="s">
        <v>1343</v>
      </c>
      <c r="AL4255">
        <v>-117.02671100000001</v>
      </c>
      <c r="AM4255">
        <v>100</v>
      </c>
      <c r="AN4255">
        <v>5300</v>
      </c>
      <c r="AO4255" t="s">
        <v>118</v>
      </c>
      <c r="AP4255">
        <v>-97</v>
      </c>
      <c r="AQ4255">
        <v>34</v>
      </c>
      <c r="AR4255">
        <v>-768</v>
      </c>
      <c r="AZ4255">
        <v>1200</v>
      </c>
      <c r="BA4255">
        <v>1</v>
      </c>
      <c r="BB4255" t="str">
        <f t="shared" si="2374"/>
        <v xml:space="preserve">N9217B  </v>
      </c>
      <c r="BC4255">
        <v>1</v>
      </c>
      <c r="BE4255">
        <v>0</v>
      </c>
      <c r="BF4255">
        <v>0</v>
      </c>
      <c r="BG4255">
        <v>0</v>
      </c>
      <c r="BH4255">
        <v>5075</v>
      </c>
      <c r="BI4255">
        <v>1</v>
      </c>
      <c r="BJ4255">
        <v>0</v>
      </c>
      <c r="BK4255">
        <v>0</v>
      </c>
      <c r="BL4255">
        <v>0</v>
      </c>
      <c r="BO4255">
        <v>0</v>
      </c>
      <c r="BP4255">
        <v>0</v>
      </c>
      <c r="BW4255" t="str">
        <f t="shared" si="2389"/>
        <v>14:59:37.520</v>
      </c>
      <c r="CJ4255">
        <v>0</v>
      </c>
      <c r="CK4255">
        <v>2</v>
      </c>
      <c r="CL4255">
        <v>0</v>
      </c>
      <c r="CM4255">
        <v>2</v>
      </c>
      <c r="CN4255">
        <v>0</v>
      </c>
      <c r="CO4255">
        <v>7</v>
      </c>
      <c r="CP4255" t="s">
        <v>119</v>
      </c>
      <c r="CQ4255">
        <v>285</v>
      </c>
      <c r="CR4255">
        <v>0</v>
      </c>
      <c r="CW4255">
        <v>8890999</v>
      </c>
      <c r="CY4255">
        <v>0</v>
      </c>
      <c r="CZ4255">
        <v>0</v>
      </c>
      <c r="DA4255">
        <v>1</v>
      </c>
      <c r="DB4255">
        <v>0</v>
      </c>
      <c r="DC4255">
        <v>0</v>
      </c>
      <c r="DD4255">
        <v>0</v>
      </c>
      <c r="DE4255">
        <v>0</v>
      </c>
      <c r="DF4255">
        <v>0</v>
      </c>
      <c r="DG4255">
        <v>0</v>
      </c>
      <c r="DH4255">
        <v>0</v>
      </c>
      <c r="DI4255">
        <v>0</v>
      </c>
    </row>
    <row r="4256" spans="1:113" x14ac:dyDescent="0.25">
      <c r="A4256" t="str">
        <f t="shared" si="2386"/>
        <v>06/05/2020 14:59:31.871</v>
      </c>
      <c r="C4256" t="str">
        <f t="shared" si="2353"/>
        <v>FFDFD3C0</v>
      </c>
      <c r="D4256" t="s">
        <v>148</v>
      </c>
      <c r="E4256">
        <v>11</v>
      </c>
      <c r="H4256">
        <v>53</v>
      </c>
      <c r="I4256" t="s">
        <v>364</v>
      </c>
      <c r="J4256" t="s">
        <v>150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 t="shared" si="2387"/>
        <v>14:59:37.516</v>
      </c>
      <c r="T4256" t="str">
        <f t="shared" si="2388"/>
        <v>14:59:37.016</v>
      </c>
      <c r="U4256" t="str">
        <f t="shared" si="2373"/>
        <v>ACC530</v>
      </c>
      <c r="V4256">
        <v>0</v>
      </c>
      <c r="W4256">
        <v>0</v>
      </c>
      <c r="X4256">
        <v>1</v>
      </c>
      <c r="Z4256">
        <v>0</v>
      </c>
      <c r="AA4256">
        <v>9</v>
      </c>
      <c r="AB4256">
        <v>3</v>
      </c>
      <c r="AC4256">
        <v>0</v>
      </c>
      <c r="AD4256">
        <v>9</v>
      </c>
      <c r="AE4256">
        <v>0</v>
      </c>
      <c r="AF4256">
        <v>3</v>
      </c>
      <c r="AG4256">
        <v>1</v>
      </c>
      <c r="AH4256">
        <v>0</v>
      </c>
      <c r="AI4256" t="s">
        <v>1342</v>
      </c>
      <c r="AJ4256">
        <v>34.069912000000002</v>
      </c>
      <c r="AK4256" t="s">
        <v>1343</v>
      </c>
      <c r="AL4256">
        <v>-117.02671100000001</v>
      </c>
      <c r="AM4256">
        <v>100</v>
      </c>
      <c r="AN4256">
        <v>5300</v>
      </c>
      <c r="AO4256" t="s">
        <v>118</v>
      </c>
      <c r="AP4256">
        <v>-97</v>
      </c>
      <c r="AQ4256">
        <v>34</v>
      </c>
      <c r="AR4256">
        <v>-768</v>
      </c>
      <c r="AZ4256">
        <v>1200</v>
      </c>
      <c r="BA4256">
        <v>1</v>
      </c>
      <c r="BB4256" t="str">
        <f t="shared" si="2374"/>
        <v xml:space="preserve">N9217B  </v>
      </c>
      <c r="BC4256">
        <v>1</v>
      </c>
      <c r="BE4256">
        <v>0</v>
      </c>
      <c r="BF4256">
        <v>0</v>
      </c>
      <c r="BG4256">
        <v>0</v>
      </c>
      <c r="BH4256">
        <v>5075</v>
      </c>
      <c r="BI4256">
        <v>1</v>
      </c>
      <c r="BJ4256">
        <v>0</v>
      </c>
      <c r="BK4256">
        <v>0</v>
      </c>
      <c r="BL4256">
        <v>0</v>
      </c>
      <c r="BO4256">
        <v>0</v>
      </c>
      <c r="BP4256">
        <v>0</v>
      </c>
      <c r="BW4256" t="str">
        <f t="shared" si="2389"/>
        <v>14:59:37.520</v>
      </c>
      <c r="CJ4256">
        <v>0</v>
      </c>
      <c r="CK4256">
        <v>2</v>
      </c>
      <c r="CL4256">
        <v>0</v>
      </c>
      <c r="CM4256">
        <v>2</v>
      </c>
      <c r="CN4256">
        <v>0</v>
      </c>
      <c r="CO4256">
        <v>7</v>
      </c>
      <c r="CP4256" t="s">
        <v>119</v>
      </c>
      <c r="CQ4256">
        <v>285</v>
      </c>
      <c r="CR4256">
        <v>0</v>
      </c>
      <c r="CW4256">
        <v>8890999</v>
      </c>
      <c r="CY4256">
        <v>0</v>
      </c>
      <c r="CZ4256">
        <v>0</v>
      </c>
      <c r="DA4256">
        <v>1</v>
      </c>
      <c r="DB4256">
        <v>0</v>
      </c>
      <c r="DC4256">
        <v>0</v>
      </c>
      <c r="DD4256">
        <v>0</v>
      </c>
      <c r="DE4256">
        <v>0</v>
      </c>
      <c r="DF4256">
        <v>0</v>
      </c>
      <c r="DG4256">
        <v>0</v>
      </c>
      <c r="DH4256">
        <v>0</v>
      </c>
      <c r="DI4256">
        <v>0</v>
      </c>
    </row>
    <row r="4257" spans="1:113" x14ac:dyDescent="0.25">
      <c r="A4257" t="str">
        <f t="shared" si="2386"/>
        <v>06/05/2020 14:59:31.871</v>
      </c>
      <c r="C4257" t="str">
        <f t="shared" si="2353"/>
        <v>FFDFD3C0</v>
      </c>
      <c r="D4257" t="s">
        <v>113</v>
      </c>
      <c r="E4257">
        <v>3</v>
      </c>
      <c r="H4257">
        <v>166</v>
      </c>
      <c r="I4257" t="s">
        <v>114</v>
      </c>
      <c r="J4257" t="s">
        <v>115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 t="shared" si="2387"/>
        <v>14:59:37.516</v>
      </c>
      <c r="T4257" t="str">
        <f t="shared" si="2388"/>
        <v>14:59:37.016</v>
      </c>
      <c r="U4257" t="str">
        <f t="shared" si="2373"/>
        <v>ACC530</v>
      </c>
      <c r="V4257">
        <v>0</v>
      </c>
      <c r="W4257">
        <v>0</v>
      </c>
      <c r="X4257">
        <v>1</v>
      </c>
      <c r="Z4257">
        <v>0</v>
      </c>
      <c r="AA4257">
        <v>9</v>
      </c>
      <c r="AB4257">
        <v>3</v>
      </c>
      <c r="AC4257">
        <v>0</v>
      </c>
      <c r="AD4257">
        <v>9</v>
      </c>
      <c r="AE4257">
        <v>0</v>
      </c>
      <c r="AF4257">
        <v>3</v>
      </c>
      <c r="AG4257">
        <v>1</v>
      </c>
      <c r="AH4257">
        <v>0</v>
      </c>
      <c r="AI4257" t="s">
        <v>1342</v>
      </c>
      <c r="AJ4257">
        <v>34.069912000000002</v>
      </c>
      <c r="AK4257" t="s">
        <v>1343</v>
      </c>
      <c r="AL4257">
        <v>-117.02671100000001</v>
      </c>
      <c r="AM4257">
        <v>100</v>
      </c>
      <c r="AN4257">
        <v>5300</v>
      </c>
      <c r="AO4257" t="s">
        <v>118</v>
      </c>
      <c r="AP4257">
        <v>-97</v>
      </c>
      <c r="AQ4257">
        <v>34</v>
      </c>
      <c r="AR4257">
        <v>-768</v>
      </c>
      <c r="AZ4257">
        <v>1200</v>
      </c>
      <c r="BA4257">
        <v>1</v>
      </c>
      <c r="BB4257" t="str">
        <f t="shared" si="2374"/>
        <v xml:space="preserve">N9217B  </v>
      </c>
      <c r="BC4257">
        <v>1</v>
      </c>
      <c r="BE4257">
        <v>0</v>
      </c>
      <c r="BF4257">
        <v>0</v>
      </c>
      <c r="BG4257">
        <v>0</v>
      </c>
      <c r="BH4257">
        <v>5075</v>
      </c>
      <c r="BI4257">
        <v>1</v>
      </c>
      <c r="BJ4257">
        <v>0</v>
      </c>
      <c r="BK4257">
        <v>0</v>
      </c>
      <c r="BL4257">
        <v>0</v>
      </c>
      <c r="BO4257">
        <v>0</v>
      </c>
      <c r="BP4257">
        <v>0</v>
      </c>
      <c r="BW4257" t="str">
        <f t="shared" si="2389"/>
        <v>14:59:37.520</v>
      </c>
      <c r="CJ4257">
        <v>0</v>
      </c>
      <c r="CK4257">
        <v>2</v>
      </c>
      <c r="CL4257">
        <v>0</v>
      </c>
      <c r="CM4257">
        <v>2</v>
      </c>
      <c r="CN4257">
        <v>0</v>
      </c>
      <c r="CO4257">
        <v>7</v>
      </c>
      <c r="CP4257" t="s">
        <v>119</v>
      </c>
      <c r="CQ4257">
        <v>285</v>
      </c>
      <c r="CR4257">
        <v>0</v>
      </c>
      <c r="CW4257">
        <v>8890999</v>
      </c>
      <c r="CY4257">
        <v>0</v>
      </c>
      <c r="CZ4257">
        <v>0</v>
      </c>
      <c r="DA4257">
        <v>1</v>
      </c>
      <c r="DB4257">
        <v>0</v>
      </c>
      <c r="DC4257">
        <v>0</v>
      </c>
      <c r="DD4257">
        <v>0</v>
      </c>
      <c r="DE4257">
        <v>0</v>
      </c>
      <c r="DF4257">
        <v>0</v>
      </c>
      <c r="DG4257">
        <v>0</v>
      </c>
      <c r="DH4257">
        <v>0</v>
      </c>
      <c r="DI4257">
        <v>0</v>
      </c>
    </row>
    <row r="4258" spans="1:113" x14ac:dyDescent="0.25">
      <c r="A4258" t="str">
        <f t="shared" si="2386"/>
        <v>06/05/2020 14:59:31.871</v>
      </c>
      <c r="C4258" t="str">
        <f t="shared" si="2353"/>
        <v>FFDFD3C0</v>
      </c>
      <c r="D4258" t="s">
        <v>134</v>
      </c>
      <c r="E4258">
        <v>7</v>
      </c>
      <c r="F4258">
        <v>2007</v>
      </c>
      <c r="G4258" t="s">
        <v>135</v>
      </c>
      <c r="J4258" t="s">
        <v>136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 t="shared" si="2387"/>
        <v>14:59:37.516</v>
      </c>
      <c r="T4258" t="str">
        <f t="shared" si="2388"/>
        <v>14:59:37.016</v>
      </c>
      <c r="U4258" t="str">
        <f t="shared" si="2373"/>
        <v>ACC530</v>
      </c>
      <c r="V4258">
        <v>0</v>
      </c>
      <c r="W4258">
        <v>0</v>
      </c>
      <c r="X4258">
        <v>1</v>
      </c>
      <c r="Z4258">
        <v>0</v>
      </c>
      <c r="AA4258">
        <v>9</v>
      </c>
      <c r="AB4258">
        <v>3</v>
      </c>
      <c r="AC4258">
        <v>0</v>
      </c>
      <c r="AD4258">
        <v>9</v>
      </c>
      <c r="AE4258">
        <v>0</v>
      </c>
      <c r="AF4258">
        <v>3</v>
      </c>
      <c r="AG4258">
        <v>1</v>
      </c>
      <c r="AH4258">
        <v>0</v>
      </c>
      <c r="AI4258" t="s">
        <v>1342</v>
      </c>
      <c r="AJ4258">
        <v>34.069912000000002</v>
      </c>
      <c r="AK4258" t="s">
        <v>1343</v>
      </c>
      <c r="AL4258">
        <v>-117.02671100000001</v>
      </c>
      <c r="AM4258">
        <v>100</v>
      </c>
      <c r="AN4258">
        <v>5300</v>
      </c>
      <c r="AO4258" t="s">
        <v>118</v>
      </c>
      <c r="AP4258">
        <v>-97</v>
      </c>
      <c r="AQ4258">
        <v>34</v>
      </c>
      <c r="AR4258">
        <v>-768</v>
      </c>
      <c r="AZ4258">
        <v>1200</v>
      </c>
      <c r="BA4258">
        <v>1</v>
      </c>
      <c r="BB4258" t="str">
        <f t="shared" si="2374"/>
        <v xml:space="preserve">N9217B  </v>
      </c>
      <c r="BC4258">
        <v>1</v>
      </c>
      <c r="BE4258">
        <v>0</v>
      </c>
      <c r="BF4258">
        <v>0</v>
      </c>
      <c r="BG4258">
        <v>0</v>
      </c>
      <c r="BH4258">
        <v>5075</v>
      </c>
      <c r="BI4258">
        <v>1</v>
      </c>
      <c r="BJ4258">
        <v>0</v>
      </c>
      <c r="BK4258">
        <v>0</v>
      </c>
      <c r="BL4258">
        <v>0</v>
      </c>
      <c r="BO4258">
        <v>0</v>
      </c>
      <c r="BP4258">
        <v>0</v>
      </c>
      <c r="BW4258" t="str">
        <f t="shared" si="2389"/>
        <v>14:59:37.520</v>
      </c>
      <c r="CJ4258">
        <v>0</v>
      </c>
      <c r="CK4258">
        <v>2</v>
      </c>
      <c r="CL4258">
        <v>0</v>
      </c>
      <c r="CM4258">
        <v>2</v>
      </c>
      <c r="CN4258">
        <v>0</v>
      </c>
      <c r="CO4258">
        <v>7</v>
      </c>
      <c r="CP4258" t="s">
        <v>119</v>
      </c>
      <c r="CQ4258">
        <v>285</v>
      </c>
      <c r="CR4258">
        <v>0</v>
      </c>
      <c r="CW4258">
        <v>8890999</v>
      </c>
      <c r="CY4258">
        <v>0</v>
      </c>
      <c r="CZ4258">
        <v>0</v>
      </c>
      <c r="DA4258">
        <v>1</v>
      </c>
      <c r="DB4258">
        <v>0</v>
      </c>
      <c r="DC4258">
        <v>0</v>
      </c>
      <c r="DD4258">
        <v>0</v>
      </c>
      <c r="DE4258">
        <v>0</v>
      </c>
      <c r="DF4258">
        <v>0</v>
      </c>
      <c r="DG4258">
        <v>0</v>
      </c>
      <c r="DH4258">
        <v>0</v>
      </c>
      <c r="DI4258">
        <v>0</v>
      </c>
    </row>
    <row r="4259" spans="1:113" x14ac:dyDescent="0.25">
      <c r="A4259" t="str">
        <f t="shared" ref="A4259:A4265" si="2390">"06/05/2020 14:59:32.844"</f>
        <v>06/05/2020 14:59:32.844</v>
      </c>
      <c r="C4259" t="str">
        <f t="shared" ref="C4259:C4322" si="2391">"FFDFD3C0"</f>
        <v>FFDFD3C0</v>
      </c>
      <c r="D4259" t="s">
        <v>151</v>
      </c>
      <c r="E4259">
        <v>8</v>
      </c>
      <c r="H4259">
        <v>225</v>
      </c>
      <c r="I4259" t="s">
        <v>353</v>
      </c>
      <c r="J4259" t="s">
        <v>150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 t="shared" ref="S4259:S4265" si="2392">"14:59:38.492"</f>
        <v>14:59:38.492</v>
      </c>
      <c r="T4259" t="str">
        <f t="shared" ref="T4259:T4265" si="2393">"14:59:38.092"</f>
        <v>14:59:38.092</v>
      </c>
      <c r="U4259" t="str">
        <f t="shared" si="2373"/>
        <v>ACC530</v>
      </c>
      <c r="V4259">
        <v>0</v>
      </c>
      <c r="W4259">
        <v>0</v>
      </c>
      <c r="X4259">
        <v>1</v>
      </c>
      <c r="Z4259">
        <v>0</v>
      </c>
      <c r="AA4259">
        <v>9</v>
      </c>
      <c r="AB4259">
        <v>3</v>
      </c>
      <c r="AC4259">
        <v>0</v>
      </c>
      <c r="AD4259">
        <v>9</v>
      </c>
      <c r="AE4259">
        <v>0</v>
      </c>
      <c r="AF4259">
        <v>3</v>
      </c>
      <c r="AG4259">
        <v>1</v>
      </c>
      <c r="AH4259">
        <v>0</v>
      </c>
      <c r="AI4259" t="s">
        <v>1344</v>
      </c>
      <c r="AJ4259">
        <v>34.070062999999998</v>
      </c>
      <c r="AK4259" t="s">
        <v>1146</v>
      </c>
      <c r="AL4259">
        <v>-117.02726800000001</v>
      </c>
      <c r="AM4259">
        <v>100</v>
      </c>
      <c r="AN4259">
        <v>5200</v>
      </c>
      <c r="AO4259" t="s">
        <v>118</v>
      </c>
      <c r="AP4259">
        <v>-98</v>
      </c>
      <c r="AQ4259">
        <v>34</v>
      </c>
      <c r="AR4259">
        <v>-768</v>
      </c>
      <c r="AZ4259">
        <v>1200</v>
      </c>
      <c r="BA4259">
        <v>1</v>
      </c>
      <c r="BB4259" t="str">
        <f t="shared" si="2374"/>
        <v xml:space="preserve">N9217B  </v>
      </c>
      <c r="BC4259">
        <v>1</v>
      </c>
      <c r="BE4259">
        <v>0</v>
      </c>
      <c r="BF4259">
        <v>0</v>
      </c>
      <c r="BG4259">
        <v>0</v>
      </c>
      <c r="BH4259">
        <v>5050</v>
      </c>
      <c r="BI4259">
        <v>1</v>
      </c>
      <c r="BJ4259">
        <v>0</v>
      </c>
      <c r="BK4259">
        <v>0</v>
      </c>
      <c r="BL4259">
        <v>0</v>
      </c>
      <c r="BO4259">
        <v>0</v>
      </c>
      <c r="BP4259">
        <v>0</v>
      </c>
      <c r="BW4259" t="str">
        <f t="shared" ref="BW4259:BW4265" si="2394">"14:59:38.495"</f>
        <v>14:59:38.495</v>
      </c>
      <c r="CJ4259">
        <v>0</v>
      </c>
      <c r="CK4259">
        <v>2</v>
      </c>
      <c r="CL4259">
        <v>0</v>
      </c>
      <c r="CM4259">
        <v>2</v>
      </c>
      <c r="CN4259">
        <v>0</v>
      </c>
      <c r="CO4259">
        <v>7</v>
      </c>
      <c r="CP4259" t="s">
        <v>119</v>
      </c>
      <c r="CQ4259">
        <v>285</v>
      </c>
      <c r="CR4259">
        <v>0</v>
      </c>
      <c r="CW4259">
        <v>8891093</v>
      </c>
      <c r="CY4259">
        <v>0</v>
      </c>
      <c r="CZ4259">
        <v>0</v>
      </c>
      <c r="DA4259">
        <v>0</v>
      </c>
      <c r="DB4259">
        <v>0</v>
      </c>
      <c r="DC4259">
        <v>0</v>
      </c>
      <c r="DD4259">
        <v>0</v>
      </c>
      <c r="DE4259">
        <v>0</v>
      </c>
      <c r="DF4259">
        <v>0</v>
      </c>
      <c r="DG4259">
        <v>0</v>
      </c>
      <c r="DH4259">
        <v>0</v>
      </c>
      <c r="DI4259">
        <v>0</v>
      </c>
    </row>
    <row r="4260" spans="1:113" x14ac:dyDescent="0.25">
      <c r="A4260" t="str">
        <f t="shared" si="2390"/>
        <v>06/05/2020 14:59:32.844</v>
      </c>
      <c r="C4260" t="str">
        <f t="shared" si="2391"/>
        <v>FFDFD3C0</v>
      </c>
      <c r="D4260" t="s">
        <v>148</v>
      </c>
      <c r="E4260">
        <v>8</v>
      </c>
      <c r="H4260">
        <v>50</v>
      </c>
      <c r="I4260" t="s">
        <v>149</v>
      </c>
      <c r="J4260" t="s">
        <v>150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 t="shared" si="2392"/>
        <v>14:59:38.492</v>
      </c>
      <c r="T4260" t="str">
        <f t="shared" si="2393"/>
        <v>14:59:38.092</v>
      </c>
      <c r="U4260" t="str">
        <f t="shared" si="2373"/>
        <v>ACC530</v>
      </c>
      <c r="V4260">
        <v>0</v>
      </c>
      <c r="W4260">
        <v>0</v>
      </c>
      <c r="X4260">
        <v>1</v>
      </c>
      <c r="Z4260">
        <v>0</v>
      </c>
      <c r="AA4260">
        <v>9</v>
      </c>
      <c r="AB4260">
        <v>3</v>
      </c>
      <c r="AC4260">
        <v>0</v>
      </c>
      <c r="AD4260">
        <v>9</v>
      </c>
      <c r="AE4260">
        <v>0</v>
      </c>
      <c r="AF4260">
        <v>3</v>
      </c>
      <c r="AG4260">
        <v>1</v>
      </c>
      <c r="AH4260">
        <v>0</v>
      </c>
      <c r="AI4260" t="s">
        <v>1344</v>
      </c>
      <c r="AJ4260">
        <v>34.070062999999998</v>
      </c>
      <c r="AK4260" t="s">
        <v>1146</v>
      </c>
      <c r="AL4260">
        <v>-117.02726800000001</v>
      </c>
      <c r="AM4260">
        <v>100</v>
      </c>
      <c r="AN4260">
        <v>5200</v>
      </c>
      <c r="AO4260" t="s">
        <v>118</v>
      </c>
      <c r="AP4260">
        <v>-98</v>
      </c>
      <c r="AQ4260">
        <v>34</v>
      </c>
      <c r="AR4260">
        <v>-768</v>
      </c>
      <c r="AZ4260">
        <v>1200</v>
      </c>
      <c r="BA4260">
        <v>1</v>
      </c>
      <c r="BB4260" t="str">
        <f t="shared" si="2374"/>
        <v xml:space="preserve">N9217B  </v>
      </c>
      <c r="BC4260">
        <v>1</v>
      </c>
      <c r="BE4260">
        <v>0</v>
      </c>
      <c r="BF4260">
        <v>0</v>
      </c>
      <c r="BG4260">
        <v>0</v>
      </c>
      <c r="BH4260">
        <v>5050</v>
      </c>
      <c r="BI4260">
        <v>1</v>
      </c>
      <c r="BJ4260">
        <v>0</v>
      </c>
      <c r="BK4260">
        <v>0</v>
      </c>
      <c r="BL4260">
        <v>0</v>
      </c>
      <c r="BO4260">
        <v>0</v>
      </c>
      <c r="BP4260">
        <v>0</v>
      </c>
      <c r="BW4260" t="str">
        <f t="shared" si="2394"/>
        <v>14:59:38.495</v>
      </c>
      <c r="CJ4260">
        <v>0</v>
      </c>
      <c r="CK4260">
        <v>2</v>
      </c>
      <c r="CL4260">
        <v>0</v>
      </c>
      <c r="CM4260">
        <v>2</v>
      </c>
      <c r="CN4260">
        <v>0</v>
      </c>
      <c r="CO4260">
        <v>7</v>
      </c>
      <c r="CP4260" t="s">
        <v>119</v>
      </c>
      <c r="CQ4260">
        <v>285</v>
      </c>
      <c r="CR4260">
        <v>0</v>
      </c>
      <c r="CW4260">
        <v>8891093</v>
      </c>
      <c r="CY4260">
        <v>0</v>
      </c>
      <c r="CZ4260">
        <v>0</v>
      </c>
      <c r="DA4260">
        <v>1</v>
      </c>
      <c r="DB4260">
        <v>0</v>
      </c>
      <c r="DC4260">
        <v>0</v>
      </c>
      <c r="DD4260">
        <v>0</v>
      </c>
      <c r="DE4260">
        <v>0</v>
      </c>
      <c r="DF4260">
        <v>0</v>
      </c>
      <c r="DG4260">
        <v>0</v>
      </c>
      <c r="DH4260">
        <v>0</v>
      </c>
      <c r="DI4260">
        <v>0</v>
      </c>
    </row>
    <row r="4261" spans="1:113" x14ac:dyDescent="0.25">
      <c r="A4261" t="str">
        <f t="shared" si="2390"/>
        <v>06/05/2020 14:59:32.844</v>
      </c>
      <c r="C4261" t="str">
        <f t="shared" si="2391"/>
        <v>FFDFD3C0</v>
      </c>
      <c r="D4261" t="s">
        <v>151</v>
      </c>
      <c r="E4261">
        <v>9</v>
      </c>
      <c r="H4261">
        <v>226</v>
      </c>
      <c r="I4261" t="s">
        <v>152</v>
      </c>
      <c r="J4261" t="s">
        <v>150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 t="shared" si="2392"/>
        <v>14:59:38.492</v>
      </c>
      <c r="T4261" t="str">
        <f t="shared" si="2393"/>
        <v>14:59:38.092</v>
      </c>
      <c r="U4261" t="str">
        <f t="shared" si="2373"/>
        <v>ACC530</v>
      </c>
      <c r="V4261">
        <v>0</v>
      </c>
      <c r="W4261">
        <v>0</v>
      </c>
      <c r="X4261">
        <v>1</v>
      </c>
      <c r="Z4261">
        <v>0</v>
      </c>
      <c r="AA4261">
        <v>9</v>
      </c>
      <c r="AB4261">
        <v>3</v>
      </c>
      <c r="AC4261">
        <v>0</v>
      </c>
      <c r="AD4261">
        <v>9</v>
      </c>
      <c r="AE4261">
        <v>0</v>
      </c>
      <c r="AF4261">
        <v>3</v>
      </c>
      <c r="AG4261">
        <v>1</v>
      </c>
      <c r="AH4261">
        <v>0</v>
      </c>
      <c r="AI4261" t="s">
        <v>1344</v>
      </c>
      <c r="AJ4261">
        <v>34.070062999999998</v>
      </c>
      <c r="AK4261" t="s">
        <v>1146</v>
      </c>
      <c r="AL4261">
        <v>-117.02726800000001</v>
      </c>
      <c r="AM4261">
        <v>100</v>
      </c>
      <c r="AN4261">
        <v>5200</v>
      </c>
      <c r="AO4261" t="s">
        <v>118</v>
      </c>
      <c r="AP4261">
        <v>-98</v>
      </c>
      <c r="AQ4261">
        <v>34</v>
      </c>
      <c r="AR4261">
        <v>-768</v>
      </c>
      <c r="AZ4261">
        <v>1200</v>
      </c>
      <c r="BA4261">
        <v>1</v>
      </c>
      <c r="BB4261" t="str">
        <f t="shared" si="2374"/>
        <v xml:space="preserve">N9217B  </v>
      </c>
      <c r="BC4261">
        <v>1</v>
      </c>
      <c r="BE4261">
        <v>0</v>
      </c>
      <c r="BF4261">
        <v>0</v>
      </c>
      <c r="BG4261">
        <v>0</v>
      </c>
      <c r="BH4261">
        <v>5050</v>
      </c>
      <c r="BI4261">
        <v>1</v>
      </c>
      <c r="BJ4261">
        <v>0</v>
      </c>
      <c r="BK4261">
        <v>0</v>
      </c>
      <c r="BL4261">
        <v>0</v>
      </c>
      <c r="BO4261">
        <v>0</v>
      </c>
      <c r="BP4261">
        <v>0</v>
      </c>
      <c r="BW4261" t="str">
        <f t="shared" si="2394"/>
        <v>14:59:38.495</v>
      </c>
      <c r="CJ4261">
        <v>0</v>
      </c>
      <c r="CK4261">
        <v>2</v>
      </c>
      <c r="CL4261">
        <v>0</v>
      </c>
      <c r="CM4261">
        <v>2</v>
      </c>
      <c r="CN4261">
        <v>0</v>
      </c>
      <c r="CO4261">
        <v>7</v>
      </c>
      <c r="CP4261" t="s">
        <v>119</v>
      </c>
      <c r="CQ4261">
        <v>285</v>
      </c>
      <c r="CR4261">
        <v>0</v>
      </c>
      <c r="CW4261">
        <v>8891093</v>
      </c>
      <c r="CY4261">
        <v>0</v>
      </c>
      <c r="CZ4261">
        <v>0</v>
      </c>
      <c r="DA4261">
        <v>1</v>
      </c>
      <c r="DB4261">
        <v>0</v>
      </c>
      <c r="DC4261">
        <v>0</v>
      </c>
      <c r="DD4261">
        <v>0</v>
      </c>
      <c r="DE4261">
        <v>0</v>
      </c>
      <c r="DF4261">
        <v>0</v>
      </c>
      <c r="DG4261">
        <v>0</v>
      </c>
      <c r="DH4261">
        <v>0</v>
      </c>
      <c r="DI4261">
        <v>0</v>
      </c>
    </row>
    <row r="4262" spans="1:113" x14ac:dyDescent="0.25">
      <c r="A4262" t="str">
        <f t="shared" si="2390"/>
        <v>06/05/2020 14:59:32.844</v>
      </c>
      <c r="C4262" t="str">
        <f t="shared" si="2391"/>
        <v>FFDFD3C0</v>
      </c>
      <c r="D4262" t="s">
        <v>148</v>
      </c>
      <c r="E4262">
        <v>11</v>
      </c>
      <c r="H4262">
        <v>53</v>
      </c>
      <c r="I4262" t="s">
        <v>364</v>
      </c>
      <c r="J4262" t="s">
        <v>150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 t="shared" si="2392"/>
        <v>14:59:38.492</v>
      </c>
      <c r="T4262" t="str">
        <f t="shared" si="2393"/>
        <v>14:59:38.092</v>
      </c>
      <c r="U4262" t="str">
        <f t="shared" si="2373"/>
        <v>ACC530</v>
      </c>
      <c r="V4262">
        <v>0</v>
      </c>
      <c r="W4262">
        <v>0</v>
      </c>
      <c r="X4262">
        <v>1</v>
      </c>
      <c r="Z4262">
        <v>0</v>
      </c>
      <c r="AA4262">
        <v>9</v>
      </c>
      <c r="AB4262">
        <v>3</v>
      </c>
      <c r="AC4262">
        <v>0</v>
      </c>
      <c r="AD4262">
        <v>9</v>
      </c>
      <c r="AE4262">
        <v>0</v>
      </c>
      <c r="AF4262">
        <v>3</v>
      </c>
      <c r="AG4262">
        <v>1</v>
      </c>
      <c r="AH4262">
        <v>0</v>
      </c>
      <c r="AI4262" t="s">
        <v>1344</v>
      </c>
      <c r="AJ4262">
        <v>34.070062999999998</v>
      </c>
      <c r="AK4262" t="s">
        <v>1146</v>
      </c>
      <c r="AL4262">
        <v>-117.02726800000001</v>
      </c>
      <c r="AM4262">
        <v>100</v>
      </c>
      <c r="AN4262">
        <v>5200</v>
      </c>
      <c r="AO4262" t="s">
        <v>118</v>
      </c>
      <c r="AP4262">
        <v>-98</v>
      </c>
      <c r="AQ4262">
        <v>34</v>
      </c>
      <c r="AR4262">
        <v>-768</v>
      </c>
      <c r="AZ4262">
        <v>1200</v>
      </c>
      <c r="BA4262">
        <v>1</v>
      </c>
      <c r="BB4262" t="str">
        <f t="shared" si="2374"/>
        <v xml:space="preserve">N9217B  </v>
      </c>
      <c r="BC4262">
        <v>1</v>
      </c>
      <c r="BE4262">
        <v>0</v>
      </c>
      <c r="BF4262">
        <v>0</v>
      </c>
      <c r="BG4262">
        <v>0</v>
      </c>
      <c r="BH4262">
        <v>5050</v>
      </c>
      <c r="BI4262">
        <v>1</v>
      </c>
      <c r="BJ4262">
        <v>0</v>
      </c>
      <c r="BK4262">
        <v>0</v>
      </c>
      <c r="BL4262">
        <v>0</v>
      </c>
      <c r="BO4262">
        <v>0</v>
      </c>
      <c r="BP4262">
        <v>0</v>
      </c>
      <c r="BW4262" t="str">
        <f t="shared" si="2394"/>
        <v>14:59:38.495</v>
      </c>
      <c r="CJ4262">
        <v>0</v>
      </c>
      <c r="CK4262">
        <v>2</v>
      </c>
      <c r="CL4262">
        <v>0</v>
      </c>
      <c r="CM4262">
        <v>2</v>
      </c>
      <c r="CN4262">
        <v>0</v>
      </c>
      <c r="CO4262">
        <v>7</v>
      </c>
      <c r="CP4262" t="s">
        <v>119</v>
      </c>
      <c r="CQ4262">
        <v>285</v>
      </c>
      <c r="CR4262">
        <v>0</v>
      </c>
      <c r="CW4262">
        <v>8891093</v>
      </c>
      <c r="CY4262">
        <v>0</v>
      </c>
      <c r="CZ4262">
        <v>0</v>
      </c>
      <c r="DA4262">
        <v>1</v>
      </c>
      <c r="DB4262">
        <v>0</v>
      </c>
      <c r="DC4262">
        <v>0</v>
      </c>
      <c r="DD4262">
        <v>0</v>
      </c>
      <c r="DE4262">
        <v>0</v>
      </c>
      <c r="DF4262">
        <v>0</v>
      </c>
      <c r="DG4262">
        <v>0</v>
      </c>
      <c r="DH4262">
        <v>0</v>
      </c>
      <c r="DI4262">
        <v>0</v>
      </c>
    </row>
    <row r="4263" spans="1:113" x14ac:dyDescent="0.25">
      <c r="A4263" t="str">
        <f t="shared" si="2390"/>
        <v>06/05/2020 14:59:32.844</v>
      </c>
      <c r="C4263" t="str">
        <f t="shared" si="2391"/>
        <v>FFDFD3C0</v>
      </c>
      <c r="D4263" t="s">
        <v>134</v>
      </c>
      <c r="E4263">
        <v>7</v>
      </c>
      <c r="F4263">
        <v>2007</v>
      </c>
      <c r="G4263" t="s">
        <v>135</v>
      </c>
      <c r="J4263" t="s">
        <v>136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 t="shared" si="2392"/>
        <v>14:59:38.492</v>
      </c>
      <c r="T4263" t="str">
        <f t="shared" si="2393"/>
        <v>14:59:38.092</v>
      </c>
      <c r="U4263" t="str">
        <f t="shared" si="2373"/>
        <v>ACC530</v>
      </c>
      <c r="V4263">
        <v>0</v>
      </c>
      <c r="W4263">
        <v>0</v>
      </c>
      <c r="X4263">
        <v>1</v>
      </c>
      <c r="Z4263">
        <v>0</v>
      </c>
      <c r="AA4263">
        <v>9</v>
      </c>
      <c r="AB4263">
        <v>3</v>
      </c>
      <c r="AC4263">
        <v>0</v>
      </c>
      <c r="AD4263">
        <v>9</v>
      </c>
      <c r="AE4263">
        <v>0</v>
      </c>
      <c r="AF4263">
        <v>3</v>
      </c>
      <c r="AG4263">
        <v>1</v>
      </c>
      <c r="AH4263">
        <v>0</v>
      </c>
      <c r="AI4263" t="s">
        <v>1344</v>
      </c>
      <c r="AJ4263">
        <v>34.070062999999998</v>
      </c>
      <c r="AK4263" t="s">
        <v>1146</v>
      </c>
      <c r="AL4263">
        <v>-117.02726800000001</v>
      </c>
      <c r="AM4263">
        <v>100</v>
      </c>
      <c r="AN4263">
        <v>5200</v>
      </c>
      <c r="AO4263" t="s">
        <v>118</v>
      </c>
      <c r="AP4263">
        <v>-98</v>
      </c>
      <c r="AQ4263">
        <v>34</v>
      </c>
      <c r="AR4263">
        <v>-768</v>
      </c>
      <c r="AZ4263">
        <v>1200</v>
      </c>
      <c r="BA4263">
        <v>1</v>
      </c>
      <c r="BB4263" t="str">
        <f t="shared" si="2374"/>
        <v xml:space="preserve">N9217B  </v>
      </c>
      <c r="BC4263">
        <v>1</v>
      </c>
      <c r="BE4263">
        <v>0</v>
      </c>
      <c r="BF4263">
        <v>0</v>
      </c>
      <c r="BG4263">
        <v>0</v>
      </c>
      <c r="BH4263">
        <v>5050</v>
      </c>
      <c r="BI4263">
        <v>1</v>
      </c>
      <c r="BJ4263">
        <v>0</v>
      </c>
      <c r="BK4263">
        <v>0</v>
      </c>
      <c r="BL4263">
        <v>0</v>
      </c>
      <c r="BO4263">
        <v>0</v>
      </c>
      <c r="BP4263">
        <v>0</v>
      </c>
      <c r="BW4263" t="str">
        <f t="shared" si="2394"/>
        <v>14:59:38.495</v>
      </c>
      <c r="CJ4263">
        <v>0</v>
      </c>
      <c r="CK4263">
        <v>2</v>
      </c>
      <c r="CL4263">
        <v>0</v>
      </c>
      <c r="CM4263">
        <v>2</v>
      </c>
      <c r="CN4263">
        <v>0</v>
      </c>
      <c r="CO4263">
        <v>7</v>
      </c>
      <c r="CP4263" t="s">
        <v>119</v>
      </c>
      <c r="CQ4263">
        <v>285</v>
      </c>
      <c r="CR4263">
        <v>0</v>
      </c>
      <c r="CW4263">
        <v>8891093</v>
      </c>
      <c r="CY4263">
        <v>0</v>
      </c>
      <c r="CZ4263">
        <v>0</v>
      </c>
      <c r="DA4263">
        <v>1</v>
      </c>
      <c r="DB4263">
        <v>0</v>
      </c>
      <c r="DC4263">
        <v>0</v>
      </c>
      <c r="DD4263">
        <v>0</v>
      </c>
      <c r="DE4263">
        <v>0</v>
      </c>
      <c r="DF4263">
        <v>0</v>
      </c>
      <c r="DG4263">
        <v>0</v>
      </c>
      <c r="DH4263">
        <v>0</v>
      </c>
      <c r="DI4263">
        <v>0</v>
      </c>
    </row>
    <row r="4264" spans="1:113" x14ac:dyDescent="0.25">
      <c r="A4264" t="str">
        <f t="shared" si="2390"/>
        <v>06/05/2020 14:59:32.844</v>
      </c>
      <c r="C4264" t="str">
        <f t="shared" si="2391"/>
        <v>FFDFD3C0</v>
      </c>
      <c r="D4264" t="s">
        <v>113</v>
      </c>
      <c r="E4264">
        <v>3</v>
      </c>
      <c r="H4264">
        <v>166</v>
      </c>
      <c r="I4264" t="s">
        <v>114</v>
      </c>
      <c r="J4264" t="s">
        <v>115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 t="shared" si="2392"/>
        <v>14:59:38.492</v>
      </c>
      <c r="T4264" t="str">
        <f t="shared" si="2393"/>
        <v>14:59:38.092</v>
      </c>
      <c r="U4264" t="str">
        <f t="shared" si="2373"/>
        <v>ACC530</v>
      </c>
      <c r="V4264">
        <v>0</v>
      </c>
      <c r="W4264">
        <v>0</v>
      </c>
      <c r="X4264">
        <v>1</v>
      </c>
      <c r="Z4264">
        <v>0</v>
      </c>
      <c r="AA4264">
        <v>9</v>
      </c>
      <c r="AB4264">
        <v>3</v>
      </c>
      <c r="AC4264">
        <v>0</v>
      </c>
      <c r="AD4264">
        <v>9</v>
      </c>
      <c r="AE4264">
        <v>0</v>
      </c>
      <c r="AF4264">
        <v>3</v>
      </c>
      <c r="AG4264">
        <v>1</v>
      </c>
      <c r="AH4264">
        <v>0</v>
      </c>
      <c r="AI4264" t="s">
        <v>1344</v>
      </c>
      <c r="AJ4264">
        <v>34.070062999999998</v>
      </c>
      <c r="AK4264" t="s">
        <v>1146</v>
      </c>
      <c r="AL4264">
        <v>-117.02726800000001</v>
      </c>
      <c r="AM4264">
        <v>100</v>
      </c>
      <c r="AN4264">
        <v>5200</v>
      </c>
      <c r="AO4264" t="s">
        <v>118</v>
      </c>
      <c r="AP4264">
        <v>-98</v>
      </c>
      <c r="AQ4264">
        <v>34</v>
      </c>
      <c r="AR4264">
        <v>-768</v>
      </c>
      <c r="AZ4264">
        <v>1200</v>
      </c>
      <c r="BA4264">
        <v>1</v>
      </c>
      <c r="BB4264" t="str">
        <f t="shared" si="2374"/>
        <v xml:space="preserve">N9217B  </v>
      </c>
      <c r="BC4264">
        <v>1</v>
      </c>
      <c r="BE4264">
        <v>0</v>
      </c>
      <c r="BF4264">
        <v>0</v>
      </c>
      <c r="BG4264">
        <v>0</v>
      </c>
      <c r="BH4264">
        <v>5050</v>
      </c>
      <c r="BI4264">
        <v>1</v>
      </c>
      <c r="BJ4264">
        <v>0</v>
      </c>
      <c r="BK4264">
        <v>0</v>
      </c>
      <c r="BL4264">
        <v>0</v>
      </c>
      <c r="BO4264">
        <v>0</v>
      </c>
      <c r="BP4264">
        <v>0</v>
      </c>
      <c r="BW4264" t="str">
        <f t="shared" si="2394"/>
        <v>14:59:38.495</v>
      </c>
      <c r="CJ4264">
        <v>0</v>
      </c>
      <c r="CK4264">
        <v>2</v>
      </c>
      <c r="CL4264">
        <v>0</v>
      </c>
      <c r="CM4264">
        <v>2</v>
      </c>
      <c r="CN4264">
        <v>0</v>
      </c>
      <c r="CO4264">
        <v>7</v>
      </c>
      <c r="CP4264" t="s">
        <v>119</v>
      </c>
      <c r="CQ4264">
        <v>285</v>
      </c>
      <c r="CR4264">
        <v>0</v>
      </c>
      <c r="CW4264">
        <v>8891093</v>
      </c>
      <c r="CY4264">
        <v>0</v>
      </c>
      <c r="CZ4264">
        <v>0</v>
      </c>
      <c r="DA4264">
        <v>1</v>
      </c>
      <c r="DB4264">
        <v>0</v>
      </c>
      <c r="DC4264">
        <v>0</v>
      </c>
      <c r="DD4264">
        <v>0</v>
      </c>
      <c r="DE4264">
        <v>0</v>
      </c>
      <c r="DF4264">
        <v>0</v>
      </c>
      <c r="DG4264">
        <v>0</v>
      </c>
      <c r="DH4264">
        <v>0</v>
      </c>
      <c r="DI4264">
        <v>0</v>
      </c>
    </row>
    <row r="4265" spans="1:113" x14ac:dyDescent="0.25">
      <c r="A4265" t="str">
        <f t="shared" si="2390"/>
        <v>06/05/2020 14:59:32.844</v>
      </c>
      <c r="C4265" t="str">
        <f t="shared" si="2391"/>
        <v>FFDFD3C0</v>
      </c>
      <c r="D4265" t="s">
        <v>141</v>
      </c>
      <c r="E4265">
        <v>20</v>
      </c>
      <c r="F4265">
        <v>1020</v>
      </c>
      <c r="G4265" t="s">
        <v>114</v>
      </c>
      <c r="J4265" t="s">
        <v>142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 t="shared" si="2392"/>
        <v>14:59:38.492</v>
      </c>
      <c r="T4265" t="str">
        <f t="shared" si="2393"/>
        <v>14:59:38.092</v>
      </c>
      <c r="U4265" t="str">
        <f t="shared" si="2373"/>
        <v>ACC530</v>
      </c>
      <c r="V4265">
        <v>0</v>
      </c>
      <c r="W4265">
        <v>0</v>
      </c>
      <c r="X4265">
        <v>1</v>
      </c>
      <c r="Z4265">
        <v>0</v>
      </c>
      <c r="AA4265">
        <v>9</v>
      </c>
      <c r="AB4265">
        <v>3</v>
      </c>
      <c r="AC4265">
        <v>0</v>
      </c>
      <c r="AD4265">
        <v>9</v>
      </c>
      <c r="AE4265">
        <v>0</v>
      </c>
      <c r="AF4265">
        <v>3</v>
      </c>
      <c r="AG4265">
        <v>1</v>
      </c>
      <c r="AH4265">
        <v>0</v>
      </c>
      <c r="AI4265" t="s">
        <v>1344</v>
      </c>
      <c r="AJ4265">
        <v>34.070062999999998</v>
      </c>
      <c r="AK4265" t="s">
        <v>1146</v>
      </c>
      <c r="AL4265">
        <v>-117.02726800000001</v>
      </c>
      <c r="AM4265">
        <v>100</v>
      </c>
      <c r="AN4265">
        <v>5200</v>
      </c>
      <c r="AO4265" t="s">
        <v>118</v>
      </c>
      <c r="AP4265">
        <v>-98</v>
      </c>
      <c r="AQ4265">
        <v>34</v>
      </c>
      <c r="AR4265">
        <v>-768</v>
      </c>
      <c r="AZ4265">
        <v>1200</v>
      </c>
      <c r="BA4265">
        <v>1</v>
      </c>
      <c r="BB4265" t="str">
        <f t="shared" si="2374"/>
        <v xml:space="preserve">N9217B  </v>
      </c>
      <c r="BC4265">
        <v>1</v>
      </c>
      <c r="BE4265">
        <v>0</v>
      </c>
      <c r="BF4265">
        <v>0</v>
      </c>
      <c r="BG4265">
        <v>0</v>
      </c>
      <c r="BH4265">
        <v>5050</v>
      </c>
      <c r="BI4265">
        <v>1</v>
      </c>
      <c r="BJ4265">
        <v>0</v>
      </c>
      <c r="BK4265">
        <v>0</v>
      </c>
      <c r="BL4265">
        <v>0</v>
      </c>
      <c r="BO4265">
        <v>0</v>
      </c>
      <c r="BP4265">
        <v>0</v>
      </c>
      <c r="BW4265" t="str">
        <f t="shared" si="2394"/>
        <v>14:59:38.495</v>
      </c>
      <c r="CJ4265">
        <v>0</v>
      </c>
      <c r="CK4265">
        <v>2</v>
      </c>
      <c r="CL4265">
        <v>0</v>
      </c>
      <c r="CM4265">
        <v>2</v>
      </c>
      <c r="CN4265">
        <v>0</v>
      </c>
      <c r="CO4265">
        <v>7</v>
      </c>
      <c r="CP4265" t="s">
        <v>119</v>
      </c>
      <c r="CQ4265">
        <v>285</v>
      </c>
      <c r="CR4265">
        <v>0</v>
      </c>
      <c r="CW4265">
        <v>8891093</v>
      </c>
      <c r="CY4265">
        <v>0</v>
      </c>
      <c r="CZ4265">
        <v>0</v>
      </c>
      <c r="DA4265">
        <v>1</v>
      </c>
      <c r="DB4265">
        <v>0</v>
      </c>
      <c r="DC4265">
        <v>0</v>
      </c>
      <c r="DD4265">
        <v>0</v>
      </c>
      <c r="DE4265">
        <v>0</v>
      </c>
      <c r="DF4265">
        <v>0</v>
      </c>
      <c r="DG4265">
        <v>0</v>
      </c>
      <c r="DH4265">
        <v>0</v>
      </c>
      <c r="DI4265">
        <v>0</v>
      </c>
    </row>
    <row r="4266" spans="1:113" x14ac:dyDescent="0.25">
      <c r="A4266" t="str">
        <f t="shared" ref="A4266:A4272" si="2395">"06/05/2020 14:59:33.728"</f>
        <v>06/05/2020 14:59:33.728</v>
      </c>
      <c r="C4266" t="str">
        <f t="shared" si="2391"/>
        <v>FFDFD3C0</v>
      </c>
      <c r="D4266" t="s">
        <v>151</v>
      </c>
      <c r="E4266">
        <v>9</v>
      </c>
      <c r="H4266">
        <v>226</v>
      </c>
      <c r="I4266" t="s">
        <v>152</v>
      </c>
      <c r="J4266" t="s">
        <v>150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 t="shared" ref="S4266:S4272" si="2396">"14:59:39.359"</f>
        <v>14:59:39.359</v>
      </c>
      <c r="T4266" t="str">
        <f t="shared" ref="T4266:T4272" si="2397">"14:59:39.059"</f>
        <v>14:59:39.059</v>
      </c>
      <c r="U4266" t="str">
        <f t="shared" si="2373"/>
        <v>ACC530</v>
      </c>
      <c r="V4266">
        <v>0</v>
      </c>
      <c r="W4266">
        <v>0</v>
      </c>
      <c r="X4266">
        <v>1</v>
      </c>
      <c r="Z4266">
        <v>0</v>
      </c>
      <c r="AA4266">
        <v>9</v>
      </c>
      <c r="AB4266">
        <v>3</v>
      </c>
      <c r="AC4266">
        <v>0</v>
      </c>
      <c r="AD4266">
        <v>9</v>
      </c>
      <c r="AE4266">
        <v>0</v>
      </c>
      <c r="AF4266">
        <v>3</v>
      </c>
      <c r="AG4266">
        <v>1</v>
      </c>
      <c r="AH4266">
        <v>0</v>
      </c>
      <c r="AI4266" t="s">
        <v>1345</v>
      </c>
      <c r="AJ4266">
        <v>34.070191000000001</v>
      </c>
      <c r="AK4266" t="s">
        <v>1346</v>
      </c>
      <c r="AL4266">
        <v>-117.027676</v>
      </c>
      <c r="AM4266">
        <v>100</v>
      </c>
      <c r="AN4266">
        <v>5200</v>
      </c>
      <c r="AO4266" t="s">
        <v>118</v>
      </c>
      <c r="AP4266">
        <v>-98</v>
      </c>
      <c r="AQ4266">
        <v>33</v>
      </c>
      <c r="AR4266">
        <v>-768</v>
      </c>
      <c r="AZ4266">
        <v>1200</v>
      </c>
      <c r="BA4266">
        <v>1</v>
      </c>
      <c r="BB4266" t="str">
        <f t="shared" si="2374"/>
        <v xml:space="preserve">N9217B  </v>
      </c>
      <c r="BC4266">
        <v>1</v>
      </c>
      <c r="BE4266">
        <v>0</v>
      </c>
      <c r="BF4266">
        <v>0</v>
      </c>
      <c r="BG4266">
        <v>0</v>
      </c>
      <c r="BH4266">
        <v>5050</v>
      </c>
      <c r="BI4266">
        <v>1</v>
      </c>
      <c r="BJ4266">
        <v>0</v>
      </c>
      <c r="BK4266">
        <v>0</v>
      </c>
      <c r="BL4266">
        <v>0</v>
      </c>
      <c r="BO4266">
        <v>0</v>
      </c>
      <c r="BP4266">
        <v>0</v>
      </c>
      <c r="BW4266" t="str">
        <f t="shared" ref="BW4266:BW4272" si="2398">"14:59:39.365"</f>
        <v>14:59:39.365</v>
      </c>
      <c r="CJ4266">
        <v>0</v>
      </c>
      <c r="CK4266">
        <v>2</v>
      </c>
      <c r="CL4266">
        <v>0</v>
      </c>
      <c r="CM4266">
        <v>2</v>
      </c>
      <c r="CN4266">
        <v>0</v>
      </c>
      <c r="CO4266">
        <v>7</v>
      </c>
      <c r="CP4266" t="s">
        <v>119</v>
      </c>
      <c r="CQ4266">
        <v>285</v>
      </c>
      <c r="CR4266">
        <v>0</v>
      </c>
      <c r="CW4266">
        <v>8891165</v>
      </c>
      <c r="CY4266">
        <v>0</v>
      </c>
      <c r="CZ4266">
        <v>0</v>
      </c>
      <c r="DA4266">
        <v>0</v>
      </c>
      <c r="DB4266">
        <v>0</v>
      </c>
      <c r="DC4266">
        <v>0</v>
      </c>
      <c r="DD4266">
        <v>0</v>
      </c>
      <c r="DE4266">
        <v>0</v>
      </c>
      <c r="DF4266">
        <v>0</v>
      </c>
      <c r="DG4266">
        <v>0</v>
      </c>
      <c r="DH4266">
        <v>0</v>
      </c>
      <c r="DI4266">
        <v>0</v>
      </c>
    </row>
    <row r="4267" spans="1:113" x14ac:dyDescent="0.25">
      <c r="A4267" t="str">
        <f t="shared" si="2395"/>
        <v>06/05/2020 14:59:33.728</v>
      </c>
      <c r="C4267" t="str">
        <f t="shared" si="2391"/>
        <v>FFDFD3C0</v>
      </c>
      <c r="D4267" t="s">
        <v>134</v>
      </c>
      <c r="E4267">
        <v>7</v>
      </c>
      <c r="F4267">
        <v>2007</v>
      </c>
      <c r="G4267" t="s">
        <v>135</v>
      </c>
      <c r="J4267" t="s">
        <v>136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 t="shared" si="2396"/>
        <v>14:59:39.359</v>
      </c>
      <c r="T4267" t="str">
        <f t="shared" si="2397"/>
        <v>14:59:39.059</v>
      </c>
      <c r="U4267" t="str">
        <f t="shared" si="2373"/>
        <v>ACC530</v>
      </c>
      <c r="V4267">
        <v>0</v>
      </c>
      <c r="W4267">
        <v>0</v>
      </c>
      <c r="X4267">
        <v>1</v>
      </c>
      <c r="Z4267">
        <v>0</v>
      </c>
      <c r="AA4267">
        <v>9</v>
      </c>
      <c r="AB4267">
        <v>3</v>
      </c>
      <c r="AC4267">
        <v>0</v>
      </c>
      <c r="AD4267">
        <v>9</v>
      </c>
      <c r="AE4267">
        <v>0</v>
      </c>
      <c r="AF4267">
        <v>3</v>
      </c>
      <c r="AG4267">
        <v>1</v>
      </c>
      <c r="AH4267">
        <v>0</v>
      </c>
      <c r="AI4267" t="s">
        <v>1345</v>
      </c>
      <c r="AJ4267">
        <v>34.070191000000001</v>
      </c>
      <c r="AK4267" t="s">
        <v>1346</v>
      </c>
      <c r="AL4267">
        <v>-117.027676</v>
      </c>
      <c r="AM4267">
        <v>100</v>
      </c>
      <c r="AN4267">
        <v>5200</v>
      </c>
      <c r="AO4267" t="s">
        <v>118</v>
      </c>
      <c r="AP4267">
        <v>-98</v>
      </c>
      <c r="AQ4267">
        <v>33</v>
      </c>
      <c r="AR4267">
        <v>-768</v>
      </c>
      <c r="AZ4267">
        <v>1200</v>
      </c>
      <c r="BA4267">
        <v>1</v>
      </c>
      <c r="BB4267" t="str">
        <f t="shared" si="2374"/>
        <v xml:space="preserve">N9217B  </v>
      </c>
      <c r="BC4267">
        <v>1</v>
      </c>
      <c r="BE4267">
        <v>0</v>
      </c>
      <c r="BF4267">
        <v>0</v>
      </c>
      <c r="BG4267">
        <v>0</v>
      </c>
      <c r="BH4267">
        <v>5050</v>
      </c>
      <c r="BI4267">
        <v>1</v>
      </c>
      <c r="BJ4267">
        <v>0</v>
      </c>
      <c r="BK4267">
        <v>0</v>
      </c>
      <c r="BL4267">
        <v>0</v>
      </c>
      <c r="BO4267">
        <v>0</v>
      </c>
      <c r="BP4267">
        <v>0</v>
      </c>
      <c r="BW4267" t="str">
        <f t="shared" si="2398"/>
        <v>14:59:39.365</v>
      </c>
      <c r="CJ4267">
        <v>0</v>
      </c>
      <c r="CK4267">
        <v>2</v>
      </c>
      <c r="CL4267">
        <v>0</v>
      </c>
      <c r="CM4267">
        <v>2</v>
      </c>
      <c r="CN4267">
        <v>0</v>
      </c>
      <c r="CO4267">
        <v>7</v>
      </c>
      <c r="CP4267" t="s">
        <v>119</v>
      </c>
      <c r="CQ4267">
        <v>285</v>
      </c>
      <c r="CR4267">
        <v>0</v>
      </c>
      <c r="CW4267">
        <v>8891165</v>
      </c>
      <c r="CY4267">
        <v>0</v>
      </c>
      <c r="CZ4267">
        <v>0</v>
      </c>
      <c r="DA4267">
        <v>1</v>
      </c>
      <c r="DB4267">
        <v>0</v>
      </c>
      <c r="DC4267">
        <v>0</v>
      </c>
      <c r="DD4267">
        <v>0</v>
      </c>
      <c r="DE4267">
        <v>0</v>
      </c>
      <c r="DF4267">
        <v>0</v>
      </c>
      <c r="DG4267">
        <v>0</v>
      </c>
      <c r="DH4267">
        <v>0</v>
      </c>
      <c r="DI4267">
        <v>0</v>
      </c>
    </row>
    <row r="4268" spans="1:113" x14ac:dyDescent="0.25">
      <c r="A4268" t="str">
        <f t="shared" si="2395"/>
        <v>06/05/2020 14:59:33.728</v>
      </c>
      <c r="C4268" t="str">
        <f t="shared" si="2391"/>
        <v>FFDFD3C0</v>
      </c>
      <c r="D4268" t="s">
        <v>148</v>
      </c>
      <c r="E4268">
        <v>11</v>
      </c>
      <c r="H4268">
        <v>53</v>
      </c>
      <c r="I4268" t="s">
        <v>364</v>
      </c>
      <c r="J4268" t="s">
        <v>150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 t="shared" si="2396"/>
        <v>14:59:39.359</v>
      </c>
      <c r="T4268" t="str">
        <f t="shared" si="2397"/>
        <v>14:59:39.059</v>
      </c>
      <c r="U4268" t="str">
        <f t="shared" si="2373"/>
        <v>ACC530</v>
      </c>
      <c r="V4268">
        <v>0</v>
      </c>
      <c r="W4268">
        <v>0</v>
      </c>
      <c r="X4268">
        <v>1</v>
      </c>
      <c r="Z4268">
        <v>0</v>
      </c>
      <c r="AA4268">
        <v>9</v>
      </c>
      <c r="AB4268">
        <v>3</v>
      </c>
      <c r="AC4268">
        <v>0</v>
      </c>
      <c r="AD4268">
        <v>9</v>
      </c>
      <c r="AE4268">
        <v>0</v>
      </c>
      <c r="AF4268">
        <v>3</v>
      </c>
      <c r="AG4268">
        <v>1</v>
      </c>
      <c r="AH4268">
        <v>0</v>
      </c>
      <c r="AI4268" t="s">
        <v>1345</v>
      </c>
      <c r="AJ4268">
        <v>34.070191000000001</v>
      </c>
      <c r="AK4268" t="s">
        <v>1346</v>
      </c>
      <c r="AL4268">
        <v>-117.027676</v>
      </c>
      <c r="AM4268">
        <v>100</v>
      </c>
      <c r="AN4268">
        <v>5200</v>
      </c>
      <c r="AO4268" t="s">
        <v>118</v>
      </c>
      <c r="AP4268">
        <v>-98</v>
      </c>
      <c r="AQ4268">
        <v>33</v>
      </c>
      <c r="AR4268">
        <v>-768</v>
      </c>
      <c r="AZ4268">
        <v>1200</v>
      </c>
      <c r="BA4268">
        <v>1</v>
      </c>
      <c r="BB4268" t="str">
        <f t="shared" si="2374"/>
        <v xml:space="preserve">N9217B  </v>
      </c>
      <c r="BC4268">
        <v>1</v>
      </c>
      <c r="BE4268">
        <v>0</v>
      </c>
      <c r="BF4268">
        <v>0</v>
      </c>
      <c r="BG4268">
        <v>0</v>
      </c>
      <c r="BH4268">
        <v>5050</v>
      </c>
      <c r="BI4268">
        <v>1</v>
      </c>
      <c r="BJ4268">
        <v>0</v>
      </c>
      <c r="BK4268">
        <v>0</v>
      </c>
      <c r="BL4268">
        <v>0</v>
      </c>
      <c r="BO4268">
        <v>0</v>
      </c>
      <c r="BP4268">
        <v>0</v>
      </c>
      <c r="BW4268" t="str">
        <f t="shared" si="2398"/>
        <v>14:59:39.365</v>
      </c>
      <c r="CJ4268">
        <v>0</v>
      </c>
      <c r="CK4268">
        <v>2</v>
      </c>
      <c r="CL4268">
        <v>0</v>
      </c>
      <c r="CM4268">
        <v>2</v>
      </c>
      <c r="CN4268">
        <v>0</v>
      </c>
      <c r="CO4268">
        <v>7</v>
      </c>
      <c r="CP4268" t="s">
        <v>119</v>
      </c>
      <c r="CQ4268">
        <v>285</v>
      </c>
      <c r="CR4268">
        <v>0</v>
      </c>
      <c r="CW4268">
        <v>8891165</v>
      </c>
      <c r="CY4268">
        <v>0</v>
      </c>
      <c r="CZ4268">
        <v>0</v>
      </c>
      <c r="DA4268">
        <v>1</v>
      </c>
      <c r="DB4268">
        <v>0</v>
      </c>
      <c r="DC4268">
        <v>0</v>
      </c>
      <c r="DD4268">
        <v>0</v>
      </c>
      <c r="DE4268">
        <v>0</v>
      </c>
      <c r="DF4268">
        <v>0</v>
      </c>
      <c r="DG4268">
        <v>0</v>
      </c>
      <c r="DH4268">
        <v>0</v>
      </c>
      <c r="DI4268">
        <v>0</v>
      </c>
    </row>
    <row r="4269" spans="1:113" x14ac:dyDescent="0.25">
      <c r="A4269" t="str">
        <f t="shared" si="2395"/>
        <v>06/05/2020 14:59:33.728</v>
      </c>
      <c r="C4269" t="str">
        <f t="shared" si="2391"/>
        <v>FFDFD3C0</v>
      </c>
      <c r="D4269" t="s">
        <v>113</v>
      </c>
      <c r="E4269">
        <v>3</v>
      </c>
      <c r="H4269">
        <v>166</v>
      </c>
      <c r="I4269" t="s">
        <v>114</v>
      </c>
      <c r="J4269" t="s">
        <v>115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 t="shared" si="2396"/>
        <v>14:59:39.359</v>
      </c>
      <c r="T4269" t="str">
        <f t="shared" si="2397"/>
        <v>14:59:39.059</v>
      </c>
      <c r="U4269" t="str">
        <f t="shared" si="2373"/>
        <v>ACC530</v>
      </c>
      <c r="V4269">
        <v>0</v>
      </c>
      <c r="W4269">
        <v>0</v>
      </c>
      <c r="X4269">
        <v>1</v>
      </c>
      <c r="Z4269">
        <v>0</v>
      </c>
      <c r="AA4269">
        <v>9</v>
      </c>
      <c r="AB4269">
        <v>3</v>
      </c>
      <c r="AC4269">
        <v>0</v>
      </c>
      <c r="AD4269">
        <v>9</v>
      </c>
      <c r="AE4269">
        <v>0</v>
      </c>
      <c r="AF4269">
        <v>3</v>
      </c>
      <c r="AG4269">
        <v>1</v>
      </c>
      <c r="AH4269">
        <v>0</v>
      </c>
      <c r="AI4269" t="s">
        <v>1345</v>
      </c>
      <c r="AJ4269">
        <v>34.070191000000001</v>
      </c>
      <c r="AK4269" t="s">
        <v>1346</v>
      </c>
      <c r="AL4269">
        <v>-117.027676</v>
      </c>
      <c r="AM4269">
        <v>100</v>
      </c>
      <c r="AN4269">
        <v>5200</v>
      </c>
      <c r="AO4269" t="s">
        <v>118</v>
      </c>
      <c r="AP4269">
        <v>-98</v>
      </c>
      <c r="AQ4269">
        <v>33</v>
      </c>
      <c r="AR4269">
        <v>-768</v>
      </c>
      <c r="AZ4269">
        <v>1200</v>
      </c>
      <c r="BA4269">
        <v>1</v>
      </c>
      <c r="BB4269" t="str">
        <f t="shared" si="2374"/>
        <v xml:space="preserve">N9217B  </v>
      </c>
      <c r="BC4269">
        <v>1</v>
      </c>
      <c r="BE4269">
        <v>0</v>
      </c>
      <c r="BF4269">
        <v>0</v>
      </c>
      <c r="BG4269">
        <v>0</v>
      </c>
      <c r="BH4269">
        <v>5050</v>
      </c>
      <c r="BI4269">
        <v>1</v>
      </c>
      <c r="BJ4269">
        <v>0</v>
      </c>
      <c r="BK4269">
        <v>0</v>
      </c>
      <c r="BL4269">
        <v>0</v>
      </c>
      <c r="BO4269">
        <v>0</v>
      </c>
      <c r="BP4269">
        <v>0</v>
      </c>
      <c r="BW4269" t="str">
        <f t="shared" si="2398"/>
        <v>14:59:39.365</v>
      </c>
      <c r="CJ4269">
        <v>0</v>
      </c>
      <c r="CK4269">
        <v>2</v>
      </c>
      <c r="CL4269">
        <v>0</v>
      </c>
      <c r="CM4269">
        <v>2</v>
      </c>
      <c r="CN4269">
        <v>0</v>
      </c>
      <c r="CO4269">
        <v>7</v>
      </c>
      <c r="CP4269" t="s">
        <v>119</v>
      </c>
      <c r="CQ4269">
        <v>285</v>
      </c>
      <c r="CR4269">
        <v>0</v>
      </c>
      <c r="CW4269">
        <v>8891165</v>
      </c>
      <c r="CY4269">
        <v>0</v>
      </c>
      <c r="CZ4269">
        <v>0</v>
      </c>
      <c r="DA4269">
        <v>1</v>
      </c>
      <c r="DB4269">
        <v>0</v>
      </c>
      <c r="DC4269">
        <v>0</v>
      </c>
      <c r="DD4269">
        <v>0</v>
      </c>
      <c r="DE4269">
        <v>0</v>
      </c>
      <c r="DF4269">
        <v>0</v>
      </c>
      <c r="DG4269">
        <v>0</v>
      </c>
      <c r="DH4269">
        <v>0</v>
      </c>
      <c r="DI4269">
        <v>0</v>
      </c>
    </row>
    <row r="4270" spans="1:113" x14ac:dyDescent="0.25">
      <c r="A4270" t="str">
        <f t="shared" si="2395"/>
        <v>06/05/2020 14:59:33.728</v>
      </c>
      <c r="C4270" t="str">
        <f t="shared" si="2391"/>
        <v>FFDFD3C0</v>
      </c>
      <c r="D4270" t="s">
        <v>141</v>
      </c>
      <c r="E4270">
        <v>20</v>
      </c>
      <c r="F4270">
        <v>1020</v>
      </c>
      <c r="G4270" t="s">
        <v>114</v>
      </c>
      <c r="J4270" t="s">
        <v>142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 t="shared" si="2396"/>
        <v>14:59:39.359</v>
      </c>
      <c r="T4270" t="str">
        <f t="shared" si="2397"/>
        <v>14:59:39.059</v>
      </c>
      <c r="U4270" t="str">
        <f t="shared" si="2373"/>
        <v>ACC530</v>
      </c>
      <c r="V4270">
        <v>0</v>
      </c>
      <c r="W4270">
        <v>0</v>
      </c>
      <c r="X4270">
        <v>1</v>
      </c>
      <c r="Z4270">
        <v>0</v>
      </c>
      <c r="AA4270">
        <v>9</v>
      </c>
      <c r="AB4270">
        <v>3</v>
      </c>
      <c r="AC4270">
        <v>0</v>
      </c>
      <c r="AD4270">
        <v>9</v>
      </c>
      <c r="AE4270">
        <v>0</v>
      </c>
      <c r="AF4270">
        <v>3</v>
      </c>
      <c r="AG4270">
        <v>1</v>
      </c>
      <c r="AH4270">
        <v>0</v>
      </c>
      <c r="AI4270" t="s">
        <v>1345</v>
      </c>
      <c r="AJ4270">
        <v>34.070191000000001</v>
      </c>
      <c r="AK4270" t="s">
        <v>1346</v>
      </c>
      <c r="AL4270">
        <v>-117.027676</v>
      </c>
      <c r="AM4270">
        <v>100</v>
      </c>
      <c r="AN4270">
        <v>5200</v>
      </c>
      <c r="AO4270" t="s">
        <v>118</v>
      </c>
      <c r="AP4270">
        <v>-98</v>
      </c>
      <c r="AQ4270">
        <v>33</v>
      </c>
      <c r="AR4270">
        <v>-768</v>
      </c>
      <c r="AZ4270">
        <v>1200</v>
      </c>
      <c r="BA4270">
        <v>1</v>
      </c>
      <c r="BB4270" t="str">
        <f t="shared" si="2374"/>
        <v xml:space="preserve">N9217B  </v>
      </c>
      <c r="BC4270">
        <v>1</v>
      </c>
      <c r="BE4270">
        <v>0</v>
      </c>
      <c r="BF4270">
        <v>0</v>
      </c>
      <c r="BG4270">
        <v>0</v>
      </c>
      <c r="BH4270">
        <v>5050</v>
      </c>
      <c r="BI4270">
        <v>1</v>
      </c>
      <c r="BJ4270">
        <v>0</v>
      </c>
      <c r="BK4270">
        <v>0</v>
      </c>
      <c r="BL4270">
        <v>0</v>
      </c>
      <c r="BO4270">
        <v>0</v>
      </c>
      <c r="BP4270">
        <v>0</v>
      </c>
      <c r="BW4270" t="str">
        <f t="shared" si="2398"/>
        <v>14:59:39.365</v>
      </c>
      <c r="CJ4270">
        <v>0</v>
      </c>
      <c r="CK4270">
        <v>2</v>
      </c>
      <c r="CL4270">
        <v>0</v>
      </c>
      <c r="CM4270">
        <v>2</v>
      </c>
      <c r="CN4270">
        <v>0</v>
      </c>
      <c r="CO4270">
        <v>7</v>
      </c>
      <c r="CP4270" t="s">
        <v>119</v>
      </c>
      <c r="CQ4270">
        <v>285</v>
      </c>
      <c r="CR4270">
        <v>0</v>
      </c>
      <c r="CW4270">
        <v>8891165</v>
      </c>
      <c r="CY4270">
        <v>0</v>
      </c>
      <c r="CZ4270">
        <v>0</v>
      </c>
      <c r="DA4270">
        <v>1</v>
      </c>
      <c r="DB4270">
        <v>0</v>
      </c>
      <c r="DC4270">
        <v>0</v>
      </c>
      <c r="DD4270">
        <v>0</v>
      </c>
      <c r="DE4270">
        <v>0</v>
      </c>
      <c r="DF4270">
        <v>0</v>
      </c>
      <c r="DG4270">
        <v>0</v>
      </c>
      <c r="DH4270">
        <v>0</v>
      </c>
      <c r="DI4270">
        <v>0</v>
      </c>
    </row>
    <row r="4271" spans="1:113" x14ac:dyDescent="0.25">
      <c r="A4271" t="str">
        <f t="shared" si="2395"/>
        <v>06/05/2020 14:59:33.728</v>
      </c>
      <c r="C4271" t="str">
        <f t="shared" si="2391"/>
        <v>FFDFD3C0</v>
      </c>
      <c r="D4271" t="s">
        <v>151</v>
      </c>
      <c r="E4271">
        <v>8</v>
      </c>
      <c r="H4271">
        <v>225</v>
      </c>
      <c r="I4271" t="s">
        <v>353</v>
      </c>
      <c r="J4271" t="s">
        <v>150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 t="shared" si="2396"/>
        <v>14:59:39.359</v>
      </c>
      <c r="T4271" t="str">
        <f t="shared" si="2397"/>
        <v>14:59:39.059</v>
      </c>
      <c r="U4271" t="str">
        <f t="shared" si="2373"/>
        <v>ACC530</v>
      </c>
      <c r="V4271">
        <v>0</v>
      </c>
      <c r="W4271">
        <v>0</v>
      </c>
      <c r="X4271">
        <v>1</v>
      </c>
      <c r="Z4271">
        <v>0</v>
      </c>
      <c r="AA4271">
        <v>9</v>
      </c>
      <c r="AB4271">
        <v>3</v>
      </c>
      <c r="AC4271">
        <v>0</v>
      </c>
      <c r="AD4271">
        <v>9</v>
      </c>
      <c r="AE4271">
        <v>0</v>
      </c>
      <c r="AF4271">
        <v>3</v>
      </c>
      <c r="AG4271">
        <v>1</v>
      </c>
      <c r="AH4271">
        <v>0</v>
      </c>
      <c r="AI4271" t="s">
        <v>1345</v>
      </c>
      <c r="AJ4271">
        <v>34.070191000000001</v>
      </c>
      <c r="AK4271" t="s">
        <v>1346</v>
      </c>
      <c r="AL4271">
        <v>-117.027676</v>
      </c>
      <c r="AM4271">
        <v>100</v>
      </c>
      <c r="AN4271">
        <v>5200</v>
      </c>
      <c r="AO4271" t="s">
        <v>118</v>
      </c>
      <c r="AP4271">
        <v>-98</v>
      </c>
      <c r="AQ4271">
        <v>33</v>
      </c>
      <c r="AR4271">
        <v>-768</v>
      </c>
      <c r="AZ4271">
        <v>1200</v>
      </c>
      <c r="BA4271">
        <v>1</v>
      </c>
      <c r="BB4271" t="str">
        <f t="shared" si="2374"/>
        <v xml:space="preserve">N9217B  </v>
      </c>
      <c r="BC4271">
        <v>1</v>
      </c>
      <c r="BE4271">
        <v>0</v>
      </c>
      <c r="BF4271">
        <v>0</v>
      </c>
      <c r="BG4271">
        <v>0</v>
      </c>
      <c r="BH4271">
        <v>5050</v>
      </c>
      <c r="BI4271">
        <v>1</v>
      </c>
      <c r="BJ4271">
        <v>0</v>
      </c>
      <c r="BK4271">
        <v>0</v>
      </c>
      <c r="BL4271">
        <v>0</v>
      </c>
      <c r="BO4271">
        <v>0</v>
      </c>
      <c r="BP4271">
        <v>0</v>
      </c>
      <c r="BW4271" t="str">
        <f t="shared" si="2398"/>
        <v>14:59:39.365</v>
      </c>
      <c r="CJ4271">
        <v>0</v>
      </c>
      <c r="CK4271">
        <v>2</v>
      </c>
      <c r="CL4271">
        <v>0</v>
      </c>
      <c r="CM4271">
        <v>2</v>
      </c>
      <c r="CN4271">
        <v>0</v>
      </c>
      <c r="CO4271">
        <v>7</v>
      </c>
      <c r="CP4271" t="s">
        <v>119</v>
      </c>
      <c r="CQ4271">
        <v>285</v>
      </c>
      <c r="CR4271">
        <v>0</v>
      </c>
      <c r="CW4271">
        <v>8891165</v>
      </c>
      <c r="CY4271">
        <v>0</v>
      </c>
      <c r="CZ4271">
        <v>0</v>
      </c>
      <c r="DA4271">
        <v>1</v>
      </c>
      <c r="DB4271">
        <v>0</v>
      </c>
      <c r="DC4271">
        <v>0</v>
      </c>
      <c r="DD4271">
        <v>0</v>
      </c>
      <c r="DE4271">
        <v>0</v>
      </c>
      <c r="DF4271">
        <v>0</v>
      </c>
      <c r="DG4271">
        <v>0</v>
      </c>
      <c r="DH4271">
        <v>0</v>
      </c>
      <c r="DI4271">
        <v>0</v>
      </c>
    </row>
    <row r="4272" spans="1:113" x14ac:dyDescent="0.25">
      <c r="A4272" t="str">
        <f t="shared" si="2395"/>
        <v>06/05/2020 14:59:33.728</v>
      </c>
      <c r="C4272" t="str">
        <f t="shared" si="2391"/>
        <v>FFDFD3C0</v>
      </c>
      <c r="D4272" t="s">
        <v>148</v>
      </c>
      <c r="E4272">
        <v>8</v>
      </c>
      <c r="H4272">
        <v>50</v>
      </c>
      <c r="I4272" t="s">
        <v>149</v>
      </c>
      <c r="J4272" t="s">
        <v>150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 t="shared" si="2396"/>
        <v>14:59:39.359</v>
      </c>
      <c r="T4272" t="str">
        <f t="shared" si="2397"/>
        <v>14:59:39.059</v>
      </c>
      <c r="U4272" t="str">
        <f t="shared" si="2373"/>
        <v>ACC530</v>
      </c>
      <c r="V4272">
        <v>0</v>
      </c>
      <c r="W4272">
        <v>0</v>
      </c>
      <c r="X4272">
        <v>1</v>
      </c>
      <c r="Z4272">
        <v>0</v>
      </c>
      <c r="AA4272">
        <v>9</v>
      </c>
      <c r="AB4272">
        <v>3</v>
      </c>
      <c r="AC4272">
        <v>0</v>
      </c>
      <c r="AD4272">
        <v>9</v>
      </c>
      <c r="AE4272">
        <v>0</v>
      </c>
      <c r="AF4272">
        <v>3</v>
      </c>
      <c r="AG4272">
        <v>1</v>
      </c>
      <c r="AH4272">
        <v>0</v>
      </c>
      <c r="AI4272" t="s">
        <v>1345</v>
      </c>
      <c r="AJ4272">
        <v>34.070191000000001</v>
      </c>
      <c r="AK4272" t="s">
        <v>1346</v>
      </c>
      <c r="AL4272">
        <v>-117.027676</v>
      </c>
      <c r="AM4272">
        <v>100</v>
      </c>
      <c r="AN4272">
        <v>5200</v>
      </c>
      <c r="AO4272" t="s">
        <v>118</v>
      </c>
      <c r="AP4272">
        <v>-98</v>
      </c>
      <c r="AQ4272">
        <v>33</v>
      </c>
      <c r="AR4272">
        <v>-768</v>
      </c>
      <c r="AZ4272">
        <v>1200</v>
      </c>
      <c r="BA4272">
        <v>1</v>
      </c>
      <c r="BB4272" t="str">
        <f t="shared" si="2374"/>
        <v xml:space="preserve">N9217B  </v>
      </c>
      <c r="BC4272">
        <v>1</v>
      </c>
      <c r="BE4272">
        <v>0</v>
      </c>
      <c r="BF4272">
        <v>0</v>
      </c>
      <c r="BG4272">
        <v>0</v>
      </c>
      <c r="BH4272">
        <v>5050</v>
      </c>
      <c r="BI4272">
        <v>1</v>
      </c>
      <c r="BJ4272">
        <v>0</v>
      </c>
      <c r="BK4272">
        <v>0</v>
      </c>
      <c r="BL4272">
        <v>0</v>
      </c>
      <c r="BO4272">
        <v>0</v>
      </c>
      <c r="BP4272">
        <v>0</v>
      </c>
      <c r="BW4272" t="str">
        <f t="shared" si="2398"/>
        <v>14:59:39.365</v>
      </c>
      <c r="CJ4272">
        <v>0</v>
      </c>
      <c r="CK4272">
        <v>2</v>
      </c>
      <c r="CL4272">
        <v>0</v>
      </c>
      <c r="CM4272">
        <v>2</v>
      </c>
      <c r="CN4272">
        <v>0</v>
      </c>
      <c r="CO4272">
        <v>7</v>
      </c>
      <c r="CP4272" t="s">
        <v>119</v>
      </c>
      <c r="CQ4272">
        <v>285</v>
      </c>
      <c r="CR4272">
        <v>0</v>
      </c>
      <c r="CW4272">
        <v>8891165</v>
      </c>
      <c r="CY4272">
        <v>0</v>
      </c>
      <c r="CZ4272">
        <v>0</v>
      </c>
      <c r="DA4272">
        <v>1</v>
      </c>
      <c r="DB4272">
        <v>0</v>
      </c>
      <c r="DC4272">
        <v>0</v>
      </c>
      <c r="DD4272">
        <v>0</v>
      </c>
      <c r="DE4272">
        <v>0</v>
      </c>
      <c r="DF4272">
        <v>0</v>
      </c>
      <c r="DG4272">
        <v>0</v>
      </c>
      <c r="DH4272">
        <v>0</v>
      </c>
      <c r="DI4272">
        <v>0</v>
      </c>
    </row>
    <row r="4273" spans="1:113" x14ac:dyDescent="0.25">
      <c r="A4273" t="str">
        <f t="shared" ref="A4273:A4279" si="2399">"06/05/2020 14:59:34.869"</f>
        <v>06/05/2020 14:59:34.869</v>
      </c>
      <c r="C4273" t="str">
        <f t="shared" si="2391"/>
        <v>FFDFD3C0</v>
      </c>
      <c r="D4273" t="s">
        <v>151</v>
      </c>
      <c r="E4273">
        <v>8</v>
      </c>
      <c r="H4273">
        <v>225</v>
      </c>
      <c r="I4273" t="s">
        <v>353</v>
      </c>
      <c r="J4273" t="s">
        <v>150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 t="shared" ref="S4273:T4279" si="2400">"14:59:40.484"</f>
        <v>14:59:40.484</v>
      </c>
      <c r="T4273" t="str">
        <f t="shared" si="2400"/>
        <v>14:59:40.484</v>
      </c>
      <c r="U4273" t="str">
        <f t="shared" si="2373"/>
        <v>ACC530</v>
      </c>
      <c r="V4273">
        <v>0</v>
      </c>
      <c r="W4273">
        <v>0</v>
      </c>
      <c r="X4273">
        <v>1</v>
      </c>
      <c r="Z4273">
        <v>0</v>
      </c>
      <c r="AA4273">
        <v>9</v>
      </c>
      <c r="AB4273">
        <v>3</v>
      </c>
      <c r="AC4273">
        <v>0</v>
      </c>
      <c r="AD4273">
        <v>9</v>
      </c>
      <c r="AE4273">
        <v>0</v>
      </c>
      <c r="AF4273">
        <v>3</v>
      </c>
      <c r="AG4273">
        <v>1</v>
      </c>
      <c r="AH4273">
        <v>0</v>
      </c>
      <c r="AI4273" t="s">
        <v>1347</v>
      </c>
      <c r="AJ4273">
        <v>34.070341999999997</v>
      </c>
      <c r="AK4273" t="s">
        <v>1348</v>
      </c>
      <c r="AL4273">
        <v>-117.02831999999999</v>
      </c>
      <c r="AM4273">
        <v>100</v>
      </c>
      <c r="AN4273">
        <v>5200</v>
      </c>
      <c r="AO4273" t="s">
        <v>118</v>
      </c>
      <c r="AP4273">
        <v>-99</v>
      </c>
      <c r="AQ4273">
        <v>32</v>
      </c>
      <c r="AR4273">
        <v>-704</v>
      </c>
      <c r="AZ4273">
        <v>1200</v>
      </c>
      <c r="BA4273">
        <v>1</v>
      </c>
      <c r="BB4273" t="str">
        <f t="shared" si="2374"/>
        <v xml:space="preserve">N9217B  </v>
      </c>
      <c r="BC4273">
        <v>1</v>
      </c>
      <c r="BE4273">
        <v>0</v>
      </c>
      <c r="BF4273">
        <v>0</v>
      </c>
      <c r="BG4273">
        <v>0</v>
      </c>
      <c r="BH4273">
        <v>5025</v>
      </c>
      <c r="BI4273">
        <v>1</v>
      </c>
      <c r="BJ4273">
        <v>0</v>
      </c>
      <c r="BK4273">
        <v>0</v>
      </c>
      <c r="BL4273">
        <v>0</v>
      </c>
      <c r="BO4273">
        <v>0</v>
      </c>
      <c r="BP4273">
        <v>0</v>
      </c>
      <c r="BW4273" t="str">
        <f t="shared" ref="BW4273:BW4279" si="2401">"14:59:40.490"</f>
        <v>14:59:40.490</v>
      </c>
      <c r="CJ4273">
        <v>0</v>
      </c>
      <c r="CK4273">
        <v>2</v>
      </c>
      <c r="CL4273">
        <v>0</v>
      </c>
      <c r="CM4273">
        <v>2</v>
      </c>
      <c r="CN4273">
        <v>0</v>
      </c>
      <c r="CO4273">
        <v>6</v>
      </c>
      <c r="CP4273" t="s">
        <v>119</v>
      </c>
      <c r="CQ4273">
        <v>285</v>
      </c>
      <c r="CR4273">
        <v>0</v>
      </c>
      <c r="CW4273">
        <v>8891277</v>
      </c>
      <c r="CY4273">
        <v>0</v>
      </c>
      <c r="CZ4273">
        <v>0</v>
      </c>
      <c r="DA4273">
        <v>0</v>
      </c>
      <c r="DB4273">
        <v>0</v>
      </c>
      <c r="DC4273">
        <v>0</v>
      </c>
      <c r="DD4273">
        <v>0</v>
      </c>
      <c r="DE4273">
        <v>0</v>
      </c>
      <c r="DF4273">
        <v>0</v>
      </c>
      <c r="DG4273">
        <v>0</v>
      </c>
      <c r="DH4273">
        <v>0</v>
      </c>
      <c r="DI4273">
        <v>0</v>
      </c>
    </row>
    <row r="4274" spans="1:113" x14ac:dyDescent="0.25">
      <c r="A4274" t="str">
        <f t="shared" si="2399"/>
        <v>06/05/2020 14:59:34.869</v>
      </c>
      <c r="C4274" t="str">
        <f t="shared" si="2391"/>
        <v>FFDFD3C0</v>
      </c>
      <c r="D4274" t="s">
        <v>148</v>
      </c>
      <c r="E4274">
        <v>8</v>
      </c>
      <c r="H4274">
        <v>50</v>
      </c>
      <c r="I4274" t="s">
        <v>149</v>
      </c>
      <c r="J4274" t="s">
        <v>150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 t="shared" si="2400"/>
        <v>14:59:40.484</v>
      </c>
      <c r="T4274" t="str">
        <f t="shared" si="2400"/>
        <v>14:59:40.484</v>
      </c>
      <c r="U4274" t="str">
        <f t="shared" si="2373"/>
        <v>ACC530</v>
      </c>
      <c r="V4274">
        <v>0</v>
      </c>
      <c r="W4274">
        <v>0</v>
      </c>
      <c r="X4274">
        <v>1</v>
      </c>
      <c r="Z4274">
        <v>0</v>
      </c>
      <c r="AA4274">
        <v>9</v>
      </c>
      <c r="AB4274">
        <v>3</v>
      </c>
      <c r="AC4274">
        <v>0</v>
      </c>
      <c r="AD4274">
        <v>9</v>
      </c>
      <c r="AE4274">
        <v>0</v>
      </c>
      <c r="AF4274">
        <v>3</v>
      </c>
      <c r="AG4274">
        <v>1</v>
      </c>
      <c r="AH4274">
        <v>0</v>
      </c>
      <c r="AI4274" t="s">
        <v>1347</v>
      </c>
      <c r="AJ4274">
        <v>34.070341999999997</v>
      </c>
      <c r="AK4274" t="s">
        <v>1348</v>
      </c>
      <c r="AL4274">
        <v>-117.02831999999999</v>
      </c>
      <c r="AM4274">
        <v>100</v>
      </c>
      <c r="AN4274">
        <v>5200</v>
      </c>
      <c r="AO4274" t="s">
        <v>118</v>
      </c>
      <c r="AP4274">
        <v>-99</v>
      </c>
      <c r="AQ4274">
        <v>32</v>
      </c>
      <c r="AR4274">
        <v>-704</v>
      </c>
      <c r="AZ4274">
        <v>1200</v>
      </c>
      <c r="BA4274">
        <v>1</v>
      </c>
      <c r="BB4274" t="str">
        <f t="shared" si="2374"/>
        <v xml:space="preserve">N9217B  </v>
      </c>
      <c r="BC4274">
        <v>1</v>
      </c>
      <c r="BE4274">
        <v>0</v>
      </c>
      <c r="BF4274">
        <v>0</v>
      </c>
      <c r="BG4274">
        <v>0</v>
      </c>
      <c r="BH4274">
        <v>5025</v>
      </c>
      <c r="BI4274">
        <v>1</v>
      </c>
      <c r="BJ4274">
        <v>0</v>
      </c>
      <c r="BK4274">
        <v>0</v>
      </c>
      <c r="BL4274">
        <v>0</v>
      </c>
      <c r="BO4274">
        <v>0</v>
      </c>
      <c r="BP4274">
        <v>0</v>
      </c>
      <c r="BW4274" t="str">
        <f t="shared" si="2401"/>
        <v>14:59:40.490</v>
      </c>
      <c r="CJ4274">
        <v>0</v>
      </c>
      <c r="CK4274">
        <v>2</v>
      </c>
      <c r="CL4274">
        <v>0</v>
      </c>
      <c r="CM4274">
        <v>2</v>
      </c>
      <c r="CN4274">
        <v>0</v>
      </c>
      <c r="CO4274">
        <v>6</v>
      </c>
      <c r="CP4274" t="s">
        <v>119</v>
      </c>
      <c r="CQ4274">
        <v>285</v>
      </c>
      <c r="CR4274">
        <v>0</v>
      </c>
      <c r="CW4274">
        <v>8891277</v>
      </c>
      <c r="CY4274">
        <v>0</v>
      </c>
      <c r="CZ4274">
        <v>0</v>
      </c>
      <c r="DA4274">
        <v>1</v>
      </c>
      <c r="DB4274">
        <v>0</v>
      </c>
      <c r="DC4274">
        <v>0</v>
      </c>
      <c r="DD4274">
        <v>0</v>
      </c>
      <c r="DE4274">
        <v>0</v>
      </c>
      <c r="DF4274">
        <v>0</v>
      </c>
      <c r="DG4274">
        <v>0</v>
      </c>
      <c r="DH4274">
        <v>0</v>
      </c>
      <c r="DI4274">
        <v>0</v>
      </c>
    </row>
    <row r="4275" spans="1:113" x14ac:dyDescent="0.25">
      <c r="A4275" t="str">
        <f t="shared" si="2399"/>
        <v>06/05/2020 14:59:34.869</v>
      </c>
      <c r="C4275" t="str">
        <f t="shared" si="2391"/>
        <v>FFDFD3C0</v>
      </c>
      <c r="D4275" t="s">
        <v>151</v>
      </c>
      <c r="E4275">
        <v>9</v>
      </c>
      <c r="H4275">
        <v>226</v>
      </c>
      <c r="I4275" t="s">
        <v>152</v>
      </c>
      <c r="J4275" t="s">
        <v>150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 t="shared" si="2400"/>
        <v>14:59:40.484</v>
      </c>
      <c r="T4275" t="str">
        <f t="shared" si="2400"/>
        <v>14:59:40.484</v>
      </c>
      <c r="U4275" t="str">
        <f t="shared" si="2373"/>
        <v>ACC530</v>
      </c>
      <c r="V4275">
        <v>0</v>
      </c>
      <c r="W4275">
        <v>0</v>
      </c>
      <c r="X4275">
        <v>1</v>
      </c>
      <c r="Z4275">
        <v>0</v>
      </c>
      <c r="AA4275">
        <v>9</v>
      </c>
      <c r="AB4275">
        <v>3</v>
      </c>
      <c r="AC4275">
        <v>0</v>
      </c>
      <c r="AD4275">
        <v>9</v>
      </c>
      <c r="AE4275">
        <v>0</v>
      </c>
      <c r="AF4275">
        <v>3</v>
      </c>
      <c r="AG4275">
        <v>1</v>
      </c>
      <c r="AH4275">
        <v>0</v>
      </c>
      <c r="AI4275" t="s">
        <v>1347</v>
      </c>
      <c r="AJ4275">
        <v>34.070341999999997</v>
      </c>
      <c r="AK4275" t="s">
        <v>1348</v>
      </c>
      <c r="AL4275">
        <v>-117.02831999999999</v>
      </c>
      <c r="AM4275">
        <v>100</v>
      </c>
      <c r="AN4275">
        <v>5200</v>
      </c>
      <c r="AO4275" t="s">
        <v>118</v>
      </c>
      <c r="AP4275">
        <v>-99</v>
      </c>
      <c r="AQ4275">
        <v>32</v>
      </c>
      <c r="AR4275">
        <v>-704</v>
      </c>
      <c r="AZ4275">
        <v>1200</v>
      </c>
      <c r="BA4275">
        <v>1</v>
      </c>
      <c r="BB4275" t="str">
        <f t="shared" si="2374"/>
        <v xml:space="preserve">N9217B  </v>
      </c>
      <c r="BC4275">
        <v>1</v>
      </c>
      <c r="BE4275">
        <v>0</v>
      </c>
      <c r="BF4275">
        <v>0</v>
      </c>
      <c r="BG4275">
        <v>0</v>
      </c>
      <c r="BH4275">
        <v>5025</v>
      </c>
      <c r="BI4275">
        <v>1</v>
      </c>
      <c r="BJ4275">
        <v>0</v>
      </c>
      <c r="BK4275">
        <v>0</v>
      </c>
      <c r="BL4275">
        <v>0</v>
      </c>
      <c r="BO4275">
        <v>0</v>
      </c>
      <c r="BP4275">
        <v>0</v>
      </c>
      <c r="BW4275" t="str">
        <f t="shared" si="2401"/>
        <v>14:59:40.490</v>
      </c>
      <c r="CJ4275">
        <v>0</v>
      </c>
      <c r="CK4275">
        <v>2</v>
      </c>
      <c r="CL4275">
        <v>0</v>
      </c>
      <c r="CM4275">
        <v>2</v>
      </c>
      <c r="CN4275">
        <v>0</v>
      </c>
      <c r="CO4275">
        <v>6</v>
      </c>
      <c r="CP4275" t="s">
        <v>119</v>
      </c>
      <c r="CQ4275">
        <v>285</v>
      </c>
      <c r="CR4275">
        <v>0</v>
      </c>
      <c r="CW4275">
        <v>8891277</v>
      </c>
      <c r="CY4275">
        <v>0</v>
      </c>
      <c r="CZ4275">
        <v>0</v>
      </c>
      <c r="DA4275">
        <v>1</v>
      </c>
      <c r="DB4275">
        <v>0</v>
      </c>
      <c r="DC4275">
        <v>0</v>
      </c>
      <c r="DD4275">
        <v>0</v>
      </c>
      <c r="DE4275">
        <v>0</v>
      </c>
      <c r="DF4275">
        <v>0</v>
      </c>
      <c r="DG4275">
        <v>0</v>
      </c>
      <c r="DH4275">
        <v>0</v>
      </c>
      <c r="DI4275">
        <v>0</v>
      </c>
    </row>
    <row r="4276" spans="1:113" x14ac:dyDescent="0.25">
      <c r="A4276" t="str">
        <f t="shared" si="2399"/>
        <v>06/05/2020 14:59:34.869</v>
      </c>
      <c r="C4276" t="str">
        <f t="shared" si="2391"/>
        <v>FFDFD3C0</v>
      </c>
      <c r="D4276" t="s">
        <v>134</v>
      </c>
      <c r="E4276">
        <v>7</v>
      </c>
      <c r="F4276">
        <v>2007</v>
      </c>
      <c r="G4276" t="s">
        <v>135</v>
      </c>
      <c r="J4276" t="s">
        <v>136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 t="shared" si="2400"/>
        <v>14:59:40.484</v>
      </c>
      <c r="T4276" t="str">
        <f t="shared" si="2400"/>
        <v>14:59:40.484</v>
      </c>
      <c r="U4276" t="str">
        <f t="shared" si="2373"/>
        <v>ACC530</v>
      </c>
      <c r="V4276">
        <v>0</v>
      </c>
      <c r="W4276">
        <v>0</v>
      </c>
      <c r="X4276">
        <v>1</v>
      </c>
      <c r="Z4276">
        <v>0</v>
      </c>
      <c r="AA4276">
        <v>9</v>
      </c>
      <c r="AB4276">
        <v>3</v>
      </c>
      <c r="AC4276">
        <v>0</v>
      </c>
      <c r="AD4276">
        <v>9</v>
      </c>
      <c r="AE4276">
        <v>0</v>
      </c>
      <c r="AF4276">
        <v>3</v>
      </c>
      <c r="AG4276">
        <v>1</v>
      </c>
      <c r="AH4276">
        <v>0</v>
      </c>
      <c r="AI4276" t="s">
        <v>1347</v>
      </c>
      <c r="AJ4276">
        <v>34.070341999999997</v>
      </c>
      <c r="AK4276" t="s">
        <v>1348</v>
      </c>
      <c r="AL4276">
        <v>-117.02831999999999</v>
      </c>
      <c r="AM4276">
        <v>100</v>
      </c>
      <c r="AN4276">
        <v>5200</v>
      </c>
      <c r="AO4276" t="s">
        <v>118</v>
      </c>
      <c r="AP4276">
        <v>-99</v>
      </c>
      <c r="AQ4276">
        <v>32</v>
      </c>
      <c r="AR4276">
        <v>-704</v>
      </c>
      <c r="AZ4276">
        <v>1200</v>
      </c>
      <c r="BA4276">
        <v>1</v>
      </c>
      <c r="BB4276" t="str">
        <f t="shared" si="2374"/>
        <v xml:space="preserve">N9217B  </v>
      </c>
      <c r="BC4276">
        <v>1</v>
      </c>
      <c r="BE4276">
        <v>0</v>
      </c>
      <c r="BF4276">
        <v>0</v>
      </c>
      <c r="BG4276">
        <v>0</v>
      </c>
      <c r="BH4276">
        <v>5025</v>
      </c>
      <c r="BI4276">
        <v>1</v>
      </c>
      <c r="BJ4276">
        <v>0</v>
      </c>
      <c r="BK4276">
        <v>0</v>
      </c>
      <c r="BL4276">
        <v>0</v>
      </c>
      <c r="BO4276">
        <v>0</v>
      </c>
      <c r="BP4276">
        <v>0</v>
      </c>
      <c r="BW4276" t="str">
        <f t="shared" si="2401"/>
        <v>14:59:40.490</v>
      </c>
      <c r="CJ4276">
        <v>0</v>
      </c>
      <c r="CK4276">
        <v>2</v>
      </c>
      <c r="CL4276">
        <v>0</v>
      </c>
      <c r="CM4276">
        <v>2</v>
      </c>
      <c r="CN4276">
        <v>0</v>
      </c>
      <c r="CO4276">
        <v>6</v>
      </c>
      <c r="CP4276" t="s">
        <v>119</v>
      </c>
      <c r="CQ4276">
        <v>285</v>
      </c>
      <c r="CR4276">
        <v>0</v>
      </c>
      <c r="CW4276">
        <v>8891277</v>
      </c>
      <c r="CY4276">
        <v>0</v>
      </c>
      <c r="CZ4276">
        <v>0</v>
      </c>
      <c r="DA4276">
        <v>1</v>
      </c>
      <c r="DB4276">
        <v>0</v>
      </c>
      <c r="DC4276">
        <v>0</v>
      </c>
      <c r="DD4276">
        <v>0</v>
      </c>
      <c r="DE4276">
        <v>0</v>
      </c>
      <c r="DF4276">
        <v>0</v>
      </c>
      <c r="DG4276">
        <v>0</v>
      </c>
      <c r="DH4276">
        <v>0</v>
      </c>
      <c r="DI4276">
        <v>0</v>
      </c>
    </row>
    <row r="4277" spans="1:113" x14ac:dyDescent="0.25">
      <c r="A4277" t="str">
        <f t="shared" si="2399"/>
        <v>06/05/2020 14:59:34.869</v>
      </c>
      <c r="C4277" t="str">
        <f t="shared" si="2391"/>
        <v>FFDFD3C0</v>
      </c>
      <c r="D4277" t="s">
        <v>148</v>
      </c>
      <c r="E4277">
        <v>11</v>
      </c>
      <c r="H4277">
        <v>53</v>
      </c>
      <c r="I4277" t="s">
        <v>364</v>
      </c>
      <c r="J4277" t="s">
        <v>150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 t="shared" si="2400"/>
        <v>14:59:40.484</v>
      </c>
      <c r="T4277" t="str">
        <f t="shared" si="2400"/>
        <v>14:59:40.484</v>
      </c>
      <c r="U4277" t="str">
        <f t="shared" si="2373"/>
        <v>ACC530</v>
      </c>
      <c r="V4277">
        <v>0</v>
      </c>
      <c r="W4277">
        <v>0</v>
      </c>
      <c r="X4277">
        <v>1</v>
      </c>
      <c r="Z4277">
        <v>0</v>
      </c>
      <c r="AA4277">
        <v>9</v>
      </c>
      <c r="AB4277">
        <v>3</v>
      </c>
      <c r="AC4277">
        <v>0</v>
      </c>
      <c r="AD4277">
        <v>9</v>
      </c>
      <c r="AE4277">
        <v>0</v>
      </c>
      <c r="AF4277">
        <v>3</v>
      </c>
      <c r="AG4277">
        <v>1</v>
      </c>
      <c r="AH4277">
        <v>0</v>
      </c>
      <c r="AI4277" t="s">
        <v>1347</v>
      </c>
      <c r="AJ4277">
        <v>34.070341999999997</v>
      </c>
      <c r="AK4277" t="s">
        <v>1348</v>
      </c>
      <c r="AL4277">
        <v>-117.02831999999999</v>
      </c>
      <c r="AM4277">
        <v>100</v>
      </c>
      <c r="AN4277">
        <v>5200</v>
      </c>
      <c r="AO4277" t="s">
        <v>118</v>
      </c>
      <c r="AP4277">
        <v>-99</v>
      </c>
      <c r="AQ4277">
        <v>32</v>
      </c>
      <c r="AR4277">
        <v>-704</v>
      </c>
      <c r="AZ4277">
        <v>1200</v>
      </c>
      <c r="BA4277">
        <v>1</v>
      </c>
      <c r="BB4277" t="str">
        <f t="shared" si="2374"/>
        <v xml:space="preserve">N9217B  </v>
      </c>
      <c r="BC4277">
        <v>1</v>
      </c>
      <c r="BE4277">
        <v>0</v>
      </c>
      <c r="BF4277">
        <v>0</v>
      </c>
      <c r="BG4277">
        <v>0</v>
      </c>
      <c r="BH4277">
        <v>5025</v>
      </c>
      <c r="BI4277">
        <v>1</v>
      </c>
      <c r="BJ4277">
        <v>0</v>
      </c>
      <c r="BK4277">
        <v>0</v>
      </c>
      <c r="BL4277">
        <v>0</v>
      </c>
      <c r="BO4277">
        <v>0</v>
      </c>
      <c r="BP4277">
        <v>0</v>
      </c>
      <c r="BW4277" t="str">
        <f t="shared" si="2401"/>
        <v>14:59:40.490</v>
      </c>
      <c r="CJ4277">
        <v>0</v>
      </c>
      <c r="CK4277">
        <v>2</v>
      </c>
      <c r="CL4277">
        <v>0</v>
      </c>
      <c r="CM4277">
        <v>2</v>
      </c>
      <c r="CN4277">
        <v>0</v>
      </c>
      <c r="CO4277">
        <v>6</v>
      </c>
      <c r="CP4277" t="s">
        <v>119</v>
      </c>
      <c r="CQ4277">
        <v>285</v>
      </c>
      <c r="CR4277">
        <v>0</v>
      </c>
      <c r="CW4277">
        <v>8891277</v>
      </c>
      <c r="CY4277">
        <v>0</v>
      </c>
      <c r="CZ4277">
        <v>0</v>
      </c>
      <c r="DA4277">
        <v>1</v>
      </c>
      <c r="DB4277">
        <v>0</v>
      </c>
      <c r="DC4277">
        <v>0</v>
      </c>
      <c r="DD4277">
        <v>0</v>
      </c>
      <c r="DE4277">
        <v>0</v>
      </c>
      <c r="DF4277">
        <v>0</v>
      </c>
      <c r="DG4277">
        <v>0</v>
      </c>
      <c r="DH4277">
        <v>0</v>
      </c>
      <c r="DI4277">
        <v>0</v>
      </c>
    </row>
    <row r="4278" spans="1:113" x14ac:dyDescent="0.25">
      <c r="A4278" t="str">
        <f t="shared" si="2399"/>
        <v>06/05/2020 14:59:34.869</v>
      </c>
      <c r="C4278" t="str">
        <f t="shared" si="2391"/>
        <v>FFDFD3C0</v>
      </c>
      <c r="D4278" t="s">
        <v>141</v>
      </c>
      <c r="E4278">
        <v>20</v>
      </c>
      <c r="F4278">
        <v>1020</v>
      </c>
      <c r="G4278" t="s">
        <v>114</v>
      </c>
      <c r="J4278" t="s">
        <v>142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 t="shared" si="2400"/>
        <v>14:59:40.484</v>
      </c>
      <c r="T4278" t="str">
        <f t="shared" si="2400"/>
        <v>14:59:40.484</v>
      </c>
      <c r="U4278" t="str">
        <f t="shared" si="2373"/>
        <v>ACC530</v>
      </c>
      <c r="V4278">
        <v>0</v>
      </c>
      <c r="W4278">
        <v>0</v>
      </c>
      <c r="X4278">
        <v>1</v>
      </c>
      <c r="Z4278">
        <v>0</v>
      </c>
      <c r="AA4278">
        <v>9</v>
      </c>
      <c r="AB4278">
        <v>3</v>
      </c>
      <c r="AC4278">
        <v>0</v>
      </c>
      <c r="AD4278">
        <v>9</v>
      </c>
      <c r="AE4278">
        <v>0</v>
      </c>
      <c r="AF4278">
        <v>3</v>
      </c>
      <c r="AG4278">
        <v>1</v>
      </c>
      <c r="AH4278">
        <v>0</v>
      </c>
      <c r="AI4278" t="s">
        <v>1347</v>
      </c>
      <c r="AJ4278">
        <v>34.070341999999997</v>
      </c>
      <c r="AK4278" t="s">
        <v>1348</v>
      </c>
      <c r="AL4278">
        <v>-117.02831999999999</v>
      </c>
      <c r="AM4278">
        <v>100</v>
      </c>
      <c r="AN4278">
        <v>5200</v>
      </c>
      <c r="AO4278" t="s">
        <v>118</v>
      </c>
      <c r="AP4278">
        <v>-99</v>
      </c>
      <c r="AQ4278">
        <v>32</v>
      </c>
      <c r="AR4278">
        <v>-704</v>
      </c>
      <c r="AZ4278">
        <v>1200</v>
      </c>
      <c r="BA4278">
        <v>1</v>
      </c>
      <c r="BB4278" t="str">
        <f t="shared" si="2374"/>
        <v xml:space="preserve">N9217B  </v>
      </c>
      <c r="BC4278">
        <v>1</v>
      </c>
      <c r="BE4278">
        <v>0</v>
      </c>
      <c r="BF4278">
        <v>0</v>
      </c>
      <c r="BG4278">
        <v>0</v>
      </c>
      <c r="BH4278">
        <v>5025</v>
      </c>
      <c r="BI4278">
        <v>1</v>
      </c>
      <c r="BJ4278">
        <v>0</v>
      </c>
      <c r="BK4278">
        <v>0</v>
      </c>
      <c r="BL4278">
        <v>0</v>
      </c>
      <c r="BO4278">
        <v>0</v>
      </c>
      <c r="BP4278">
        <v>0</v>
      </c>
      <c r="BW4278" t="str">
        <f t="shared" si="2401"/>
        <v>14:59:40.490</v>
      </c>
      <c r="CJ4278">
        <v>0</v>
      </c>
      <c r="CK4278">
        <v>2</v>
      </c>
      <c r="CL4278">
        <v>0</v>
      </c>
      <c r="CM4278">
        <v>2</v>
      </c>
      <c r="CN4278">
        <v>0</v>
      </c>
      <c r="CO4278">
        <v>6</v>
      </c>
      <c r="CP4278" t="s">
        <v>119</v>
      </c>
      <c r="CQ4278">
        <v>285</v>
      </c>
      <c r="CR4278">
        <v>0</v>
      </c>
      <c r="CW4278">
        <v>8891277</v>
      </c>
      <c r="CY4278">
        <v>0</v>
      </c>
      <c r="CZ4278">
        <v>0</v>
      </c>
      <c r="DA4278">
        <v>1</v>
      </c>
      <c r="DB4278">
        <v>0</v>
      </c>
      <c r="DC4278">
        <v>0</v>
      </c>
      <c r="DD4278">
        <v>0</v>
      </c>
      <c r="DE4278">
        <v>0</v>
      </c>
      <c r="DF4278">
        <v>0</v>
      </c>
      <c r="DG4278">
        <v>0</v>
      </c>
      <c r="DH4278">
        <v>0</v>
      </c>
      <c r="DI4278">
        <v>0</v>
      </c>
    </row>
    <row r="4279" spans="1:113" x14ac:dyDescent="0.25">
      <c r="A4279" t="str">
        <f t="shared" si="2399"/>
        <v>06/05/2020 14:59:34.869</v>
      </c>
      <c r="C4279" t="str">
        <f t="shared" si="2391"/>
        <v>FFDFD3C0</v>
      </c>
      <c r="D4279" t="s">
        <v>113</v>
      </c>
      <c r="E4279">
        <v>3</v>
      </c>
      <c r="H4279">
        <v>166</v>
      </c>
      <c r="I4279" t="s">
        <v>114</v>
      </c>
      <c r="J4279" t="s">
        <v>115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 t="shared" si="2400"/>
        <v>14:59:40.484</v>
      </c>
      <c r="T4279" t="str">
        <f t="shared" si="2400"/>
        <v>14:59:40.484</v>
      </c>
      <c r="U4279" t="str">
        <f t="shared" si="2373"/>
        <v>ACC530</v>
      </c>
      <c r="V4279">
        <v>0</v>
      </c>
      <c r="W4279">
        <v>0</v>
      </c>
      <c r="X4279">
        <v>1</v>
      </c>
      <c r="Z4279">
        <v>0</v>
      </c>
      <c r="AA4279">
        <v>9</v>
      </c>
      <c r="AB4279">
        <v>3</v>
      </c>
      <c r="AC4279">
        <v>0</v>
      </c>
      <c r="AD4279">
        <v>9</v>
      </c>
      <c r="AE4279">
        <v>0</v>
      </c>
      <c r="AF4279">
        <v>3</v>
      </c>
      <c r="AG4279">
        <v>1</v>
      </c>
      <c r="AH4279">
        <v>0</v>
      </c>
      <c r="AI4279" t="s">
        <v>1347</v>
      </c>
      <c r="AJ4279">
        <v>34.070341999999997</v>
      </c>
      <c r="AK4279" t="s">
        <v>1348</v>
      </c>
      <c r="AL4279">
        <v>-117.02831999999999</v>
      </c>
      <c r="AM4279">
        <v>100</v>
      </c>
      <c r="AN4279">
        <v>5200</v>
      </c>
      <c r="AO4279" t="s">
        <v>118</v>
      </c>
      <c r="AP4279">
        <v>-99</v>
      </c>
      <c r="AQ4279">
        <v>32</v>
      </c>
      <c r="AR4279">
        <v>-704</v>
      </c>
      <c r="AZ4279">
        <v>1200</v>
      </c>
      <c r="BA4279">
        <v>1</v>
      </c>
      <c r="BB4279" t="str">
        <f t="shared" si="2374"/>
        <v xml:space="preserve">N9217B  </v>
      </c>
      <c r="BC4279">
        <v>1</v>
      </c>
      <c r="BE4279">
        <v>0</v>
      </c>
      <c r="BF4279">
        <v>0</v>
      </c>
      <c r="BG4279">
        <v>0</v>
      </c>
      <c r="BH4279">
        <v>5025</v>
      </c>
      <c r="BI4279">
        <v>1</v>
      </c>
      <c r="BJ4279">
        <v>0</v>
      </c>
      <c r="BK4279">
        <v>0</v>
      </c>
      <c r="BL4279">
        <v>0</v>
      </c>
      <c r="BO4279">
        <v>0</v>
      </c>
      <c r="BP4279">
        <v>0</v>
      </c>
      <c r="BW4279" t="str">
        <f t="shared" si="2401"/>
        <v>14:59:40.490</v>
      </c>
      <c r="CJ4279">
        <v>0</v>
      </c>
      <c r="CK4279">
        <v>2</v>
      </c>
      <c r="CL4279">
        <v>0</v>
      </c>
      <c r="CM4279">
        <v>2</v>
      </c>
      <c r="CN4279">
        <v>0</v>
      </c>
      <c r="CO4279">
        <v>6</v>
      </c>
      <c r="CP4279" t="s">
        <v>119</v>
      </c>
      <c r="CQ4279">
        <v>285</v>
      </c>
      <c r="CR4279">
        <v>0</v>
      </c>
      <c r="CW4279">
        <v>8891277</v>
      </c>
      <c r="CY4279">
        <v>0</v>
      </c>
      <c r="CZ4279">
        <v>0</v>
      </c>
      <c r="DA4279">
        <v>1</v>
      </c>
      <c r="DB4279">
        <v>0</v>
      </c>
      <c r="DC4279">
        <v>0</v>
      </c>
      <c r="DD4279">
        <v>0</v>
      </c>
      <c r="DE4279">
        <v>0</v>
      </c>
      <c r="DF4279">
        <v>0</v>
      </c>
      <c r="DG4279">
        <v>0</v>
      </c>
      <c r="DH4279">
        <v>0</v>
      </c>
      <c r="DI4279">
        <v>0</v>
      </c>
    </row>
    <row r="4280" spans="1:113" x14ac:dyDescent="0.25">
      <c r="A4280" t="str">
        <f t="shared" ref="A4280:A4286" si="2402">"06/05/2020 14:59:35.947"</f>
        <v>06/05/2020 14:59:35.947</v>
      </c>
      <c r="C4280" t="str">
        <f t="shared" si="2391"/>
        <v>FFDFD3C0</v>
      </c>
      <c r="D4280" t="s">
        <v>134</v>
      </c>
      <c r="E4280">
        <v>7</v>
      </c>
      <c r="F4280">
        <v>2007</v>
      </c>
      <c r="G4280" t="s">
        <v>135</v>
      </c>
      <c r="J4280" t="s">
        <v>136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 t="shared" ref="S4280:S4286" si="2403">"14:59:41.555"</f>
        <v>14:59:41.555</v>
      </c>
      <c r="T4280" t="str">
        <f t="shared" ref="T4280:T4286" si="2404">"14:59:41.055"</f>
        <v>14:59:41.055</v>
      </c>
      <c r="U4280" t="str">
        <f t="shared" si="2373"/>
        <v>ACC530</v>
      </c>
      <c r="V4280">
        <v>0</v>
      </c>
      <c r="W4280">
        <v>0</v>
      </c>
      <c r="X4280">
        <v>1</v>
      </c>
      <c r="Z4280">
        <v>0</v>
      </c>
      <c r="AA4280">
        <v>9</v>
      </c>
      <c r="AB4280">
        <v>3</v>
      </c>
      <c r="AC4280">
        <v>0</v>
      </c>
      <c r="AD4280">
        <v>9</v>
      </c>
      <c r="AE4280">
        <v>0</v>
      </c>
      <c r="AF4280">
        <v>3</v>
      </c>
      <c r="AG4280">
        <v>1</v>
      </c>
      <c r="AH4280">
        <v>0</v>
      </c>
      <c r="AI4280" t="s">
        <v>1207</v>
      </c>
      <c r="AJ4280">
        <v>34.070535</v>
      </c>
      <c r="AK4280" t="s">
        <v>769</v>
      </c>
      <c r="AL4280">
        <v>-117.028942</v>
      </c>
      <c r="AM4280">
        <v>100</v>
      </c>
      <c r="AN4280">
        <v>5200</v>
      </c>
      <c r="AO4280" t="s">
        <v>118</v>
      </c>
      <c r="AP4280">
        <v>-100</v>
      </c>
      <c r="AQ4280">
        <v>31</v>
      </c>
      <c r="AR4280">
        <v>-768</v>
      </c>
      <c r="AZ4280">
        <v>1200</v>
      </c>
      <c r="BA4280">
        <v>1</v>
      </c>
      <c r="BB4280" t="str">
        <f t="shared" si="2374"/>
        <v xml:space="preserve">N9217B  </v>
      </c>
      <c r="BC4280">
        <v>1</v>
      </c>
      <c r="BE4280">
        <v>0</v>
      </c>
      <c r="BF4280">
        <v>0</v>
      </c>
      <c r="BG4280">
        <v>0</v>
      </c>
      <c r="BH4280">
        <v>5025</v>
      </c>
      <c r="BI4280">
        <v>1</v>
      </c>
      <c r="BJ4280">
        <v>0</v>
      </c>
      <c r="BK4280">
        <v>0</v>
      </c>
      <c r="BL4280">
        <v>0</v>
      </c>
      <c r="BO4280">
        <v>0</v>
      </c>
      <c r="BP4280">
        <v>0</v>
      </c>
      <c r="BW4280" t="str">
        <f t="shared" ref="BW4280:BW4286" si="2405">"14:59:41.555"</f>
        <v>14:59:41.555</v>
      </c>
      <c r="CJ4280">
        <v>0</v>
      </c>
      <c r="CK4280">
        <v>2</v>
      </c>
      <c r="CL4280">
        <v>0</v>
      </c>
      <c r="CM4280">
        <v>2</v>
      </c>
      <c r="CN4280">
        <v>0</v>
      </c>
      <c r="CO4280">
        <v>6</v>
      </c>
      <c r="CP4280" t="s">
        <v>119</v>
      </c>
      <c r="CQ4280">
        <v>285</v>
      </c>
      <c r="CR4280">
        <v>0</v>
      </c>
      <c r="CW4280">
        <v>8891384</v>
      </c>
      <c r="CY4280">
        <v>0</v>
      </c>
      <c r="CZ4280">
        <v>0</v>
      </c>
      <c r="DA4280">
        <v>0</v>
      </c>
      <c r="DB4280">
        <v>0</v>
      </c>
      <c r="DC4280">
        <v>0</v>
      </c>
      <c r="DD4280">
        <v>0</v>
      </c>
      <c r="DE4280">
        <v>0</v>
      </c>
      <c r="DF4280">
        <v>0</v>
      </c>
      <c r="DG4280">
        <v>0</v>
      </c>
      <c r="DH4280">
        <v>0</v>
      </c>
      <c r="DI4280">
        <v>0</v>
      </c>
    </row>
    <row r="4281" spans="1:113" x14ac:dyDescent="0.25">
      <c r="A4281" t="str">
        <f t="shared" si="2402"/>
        <v>06/05/2020 14:59:35.947</v>
      </c>
      <c r="C4281" t="str">
        <f t="shared" si="2391"/>
        <v>FFDFD3C0</v>
      </c>
      <c r="D4281" t="s">
        <v>148</v>
      </c>
      <c r="E4281">
        <v>8</v>
      </c>
      <c r="H4281">
        <v>50</v>
      </c>
      <c r="I4281" t="s">
        <v>149</v>
      </c>
      <c r="J4281" t="s">
        <v>150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 t="shared" si="2403"/>
        <v>14:59:41.555</v>
      </c>
      <c r="T4281" t="str">
        <f t="shared" si="2404"/>
        <v>14:59:41.055</v>
      </c>
      <c r="U4281" t="str">
        <f t="shared" si="2373"/>
        <v>ACC530</v>
      </c>
      <c r="V4281">
        <v>0</v>
      </c>
      <c r="W4281">
        <v>0</v>
      </c>
      <c r="X4281">
        <v>1</v>
      </c>
      <c r="Z4281">
        <v>0</v>
      </c>
      <c r="AA4281">
        <v>9</v>
      </c>
      <c r="AB4281">
        <v>3</v>
      </c>
      <c r="AC4281">
        <v>0</v>
      </c>
      <c r="AD4281">
        <v>9</v>
      </c>
      <c r="AE4281">
        <v>0</v>
      </c>
      <c r="AF4281">
        <v>3</v>
      </c>
      <c r="AG4281">
        <v>1</v>
      </c>
      <c r="AH4281">
        <v>0</v>
      </c>
      <c r="AI4281" t="s">
        <v>1207</v>
      </c>
      <c r="AJ4281">
        <v>34.070535</v>
      </c>
      <c r="AK4281" t="s">
        <v>769</v>
      </c>
      <c r="AL4281">
        <v>-117.028942</v>
      </c>
      <c r="AM4281">
        <v>100</v>
      </c>
      <c r="AN4281">
        <v>5200</v>
      </c>
      <c r="AO4281" t="s">
        <v>118</v>
      </c>
      <c r="AP4281">
        <v>-100</v>
      </c>
      <c r="AQ4281">
        <v>31</v>
      </c>
      <c r="AR4281">
        <v>-768</v>
      </c>
      <c r="AZ4281">
        <v>1200</v>
      </c>
      <c r="BA4281">
        <v>1</v>
      </c>
      <c r="BB4281" t="str">
        <f t="shared" si="2374"/>
        <v xml:space="preserve">N9217B  </v>
      </c>
      <c r="BC4281">
        <v>1</v>
      </c>
      <c r="BE4281">
        <v>0</v>
      </c>
      <c r="BF4281">
        <v>0</v>
      </c>
      <c r="BG4281">
        <v>0</v>
      </c>
      <c r="BH4281">
        <v>5025</v>
      </c>
      <c r="BI4281">
        <v>1</v>
      </c>
      <c r="BJ4281">
        <v>0</v>
      </c>
      <c r="BK4281">
        <v>0</v>
      </c>
      <c r="BL4281">
        <v>0</v>
      </c>
      <c r="BO4281">
        <v>0</v>
      </c>
      <c r="BP4281">
        <v>0</v>
      </c>
      <c r="BW4281" t="str">
        <f t="shared" si="2405"/>
        <v>14:59:41.555</v>
      </c>
      <c r="CJ4281">
        <v>0</v>
      </c>
      <c r="CK4281">
        <v>2</v>
      </c>
      <c r="CL4281">
        <v>0</v>
      </c>
      <c r="CM4281">
        <v>2</v>
      </c>
      <c r="CN4281">
        <v>0</v>
      </c>
      <c r="CO4281">
        <v>6</v>
      </c>
      <c r="CP4281" t="s">
        <v>119</v>
      </c>
      <c r="CQ4281">
        <v>285</v>
      </c>
      <c r="CR4281">
        <v>0</v>
      </c>
      <c r="CW4281">
        <v>8891384</v>
      </c>
      <c r="CY4281">
        <v>0</v>
      </c>
      <c r="CZ4281">
        <v>0</v>
      </c>
      <c r="DA4281">
        <v>1</v>
      </c>
      <c r="DB4281">
        <v>0</v>
      </c>
      <c r="DC4281">
        <v>0</v>
      </c>
      <c r="DD4281">
        <v>0</v>
      </c>
      <c r="DE4281">
        <v>0</v>
      </c>
      <c r="DF4281">
        <v>0</v>
      </c>
      <c r="DG4281">
        <v>0</v>
      </c>
      <c r="DH4281">
        <v>0</v>
      </c>
      <c r="DI4281">
        <v>0</v>
      </c>
    </row>
    <row r="4282" spans="1:113" x14ac:dyDescent="0.25">
      <c r="A4282" t="str">
        <f t="shared" si="2402"/>
        <v>06/05/2020 14:59:35.947</v>
      </c>
      <c r="C4282" t="str">
        <f t="shared" si="2391"/>
        <v>FFDFD3C0</v>
      </c>
      <c r="D4282" t="s">
        <v>141</v>
      </c>
      <c r="E4282">
        <v>20</v>
      </c>
      <c r="F4282">
        <v>1020</v>
      </c>
      <c r="G4282" t="s">
        <v>114</v>
      </c>
      <c r="J4282" t="s">
        <v>142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 t="shared" si="2403"/>
        <v>14:59:41.555</v>
      </c>
      <c r="T4282" t="str">
        <f t="shared" si="2404"/>
        <v>14:59:41.055</v>
      </c>
      <c r="U4282" t="str">
        <f t="shared" si="2373"/>
        <v>ACC530</v>
      </c>
      <c r="V4282">
        <v>0</v>
      </c>
      <c r="W4282">
        <v>0</v>
      </c>
      <c r="X4282">
        <v>1</v>
      </c>
      <c r="Z4282">
        <v>0</v>
      </c>
      <c r="AA4282">
        <v>9</v>
      </c>
      <c r="AB4282">
        <v>3</v>
      </c>
      <c r="AC4282">
        <v>0</v>
      </c>
      <c r="AD4282">
        <v>9</v>
      </c>
      <c r="AE4282">
        <v>0</v>
      </c>
      <c r="AF4282">
        <v>3</v>
      </c>
      <c r="AG4282">
        <v>1</v>
      </c>
      <c r="AH4282">
        <v>0</v>
      </c>
      <c r="AI4282" t="s">
        <v>1207</v>
      </c>
      <c r="AJ4282">
        <v>34.070535</v>
      </c>
      <c r="AK4282" t="s">
        <v>769</v>
      </c>
      <c r="AL4282">
        <v>-117.028942</v>
      </c>
      <c r="AM4282">
        <v>100</v>
      </c>
      <c r="AN4282">
        <v>5200</v>
      </c>
      <c r="AO4282" t="s">
        <v>118</v>
      </c>
      <c r="AP4282">
        <v>-100</v>
      </c>
      <c r="AQ4282">
        <v>31</v>
      </c>
      <c r="AR4282">
        <v>-768</v>
      </c>
      <c r="AZ4282">
        <v>1200</v>
      </c>
      <c r="BA4282">
        <v>1</v>
      </c>
      <c r="BB4282" t="str">
        <f t="shared" si="2374"/>
        <v xml:space="preserve">N9217B  </v>
      </c>
      <c r="BC4282">
        <v>1</v>
      </c>
      <c r="BE4282">
        <v>0</v>
      </c>
      <c r="BF4282">
        <v>0</v>
      </c>
      <c r="BG4282">
        <v>0</v>
      </c>
      <c r="BH4282">
        <v>5025</v>
      </c>
      <c r="BI4282">
        <v>1</v>
      </c>
      <c r="BJ4282">
        <v>0</v>
      </c>
      <c r="BK4282">
        <v>0</v>
      </c>
      <c r="BL4282">
        <v>0</v>
      </c>
      <c r="BO4282">
        <v>0</v>
      </c>
      <c r="BP4282">
        <v>0</v>
      </c>
      <c r="BW4282" t="str">
        <f t="shared" si="2405"/>
        <v>14:59:41.555</v>
      </c>
      <c r="CJ4282">
        <v>0</v>
      </c>
      <c r="CK4282">
        <v>2</v>
      </c>
      <c r="CL4282">
        <v>0</v>
      </c>
      <c r="CM4282">
        <v>2</v>
      </c>
      <c r="CN4282">
        <v>0</v>
      </c>
      <c r="CO4282">
        <v>6</v>
      </c>
      <c r="CP4282" t="s">
        <v>119</v>
      </c>
      <c r="CQ4282">
        <v>285</v>
      </c>
      <c r="CR4282">
        <v>0</v>
      </c>
      <c r="CW4282">
        <v>8891384</v>
      </c>
      <c r="CY4282">
        <v>0</v>
      </c>
      <c r="CZ4282">
        <v>0</v>
      </c>
      <c r="DA4282">
        <v>1</v>
      </c>
      <c r="DB4282">
        <v>0</v>
      </c>
      <c r="DC4282">
        <v>0</v>
      </c>
      <c r="DD4282">
        <v>0</v>
      </c>
      <c r="DE4282">
        <v>0</v>
      </c>
      <c r="DF4282">
        <v>0</v>
      </c>
      <c r="DG4282">
        <v>0</v>
      </c>
      <c r="DH4282">
        <v>0</v>
      </c>
      <c r="DI4282">
        <v>0</v>
      </c>
    </row>
    <row r="4283" spans="1:113" x14ac:dyDescent="0.25">
      <c r="A4283" t="str">
        <f t="shared" si="2402"/>
        <v>06/05/2020 14:59:35.947</v>
      </c>
      <c r="C4283" t="str">
        <f t="shared" si="2391"/>
        <v>FFDFD3C0</v>
      </c>
      <c r="D4283" t="s">
        <v>151</v>
      </c>
      <c r="E4283">
        <v>9</v>
      </c>
      <c r="H4283">
        <v>226</v>
      </c>
      <c r="I4283" t="s">
        <v>152</v>
      </c>
      <c r="J4283" t="s">
        <v>150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 t="shared" si="2403"/>
        <v>14:59:41.555</v>
      </c>
      <c r="T4283" t="str">
        <f t="shared" si="2404"/>
        <v>14:59:41.055</v>
      </c>
      <c r="U4283" t="str">
        <f t="shared" si="2373"/>
        <v>ACC530</v>
      </c>
      <c r="V4283">
        <v>0</v>
      </c>
      <c r="W4283">
        <v>0</v>
      </c>
      <c r="X4283">
        <v>1</v>
      </c>
      <c r="Z4283">
        <v>0</v>
      </c>
      <c r="AA4283">
        <v>9</v>
      </c>
      <c r="AB4283">
        <v>3</v>
      </c>
      <c r="AC4283">
        <v>0</v>
      </c>
      <c r="AD4283">
        <v>9</v>
      </c>
      <c r="AE4283">
        <v>0</v>
      </c>
      <c r="AF4283">
        <v>3</v>
      </c>
      <c r="AG4283">
        <v>1</v>
      </c>
      <c r="AH4283">
        <v>0</v>
      </c>
      <c r="AI4283" t="s">
        <v>1207</v>
      </c>
      <c r="AJ4283">
        <v>34.070535</v>
      </c>
      <c r="AK4283" t="s">
        <v>769</v>
      </c>
      <c r="AL4283">
        <v>-117.028942</v>
      </c>
      <c r="AM4283">
        <v>100</v>
      </c>
      <c r="AN4283">
        <v>5200</v>
      </c>
      <c r="AO4283" t="s">
        <v>118</v>
      </c>
      <c r="AP4283">
        <v>-100</v>
      </c>
      <c r="AQ4283">
        <v>31</v>
      </c>
      <c r="AR4283">
        <v>-768</v>
      </c>
      <c r="AZ4283">
        <v>1200</v>
      </c>
      <c r="BA4283">
        <v>1</v>
      </c>
      <c r="BB4283" t="str">
        <f t="shared" si="2374"/>
        <v xml:space="preserve">N9217B  </v>
      </c>
      <c r="BC4283">
        <v>1</v>
      </c>
      <c r="BE4283">
        <v>0</v>
      </c>
      <c r="BF4283">
        <v>0</v>
      </c>
      <c r="BG4283">
        <v>0</v>
      </c>
      <c r="BH4283">
        <v>5025</v>
      </c>
      <c r="BI4283">
        <v>1</v>
      </c>
      <c r="BJ4283">
        <v>0</v>
      </c>
      <c r="BK4283">
        <v>0</v>
      </c>
      <c r="BL4283">
        <v>0</v>
      </c>
      <c r="BO4283">
        <v>0</v>
      </c>
      <c r="BP4283">
        <v>0</v>
      </c>
      <c r="BW4283" t="str">
        <f t="shared" si="2405"/>
        <v>14:59:41.555</v>
      </c>
      <c r="CJ4283">
        <v>0</v>
      </c>
      <c r="CK4283">
        <v>2</v>
      </c>
      <c r="CL4283">
        <v>0</v>
      </c>
      <c r="CM4283">
        <v>2</v>
      </c>
      <c r="CN4283">
        <v>0</v>
      </c>
      <c r="CO4283">
        <v>6</v>
      </c>
      <c r="CP4283" t="s">
        <v>119</v>
      </c>
      <c r="CQ4283">
        <v>285</v>
      </c>
      <c r="CR4283">
        <v>0</v>
      </c>
      <c r="CW4283">
        <v>8891384</v>
      </c>
      <c r="CY4283">
        <v>0</v>
      </c>
      <c r="CZ4283">
        <v>0</v>
      </c>
      <c r="DA4283">
        <v>1</v>
      </c>
      <c r="DB4283">
        <v>0</v>
      </c>
      <c r="DC4283">
        <v>0</v>
      </c>
      <c r="DD4283">
        <v>0</v>
      </c>
      <c r="DE4283">
        <v>0</v>
      </c>
      <c r="DF4283">
        <v>0</v>
      </c>
      <c r="DG4283">
        <v>0</v>
      </c>
      <c r="DH4283">
        <v>0</v>
      </c>
      <c r="DI4283">
        <v>0</v>
      </c>
    </row>
    <row r="4284" spans="1:113" x14ac:dyDescent="0.25">
      <c r="A4284" t="str">
        <f t="shared" si="2402"/>
        <v>06/05/2020 14:59:35.947</v>
      </c>
      <c r="C4284" t="str">
        <f t="shared" si="2391"/>
        <v>FFDFD3C0</v>
      </c>
      <c r="D4284" t="s">
        <v>113</v>
      </c>
      <c r="E4284">
        <v>3</v>
      </c>
      <c r="H4284">
        <v>166</v>
      </c>
      <c r="I4284" t="s">
        <v>114</v>
      </c>
      <c r="J4284" t="s">
        <v>115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 t="shared" si="2403"/>
        <v>14:59:41.555</v>
      </c>
      <c r="T4284" t="str">
        <f t="shared" si="2404"/>
        <v>14:59:41.055</v>
      </c>
      <c r="U4284" t="str">
        <f t="shared" si="2373"/>
        <v>ACC530</v>
      </c>
      <c r="V4284">
        <v>0</v>
      </c>
      <c r="W4284">
        <v>0</v>
      </c>
      <c r="X4284">
        <v>1</v>
      </c>
      <c r="Z4284">
        <v>0</v>
      </c>
      <c r="AA4284">
        <v>9</v>
      </c>
      <c r="AB4284">
        <v>3</v>
      </c>
      <c r="AC4284">
        <v>0</v>
      </c>
      <c r="AD4284">
        <v>9</v>
      </c>
      <c r="AE4284">
        <v>0</v>
      </c>
      <c r="AF4284">
        <v>3</v>
      </c>
      <c r="AG4284">
        <v>1</v>
      </c>
      <c r="AH4284">
        <v>0</v>
      </c>
      <c r="AI4284" t="s">
        <v>1207</v>
      </c>
      <c r="AJ4284">
        <v>34.070535</v>
      </c>
      <c r="AK4284" t="s">
        <v>769</v>
      </c>
      <c r="AL4284">
        <v>-117.028942</v>
      </c>
      <c r="AM4284">
        <v>100</v>
      </c>
      <c r="AN4284">
        <v>5200</v>
      </c>
      <c r="AO4284" t="s">
        <v>118</v>
      </c>
      <c r="AP4284">
        <v>-100</v>
      </c>
      <c r="AQ4284">
        <v>31</v>
      </c>
      <c r="AR4284">
        <v>-768</v>
      </c>
      <c r="AZ4284">
        <v>1200</v>
      </c>
      <c r="BA4284">
        <v>1</v>
      </c>
      <c r="BB4284" t="str">
        <f t="shared" si="2374"/>
        <v xml:space="preserve">N9217B  </v>
      </c>
      <c r="BC4284">
        <v>1</v>
      </c>
      <c r="BE4284">
        <v>0</v>
      </c>
      <c r="BF4284">
        <v>0</v>
      </c>
      <c r="BG4284">
        <v>0</v>
      </c>
      <c r="BH4284">
        <v>5025</v>
      </c>
      <c r="BI4284">
        <v>1</v>
      </c>
      <c r="BJ4284">
        <v>0</v>
      </c>
      <c r="BK4284">
        <v>0</v>
      </c>
      <c r="BL4284">
        <v>0</v>
      </c>
      <c r="BO4284">
        <v>0</v>
      </c>
      <c r="BP4284">
        <v>0</v>
      </c>
      <c r="BW4284" t="str">
        <f t="shared" si="2405"/>
        <v>14:59:41.555</v>
      </c>
      <c r="CJ4284">
        <v>0</v>
      </c>
      <c r="CK4284">
        <v>2</v>
      </c>
      <c r="CL4284">
        <v>0</v>
      </c>
      <c r="CM4284">
        <v>2</v>
      </c>
      <c r="CN4284">
        <v>0</v>
      </c>
      <c r="CO4284">
        <v>6</v>
      </c>
      <c r="CP4284" t="s">
        <v>119</v>
      </c>
      <c r="CQ4284">
        <v>285</v>
      </c>
      <c r="CR4284">
        <v>0</v>
      </c>
      <c r="CW4284">
        <v>8891384</v>
      </c>
      <c r="CY4284">
        <v>0</v>
      </c>
      <c r="CZ4284">
        <v>0</v>
      </c>
      <c r="DA4284">
        <v>1</v>
      </c>
      <c r="DB4284">
        <v>0</v>
      </c>
      <c r="DC4284">
        <v>0</v>
      </c>
      <c r="DD4284">
        <v>0</v>
      </c>
      <c r="DE4284">
        <v>0</v>
      </c>
      <c r="DF4284">
        <v>0</v>
      </c>
      <c r="DG4284">
        <v>0</v>
      </c>
      <c r="DH4284">
        <v>0</v>
      </c>
      <c r="DI4284">
        <v>0</v>
      </c>
    </row>
    <row r="4285" spans="1:113" x14ac:dyDescent="0.25">
      <c r="A4285" t="str">
        <f t="shared" si="2402"/>
        <v>06/05/2020 14:59:35.947</v>
      </c>
      <c r="C4285" t="str">
        <f t="shared" si="2391"/>
        <v>FFDFD3C0</v>
      </c>
      <c r="D4285" t="s">
        <v>148</v>
      </c>
      <c r="E4285">
        <v>11</v>
      </c>
      <c r="H4285">
        <v>53</v>
      </c>
      <c r="I4285" t="s">
        <v>364</v>
      </c>
      <c r="J4285" t="s">
        <v>150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 t="shared" si="2403"/>
        <v>14:59:41.555</v>
      </c>
      <c r="T4285" t="str">
        <f t="shared" si="2404"/>
        <v>14:59:41.055</v>
      </c>
      <c r="U4285" t="str">
        <f t="shared" si="2373"/>
        <v>ACC530</v>
      </c>
      <c r="V4285">
        <v>0</v>
      </c>
      <c r="W4285">
        <v>0</v>
      </c>
      <c r="X4285">
        <v>1</v>
      </c>
      <c r="Z4285">
        <v>0</v>
      </c>
      <c r="AA4285">
        <v>9</v>
      </c>
      <c r="AB4285">
        <v>3</v>
      </c>
      <c r="AC4285">
        <v>0</v>
      </c>
      <c r="AD4285">
        <v>9</v>
      </c>
      <c r="AE4285">
        <v>0</v>
      </c>
      <c r="AF4285">
        <v>3</v>
      </c>
      <c r="AG4285">
        <v>1</v>
      </c>
      <c r="AH4285">
        <v>0</v>
      </c>
      <c r="AI4285" t="s">
        <v>1207</v>
      </c>
      <c r="AJ4285">
        <v>34.070535</v>
      </c>
      <c r="AK4285" t="s">
        <v>769</v>
      </c>
      <c r="AL4285">
        <v>-117.028942</v>
      </c>
      <c r="AM4285">
        <v>100</v>
      </c>
      <c r="AN4285">
        <v>5200</v>
      </c>
      <c r="AO4285" t="s">
        <v>118</v>
      </c>
      <c r="AP4285">
        <v>-100</v>
      </c>
      <c r="AQ4285">
        <v>31</v>
      </c>
      <c r="AR4285">
        <v>-768</v>
      </c>
      <c r="AZ4285">
        <v>1200</v>
      </c>
      <c r="BA4285">
        <v>1</v>
      </c>
      <c r="BB4285" t="str">
        <f t="shared" si="2374"/>
        <v xml:space="preserve">N9217B  </v>
      </c>
      <c r="BC4285">
        <v>1</v>
      </c>
      <c r="BE4285">
        <v>0</v>
      </c>
      <c r="BF4285">
        <v>0</v>
      </c>
      <c r="BG4285">
        <v>0</v>
      </c>
      <c r="BH4285">
        <v>5025</v>
      </c>
      <c r="BI4285">
        <v>1</v>
      </c>
      <c r="BJ4285">
        <v>0</v>
      </c>
      <c r="BK4285">
        <v>0</v>
      </c>
      <c r="BL4285">
        <v>0</v>
      </c>
      <c r="BO4285">
        <v>0</v>
      </c>
      <c r="BP4285">
        <v>0</v>
      </c>
      <c r="BW4285" t="str">
        <f t="shared" si="2405"/>
        <v>14:59:41.555</v>
      </c>
      <c r="CJ4285">
        <v>0</v>
      </c>
      <c r="CK4285">
        <v>2</v>
      </c>
      <c r="CL4285">
        <v>0</v>
      </c>
      <c r="CM4285">
        <v>2</v>
      </c>
      <c r="CN4285">
        <v>0</v>
      </c>
      <c r="CO4285">
        <v>6</v>
      </c>
      <c r="CP4285" t="s">
        <v>119</v>
      </c>
      <c r="CQ4285">
        <v>285</v>
      </c>
      <c r="CR4285">
        <v>0</v>
      </c>
      <c r="CW4285">
        <v>8891384</v>
      </c>
      <c r="CY4285">
        <v>0</v>
      </c>
      <c r="CZ4285">
        <v>0</v>
      </c>
      <c r="DA4285">
        <v>1</v>
      </c>
      <c r="DB4285">
        <v>0</v>
      </c>
      <c r="DC4285">
        <v>0</v>
      </c>
      <c r="DD4285">
        <v>0</v>
      </c>
      <c r="DE4285">
        <v>0</v>
      </c>
      <c r="DF4285">
        <v>0</v>
      </c>
      <c r="DG4285">
        <v>0</v>
      </c>
      <c r="DH4285">
        <v>0</v>
      </c>
      <c r="DI4285">
        <v>0</v>
      </c>
    </row>
    <row r="4286" spans="1:113" x14ac:dyDescent="0.25">
      <c r="A4286" t="str">
        <f t="shared" si="2402"/>
        <v>06/05/2020 14:59:35.947</v>
      </c>
      <c r="C4286" t="str">
        <f t="shared" si="2391"/>
        <v>FFDFD3C0</v>
      </c>
      <c r="D4286" t="s">
        <v>151</v>
      </c>
      <c r="E4286">
        <v>8</v>
      </c>
      <c r="H4286">
        <v>225</v>
      </c>
      <c r="I4286" t="s">
        <v>353</v>
      </c>
      <c r="J4286" t="s">
        <v>150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 t="shared" si="2403"/>
        <v>14:59:41.555</v>
      </c>
      <c r="T4286" t="str">
        <f t="shared" si="2404"/>
        <v>14:59:41.055</v>
      </c>
      <c r="U4286" t="str">
        <f t="shared" si="2373"/>
        <v>ACC530</v>
      </c>
      <c r="V4286">
        <v>0</v>
      </c>
      <c r="W4286">
        <v>0</v>
      </c>
      <c r="X4286">
        <v>1</v>
      </c>
      <c r="Z4286">
        <v>0</v>
      </c>
      <c r="AA4286">
        <v>9</v>
      </c>
      <c r="AB4286">
        <v>3</v>
      </c>
      <c r="AC4286">
        <v>0</v>
      </c>
      <c r="AD4286">
        <v>9</v>
      </c>
      <c r="AE4286">
        <v>0</v>
      </c>
      <c r="AF4286">
        <v>3</v>
      </c>
      <c r="AG4286">
        <v>1</v>
      </c>
      <c r="AH4286">
        <v>0</v>
      </c>
      <c r="AI4286" t="s">
        <v>1207</v>
      </c>
      <c r="AJ4286">
        <v>34.070535</v>
      </c>
      <c r="AK4286" t="s">
        <v>769</v>
      </c>
      <c r="AL4286">
        <v>-117.028942</v>
      </c>
      <c r="AM4286">
        <v>100</v>
      </c>
      <c r="AN4286">
        <v>5200</v>
      </c>
      <c r="AO4286" t="s">
        <v>118</v>
      </c>
      <c r="AP4286">
        <v>-100</v>
      </c>
      <c r="AQ4286">
        <v>31</v>
      </c>
      <c r="AR4286">
        <v>-768</v>
      </c>
      <c r="AZ4286">
        <v>1200</v>
      </c>
      <c r="BA4286">
        <v>1</v>
      </c>
      <c r="BB4286" t="str">
        <f t="shared" si="2374"/>
        <v xml:space="preserve">N9217B  </v>
      </c>
      <c r="BC4286">
        <v>1</v>
      </c>
      <c r="BE4286">
        <v>0</v>
      </c>
      <c r="BF4286">
        <v>0</v>
      </c>
      <c r="BG4286">
        <v>0</v>
      </c>
      <c r="BH4286">
        <v>5025</v>
      </c>
      <c r="BI4286">
        <v>1</v>
      </c>
      <c r="BJ4286">
        <v>0</v>
      </c>
      <c r="BK4286">
        <v>0</v>
      </c>
      <c r="BL4286">
        <v>0</v>
      </c>
      <c r="BO4286">
        <v>0</v>
      </c>
      <c r="BP4286">
        <v>0</v>
      </c>
      <c r="BW4286" t="str">
        <f t="shared" si="2405"/>
        <v>14:59:41.555</v>
      </c>
      <c r="CJ4286">
        <v>0</v>
      </c>
      <c r="CK4286">
        <v>2</v>
      </c>
      <c r="CL4286">
        <v>0</v>
      </c>
      <c r="CM4286">
        <v>2</v>
      </c>
      <c r="CN4286">
        <v>0</v>
      </c>
      <c r="CO4286">
        <v>6</v>
      </c>
      <c r="CP4286" t="s">
        <v>119</v>
      </c>
      <c r="CQ4286">
        <v>285</v>
      </c>
      <c r="CR4286">
        <v>0</v>
      </c>
      <c r="CW4286">
        <v>8891384</v>
      </c>
      <c r="CY4286">
        <v>0</v>
      </c>
      <c r="CZ4286">
        <v>0</v>
      </c>
      <c r="DA4286">
        <v>1</v>
      </c>
      <c r="DB4286">
        <v>0</v>
      </c>
      <c r="DC4286">
        <v>0</v>
      </c>
      <c r="DD4286">
        <v>0</v>
      </c>
      <c r="DE4286">
        <v>0</v>
      </c>
      <c r="DF4286">
        <v>0</v>
      </c>
      <c r="DG4286">
        <v>0</v>
      </c>
      <c r="DH4286">
        <v>0</v>
      </c>
      <c r="DI4286">
        <v>0</v>
      </c>
    </row>
    <row r="4287" spans="1:113" x14ac:dyDescent="0.25">
      <c r="A4287" t="str">
        <f t="shared" ref="A4287:A4293" si="2406">"06/05/2020 14:59:36.957"</f>
        <v>06/05/2020 14:59:36.957</v>
      </c>
      <c r="C4287" t="str">
        <f t="shared" si="2391"/>
        <v>FFDFD3C0</v>
      </c>
      <c r="D4287" t="s">
        <v>134</v>
      </c>
      <c r="E4287">
        <v>7</v>
      </c>
      <c r="F4287">
        <v>2007</v>
      </c>
      <c r="G4287" t="s">
        <v>135</v>
      </c>
      <c r="J4287" t="s">
        <v>136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 t="shared" ref="S4287:S4293" si="2407">"14:59:42.586"</f>
        <v>14:59:42.586</v>
      </c>
      <c r="T4287" t="str">
        <f t="shared" ref="T4287:T4293" si="2408">"14:59:42.186"</f>
        <v>14:59:42.186</v>
      </c>
      <c r="U4287" t="str">
        <f t="shared" si="2373"/>
        <v>ACC530</v>
      </c>
      <c r="V4287">
        <v>0</v>
      </c>
      <c r="W4287">
        <v>0</v>
      </c>
      <c r="X4287">
        <v>1</v>
      </c>
      <c r="Z4287">
        <v>0</v>
      </c>
      <c r="AA4287">
        <v>9</v>
      </c>
      <c r="AB4287">
        <v>3</v>
      </c>
      <c r="AC4287">
        <v>0</v>
      </c>
      <c r="AD4287">
        <v>9</v>
      </c>
      <c r="AE4287">
        <v>0</v>
      </c>
      <c r="AF4287">
        <v>3</v>
      </c>
      <c r="AG4287">
        <v>1</v>
      </c>
      <c r="AH4287">
        <v>0</v>
      </c>
      <c r="AI4287" t="s">
        <v>1349</v>
      </c>
      <c r="AJ4287">
        <v>34.070641999999999</v>
      </c>
      <c r="AK4287" t="s">
        <v>1350</v>
      </c>
      <c r="AL4287">
        <v>-117.029521</v>
      </c>
      <c r="AM4287">
        <v>100</v>
      </c>
      <c r="AN4287">
        <v>5200</v>
      </c>
      <c r="AO4287" t="s">
        <v>118</v>
      </c>
      <c r="AP4287">
        <v>-100</v>
      </c>
      <c r="AQ4287">
        <v>30</v>
      </c>
      <c r="AR4287">
        <v>-768</v>
      </c>
      <c r="AZ4287">
        <v>1200</v>
      </c>
      <c r="BA4287">
        <v>1</v>
      </c>
      <c r="BB4287" t="str">
        <f t="shared" si="2374"/>
        <v xml:space="preserve">N9217B  </v>
      </c>
      <c r="BC4287">
        <v>1</v>
      </c>
      <c r="BE4287">
        <v>0</v>
      </c>
      <c r="BF4287">
        <v>0</v>
      </c>
      <c r="BG4287">
        <v>0</v>
      </c>
      <c r="BH4287">
        <v>5000</v>
      </c>
      <c r="BI4287">
        <v>1</v>
      </c>
      <c r="BJ4287">
        <v>0</v>
      </c>
      <c r="BK4287">
        <v>0</v>
      </c>
      <c r="BL4287">
        <v>0</v>
      </c>
      <c r="BO4287">
        <v>0</v>
      </c>
      <c r="BP4287">
        <v>0</v>
      </c>
      <c r="BW4287" t="str">
        <f t="shared" ref="BW4287:BW4293" si="2409">"14:59:42.590"</f>
        <v>14:59:42.590</v>
      </c>
      <c r="CJ4287">
        <v>0</v>
      </c>
      <c r="CK4287">
        <v>2</v>
      </c>
      <c r="CL4287">
        <v>0</v>
      </c>
      <c r="CM4287">
        <v>2</v>
      </c>
      <c r="CN4287">
        <v>0</v>
      </c>
      <c r="CO4287">
        <v>5</v>
      </c>
      <c r="CP4287" t="s">
        <v>119</v>
      </c>
      <c r="CQ4287">
        <v>285</v>
      </c>
      <c r="CR4287">
        <v>0</v>
      </c>
      <c r="CW4287">
        <v>8891482</v>
      </c>
      <c r="CY4287">
        <v>0</v>
      </c>
      <c r="CZ4287">
        <v>0</v>
      </c>
      <c r="DA4287">
        <v>0</v>
      </c>
      <c r="DB4287">
        <v>0</v>
      </c>
      <c r="DC4287">
        <v>0</v>
      </c>
      <c r="DD4287">
        <v>0</v>
      </c>
      <c r="DE4287">
        <v>0</v>
      </c>
      <c r="DF4287">
        <v>0</v>
      </c>
      <c r="DG4287">
        <v>0</v>
      </c>
      <c r="DH4287">
        <v>0</v>
      </c>
      <c r="DI4287">
        <v>0</v>
      </c>
    </row>
    <row r="4288" spans="1:113" x14ac:dyDescent="0.25">
      <c r="A4288" t="str">
        <f t="shared" si="2406"/>
        <v>06/05/2020 14:59:36.957</v>
      </c>
      <c r="C4288" t="str">
        <f t="shared" si="2391"/>
        <v>FFDFD3C0</v>
      </c>
      <c r="D4288" t="s">
        <v>148</v>
      </c>
      <c r="E4288">
        <v>8</v>
      </c>
      <c r="H4288">
        <v>50</v>
      </c>
      <c r="I4288" t="s">
        <v>149</v>
      </c>
      <c r="J4288" t="s">
        <v>150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 t="shared" si="2407"/>
        <v>14:59:42.586</v>
      </c>
      <c r="T4288" t="str">
        <f t="shared" si="2408"/>
        <v>14:59:42.186</v>
      </c>
      <c r="U4288" t="str">
        <f t="shared" si="2373"/>
        <v>ACC530</v>
      </c>
      <c r="V4288">
        <v>0</v>
      </c>
      <c r="W4288">
        <v>0</v>
      </c>
      <c r="X4288">
        <v>1</v>
      </c>
      <c r="Z4288">
        <v>0</v>
      </c>
      <c r="AA4288">
        <v>9</v>
      </c>
      <c r="AB4288">
        <v>3</v>
      </c>
      <c r="AC4288">
        <v>0</v>
      </c>
      <c r="AD4288">
        <v>9</v>
      </c>
      <c r="AE4288">
        <v>0</v>
      </c>
      <c r="AF4288">
        <v>3</v>
      </c>
      <c r="AG4288">
        <v>1</v>
      </c>
      <c r="AH4288">
        <v>0</v>
      </c>
      <c r="AI4288" t="s">
        <v>1349</v>
      </c>
      <c r="AJ4288">
        <v>34.070641999999999</v>
      </c>
      <c r="AK4288" t="s">
        <v>1350</v>
      </c>
      <c r="AL4288">
        <v>-117.029521</v>
      </c>
      <c r="AM4288">
        <v>100</v>
      </c>
      <c r="AN4288">
        <v>5200</v>
      </c>
      <c r="AO4288" t="s">
        <v>118</v>
      </c>
      <c r="AP4288">
        <v>-100</v>
      </c>
      <c r="AQ4288">
        <v>30</v>
      </c>
      <c r="AR4288">
        <v>-768</v>
      </c>
      <c r="AZ4288">
        <v>1200</v>
      </c>
      <c r="BA4288">
        <v>1</v>
      </c>
      <c r="BB4288" t="str">
        <f t="shared" si="2374"/>
        <v xml:space="preserve">N9217B  </v>
      </c>
      <c r="BC4288">
        <v>1</v>
      </c>
      <c r="BE4288">
        <v>0</v>
      </c>
      <c r="BF4288">
        <v>0</v>
      </c>
      <c r="BG4288">
        <v>0</v>
      </c>
      <c r="BH4288">
        <v>5000</v>
      </c>
      <c r="BI4288">
        <v>1</v>
      </c>
      <c r="BJ4288">
        <v>0</v>
      </c>
      <c r="BK4288">
        <v>0</v>
      </c>
      <c r="BL4288">
        <v>0</v>
      </c>
      <c r="BO4288">
        <v>0</v>
      </c>
      <c r="BP4288">
        <v>0</v>
      </c>
      <c r="BW4288" t="str">
        <f t="shared" si="2409"/>
        <v>14:59:42.590</v>
      </c>
      <c r="CJ4288">
        <v>0</v>
      </c>
      <c r="CK4288">
        <v>2</v>
      </c>
      <c r="CL4288">
        <v>0</v>
      </c>
      <c r="CM4288">
        <v>2</v>
      </c>
      <c r="CN4288">
        <v>0</v>
      </c>
      <c r="CO4288">
        <v>5</v>
      </c>
      <c r="CP4288" t="s">
        <v>119</v>
      </c>
      <c r="CQ4288">
        <v>285</v>
      </c>
      <c r="CR4288">
        <v>0</v>
      </c>
      <c r="CW4288">
        <v>8891482</v>
      </c>
      <c r="CY4288">
        <v>0</v>
      </c>
      <c r="CZ4288">
        <v>0</v>
      </c>
      <c r="DA4288">
        <v>1</v>
      </c>
      <c r="DB4288">
        <v>0</v>
      </c>
      <c r="DC4288">
        <v>0</v>
      </c>
      <c r="DD4288">
        <v>0</v>
      </c>
      <c r="DE4288">
        <v>0</v>
      </c>
      <c r="DF4288">
        <v>0</v>
      </c>
      <c r="DG4288">
        <v>0</v>
      </c>
      <c r="DH4288">
        <v>0</v>
      </c>
      <c r="DI4288">
        <v>0</v>
      </c>
    </row>
    <row r="4289" spans="1:113" x14ac:dyDescent="0.25">
      <c r="A4289" t="str">
        <f t="shared" si="2406"/>
        <v>06/05/2020 14:59:36.957</v>
      </c>
      <c r="C4289" t="str">
        <f t="shared" si="2391"/>
        <v>FFDFD3C0</v>
      </c>
      <c r="D4289" t="s">
        <v>141</v>
      </c>
      <c r="E4289">
        <v>20</v>
      </c>
      <c r="F4289">
        <v>1020</v>
      </c>
      <c r="G4289" t="s">
        <v>114</v>
      </c>
      <c r="J4289" t="s">
        <v>142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 t="shared" si="2407"/>
        <v>14:59:42.586</v>
      </c>
      <c r="T4289" t="str">
        <f t="shared" si="2408"/>
        <v>14:59:42.186</v>
      </c>
      <c r="U4289" t="str">
        <f t="shared" si="2373"/>
        <v>ACC530</v>
      </c>
      <c r="V4289">
        <v>0</v>
      </c>
      <c r="W4289">
        <v>0</v>
      </c>
      <c r="X4289">
        <v>1</v>
      </c>
      <c r="Z4289">
        <v>0</v>
      </c>
      <c r="AA4289">
        <v>9</v>
      </c>
      <c r="AB4289">
        <v>3</v>
      </c>
      <c r="AC4289">
        <v>0</v>
      </c>
      <c r="AD4289">
        <v>9</v>
      </c>
      <c r="AE4289">
        <v>0</v>
      </c>
      <c r="AF4289">
        <v>3</v>
      </c>
      <c r="AG4289">
        <v>1</v>
      </c>
      <c r="AH4289">
        <v>0</v>
      </c>
      <c r="AI4289" t="s">
        <v>1349</v>
      </c>
      <c r="AJ4289">
        <v>34.070641999999999</v>
      </c>
      <c r="AK4289" t="s">
        <v>1350</v>
      </c>
      <c r="AL4289">
        <v>-117.029521</v>
      </c>
      <c r="AM4289">
        <v>100</v>
      </c>
      <c r="AN4289">
        <v>5200</v>
      </c>
      <c r="AO4289" t="s">
        <v>118</v>
      </c>
      <c r="AP4289">
        <v>-100</v>
      </c>
      <c r="AQ4289">
        <v>30</v>
      </c>
      <c r="AR4289">
        <v>-768</v>
      </c>
      <c r="AZ4289">
        <v>1200</v>
      </c>
      <c r="BA4289">
        <v>1</v>
      </c>
      <c r="BB4289" t="str">
        <f t="shared" si="2374"/>
        <v xml:space="preserve">N9217B  </v>
      </c>
      <c r="BC4289">
        <v>1</v>
      </c>
      <c r="BE4289">
        <v>0</v>
      </c>
      <c r="BF4289">
        <v>0</v>
      </c>
      <c r="BG4289">
        <v>0</v>
      </c>
      <c r="BH4289">
        <v>5000</v>
      </c>
      <c r="BI4289">
        <v>1</v>
      </c>
      <c r="BJ4289">
        <v>0</v>
      </c>
      <c r="BK4289">
        <v>0</v>
      </c>
      <c r="BL4289">
        <v>0</v>
      </c>
      <c r="BO4289">
        <v>0</v>
      </c>
      <c r="BP4289">
        <v>0</v>
      </c>
      <c r="BW4289" t="str">
        <f t="shared" si="2409"/>
        <v>14:59:42.590</v>
      </c>
      <c r="CJ4289">
        <v>0</v>
      </c>
      <c r="CK4289">
        <v>2</v>
      </c>
      <c r="CL4289">
        <v>0</v>
      </c>
      <c r="CM4289">
        <v>2</v>
      </c>
      <c r="CN4289">
        <v>0</v>
      </c>
      <c r="CO4289">
        <v>5</v>
      </c>
      <c r="CP4289" t="s">
        <v>119</v>
      </c>
      <c r="CQ4289">
        <v>285</v>
      </c>
      <c r="CR4289">
        <v>0</v>
      </c>
      <c r="CW4289">
        <v>8891482</v>
      </c>
      <c r="CY4289">
        <v>0</v>
      </c>
      <c r="CZ4289">
        <v>0</v>
      </c>
      <c r="DA4289">
        <v>1</v>
      </c>
      <c r="DB4289">
        <v>0</v>
      </c>
      <c r="DC4289">
        <v>0</v>
      </c>
      <c r="DD4289">
        <v>0</v>
      </c>
      <c r="DE4289">
        <v>0</v>
      </c>
      <c r="DF4289">
        <v>0</v>
      </c>
      <c r="DG4289">
        <v>0</v>
      </c>
      <c r="DH4289">
        <v>0</v>
      </c>
      <c r="DI4289">
        <v>0</v>
      </c>
    </row>
    <row r="4290" spans="1:113" x14ac:dyDescent="0.25">
      <c r="A4290" t="str">
        <f t="shared" si="2406"/>
        <v>06/05/2020 14:59:36.957</v>
      </c>
      <c r="C4290" t="str">
        <f t="shared" si="2391"/>
        <v>FFDFD3C0</v>
      </c>
      <c r="D4290" t="s">
        <v>151</v>
      </c>
      <c r="E4290">
        <v>9</v>
      </c>
      <c r="H4290">
        <v>226</v>
      </c>
      <c r="I4290" t="s">
        <v>152</v>
      </c>
      <c r="J4290" t="s">
        <v>150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 t="shared" si="2407"/>
        <v>14:59:42.586</v>
      </c>
      <c r="T4290" t="str">
        <f t="shared" si="2408"/>
        <v>14:59:42.186</v>
      </c>
      <c r="U4290" t="str">
        <f t="shared" ref="U4290:U4353" si="2410">"ACC530"</f>
        <v>ACC530</v>
      </c>
      <c r="V4290">
        <v>0</v>
      </c>
      <c r="W4290">
        <v>0</v>
      </c>
      <c r="X4290">
        <v>1</v>
      </c>
      <c r="Z4290">
        <v>0</v>
      </c>
      <c r="AA4290">
        <v>9</v>
      </c>
      <c r="AB4290">
        <v>3</v>
      </c>
      <c r="AC4290">
        <v>0</v>
      </c>
      <c r="AD4290">
        <v>9</v>
      </c>
      <c r="AE4290">
        <v>0</v>
      </c>
      <c r="AF4290">
        <v>3</v>
      </c>
      <c r="AG4290">
        <v>1</v>
      </c>
      <c r="AH4290">
        <v>0</v>
      </c>
      <c r="AI4290" t="s">
        <v>1349</v>
      </c>
      <c r="AJ4290">
        <v>34.070641999999999</v>
      </c>
      <c r="AK4290" t="s">
        <v>1350</v>
      </c>
      <c r="AL4290">
        <v>-117.029521</v>
      </c>
      <c r="AM4290">
        <v>100</v>
      </c>
      <c r="AN4290">
        <v>5200</v>
      </c>
      <c r="AO4290" t="s">
        <v>118</v>
      </c>
      <c r="AP4290">
        <v>-100</v>
      </c>
      <c r="AQ4290">
        <v>30</v>
      </c>
      <c r="AR4290">
        <v>-768</v>
      </c>
      <c r="AZ4290">
        <v>1200</v>
      </c>
      <c r="BA4290">
        <v>1</v>
      </c>
      <c r="BB4290" t="str">
        <f t="shared" si="2374"/>
        <v xml:space="preserve">N9217B  </v>
      </c>
      <c r="BC4290">
        <v>1</v>
      </c>
      <c r="BE4290">
        <v>0</v>
      </c>
      <c r="BF4290">
        <v>0</v>
      </c>
      <c r="BG4290">
        <v>0</v>
      </c>
      <c r="BH4290">
        <v>5000</v>
      </c>
      <c r="BI4290">
        <v>1</v>
      </c>
      <c r="BJ4290">
        <v>0</v>
      </c>
      <c r="BK4290">
        <v>0</v>
      </c>
      <c r="BL4290">
        <v>0</v>
      </c>
      <c r="BO4290">
        <v>0</v>
      </c>
      <c r="BP4290">
        <v>0</v>
      </c>
      <c r="BW4290" t="str">
        <f t="shared" si="2409"/>
        <v>14:59:42.590</v>
      </c>
      <c r="CJ4290">
        <v>0</v>
      </c>
      <c r="CK4290">
        <v>2</v>
      </c>
      <c r="CL4290">
        <v>0</v>
      </c>
      <c r="CM4290">
        <v>2</v>
      </c>
      <c r="CN4290">
        <v>0</v>
      </c>
      <c r="CO4290">
        <v>5</v>
      </c>
      <c r="CP4290" t="s">
        <v>119</v>
      </c>
      <c r="CQ4290">
        <v>285</v>
      </c>
      <c r="CR4290">
        <v>0</v>
      </c>
      <c r="CW4290">
        <v>8891482</v>
      </c>
      <c r="CY4290">
        <v>0</v>
      </c>
      <c r="CZ4290">
        <v>0</v>
      </c>
      <c r="DA4290">
        <v>1</v>
      </c>
      <c r="DB4290">
        <v>0</v>
      </c>
      <c r="DC4290">
        <v>0</v>
      </c>
      <c r="DD4290">
        <v>0</v>
      </c>
      <c r="DE4290">
        <v>0</v>
      </c>
      <c r="DF4290">
        <v>0</v>
      </c>
      <c r="DG4290">
        <v>0</v>
      </c>
      <c r="DH4290">
        <v>0</v>
      </c>
      <c r="DI4290">
        <v>0</v>
      </c>
    </row>
    <row r="4291" spans="1:113" x14ac:dyDescent="0.25">
      <c r="A4291" t="str">
        <f t="shared" si="2406"/>
        <v>06/05/2020 14:59:36.957</v>
      </c>
      <c r="C4291" t="str">
        <f t="shared" si="2391"/>
        <v>FFDFD3C0</v>
      </c>
      <c r="D4291" t="s">
        <v>113</v>
      </c>
      <c r="E4291">
        <v>3</v>
      </c>
      <c r="H4291">
        <v>166</v>
      </c>
      <c r="I4291" t="s">
        <v>114</v>
      </c>
      <c r="J4291" t="s">
        <v>115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 t="shared" si="2407"/>
        <v>14:59:42.586</v>
      </c>
      <c r="T4291" t="str">
        <f t="shared" si="2408"/>
        <v>14:59:42.186</v>
      </c>
      <c r="U4291" t="str">
        <f t="shared" si="2410"/>
        <v>ACC530</v>
      </c>
      <c r="V4291">
        <v>0</v>
      </c>
      <c r="W4291">
        <v>0</v>
      </c>
      <c r="X4291">
        <v>1</v>
      </c>
      <c r="Z4291">
        <v>0</v>
      </c>
      <c r="AA4291">
        <v>9</v>
      </c>
      <c r="AB4291">
        <v>3</v>
      </c>
      <c r="AC4291">
        <v>0</v>
      </c>
      <c r="AD4291">
        <v>9</v>
      </c>
      <c r="AE4291">
        <v>0</v>
      </c>
      <c r="AF4291">
        <v>3</v>
      </c>
      <c r="AG4291">
        <v>1</v>
      </c>
      <c r="AH4291">
        <v>0</v>
      </c>
      <c r="AI4291" t="s">
        <v>1349</v>
      </c>
      <c r="AJ4291">
        <v>34.070641999999999</v>
      </c>
      <c r="AK4291" t="s">
        <v>1350</v>
      </c>
      <c r="AL4291">
        <v>-117.029521</v>
      </c>
      <c r="AM4291">
        <v>100</v>
      </c>
      <c r="AN4291">
        <v>5200</v>
      </c>
      <c r="AO4291" t="s">
        <v>118</v>
      </c>
      <c r="AP4291">
        <v>-100</v>
      </c>
      <c r="AQ4291">
        <v>30</v>
      </c>
      <c r="AR4291">
        <v>-768</v>
      </c>
      <c r="AZ4291">
        <v>1200</v>
      </c>
      <c r="BA4291">
        <v>1</v>
      </c>
      <c r="BB4291" t="str">
        <f t="shared" si="2374"/>
        <v xml:space="preserve">N9217B  </v>
      </c>
      <c r="BC4291">
        <v>1</v>
      </c>
      <c r="BE4291">
        <v>0</v>
      </c>
      <c r="BF4291">
        <v>0</v>
      </c>
      <c r="BG4291">
        <v>0</v>
      </c>
      <c r="BH4291">
        <v>5000</v>
      </c>
      <c r="BI4291">
        <v>1</v>
      </c>
      <c r="BJ4291">
        <v>0</v>
      </c>
      <c r="BK4291">
        <v>0</v>
      </c>
      <c r="BL4291">
        <v>0</v>
      </c>
      <c r="BO4291">
        <v>0</v>
      </c>
      <c r="BP4291">
        <v>0</v>
      </c>
      <c r="BW4291" t="str">
        <f t="shared" si="2409"/>
        <v>14:59:42.590</v>
      </c>
      <c r="CJ4291">
        <v>0</v>
      </c>
      <c r="CK4291">
        <v>2</v>
      </c>
      <c r="CL4291">
        <v>0</v>
      </c>
      <c r="CM4291">
        <v>2</v>
      </c>
      <c r="CN4291">
        <v>0</v>
      </c>
      <c r="CO4291">
        <v>5</v>
      </c>
      <c r="CP4291" t="s">
        <v>119</v>
      </c>
      <c r="CQ4291">
        <v>285</v>
      </c>
      <c r="CR4291">
        <v>0</v>
      </c>
      <c r="CW4291">
        <v>8891482</v>
      </c>
      <c r="CY4291">
        <v>0</v>
      </c>
      <c r="CZ4291">
        <v>0</v>
      </c>
      <c r="DA4291">
        <v>1</v>
      </c>
      <c r="DB4291">
        <v>0</v>
      </c>
      <c r="DC4291">
        <v>0</v>
      </c>
      <c r="DD4291">
        <v>0</v>
      </c>
      <c r="DE4291">
        <v>0</v>
      </c>
      <c r="DF4291">
        <v>0</v>
      </c>
      <c r="DG4291">
        <v>0</v>
      </c>
      <c r="DH4291">
        <v>0</v>
      </c>
      <c r="DI4291">
        <v>0</v>
      </c>
    </row>
    <row r="4292" spans="1:113" x14ac:dyDescent="0.25">
      <c r="A4292" t="str">
        <f t="shared" si="2406"/>
        <v>06/05/2020 14:59:36.957</v>
      </c>
      <c r="C4292" t="str">
        <f t="shared" si="2391"/>
        <v>FFDFD3C0</v>
      </c>
      <c r="D4292" t="s">
        <v>148</v>
      </c>
      <c r="E4292">
        <v>11</v>
      </c>
      <c r="H4292">
        <v>53</v>
      </c>
      <c r="I4292" t="s">
        <v>364</v>
      </c>
      <c r="J4292" t="s">
        <v>150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 t="shared" si="2407"/>
        <v>14:59:42.586</v>
      </c>
      <c r="T4292" t="str">
        <f t="shared" si="2408"/>
        <v>14:59:42.186</v>
      </c>
      <c r="U4292" t="str">
        <f t="shared" si="2410"/>
        <v>ACC530</v>
      </c>
      <c r="V4292">
        <v>0</v>
      </c>
      <c r="W4292">
        <v>0</v>
      </c>
      <c r="X4292">
        <v>1</v>
      </c>
      <c r="Z4292">
        <v>0</v>
      </c>
      <c r="AA4292">
        <v>9</v>
      </c>
      <c r="AB4292">
        <v>3</v>
      </c>
      <c r="AC4292">
        <v>0</v>
      </c>
      <c r="AD4292">
        <v>9</v>
      </c>
      <c r="AE4292">
        <v>0</v>
      </c>
      <c r="AF4292">
        <v>3</v>
      </c>
      <c r="AG4292">
        <v>1</v>
      </c>
      <c r="AH4292">
        <v>0</v>
      </c>
      <c r="AI4292" t="s">
        <v>1349</v>
      </c>
      <c r="AJ4292">
        <v>34.070641999999999</v>
      </c>
      <c r="AK4292" t="s">
        <v>1350</v>
      </c>
      <c r="AL4292">
        <v>-117.029521</v>
      </c>
      <c r="AM4292">
        <v>100</v>
      </c>
      <c r="AN4292">
        <v>5200</v>
      </c>
      <c r="AO4292" t="s">
        <v>118</v>
      </c>
      <c r="AP4292">
        <v>-100</v>
      </c>
      <c r="AQ4292">
        <v>30</v>
      </c>
      <c r="AR4292">
        <v>-768</v>
      </c>
      <c r="AZ4292">
        <v>1200</v>
      </c>
      <c r="BA4292">
        <v>1</v>
      </c>
      <c r="BB4292" t="str">
        <f t="shared" si="2374"/>
        <v xml:space="preserve">N9217B  </v>
      </c>
      <c r="BC4292">
        <v>1</v>
      </c>
      <c r="BE4292">
        <v>0</v>
      </c>
      <c r="BF4292">
        <v>0</v>
      </c>
      <c r="BG4292">
        <v>0</v>
      </c>
      <c r="BH4292">
        <v>5000</v>
      </c>
      <c r="BI4292">
        <v>1</v>
      </c>
      <c r="BJ4292">
        <v>0</v>
      </c>
      <c r="BK4292">
        <v>0</v>
      </c>
      <c r="BL4292">
        <v>0</v>
      </c>
      <c r="BO4292">
        <v>0</v>
      </c>
      <c r="BP4292">
        <v>0</v>
      </c>
      <c r="BW4292" t="str">
        <f t="shared" si="2409"/>
        <v>14:59:42.590</v>
      </c>
      <c r="CJ4292">
        <v>0</v>
      </c>
      <c r="CK4292">
        <v>2</v>
      </c>
      <c r="CL4292">
        <v>0</v>
      </c>
      <c r="CM4292">
        <v>2</v>
      </c>
      <c r="CN4292">
        <v>0</v>
      </c>
      <c r="CO4292">
        <v>5</v>
      </c>
      <c r="CP4292" t="s">
        <v>119</v>
      </c>
      <c r="CQ4292">
        <v>285</v>
      </c>
      <c r="CR4292">
        <v>0</v>
      </c>
      <c r="CW4292">
        <v>8891482</v>
      </c>
      <c r="CY4292">
        <v>0</v>
      </c>
      <c r="CZ4292">
        <v>0</v>
      </c>
      <c r="DA4292">
        <v>1</v>
      </c>
      <c r="DB4292">
        <v>0</v>
      </c>
      <c r="DC4292">
        <v>0</v>
      </c>
      <c r="DD4292">
        <v>0</v>
      </c>
      <c r="DE4292">
        <v>0</v>
      </c>
      <c r="DF4292">
        <v>0</v>
      </c>
      <c r="DG4292">
        <v>0</v>
      </c>
      <c r="DH4292">
        <v>0</v>
      </c>
      <c r="DI4292">
        <v>0</v>
      </c>
    </row>
    <row r="4293" spans="1:113" x14ac:dyDescent="0.25">
      <c r="A4293" t="str">
        <f t="shared" si="2406"/>
        <v>06/05/2020 14:59:36.957</v>
      </c>
      <c r="C4293" t="str">
        <f t="shared" si="2391"/>
        <v>FFDFD3C0</v>
      </c>
      <c r="D4293" t="s">
        <v>151</v>
      </c>
      <c r="E4293">
        <v>8</v>
      </c>
      <c r="H4293">
        <v>225</v>
      </c>
      <c r="I4293" t="s">
        <v>353</v>
      </c>
      <c r="J4293" t="s">
        <v>150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 t="shared" si="2407"/>
        <v>14:59:42.586</v>
      </c>
      <c r="T4293" t="str">
        <f t="shared" si="2408"/>
        <v>14:59:42.186</v>
      </c>
      <c r="U4293" t="str">
        <f t="shared" si="2410"/>
        <v>ACC530</v>
      </c>
      <c r="V4293">
        <v>0</v>
      </c>
      <c r="W4293">
        <v>0</v>
      </c>
      <c r="X4293">
        <v>1</v>
      </c>
      <c r="Z4293">
        <v>0</v>
      </c>
      <c r="AA4293">
        <v>9</v>
      </c>
      <c r="AB4293">
        <v>3</v>
      </c>
      <c r="AC4293">
        <v>0</v>
      </c>
      <c r="AD4293">
        <v>9</v>
      </c>
      <c r="AE4293">
        <v>0</v>
      </c>
      <c r="AF4293">
        <v>3</v>
      </c>
      <c r="AG4293">
        <v>1</v>
      </c>
      <c r="AH4293">
        <v>0</v>
      </c>
      <c r="AI4293" t="s">
        <v>1349</v>
      </c>
      <c r="AJ4293">
        <v>34.070641999999999</v>
      </c>
      <c r="AK4293" t="s">
        <v>1350</v>
      </c>
      <c r="AL4293">
        <v>-117.029521</v>
      </c>
      <c r="AM4293">
        <v>100</v>
      </c>
      <c r="AN4293">
        <v>5200</v>
      </c>
      <c r="AO4293" t="s">
        <v>118</v>
      </c>
      <c r="AP4293">
        <v>-100</v>
      </c>
      <c r="AQ4293">
        <v>30</v>
      </c>
      <c r="AR4293">
        <v>-768</v>
      </c>
      <c r="AZ4293">
        <v>1200</v>
      </c>
      <c r="BA4293">
        <v>1</v>
      </c>
      <c r="BB4293" t="str">
        <f t="shared" ref="BB4293:BB4356" si="2411">"N9217B  "</f>
        <v xml:space="preserve">N9217B  </v>
      </c>
      <c r="BC4293">
        <v>1</v>
      </c>
      <c r="BE4293">
        <v>0</v>
      </c>
      <c r="BF4293">
        <v>0</v>
      </c>
      <c r="BG4293">
        <v>0</v>
      </c>
      <c r="BH4293">
        <v>5000</v>
      </c>
      <c r="BI4293">
        <v>1</v>
      </c>
      <c r="BJ4293">
        <v>0</v>
      </c>
      <c r="BK4293">
        <v>0</v>
      </c>
      <c r="BL4293">
        <v>0</v>
      </c>
      <c r="BO4293">
        <v>0</v>
      </c>
      <c r="BP4293">
        <v>0</v>
      </c>
      <c r="BW4293" t="str">
        <f t="shared" si="2409"/>
        <v>14:59:42.590</v>
      </c>
      <c r="CJ4293">
        <v>0</v>
      </c>
      <c r="CK4293">
        <v>2</v>
      </c>
      <c r="CL4293">
        <v>0</v>
      </c>
      <c r="CM4293">
        <v>2</v>
      </c>
      <c r="CN4293">
        <v>0</v>
      </c>
      <c r="CO4293">
        <v>5</v>
      </c>
      <c r="CP4293" t="s">
        <v>119</v>
      </c>
      <c r="CQ4293">
        <v>285</v>
      </c>
      <c r="CR4293">
        <v>0</v>
      </c>
      <c r="CW4293">
        <v>8891482</v>
      </c>
      <c r="CY4293">
        <v>0</v>
      </c>
      <c r="CZ4293">
        <v>0</v>
      </c>
      <c r="DA4293">
        <v>1</v>
      </c>
      <c r="DB4293">
        <v>0</v>
      </c>
      <c r="DC4293">
        <v>0</v>
      </c>
      <c r="DD4293">
        <v>0</v>
      </c>
      <c r="DE4293">
        <v>0</v>
      </c>
      <c r="DF4293">
        <v>0</v>
      </c>
      <c r="DG4293">
        <v>0</v>
      </c>
      <c r="DH4293">
        <v>0</v>
      </c>
      <c r="DI4293">
        <v>0</v>
      </c>
    </row>
    <row r="4294" spans="1:113" x14ac:dyDescent="0.25">
      <c r="A4294" t="str">
        <f t="shared" ref="A4294:A4300" si="2412">"06/05/2020 14:59:38.056"</f>
        <v>06/05/2020 14:59:38.056</v>
      </c>
      <c r="C4294" t="str">
        <f t="shared" si="2391"/>
        <v>FFDFD3C0</v>
      </c>
      <c r="D4294" t="s">
        <v>151</v>
      </c>
      <c r="E4294">
        <v>8</v>
      </c>
      <c r="H4294">
        <v>225</v>
      </c>
      <c r="I4294" t="s">
        <v>353</v>
      </c>
      <c r="J4294" t="s">
        <v>150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 t="shared" ref="S4294:S4300" si="2413">"14:59:43.711"</f>
        <v>14:59:43.711</v>
      </c>
      <c r="T4294" t="str">
        <f t="shared" ref="T4294:T4300" si="2414">"14:59:43.511"</f>
        <v>14:59:43.511</v>
      </c>
      <c r="U4294" t="str">
        <f t="shared" si="2410"/>
        <v>ACC530</v>
      </c>
      <c r="V4294">
        <v>0</v>
      </c>
      <c r="W4294">
        <v>0</v>
      </c>
      <c r="X4294">
        <v>1</v>
      </c>
      <c r="Z4294">
        <v>0</v>
      </c>
      <c r="AA4294">
        <v>9</v>
      </c>
      <c r="AB4294">
        <v>3</v>
      </c>
      <c r="AC4294">
        <v>0</v>
      </c>
      <c r="AD4294">
        <v>9</v>
      </c>
      <c r="AE4294">
        <v>0</v>
      </c>
      <c r="AF4294">
        <v>3</v>
      </c>
      <c r="AG4294">
        <v>1</v>
      </c>
      <c r="AH4294">
        <v>0</v>
      </c>
      <c r="AI4294" t="s">
        <v>1351</v>
      </c>
      <c r="AJ4294">
        <v>34.070791999999997</v>
      </c>
      <c r="AK4294" t="s">
        <v>1352</v>
      </c>
      <c r="AL4294">
        <v>-117.03012200000001</v>
      </c>
      <c r="AM4294">
        <v>100</v>
      </c>
      <c r="AN4294">
        <v>5200</v>
      </c>
      <c r="AO4294" t="s">
        <v>118</v>
      </c>
      <c r="AP4294">
        <v>-101</v>
      </c>
      <c r="AQ4294">
        <v>28</v>
      </c>
      <c r="AR4294">
        <v>-768</v>
      </c>
      <c r="AZ4294">
        <v>1200</v>
      </c>
      <c r="BA4294">
        <v>1</v>
      </c>
      <c r="BB4294" t="str">
        <f t="shared" si="2411"/>
        <v xml:space="preserve">N9217B  </v>
      </c>
      <c r="BC4294">
        <v>1</v>
      </c>
      <c r="BE4294">
        <v>0</v>
      </c>
      <c r="BF4294">
        <v>0</v>
      </c>
      <c r="BG4294">
        <v>0</v>
      </c>
      <c r="BH4294">
        <v>4975</v>
      </c>
      <c r="BI4294">
        <v>1</v>
      </c>
      <c r="BJ4294">
        <v>0</v>
      </c>
      <c r="BK4294">
        <v>0</v>
      </c>
      <c r="BL4294">
        <v>0</v>
      </c>
      <c r="BO4294">
        <v>0</v>
      </c>
      <c r="BP4294">
        <v>0</v>
      </c>
      <c r="BW4294" t="str">
        <f t="shared" ref="BW4294:BW4300" si="2415">"14:59:43.715"</f>
        <v>14:59:43.715</v>
      </c>
      <c r="CJ4294">
        <v>0</v>
      </c>
      <c r="CK4294">
        <v>2</v>
      </c>
      <c r="CL4294">
        <v>0</v>
      </c>
      <c r="CM4294">
        <v>2</v>
      </c>
      <c r="CN4294">
        <v>0</v>
      </c>
      <c r="CO4294">
        <v>5</v>
      </c>
      <c r="CP4294" t="s">
        <v>119</v>
      </c>
      <c r="CQ4294">
        <v>285</v>
      </c>
      <c r="CR4294">
        <v>0</v>
      </c>
      <c r="CW4294">
        <v>8891593</v>
      </c>
      <c r="CY4294">
        <v>0</v>
      </c>
      <c r="CZ4294">
        <v>0</v>
      </c>
      <c r="DA4294">
        <v>0</v>
      </c>
      <c r="DB4294">
        <v>0</v>
      </c>
      <c r="DC4294">
        <v>0</v>
      </c>
      <c r="DD4294">
        <v>0</v>
      </c>
      <c r="DE4294">
        <v>0</v>
      </c>
      <c r="DF4294">
        <v>0</v>
      </c>
      <c r="DG4294">
        <v>0</v>
      </c>
      <c r="DH4294">
        <v>0</v>
      </c>
      <c r="DI4294">
        <v>0</v>
      </c>
    </row>
    <row r="4295" spans="1:113" x14ac:dyDescent="0.25">
      <c r="A4295" t="str">
        <f t="shared" si="2412"/>
        <v>06/05/2020 14:59:38.056</v>
      </c>
      <c r="C4295" t="str">
        <f t="shared" si="2391"/>
        <v>FFDFD3C0</v>
      </c>
      <c r="D4295" t="s">
        <v>134</v>
      </c>
      <c r="E4295">
        <v>7</v>
      </c>
      <c r="F4295">
        <v>2007</v>
      </c>
      <c r="G4295" t="s">
        <v>135</v>
      </c>
      <c r="J4295" t="s">
        <v>136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 t="shared" si="2413"/>
        <v>14:59:43.711</v>
      </c>
      <c r="T4295" t="str">
        <f t="shared" si="2414"/>
        <v>14:59:43.511</v>
      </c>
      <c r="U4295" t="str">
        <f t="shared" si="2410"/>
        <v>ACC530</v>
      </c>
      <c r="V4295">
        <v>0</v>
      </c>
      <c r="W4295">
        <v>0</v>
      </c>
      <c r="X4295">
        <v>1</v>
      </c>
      <c r="Z4295">
        <v>0</v>
      </c>
      <c r="AA4295">
        <v>9</v>
      </c>
      <c r="AB4295">
        <v>3</v>
      </c>
      <c r="AC4295">
        <v>0</v>
      </c>
      <c r="AD4295">
        <v>9</v>
      </c>
      <c r="AE4295">
        <v>0</v>
      </c>
      <c r="AF4295">
        <v>3</v>
      </c>
      <c r="AG4295">
        <v>1</v>
      </c>
      <c r="AH4295">
        <v>0</v>
      </c>
      <c r="AI4295" t="s">
        <v>1351</v>
      </c>
      <c r="AJ4295">
        <v>34.070791999999997</v>
      </c>
      <c r="AK4295" t="s">
        <v>1352</v>
      </c>
      <c r="AL4295">
        <v>-117.03012200000001</v>
      </c>
      <c r="AM4295">
        <v>100</v>
      </c>
      <c r="AN4295">
        <v>5200</v>
      </c>
      <c r="AO4295" t="s">
        <v>118</v>
      </c>
      <c r="AP4295">
        <v>-101</v>
      </c>
      <c r="AQ4295">
        <v>28</v>
      </c>
      <c r="AR4295">
        <v>-768</v>
      </c>
      <c r="AZ4295">
        <v>1200</v>
      </c>
      <c r="BA4295">
        <v>1</v>
      </c>
      <c r="BB4295" t="str">
        <f t="shared" si="2411"/>
        <v xml:space="preserve">N9217B  </v>
      </c>
      <c r="BC4295">
        <v>1</v>
      </c>
      <c r="BE4295">
        <v>0</v>
      </c>
      <c r="BF4295">
        <v>0</v>
      </c>
      <c r="BG4295">
        <v>0</v>
      </c>
      <c r="BH4295">
        <v>4975</v>
      </c>
      <c r="BI4295">
        <v>1</v>
      </c>
      <c r="BJ4295">
        <v>0</v>
      </c>
      <c r="BK4295">
        <v>0</v>
      </c>
      <c r="BL4295">
        <v>0</v>
      </c>
      <c r="BO4295">
        <v>0</v>
      </c>
      <c r="BP4295">
        <v>0</v>
      </c>
      <c r="BW4295" t="str">
        <f t="shared" si="2415"/>
        <v>14:59:43.715</v>
      </c>
      <c r="CJ4295">
        <v>0</v>
      </c>
      <c r="CK4295">
        <v>2</v>
      </c>
      <c r="CL4295">
        <v>0</v>
      </c>
      <c r="CM4295">
        <v>2</v>
      </c>
      <c r="CN4295">
        <v>0</v>
      </c>
      <c r="CO4295">
        <v>5</v>
      </c>
      <c r="CP4295" t="s">
        <v>119</v>
      </c>
      <c r="CQ4295">
        <v>285</v>
      </c>
      <c r="CR4295">
        <v>0</v>
      </c>
      <c r="CW4295">
        <v>8891593</v>
      </c>
      <c r="CY4295">
        <v>0</v>
      </c>
      <c r="CZ4295">
        <v>0</v>
      </c>
      <c r="DA4295">
        <v>1</v>
      </c>
      <c r="DB4295">
        <v>0</v>
      </c>
      <c r="DC4295">
        <v>0</v>
      </c>
      <c r="DD4295">
        <v>0</v>
      </c>
      <c r="DE4295">
        <v>0</v>
      </c>
      <c r="DF4295">
        <v>0</v>
      </c>
      <c r="DG4295">
        <v>0</v>
      </c>
      <c r="DH4295">
        <v>0</v>
      </c>
      <c r="DI4295">
        <v>0</v>
      </c>
    </row>
    <row r="4296" spans="1:113" x14ac:dyDescent="0.25">
      <c r="A4296" t="str">
        <f t="shared" si="2412"/>
        <v>06/05/2020 14:59:38.056</v>
      </c>
      <c r="C4296" t="str">
        <f t="shared" si="2391"/>
        <v>FFDFD3C0</v>
      </c>
      <c r="D4296" t="s">
        <v>141</v>
      </c>
      <c r="E4296">
        <v>20</v>
      </c>
      <c r="F4296">
        <v>1020</v>
      </c>
      <c r="G4296" t="s">
        <v>114</v>
      </c>
      <c r="J4296" t="s">
        <v>142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 t="shared" si="2413"/>
        <v>14:59:43.711</v>
      </c>
      <c r="T4296" t="str">
        <f t="shared" si="2414"/>
        <v>14:59:43.511</v>
      </c>
      <c r="U4296" t="str">
        <f t="shared" si="2410"/>
        <v>ACC530</v>
      </c>
      <c r="V4296">
        <v>0</v>
      </c>
      <c r="W4296">
        <v>0</v>
      </c>
      <c r="X4296">
        <v>1</v>
      </c>
      <c r="Z4296">
        <v>0</v>
      </c>
      <c r="AA4296">
        <v>9</v>
      </c>
      <c r="AB4296">
        <v>3</v>
      </c>
      <c r="AC4296">
        <v>0</v>
      </c>
      <c r="AD4296">
        <v>9</v>
      </c>
      <c r="AE4296">
        <v>0</v>
      </c>
      <c r="AF4296">
        <v>3</v>
      </c>
      <c r="AG4296">
        <v>1</v>
      </c>
      <c r="AH4296">
        <v>0</v>
      </c>
      <c r="AI4296" t="s">
        <v>1351</v>
      </c>
      <c r="AJ4296">
        <v>34.070791999999997</v>
      </c>
      <c r="AK4296" t="s">
        <v>1352</v>
      </c>
      <c r="AL4296">
        <v>-117.03012200000001</v>
      </c>
      <c r="AM4296">
        <v>100</v>
      </c>
      <c r="AN4296">
        <v>5200</v>
      </c>
      <c r="AO4296" t="s">
        <v>118</v>
      </c>
      <c r="AP4296">
        <v>-101</v>
      </c>
      <c r="AQ4296">
        <v>28</v>
      </c>
      <c r="AR4296">
        <v>-768</v>
      </c>
      <c r="AZ4296">
        <v>1200</v>
      </c>
      <c r="BA4296">
        <v>1</v>
      </c>
      <c r="BB4296" t="str">
        <f t="shared" si="2411"/>
        <v xml:space="preserve">N9217B  </v>
      </c>
      <c r="BC4296">
        <v>1</v>
      </c>
      <c r="BE4296">
        <v>0</v>
      </c>
      <c r="BF4296">
        <v>0</v>
      </c>
      <c r="BG4296">
        <v>0</v>
      </c>
      <c r="BH4296">
        <v>4975</v>
      </c>
      <c r="BI4296">
        <v>1</v>
      </c>
      <c r="BJ4296">
        <v>0</v>
      </c>
      <c r="BK4296">
        <v>0</v>
      </c>
      <c r="BL4296">
        <v>0</v>
      </c>
      <c r="BO4296">
        <v>0</v>
      </c>
      <c r="BP4296">
        <v>0</v>
      </c>
      <c r="BW4296" t="str">
        <f t="shared" si="2415"/>
        <v>14:59:43.715</v>
      </c>
      <c r="CJ4296">
        <v>0</v>
      </c>
      <c r="CK4296">
        <v>2</v>
      </c>
      <c r="CL4296">
        <v>0</v>
      </c>
      <c r="CM4296">
        <v>2</v>
      </c>
      <c r="CN4296">
        <v>0</v>
      </c>
      <c r="CO4296">
        <v>5</v>
      </c>
      <c r="CP4296" t="s">
        <v>119</v>
      </c>
      <c r="CQ4296">
        <v>285</v>
      </c>
      <c r="CR4296">
        <v>0</v>
      </c>
      <c r="CW4296">
        <v>8891593</v>
      </c>
      <c r="CY4296">
        <v>0</v>
      </c>
      <c r="CZ4296">
        <v>0</v>
      </c>
      <c r="DA4296">
        <v>1</v>
      </c>
      <c r="DB4296">
        <v>0</v>
      </c>
      <c r="DC4296">
        <v>0</v>
      </c>
      <c r="DD4296">
        <v>0</v>
      </c>
      <c r="DE4296">
        <v>0</v>
      </c>
      <c r="DF4296">
        <v>0</v>
      </c>
      <c r="DG4296">
        <v>0</v>
      </c>
      <c r="DH4296">
        <v>0</v>
      </c>
      <c r="DI4296">
        <v>0</v>
      </c>
    </row>
    <row r="4297" spans="1:113" x14ac:dyDescent="0.25">
      <c r="A4297" t="str">
        <f t="shared" si="2412"/>
        <v>06/05/2020 14:59:38.056</v>
      </c>
      <c r="C4297" t="str">
        <f t="shared" si="2391"/>
        <v>FFDFD3C0</v>
      </c>
      <c r="D4297" t="s">
        <v>148</v>
      </c>
      <c r="E4297">
        <v>8</v>
      </c>
      <c r="H4297">
        <v>50</v>
      </c>
      <c r="I4297" t="s">
        <v>149</v>
      </c>
      <c r="J4297" t="s">
        <v>150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 t="shared" si="2413"/>
        <v>14:59:43.711</v>
      </c>
      <c r="T4297" t="str">
        <f t="shared" si="2414"/>
        <v>14:59:43.511</v>
      </c>
      <c r="U4297" t="str">
        <f t="shared" si="2410"/>
        <v>ACC530</v>
      </c>
      <c r="V4297">
        <v>0</v>
      </c>
      <c r="W4297">
        <v>0</v>
      </c>
      <c r="X4297">
        <v>1</v>
      </c>
      <c r="Z4297">
        <v>0</v>
      </c>
      <c r="AA4297">
        <v>9</v>
      </c>
      <c r="AB4297">
        <v>3</v>
      </c>
      <c r="AC4297">
        <v>0</v>
      </c>
      <c r="AD4297">
        <v>9</v>
      </c>
      <c r="AE4297">
        <v>0</v>
      </c>
      <c r="AF4297">
        <v>3</v>
      </c>
      <c r="AG4297">
        <v>1</v>
      </c>
      <c r="AH4297">
        <v>0</v>
      </c>
      <c r="AI4297" t="s">
        <v>1351</v>
      </c>
      <c r="AJ4297">
        <v>34.070791999999997</v>
      </c>
      <c r="AK4297" t="s">
        <v>1352</v>
      </c>
      <c r="AL4297">
        <v>-117.03012200000001</v>
      </c>
      <c r="AM4297">
        <v>100</v>
      </c>
      <c r="AN4297">
        <v>5200</v>
      </c>
      <c r="AO4297" t="s">
        <v>118</v>
      </c>
      <c r="AP4297">
        <v>-101</v>
      </c>
      <c r="AQ4297">
        <v>28</v>
      </c>
      <c r="AR4297">
        <v>-768</v>
      </c>
      <c r="AZ4297">
        <v>1200</v>
      </c>
      <c r="BA4297">
        <v>1</v>
      </c>
      <c r="BB4297" t="str">
        <f t="shared" si="2411"/>
        <v xml:space="preserve">N9217B  </v>
      </c>
      <c r="BC4297">
        <v>1</v>
      </c>
      <c r="BE4297">
        <v>0</v>
      </c>
      <c r="BF4297">
        <v>0</v>
      </c>
      <c r="BG4297">
        <v>0</v>
      </c>
      <c r="BH4297">
        <v>4975</v>
      </c>
      <c r="BI4297">
        <v>1</v>
      </c>
      <c r="BJ4297">
        <v>0</v>
      </c>
      <c r="BK4297">
        <v>0</v>
      </c>
      <c r="BL4297">
        <v>0</v>
      </c>
      <c r="BO4297">
        <v>0</v>
      </c>
      <c r="BP4297">
        <v>0</v>
      </c>
      <c r="BW4297" t="str">
        <f t="shared" si="2415"/>
        <v>14:59:43.715</v>
      </c>
      <c r="CJ4297">
        <v>0</v>
      </c>
      <c r="CK4297">
        <v>2</v>
      </c>
      <c r="CL4297">
        <v>0</v>
      </c>
      <c r="CM4297">
        <v>2</v>
      </c>
      <c r="CN4297">
        <v>0</v>
      </c>
      <c r="CO4297">
        <v>5</v>
      </c>
      <c r="CP4297" t="s">
        <v>119</v>
      </c>
      <c r="CQ4297">
        <v>285</v>
      </c>
      <c r="CR4297">
        <v>0</v>
      </c>
      <c r="CW4297">
        <v>8891593</v>
      </c>
      <c r="CY4297">
        <v>0</v>
      </c>
      <c r="CZ4297">
        <v>0</v>
      </c>
      <c r="DA4297">
        <v>1</v>
      </c>
      <c r="DB4297">
        <v>0</v>
      </c>
      <c r="DC4297">
        <v>0</v>
      </c>
      <c r="DD4297">
        <v>0</v>
      </c>
      <c r="DE4297">
        <v>0</v>
      </c>
      <c r="DF4297">
        <v>0</v>
      </c>
      <c r="DG4297">
        <v>0</v>
      </c>
      <c r="DH4297">
        <v>0</v>
      </c>
      <c r="DI4297">
        <v>0</v>
      </c>
    </row>
    <row r="4298" spans="1:113" x14ac:dyDescent="0.25">
      <c r="A4298" t="str">
        <f t="shared" si="2412"/>
        <v>06/05/2020 14:59:38.056</v>
      </c>
      <c r="C4298" t="str">
        <f t="shared" si="2391"/>
        <v>FFDFD3C0</v>
      </c>
      <c r="D4298" t="s">
        <v>113</v>
      </c>
      <c r="E4298">
        <v>3</v>
      </c>
      <c r="H4298">
        <v>166</v>
      </c>
      <c r="I4298" t="s">
        <v>114</v>
      </c>
      <c r="J4298" t="s">
        <v>115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 t="shared" si="2413"/>
        <v>14:59:43.711</v>
      </c>
      <c r="T4298" t="str">
        <f t="shared" si="2414"/>
        <v>14:59:43.511</v>
      </c>
      <c r="U4298" t="str">
        <f t="shared" si="2410"/>
        <v>ACC530</v>
      </c>
      <c r="V4298">
        <v>0</v>
      </c>
      <c r="W4298">
        <v>0</v>
      </c>
      <c r="X4298">
        <v>1</v>
      </c>
      <c r="Z4298">
        <v>0</v>
      </c>
      <c r="AA4298">
        <v>9</v>
      </c>
      <c r="AB4298">
        <v>3</v>
      </c>
      <c r="AC4298">
        <v>0</v>
      </c>
      <c r="AD4298">
        <v>9</v>
      </c>
      <c r="AE4298">
        <v>0</v>
      </c>
      <c r="AF4298">
        <v>3</v>
      </c>
      <c r="AG4298">
        <v>1</v>
      </c>
      <c r="AH4298">
        <v>0</v>
      </c>
      <c r="AI4298" t="s">
        <v>1351</v>
      </c>
      <c r="AJ4298">
        <v>34.070791999999997</v>
      </c>
      <c r="AK4298" t="s">
        <v>1352</v>
      </c>
      <c r="AL4298">
        <v>-117.03012200000001</v>
      </c>
      <c r="AM4298">
        <v>100</v>
      </c>
      <c r="AN4298">
        <v>5200</v>
      </c>
      <c r="AO4298" t="s">
        <v>118</v>
      </c>
      <c r="AP4298">
        <v>-101</v>
      </c>
      <c r="AQ4298">
        <v>28</v>
      </c>
      <c r="AR4298">
        <v>-768</v>
      </c>
      <c r="AZ4298">
        <v>1200</v>
      </c>
      <c r="BA4298">
        <v>1</v>
      </c>
      <c r="BB4298" t="str">
        <f t="shared" si="2411"/>
        <v xml:space="preserve">N9217B  </v>
      </c>
      <c r="BC4298">
        <v>1</v>
      </c>
      <c r="BE4298">
        <v>0</v>
      </c>
      <c r="BF4298">
        <v>0</v>
      </c>
      <c r="BG4298">
        <v>0</v>
      </c>
      <c r="BH4298">
        <v>4975</v>
      </c>
      <c r="BI4298">
        <v>1</v>
      </c>
      <c r="BJ4298">
        <v>0</v>
      </c>
      <c r="BK4298">
        <v>0</v>
      </c>
      <c r="BL4298">
        <v>0</v>
      </c>
      <c r="BO4298">
        <v>0</v>
      </c>
      <c r="BP4298">
        <v>0</v>
      </c>
      <c r="BW4298" t="str">
        <f t="shared" si="2415"/>
        <v>14:59:43.715</v>
      </c>
      <c r="CJ4298">
        <v>0</v>
      </c>
      <c r="CK4298">
        <v>2</v>
      </c>
      <c r="CL4298">
        <v>0</v>
      </c>
      <c r="CM4298">
        <v>2</v>
      </c>
      <c r="CN4298">
        <v>0</v>
      </c>
      <c r="CO4298">
        <v>5</v>
      </c>
      <c r="CP4298" t="s">
        <v>119</v>
      </c>
      <c r="CQ4298">
        <v>285</v>
      </c>
      <c r="CR4298">
        <v>0</v>
      </c>
      <c r="CW4298">
        <v>8891593</v>
      </c>
      <c r="CY4298">
        <v>0</v>
      </c>
      <c r="CZ4298">
        <v>0</v>
      </c>
      <c r="DA4298">
        <v>1</v>
      </c>
      <c r="DB4298">
        <v>0</v>
      </c>
      <c r="DC4298">
        <v>0</v>
      </c>
      <c r="DD4298">
        <v>0</v>
      </c>
      <c r="DE4298">
        <v>0</v>
      </c>
      <c r="DF4298">
        <v>0</v>
      </c>
      <c r="DG4298">
        <v>0</v>
      </c>
      <c r="DH4298">
        <v>0</v>
      </c>
      <c r="DI4298">
        <v>0</v>
      </c>
    </row>
    <row r="4299" spans="1:113" x14ac:dyDescent="0.25">
      <c r="A4299" t="str">
        <f t="shared" si="2412"/>
        <v>06/05/2020 14:59:38.056</v>
      </c>
      <c r="C4299" t="str">
        <f t="shared" si="2391"/>
        <v>FFDFD3C0</v>
      </c>
      <c r="D4299" t="s">
        <v>151</v>
      </c>
      <c r="E4299">
        <v>9</v>
      </c>
      <c r="H4299">
        <v>226</v>
      </c>
      <c r="I4299" t="s">
        <v>152</v>
      </c>
      <c r="J4299" t="s">
        <v>150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 t="shared" si="2413"/>
        <v>14:59:43.711</v>
      </c>
      <c r="T4299" t="str">
        <f t="shared" si="2414"/>
        <v>14:59:43.511</v>
      </c>
      <c r="U4299" t="str">
        <f t="shared" si="2410"/>
        <v>ACC530</v>
      </c>
      <c r="V4299">
        <v>0</v>
      </c>
      <c r="W4299">
        <v>0</v>
      </c>
      <c r="X4299">
        <v>1</v>
      </c>
      <c r="Z4299">
        <v>0</v>
      </c>
      <c r="AA4299">
        <v>9</v>
      </c>
      <c r="AB4299">
        <v>3</v>
      </c>
      <c r="AC4299">
        <v>0</v>
      </c>
      <c r="AD4299">
        <v>9</v>
      </c>
      <c r="AE4299">
        <v>0</v>
      </c>
      <c r="AF4299">
        <v>3</v>
      </c>
      <c r="AG4299">
        <v>1</v>
      </c>
      <c r="AH4299">
        <v>0</v>
      </c>
      <c r="AI4299" t="s">
        <v>1351</v>
      </c>
      <c r="AJ4299">
        <v>34.070791999999997</v>
      </c>
      <c r="AK4299" t="s">
        <v>1352</v>
      </c>
      <c r="AL4299">
        <v>-117.03012200000001</v>
      </c>
      <c r="AM4299">
        <v>100</v>
      </c>
      <c r="AN4299">
        <v>5200</v>
      </c>
      <c r="AO4299" t="s">
        <v>118</v>
      </c>
      <c r="AP4299">
        <v>-101</v>
      </c>
      <c r="AQ4299">
        <v>28</v>
      </c>
      <c r="AR4299">
        <v>-768</v>
      </c>
      <c r="AZ4299">
        <v>1200</v>
      </c>
      <c r="BA4299">
        <v>1</v>
      </c>
      <c r="BB4299" t="str">
        <f t="shared" si="2411"/>
        <v xml:space="preserve">N9217B  </v>
      </c>
      <c r="BC4299">
        <v>1</v>
      </c>
      <c r="BE4299">
        <v>0</v>
      </c>
      <c r="BF4299">
        <v>0</v>
      </c>
      <c r="BG4299">
        <v>0</v>
      </c>
      <c r="BH4299">
        <v>4975</v>
      </c>
      <c r="BI4299">
        <v>1</v>
      </c>
      <c r="BJ4299">
        <v>0</v>
      </c>
      <c r="BK4299">
        <v>0</v>
      </c>
      <c r="BL4299">
        <v>0</v>
      </c>
      <c r="BO4299">
        <v>0</v>
      </c>
      <c r="BP4299">
        <v>0</v>
      </c>
      <c r="BW4299" t="str">
        <f t="shared" si="2415"/>
        <v>14:59:43.715</v>
      </c>
      <c r="CJ4299">
        <v>0</v>
      </c>
      <c r="CK4299">
        <v>2</v>
      </c>
      <c r="CL4299">
        <v>0</v>
      </c>
      <c r="CM4299">
        <v>2</v>
      </c>
      <c r="CN4299">
        <v>0</v>
      </c>
      <c r="CO4299">
        <v>5</v>
      </c>
      <c r="CP4299" t="s">
        <v>119</v>
      </c>
      <c r="CQ4299">
        <v>285</v>
      </c>
      <c r="CR4299">
        <v>0</v>
      </c>
      <c r="CW4299">
        <v>8891593</v>
      </c>
      <c r="CY4299">
        <v>0</v>
      </c>
      <c r="CZ4299">
        <v>0</v>
      </c>
      <c r="DA4299">
        <v>1</v>
      </c>
      <c r="DB4299">
        <v>0</v>
      </c>
      <c r="DC4299">
        <v>0</v>
      </c>
      <c r="DD4299">
        <v>0</v>
      </c>
      <c r="DE4299">
        <v>0</v>
      </c>
      <c r="DF4299">
        <v>0</v>
      </c>
      <c r="DG4299">
        <v>0</v>
      </c>
      <c r="DH4299">
        <v>0</v>
      </c>
      <c r="DI4299">
        <v>0</v>
      </c>
    </row>
    <row r="4300" spans="1:113" x14ac:dyDescent="0.25">
      <c r="A4300" t="str">
        <f t="shared" si="2412"/>
        <v>06/05/2020 14:59:38.056</v>
      </c>
      <c r="C4300" t="str">
        <f t="shared" si="2391"/>
        <v>FFDFD3C0</v>
      </c>
      <c r="D4300" t="s">
        <v>148</v>
      </c>
      <c r="E4300">
        <v>11</v>
      </c>
      <c r="H4300">
        <v>53</v>
      </c>
      <c r="I4300" t="s">
        <v>364</v>
      </c>
      <c r="J4300" t="s">
        <v>150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 t="shared" si="2413"/>
        <v>14:59:43.711</v>
      </c>
      <c r="T4300" t="str">
        <f t="shared" si="2414"/>
        <v>14:59:43.511</v>
      </c>
      <c r="U4300" t="str">
        <f t="shared" si="2410"/>
        <v>ACC530</v>
      </c>
      <c r="V4300">
        <v>0</v>
      </c>
      <c r="W4300">
        <v>0</v>
      </c>
      <c r="X4300">
        <v>1</v>
      </c>
      <c r="Z4300">
        <v>0</v>
      </c>
      <c r="AA4300">
        <v>9</v>
      </c>
      <c r="AB4300">
        <v>3</v>
      </c>
      <c r="AC4300">
        <v>0</v>
      </c>
      <c r="AD4300">
        <v>9</v>
      </c>
      <c r="AE4300">
        <v>0</v>
      </c>
      <c r="AF4300">
        <v>3</v>
      </c>
      <c r="AG4300">
        <v>1</v>
      </c>
      <c r="AH4300">
        <v>0</v>
      </c>
      <c r="AI4300" t="s">
        <v>1351</v>
      </c>
      <c r="AJ4300">
        <v>34.070791999999997</v>
      </c>
      <c r="AK4300" t="s">
        <v>1352</v>
      </c>
      <c r="AL4300">
        <v>-117.03012200000001</v>
      </c>
      <c r="AM4300">
        <v>100</v>
      </c>
      <c r="AN4300">
        <v>5200</v>
      </c>
      <c r="AO4300" t="s">
        <v>118</v>
      </c>
      <c r="AP4300">
        <v>-101</v>
      </c>
      <c r="AQ4300">
        <v>28</v>
      </c>
      <c r="AR4300">
        <v>-768</v>
      </c>
      <c r="AZ4300">
        <v>1200</v>
      </c>
      <c r="BA4300">
        <v>1</v>
      </c>
      <c r="BB4300" t="str">
        <f t="shared" si="2411"/>
        <v xml:space="preserve">N9217B  </v>
      </c>
      <c r="BC4300">
        <v>1</v>
      </c>
      <c r="BE4300">
        <v>0</v>
      </c>
      <c r="BF4300">
        <v>0</v>
      </c>
      <c r="BG4300">
        <v>0</v>
      </c>
      <c r="BH4300">
        <v>4975</v>
      </c>
      <c r="BI4300">
        <v>1</v>
      </c>
      <c r="BJ4300">
        <v>0</v>
      </c>
      <c r="BK4300">
        <v>0</v>
      </c>
      <c r="BL4300">
        <v>0</v>
      </c>
      <c r="BO4300">
        <v>0</v>
      </c>
      <c r="BP4300">
        <v>0</v>
      </c>
      <c r="BW4300" t="str">
        <f t="shared" si="2415"/>
        <v>14:59:43.715</v>
      </c>
      <c r="CJ4300">
        <v>0</v>
      </c>
      <c r="CK4300">
        <v>2</v>
      </c>
      <c r="CL4300">
        <v>0</v>
      </c>
      <c r="CM4300">
        <v>2</v>
      </c>
      <c r="CN4300">
        <v>0</v>
      </c>
      <c r="CO4300">
        <v>5</v>
      </c>
      <c r="CP4300" t="s">
        <v>119</v>
      </c>
      <c r="CQ4300">
        <v>285</v>
      </c>
      <c r="CR4300">
        <v>0</v>
      </c>
      <c r="CW4300">
        <v>8891593</v>
      </c>
      <c r="CY4300">
        <v>0</v>
      </c>
      <c r="CZ4300">
        <v>0</v>
      </c>
      <c r="DA4300">
        <v>1</v>
      </c>
      <c r="DB4300">
        <v>0</v>
      </c>
      <c r="DC4300">
        <v>0</v>
      </c>
      <c r="DD4300">
        <v>0</v>
      </c>
      <c r="DE4300">
        <v>0</v>
      </c>
      <c r="DF4300">
        <v>0</v>
      </c>
      <c r="DG4300">
        <v>0</v>
      </c>
      <c r="DH4300">
        <v>0</v>
      </c>
      <c r="DI4300">
        <v>0</v>
      </c>
    </row>
    <row r="4301" spans="1:113" x14ac:dyDescent="0.25">
      <c r="A4301" t="str">
        <f t="shared" ref="A4301:A4307" si="2416">"06/05/2020 14:59:39.017"</f>
        <v>06/05/2020 14:59:39.017</v>
      </c>
      <c r="C4301" t="str">
        <f t="shared" si="2391"/>
        <v>FFDFD3C0</v>
      </c>
      <c r="D4301" t="s">
        <v>151</v>
      </c>
      <c r="E4301">
        <v>8</v>
      </c>
      <c r="H4301">
        <v>225</v>
      </c>
      <c r="I4301" t="s">
        <v>353</v>
      </c>
      <c r="J4301" t="s">
        <v>150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 t="shared" ref="S4301:S4307" si="2417">"14:59:44.672"</f>
        <v>14:59:44.672</v>
      </c>
      <c r="T4301" t="str">
        <f t="shared" ref="T4301:T4307" si="2418">"14:59:44.572"</f>
        <v>14:59:44.572</v>
      </c>
      <c r="U4301" t="str">
        <f t="shared" si="2410"/>
        <v>ACC530</v>
      </c>
      <c r="V4301">
        <v>0</v>
      </c>
      <c r="W4301">
        <v>0</v>
      </c>
      <c r="X4301">
        <v>1</v>
      </c>
      <c r="Z4301">
        <v>0</v>
      </c>
      <c r="AA4301">
        <v>9</v>
      </c>
      <c r="AB4301">
        <v>3</v>
      </c>
      <c r="AC4301">
        <v>0</v>
      </c>
      <c r="AD4301">
        <v>9</v>
      </c>
      <c r="AE4301">
        <v>0</v>
      </c>
      <c r="AF4301">
        <v>3</v>
      </c>
      <c r="AG4301">
        <v>1</v>
      </c>
      <c r="AH4301">
        <v>0</v>
      </c>
      <c r="AI4301" t="s">
        <v>1353</v>
      </c>
      <c r="AJ4301">
        <v>34.070920999999998</v>
      </c>
      <c r="AK4301" t="s">
        <v>1354</v>
      </c>
      <c r="AL4301">
        <v>-117.030659</v>
      </c>
      <c r="AM4301">
        <v>100</v>
      </c>
      <c r="AN4301">
        <v>5200</v>
      </c>
      <c r="AO4301" t="s">
        <v>118</v>
      </c>
      <c r="AP4301">
        <v>-102</v>
      </c>
      <c r="AQ4301">
        <v>27</v>
      </c>
      <c r="AR4301">
        <v>-832</v>
      </c>
      <c r="AZ4301">
        <v>1200</v>
      </c>
      <c r="BA4301">
        <v>1</v>
      </c>
      <c r="BB4301" t="str">
        <f t="shared" si="2411"/>
        <v xml:space="preserve">N9217B  </v>
      </c>
      <c r="BC4301">
        <v>1</v>
      </c>
      <c r="BE4301">
        <v>0</v>
      </c>
      <c r="BF4301">
        <v>0</v>
      </c>
      <c r="BG4301">
        <v>0</v>
      </c>
      <c r="BH4301">
        <v>4975</v>
      </c>
      <c r="BI4301">
        <v>1</v>
      </c>
      <c r="BJ4301">
        <v>0</v>
      </c>
      <c r="BK4301">
        <v>0</v>
      </c>
      <c r="BL4301">
        <v>0</v>
      </c>
      <c r="BO4301">
        <v>0</v>
      </c>
      <c r="BP4301">
        <v>0</v>
      </c>
      <c r="BW4301" t="str">
        <f t="shared" ref="BW4301:BW4307" si="2419">"14:59:44.675"</f>
        <v>14:59:44.675</v>
      </c>
      <c r="CJ4301">
        <v>0</v>
      </c>
      <c r="CK4301">
        <v>2</v>
      </c>
      <c r="CL4301">
        <v>0</v>
      </c>
      <c r="CM4301">
        <v>2</v>
      </c>
      <c r="CN4301">
        <v>0</v>
      </c>
      <c r="CO4301">
        <v>5</v>
      </c>
      <c r="CP4301" t="s">
        <v>119</v>
      </c>
      <c r="CQ4301">
        <v>285</v>
      </c>
      <c r="CR4301">
        <v>0</v>
      </c>
      <c r="CW4301">
        <v>8891684</v>
      </c>
      <c r="CY4301">
        <v>0</v>
      </c>
      <c r="CZ4301">
        <v>0</v>
      </c>
      <c r="DA4301">
        <v>0</v>
      </c>
      <c r="DB4301">
        <v>0</v>
      </c>
      <c r="DC4301">
        <v>0</v>
      </c>
      <c r="DD4301">
        <v>0</v>
      </c>
      <c r="DE4301">
        <v>0</v>
      </c>
      <c r="DF4301">
        <v>0</v>
      </c>
      <c r="DG4301">
        <v>0</v>
      </c>
      <c r="DH4301">
        <v>0</v>
      </c>
      <c r="DI4301">
        <v>0</v>
      </c>
    </row>
    <row r="4302" spans="1:113" x14ac:dyDescent="0.25">
      <c r="A4302" t="str">
        <f t="shared" si="2416"/>
        <v>06/05/2020 14:59:39.017</v>
      </c>
      <c r="C4302" t="str">
        <f t="shared" si="2391"/>
        <v>FFDFD3C0</v>
      </c>
      <c r="D4302" t="s">
        <v>134</v>
      </c>
      <c r="E4302">
        <v>7</v>
      </c>
      <c r="F4302">
        <v>2007</v>
      </c>
      <c r="G4302" t="s">
        <v>135</v>
      </c>
      <c r="J4302" t="s">
        <v>136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 t="shared" si="2417"/>
        <v>14:59:44.672</v>
      </c>
      <c r="T4302" t="str">
        <f t="shared" si="2418"/>
        <v>14:59:44.572</v>
      </c>
      <c r="U4302" t="str">
        <f t="shared" si="2410"/>
        <v>ACC530</v>
      </c>
      <c r="V4302">
        <v>0</v>
      </c>
      <c r="W4302">
        <v>0</v>
      </c>
      <c r="X4302">
        <v>1</v>
      </c>
      <c r="Z4302">
        <v>0</v>
      </c>
      <c r="AA4302">
        <v>9</v>
      </c>
      <c r="AB4302">
        <v>3</v>
      </c>
      <c r="AC4302">
        <v>0</v>
      </c>
      <c r="AD4302">
        <v>9</v>
      </c>
      <c r="AE4302">
        <v>0</v>
      </c>
      <c r="AF4302">
        <v>3</v>
      </c>
      <c r="AG4302">
        <v>1</v>
      </c>
      <c r="AH4302">
        <v>0</v>
      </c>
      <c r="AI4302" t="s">
        <v>1353</v>
      </c>
      <c r="AJ4302">
        <v>34.070920999999998</v>
      </c>
      <c r="AK4302" t="s">
        <v>1354</v>
      </c>
      <c r="AL4302">
        <v>-117.030659</v>
      </c>
      <c r="AM4302">
        <v>100</v>
      </c>
      <c r="AN4302">
        <v>5200</v>
      </c>
      <c r="AO4302" t="s">
        <v>118</v>
      </c>
      <c r="AP4302">
        <v>-102</v>
      </c>
      <c r="AQ4302">
        <v>27</v>
      </c>
      <c r="AR4302">
        <v>-832</v>
      </c>
      <c r="AZ4302">
        <v>1200</v>
      </c>
      <c r="BA4302">
        <v>1</v>
      </c>
      <c r="BB4302" t="str">
        <f t="shared" si="2411"/>
        <v xml:space="preserve">N9217B  </v>
      </c>
      <c r="BC4302">
        <v>1</v>
      </c>
      <c r="BE4302">
        <v>0</v>
      </c>
      <c r="BF4302">
        <v>0</v>
      </c>
      <c r="BG4302">
        <v>0</v>
      </c>
      <c r="BH4302">
        <v>4975</v>
      </c>
      <c r="BI4302">
        <v>1</v>
      </c>
      <c r="BJ4302">
        <v>0</v>
      </c>
      <c r="BK4302">
        <v>0</v>
      </c>
      <c r="BL4302">
        <v>0</v>
      </c>
      <c r="BO4302">
        <v>0</v>
      </c>
      <c r="BP4302">
        <v>0</v>
      </c>
      <c r="BW4302" t="str">
        <f t="shared" si="2419"/>
        <v>14:59:44.675</v>
      </c>
      <c r="CJ4302">
        <v>0</v>
      </c>
      <c r="CK4302">
        <v>2</v>
      </c>
      <c r="CL4302">
        <v>0</v>
      </c>
      <c r="CM4302">
        <v>2</v>
      </c>
      <c r="CN4302">
        <v>0</v>
      </c>
      <c r="CO4302">
        <v>5</v>
      </c>
      <c r="CP4302" t="s">
        <v>119</v>
      </c>
      <c r="CQ4302">
        <v>285</v>
      </c>
      <c r="CR4302">
        <v>0</v>
      </c>
      <c r="CW4302">
        <v>8891684</v>
      </c>
      <c r="CY4302">
        <v>0</v>
      </c>
      <c r="CZ4302">
        <v>0</v>
      </c>
      <c r="DA4302">
        <v>1</v>
      </c>
      <c r="DB4302">
        <v>0</v>
      </c>
      <c r="DC4302">
        <v>0</v>
      </c>
      <c r="DD4302">
        <v>0</v>
      </c>
      <c r="DE4302">
        <v>0</v>
      </c>
      <c r="DF4302">
        <v>0</v>
      </c>
      <c r="DG4302">
        <v>0</v>
      </c>
      <c r="DH4302">
        <v>0</v>
      </c>
      <c r="DI4302">
        <v>0</v>
      </c>
    </row>
    <row r="4303" spans="1:113" x14ac:dyDescent="0.25">
      <c r="A4303" t="str">
        <f t="shared" si="2416"/>
        <v>06/05/2020 14:59:39.017</v>
      </c>
      <c r="C4303" t="str">
        <f t="shared" si="2391"/>
        <v>FFDFD3C0</v>
      </c>
      <c r="D4303" t="s">
        <v>141</v>
      </c>
      <c r="E4303">
        <v>20</v>
      </c>
      <c r="F4303">
        <v>1020</v>
      </c>
      <c r="G4303" t="s">
        <v>114</v>
      </c>
      <c r="J4303" t="s">
        <v>142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 t="shared" si="2417"/>
        <v>14:59:44.672</v>
      </c>
      <c r="T4303" t="str">
        <f t="shared" si="2418"/>
        <v>14:59:44.572</v>
      </c>
      <c r="U4303" t="str">
        <f t="shared" si="2410"/>
        <v>ACC530</v>
      </c>
      <c r="V4303">
        <v>0</v>
      </c>
      <c r="W4303">
        <v>0</v>
      </c>
      <c r="X4303">
        <v>1</v>
      </c>
      <c r="Z4303">
        <v>0</v>
      </c>
      <c r="AA4303">
        <v>9</v>
      </c>
      <c r="AB4303">
        <v>3</v>
      </c>
      <c r="AC4303">
        <v>0</v>
      </c>
      <c r="AD4303">
        <v>9</v>
      </c>
      <c r="AE4303">
        <v>0</v>
      </c>
      <c r="AF4303">
        <v>3</v>
      </c>
      <c r="AG4303">
        <v>1</v>
      </c>
      <c r="AH4303">
        <v>0</v>
      </c>
      <c r="AI4303" t="s">
        <v>1353</v>
      </c>
      <c r="AJ4303">
        <v>34.070920999999998</v>
      </c>
      <c r="AK4303" t="s">
        <v>1354</v>
      </c>
      <c r="AL4303">
        <v>-117.030659</v>
      </c>
      <c r="AM4303">
        <v>100</v>
      </c>
      <c r="AN4303">
        <v>5200</v>
      </c>
      <c r="AO4303" t="s">
        <v>118</v>
      </c>
      <c r="AP4303">
        <v>-102</v>
      </c>
      <c r="AQ4303">
        <v>27</v>
      </c>
      <c r="AR4303">
        <v>-832</v>
      </c>
      <c r="AZ4303">
        <v>1200</v>
      </c>
      <c r="BA4303">
        <v>1</v>
      </c>
      <c r="BB4303" t="str">
        <f t="shared" si="2411"/>
        <v xml:space="preserve">N9217B  </v>
      </c>
      <c r="BC4303">
        <v>1</v>
      </c>
      <c r="BE4303">
        <v>0</v>
      </c>
      <c r="BF4303">
        <v>0</v>
      </c>
      <c r="BG4303">
        <v>0</v>
      </c>
      <c r="BH4303">
        <v>4975</v>
      </c>
      <c r="BI4303">
        <v>1</v>
      </c>
      <c r="BJ4303">
        <v>0</v>
      </c>
      <c r="BK4303">
        <v>0</v>
      </c>
      <c r="BL4303">
        <v>0</v>
      </c>
      <c r="BO4303">
        <v>0</v>
      </c>
      <c r="BP4303">
        <v>0</v>
      </c>
      <c r="BW4303" t="str">
        <f t="shared" si="2419"/>
        <v>14:59:44.675</v>
      </c>
      <c r="CJ4303">
        <v>0</v>
      </c>
      <c r="CK4303">
        <v>2</v>
      </c>
      <c r="CL4303">
        <v>0</v>
      </c>
      <c r="CM4303">
        <v>2</v>
      </c>
      <c r="CN4303">
        <v>0</v>
      </c>
      <c r="CO4303">
        <v>5</v>
      </c>
      <c r="CP4303" t="s">
        <v>119</v>
      </c>
      <c r="CQ4303">
        <v>285</v>
      </c>
      <c r="CR4303">
        <v>0</v>
      </c>
      <c r="CW4303">
        <v>8891684</v>
      </c>
      <c r="CY4303">
        <v>0</v>
      </c>
      <c r="CZ4303">
        <v>0</v>
      </c>
      <c r="DA4303">
        <v>1</v>
      </c>
      <c r="DB4303">
        <v>0</v>
      </c>
      <c r="DC4303">
        <v>0</v>
      </c>
      <c r="DD4303">
        <v>0</v>
      </c>
      <c r="DE4303">
        <v>0</v>
      </c>
      <c r="DF4303">
        <v>0</v>
      </c>
      <c r="DG4303">
        <v>0</v>
      </c>
      <c r="DH4303">
        <v>0</v>
      </c>
      <c r="DI4303">
        <v>0</v>
      </c>
    </row>
    <row r="4304" spans="1:113" x14ac:dyDescent="0.25">
      <c r="A4304" t="str">
        <f t="shared" si="2416"/>
        <v>06/05/2020 14:59:39.017</v>
      </c>
      <c r="C4304" t="str">
        <f t="shared" si="2391"/>
        <v>FFDFD3C0</v>
      </c>
      <c r="D4304" t="s">
        <v>148</v>
      </c>
      <c r="E4304">
        <v>8</v>
      </c>
      <c r="H4304">
        <v>50</v>
      </c>
      <c r="I4304" t="s">
        <v>149</v>
      </c>
      <c r="J4304" t="s">
        <v>150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 t="shared" si="2417"/>
        <v>14:59:44.672</v>
      </c>
      <c r="T4304" t="str">
        <f t="shared" si="2418"/>
        <v>14:59:44.572</v>
      </c>
      <c r="U4304" t="str">
        <f t="shared" si="2410"/>
        <v>ACC530</v>
      </c>
      <c r="V4304">
        <v>0</v>
      </c>
      <c r="W4304">
        <v>0</v>
      </c>
      <c r="X4304">
        <v>1</v>
      </c>
      <c r="Z4304">
        <v>0</v>
      </c>
      <c r="AA4304">
        <v>9</v>
      </c>
      <c r="AB4304">
        <v>3</v>
      </c>
      <c r="AC4304">
        <v>0</v>
      </c>
      <c r="AD4304">
        <v>9</v>
      </c>
      <c r="AE4304">
        <v>0</v>
      </c>
      <c r="AF4304">
        <v>3</v>
      </c>
      <c r="AG4304">
        <v>1</v>
      </c>
      <c r="AH4304">
        <v>0</v>
      </c>
      <c r="AI4304" t="s">
        <v>1353</v>
      </c>
      <c r="AJ4304">
        <v>34.070920999999998</v>
      </c>
      <c r="AK4304" t="s">
        <v>1354</v>
      </c>
      <c r="AL4304">
        <v>-117.030659</v>
      </c>
      <c r="AM4304">
        <v>100</v>
      </c>
      <c r="AN4304">
        <v>5200</v>
      </c>
      <c r="AO4304" t="s">
        <v>118</v>
      </c>
      <c r="AP4304">
        <v>-102</v>
      </c>
      <c r="AQ4304">
        <v>27</v>
      </c>
      <c r="AR4304">
        <v>-832</v>
      </c>
      <c r="AZ4304">
        <v>1200</v>
      </c>
      <c r="BA4304">
        <v>1</v>
      </c>
      <c r="BB4304" t="str">
        <f t="shared" si="2411"/>
        <v xml:space="preserve">N9217B  </v>
      </c>
      <c r="BC4304">
        <v>1</v>
      </c>
      <c r="BE4304">
        <v>0</v>
      </c>
      <c r="BF4304">
        <v>0</v>
      </c>
      <c r="BG4304">
        <v>0</v>
      </c>
      <c r="BH4304">
        <v>4975</v>
      </c>
      <c r="BI4304">
        <v>1</v>
      </c>
      <c r="BJ4304">
        <v>0</v>
      </c>
      <c r="BK4304">
        <v>0</v>
      </c>
      <c r="BL4304">
        <v>0</v>
      </c>
      <c r="BO4304">
        <v>0</v>
      </c>
      <c r="BP4304">
        <v>0</v>
      </c>
      <c r="BW4304" t="str">
        <f t="shared" si="2419"/>
        <v>14:59:44.675</v>
      </c>
      <c r="CJ4304">
        <v>0</v>
      </c>
      <c r="CK4304">
        <v>2</v>
      </c>
      <c r="CL4304">
        <v>0</v>
      </c>
      <c r="CM4304">
        <v>2</v>
      </c>
      <c r="CN4304">
        <v>0</v>
      </c>
      <c r="CO4304">
        <v>5</v>
      </c>
      <c r="CP4304" t="s">
        <v>119</v>
      </c>
      <c r="CQ4304">
        <v>285</v>
      </c>
      <c r="CR4304">
        <v>0</v>
      </c>
      <c r="CW4304">
        <v>8891684</v>
      </c>
      <c r="CY4304">
        <v>0</v>
      </c>
      <c r="CZ4304">
        <v>0</v>
      </c>
      <c r="DA4304">
        <v>1</v>
      </c>
      <c r="DB4304">
        <v>0</v>
      </c>
      <c r="DC4304">
        <v>0</v>
      </c>
      <c r="DD4304">
        <v>0</v>
      </c>
      <c r="DE4304">
        <v>0</v>
      </c>
      <c r="DF4304">
        <v>0</v>
      </c>
      <c r="DG4304">
        <v>0</v>
      </c>
      <c r="DH4304">
        <v>0</v>
      </c>
      <c r="DI4304">
        <v>0</v>
      </c>
    </row>
    <row r="4305" spans="1:113" x14ac:dyDescent="0.25">
      <c r="A4305" t="str">
        <f t="shared" si="2416"/>
        <v>06/05/2020 14:59:39.017</v>
      </c>
      <c r="C4305" t="str">
        <f t="shared" si="2391"/>
        <v>FFDFD3C0</v>
      </c>
      <c r="D4305" t="s">
        <v>113</v>
      </c>
      <c r="E4305">
        <v>3</v>
      </c>
      <c r="H4305">
        <v>166</v>
      </c>
      <c r="I4305" t="s">
        <v>114</v>
      </c>
      <c r="J4305" t="s">
        <v>115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 t="shared" si="2417"/>
        <v>14:59:44.672</v>
      </c>
      <c r="T4305" t="str">
        <f t="shared" si="2418"/>
        <v>14:59:44.572</v>
      </c>
      <c r="U4305" t="str">
        <f t="shared" si="2410"/>
        <v>ACC530</v>
      </c>
      <c r="V4305">
        <v>0</v>
      </c>
      <c r="W4305">
        <v>0</v>
      </c>
      <c r="X4305">
        <v>1</v>
      </c>
      <c r="Z4305">
        <v>0</v>
      </c>
      <c r="AA4305">
        <v>9</v>
      </c>
      <c r="AB4305">
        <v>3</v>
      </c>
      <c r="AC4305">
        <v>0</v>
      </c>
      <c r="AD4305">
        <v>9</v>
      </c>
      <c r="AE4305">
        <v>0</v>
      </c>
      <c r="AF4305">
        <v>3</v>
      </c>
      <c r="AG4305">
        <v>1</v>
      </c>
      <c r="AH4305">
        <v>0</v>
      </c>
      <c r="AI4305" t="s">
        <v>1353</v>
      </c>
      <c r="AJ4305">
        <v>34.070920999999998</v>
      </c>
      <c r="AK4305" t="s">
        <v>1354</v>
      </c>
      <c r="AL4305">
        <v>-117.030659</v>
      </c>
      <c r="AM4305">
        <v>100</v>
      </c>
      <c r="AN4305">
        <v>5200</v>
      </c>
      <c r="AO4305" t="s">
        <v>118</v>
      </c>
      <c r="AP4305">
        <v>-102</v>
      </c>
      <c r="AQ4305">
        <v>27</v>
      </c>
      <c r="AR4305">
        <v>-832</v>
      </c>
      <c r="AZ4305">
        <v>1200</v>
      </c>
      <c r="BA4305">
        <v>1</v>
      </c>
      <c r="BB4305" t="str">
        <f t="shared" si="2411"/>
        <v xml:space="preserve">N9217B  </v>
      </c>
      <c r="BC4305">
        <v>1</v>
      </c>
      <c r="BE4305">
        <v>0</v>
      </c>
      <c r="BF4305">
        <v>0</v>
      </c>
      <c r="BG4305">
        <v>0</v>
      </c>
      <c r="BH4305">
        <v>4975</v>
      </c>
      <c r="BI4305">
        <v>1</v>
      </c>
      <c r="BJ4305">
        <v>0</v>
      </c>
      <c r="BK4305">
        <v>0</v>
      </c>
      <c r="BL4305">
        <v>0</v>
      </c>
      <c r="BO4305">
        <v>0</v>
      </c>
      <c r="BP4305">
        <v>0</v>
      </c>
      <c r="BW4305" t="str">
        <f t="shared" si="2419"/>
        <v>14:59:44.675</v>
      </c>
      <c r="CJ4305">
        <v>0</v>
      </c>
      <c r="CK4305">
        <v>2</v>
      </c>
      <c r="CL4305">
        <v>0</v>
      </c>
      <c r="CM4305">
        <v>2</v>
      </c>
      <c r="CN4305">
        <v>0</v>
      </c>
      <c r="CO4305">
        <v>5</v>
      </c>
      <c r="CP4305" t="s">
        <v>119</v>
      </c>
      <c r="CQ4305">
        <v>285</v>
      </c>
      <c r="CR4305">
        <v>0</v>
      </c>
      <c r="CW4305">
        <v>8891684</v>
      </c>
      <c r="CY4305">
        <v>0</v>
      </c>
      <c r="CZ4305">
        <v>0</v>
      </c>
      <c r="DA4305">
        <v>1</v>
      </c>
      <c r="DB4305">
        <v>0</v>
      </c>
      <c r="DC4305">
        <v>0</v>
      </c>
      <c r="DD4305">
        <v>0</v>
      </c>
      <c r="DE4305">
        <v>0</v>
      </c>
      <c r="DF4305">
        <v>0</v>
      </c>
      <c r="DG4305">
        <v>0</v>
      </c>
      <c r="DH4305">
        <v>0</v>
      </c>
      <c r="DI4305">
        <v>0</v>
      </c>
    </row>
    <row r="4306" spans="1:113" x14ac:dyDescent="0.25">
      <c r="A4306" t="str">
        <f t="shared" si="2416"/>
        <v>06/05/2020 14:59:39.017</v>
      </c>
      <c r="C4306" t="str">
        <f t="shared" si="2391"/>
        <v>FFDFD3C0</v>
      </c>
      <c r="D4306" t="s">
        <v>148</v>
      </c>
      <c r="E4306">
        <v>11</v>
      </c>
      <c r="H4306">
        <v>53</v>
      </c>
      <c r="I4306" t="s">
        <v>364</v>
      </c>
      <c r="J4306" t="s">
        <v>150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 t="shared" si="2417"/>
        <v>14:59:44.672</v>
      </c>
      <c r="T4306" t="str">
        <f t="shared" si="2418"/>
        <v>14:59:44.572</v>
      </c>
      <c r="U4306" t="str">
        <f t="shared" si="2410"/>
        <v>ACC530</v>
      </c>
      <c r="V4306">
        <v>0</v>
      </c>
      <c r="W4306">
        <v>0</v>
      </c>
      <c r="X4306">
        <v>1</v>
      </c>
      <c r="Z4306">
        <v>0</v>
      </c>
      <c r="AA4306">
        <v>9</v>
      </c>
      <c r="AB4306">
        <v>3</v>
      </c>
      <c r="AC4306">
        <v>0</v>
      </c>
      <c r="AD4306">
        <v>9</v>
      </c>
      <c r="AE4306">
        <v>0</v>
      </c>
      <c r="AF4306">
        <v>3</v>
      </c>
      <c r="AG4306">
        <v>1</v>
      </c>
      <c r="AH4306">
        <v>0</v>
      </c>
      <c r="AI4306" t="s">
        <v>1353</v>
      </c>
      <c r="AJ4306">
        <v>34.070920999999998</v>
      </c>
      <c r="AK4306" t="s">
        <v>1354</v>
      </c>
      <c r="AL4306">
        <v>-117.030659</v>
      </c>
      <c r="AM4306">
        <v>100</v>
      </c>
      <c r="AN4306">
        <v>5200</v>
      </c>
      <c r="AO4306" t="s">
        <v>118</v>
      </c>
      <c r="AP4306">
        <v>-102</v>
      </c>
      <c r="AQ4306">
        <v>27</v>
      </c>
      <c r="AR4306">
        <v>-832</v>
      </c>
      <c r="AZ4306">
        <v>1200</v>
      </c>
      <c r="BA4306">
        <v>1</v>
      </c>
      <c r="BB4306" t="str">
        <f t="shared" si="2411"/>
        <v xml:space="preserve">N9217B  </v>
      </c>
      <c r="BC4306">
        <v>1</v>
      </c>
      <c r="BE4306">
        <v>0</v>
      </c>
      <c r="BF4306">
        <v>0</v>
      </c>
      <c r="BG4306">
        <v>0</v>
      </c>
      <c r="BH4306">
        <v>4975</v>
      </c>
      <c r="BI4306">
        <v>1</v>
      </c>
      <c r="BJ4306">
        <v>0</v>
      </c>
      <c r="BK4306">
        <v>0</v>
      </c>
      <c r="BL4306">
        <v>0</v>
      </c>
      <c r="BO4306">
        <v>0</v>
      </c>
      <c r="BP4306">
        <v>0</v>
      </c>
      <c r="BW4306" t="str">
        <f t="shared" si="2419"/>
        <v>14:59:44.675</v>
      </c>
      <c r="CJ4306">
        <v>0</v>
      </c>
      <c r="CK4306">
        <v>2</v>
      </c>
      <c r="CL4306">
        <v>0</v>
      </c>
      <c r="CM4306">
        <v>2</v>
      </c>
      <c r="CN4306">
        <v>0</v>
      </c>
      <c r="CO4306">
        <v>5</v>
      </c>
      <c r="CP4306" t="s">
        <v>119</v>
      </c>
      <c r="CQ4306">
        <v>285</v>
      </c>
      <c r="CR4306">
        <v>0</v>
      </c>
      <c r="CW4306">
        <v>8891684</v>
      </c>
      <c r="CY4306">
        <v>0</v>
      </c>
      <c r="CZ4306">
        <v>0</v>
      </c>
      <c r="DA4306">
        <v>1</v>
      </c>
      <c r="DB4306">
        <v>0</v>
      </c>
      <c r="DC4306">
        <v>0</v>
      </c>
      <c r="DD4306">
        <v>0</v>
      </c>
      <c r="DE4306">
        <v>0</v>
      </c>
      <c r="DF4306">
        <v>0</v>
      </c>
      <c r="DG4306">
        <v>0</v>
      </c>
      <c r="DH4306">
        <v>0</v>
      </c>
      <c r="DI4306">
        <v>0</v>
      </c>
    </row>
    <row r="4307" spans="1:113" x14ac:dyDescent="0.25">
      <c r="A4307" t="str">
        <f t="shared" si="2416"/>
        <v>06/05/2020 14:59:39.017</v>
      </c>
      <c r="C4307" t="str">
        <f t="shared" si="2391"/>
        <v>FFDFD3C0</v>
      </c>
      <c r="D4307" t="s">
        <v>151</v>
      </c>
      <c r="E4307">
        <v>9</v>
      </c>
      <c r="H4307">
        <v>226</v>
      </c>
      <c r="I4307" t="s">
        <v>152</v>
      </c>
      <c r="J4307" t="s">
        <v>150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 t="shared" si="2417"/>
        <v>14:59:44.672</v>
      </c>
      <c r="T4307" t="str">
        <f t="shared" si="2418"/>
        <v>14:59:44.572</v>
      </c>
      <c r="U4307" t="str">
        <f t="shared" si="2410"/>
        <v>ACC530</v>
      </c>
      <c r="V4307">
        <v>0</v>
      </c>
      <c r="W4307">
        <v>0</v>
      </c>
      <c r="X4307">
        <v>1</v>
      </c>
      <c r="Z4307">
        <v>0</v>
      </c>
      <c r="AA4307">
        <v>9</v>
      </c>
      <c r="AB4307">
        <v>3</v>
      </c>
      <c r="AC4307">
        <v>0</v>
      </c>
      <c r="AD4307">
        <v>9</v>
      </c>
      <c r="AE4307">
        <v>0</v>
      </c>
      <c r="AF4307">
        <v>3</v>
      </c>
      <c r="AG4307">
        <v>1</v>
      </c>
      <c r="AH4307">
        <v>0</v>
      </c>
      <c r="AI4307" t="s">
        <v>1353</v>
      </c>
      <c r="AJ4307">
        <v>34.070920999999998</v>
      </c>
      <c r="AK4307" t="s">
        <v>1354</v>
      </c>
      <c r="AL4307">
        <v>-117.030659</v>
      </c>
      <c r="AM4307">
        <v>100</v>
      </c>
      <c r="AN4307">
        <v>5200</v>
      </c>
      <c r="AO4307" t="s">
        <v>118</v>
      </c>
      <c r="AP4307">
        <v>-102</v>
      </c>
      <c r="AQ4307">
        <v>27</v>
      </c>
      <c r="AR4307">
        <v>-832</v>
      </c>
      <c r="AZ4307">
        <v>1200</v>
      </c>
      <c r="BA4307">
        <v>1</v>
      </c>
      <c r="BB4307" t="str">
        <f t="shared" si="2411"/>
        <v xml:space="preserve">N9217B  </v>
      </c>
      <c r="BC4307">
        <v>1</v>
      </c>
      <c r="BE4307">
        <v>0</v>
      </c>
      <c r="BF4307">
        <v>0</v>
      </c>
      <c r="BG4307">
        <v>0</v>
      </c>
      <c r="BH4307">
        <v>4975</v>
      </c>
      <c r="BI4307">
        <v>1</v>
      </c>
      <c r="BJ4307">
        <v>0</v>
      </c>
      <c r="BK4307">
        <v>0</v>
      </c>
      <c r="BL4307">
        <v>0</v>
      </c>
      <c r="BO4307">
        <v>0</v>
      </c>
      <c r="BP4307">
        <v>0</v>
      </c>
      <c r="BW4307" t="str">
        <f t="shared" si="2419"/>
        <v>14:59:44.675</v>
      </c>
      <c r="CJ4307">
        <v>0</v>
      </c>
      <c r="CK4307">
        <v>2</v>
      </c>
      <c r="CL4307">
        <v>0</v>
      </c>
      <c r="CM4307">
        <v>2</v>
      </c>
      <c r="CN4307">
        <v>0</v>
      </c>
      <c r="CO4307">
        <v>5</v>
      </c>
      <c r="CP4307" t="s">
        <v>119</v>
      </c>
      <c r="CQ4307">
        <v>285</v>
      </c>
      <c r="CR4307">
        <v>0</v>
      </c>
      <c r="CW4307">
        <v>8891684</v>
      </c>
      <c r="CY4307">
        <v>0</v>
      </c>
      <c r="CZ4307">
        <v>0</v>
      </c>
      <c r="DA4307">
        <v>1</v>
      </c>
      <c r="DB4307">
        <v>0</v>
      </c>
      <c r="DC4307">
        <v>0</v>
      </c>
      <c r="DD4307">
        <v>0</v>
      </c>
      <c r="DE4307">
        <v>0</v>
      </c>
      <c r="DF4307">
        <v>0</v>
      </c>
      <c r="DG4307">
        <v>0</v>
      </c>
      <c r="DH4307">
        <v>0</v>
      </c>
      <c r="DI4307">
        <v>0</v>
      </c>
    </row>
    <row r="4308" spans="1:113" x14ac:dyDescent="0.25">
      <c r="A4308" t="str">
        <f t="shared" ref="A4308:A4314" si="2420">"06/05/2020 14:59:40.094"</f>
        <v>06/05/2020 14:59:40.094</v>
      </c>
      <c r="C4308" t="str">
        <f t="shared" si="2391"/>
        <v>FFDFD3C0</v>
      </c>
      <c r="D4308" t="s">
        <v>141</v>
      </c>
      <c r="E4308">
        <v>20</v>
      </c>
      <c r="F4308">
        <v>1020</v>
      </c>
      <c r="G4308" t="s">
        <v>114</v>
      </c>
      <c r="J4308" t="s">
        <v>142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 t="shared" ref="S4308:T4314" si="2421">"14:59:45.703"</f>
        <v>14:59:45.703</v>
      </c>
      <c r="T4308" t="str">
        <f t="shared" si="2421"/>
        <v>14:59:45.703</v>
      </c>
      <c r="U4308" t="str">
        <f t="shared" si="2410"/>
        <v>ACC530</v>
      </c>
      <c r="V4308">
        <v>0</v>
      </c>
      <c r="W4308">
        <v>0</v>
      </c>
      <c r="X4308">
        <v>1</v>
      </c>
      <c r="Z4308">
        <v>0</v>
      </c>
      <c r="AA4308">
        <v>9</v>
      </c>
      <c r="AB4308">
        <v>3</v>
      </c>
      <c r="AC4308">
        <v>0</v>
      </c>
      <c r="AD4308">
        <v>9</v>
      </c>
      <c r="AE4308">
        <v>0</v>
      </c>
      <c r="AF4308">
        <v>3</v>
      </c>
      <c r="AG4308">
        <v>1</v>
      </c>
      <c r="AH4308">
        <v>0</v>
      </c>
      <c r="AI4308" t="s">
        <v>1355</v>
      </c>
      <c r="AJ4308">
        <v>34.071027999999998</v>
      </c>
      <c r="AK4308" t="s">
        <v>1356</v>
      </c>
      <c r="AL4308">
        <v>-117.031302</v>
      </c>
      <c r="AM4308">
        <v>100</v>
      </c>
      <c r="AN4308">
        <v>5200</v>
      </c>
      <c r="AO4308" t="s">
        <v>118</v>
      </c>
      <c r="AP4308">
        <v>-102</v>
      </c>
      <c r="AQ4308">
        <v>25</v>
      </c>
      <c r="AR4308">
        <v>-832</v>
      </c>
      <c r="AZ4308">
        <v>1200</v>
      </c>
      <c r="BA4308">
        <v>1</v>
      </c>
      <c r="BB4308" t="str">
        <f t="shared" si="2411"/>
        <v xml:space="preserve">N9217B  </v>
      </c>
      <c r="BC4308">
        <v>1</v>
      </c>
      <c r="BE4308">
        <v>0</v>
      </c>
      <c r="BF4308">
        <v>0</v>
      </c>
      <c r="BG4308">
        <v>0</v>
      </c>
      <c r="BH4308">
        <v>4950</v>
      </c>
      <c r="BI4308">
        <v>1</v>
      </c>
      <c r="BJ4308">
        <v>0</v>
      </c>
      <c r="BK4308">
        <v>0</v>
      </c>
      <c r="BL4308">
        <v>0</v>
      </c>
      <c r="BO4308">
        <v>0</v>
      </c>
      <c r="BP4308">
        <v>0</v>
      </c>
      <c r="BW4308" t="str">
        <f t="shared" ref="BW4308:BW4314" si="2422">"14:59:45.710"</f>
        <v>14:59:45.710</v>
      </c>
      <c r="CJ4308">
        <v>0</v>
      </c>
      <c r="CK4308">
        <v>2</v>
      </c>
      <c r="CL4308">
        <v>0</v>
      </c>
      <c r="CM4308">
        <v>2</v>
      </c>
      <c r="CN4308">
        <v>0</v>
      </c>
      <c r="CO4308">
        <v>5</v>
      </c>
      <c r="CP4308" t="s">
        <v>119</v>
      </c>
      <c r="CQ4308">
        <v>285</v>
      </c>
      <c r="CR4308">
        <v>0</v>
      </c>
      <c r="CW4308">
        <v>8891788</v>
      </c>
      <c r="CY4308">
        <v>0</v>
      </c>
      <c r="CZ4308">
        <v>0</v>
      </c>
      <c r="DA4308">
        <v>0</v>
      </c>
      <c r="DB4308">
        <v>0</v>
      </c>
      <c r="DC4308">
        <v>0</v>
      </c>
      <c r="DD4308">
        <v>0</v>
      </c>
      <c r="DE4308">
        <v>0</v>
      </c>
      <c r="DF4308">
        <v>0</v>
      </c>
      <c r="DG4308">
        <v>0</v>
      </c>
      <c r="DH4308">
        <v>0</v>
      </c>
      <c r="DI4308">
        <v>0</v>
      </c>
    </row>
    <row r="4309" spans="1:113" x14ac:dyDescent="0.25">
      <c r="A4309" t="str">
        <f t="shared" si="2420"/>
        <v>06/05/2020 14:59:40.094</v>
      </c>
      <c r="C4309" t="str">
        <f t="shared" si="2391"/>
        <v>FFDFD3C0</v>
      </c>
      <c r="D4309" t="s">
        <v>113</v>
      </c>
      <c r="E4309">
        <v>3</v>
      </c>
      <c r="H4309">
        <v>166</v>
      </c>
      <c r="I4309" t="s">
        <v>114</v>
      </c>
      <c r="J4309" t="s">
        <v>115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 t="shared" si="2421"/>
        <v>14:59:45.703</v>
      </c>
      <c r="T4309" t="str">
        <f t="shared" si="2421"/>
        <v>14:59:45.703</v>
      </c>
      <c r="U4309" t="str">
        <f t="shared" si="2410"/>
        <v>ACC530</v>
      </c>
      <c r="V4309">
        <v>0</v>
      </c>
      <c r="W4309">
        <v>0</v>
      </c>
      <c r="X4309">
        <v>1</v>
      </c>
      <c r="Z4309">
        <v>0</v>
      </c>
      <c r="AA4309">
        <v>9</v>
      </c>
      <c r="AB4309">
        <v>3</v>
      </c>
      <c r="AC4309">
        <v>0</v>
      </c>
      <c r="AD4309">
        <v>9</v>
      </c>
      <c r="AE4309">
        <v>0</v>
      </c>
      <c r="AF4309">
        <v>3</v>
      </c>
      <c r="AG4309">
        <v>1</v>
      </c>
      <c r="AH4309">
        <v>0</v>
      </c>
      <c r="AI4309" t="s">
        <v>1355</v>
      </c>
      <c r="AJ4309">
        <v>34.071027999999998</v>
      </c>
      <c r="AK4309" t="s">
        <v>1356</v>
      </c>
      <c r="AL4309">
        <v>-117.031302</v>
      </c>
      <c r="AM4309">
        <v>100</v>
      </c>
      <c r="AN4309">
        <v>5200</v>
      </c>
      <c r="AO4309" t="s">
        <v>118</v>
      </c>
      <c r="AP4309">
        <v>-102</v>
      </c>
      <c r="AQ4309">
        <v>25</v>
      </c>
      <c r="AR4309">
        <v>-832</v>
      </c>
      <c r="AZ4309">
        <v>1200</v>
      </c>
      <c r="BA4309">
        <v>1</v>
      </c>
      <c r="BB4309" t="str">
        <f t="shared" si="2411"/>
        <v xml:space="preserve">N9217B  </v>
      </c>
      <c r="BC4309">
        <v>1</v>
      </c>
      <c r="BE4309">
        <v>0</v>
      </c>
      <c r="BF4309">
        <v>0</v>
      </c>
      <c r="BG4309">
        <v>0</v>
      </c>
      <c r="BH4309">
        <v>4950</v>
      </c>
      <c r="BI4309">
        <v>1</v>
      </c>
      <c r="BJ4309">
        <v>0</v>
      </c>
      <c r="BK4309">
        <v>0</v>
      </c>
      <c r="BL4309">
        <v>0</v>
      </c>
      <c r="BO4309">
        <v>0</v>
      </c>
      <c r="BP4309">
        <v>0</v>
      </c>
      <c r="BW4309" t="str">
        <f t="shared" si="2422"/>
        <v>14:59:45.710</v>
      </c>
      <c r="CJ4309">
        <v>0</v>
      </c>
      <c r="CK4309">
        <v>2</v>
      </c>
      <c r="CL4309">
        <v>0</v>
      </c>
      <c r="CM4309">
        <v>2</v>
      </c>
      <c r="CN4309">
        <v>0</v>
      </c>
      <c r="CO4309">
        <v>5</v>
      </c>
      <c r="CP4309" t="s">
        <v>119</v>
      </c>
      <c r="CQ4309">
        <v>285</v>
      </c>
      <c r="CR4309">
        <v>0</v>
      </c>
      <c r="CW4309">
        <v>8891788</v>
      </c>
      <c r="CY4309">
        <v>0</v>
      </c>
      <c r="CZ4309">
        <v>0</v>
      </c>
      <c r="DA4309">
        <v>1</v>
      </c>
      <c r="DB4309">
        <v>0</v>
      </c>
      <c r="DC4309">
        <v>0</v>
      </c>
      <c r="DD4309">
        <v>0</v>
      </c>
      <c r="DE4309">
        <v>0</v>
      </c>
      <c r="DF4309">
        <v>0</v>
      </c>
      <c r="DG4309">
        <v>0</v>
      </c>
      <c r="DH4309">
        <v>0</v>
      </c>
      <c r="DI4309">
        <v>0</v>
      </c>
    </row>
    <row r="4310" spans="1:113" x14ac:dyDescent="0.25">
      <c r="A4310" t="str">
        <f t="shared" si="2420"/>
        <v>06/05/2020 14:59:40.094</v>
      </c>
      <c r="C4310" t="str">
        <f t="shared" si="2391"/>
        <v>FFDFD3C0</v>
      </c>
      <c r="D4310" t="s">
        <v>148</v>
      </c>
      <c r="E4310">
        <v>8</v>
      </c>
      <c r="H4310">
        <v>50</v>
      </c>
      <c r="I4310" t="s">
        <v>149</v>
      </c>
      <c r="J4310" t="s">
        <v>150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 t="shared" si="2421"/>
        <v>14:59:45.703</v>
      </c>
      <c r="T4310" t="str">
        <f t="shared" si="2421"/>
        <v>14:59:45.703</v>
      </c>
      <c r="U4310" t="str">
        <f t="shared" si="2410"/>
        <v>ACC530</v>
      </c>
      <c r="V4310">
        <v>0</v>
      </c>
      <c r="W4310">
        <v>0</v>
      </c>
      <c r="X4310">
        <v>1</v>
      </c>
      <c r="Z4310">
        <v>0</v>
      </c>
      <c r="AA4310">
        <v>9</v>
      </c>
      <c r="AB4310">
        <v>3</v>
      </c>
      <c r="AC4310">
        <v>0</v>
      </c>
      <c r="AD4310">
        <v>9</v>
      </c>
      <c r="AE4310">
        <v>0</v>
      </c>
      <c r="AF4310">
        <v>3</v>
      </c>
      <c r="AG4310">
        <v>1</v>
      </c>
      <c r="AH4310">
        <v>0</v>
      </c>
      <c r="AI4310" t="s">
        <v>1355</v>
      </c>
      <c r="AJ4310">
        <v>34.071027999999998</v>
      </c>
      <c r="AK4310" t="s">
        <v>1356</v>
      </c>
      <c r="AL4310">
        <v>-117.031302</v>
      </c>
      <c r="AM4310">
        <v>100</v>
      </c>
      <c r="AN4310">
        <v>5200</v>
      </c>
      <c r="AO4310" t="s">
        <v>118</v>
      </c>
      <c r="AP4310">
        <v>-102</v>
      </c>
      <c r="AQ4310">
        <v>25</v>
      </c>
      <c r="AR4310">
        <v>-832</v>
      </c>
      <c r="AZ4310">
        <v>1200</v>
      </c>
      <c r="BA4310">
        <v>1</v>
      </c>
      <c r="BB4310" t="str">
        <f t="shared" si="2411"/>
        <v xml:space="preserve">N9217B  </v>
      </c>
      <c r="BC4310">
        <v>1</v>
      </c>
      <c r="BE4310">
        <v>0</v>
      </c>
      <c r="BF4310">
        <v>0</v>
      </c>
      <c r="BG4310">
        <v>0</v>
      </c>
      <c r="BH4310">
        <v>4950</v>
      </c>
      <c r="BI4310">
        <v>1</v>
      </c>
      <c r="BJ4310">
        <v>0</v>
      </c>
      <c r="BK4310">
        <v>0</v>
      </c>
      <c r="BL4310">
        <v>0</v>
      </c>
      <c r="BO4310">
        <v>0</v>
      </c>
      <c r="BP4310">
        <v>0</v>
      </c>
      <c r="BW4310" t="str">
        <f t="shared" si="2422"/>
        <v>14:59:45.710</v>
      </c>
      <c r="CJ4310">
        <v>0</v>
      </c>
      <c r="CK4310">
        <v>2</v>
      </c>
      <c r="CL4310">
        <v>0</v>
      </c>
      <c r="CM4310">
        <v>2</v>
      </c>
      <c r="CN4310">
        <v>0</v>
      </c>
      <c r="CO4310">
        <v>5</v>
      </c>
      <c r="CP4310" t="s">
        <v>119</v>
      </c>
      <c r="CQ4310">
        <v>285</v>
      </c>
      <c r="CR4310">
        <v>0</v>
      </c>
      <c r="CW4310">
        <v>8891788</v>
      </c>
      <c r="CY4310">
        <v>0</v>
      </c>
      <c r="CZ4310">
        <v>0</v>
      </c>
      <c r="DA4310">
        <v>1</v>
      </c>
      <c r="DB4310">
        <v>0</v>
      </c>
      <c r="DC4310">
        <v>0</v>
      </c>
      <c r="DD4310">
        <v>0</v>
      </c>
      <c r="DE4310">
        <v>0</v>
      </c>
      <c r="DF4310">
        <v>0</v>
      </c>
      <c r="DG4310">
        <v>0</v>
      </c>
      <c r="DH4310">
        <v>0</v>
      </c>
      <c r="DI4310">
        <v>0</v>
      </c>
    </row>
    <row r="4311" spans="1:113" x14ac:dyDescent="0.25">
      <c r="A4311" t="str">
        <f t="shared" si="2420"/>
        <v>06/05/2020 14:59:40.094</v>
      </c>
      <c r="C4311" t="str">
        <f t="shared" si="2391"/>
        <v>FFDFD3C0</v>
      </c>
      <c r="D4311" t="s">
        <v>148</v>
      </c>
      <c r="E4311">
        <v>11</v>
      </c>
      <c r="H4311">
        <v>53</v>
      </c>
      <c r="I4311" t="s">
        <v>364</v>
      </c>
      <c r="J4311" t="s">
        <v>150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 t="shared" si="2421"/>
        <v>14:59:45.703</v>
      </c>
      <c r="T4311" t="str">
        <f t="shared" si="2421"/>
        <v>14:59:45.703</v>
      </c>
      <c r="U4311" t="str">
        <f t="shared" si="2410"/>
        <v>ACC530</v>
      </c>
      <c r="V4311">
        <v>0</v>
      </c>
      <c r="W4311">
        <v>0</v>
      </c>
      <c r="X4311">
        <v>1</v>
      </c>
      <c r="Z4311">
        <v>0</v>
      </c>
      <c r="AA4311">
        <v>9</v>
      </c>
      <c r="AB4311">
        <v>3</v>
      </c>
      <c r="AC4311">
        <v>0</v>
      </c>
      <c r="AD4311">
        <v>9</v>
      </c>
      <c r="AE4311">
        <v>0</v>
      </c>
      <c r="AF4311">
        <v>3</v>
      </c>
      <c r="AG4311">
        <v>1</v>
      </c>
      <c r="AH4311">
        <v>0</v>
      </c>
      <c r="AI4311" t="s">
        <v>1355</v>
      </c>
      <c r="AJ4311">
        <v>34.071027999999998</v>
      </c>
      <c r="AK4311" t="s">
        <v>1356</v>
      </c>
      <c r="AL4311">
        <v>-117.031302</v>
      </c>
      <c r="AM4311">
        <v>100</v>
      </c>
      <c r="AN4311">
        <v>5200</v>
      </c>
      <c r="AO4311" t="s">
        <v>118</v>
      </c>
      <c r="AP4311">
        <v>-102</v>
      </c>
      <c r="AQ4311">
        <v>25</v>
      </c>
      <c r="AR4311">
        <v>-832</v>
      </c>
      <c r="AZ4311">
        <v>1200</v>
      </c>
      <c r="BA4311">
        <v>1</v>
      </c>
      <c r="BB4311" t="str">
        <f t="shared" si="2411"/>
        <v xml:space="preserve">N9217B  </v>
      </c>
      <c r="BC4311">
        <v>1</v>
      </c>
      <c r="BE4311">
        <v>0</v>
      </c>
      <c r="BF4311">
        <v>0</v>
      </c>
      <c r="BG4311">
        <v>0</v>
      </c>
      <c r="BH4311">
        <v>4950</v>
      </c>
      <c r="BI4311">
        <v>1</v>
      </c>
      <c r="BJ4311">
        <v>0</v>
      </c>
      <c r="BK4311">
        <v>0</v>
      </c>
      <c r="BL4311">
        <v>0</v>
      </c>
      <c r="BO4311">
        <v>0</v>
      </c>
      <c r="BP4311">
        <v>0</v>
      </c>
      <c r="BW4311" t="str">
        <f t="shared" si="2422"/>
        <v>14:59:45.710</v>
      </c>
      <c r="CJ4311">
        <v>0</v>
      </c>
      <c r="CK4311">
        <v>2</v>
      </c>
      <c r="CL4311">
        <v>0</v>
      </c>
      <c r="CM4311">
        <v>2</v>
      </c>
      <c r="CN4311">
        <v>0</v>
      </c>
      <c r="CO4311">
        <v>5</v>
      </c>
      <c r="CP4311" t="s">
        <v>119</v>
      </c>
      <c r="CQ4311">
        <v>285</v>
      </c>
      <c r="CR4311">
        <v>0</v>
      </c>
      <c r="CW4311">
        <v>8891788</v>
      </c>
      <c r="CY4311">
        <v>0</v>
      </c>
      <c r="CZ4311">
        <v>0</v>
      </c>
      <c r="DA4311">
        <v>1</v>
      </c>
      <c r="DB4311">
        <v>0</v>
      </c>
      <c r="DC4311">
        <v>0</v>
      </c>
      <c r="DD4311">
        <v>0</v>
      </c>
      <c r="DE4311">
        <v>0</v>
      </c>
      <c r="DF4311">
        <v>0</v>
      </c>
      <c r="DG4311">
        <v>0</v>
      </c>
      <c r="DH4311">
        <v>0</v>
      </c>
      <c r="DI4311">
        <v>0</v>
      </c>
    </row>
    <row r="4312" spans="1:113" x14ac:dyDescent="0.25">
      <c r="A4312" t="str">
        <f t="shared" si="2420"/>
        <v>06/05/2020 14:59:40.094</v>
      </c>
      <c r="C4312" t="str">
        <f t="shared" si="2391"/>
        <v>FFDFD3C0</v>
      </c>
      <c r="D4312" t="s">
        <v>151</v>
      </c>
      <c r="E4312">
        <v>9</v>
      </c>
      <c r="H4312">
        <v>226</v>
      </c>
      <c r="I4312" t="s">
        <v>152</v>
      </c>
      <c r="J4312" t="s">
        <v>150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 t="shared" si="2421"/>
        <v>14:59:45.703</v>
      </c>
      <c r="T4312" t="str">
        <f t="shared" si="2421"/>
        <v>14:59:45.703</v>
      </c>
      <c r="U4312" t="str">
        <f t="shared" si="2410"/>
        <v>ACC530</v>
      </c>
      <c r="V4312">
        <v>0</v>
      </c>
      <c r="W4312">
        <v>0</v>
      </c>
      <c r="X4312">
        <v>1</v>
      </c>
      <c r="Z4312">
        <v>0</v>
      </c>
      <c r="AA4312">
        <v>9</v>
      </c>
      <c r="AB4312">
        <v>3</v>
      </c>
      <c r="AC4312">
        <v>0</v>
      </c>
      <c r="AD4312">
        <v>9</v>
      </c>
      <c r="AE4312">
        <v>0</v>
      </c>
      <c r="AF4312">
        <v>3</v>
      </c>
      <c r="AG4312">
        <v>1</v>
      </c>
      <c r="AH4312">
        <v>0</v>
      </c>
      <c r="AI4312" t="s">
        <v>1355</v>
      </c>
      <c r="AJ4312">
        <v>34.071027999999998</v>
      </c>
      <c r="AK4312" t="s">
        <v>1356</v>
      </c>
      <c r="AL4312">
        <v>-117.031302</v>
      </c>
      <c r="AM4312">
        <v>100</v>
      </c>
      <c r="AN4312">
        <v>5200</v>
      </c>
      <c r="AO4312" t="s">
        <v>118</v>
      </c>
      <c r="AP4312">
        <v>-102</v>
      </c>
      <c r="AQ4312">
        <v>25</v>
      </c>
      <c r="AR4312">
        <v>-832</v>
      </c>
      <c r="AZ4312">
        <v>1200</v>
      </c>
      <c r="BA4312">
        <v>1</v>
      </c>
      <c r="BB4312" t="str">
        <f t="shared" si="2411"/>
        <v xml:space="preserve">N9217B  </v>
      </c>
      <c r="BC4312">
        <v>1</v>
      </c>
      <c r="BE4312">
        <v>0</v>
      </c>
      <c r="BF4312">
        <v>0</v>
      </c>
      <c r="BG4312">
        <v>0</v>
      </c>
      <c r="BH4312">
        <v>4950</v>
      </c>
      <c r="BI4312">
        <v>1</v>
      </c>
      <c r="BJ4312">
        <v>0</v>
      </c>
      <c r="BK4312">
        <v>0</v>
      </c>
      <c r="BL4312">
        <v>0</v>
      </c>
      <c r="BO4312">
        <v>0</v>
      </c>
      <c r="BP4312">
        <v>0</v>
      </c>
      <c r="BW4312" t="str">
        <f t="shared" si="2422"/>
        <v>14:59:45.710</v>
      </c>
      <c r="CJ4312">
        <v>0</v>
      </c>
      <c r="CK4312">
        <v>2</v>
      </c>
      <c r="CL4312">
        <v>0</v>
      </c>
      <c r="CM4312">
        <v>2</v>
      </c>
      <c r="CN4312">
        <v>0</v>
      </c>
      <c r="CO4312">
        <v>5</v>
      </c>
      <c r="CP4312" t="s">
        <v>119</v>
      </c>
      <c r="CQ4312">
        <v>285</v>
      </c>
      <c r="CR4312">
        <v>0</v>
      </c>
      <c r="CW4312">
        <v>8891788</v>
      </c>
      <c r="CY4312">
        <v>0</v>
      </c>
      <c r="CZ4312">
        <v>0</v>
      </c>
      <c r="DA4312">
        <v>1</v>
      </c>
      <c r="DB4312">
        <v>0</v>
      </c>
      <c r="DC4312">
        <v>0</v>
      </c>
      <c r="DD4312">
        <v>0</v>
      </c>
      <c r="DE4312">
        <v>0</v>
      </c>
      <c r="DF4312">
        <v>0</v>
      </c>
      <c r="DG4312">
        <v>0</v>
      </c>
      <c r="DH4312">
        <v>0</v>
      </c>
      <c r="DI4312">
        <v>0</v>
      </c>
    </row>
    <row r="4313" spans="1:113" x14ac:dyDescent="0.25">
      <c r="A4313" t="str">
        <f t="shared" si="2420"/>
        <v>06/05/2020 14:59:40.094</v>
      </c>
      <c r="C4313" t="str">
        <f t="shared" si="2391"/>
        <v>FFDFD3C0</v>
      </c>
      <c r="D4313" t="s">
        <v>151</v>
      </c>
      <c r="E4313">
        <v>8</v>
      </c>
      <c r="H4313">
        <v>225</v>
      </c>
      <c r="I4313" t="s">
        <v>353</v>
      </c>
      <c r="J4313" t="s">
        <v>150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 t="shared" si="2421"/>
        <v>14:59:45.703</v>
      </c>
      <c r="T4313" t="str">
        <f t="shared" si="2421"/>
        <v>14:59:45.703</v>
      </c>
      <c r="U4313" t="str">
        <f t="shared" si="2410"/>
        <v>ACC530</v>
      </c>
      <c r="V4313">
        <v>0</v>
      </c>
      <c r="W4313">
        <v>0</v>
      </c>
      <c r="X4313">
        <v>1</v>
      </c>
      <c r="Z4313">
        <v>0</v>
      </c>
      <c r="AA4313">
        <v>9</v>
      </c>
      <c r="AB4313">
        <v>3</v>
      </c>
      <c r="AC4313">
        <v>0</v>
      </c>
      <c r="AD4313">
        <v>9</v>
      </c>
      <c r="AE4313">
        <v>0</v>
      </c>
      <c r="AF4313">
        <v>3</v>
      </c>
      <c r="AG4313">
        <v>1</v>
      </c>
      <c r="AH4313">
        <v>0</v>
      </c>
      <c r="AI4313" t="s">
        <v>1355</v>
      </c>
      <c r="AJ4313">
        <v>34.071027999999998</v>
      </c>
      <c r="AK4313" t="s">
        <v>1356</v>
      </c>
      <c r="AL4313">
        <v>-117.031302</v>
      </c>
      <c r="AM4313">
        <v>100</v>
      </c>
      <c r="AN4313">
        <v>5200</v>
      </c>
      <c r="AO4313" t="s">
        <v>118</v>
      </c>
      <c r="AP4313">
        <v>-102</v>
      </c>
      <c r="AQ4313">
        <v>25</v>
      </c>
      <c r="AR4313">
        <v>-832</v>
      </c>
      <c r="AZ4313">
        <v>1200</v>
      </c>
      <c r="BA4313">
        <v>1</v>
      </c>
      <c r="BB4313" t="str">
        <f t="shared" si="2411"/>
        <v xml:space="preserve">N9217B  </v>
      </c>
      <c r="BC4313">
        <v>1</v>
      </c>
      <c r="BE4313">
        <v>0</v>
      </c>
      <c r="BF4313">
        <v>0</v>
      </c>
      <c r="BG4313">
        <v>0</v>
      </c>
      <c r="BH4313">
        <v>4950</v>
      </c>
      <c r="BI4313">
        <v>1</v>
      </c>
      <c r="BJ4313">
        <v>0</v>
      </c>
      <c r="BK4313">
        <v>0</v>
      </c>
      <c r="BL4313">
        <v>0</v>
      </c>
      <c r="BO4313">
        <v>0</v>
      </c>
      <c r="BP4313">
        <v>0</v>
      </c>
      <c r="BW4313" t="str">
        <f t="shared" si="2422"/>
        <v>14:59:45.710</v>
      </c>
      <c r="CJ4313">
        <v>0</v>
      </c>
      <c r="CK4313">
        <v>2</v>
      </c>
      <c r="CL4313">
        <v>0</v>
      </c>
      <c r="CM4313">
        <v>2</v>
      </c>
      <c r="CN4313">
        <v>0</v>
      </c>
      <c r="CO4313">
        <v>5</v>
      </c>
      <c r="CP4313" t="s">
        <v>119</v>
      </c>
      <c r="CQ4313">
        <v>285</v>
      </c>
      <c r="CR4313">
        <v>0</v>
      </c>
      <c r="CW4313">
        <v>8891788</v>
      </c>
      <c r="CY4313">
        <v>0</v>
      </c>
      <c r="CZ4313">
        <v>0</v>
      </c>
      <c r="DA4313">
        <v>1</v>
      </c>
      <c r="DB4313">
        <v>0</v>
      </c>
      <c r="DC4313">
        <v>0</v>
      </c>
      <c r="DD4313">
        <v>0</v>
      </c>
      <c r="DE4313">
        <v>0</v>
      </c>
      <c r="DF4313">
        <v>0</v>
      </c>
      <c r="DG4313">
        <v>0</v>
      </c>
      <c r="DH4313">
        <v>0</v>
      </c>
      <c r="DI4313">
        <v>0</v>
      </c>
    </row>
    <row r="4314" spans="1:113" x14ac:dyDescent="0.25">
      <c r="A4314" t="str">
        <f t="shared" si="2420"/>
        <v>06/05/2020 14:59:40.094</v>
      </c>
      <c r="C4314" t="str">
        <f t="shared" si="2391"/>
        <v>FFDFD3C0</v>
      </c>
      <c r="D4314" t="s">
        <v>134</v>
      </c>
      <c r="E4314">
        <v>7</v>
      </c>
      <c r="F4314">
        <v>2007</v>
      </c>
      <c r="G4314" t="s">
        <v>135</v>
      </c>
      <c r="J4314" t="s">
        <v>136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 t="shared" si="2421"/>
        <v>14:59:45.703</v>
      </c>
      <c r="T4314" t="str">
        <f t="shared" si="2421"/>
        <v>14:59:45.703</v>
      </c>
      <c r="U4314" t="str">
        <f t="shared" si="2410"/>
        <v>ACC530</v>
      </c>
      <c r="V4314">
        <v>0</v>
      </c>
      <c r="W4314">
        <v>0</v>
      </c>
      <c r="X4314">
        <v>1</v>
      </c>
      <c r="Z4314">
        <v>0</v>
      </c>
      <c r="AA4314">
        <v>9</v>
      </c>
      <c r="AB4314">
        <v>3</v>
      </c>
      <c r="AC4314">
        <v>0</v>
      </c>
      <c r="AD4314">
        <v>9</v>
      </c>
      <c r="AE4314">
        <v>0</v>
      </c>
      <c r="AF4314">
        <v>3</v>
      </c>
      <c r="AG4314">
        <v>1</v>
      </c>
      <c r="AH4314">
        <v>0</v>
      </c>
      <c r="AI4314" t="s">
        <v>1355</v>
      </c>
      <c r="AJ4314">
        <v>34.071027999999998</v>
      </c>
      <c r="AK4314" t="s">
        <v>1356</v>
      </c>
      <c r="AL4314">
        <v>-117.031302</v>
      </c>
      <c r="AM4314">
        <v>100</v>
      </c>
      <c r="AN4314">
        <v>5200</v>
      </c>
      <c r="AO4314" t="s">
        <v>118</v>
      </c>
      <c r="AP4314">
        <v>-102</v>
      </c>
      <c r="AQ4314">
        <v>25</v>
      </c>
      <c r="AR4314">
        <v>-832</v>
      </c>
      <c r="AZ4314">
        <v>1200</v>
      </c>
      <c r="BA4314">
        <v>1</v>
      </c>
      <c r="BB4314" t="str">
        <f t="shared" si="2411"/>
        <v xml:space="preserve">N9217B  </v>
      </c>
      <c r="BC4314">
        <v>1</v>
      </c>
      <c r="BE4314">
        <v>0</v>
      </c>
      <c r="BF4314">
        <v>0</v>
      </c>
      <c r="BG4314">
        <v>0</v>
      </c>
      <c r="BH4314">
        <v>4950</v>
      </c>
      <c r="BI4314">
        <v>1</v>
      </c>
      <c r="BJ4314">
        <v>0</v>
      </c>
      <c r="BK4314">
        <v>0</v>
      </c>
      <c r="BL4314">
        <v>0</v>
      </c>
      <c r="BO4314">
        <v>0</v>
      </c>
      <c r="BP4314">
        <v>0</v>
      </c>
      <c r="BW4314" t="str">
        <f t="shared" si="2422"/>
        <v>14:59:45.710</v>
      </c>
      <c r="CJ4314">
        <v>0</v>
      </c>
      <c r="CK4314">
        <v>2</v>
      </c>
      <c r="CL4314">
        <v>0</v>
      </c>
      <c r="CM4314">
        <v>2</v>
      </c>
      <c r="CN4314">
        <v>0</v>
      </c>
      <c r="CO4314">
        <v>5</v>
      </c>
      <c r="CP4314" t="s">
        <v>119</v>
      </c>
      <c r="CQ4314">
        <v>285</v>
      </c>
      <c r="CR4314">
        <v>0</v>
      </c>
      <c r="CW4314">
        <v>8891788</v>
      </c>
      <c r="CY4314">
        <v>0</v>
      </c>
      <c r="CZ4314">
        <v>0</v>
      </c>
      <c r="DA4314">
        <v>1</v>
      </c>
      <c r="DB4314">
        <v>0</v>
      </c>
      <c r="DC4314">
        <v>0</v>
      </c>
      <c r="DD4314">
        <v>0</v>
      </c>
      <c r="DE4314">
        <v>0</v>
      </c>
      <c r="DF4314">
        <v>0</v>
      </c>
      <c r="DG4314">
        <v>0</v>
      </c>
      <c r="DH4314">
        <v>0</v>
      </c>
      <c r="DI4314">
        <v>0</v>
      </c>
    </row>
    <row r="4315" spans="1:113" x14ac:dyDescent="0.25">
      <c r="A4315" t="str">
        <f t="shared" ref="A4315:A4321" si="2423">"06/05/2020 14:59:41.037"</f>
        <v>06/05/2020 14:59:41.037</v>
      </c>
      <c r="C4315" t="str">
        <f t="shared" si="2391"/>
        <v>FFDFD3C0</v>
      </c>
      <c r="D4315" t="s">
        <v>134</v>
      </c>
      <c r="E4315">
        <v>7</v>
      </c>
      <c r="F4315">
        <v>2007</v>
      </c>
      <c r="G4315" t="s">
        <v>135</v>
      </c>
      <c r="J4315" t="s">
        <v>136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 t="shared" ref="S4315:S4321" si="2424">"14:59:46.664"</f>
        <v>14:59:46.664</v>
      </c>
      <c r="T4315" t="str">
        <f t="shared" ref="T4315:T4321" si="2425">"14:59:46.564"</f>
        <v>14:59:46.564</v>
      </c>
      <c r="U4315" t="str">
        <f t="shared" si="2410"/>
        <v>ACC530</v>
      </c>
      <c r="V4315">
        <v>0</v>
      </c>
      <c r="W4315">
        <v>0</v>
      </c>
      <c r="X4315">
        <v>1</v>
      </c>
      <c r="Z4315">
        <v>0</v>
      </c>
      <c r="AA4315">
        <v>9</v>
      </c>
      <c r="AB4315">
        <v>3</v>
      </c>
      <c r="AC4315">
        <v>0</v>
      </c>
      <c r="AD4315">
        <v>9</v>
      </c>
      <c r="AE4315">
        <v>0</v>
      </c>
      <c r="AF4315">
        <v>3</v>
      </c>
      <c r="AG4315">
        <v>1</v>
      </c>
      <c r="AH4315">
        <v>0</v>
      </c>
      <c r="AI4315" t="s">
        <v>1357</v>
      </c>
      <c r="AJ4315">
        <v>34.071156999999999</v>
      </c>
      <c r="AK4315" t="s">
        <v>1358</v>
      </c>
      <c r="AL4315">
        <v>-117.031796</v>
      </c>
      <c r="AM4315">
        <v>100</v>
      </c>
      <c r="AN4315">
        <v>5100</v>
      </c>
      <c r="AO4315" t="s">
        <v>118</v>
      </c>
      <c r="AP4315">
        <v>-103</v>
      </c>
      <c r="AQ4315">
        <v>24</v>
      </c>
      <c r="AR4315">
        <v>-832</v>
      </c>
      <c r="AZ4315">
        <v>1200</v>
      </c>
      <c r="BA4315">
        <v>1</v>
      </c>
      <c r="BB4315" t="str">
        <f t="shared" si="2411"/>
        <v xml:space="preserve">N9217B  </v>
      </c>
      <c r="BC4315">
        <v>1</v>
      </c>
      <c r="BE4315">
        <v>0</v>
      </c>
      <c r="BF4315">
        <v>0</v>
      </c>
      <c r="BG4315">
        <v>0</v>
      </c>
      <c r="BH4315">
        <v>4850</v>
      </c>
      <c r="BI4315">
        <v>1</v>
      </c>
      <c r="BJ4315">
        <v>0</v>
      </c>
      <c r="BK4315">
        <v>0</v>
      </c>
      <c r="BL4315">
        <v>0</v>
      </c>
      <c r="BO4315">
        <v>0</v>
      </c>
      <c r="BP4315">
        <v>0</v>
      </c>
      <c r="BW4315" t="str">
        <f t="shared" ref="BW4315:BW4321" si="2426">"14:59:46.670"</f>
        <v>14:59:46.670</v>
      </c>
      <c r="CJ4315">
        <v>0</v>
      </c>
      <c r="CK4315">
        <v>2</v>
      </c>
      <c r="CL4315">
        <v>0</v>
      </c>
      <c r="CM4315">
        <v>2</v>
      </c>
      <c r="CN4315">
        <v>0</v>
      </c>
      <c r="CO4315">
        <v>4</v>
      </c>
      <c r="CP4315" t="s">
        <v>119</v>
      </c>
      <c r="CQ4315">
        <v>285</v>
      </c>
      <c r="CR4315">
        <v>0</v>
      </c>
      <c r="CW4315">
        <v>8891872</v>
      </c>
      <c r="CY4315">
        <v>0</v>
      </c>
      <c r="CZ4315">
        <v>0</v>
      </c>
      <c r="DA4315">
        <v>0</v>
      </c>
      <c r="DB4315">
        <v>0</v>
      </c>
      <c r="DC4315">
        <v>0</v>
      </c>
      <c r="DD4315">
        <v>0</v>
      </c>
      <c r="DE4315">
        <v>0</v>
      </c>
      <c r="DF4315">
        <v>0</v>
      </c>
      <c r="DG4315">
        <v>0</v>
      </c>
      <c r="DH4315">
        <v>0</v>
      </c>
      <c r="DI4315">
        <v>0</v>
      </c>
    </row>
    <row r="4316" spans="1:113" x14ac:dyDescent="0.25">
      <c r="A4316" t="str">
        <f t="shared" si="2423"/>
        <v>06/05/2020 14:59:41.037</v>
      </c>
      <c r="C4316" t="str">
        <f t="shared" si="2391"/>
        <v>FFDFD3C0</v>
      </c>
      <c r="D4316" t="s">
        <v>151</v>
      </c>
      <c r="E4316">
        <v>8</v>
      </c>
      <c r="H4316">
        <v>225</v>
      </c>
      <c r="I4316" t="s">
        <v>353</v>
      </c>
      <c r="J4316" t="s">
        <v>150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 t="shared" si="2424"/>
        <v>14:59:46.664</v>
      </c>
      <c r="T4316" t="str">
        <f t="shared" si="2425"/>
        <v>14:59:46.564</v>
      </c>
      <c r="U4316" t="str">
        <f t="shared" si="2410"/>
        <v>ACC530</v>
      </c>
      <c r="V4316">
        <v>0</v>
      </c>
      <c r="W4316">
        <v>0</v>
      </c>
      <c r="X4316">
        <v>1</v>
      </c>
      <c r="Z4316">
        <v>0</v>
      </c>
      <c r="AA4316">
        <v>9</v>
      </c>
      <c r="AB4316">
        <v>3</v>
      </c>
      <c r="AC4316">
        <v>0</v>
      </c>
      <c r="AD4316">
        <v>9</v>
      </c>
      <c r="AE4316">
        <v>0</v>
      </c>
      <c r="AF4316">
        <v>3</v>
      </c>
      <c r="AG4316">
        <v>1</v>
      </c>
      <c r="AH4316">
        <v>0</v>
      </c>
      <c r="AI4316" t="s">
        <v>1357</v>
      </c>
      <c r="AJ4316">
        <v>34.071156999999999</v>
      </c>
      <c r="AK4316" t="s">
        <v>1358</v>
      </c>
      <c r="AL4316">
        <v>-117.031796</v>
      </c>
      <c r="AM4316">
        <v>100</v>
      </c>
      <c r="AN4316">
        <v>5100</v>
      </c>
      <c r="AO4316" t="s">
        <v>118</v>
      </c>
      <c r="AP4316">
        <v>-103</v>
      </c>
      <c r="AQ4316">
        <v>24</v>
      </c>
      <c r="AR4316">
        <v>-832</v>
      </c>
      <c r="AZ4316">
        <v>1200</v>
      </c>
      <c r="BA4316">
        <v>1</v>
      </c>
      <c r="BB4316" t="str">
        <f t="shared" si="2411"/>
        <v xml:space="preserve">N9217B  </v>
      </c>
      <c r="BC4316">
        <v>1</v>
      </c>
      <c r="BE4316">
        <v>0</v>
      </c>
      <c r="BF4316">
        <v>0</v>
      </c>
      <c r="BG4316">
        <v>0</v>
      </c>
      <c r="BH4316">
        <v>4850</v>
      </c>
      <c r="BI4316">
        <v>1</v>
      </c>
      <c r="BJ4316">
        <v>0</v>
      </c>
      <c r="BK4316">
        <v>0</v>
      </c>
      <c r="BL4316">
        <v>0</v>
      </c>
      <c r="BO4316">
        <v>0</v>
      </c>
      <c r="BP4316">
        <v>0</v>
      </c>
      <c r="BW4316" t="str">
        <f t="shared" si="2426"/>
        <v>14:59:46.670</v>
      </c>
      <c r="CJ4316">
        <v>0</v>
      </c>
      <c r="CK4316">
        <v>2</v>
      </c>
      <c r="CL4316">
        <v>0</v>
      </c>
      <c r="CM4316">
        <v>2</v>
      </c>
      <c r="CN4316">
        <v>0</v>
      </c>
      <c r="CO4316">
        <v>4</v>
      </c>
      <c r="CP4316" t="s">
        <v>119</v>
      </c>
      <c r="CQ4316">
        <v>285</v>
      </c>
      <c r="CR4316">
        <v>0</v>
      </c>
      <c r="CW4316">
        <v>8891872</v>
      </c>
      <c r="CY4316">
        <v>0</v>
      </c>
      <c r="CZ4316">
        <v>0</v>
      </c>
      <c r="DA4316">
        <v>1</v>
      </c>
      <c r="DB4316">
        <v>0</v>
      </c>
      <c r="DC4316">
        <v>0</v>
      </c>
      <c r="DD4316">
        <v>0</v>
      </c>
      <c r="DE4316">
        <v>0</v>
      </c>
      <c r="DF4316">
        <v>0</v>
      </c>
      <c r="DG4316">
        <v>0</v>
      </c>
      <c r="DH4316">
        <v>0</v>
      </c>
      <c r="DI4316">
        <v>0</v>
      </c>
    </row>
    <row r="4317" spans="1:113" x14ac:dyDescent="0.25">
      <c r="A4317" t="str">
        <f t="shared" si="2423"/>
        <v>06/05/2020 14:59:41.037</v>
      </c>
      <c r="C4317" t="str">
        <f t="shared" si="2391"/>
        <v>FFDFD3C0</v>
      </c>
      <c r="D4317" t="s">
        <v>141</v>
      </c>
      <c r="E4317">
        <v>20</v>
      </c>
      <c r="F4317">
        <v>1020</v>
      </c>
      <c r="G4317" t="s">
        <v>114</v>
      </c>
      <c r="J4317" t="s">
        <v>142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 t="shared" si="2424"/>
        <v>14:59:46.664</v>
      </c>
      <c r="T4317" t="str">
        <f t="shared" si="2425"/>
        <v>14:59:46.564</v>
      </c>
      <c r="U4317" t="str">
        <f t="shared" si="2410"/>
        <v>ACC530</v>
      </c>
      <c r="V4317">
        <v>0</v>
      </c>
      <c r="W4317">
        <v>0</v>
      </c>
      <c r="X4317">
        <v>1</v>
      </c>
      <c r="Z4317">
        <v>0</v>
      </c>
      <c r="AA4317">
        <v>9</v>
      </c>
      <c r="AB4317">
        <v>3</v>
      </c>
      <c r="AC4317">
        <v>0</v>
      </c>
      <c r="AD4317">
        <v>9</v>
      </c>
      <c r="AE4317">
        <v>0</v>
      </c>
      <c r="AF4317">
        <v>3</v>
      </c>
      <c r="AG4317">
        <v>1</v>
      </c>
      <c r="AH4317">
        <v>0</v>
      </c>
      <c r="AI4317" t="s">
        <v>1357</v>
      </c>
      <c r="AJ4317">
        <v>34.071156999999999</v>
      </c>
      <c r="AK4317" t="s">
        <v>1358</v>
      </c>
      <c r="AL4317">
        <v>-117.031796</v>
      </c>
      <c r="AM4317">
        <v>100</v>
      </c>
      <c r="AN4317">
        <v>5100</v>
      </c>
      <c r="AO4317" t="s">
        <v>118</v>
      </c>
      <c r="AP4317">
        <v>-103</v>
      </c>
      <c r="AQ4317">
        <v>24</v>
      </c>
      <c r="AR4317">
        <v>-832</v>
      </c>
      <c r="AZ4317">
        <v>1200</v>
      </c>
      <c r="BA4317">
        <v>1</v>
      </c>
      <c r="BB4317" t="str">
        <f t="shared" si="2411"/>
        <v xml:space="preserve">N9217B  </v>
      </c>
      <c r="BC4317">
        <v>1</v>
      </c>
      <c r="BE4317">
        <v>0</v>
      </c>
      <c r="BF4317">
        <v>0</v>
      </c>
      <c r="BG4317">
        <v>0</v>
      </c>
      <c r="BH4317">
        <v>4850</v>
      </c>
      <c r="BI4317">
        <v>1</v>
      </c>
      <c r="BJ4317">
        <v>0</v>
      </c>
      <c r="BK4317">
        <v>0</v>
      </c>
      <c r="BL4317">
        <v>0</v>
      </c>
      <c r="BO4317">
        <v>0</v>
      </c>
      <c r="BP4317">
        <v>0</v>
      </c>
      <c r="BW4317" t="str">
        <f t="shared" si="2426"/>
        <v>14:59:46.670</v>
      </c>
      <c r="CJ4317">
        <v>0</v>
      </c>
      <c r="CK4317">
        <v>2</v>
      </c>
      <c r="CL4317">
        <v>0</v>
      </c>
      <c r="CM4317">
        <v>2</v>
      </c>
      <c r="CN4317">
        <v>0</v>
      </c>
      <c r="CO4317">
        <v>4</v>
      </c>
      <c r="CP4317" t="s">
        <v>119</v>
      </c>
      <c r="CQ4317">
        <v>285</v>
      </c>
      <c r="CR4317">
        <v>0</v>
      </c>
      <c r="CW4317">
        <v>8891872</v>
      </c>
      <c r="CY4317">
        <v>0</v>
      </c>
      <c r="CZ4317">
        <v>0</v>
      </c>
      <c r="DA4317">
        <v>1</v>
      </c>
      <c r="DB4317">
        <v>0</v>
      </c>
      <c r="DC4317">
        <v>0</v>
      </c>
      <c r="DD4317">
        <v>0</v>
      </c>
      <c r="DE4317">
        <v>0</v>
      </c>
      <c r="DF4317">
        <v>0</v>
      </c>
      <c r="DG4317">
        <v>0</v>
      </c>
      <c r="DH4317">
        <v>0</v>
      </c>
      <c r="DI4317">
        <v>0</v>
      </c>
    </row>
    <row r="4318" spans="1:113" x14ac:dyDescent="0.25">
      <c r="A4318" t="str">
        <f t="shared" si="2423"/>
        <v>06/05/2020 14:59:41.037</v>
      </c>
      <c r="C4318" t="str">
        <f t="shared" si="2391"/>
        <v>FFDFD3C0</v>
      </c>
      <c r="D4318" t="s">
        <v>113</v>
      </c>
      <c r="E4318">
        <v>3</v>
      </c>
      <c r="H4318">
        <v>166</v>
      </c>
      <c r="I4318" t="s">
        <v>114</v>
      </c>
      <c r="J4318" t="s">
        <v>115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 t="shared" si="2424"/>
        <v>14:59:46.664</v>
      </c>
      <c r="T4318" t="str">
        <f t="shared" si="2425"/>
        <v>14:59:46.564</v>
      </c>
      <c r="U4318" t="str">
        <f t="shared" si="2410"/>
        <v>ACC530</v>
      </c>
      <c r="V4318">
        <v>0</v>
      </c>
      <c r="W4318">
        <v>0</v>
      </c>
      <c r="X4318">
        <v>1</v>
      </c>
      <c r="Z4318">
        <v>0</v>
      </c>
      <c r="AA4318">
        <v>9</v>
      </c>
      <c r="AB4318">
        <v>3</v>
      </c>
      <c r="AC4318">
        <v>0</v>
      </c>
      <c r="AD4318">
        <v>9</v>
      </c>
      <c r="AE4318">
        <v>0</v>
      </c>
      <c r="AF4318">
        <v>3</v>
      </c>
      <c r="AG4318">
        <v>1</v>
      </c>
      <c r="AH4318">
        <v>0</v>
      </c>
      <c r="AI4318" t="s">
        <v>1357</v>
      </c>
      <c r="AJ4318">
        <v>34.071156999999999</v>
      </c>
      <c r="AK4318" t="s">
        <v>1358</v>
      </c>
      <c r="AL4318">
        <v>-117.031796</v>
      </c>
      <c r="AM4318">
        <v>100</v>
      </c>
      <c r="AN4318">
        <v>5100</v>
      </c>
      <c r="AO4318" t="s">
        <v>118</v>
      </c>
      <c r="AP4318">
        <v>-103</v>
      </c>
      <c r="AQ4318">
        <v>24</v>
      </c>
      <c r="AR4318">
        <v>-832</v>
      </c>
      <c r="AZ4318">
        <v>1200</v>
      </c>
      <c r="BA4318">
        <v>1</v>
      </c>
      <c r="BB4318" t="str">
        <f t="shared" si="2411"/>
        <v xml:space="preserve">N9217B  </v>
      </c>
      <c r="BC4318">
        <v>1</v>
      </c>
      <c r="BE4318">
        <v>0</v>
      </c>
      <c r="BF4318">
        <v>0</v>
      </c>
      <c r="BG4318">
        <v>0</v>
      </c>
      <c r="BH4318">
        <v>4850</v>
      </c>
      <c r="BI4318">
        <v>1</v>
      </c>
      <c r="BJ4318">
        <v>0</v>
      </c>
      <c r="BK4318">
        <v>0</v>
      </c>
      <c r="BL4318">
        <v>0</v>
      </c>
      <c r="BO4318">
        <v>0</v>
      </c>
      <c r="BP4318">
        <v>0</v>
      </c>
      <c r="BW4318" t="str">
        <f t="shared" si="2426"/>
        <v>14:59:46.670</v>
      </c>
      <c r="CJ4318">
        <v>0</v>
      </c>
      <c r="CK4318">
        <v>2</v>
      </c>
      <c r="CL4318">
        <v>0</v>
      </c>
      <c r="CM4318">
        <v>2</v>
      </c>
      <c r="CN4318">
        <v>0</v>
      </c>
      <c r="CO4318">
        <v>4</v>
      </c>
      <c r="CP4318" t="s">
        <v>119</v>
      </c>
      <c r="CQ4318">
        <v>285</v>
      </c>
      <c r="CR4318">
        <v>0</v>
      </c>
      <c r="CW4318">
        <v>8891872</v>
      </c>
      <c r="CY4318">
        <v>0</v>
      </c>
      <c r="CZ4318">
        <v>0</v>
      </c>
      <c r="DA4318">
        <v>1</v>
      </c>
      <c r="DB4318">
        <v>0</v>
      </c>
      <c r="DC4318">
        <v>0</v>
      </c>
      <c r="DD4318">
        <v>0</v>
      </c>
      <c r="DE4318">
        <v>0</v>
      </c>
      <c r="DF4318">
        <v>0</v>
      </c>
      <c r="DG4318">
        <v>0</v>
      </c>
      <c r="DH4318">
        <v>0</v>
      </c>
      <c r="DI4318">
        <v>0</v>
      </c>
    </row>
    <row r="4319" spans="1:113" x14ac:dyDescent="0.25">
      <c r="A4319" t="str">
        <f t="shared" si="2423"/>
        <v>06/05/2020 14:59:41.037</v>
      </c>
      <c r="C4319" t="str">
        <f t="shared" si="2391"/>
        <v>FFDFD3C0</v>
      </c>
      <c r="D4319" t="s">
        <v>148</v>
      </c>
      <c r="E4319">
        <v>8</v>
      </c>
      <c r="H4319">
        <v>50</v>
      </c>
      <c r="I4319" t="s">
        <v>149</v>
      </c>
      <c r="J4319" t="s">
        <v>150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 t="shared" si="2424"/>
        <v>14:59:46.664</v>
      </c>
      <c r="T4319" t="str">
        <f t="shared" si="2425"/>
        <v>14:59:46.564</v>
      </c>
      <c r="U4319" t="str">
        <f t="shared" si="2410"/>
        <v>ACC530</v>
      </c>
      <c r="V4319">
        <v>0</v>
      </c>
      <c r="W4319">
        <v>0</v>
      </c>
      <c r="X4319">
        <v>1</v>
      </c>
      <c r="Z4319">
        <v>0</v>
      </c>
      <c r="AA4319">
        <v>9</v>
      </c>
      <c r="AB4319">
        <v>3</v>
      </c>
      <c r="AC4319">
        <v>0</v>
      </c>
      <c r="AD4319">
        <v>9</v>
      </c>
      <c r="AE4319">
        <v>0</v>
      </c>
      <c r="AF4319">
        <v>3</v>
      </c>
      <c r="AG4319">
        <v>1</v>
      </c>
      <c r="AH4319">
        <v>0</v>
      </c>
      <c r="AI4319" t="s">
        <v>1357</v>
      </c>
      <c r="AJ4319">
        <v>34.071156999999999</v>
      </c>
      <c r="AK4319" t="s">
        <v>1358</v>
      </c>
      <c r="AL4319">
        <v>-117.031796</v>
      </c>
      <c r="AM4319">
        <v>100</v>
      </c>
      <c r="AN4319">
        <v>5100</v>
      </c>
      <c r="AO4319" t="s">
        <v>118</v>
      </c>
      <c r="AP4319">
        <v>-103</v>
      </c>
      <c r="AQ4319">
        <v>24</v>
      </c>
      <c r="AR4319">
        <v>-832</v>
      </c>
      <c r="AZ4319">
        <v>1200</v>
      </c>
      <c r="BA4319">
        <v>1</v>
      </c>
      <c r="BB4319" t="str">
        <f t="shared" si="2411"/>
        <v xml:space="preserve">N9217B  </v>
      </c>
      <c r="BC4319">
        <v>1</v>
      </c>
      <c r="BE4319">
        <v>0</v>
      </c>
      <c r="BF4319">
        <v>0</v>
      </c>
      <c r="BG4319">
        <v>0</v>
      </c>
      <c r="BH4319">
        <v>4850</v>
      </c>
      <c r="BI4319">
        <v>1</v>
      </c>
      <c r="BJ4319">
        <v>0</v>
      </c>
      <c r="BK4319">
        <v>0</v>
      </c>
      <c r="BL4319">
        <v>0</v>
      </c>
      <c r="BO4319">
        <v>0</v>
      </c>
      <c r="BP4319">
        <v>0</v>
      </c>
      <c r="BW4319" t="str">
        <f t="shared" si="2426"/>
        <v>14:59:46.670</v>
      </c>
      <c r="CJ4319">
        <v>0</v>
      </c>
      <c r="CK4319">
        <v>2</v>
      </c>
      <c r="CL4319">
        <v>0</v>
      </c>
      <c r="CM4319">
        <v>2</v>
      </c>
      <c r="CN4319">
        <v>0</v>
      </c>
      <c r="CO4319">
        <v>4</v>
      </c>
      <c r="CP4319" t="s">
        <v>119</v>
      </c>
      <c r="CQ4319">
        <v>285</v>
      </c>
      <c r="CR4319">
        <v>0</v>
      </c>
      <c r="CW4319">
        <v>8891872</v>
      </c>
      <c r="CY4319">
        <v>0</v>
      </c>
      <c r="CZ4319">
        <v>0</v>
      </c>
      <c r="DA4319">
        <v>1</v>
      </c>
      <c r="DB4319">
        <v>0</v>
      </c>
      <c r="DC4319">
        <v>0</v>
      </c>
      <c r="DD4319">
        <v>0</v>
      </c>
      <c r="DE4319">
        <v>0</v>
      </c>
      <c r="DF4319">
        <v>0</v>
      </c>
      <c r="DG4319">
        <v>0</v>
      </c>
      <c r="DH4319">
        <v>0</v>
      </c>
      <c r="DI4319">
        <v>0</v>
      </c>
    </row>
    <row r="4320" spans="1:113" x14ac:dyDescent="0.25">
      <c r="A4320" t="str">
        <f t="shared" si="2423"/>
        <v>06/05/2020 14:59:41.037</v>
      </c>
      <c r="C4320" t="str">
        <f t="shared" si="2391"/>
        <v>FFDFD3C0</v>
      </c>
      <c r="D4320" t="s">
        <v>151</v>
      </c>
      <c r="E4320">
        <v>9</v>
      </c>
      <c r="H4320">
        <v>226</v>
      </c>
      <c r="I4320" t="s">
        <v>152</v>
      </c>
      <c r="J4320" t="s">
        <v>150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 t="shared" si="2424"/>
        <v>14:59:46.664</v>
      </c>
      <c r="T4320" t="str">
        <f t="shared" si="2425"/>
        <v>14:59:46.564</v>
      </c>
      <c r="U4320" t="str">
        <f t="shared" si="2410"/>
        <v>ACC530</v>
      </c>
      <c r="V4320">
        <v>0</v>
      </c>
      <c r="W4320">
        <v>0</v>
      </c>
      <c r="X4320">
        <v>1</v>
      </c>
      <c r="Z4320">
        <v>0</v>
      </c>
      <c r="AA4320">
        <v>9</v>
      </c>
      <c r="AB4320">
        <v>3</v>
      </c>
      <c r="AC4320">
        <v>0</v>
      </c>
      <c r="AD4320">
        <v>9</v>
      </c>
      <c r="AE4320">
        <v>0</v>
      </c>
      <c r="AF4320">
        <v>3</v>
      </c>
      <c r="AG4320">
        <v>1</v>
      </c>
      <c r="AH4320">
        <v>0</v>
      </c>
      <c r="AI4320" t="s">
        <v>1357</v>
      </c>
      <c r="AJ4320">
        <v>34.071156999999999</v>
      </c>
      <c r="AK4320" t="s">
        <v>1358</v>
      </c>
      <c r="AL4320">
        <v>-117.031796</v>
      </c>
      <c r="AM4320">
        <v>100</v>
      </c>
      <c r="AN4320">
        <v>5100</v>
      </c>
      <c r="AO4320" t="s">
        <v>118</v>
      </c>
      <c r="AP4320">
        <v>-103</v>
      </c>
      <c r="AQ4320">
        <v>24</v>
      </c>
      <c r="AR4320">
        <v>-832</v>
      </c>
      <c r="AZ4320">
        <v>1200</v>
      </c>
      <c r="BA4320">
        <v>1</v>
      </c>
      <c r="BB4320" t="str">
        <f t="shared" si="2411"/>
        <v xml:space="preserve">N9217B  </v>
      </c>
      <c r="BC4320">
        <v>1</v>
      </c>
      <c r="BE4320">
        <v>0</v>
      </c>
      <c r="BF4320">
        <v>0</v>
      </c>
      <c r="BG4320">
        <v>0</v>
      </c>
      <c r="BH4320">
        <v>4850</v>
      </c>
      <c r="BI4320">
        <v>1</v>
      </c>
      <c r="BJ4320">
        <v>0</v>
      </c>
      <c r="BK4320">
        <v>0</v>
      </c>
      <c r="BL4320">
        <v>0</v>
      </c>
      <c r="BO4320">
        <v>0</v>
      </c>
      <c r="BP4320">
        <v>0</v>
      </c>
      <c r="BW4320" t="str">
        <f t="shared" si="2426"/>
        <v>14:59:46.670</v>
      </c>
      <c r="CJ4320">
        <v>0</v>
      </c>
      <c r="CK4320">
        <v>2</v>
      </c>
      <c r="CL4320">
        <v>0</v>
      </c>
      <c r="CM4320">
        <v>2</v>
      </c>
      <c r="CN4320">
        <v>0</v>
      </c>
      <c r="CO4320">
        <v>4</v>
      </c>
      <c r="CP4320" t="s">
        <v>119</v>
      </c>
      <c r="CQ4320">
        <v>285</v>
      </c>
      <c r="CR4320">
        <v>0</v>
      </c>
      <c r="CW4320">
        <v>8891872</v>
      </c>
      <c r="CY4320">
        <v>0</v>
      </c>
      <c r="CZ4320">
        <v>0</v>
      </c>
      <c r="DA4320">
        <v>1</v>
      </c>
      <c r="DB4320">
        <v>0</v>
      </c>
      <c r="DC4320">
        <v>0</v>
      </c>
      <c r="DD4320">
        <v>0</v>
      </c>
      <c r="DE4320">
        <v>0</v>
      </c>
      <c r="DF4320">
        <v>0</v>
      </c>
      <c r="DG4320">
        <v>0</v>
      </c>
      <c r="DH4320">
        <v>0</v>
      </c>
      <c r="DI4320">
        <v>0</v>
      </c>
    </row>
    <row r="4321" spans="1:113" x14ac:dyDescent="0.25">
      <c r="A4321" t="str">
        <f t="shared" si="2423"/>
        <v>06/05/2020 14:59:41.037</v>
      </c>
      <c r="C4321" t="str">
        <f t="shared" si="2391"/>
        <v>FFDFD3C0</v>
      </c>
      <c r="D4321" t="s">
        <v>148</v>
      </c>
      <c r="E4321">
        <v>11</v>
      </c>
      <c r="H4321">
        <v>53</v>
      </c>
      <c r="I4321" t="s">
        <v>364</v>
      </c>
      <c r="J4321" t="s">
        <v>150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 t="shared" si="2424"/>
        <v>14:59:46.664</v>
      </c>
      <c r="T4321" t="str">
        <f t="shared" si="2425"/>
        <v>14:59:46.564</v>
      </c>
      <c r="U4321" t="str">
        <f t="shared" si="2410"/>
        <v>ACC530</v>
      </c>
      <c r="V4321">
        <v>0</v>
      </c>
      <c r="W4321">
        <v>0</v>
      </c>
      <c r="X4321">
        <v>1</v>
      </c>
      <c r="Z4321">
        <v>0</v>
      </c>
      <c r="AA4321">
        <v>9</v>
      </c>
      <c r="AB4321">
        <v>3</v>
      </c>
      <c r="AC4321">
        <v>0</v>
      </c>
      <c r="AD4321">
        <v>9</v>
      </c>
      <c r="AE4321">
        <v>0</v>
      </c>
      <c r="AF4321">
        <v>3</v>
      </c>
      <c r="AG4321">
        <v>1</v>
      </c>
      <c r="AH4321">
        <v>0</v>
      </c>
      <c r="AI4321" t="s">
        <v>1357</v>
      </c>
      <c r="AJ4321">
        <v>34.071156999999999</v>
      </c>
      <c r="AK4321" t="s">
        <v>1358</v>
      </c>
      <c r="AL4321">
        <v>-117.031796</v>
      </c>
      <c r="AM4321">
        <v>100</v>
      </c>
      <c r="AN4321">
        <v>5100</v>
      </c>
      <c r="AO4321" t="s">
        <v>118</v>
      </c>
      <c r="AP4321">
        <v>-103</v>
      </c>
      <c r="AQ4321">
        <v>24</v>
      </c>
      <c r="AR4321">
        <v>-832</v>
      </c>
      <c r="AZ4321">
        <v>1200</v>
      </c>
      <c r="BA4321">
        <v>1</v>
      </c>
      <c r="BB4321" t="str">
        <f t="shared" si="2411"/>
        <v xml:space="preserve">N9217B  </v>
      </c>
      <c r="BC4321">
        <v>1</v>
      </c>
      <c r="BE4321">
        <v>0</v>
      </c>
      <c r="BF4321">
        <v>0</v>
      </c>
      <c r="BG4321">
        <v>0</v>
      </c>
      <c r="BH4321">
        <v>4850</v>
      </c>
      <c r="BI4321">
        <v>1</v>
      </c>
      <c r="BJ4321">
        <v>0</v>
      </c>
      <c r="BK4321">
        <v>0</v>
      </c>
      <c r="BL4321">
        <v>0</v>
      </c>
      <c r="BO4321">
        <v>0</v>
      </c>
      <c r="BP4321">
        <v>0</v>
      </c>
      <c r="BW4321" t="str">
        <f t="shared" si="2426"/>
        <v>14:59:46.670</v>
      </c>
      <c r="CJ4321">
        <v>0</v>
      </c>
      <c r="CK4321">
        <v>2</v>
      </c>
      <c r="CL4321">
        <v>0</v>
      </c>
      <c r="CM4321">
        <v>2</v>
      </c>
      <c r="CN4321">
        <v>0</v>
      </c>
      <c r="CO4321">
        <v>4</v>
      </c>
      <c r="CP4321" t="s">
        <v>119</v>
      </c>
      <c r="CQ4321">
        <v>285</v>
      </c>
      <c r="CR4321">
        <v>0</v>
      </c>
      <c r="CW4321">
        <v>8891872</v>
      </c>
      <c r="CY4321">
        <v>0</v>
      </c>
      <c r="CZ4321">
        <v>0</v>
      </c>
      <c r="DA4321">
        <v>1</v>
      </c>
      <c r="DB4321">
        <v>0</v>
      </c>
      <c r="DC4321">
        <v>0</v>
      </c>
      <c r="DD4321">
        <v>0</v>
      </c>
      <c r="DE4321">
        <v>0</v>
      </c>
      <c r="DF4321">
        <v>0</v>
      </c>
      <c r="DG4321">
        <v>0</v>
      </c>
      <c r="DH4321">
        <v>0</v>
      </c>
      <c r="DI4321">
        <v>0</v>
      </c>
    </row>
    <row r="4322" spans="1:113" x14ac:dyDescent="0.25">
      <c r="A4322" t="str">
        <f t="shared" ref="A4322:A4328" si="2427">"06/05/2020 14:59:42.551"</f>
        <v>06/05/2020 14:59:42.551</v>
      </c>
      <c r="C4322" t="str">
        <f t="shared" si="2391"/>
        <v>FFDFD3C0</v>
      </c>
      <c r="D4322" t="s">
        <v>134</v>
      </c>
      <c r="E4322">
        <v>7</v>
      </c>
      <c r="F4322">
        <v>2007</v>
      </c>
      <c r="G4322" t="s">
        <v>135</v>
      </c>
      <c r="J4322" t="s">
        <v>136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 t="shared" ref="S4322:S4328" si="2428">"14:59:48.180"</f>
        <v>14:59:48.180</v>
      </c>
      <c r="T4322" t="str">
        <f t="shared" ref="T4322:T4328" si="2429">"14:59:48.080"</f>
        <v>14:59:48.080</v>
      </c>
      <c r="U4322" t="str">
        <f t="shared" si="2410"/>
        <v>ACC530</v>
      </c>
      <c r="V4322">
        <v>0</v>
      </c>
      <c r="W4322">
        <v>0</v>
      </c>
      <c r="X4322">
        <v>1</v>
      </c>
      <c r="Z4322">
        <v>0</v>
      </c>
      <c r="AA4322">
        <v>9</v>
      </c>
      <c r="AB4322">
        <v>3</v>
      </c>
      <c r="AC4322">
        <v>0</v>
      </c>
      <c r="AD4322">
        <v>9</v>
      </c>
      <c r="AE4322">
        <v>0</v>
      </c>
      <c r="AF4322">
        <v>3</v>
      </c>
      <c r="AG4322">
        <v>1</v>
      </c>
      <c r="AH4322">
        <v>0</v>
      </c>
      <c r="AI4322" t="s">
        <v>1359</v>
      </c>
      <c r="AJ4322">
        <v>34.071306999999997</v>
      </c>
      <c r="AK4322" t="s">
        <v>1360</v>
      </c>
      <c r="AL4322">
        <v>-117.032719</v>
      </c>
      <c r="AM4322">
        <v>100</v>
      </c>
      <c r="AN4322">
        <v>5100</v>
      </c>
      <c r="AO4322" t="s">
        <v>118</v>
      </c>
      <c r="AP4322">
        <v>-104</v>
      </c>
      <c r="AQ4322">
        <v>22</v>
      </c>
      <c r="AR4322">
        <v>-832</v>
      </c>
      <c r="AZ4322">
        <v>1200</v>
      </c>
      <c r="BA4322">
        <v>1</v>
      </c>
      <c r="BB4322" t="str">
        <f t="shared" si="2411"/>
        <v xml:space="preserve">N9217B  </v>
      </c>
      <c r="BC4322">
        <v>1</v>
      </c>
      <c r="BE4322">
        <v>0</v>
      </c>
      <c r="BF4322">
        <v>0</v>
      </c>
      <c r="BG4322">
        <v>0</v>
      </c>
      <c r="BH4322">
        <v>4925</v>
      </c>
      <c r="BI4322">
        <v>1</v>
      </c>
      <c r="BJ4322">
        <v>0</v>
      </c>
      <c r="BK4322">
        <v>0</v>
      </c>
      <c r="BL4322">
        <v>0</v>
      </c>
      <c r="BO4322">
        <v>0</v>
      </c>
      <c r="BP4322">
        <v>0</v>
      </c>
      <c r="BW4322" t="str">
        <f t="shared" ref="BW4322:BW4328" si="2430">"14:59:48.184"</f>
        <v>14:59:48.184</v>
      </c>
      <c r="CJ4322">
        <v>0</v>
      </c>
      <c r="CK4322">
        <v>2</v>
      </c>
      <c r="CL4322">
        <v>0</v>
      </c>
      <c r="CM4322">
        <v>2</v>
      </c>
      <c r="CN4322">
        <v>0</v>
      </c>
      <c r="CO4322">
        <v>5</v>
      </c>
      <c r="CP4322" t="s">
        <v>119</v>
      </c>
      <c r="CQ4322">
        <v>285</v>
      </c>
      <c r="CR4322">
        <v>0</v>
      </c>
      <c r="CW4322">
        <v>8892013</v>
      </c>
      <c r="CY4322">
        <v>0</v>
      </c>
      <c r="CZ4322">
        <v>0</v>
      </c>
      <c r="DA4322">
        <v>0</v>
      </c>
      <c r="DB4322">
        <v>0</v>
      </c>
      <c r="DC4322">
        <v>0</v>
      </c>
      <c r="DD4322">
        <v>0</v>
      </c>
      <c r="DE4322">
        <v>0</v>
      </c>
      <c r="DF4322">
        <v>0</v>
      </c>
      <c r="DG4322">
        <v>0</v>
      </c>
      <c r="DH4322">
        <v>0</v>
      </c>
      <c r="DI4322">
        <v>0</v>
      </c>
    </row>
    <row r="4323" spans="1:113" x14ac:dyDescent="0.25">
      <c r="A4323" t="str">
        <f t="shared" si="2427"/>
        <v>06/05/2020 14:59:42.551</v>
      </c>
      <c r="C4323" t="str">
        <f t="shared" ref="C4323:C4386" si="2431">"FFDFD3C0"</f>
        <v>FFDFD3C0</v>
      </c>
      <c r="D4323" t="s">
        <v>151</v>
      </c>
      <c r="E4323">
        <v>8</v>
      </c>
      <c r="H4323">
        <v>225</v>
      </c>
      <c r="I4323" t="s">
        <v>353</v>
      </c>
      <c r="J4323" t="s">
        <v>150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 t="shared" si="2428"/>
        <v>14:59:48.180</v>
      </c>
      <c r="T4323" t="str">
        <f t="shared" si="2429"/>
        <v>14:59:48.080</v>
      </c>
      <c r="U4323" t="str">
        <f t="shared" si="2410"/>
        <v>ACC530</v>
      </c>
      <c r="V4323">
        <v>0</v>
      </c>
      <c r="W4323">
        <v>0</v>
      </c>
      <c r="X4323">
        <v>1</v>
      </c>
      <c r="Z4323">
        <v>0</v>
      </c>
      <c r="AA4323">
        <v>9</v>
      </c>
      <c r="AB4323">
        <v>3</v>
      </c>
      <c r="AC4323">
        <v>0</v>
      </c>
      <c r="AD4323">
        <v>9</v>
      </c>
      <c r="AE4323">
        <v>0</v>
      </c>
      <c r="AF4323">
        <v>3</v>
      </c>
      <c r="AG4323">
        <v>1</v>
      </c>
      <c r="AH4323">
        <v>0</v>
      </c>
      <c r="AI4323" t="s">
        <v>1359</v>
      </c>
      <c r="AJ4323">
        <v>34.071306999999997</v>
      </c>
      <c r="AK4323" t="s">
        <v>1360</v>
      </c>
      <c r="AL4323">
        <v>-117.032719</v>
      </c>
      <c r="AM4323">
        <v>100</v>
      </c>
      <c r="AN4323">
        <v>5100</v>
      </c>
      <c r="AO4323" t="s">
        <v>118</v>
      </c>
      <c r="AP4323">
        <v>-104</v>
      </c>
      <c r="AQ4323">
        <v>22</v>
      </c>
      <c r="AR4323">
        <v>-832</v>
      </c>
      <c r="AZ4323">
        <v>1200</v>
      </c>
      <c r="BA4323">
        <v>1</v>
      </c>
      <c r="BB4323" t="str">
        <f t="shared" si="2411"/>
        <v xml:space="preserve">N9217B  </v>
      </c>
      <c r="BC4323">
        <v>1</v>
      </c>
      <c r="BE4323">
        <v>0</v>
      </c>
      <c r="BF4323">
        <v>0</v>
      </c>
      <c r="BG4323">
        <v>0</v>
      </c>
      <c r="BH4323">
        <v>4925</v>
      </c>
      <c r="BI4323">
        <v>1</v>
      </c>
      <c r="BJ4323">
        <v>0</v>
      </c>
      <c r="BK4323">
        <v>0</v>
      </c>
      <c r="BL4323">
        <v>0</v>
      </c>
      <c r="BO4323">
        <v>0</v>
      </c>
      <c r="BP4323">
        <v>0</v>
      </c>
      <c r="BW4323" t="str">
        <f t="shared" si="2430"/>
        <v>14:59:48.184</v>
      </c>
      <c r="CJ4323">
        <v>0</v>
      </c>
      <c r="CK4323">
        <v>2</v>
      </c>
      <c r="CL4323">
        <v>0</v>
      </c>
      <c r="CM4323">
        <v>2</v>
      </c>
      <c r="CN4323">
        <v>0</v>
      </c>
      <c r="CO4323">
        <v>5</v>
      </c>
      <c r="CP4323" t="s">
        <v>119</v>
      </c>
      <c r="CQ4323">
        <v>285</v>
      </c>
      <c r="CR4323">
        <v>0</v>
      </c>
      <c r="CW4323">
        <v>8892013</v>
      </c>
      <c r="CY4323">
        <v>0</v>
      </c>
      <c r="CZ4323">
        <v>0</v>
      </c>
      <c r="DA4323">
        <v>1</v>
      </c>
      <c r="DB4323">
        <v>0</v>
      </c>
      <c r="DC4323">
        <v>0</v>
      </c>
      <c r="DD4323">
        <v>0</v>
      </c>
      <c r="DE4323">
        <v>0</v>
      </c>
      <c r="DF4323">
        <v>0</v>
      </c>
      <c r="DG4323">
        <v>0</v>
      </c>
      <c r="DH4323">
        <v>0</v>
      </c>
      <c r="DI4323">
        <v>0</v>
      </c>
    </row>
    <row r="4324" spans="1:113" x14ac:dyDescent="0.25">
      <c r="A4324" t="str">
        <f t="shared" si="2427"/>
        <v>06/05/2020 14:59:42.551</v>
      </c>
      <c r="C4324" t="str">
        <f t="shared" si="2431"/>
        <v>FFDFD3C0</v>
      </c>
      <c r="D4324" t="s">
        <v>141</v>
      </c>
      <c r="E4324">
        <v>20</v>
      </c>
      <c r="F4324">
        <v>1020</v>
      </c>
      <c r="G4324" t="s">
        <v>114</v>
      </c>
      <c r="J4324" t="s">
        <v>142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 t="shared" si="2428"/>
        <v>14:59:48.180</v>
      </c>
      <c r="T4324" t="str">
        <f t="shared" si="2429"/>
        <v>14:59:48.080</v>
      </c>
      <c r="U4324" t="str">
        <f t="shared" si="2410"/>
        <v>ACC530</v>
      </c>
      <c r="V4324">
        <v>0</v>
      </c>
      <c r="W4324">
        <v>0</v>
      </c>
      <c r="X4324">
        <v>1</v>
      </c>
      <c r="Z4324">
        <v>0</v>
      </c>
      <c r="AA4324">
        <v>9</v>
      </c>
      <c r="AB4324">
        <v>3</v>
      </c>
      <c r="AC4324">
        <v>0</v>
      </c>
      <c r="AD4324">
        <v>9</v>
      </c>
      <c r="AE4324">
        <v>0</v>
      </c>
      <c r="AF4324">
        <v>3</v>
      </c>
      <c r="AG4324">
        <v>1</v>
      </c>
      <c r="AH4324">
        <v>0</v>
      </c>
      <c r="AI4324" t="s">
        <v>1359</v>
      </c>
      <c r="AJ4324">
        <v>34.071306999999997</v>
      </c>
      <c r="AK4324" t="s">
        <v>1360</v>
      </c>
      <c r="AL4324">
        <v>-117.032719</v>
      </c>
      <c r="AM4324">
        <v>100</v>
      </c>
      <c r="AN4324">
        <v>5100</v>
      </c>
      <c r="AO4324" t="s">
        <v>118</v>
      </c>
      <c r="AP4324">
        <v>-104</v>
      </c>
      <c r="AQ4324">
        <v>22</v>
      </c>
      <c r="AR4324">
        <v>-832</v>
      </c>
      <c r="AZ4324">
        <v>1200</v>
      </c>
      <c r="BA4324">
        <v>1</v>
      </c>
      <c r="BB4324" t="str">
        <f t="shared" si="2411"/>
        <v xml:space="preserve">N9217B  </v>
      </c>
      <c r="BC4324">
        <v>1</v>
      </c>
      <c r="BE4324">
        <v>0</v>
      </c>
      <c r="BF4324">
        <v>0</v>
      </c>
      <c r="BG4324">
        <v>0</v>
      </c>
      <c r="BH4324">
        <v>4925</v>
      </c>
      <c r="BI4324">
        <v>1</v>
      </c>
      <c r="BJ4324">
        <v>0</v>
      </c>
      <c r="BK4324">
        <v>0</v>
      </c>
      <c r="BL4324">
        <v>0</v>
      </c>
      <c r="BO4324">
        <v>0</v>
      </c>
      <c r="BP4324">
        <v>0</v>
      </c>
      <c r="BW4324" t="str">
        <f t="shared" si="2430"/>
        <v>14:59:48.184</v>
      </c>
      <c r="CJ4324">
        <v>0</v>
      </c>
      <c r="CK4324">
        <v>2</v>
      </c>
      <c r="CL4324">
        <v>0</v>
      </c>
      <c r="CM4324">
        <v>2</v>
      </c>
      <c r="CN4324">
        <v>0</v>
      </c>
      <c r="CO4324">
        <v>5</v>
      </c>
      <c r="CP4324" t="s">
        <v>119</v>
      </c>
      <c r="CQ4324">
        <v>285</v>
      </c>
      <c r="CR4324">
        <v>0</v>
      </c>
      <c r="CW4324">
        <v>8892013</v>
      </c>
      <c r="CY4324">
        <v>0</v>
      </c>
      <c r="CZ4324">
        <v>0</v>
      </c>
      <c r="DA4324">
        <v>1</v>
      </c>
      <c r="DB4324">
        <v>0</v>
      </c>
      <c r="DC4324">
        <v>0</v>
      </c>
      <c r="DD4324">
        <v>0</v>
      </c>
      <c r="DE4324">
        <v>0</v>
      </c>
      <c r="DF4324">
        <v>0</v>
      </c>
      <c r="DG4324">
        <v>0</v>
      </c>
      <c r="DH4324">
        <v>0</v>
      </c>
      <c r="DI4324">
        <v>0</v>
      </c>
    </row>
    <row r="4325" spans="1:113" x14ac:dyDescent="0.25">
      <c r="A4325" t="str">
        <f t="shared" si="2427"/>
        <v>06/05/2020 14:59:42.551</v>
      </c>
      <c r="C4325" t="str">
        <f t="shared" si="2431"/>
        <v>FFDFD3C0</v>
      </c>
      <c r="D4325" t="s">
        <v>113</v>
      </c>
      <c r="E4325">
        <v>3</v>
      </c>
      <c r="H4325">
        <v>166</v>
      </c>
      <c r="I4325" t="s">
        <v>114</v>
      </c>
      <c r="J4325" t="s">
        <v>115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 t="shared" si="2428"/>
        <v>14:59:48.180</v>
      </c>
      <c r="T4325" t="str">
        <f t="shared" si="2429"/>
        <v>14:59:48.080</v>
      </c>
      <c r="U4325" t="str">
        <f t="shared" si="2410"/>
        <v>ACC530</v>
      </c>
      <c r="V4325">
        <v>0</v>
      </c>
      <c r="W4325">
        <v>0</v>
      </c>
      <c r="X4325">
        <v>1</v>
      </c>
      <c r="Z4325">
        <v>0</v>
      </c>
      <c r="AA4325">
        <v>9</v>
      </c>
      <c r="AB4325">
        <v>3</v>
      </c>
      <c r="AC4325">
        <v>0</v>
      </c>
      <c r="AD4325">
        <v>9</v>
      </c>
      <c r="AE4325">
        <v>0</v>
      </c>
      <c r="AF4325">
        <v>3</v>
      </c>
      <c r="AG4325">
        <v>1</v>
      </c>
      <c r="AH4325">
        <v>0</v>
      </c>
      <c r="AI4325" t="s">
        <v>1359</v>
      </c>
      <c r="AJ4325">
        <v>34.071306999999997</v>
      </c>
      <c r="AK4325" t="s">
        <v>1360</v>
      </c>
      <c r="AL4325">
        <v>-117.032719</v>
      </c>
      <c r="AM4325">
        <v>100</v>
      </c>
      <c r="AN4325">
        <v>5100</v>
      </c>
      <c r="AO4325" t="s">
        <v>118</v>
      </c>
      <c r="AP4325">
        <v>-104</v>
      </c>
      <c r="AQ4325">
        <v>22</v>
      </c>
      <c r="AR4325">
        <v>-832</v>
      </c>
      <c r="AZ4325">
        <v>1200</v>
      </c>
      <c r="BA4325">
        <v>1</v>
      </c>
      <c r="BB4325" t="str">
        <f t="shared" si="2411"/>
        <v xml:space="preserve">N9217B  </v>
      </c>
      <c r="BC4325">
        <v>1</v>
      </c>
      <c r="BE4325">
        <v>0</v>
      </c>
      <c r="BF4325">
        <v>0</v>
      </c>
      <c r="BG4325">
        <v>0</v>
      </c>
      <c r="BH4325">
        <v>4925</v>
      </c>
      <c r="BI4325">
        <v>1</v>
      </c>
      <c r="BJ4325">
        <v>0</v>
      </c>
      <c r="BK4325">
        <v>0</v>
      </c>
      <c r="BL4325">
        <v>0</v>
      </c>
      <c r="BO4325">
        <v>0</v>
      </c>
      <c r="BP4325">
        <v>0</v>
      </c>
      <c r="BW4325" t="str">
        <f t="shared" si="2430"/>
        <v>14:59:48.184</v>
      </c>
      <c r="CJ4325">
        <v>0</v>
      </c>
      <c r="CK4325">
        <v>2</v>
      </c>
      <c r="CL4325">
        <v>0</v>
      </c>
      <c r="CM4325">
        <v>2</v>
      </c>
      <c r="CN4325">
        <v>0</v>
      </c>
      <c r="CO4325">
        <v>5</v>
      </c>
      <c r="CP4325" t="s">
        <v>119</v>
      </c>
      <c r="CQ4325">
        <v>285</v>
      </c>
      <c r="CR4325">
        <v>0</v>
      </c>
      <c r="CW4325">
        <v>8892013</v>
      </c>
      <c r="CY4325">
        <v>0</v>
      </c>
      <c r="CZ4325">
        <v>0</v>
      </c>
      <c r="DA4325">
        <v>1</v>
      </c>
      <c r="DB4325">
        <v>0</v>
      </c>
      <c r="DC4325">
        <v>0</v>
      </c>
      <c r="DD4325">
        <v>0</v>
      </c>
      <c r="DE4325">
        <v>0</v>
      </c>
      <c r="DF4325">
        <v>0</v>
      </c>
      <c r="DG4325">
        <v>0</v>
      </c>
      <c r="DH4325">
        <v>0</v>
      </c>
      <c r="DI4325">
        <v>0</v>
      </c>
    </row>
    <row r="4326" spans="1:113" x14ac:dyDescent="0.25">
      <c r="A4326" t="str">
        <f t="shared" si="2427"/>
        <v>06/05/2020 14:59:42.551</v>
      </c>
      <c r="C4326" t="str">
        <f t="shared" si="2431"/>
        <v>FFDFD3C0</v>
      </c>
      <c r="D4326" t="s">
        <v>148</v>
      </c>
      <c r="E4326">
        <v>8</v>
      </c>
      <c r="H4326">
        <v>50</v>
      </c>
      <c r="I4326" t="s">
        <v>149</v>
      </c>
      <c r="J4326" t="s">
        <v>150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 t="shared" si="2428"/>
        <v>14:59:48.180</v>
      </c>
      <c r="T4326" t="str">
        <f t="shared" si="2429"/>
        <v>14:59:48.080</v>
      </c>
      <c r="U4326" t="str">
        <f t="shared" si="2410"/>
        <v>ACC530</v>
      </c>
      <c r="V4326">
        <v>0</v>
      </c>
      <c r="W4326">
        <v>0</v>
      </c>
      <c r="X4326">
        <v>1</v>
      </c>
      <c r="Z4326">
        <v>0</v>
      </c>
      <c r="AA4326">
        <v>9</v>
      </c>
      <c r="AB4326">
        <v>3</v>
      </c>
      <c r="AC4326">
        <v>0</v>
      </c>
      <c r="AD4326">
        <v>9</v>
      </c>
      <c r="AE4326">
        <v>0</v>
      </c>
      <c r="AF4326">
        <v>3</v>
      </c>
      <c r="AG4326">
        <v>1</v>
      </c>
      <c r="AH4326">
        <v>0</v>
      </c>
      <c r="AI4326" t="s">
        <v>1359</v>
      </c>
      <c r="AJ4326">
        <v>34.071306999999997</v>
      </c>
      <c r="AK4326" t="s">
        <v>1360</v>
      </c>
      <c r="AL4326">
        <v>-117.032719</v>
      </c>
      <c r="AM4326">
        <v>100</v>
      </c>
      <c r="AN4326">
        <v>5100</v>
      </c>
      <c r="AO4326" t="s">
        <v>118</v>
      </c>
      <c r="AP4326">
        <v>-104</v>
      </c>
      <c r="AQ4326">
        <v>22</v>
      </c>
      <c r="AR4326">
        <v>-832</v>
      </c>
      <c r="AZ4326">
        <v>1200</v>
      </c>
      <c r="BA4326">
        <v>1</v>
      </c>
      <c r="BB4326" t="str">
        <f t="shared" si="2411"/>
        <v xml:space="preserve">N9217B  </v>
      </c>
      <c r="BC4326">
        <v>1</v>
      </c>
      <c r="BE4326">
        <v>0</v>
      </c>
      <c r="BF4326">
        <v>0</v>
      </c>
      <c r="BG4326">
        <v>0</v>
      </c>
      <c r="BH4326">
        <v>4925</v>
      </c>
      <c r="BI4326">
        <v>1</v>
      </c>
      <c r="BJ4326">
        <v>0</v>
      </c>
      <c r="BK4326">
        <v>0</v>
      </c>
      <c r="BL4326">
        <v>0</v>
      </c>
      <c r="BO4326">
        <v>0</v>
      </c>
      <c r="BP4326">
        <v>0</v>
      </c>
      <c r="BW4326" t="str">
        <f t="shared" si="2430"/>
        <v>14:59:48.184</v>
      </c>
      <c r="CJ4326">
        <v>0</v>
      </c>
      <c r="CK4326">
        <v>2</v>
      </c>
      <c r="CL4326">
        <v>0</v>
      </c>
      <c r="CM4326">
        <v>2</v>
      </c>
      <c r="CN4326">
        <v>0</v>
      </c>
      <c r="CO4326">
        <v>5</v>
      </c>
      <c r="CP4326" t="s">
        <v>119</v>
      </c>
      <c r="CQ4326">
        <v>285</v>
      </c>
      <c r="CR4326">
        <v>0</v>
      </c>
      <c r="CW4326">
        <v>8892013</v>
      </c>
      <c r="CY4326">
        <v>0</v>
      </c>
      <c r="CZ4326">
        <v>0</v>
      </c>
      <c r="DA4326">
        <v>1</v>
      </c>
      <c r="DB4326">
        <v>0</v>
      </c>
      <c r="DC4326">
        <v>0</v>
      </c>
      <c r="DD4326">
        <v>0</v>
      </c>
      <c r="DE4326">
        <v>0</v>
      </c>
      <c r="DF4326">
        <v>0</v>
      </c>
      <c r="DG4326">
        <v>0</v>
      </c>
      <c r="DH4326">
        <v>0</v>
      </c>
      <c r="DI4326">
        <v>0</v>
      </c>
    </row>
    <row r="4327" spans="1:113" x14ac:dyDescent="0.25">
      <c r="A4327" t="str">
        <f t="shared" si="2427"/>
        <v>06/05/2020 14:59:42.551</v>
      </c>
      <c r="C4327" t="str">
        <f t="shared" si="2431"/>
        <v>FFDFD3C0</v>
      </c>
      <c r="D4327" t="s">
        <v>148</v>
      </c>
      <c r="E4327">
        <v>11</v>
      </c>
      <c r="H4327">
        <v>53</v>
      </c>
      <c r="I4327" t="s">
        <v>364</v>
      </c>
      <c r="J4327" t="s">
        <v>150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 t="shared" si="2428"/>
        <v>14:59:48.180</v>
      </c>
      <c r="T4327" t="str">
        <f t="shared" si="2429"/>
        <v>14:59:48.080</v>
      </c>
      <c r="U4327" t="str">
        <f t="shared" si="2410"/>
        <v>ACC530</v>
      </c>
      <c r="V4327">
        <v>0</v>
      </c>
      <c r="W4327">
        <v>0</v>
      </c>
      <c r="X4327">
        <v>1</v>
      </c>
      <c r="Z4327">
        <v>0</v>
      </c>
      <c r="AA4327">
        <v>9</v>
      </c>
      <c r="AB4327">
        <v>3</v>
      </c>
      <c r="AC4327">
        <v>0</v>
      </c>
      <c r="AD4327">
        <v>9</v>
      </c>
      <c r="AE4327">
        <v>0</v>
      </c>
      <c r="AF4327">
        <v>3</v>
      </c>
      <c r="AG4327">
        <v>1</v>
      </c>
      <c r="AH4327">
        <v>0</v>
      </c>
      <c r="AI4327" t="s">
        <v>1359</v>
      </c>
      <c r="AJ4327">
        <v>34.071306999999997</v>
      </c>
      <c r="AK4327" t="s">
        <v>1360</v>
      </c>
      <c r="AL4327">
        <v>-117.032719</v>
      </c>
      <c r="AM4327">
        <v>100</v>
      </c>
      <c r="AN4327">
        <v>5100</v>
      </c>
      <c r="AO4327" t="s">
        <v>118</v>
      </c>
      <c r="AP4327">
        <v>-104</v>
      </c>
      <c r="AQ4327">
        <v>22</v>
      </c>
      <c r="AR4327">
        <v>-832</v>
      </c>
      <c r="AZ4327">
        <v>1200</v>
      </c>
      <c r="BA4327">
        <v>1</v>
      </c>
      <c r="BB4327" t="str">
        <f t="shared" si="2411"/>
        <v xml:space="preserve">N9217B  </v>
      </c>
      <c r="BC4327">
        <v>1</v>
      </c>
      <c r="BE4327">
        <v>0</v>
      </c>
      <c r="BF4327">
        <v>0</v>
      </c>
      <c r="BG4327">
        <v>0</v>
      </c>
      <c r="BH4327">
        <v>4925</v>
      </c>
      <c r="BI4327">
        <v>1</v>
      </c>
      <c r="BJ4327">
        <v>0</v>
      </c>
      <c r="BK4327">
        <v>0</v>
      </c>
      <c r="BL4327">
        <v>0</v>
      </c>
      <c r="BO4327">
        <v>0</v>
      </c>
      <c r="BP4327">
        <v>0</v>
      </c>
      <c r="BW4327" t="str">
        <f t="shared" si="2430"/>
        <v>14:59:48.184</v>
      </c>
      <c r="CJ4327">
        <v>0</v>
      </c>
      <c r="CK4327">
        <v>2</v>
      </c>
      <c r="CL4327">
        <v>0</v>
      </c>
      <c r="CM4327">
        <v>2</v>
      </c>
      <c r="CN4327">
        <v>0</v>
      </c>
      <c r="CO4327">
        <v>5</v>
      </c>
      <c r="CP4327" t="s">
        <v>119</v>
      </c>
      <c r="CQ4327">
        <v>285</v>
      </c>
      <c r="CR4327">
        <v>0</v>
      </c>
      <c r="CW4327">
        <v>8892013</v>
      </c>
      <c r="CY4327">
        <v>0</v>
      </c>
      <c r="CZ4327">
        <v>0</v>
      </c>
      <c r="DA4327">
        <v>1</v>
      </c>
      <c r="DB4327">
        <v>0</v>
      </c>
      <c r="DC4327">
        <v>0</v>
      </c>
      <c r="DD4327">
        <v>0</v>
      </c>
      <c r="DE4327">
        <v>0</v>
      </c>
      <c r="DF4327">
        <v>0</v>
      </c>
      <c r="DG4327">
        <v>0</v>
      </c>
      <c r="DH4327">
        <v>0</v>
      </c>
      <c r="DI4327">
        <v>0</v>
      </c>
    </row>
    <row r="4328" spans="1:113" x14ac:dyDescent="0.25">
      <c r="A4328" t="str">
        <f t="shared" si="2427"/>
        <v>06/05/2020 14:59:42.551</v>
      </c>
      <c r="C4328" t="str">
        <f t="shared" si="2431"/>
        <v>FFDFD3C0</v>
      </c>
      <c r="D4328" t="s">
        <v>151</v>
      </c>
      <c r="E4328">
        <v>9</v>
      </c>
      <c r="H4328">
        <v>226</v>
      </c>
      <c r="I4328" t="s">
        <v>152</v>
      </c>
      <c r="J4328" t="s">
        <v>150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 t="shared" si="2428"/>
        <v>14:59:48.180</v>
      </c>
      <c r="T4328" t="str">
        <f t="shared" si="2429"/>
        <v>14:59:48.080</v>
      </c>
      <c r="U4328" t="str">
        <f t="shared" si="2410"/>
        <v>ACC530</v>
      </c>
      <c r="V4328">
        <v>0</v>
      </c>
      <c r="W4328">
        <v>0</v>
      </c>
      <c r="X4328">
        <v>1</v>
      </c>
      <c r="Z4328">
        <v>0</v>
      </c>
      <c r="AA4328">
        <v>9</v>
      </c>
      <c r="AB4328">
        <v>3</v>
      </c>
      <c r="AC4328">
        <v>0</v>
      </c>
      <c r="AD4328">
        <v>9</v>
      </c>
      <c r="AE4328">
        <v>0</v>
      </c>
      <c r="AF4328">
        <v>3</v>
      </c>
      <c r="AG4328">
        <v>1</v>
      </c>
      <c r="AH4328">
        <v>0</v>
      </c>
      <c r="AI4328" t="s">
        <v>1359</v>
      </c>
      <c r="AJ4328">
        <v>34.071306999999997</v>
      </c>
      <c r="AK4328" t="s">
        <v>1360</v>
      </c>
      <c r="AL4328">
        <v>-117.032719</v>
      </c>
      <c r="AM4328">
        <v>100</v>
      </c>
      <c r="AN4328">
        <v>5100</v>
      </c>
      <c r="AO4328" t="s">
        <v>118</v>
      </c>
      <c r="AP4328">
        <v>-104</v>
      </c>
      <c r="AQ4328">
        <v>22</v>
      </c>
      <c r="AR4328">
        <v>-832</v>
      </c>
      <c r="AZ4328">
        <v>1200</v>
      </c>
      <c r="BA4328">
        <v>1</v>
      </c>
      <c r="BB4328" t="str">
        <f t="shared" si="2411"/>
        <v xml:space="preserve">N9217B  </v>
      </c>
      <c r="BC4328">
        <v>1</v>
      </c>
      <c r="BE4328">
        <v>0</v>
      </c>
      <c r="BF4328">
        <v>0</v>
      </c>
      <c r="BG4328">
        <v>0</v>
      </c>
      <c r="BH4328">
        <v>4925</v>
      </c>
      <c r="BI4328">
        <v>1</v>
      </c>
      <c r="BJ4328">
        <v>0</v>
      </c>
      <c r="BK4328">
        <v>0</v>
      </c>
      <c r="BL4328">
        <v>0</v>
      </c>
      <c r="BO4328">
        <v>0</v>
      </c>
      <c r="BP4328">
        <v>0</v>
      </c>
      <c r="BW4328" t="str">
        <f t="shared" si="2430"/>
        <v>14:59:48.184</v>
      </c>
      <c r="CJ4328">
        <v>0</v>
      </c>
      <c r="CK4328">
        <v>2</v>
      </c>
      <c r="CL4328">
        <v>0</v>
      </c>
      <c r="CM4328">
        <v>2</v>
      </c>
      <c r="CN4328">
        <v>0</v>
      </c>
      <c r="CO4328">
        <v>5</v>
      </c>
      <c r="CP4328" t="s">
        <v>119</v>
      </c>
      <c r="CQ4328">
        <v>285</v>
      </c>
      <c r="CR4328">
        <v>0</v>
      </c>
      <c r="CW4328">
        <v>8892013</v>
      </c>
      <c r="CY4328">
        <v>0</v>
      </c>
      <c r="CZ4328">
        <v>0</v>
      </c>
      <c r="DA4328">
        <v>1</v>
      </c>
      <c r="DB4328">
        <v>0</v>
      </c>
      <c r="DC4328">
        <v>0</v>
      </c>
      <c r="DD4328">
        <v>0</v>
      </c>
      <c r="DE4328">
        <v>0</v>
      </c>
      <c r="DF4328">
        <v>0</v>
      </c>
      <c r="DG4328">
        <v>0</v>
      </c>
      <c r="DH4328">
        <v>0</v>
      </c>
      <c r="DI4328">
        <v>0</v>
      </c>
    </row>
    <row r="4329" spans="1:113" x14ac:dyDescent="0.25">
      <c r="A4329" t="str">
        <f t="shared" ref="A4329:A4335" si="2432">"06/05/2020 14:59:43.623"</f>
        <v>06/05/2020 14:59:43.623</v>
      </c>
      <c r="C4329" t="str">
        <f t="shared" si="2431"/>
        <v>FFDFD3C0</v>
      </c>
      <c r="D4329" t="s">
        <v>151</v>
      </c>
      <c r="E4329">
        <v>8</v>
      </c>
      <c r="H4329">
        <v>225</v>
      </c>
      <c r="I4329" t="s">
        <v>353</v>
      </c>
      <c r="J4329" t="s">
        <v>150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 t="shared" ref="S4329:S4335" si="2433">"14:59:49.289"</f>
        <v>14:59:49.289</v>
      </c>
      <c r="T4329" t="str">
        <f t="shared" ref="T4329:T4335" si="2434">"14:59:48.989"</f>
        <v>14:59:48.989</v>
      </c>
      <c r="U4329" t="str">
        <f t="shared" si="2410"/>
        <v>ACC530</v>
      </c>
      <c r="V4329">
        <v>0</v>
      </c>
      <c r="W4329">
        <v>0</v>
      </c>
      <c r="X4329">
        <v>1</v>
      </c>
      <c r="Z4329">
        <v>0</v>
      </c>
      <c r="AA4329">
        <v>9</v>
      </c>
      <c r="AB4329">
        <v>3</v>
      </c>
      <c r="AC4329">
        <v>0</v>
      </c>
      <c r="AD4329">
        <v>9</v>
      </c>
      <c r="AE4329">
        <v>0</v>
      </c>
      <c r="AF4329">
        <v>3</v>
      </c>
      <c r="AG4329">
        <v>1</v>
      </c>
      <c r="AH4329">
        <v>0</v>
      </c>
      <c r="AI4329" t="s">
        <v>1361</v>
      </c>
      <c r="AJ4329">
        <v>34.071435999999999</v>
      </c>
      <c r="AK4329" t="s">
        <v>1118</v>
      </c>
      <c r="AL4329">
        <v>-117.03331900000001</v>
      </c>
      <c r="AM4329">
        <v>100</v>
      </c>
      <c r="AN4329">
        <v>5100</v>
      </c>
      <c r="AO4329" t="s">
        <v>118</v>
      </c>
      <c r="AP4329">
        <v>-104</v>
      </c>
      <c r="AQ4329">
        <v>22</v>
      </c>
      <c r="AR4329">
        <v>-832</v>
      </c>
      <c r="AZ4329">
        <v>1200</v>
      </c>
      <c r="BA4329">
        <v>1</v>
      </c>
      <c r="BB4329" t="str">
        <f t="shared" si="2411"/>
        <v xml:space="preserve">N9217B  </v>
      </c>
      <c r="BC4329">
        <v>1</v>
      </c>
      <c r="BE4329">
        <v>0</v>
      </c>
      <c r="BF4329">
        <v>0</v>
      </c>
      <c r="BG4329">
        <v>0</v>
      </c>
      <c r="BH4329">
        <v>4925</v>
      </c>
      <c r="BI4329">
        <v>1</v>
      </c>
      <c r="BJ4329">
        <v>0</v>
      </c>
      <c r="BK4329">
        <v>0</v>
      </c>
      <c r="BL4329">
        <v>0</v>
      </c>
      <c r="BO4329">
        <v>0</v>
      </c>
      <c r="BP4329">
        <v>0</v>
      </c>
      <c r="BW4329" t="str">
        <f t="shared" ref="BW4329:BW4335" si="2435">"14:59:49.294"</f>
        <v>14:59:49.294</v>
      </c>
      <c r="CJ4329">
        <v>0</v>
      </c>
      <c r="CK4329">
        <v>2</v>
      </c>
      <c r="CL4329">
        <v>0</v>
      </c>
      <c r="CM4329">
        <v>2</v>
      </c>
      <c r="CN4329">
        <v>0</v>
      </c>
      <c r="CO4329">
        <v>5</v>
      </c>
      <c r="CP4329" t="s">
        <v>119</v>
      </c>
      <c r="CQ4329">
        <v>285</v>
      </c>
      <c r="CR4329">
        <v>0</v>
      </c>
      <c r="CW4329">
        <v>8892129</v>
      </c>
      <c r="CY4329">
        <v>0</v>
      </c>
      <c r="CZ4329">
        <v>0</v>
      </c>
      <c r="DA4329">
        <v>0</v>
      </c>
      <c r="DB4329">
        <v>0</v>
      </c>
      <c r="DC4329">
        <v>0</v>
      </c>
      <c r="DD4329">
        <v>0</v>
      </c>
      <c r="DE4329">
        <v>0</v>
      </c>
      <c r="DF4329">
        <v>0</v>
      </c>
      <c r="DG4329">
        <v>0</v>
      </c>
      <c r="DH4329">
        <v>0</v>
      </c>
      <c r="DI4329">
        <v>0</v>
      </c>
    </row>
    <row r="4330" spans="1:113" x14ac:dyDescent="0.25">
      <c r="A4330" t="str">
        <f t="shared" si="2432"/>
        <v>06/05/2020 14:59:43.623</v>
      </c>
      <c r="C4330" t="str">
        <f t="shared" si="2431"/>
        <v>FFDFD3C0</v>
      </c>
      <c r="D4330" t="s">
        <v>141</v>
      </c>
      <c r="E4330">
        <v>20</v>
      </c>
      <c r="F4330">
        <v>1020</v>
      </c>
      <c r="G4330" t="s">
        <v>114</v>
      </c>
      <c r="J4330" t="s">
        <v>142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 t="shared" si="2433"/>
        <v>14:59:49.289</v>
      </c>
      <c r="T4330" t="str">
        <f t="shared" si="2434"/>
        <v>14:59:48.989</v>
      </c>
      <c r="U4330" t="str">
        <f t="shared" si="2410"/>
        <v>ACC530</v>
      </c>
      <c r="V4330">
        <v>0</v>
      </c>
      <c r="W4330">
        <v>0</v>
      </c>
      <c r="X4330">
        <v>1</v>
      </c>
      <c r="Z4330">
        <v>0</v>
      </c>
      <c r="AA4330">
        <v>9</v>
      </c>
      <c r="AB4330">
        <v>3</v>
      </c>
      <c r="AC4330">
        <v>0</v>
      </c>
      <c r="AD4330">
        <v>9</v>
      </c>
      <c r="AE4330">
        <v>0</v>
      </c>
      <c r="AF4330">
        <v>3</v>
      </c>
      <c r="AG4330">
        <v>1</v>
      </c>
      <c r="AH4330">
        <v>0</v>
      </c>
      <c r="AI4330" t="s">
        <v>1361</v>
      </c>
      <c r="AJ4330">
        <v>34.071435999999999</v>
      </c>
      <c r="AK4330" t="s">
        <v>1118</v>
      </c>
      <c r="AL4330">
        <v>-117.03331900000001</v>
      </c>
      <c r="AM4330">
        <v>100</v>
      </c>
      <c r="AN4330">
        <v>5100</v>
      </c>
      <c r="AO4330" t="s">
        <v>118</v>
      </c>
      <c r="AP4330">
        <v>-104</v>
      </c>
      <c r="AQ4330">
        <v>22</v>
      </c>
      <c r="AR4330">
        <v>-832</v>
      </c>
      <c r="AZ4330">
        <v>1200</v>
      </c>
      <c r="BA4330">
        <v>1</v>
      </c>
      <c r="BB4330" t="str">
        <f t="shared" si="2411"/>
        <v xml:space="preserve">N9217B  </v>
      </c>
      <c r="BC4330">
        <v>1</v>
      </c>
      <c r="BE4330">
        <v>0</v>
      </c>
      <c r="BF4330">
        <v>0</v>
      </c>
      <c r="BG4330">
        <v>0</v>
      </c>
      <c r="BH4330">
        <v>4925</v>
      </c>
      <c r="BI4330">
        <v>1</v>
      </c>
      <c r="BJ4330">
        <v>0</v>
      </c>
      <c r="BK4330">
        <v>0</v>
      </c>
      <c r="BL4330">
        <v>0</v>
      </c>
      <c r="BO4330">
        <v>0</v>
      </c>
      <c r="BP4330">
        <v>0</v>
      </c>
      <c r="BW4330" t="str">
        <f t="shared" si="2435"/>
        <v>14:59:49.294</v>
      </c>
      <c r="CJ4330">
        <v>0</v>
      </c>
      <c r="CK4330">
        <v>2</v>
      </c>
      <c r="CL4330">
        <v>0</v>
      </c>
      <c r="CM4330">
        <v>2</v>
      </c>
      <c r="CN4330">
        <v>0</v>
      </c>
      <c r="CO4330">
        <v>5</v>
      </c>
      <c r="CP4330" t="s">
        <v>119</v>
      </c>
      <c r="CQ4330">
        <v>285</v>
      </c>
      <c r="CR4330">
        <v>0</v>
      </c>
      <c r="CW4330">
        <v>8892129</v>
      </c>
      <c r="CY4330">
        <v>0</v>
      </c>
      <c r="CZ4330">
        <v>0</v>
      </c>
      <c r="DA4330">
        <v>1</v>
      </c>
      <c r="DB4330">
        <v>0</v>
      </c>
      <c r="DC4330">
        <v>0</v>
      </c>
      <c r="DD4330">
        <v>0</v>
      </c>
      <c r="DE4330">
        <v>0</v>
      </c>
      <c r="DF4330">
        <v>0</v>
      </c>
      <c r="DG4330">
        <v>0</v>
      </c>
      <c r="DH4330">
        <v>0</v>
      </c>
      <c r="DI4330">
        <v>0</v>
      </c>
    </row>
    <row r="4331" spans="1:113" x14ac:dyDescent="0.25">
      <c r="A4331" t="str">
        <f t="shared" si="2432"/>
        <v>06/05/2020 14:59:43.623</v>
      </c>
      <c r="C4331" t="str">
        <f t="shared" si="2431"/>
        <v>FFDFD3C0</v>
      </c>
      <c r="D4331" t="s">
        <v>113</v>
      </c>
      <c r="E4331">
        <v>3</v>
      </c>
      <c r="H4331">
        <v>166</v>
      </c>
      <c r="I4331" t="s">
        <v>114</v>
      </c>
      <c r="J4331" t="s">
        <v>115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 t="shared" si="2433"/>
        <v>14:59:49.289</v>
      </c>
      <c r="T4331" t="str">
        <f t="shared" si="2434"/>
        <v>14:59:48.989</v>
      </c>
      <c r="U4331" t="str">
        <f t="shared" si="2410"/>
        <v>ACC530</v>
      </c>
      <c r="V4331">
        <v>0</v>
      </c>
      <c r="W4331">
        <v>0</v>
      </c>
      <c r="X4331">
        <v>1</v>
      </c>
      <c r="Z4331">
        <v>0</v>
      </c>
      <c r="AA4331">
        <v>9</v>
      </c>
      <c r="AB4331">
        <v>3</v>
      </c>
      <c r="AC4331">
        <v>0</v>
      </c>
      <c r="AD4331">
        <v>9</v>
      </c>
      <c r="AE4331">
        <v>0</v>
      </c>
      <c r="AF4331">
        <v>3</v>
      </c>
      <c r="AG4331">
        <v>1</v>
      </c>
      <c r="AH4331">
        <v>0</v>
      </c>
      <c r="AI4331" t="s">
        <v>1361</v>
      </c>
      <c r="AJ4331">
        <v>34.071435999999999</v>
      </c>
      <c r="AK4331" t="s">
        <v>1118</v>
      </c>
      <c r="AL4331">
        <v>-117.03331900000001</v>
      </c>
      <c r="AM4331">
        <v>100</v>
      </c>
      <c r="AN4331">
        <v>5100</v>
      </c>
      <c r="AO4331" t="s">
        <v>118</v>
      </c>
      <c r="AP4331">
        <v>-104</v>
      </c>
      <c r="AQ4331">
        <v>22</v>
      </c>
      <c r="AR4331">
        <v>-832</v>
      </c>
      <c r="AZ4331">
        <v>1200</v>
      </c>
      <c r="BA4331">
        <v>1</v>
      </c>
      <c r="BB4331" t="str">
        <f t="shared" si="2411"/>
        <v xml:space="preserve">N9217B  </v>
      </c>
      <c r="BC4331">
        <v>1</v>
      </c>
      <c r="BE4331">
        <v>0</v>
      </c>
      <c r="BF4331">
        <v>0</v>
      </c>
      <c r="BG4331">
        <v>0</v>
      </c>
      <c r="BH4331">
        <v>4925</v>
      </c>
      <c r="BI4331">
        <v>1</v>
      </c>
      <c r="BJ4331">
        <v>0</v>
      </c>
      <c r="BK4331">
        <v>0</v>
      </c>
      <c r="BL4331">
        <v>0</v>
      </c>
      <c r="BO4331">
        <v>0</v>
      </c>
      <c r="BP4331">
        <v>0</v>
      </c>
      <c r="BW4331" t="str">
        <f t="shared" si="2435"/>
        <v>14:59:49.294</v>
      </c>
      <c r="CJ4331">
        <v>0</v>
      </c>
      <c r="CK4331">
        <v>2</v>
      </c>
      <c r="CL4331">
        <v>0</v>
      </c>
      <c r="CM4331">
        <v>2</v>
      </c>
      <c r="CN4331">
        <v>0</v>
      </c>
      <c r="CO4331">
        <v>5</v>
      </c>
      <c r="CP4331" t="s">
        <v>119</v>
      </c>
      <c r="CQ4331">
        <v>285</v>
      </c>
      <c r="CR4331">
        <v>0</v>
      </c>
      <c r="CW4331">
        <v>8892129</v>
      </c>
      <c r="CY4331">
        <v>0</v>
      </c>
      <c r="CZ4331">
        <v>0</v>
      </c>
      <c r="DA4331">
        <v>1</v>
      </c>
      <c r="DB4331">
        <v>0</v>
      </c>
      <c r="DC4331">
        <v>0</v>
      </c>
      <c r="DD4331">
        <v>0</v>
      </c>
      <c r="DE4331">
        <v>0</v>
      </c>
      <c r="DF4331">
        <v>0</v>
      </c>
      <c r="DG4331">
        <v>0</v>
      </c>
      <c r="DH4331">
        <v>0</v>
      </c>
      <c r="DI4331">
        <v>0</v>
      </c>
    </row>
    <row r="4332" spans="1:113" x14ac:dyDescent="0.25">
      <c r="A4332" t="str">
        <f t="shared" si="2432"/>
        <v>06/05/2020 14:59:43.623</v>
      </c>
      <c r="C4332" t="str">
        <f t="shared" si="2431"/>
        <v>FFDFD3C0</v>
      </c>
      <c r="D4332" t="s">
        <v>148</v>
      </c>
      <c r="E4332">
        <v>11</v>
      </c>
      <c r="H4332">
        <v>53</v>
      </c>
      <c r="I4332" t="s">
        <v>364</v>
      </c>
      <c r="J4332" t="s">
        <v>150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 t="shared" si="2433"/>
        <v>14:59:49.289</v>
      </c>
      <c r="T4332" t="str">
        <f t="shared" si="2434"/>
        <v>14:59:48.989</v>
      </c>
      <c r="U4332" t="str">
        <f t="shared" si="2410"/>
        <v>ACC530</v>
      </c>
      <c r="V4332">
        <v>0</v>
      </c>
      <c r="W4332">
        <v>0</v>
      </c>
      <c r="X4332">
        <v>1</v>
      </c>
      <c r="Z4332">
        <v>0</v>
      </c>
      <c r="AA4332">
        <v>9</v>
      </c>
      <c r="AB4332">
        <v>3</v>
      </c>
      <c r="AC4332">
        <v>0</v>
      </c>
      <c r="AD4332">
        <v>9</v>
      </c>
      <c r="AE4332">
        <v>0</v>
      </c>
      <c r="AF4332">
        <v>3</v>
      </c>
      <c r="AG4332">
        <v>1</v>
      </c>
      <c r="AH4332">
        <v>0</v>
      </c>
      <c r="AI4332" t="s">
        <v>1361</v>
      </c>
      <c r="AJ4332">
        <v>34.071435999999999</v>
      </c>
      <c r="AK4332" t="s">
        <v>1118</v>
      </c>
      <c r="AL4332">
        <v>-117.03331900000001</v>
      </c>
      <c r="AM4332">
        <v>100</v>
      </c>
      <c r="AN4332">
        <v>5100</v>
      </c>
      <c r="AO4332" t="s">
        <v>118</v>
      </c>
      <c r="AP4332">
        <v>-104</v>
      </c>
      <c r="AQ4332">
        <v>22</v>
      </c>
      <c r="AR4332">
        <v>-832</v>
      </c>
      <c r="AZ4332">
        <v>1200</v>
      </c>
      <c r="BA4332">
        <v>1</v>
      </c>
      <c r="BB4332" t="str">
        <f t="shared" si="2411"/>
        <v xml:space="preserve">N9217B  </v>
      </c>
      <c r="BC4332">
        <v>1</v>
      </c>
      <c r="BE4332">
        <v>0</v>
      </c>
      <c r="BF4332">
        <v>0</v>
      </c>
      <c r="BG4332">
        <v>0</v>
      </c>
      <c r="BH4332">
        <v>4925</v>
      </c>
      <c r="BI4332">
        <v>1</v>
      </c>
      <c r="BJ4332">
        <v>0</v>
      </c>
      <c r="BK4332">
        <v>0</v>
      </c>
      <c r="BL4332">
        <v>0</v>
      </c>
      <c r="BO4332">
        <v>0</v>
      </c>
      <c r="BP4332">
        <v>0</v>
      </c>
      <c r="BW4332" t="str">
        <f t="shared" si="2435"/>
        <v>14:59:49.294</v>
      </c>
      <c r="CJ4332">
        <v>0</v>
      </c>
      <c r="CK4332">
        <v>2</v>
      </c>
      <c r="CL4332">
        <v>0</v>
      </c>
      <c r="CM4332">
        <v>2</v>
      </c>
      <c r="CN4332">
        <v>0</v>
      </c>
      <c r="CO4332">
        <v>5</v>
      </c>
      <c r="CP4332" t="s">
        <v>119</v>
      </c>
      <c r="CQ4332">
        <v>285</v>
      </c>
      <c r="CR4332">
        <v>0</v>
      </c>
      <c r="CW4332">
        <v>8892129</v>
      </c>
      <c r="CY4332">
        <v>0</v>
      </c>
      <c r="CZ4332">
        <v>0</v>
      </c>
      <c r="DA4332">
        <v>1</v>
      </c>
      <c r="DB4332">
        <v>0</v>
      </c>
      <c r="DC4332">
        <v>0</v>
      </c>
      <c r="DD4332">
        <v>0</v>
      </c>
      <c r="DE4332">
        <v>0</v>
      </c>
      <c r="DF4332">
        <v>0</v>
      </c>
      <c r="DG4332">
        <v>0</v>
      </c>
      <c r="DH4332">
        <v>0</v>
      </c>
      <c r="DI4332">
        <v>0</v>
      </c>
    </row>
    <row r="4333" spans="1:113" x14ac:dyDescent="0.25">
      <c r="A4333" t="str">
        <f t="shared" si="2432"/>
        <v>06/05/2020 14:59:43.623</v>
      </c>
      <c r="C4333" t="str">
        <f t="shared" si="2431"/>
        <v>FFDFD3C0</v>
      </c>
      <c r="D4333" t="s">
        <v>148</v>
      </c>
      <c r="E4333">
        <v>8</v>
      </c>
      <c r="H4333">
        <v>50</v>
      </c>
      <c r="I4333" t="s">
        <v>149</v>
      </c>
      <c r="J4333" t="s">
        <v>150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 t="shared" si="2433"/>
        <v>14:59:49.289</v>
      </c>
      <c r="T4333" t="str">
        <f t="shared" si="2434"/>
        <v>14:59:48.989</v>
      </c>
      <c r="U4333" t="str">
        <f t="shared" si="2410"/>
        <v>ACC530</v>
      </c>
      <c r="V4333">
        <v>0</v>
      </c>
      <c r="W4333">
        <v>0</v>
      </c>
      <c r="X4333">
        <v>1</v>
      </c>
      <c r="Z4333">
        <v>0</v>
      </c>
      <c r="AA4333">
        <v>9</v>
      </c>
      <c r="AB4333">
        <v>3</v>
      </c>
      <c r="AC4333">
        <v>0</v>
      </c>
      <c r="AD4333">
        <v>9</v>
      </c>
      <c r="AE4333">
        <v>0</v>
      </c>
      <c r="AF4333">
        <v>3</v>
      </c>
      <c r="AG4333">
        <v>1</v>
      </c>
      <c r="AH4333">
        <v>0</v>
      </c>
      <c r="AI4333" t="s">
        <v>1361</v>
      </c>
      <c r="AJ4333">
        <v>34.071435999999999</v>
      </c>
      <c r="AK4333" t="s">
        <v>1118</v>
      </c>
      <c r="AL4333">
        <v>-117.03331900000001</v>
      </c>
      <c r="AM4333">
        <v>100</v>
      </c>
      <c r="AN4333">
        <v>5100</v>
      </c>
      <c r="AO4333" t="s">
        <v>118</v>
      </c>
      <c r="AP4333">
        <v>-104</v>
      </c>
      <c r="AQ4333">
        <v>22</v>
      </c>
      <c r="AR4333">
        <v>-832</v>
      </c>
      <c r="AZ4333">
        <v>1200</v>
      </c>
      <c r="BA4333">
        <v>1</v>
      </c>
      <c r="BB4333" t="str">
        <f t="shared" si="2411"/>
        <v xml:space="preserve">N9217B  </v>
      </c>
      <c r="BC4333">
        <v>1</v>
      </c>
      <c r="BE4333">
        <v>0</v>
      </c>
      <c r="BF4333">
        <v>0</v>
      </c>
      <c r="BG4333">
        <v>0</v>
      </c>
      <c r="BH4333">
        <v>4925</v>
      </c>
      <c r="BI4333">
        <v>1</v>
      </c>
      <c r="BJ4333">
        <v>0</v>
      </c>
      <c r="BK4333">
        <v>0</v>
      </c>
      <c r="BL4333">
        <v>0</v>
      </c>
      <c r="BO4333">
        <v>0</v>
      </c>
      <c r="BP4333">
        <v>0</v>
      </c>
      <c r="BW4333" t="str">
        <f t="shared" si="2435"/>
        <v>14:59:49.294</v>
      </c>
      <c r="CJ4333">
        <v>0</v>
      </c>
      <c r="CK4333">
        <v>2</v>
      </c>
      <c r="CL4333">
        <v>0</v>
      </c>
      <c r="CM4333">
        <v>2</v>
      </c>
      <c r="CN4333">
        <v>0</v>
      </c>
      <c r="CO4333">
        <v>5</v>
      </c>
      <c r="CP4333" t="s">
        <v>119</v>
      </c>
      <c r="CQ4333">
        <v>285</v>
      </c>
      <c r="CR4333">
        <v>0</v>
      </c>
      <c r="CW4333">
        <v>8892129</v>
      </c>
      <c r="CY4333">
        <v>0</v>
      </c>
      <c r="CZ4333">
        <v>0</v>
      </c>
      <c r="DA4333">
        <v>1</v>
      </c>
      <c r="DB4333">
        <v>0</v>
      </c>
      <c r="DC4333">
        <v>0</v>
      </c>
      <c r="DD4333">
        <v>0</v>
      </c>
      <c r="DE4333">
        <v>0</v>
      </c>
      <c r="DF4333">
        <v>0</v>
      </c>
      <c r="DG4333">
        <v>0</v>
      </c>
      <c r="DH4333">
        <v>0</v>
      </c>
      <c r="DI4333">
        <v>0</v>
      </c>
    </row>
    <row r="4334" spans="1:113" x14ac:dyDescent="0.25">
      <c r="A4334" t="str">
        <f t="shared" si="2432"/>
        <v>06/05/2020 14:59:43.623</v>
      </c>
      <c r="C4334" t="str">
        <f t="shared" si="2431"/>
        <v>FFDFD3C0</v>
      </c>
      <c r="D4334" t="s">
        <v>151</v>
      </c>
      <c r="E4334">
        <v>9</v>
      </c>
      <c r="H4334">
        <v>226</v>
      </c>
      <c r="I4334" t="s">
        <v>152</v>
      </c>
      <c r="J4334" t="s">
        <v>150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 t="shared" si="2433"/>
        <v>14:59:49.289</v>
      </c>
      <c r="T4334" t="str">
        <f t="shared" si="2434"/>
        <v>14:59:48.989</v>
      </c>
      <c r="U4334" t="str">
        <f t="shared" si="2410"/>
        <v>ACC530</v>
      </c>
      <c r="V4334">
        <v>0</v>
      </c>
      <c r="W4334">
        <v>0</v>
      </c>
      <c r="X4334">
        <v>1</v>
      </c>
      <c r="Z4334">
        <v>0</v>
      </c>
      <c r="AA4334">
        <v>9</v>
      </c>
      <c r="AB4334">
        <v>3</v>
      </c>
      <c r="AC4334">
        <v>0</v>
      </c>
      <c r="AD4334">
        <v>9</v>
      </c>
      <c r="AE4334">
        <v>0</v>
      </c>
      <c r="AF4334">
        <v>3</v>
      </c>
      <c r="AG4334">
        <v>1</v>
      </c>
      <c r="AH4334">
        <v>0</v>
      </c>
      <c r="AI4334" t="s">
        <v>1361</v>
      </c>
      <c r="AJ4334">
        <v>34.071435999999999</v>
      </c>
      <c r="AK4334" t="s">
        <v>1118</v>
      </c>
      <c r="AL4334">
        <v>-117.03331900000001</v>
      </c>
      <c r="AM4334">
        <v>100</v>
      </c>
      <c r="AN4334">
        <v>5100</v>
      </c>
      <c r="AO4334" t="s">
        <v>118</v>
      </c>
      <c r="AP4334">
        <v>-104</v>
      </c>
      <c r="AQ4334">
        <v>22</v>
      </c>
      <c r="AR4334">
        <v>-832</v>
      </c>
      <c r="AZ4334">
        <v>1200</v>
      </c>
      <c r="BA4334">
        <v>1</v>
      </c>
      <c r="BB4334" t="str">
        <f t="shared" si="2411"/>
        <v xml:space="preserve">N9217B  </v>
      </c>
      <c r="BC4334">
        <v>1</v>
      </c>
      <c r="BE4334">
        <v>0</v>
      </c>
      <c r="BF4334">
        <v>0</v>
      </c>
      <c r="BG4334">
        <v>0</v>
      </c>
      <c r="BH4334">
        <v>4925</v>
      </c>
      <c r="BI4334">
        <v>1</v>
      </c>
      <c r="BJ4334">
        <v>0</v>
      </c>
      <c r="BK4334">
        <v>0</v>
      </c>
      <c r="BL4334">
        <v>0</v>
      </c>
      <c r="BO4334">
        <v>0</v>
      </c>
      <c r="BP4334">
        <v>0</v>
      </c>
      <c r="BW4334" t="str">
        <f t="shared" si="2435"/>
        <v>14:59:49.294</v>
      </c>
      <c r="CJ4334">
        <v>0</v>
      </c>
      <c r="CK4334">
        <v>2</v>
      </c>
      <c r="CL4334">
        <v>0</v>
      </c>
      <c r="CM4334">
        <v>2</v>
      </c>
      <c r="CN4334">
        <v>0</v>
      </c>
      <c r="CO4334">
        <v>5</v>
      </c>
      <c r="CP4334" t="s">
        <v>119</v>
      </c>
      <c r="CQ4334">
        <v>285</v>
      </c>
      <c r="CR4334">
        <v>0</v>
      </c>
      <c r="CW4334">
        <v>8892129</v>
      </c>
      <c r="CY4334">
        <v>0</v>
      </c>
      <c r="CZ4334">
        <v>0</v>
      </c>
      <c r="DA4334">
        <v>1</v>
      </c>
      <c r="DB4334">
        <v>0</v>
      </c>
      <c r="DC4334">
        <v>0</v>
      </c>
      <c r="DD4334">
        <v>0</v>
      </c>
      <c r="DE4334">
        <v>0</v>
      </c>
      <c r="DF4334">
        <v>0</v>
      </c>
      <c r="DG4334">
        <v>0</v>
      </c>
      <c r="DH4334">
        <v>0</v>
      </c>
      <c r="DI4334">
        <v>0</v>
      </c>
    </row>
    <row r="4335" spans="1:113" x14ac:dyDescent="0.25">
      <c r="A4335" t="str">
        <f t="shared" si="2432"/>
        <v>06/05/2020 14:59:43.623</v>
      </c>
      <c r="C4335" t="str">
        <f t="shared" si="2431"/>
        <v>FFDFD3C0</v>
      </c>
      <c r="D4335" t="s">
        <v>134</v>
      </c>
      <c r="E4335">
        <v>7</v>
      </c>
      <c r="F4335">
        <v>2007</v>
      </c>
      <c r="G4335" t="s">
        <v>135</v>
      </c>
      <c r="J4335" t="s">
        <v>136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 t="shared" si="2433"/>
        <v>14:59:49.289</v>
      </c>
      <c r="T4335" t="str">
        <f t="shared" si="2434"/>
        <v>14:59:48.989</v>
      </c>
      <c r="U4335" t="str">
        <f t="shared" si="2410"/>
        <v>ACC530</v>
      </c>
      <c r="V4335">
        <v>0</v>
      </c>
      <c r="W4335">
        <v>0</v>
      </c>
      <c r="X4335">
        <v>1</v>
      </c>
      <c r="Z4335">
        <v>0</v>
      </c>
      <c r="AA4335">
        <v>9</v>
      </c>
      <c r="AB4335">
        <v>3</v>
      </c>
      <c r="AC4335">
        <v>0</v>
      </c>
      <c r="AD4335">
        <v>9</v>
      </c>
      <c r="AE4335">
        <v>0</v>
      </c>
      <c r="AF4335">
        <v>3</v>
      </c>
      <c r="AG4335">
        <v>1</v>
      </c>
      <c r="AH4335">
        <v>0</v>
      </c>
      <c r="AI4335" t="s">
        <v>1361</v>
      </c>
      <c r="AJ4335">
        <v>34.071435999999999</v>
      </c>
      <c r="AK4335" t="s">
        <v>1118</v>
      </c>
      <c r="AL4335">
        <v>-117.03331900000001</v>
      </c>
      <c r="AM4335">
        <v>100</v>
      </c>
      <c r="AN4335">
        <v>5100</v>
      </c>
      <c r="AO4335" t="s">
        <v>118</v>
      </c>
      <c r="AP4335">
        <v>-104</v>
      </c>
      <c r="AQ4335">
        <v>22</v>
      </c>
      <c r="AR4335">
        <v>-832</v>
      </c>
      <c r="AZ4335">
        <v>1200</v>
      </c>
      <c r="BA4335">
        <v>1</v>
      </c>
      <c r="BB4335" t="str">
        <f t="shared" si="2411"/>
        <v xml:space="preserve">N9217B  </v>
      </c>
      <c r="BC4335">
        <v>1</v>
      </c>
      <c r="BE4335">
        <v>0</v>
      </c>
      <c r="BF4335">
        <v>0</v>
      </c>
      <c r="BG4335">
        <v>0</v>
      </c>
      <c r="BH4335">
        <v>4925</v>
      </c>
      <c r="BI4335">
        <v>1</v>
      </c>
      <c r="BJ4335">
        <v>0</v>
      </c>
      <c r="BK4335">
        <v>0</v>
      </c>
      <c r="BL4335">
        <v>0</v>
      </c>
      <c r="BO4335">
        <v>0</v>
      </c>
      <c r="BP4335">
        <v>0</v>
      </c>
      <c r="BW4335" t="str">
        <f t="shared" si="2435"/>
        <v>14:59:49.294</v>
      </c>
      <c r="CJ4335">
        <v>0</v>
      </c>
      <c r="CK4335">
        <v>2</v>
      </c>
      <c r="CL4335">
        <v>0</v>
      </c>
      <c r="CM4335">
        <v>2</v>
      </c>
      <c r="CN4335">
        <v>0</v>
      </c>
      <c r="CO4335">
        <v>5</v>
      </c>
      <c r="CP4335" t="s">
        <v>119</v>
      </c>
      <c r="CQ4335">
        <v>285</v>
      </c>
      <c r="CR4335">
        <v>0</v>
      </c>
      <c r="CW4335">
        <v>8892129</v>
      </c>
      <c r="CY4335">
        <v>0</v>
      </c>
      <c r="CZ4335">
        <v>0</v>
      </c>
      <c r="DA4335">
        <v>1</v>
      </c>
      <c r="DB4335">
        <v>0</v>
      </c>
      <c r="DC4335">
        <v>0</v>
      </c>
      <c r="DD4335">
        <v>0</v>
      </c>
      <c r="DE4335">
        <v>0</v>
      </c>
      <c r="DF4335">
        <v>0</v>
      </c>
      <c r="DG4335">
        <v>0</v>
      </c>
      <c r="DH4335">
        <v>0</v>
      </c>
      <c r="DI4335">
        <v>0</v>
      </c>
    </row>
    <row r="4336" spans="1:113" x14ac:dyDescent="0.25">
      <c r="A4336" t="str">
        <f t="shared" ref="A4336:A4342" si="2436">"06/05/2020 14:59:44.548"</f>
        <v>06/05/2020 14:59:44.548</v>
      </c>
      <c r="C4336" t="str">
        <f t="shared" si="2431"/>
        <v>FFDFD3C0</v>
      </c>
      <c r="D4336" t="s">
        <v>113</v>
      </c>
      <c r="E4336">
        <v>3</v>
      </c>
      <c r="H4336">
        <v>166</v>
      </c>
      <c r="I4336" t="s">
        <v>114</v>
      </c>
      <c r="J4336" t="s">
        <v>115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 t="shared" ref="S4336:S4342" si="2437">"14:59:50.188"</f>
        <v>14:59:50.188</v>
      </c>
      <c r="T4336" t="str">
        <f t="shared" ref="T4336:T4342" si="2438">"14:59:50.088"</f>
        <v>14:59:50.088</v>
      </c>
      <c r="U4336" t="str">
        <f t="shared" si="2410"/>
        <v>ACC530</v>
      </c>
      <c r="V4336">
        <v>0</v>
      </c>
      <c r="W4336">
        <v>0</v>
      </c>
      <c r="X4336">
        <v>1</v>
      </c>
      <c r="Z4336">
        <v>0</v>
      </c>
      <c r="AA4336">
        <v>9</v>
      </c>
      <c r="AB4336">
        <v>3</v>
      </c>
      <c r="AC4336">
        <v>0</v>
      </c>
      <c r="AD4336">
        <v>9</v>
      </c>
      <c r="AE4336">
        <v>0</v>
      </c>
      <c r="AF4336">
        <v>3</v>
      </c>
      <c r="AG4336">
        <v>1</v>
      </c>
      <c r="AH4336">
        <v>0</v>
      </c>
      <c r="AI4336" t="s">
        <v>1362</v>
      </c>
      <c r="AJ4336">
        <v>34.071542999999998</v>
      </c>
      <c r="AK4336" t="s">
        <v>1363</v>
      </c>
      <c r="AL4336">
        <v>-117.033856</v>
      </c>
      <c r="AM4336">
        <v>100</v>
      </c>
      <c r="AN4336">
        <v>5100</v>
      </c>
      <c r="AO4336" t="s">
        <v>118</v>
      </c>
      <c r="AP4336">
        <v>-104</v>
      </c>
      <c r="AQ4336">
        <v>22</v>
      </c>
      <c r="AR4336">
        <v>-832</v>
      </c>
      <c r="AZ4336">
        <v>1200</v>
      </c>
      <c r="BA4336">
        <v>1</v>
      </c>
      <c r="BB4336" t="str">
        <f t="shared" si="2411"/>
        <v xml:space="preserve">N9217B  </v>
      </c>
      <c r="BC4336">
        <v>1</v>
      </c>
      <c r="BE4336">
        <v>0</v>
      </c>
      <c r="BF4336">
        <v>0</v>
      </c>
      <c r="BG4336">
        <v>0</v>
      </c>
      <c r="BH4336">
        <v>4900</v>
      </c>
      <c r="BI4336">
        <v>1</v>
      </c>
      <c r="BJ4336">
        <v>0</v>
      </c>
      <c r="BK4336">
        <v>0</v>
      </c>
      <c r="BL4336">
        <v>0</v>
      </c>
      <c r="BO4336">
        <v>0</v>
      </c>
      <c r="BP4336">
        <v>0</v>
      </c>
      <c r="BW4336" t="str">
        <f t="shared" ref="BW4336:BW4342" si="2439">"14:59:50.194"</f>
        <v>14:59:50.194</v>
      </c>
      <c r="CJ4336">
        <v>0</v>
      </c>
      <c r="CK4336">
        <v>2</v>
      </c>
      <c r="CL4336">
        <v>0</v>
      </c>
      <c r="CM4336">
        <v>2</v>
      </c>
      <c r="CN4336">
        <v>0</v>
      </c>
      <c r="CO4336">
        <v>5</v>
      </c>
      <c r="CP4336" t="s">
        <v>119</v>
      </c>
      <c r="CQ4336">
        <v>285</v>
      </c>
      <c r="CR4336">
        <v>0</v>
      </c>
      <c r="CW4336">
        <v>8892210</v>
      </c>
      <c r="CY4336">
        <v>0</v>
      </c>
      <c r="CZ4336">
        <v>0</v>
      </c>
      <c r="DA4336">
        <v>0</v>
      </c>
      <c r="DB4336">
        <v>0</v>
      </c>
      <c r="DC4336">
        <v>0</v>
      </c>
      <c r="DD4336">
        <v>0</v>
      </c>
      <c r="DE4336">
        <v>0</v>
      </c>
      <c r="DF4336">
        <v>0</v>
      </c>
      <c r="DG4336">
        <v>0</v>
      </c>
      <c r="DH4336">
        <v>0</v>
      </c>
      <c r="DI4336">
        <v>0</v>
      </c>
    </row>
    <row r="4337" spans="1:113" x14ac:dyDescent="0.25">
      <c r="A4337" t="str">
        <f t="shared" si="2436"/>
        <v>06/05/2020 14:59:44.548</v>
      </c>
      <c r="C4337" t="str">
        <f t="shared" si="2431"/>
        <v>FFDFD3C0</v>
      </c>
      <c r="D4337" t="s">
        <v>148</v>
      </c>
      <c r="E4337">
        <v>11</v>
      </c>
      <c r="H4337">
        <v>53</v>
      </c>
      <c r="I4337" t="s">
        <v>364</v>
      </c>
      <c r="J4337" t="s">
        <v>150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 t="shared" si="2437"/>
        <v>14:59:50.188</v>
      </c>
      <c r="T4337" t="str">
        <f t="shared" si="2438"/>
        <v>14:59:50.088</v>
      </c>
      <c r="U4337" t="str">
        <f t="shared" si="2410"/>
        <v>ACC530</v>
      </c>
      <c r="V4337">
        <v>0</v>
      </c>
      <c r="W4337">
        <v>0</v>
      </c>
      <c r="X4337">
        <v>1</v>
      </c>
      <c r="Z4337">
        <v>0</v>
      </c>
      <c r="AA4337">
        <v>9</v>
      </c>
      <c r="AB4337">
        <v>3</v>
      </c>
      <c r="AC4337">
        <v>0</v>
      </c>
      <c r="AD4337">
        <v>9</v>
      </c>
      <c r="AE4337">
        <v>0</v>
      </c>
      <c r="AF4337">
        <v>3</v>
      </c>
      <c r="AG4337">
        <v>1</v>
      </c>
      <c r="AH4337">
        <v>0</v>
      </c>
      <c r="AI4337" t="s">
        <v>1362</v>
      </c>
      <c r="AJ4337">
        <v>34.071542999999998</v>
      </c>
      <c r="AK4337" t="s">
        <v>1363</v>
      </c>
      <c r="AL4337">
        <v>-117.033856</v>
      </c>
      <c r="AM4337">
        <v>100</v>
      </c>
      <c r="AN4337">
        <v>5100</v>
      </c>
      <c r="AO4337" t="s">
        <v>118</v>
      </c>
      <c r="AP4337">
        <v>-104</v>
      </c>
      <c r="AQ4337">
        <v>22</v>
      </c>
      <c r="AR4337">
        <v>-832</v>
      </c>
      <c r="AZ4337">
        <v>1200</v>
      </c>
      <c r="BA4337">
        <v>1</v>
      </c>
      <c r="BB4337" t="str">
        <f t="shared" si="2411"/>
        <v xml:space="preserve">N9217B  </v>
      </c>
      <c r="BC4337">
        <v>1</v>
      </c>
      <c r="BE4337">
        <v>0</v>
      </c>
      <c r="BF4337">
        <v>0</v>
      </c>
      <c r="BG4337">
        <v>0</v>
      </c>
      <c r="BH4337">
        <v>4900</v>
      </c>
      <c r="BI4337">
        <v>1</v>
      </c>
      <c r="BJ4337">
        <v>0</v>
      </c>
      <c r="BK4337">
        <v>0</v>
      </c>
      <c r="BL4337">
        <v>0</v>
      </c>
      <c r="BO4337">
        <v>0</v>
      </c>
      <c r="BP4337">
        <v>0</v>
      </c>
      <c r="BW4337" t="str">
        <f t="shared" si="2439"/>
        <v>14:59:50.194</v>
      </c>
      <c r="CJ4337">
        <v>0</v>
      </c>
      <c r="CK4337">
        <v>2</v>
      </c>
      <c r="CL4337">
        <v>0</v>
      </c>
      <c r="CM4337">
        <v>2</v>
      </c>
      <c r="CN4337">
        <v>0</v>
      </c>
      <c r="CO4337">
        <v>5</v>
      </c>
      <c r="CP4337" t="s">
        <v>119</v>
      </c>
      <c r="CQ4337">
        <v>285</v>
      </c>
      <c r="CR4337">
        <v>0</v>
      </c>
      <c r="CW4337">
        <v>8892210</v>
      </c>
      <c r="CY4337">
        <v>0</v>
      </c>
      <c r="CZ4337">
        <v>0</v>
      </c>
      <c r="DA4337">
        <v>1</v>
      </c>
      <c r="DB4337">
        <v>0</v>
      </c>
      <c r="DC4337">
        <v>0</v>
      </c>
      <c r="DD4337">
        <v>0</v>
      </c>
      <c r="DE4337">
        <v>0</v>
      </c>
      <c r="DF4337">
        <v>0</v>
      </c>
      <c r="DG4337">
        <v>0</v>
      </c>
      <c r="DH4337">
        <v>0</v>
      </c>
      <c r="DI4337">
        <v>0</v>
      </c>
    </row>
    <row r="4338" spans="1:113" x14ac:dyDescent="0.25">
      <c r="A4338" t="str">
        <f t="shared" si="2436"/>
        <v>06/05/2020 14:59:44.548</v>
      </c>
      <c r="C4338" t="str">
        <f t="shared" si="2431"/>
        <v>FFDFD3C0</v>
      </c>
      <c r="D4338" t="s">
        <v>148</v>
      </c>
      <c r="E4338">
        <v>8</v>
      </c>
      <c r="H4338">
        <v>50</v>
      </c>
      <c r="I4338" t="s">
        <v>149</v>
      </c>
      <c r="J4338" t="s">
        <v>150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 t="shared" si="2437"/>
        <v>14:59:50.188</v>
      </c>
      <c r="T4338" t="str">
        <f t="shared" si="2438"/>
        <v>14:59:50.088</v>
      </c>
      <c r="U4338" t="str">
        <f t="shared" si="2410"/>
        <v>ACC530</v>
      </c>
      <c r="V4338">
        <v>0</v>
      </c>
      <c r="W4338">
        <v>0</v>
      </c>
      <c r="X4338">
        <v>1</v>
      </c>
      <c r="Z4338">
        <v>0</v>
      </c>
      <c r="AA4338">
        <v>9</v>
      </c>
      <c r="AB4338">
        <v>3</v>
      </c>
      <c r="AC4338">
        <v>0</v>
      </c>
      <c r="AD4338">
        <v>9</v>
      </c>
      <c r="AE4338">
        <v>0</v>
      </c>
      <c r="AF4338">
        <v>3</v>
      </c>
      <c r="AG4338">
        <v>1</v>
      </c>
      <c r="AH4338">
        <v>0</v>
      </c>
      <c r="AI4338" t="s">
        <v>1362</v>
      </c>
      <c r="AJ4338">
        <v>34.071542999999998</v>
      </c>
      <c r="AK4338" t="s">
        <v>1363</v>
      </c>
      <c r="AL4338">
        <v>-117.033856</v>
      </c>
      <c r="AM4338">
        <v>100</v>
      </c>
      <c r="AN4338">
        <v>5100</v>
      </c>
      <c r="AO4338" t="s">
        <v>118</v>
      </c>
      <c r="AP4338">
        <v>-104</v>
      </c>
      <c r="AQ4338">
        <v>22</v>
      </c>
      <c r="AR4338">
        <v>-832</v>
      </c>
      <c r="AZ4338">
        <v>1200</v>
      </c>
      <c r="BA4338">
        <v>1</v>
      </c>
      <c r="BB4338" t="str">
        <f t="shared" si="2411"/>
        <v xml:space="preserve">N9217B  </v>
      </c>
      <c r="BC4338">
        <v>1</v>
      </c>
      <c r="BE4338">
        <v>0</v>
      </c>
      <c r="BF4338">
        <v>0</v>
      </c>
      <c r="BG4338">
        <v>0</v>
      </c>
      <c r="BH4338">
        <v>4900</v>
      </c>
      <c r="BI4338">
        <v>1</v>
      </c>
      <c r="BJ4338">
        <v>0</v>
      </c>
      <c r="BK4338">
        <v>0</v>
      </c>
      <c r="BL4338">
        <v>0</v>
      </c>
      <c r="BO4338">
        <v>0</v>
      </c>
      <c r="BP4338">
        <v>0</v>
      </c>
      <c r="BW4338" t="str">
        <f t="shared" si="2439"/>
        <v>14:59:50.194</v>
      </c>
      <c r="CJ4338">
        <v>0</v>
      </c>
      <c r="CK4338">
        <v>2</v>
      </c>
      <c r="CL4338">
        <v>0</v>
      </c>
      <c r="CM4338">
        <v>2</v>
      </c>
      <c r="CN4338">
        <v>0</v>
      </c>
      <c r="CO4338">
        <v>5</v>
      </c>
      <c r="CP4338" t="s">
        <v>119</v>
      </c>
      <c r="CQ4338">
        <v>285</v>
      </c>
      <c r="CR4338">
        <v>0</v>
      </c>
      <c r="CW4338">
        <v>8892210</v>
      </c>
      <c r="CY4338">
        <v>0</v>
      </c>
      <c r="CZ4338">
        <v>0</v>
      </c>
      <c r="DA4338">
        <v>1</v>
      </c>
      <c r="DB4338">
        <v>0</v>
      </c>
      <c r="DC4338">
        <v>0</v>
      </c>
      <c r="DD4338">
        <v>0</v>
      </c>
      <c r="DE4338">
        <v>0</v>
      </c>
      <c r="DF4338">
        <v>0</v>
      </c>
      <c r="DG4338">
        <v>0</v>
      </c>
      <c r="DH4338">
        <v>0</v>
      </c>
      <c r="DI4338">
        <v>0</v>
      </c>
    </row>
    <row r="4339" spans="1:113" x14ac:dyDescent="0.25">
      <c r="A4339" t="str">
        <f t="shared" si="2436"/>
        <v>06/05/2020 14:59:44.548</v>
      </c>
      <c r="C4339" t="str">
        <f t="shared" si="2431"/>
        <v>FFDFD3C0</v>
      </c>
      <c r="D4339" t="s">
        <v>151</v>
      </c>
      <c r="E4339">
        <v>9</v>
      </c>
      <c r="H4339">
        <v>226</v>
      </c>
      <c r="I4339" t="s">
        <v>152</v>
      </c>
      <c r="J4339" t="s">
        <v>150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 t="shared" si="2437"/>
        <v>14:59:50.188</v>
      </c>
      <c r="T4339" t="str">
        <f t="shared" si="2438"/>
        <v>14:59:50.088</v>
      </c>
      <c r="U4339" t="str">
        <f t="shared" si="2410"/>
        <v>ACC530</v>
      </c>
      <c r="V4339">
        <v>0</v>
      </c>
      <c r="W4339">
        <v>0</v>
      </c>
      <c r="X4339">
        <v>1</v>
      </c>
      <c r="Z4339">
        <v>0</v>
      </c>
      <c r="AA4339">
        <v>9</v>
      </c>
      <c r="AB4339">
        <v>3</v>
      </c>
      <c r="AC4339">
        <v>0</v>
      </c>
      <c r="AD4339">
        <v>9</v>
      </c>
      <c r="AE4339">
        <v>0</v>
      </c>
      <c r="AF4339">
        <v>3</v>
      </c>
      <c r="AG4339">
        <v>1</v>
      </c>
      <c r="AH4339">
        <v>0</v>
      </c>
      <c r="AI4339" t="s">
        <v>1362</v>
      </c>
      <c r="AJ4339">
        <v>34.071542999999998</v>
      </c>
      <c r="AK4339" t="s">
        <v>1363</v>
      </c>
      <c r="AL4339">
        <v>-117.033856</v>
      </c>
      <c r="AM4339">
        <v>100</v>
      </c>
      <c r="AN4339">
        <v>5100</v>
      </c>
      <c r="AO4339" t="s">
        <v>118</v>
      </c>
      <c r="AP4339">
        <v>-104</v>
      </c>
      <c r="AQ4339">
        <v>22</v>
      </c>
      <c r="AR4339">
        <v>-832</v>
      </c>
      <c r="AZ4339">
        <v>1200</v>
      </c>
      <c r="BA4339">
        <v>1</v>
      </c>
      <c r="BB4339" t="str">
        <f t="shared" si="2411"/>
        <v xml:space="preserve">N9217B  </v>
      </c>
      <c r="BC4339">
        <v>1</v>
      </c>
      <c r="BE4339">
        <v>0</v>
      </c>
      <c r="BF4339">
        <v>0</v>
      </c>
      <c r="BG4339">
        <v>0</v>
      </c>
      <c r="BH4339">
        <v>4900</v>
      </c>
      <c r="BI4339">
        <v>1</v>
      </c>
      <c r="BJ4339">
        <v>0</v>
      </c>
      <c r="BK4339">
        <v>0</v>
      </c>
      <c r="BL4339">
        <v>0</v>
      </c>
      <c r="BO4339">
        <v>0</v>
      </c>
      <c r="BP4339">
        <v>0</v>
      </c>
      <c r="BW4339" t="str">
        <f t="shared" si="2439"/>
        <v>14:59:50.194</v>
      </c>
      <c r="CJ4339">
        <v>0</v>
      </c>
      <c r="CK4339">
        <v>2</v>
      </c>
      <c r="CL4339">
        <v>0</v>
      </c>
      <c r="CM4339">
        <v>2</v>
      </c>
      <c r="CN4339">
        <v>0</v>
      </c>
      <c r="CO4339">
        <v>5</v>
      </c>
      <c r="CP4339" t="s">
        <v>119</v>
      </c>
      <c r="CQ4339">
        <v>285</v>
      </c>
      <c r="CR4339">
        <v>0</v>
      </c>
      <c r="CW4339">
        <v>8892210</v>
      </c>
      <c r="CY4339">
        <v>0</v>
      </c>
      <c r="CZ4339">
        <v>0</v>
      </c>
      <c r="DA4339">
        <v>1</v>
      </c>
      <c r="DB4339">
        <v>0</v>
      </c>
      <c r="DC4339">
        <v>0</v>
      </c>
      <c r="DD4339">
        <v>0</v>
      </c>
      <c r="DE4339">
        <v>0</v>
      </c>
      <c r="DF4339">
        <v>0</v>
      </c>
      <c r="DG4339">
        <v>0</v>
      </c>
      <c r="DH4339">
        <v>0</v>
      </c>
      <c r="DI4339">
        <v>0</v>
      </c>
    </row>
    <row r="4340" spans="1:113" x14ac:dyDescent="0.25">
      <c r="A4340" t="str">
        <f t="shared" si="2436"/>
        <v>06/05/2020 14:59:44.548</v>
      </c>
      <c r="C4340" t="str">
        <f t="shared" si="2431"/>
        <v>FFDFD3C0</v>
      </c>
      <c r="D4340" t="s">
        <v>134</v>
      </c>
      <c r="E4340">
        <v>7</v>
      </c>
      <c r="F4340">
        <v>2007</v>
      </c>
      <c r="G4340" t="s">
        <v>135</v>
      </c>
      <c r="J4340" t="s">
        <v>136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 t="shared" si="2437"/>
        <v>14:59:50.188</v>
      </c>
      <c r="T4340" t="str">
        <f t="shared" si="2438"/>
        <v>14:59:50.088</v>
      </c>
      <c r="U4340" t="str">
        <f t="shared" si="2410"/>
        <v>ACC530</v>
      </c>
      <c r="V4340">
        <v>0</v>
      </c>
      <c r="W4340">
        <v>0</v>
      </c>
      <c r="X4340">
        <v>1</v>
      </c>
      <c r="Z4340">
        <v>0</v>
      </c>
      <c r="AA4340">
        <v>9</v>
      </c>
      <c r="AB4340">
        <v>3</v>
      </c>
      <c r="AC4340">
        <v>0</v>
      </c>
      <c r="AD4340">
        <v>9</v>
      </c>
      <c r="AE4340">
        <v>0</v>
      </c>
      <c r="AF4340">
        <v>3</v>
      </c>
      <c r="AG4340">
        <v>1</v>
      </c>
      <c r="AH4340">
        <v>0</v>
      </c>
      <c r="AI4340" t="s">
        <v>1362</v>
      </c>
      <c r="AJ4340">
        <v>34.071542999999998</v>
      </c>
      <c r="AK4340" t="s">
        <v>1363</v>
      </c>
      <c r="AL4340">
        <v>-117.033856</v>
      </c>
      <c r="AM4340">
        <v>100</v>
      </c>
      <c r="AN4340">
        <v>5100</v>
      </c>
      <c r="AO4340" t="s">
        <v>118</v>
      </c>
      <c r="AP4340">
        <v>-104</v>
      </c>
      <c r="AQ4340">
        <v>22</v>
      </c>
      <c r="AR4340">
        <v>-832</v>
      </c>
      <c r="AZ4340">
        <v>1200</v>
      </c>
      <c r="BA4340">
        <v>1</v>
      </c>
      <c r="BB4340" t="str">
        <f t="shared" si="2411"/>
        <v xml:space="preserve">N9217B  </v>
      </c>
      <c r="BC4340">
        <v>1</v>
      </c>
      <c r="BE4340">
        <v>0</v>
      </c>
      <c r="BF4340">
        <v>0</v>
      </c>
      <c r="BG4340">
        <v>0</v>
      </c>
      <c r="BH4340">
        <v>4900</v>
      </c>
      <c r="BI4340">
        <v>1</v>
      </c>
      <c r="BJ4340">
        <v>0</v>
      </c>
      <c r="BK4340">
        <v>0</v>
      </c>
      <c r="BL4340">
        <v>0</v>
      </c>
      <c r="BO4340">
        <v>0</v>
      </c>
      <c r="BP4340">
        <v>0</v>
      </c>
      <c r="BW4340" t="str">
        <f t="shared" si="2439"/>
        <v>14:59:50.194</v>
      </c>
      <c r="CJ4340">
        <v>0</v>
      </c>
      <c r="CK4340">
        <v>2</v>
      </c>
      <c r="CL4340">
        <v>0</v>
      </c>
      <c r="CM4340">
        <v>2</v>
      </c>
      <c r="CN4340">
        <v>0</v>
      </c>
      <c r="CO4340">
        <v>5</v>
      </c>
      <c r="CP4340" t="s">
        <v>119</v>
      </c>
      <c r="CQ4340">
        <v>285</v>
      </c>
      <c r="CR4340">
        <v>0</v>
      </c>
      <c r="CW4340">
        <v>8892210</v>
      </c>
      <c r="CY4340">
        <v>0</v>
      </c>
      <c r="CZ4340">
        <v>0</v>
      </c>
      <c r="DA4340">
        <v>1</v>
      </c>
      <c r="DB4340">
        <v>0</v>
      </c>
      <c r="DC4340">
        <v>0</v>
      </c>
      <c r="DD4340">
        <v>0</v>
      </c>
      <c r="DE4340">
        <v>0</v>
      </c>
      <c r="DF4340">
        <v>0</v>
      </c>
      <c r="DG4340">
        <v>0</v>
      </c>
      <c r="DH4340">
        <v>0</v>
      </c>
      <c r="DI4340">
        <v>0</v>
      </c>
    </row>
    <row r="4341" spans="1:113" x14ac:dyDescent="0.25">
      <c r="A4341" t="str">
        <f t="shared" si="2436"/>
        <v>06/05/2020 14:59:44.548</v>
      </c>
      <c r="C4341" t="str">
        <f t="shared" si="2431"/>
        <v>FFDFD3C0</v>
      </c>
      <c r="D4341" t="s">
        <v>141</v>
      </c>
      <c r="E4341">
        <v>20</v>
      </c>
      <c r="F4341">
        <v>1020</v>
      </c>
      <c r="G4341" t="s">
        <v>114</v>
      </c>
      <c r="J4341" t="s">
        <v>142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 t="shared" si="2437"/>
        <v>14:59:50.188</v>
      </c>
      <c r="T4341" t="str">
        <f t="shared" si="2438"/>
        <v>14:59:50.088</v>
      </c>
      <c r="U4341" t="str">
        <f t="shared" si="2410"/>
        <v>ACC530</v>
      </c>
      <c r="V4341">
        <v>0</v>
      </c>
      <c r="W4341">
        <v>0</v>
      </c>
      <c r="X4341">
        <v>1</v>
      </c>
      <c r="Z4341">
        <v>0</v>
      </c>
      <c r="AA4341">
        <v>9</v>
      </c>
      <c r="AB4341">
        <v>3</v>
      </c>
      <c r="AC4341">
        <v>0</v>
      </c>
      <c r="AD4341">
        <v>9</v>
      </c>
      <c r="AE4341">
        <v>0</v>
      </c>
      <c r="AF4341">
        <v>3</v>
      </c>
      <c r="AG4341">
        <v>1</v>
      </c>
      <c r="AH4341">
        <v>0</v>
      </c>
      <c r="AI4341" t="s">
        <v>1362</v>
      </c>
      <c r="AJ4341">
        <v>34.071542999999998</v>
      </c>
      <c r="AK4341" t="s">
        <v>1363</v>
      </c>
      <c r="AL4341">
        <v>-117.033856</v>
      </c>
      <c r="AM4341">
        <v>100</v>
      </c>
      <c r="AN4341">
        <v>5100</v>
      </c>
      <c r="AO4341" t="s">
        <v>118</v>
      </c>
      <c r="AP4341">
        <v>-104</v>
      </c>
      <c r="AQ4341">
        <v>22</v>
      </c>
      <c r="AR4341">
        <v>-832</v>
      </c>
      <c r="AZ4341">
        <v>1200</v>
      </c>
      <c r="BA4341">
        <v>1</v>
      </c>
      <c r="BB4341" t="str">
        <f t="shared" si="2411"/>
        <v xml:space="preserve">N9217B  </v>
      </c>
      <c r="BC4341">
        <v>1</v>
      </c>
      <c r="BE4341">
        <v>0</v>
      </c>
      <c r="BF4341">
        <v>0</v>
      </c>
      <c r="BG4341">
        <v>0</v>
      </c>
      <c r="BH4341">
        <v>4900</v>
      </c>
      <c r="BI4341">
        <v>1</v>
      </c>
      <c r="BJ4341">
        <v>0</v>
      </c>
      <c r="BK4341">
        <v>0</v>
      </c>
      <c r="BL4341">
        <v>0</v>
      </c>
      <c r="BO4341">
        <v>0</v>
      </c>
      <c r="BP4341">
        <v>0</v>
      </c>
      <c r="BW4341" t="str">
        <f t="shared" si="2439"/>
        <v>14:59:50.194</v>
      </c>
      <c r="CJ4341">
        <v>0</v>
      </c>
      <c r="CK4341">
        <v>2</v>
      </c>
      <c r="CL4341">
        <v>0</v>
      </c>
      <c r="CM4341">
        <v>2</v>
      </c>
      <c r="CN4341">
        <v>0</v>
      </c>
      <c r="CO4341">
        <v>5</v>
      </c>
      <c r="CP4341" t="s">
        <v>119</v>
      </c>
      <c r="CQ4341">
        <v>285</v>
      </c>
      <c r="CR4341">
        <v>0</v>
      </c>
      <c r="CW4341">
        <v>8892210</v>
      </c>
      <c r="CY4341">
        <v>0</v>
      </c>
      <c r="CZ4341">
        <v>0</v>
      </c>
      <c r="DA4341">
        <v>1</v>
      </c>
      <c r="DB4341">
        <v>0</v>
      </c>
      <c r="DC4341">
        <v>0</v>
      </c>
      <c r="DD4341">
        <v>0</v>
      </c>
      <c r="DE4341">
        <v>0</v>
      </c>
      <c r="DF4341">
        <v>0</v>
      </c>
      <c r="DG4341">
        <v>0</v>
      </c>
      <c r="DH4341">
        <v>0</v>
      </c>
      <c r="DI4341">
        <v>0</v>
      </c>
    </row>
    <row r="4342" spans="1:113" x14ac:dyDescent="0.25">
      <c r="A4342" t="str">
        <f t="shared" si="2436"/>
        <v>06/05/2020 14:59:44.548</v>
      </c>
      <c r="C4342" t="str">
        <f t="shared" si="2431"/>
        <v>FFDFD3C0</v>
      </c>
      <c r="D4342" t="s">
        <v>151</v>
      </c>
      <c r="E4342">
        <v>8</v>
      </c>
      <c r="H4342">
        <v>225</v>
      </c>
      <c r="I4342" t="s">
        <v>353</v>
      </c>
      <c r="J4342" t="s">
        <v>150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 t="shared" si="2437"/>
        <v>14:59:50.188</v>
      </c>
      <c r="T4342" t="str">
        <f t="shared" si="2438"/>
        <v>14:59:50.088</v>
      </c>
      <c r="U4342" t="str">
        <f t="shared" si="2410"/>
        <v>ACC530</v>
      </c>
      <c r="V4342">
        <v>0</v>
      </c>
      <c r="W4342">
        <v>0</v>
      </c>
      <c r="X4342">
        <v>1</v>
      </c>
      <c r="Z4342">
        <v>0</v>
      </c>
      <c r="AA4342">
        <v>9</v>
      </c>
      <c r="AB4342">
        <v>3</v>
      </c>
      <c r="AC4342">
        <v>0</v>
      </c>
      <c r="AD4342">
        <v>9</v>
      </c>
      <c r="AE4342">
        <v>0</v>
      </c>
      <c r="AF4342">
        <v>3</v>
      </c>
      <c r="AG4342">
        <v>1</v>
      </c>
      <c r="AH4342">
        <v>0</v>
      </c>
      <c r="AI4342" t="s">
        <v>1362</v>
      </c>
      <c r="AJ4342">
        <v>34.071542999999998</v>
      </c>
      <c r="AK4342" t="s">
        <v>1363</v>
      </c>
      <c r="AL4342">
        <v>-117.033856</v>
      </c>
      <c r="AM4342">
        <v>100</v>
      </c>
      <c r="AN4342">
        <v>5100</v>
      </c>
      <c r="AO4342" t="s">
        <v>118</v>
      </c>
      <c r="AP4342">
        <v>-104</v>
      </c>
      <c r="AQ4342">
        <v>22</v>
      </c>
      <c r="AR4342">
        <v>-832</v>
      </c>
      <c r="AZ4342">
        <v>1200</v>
      </c>
      <c r="BA4342">
        <v>1</v>
      </c>
      <c r="BB4342" t="str">
        <f t="shared" si="2411"/>
        <v xml:space="preserve">N9217B  </v>
      </c>
      <c r="BC4342">
        <v>1</v>
      </c>
      <c r="BE4342">
        <v>0</v>
      </c>
      <c r="BF4342">
        <v>0</v>
      </c>
      <c r="BG4342">
        <v>0</v>
      </c>
      <c r="BH4342">
        <v>4900</v>
      </c>
      <c r="BI4342">
        <v>1</v>
      </c>
      <c r="BJ4342">
        <v>0</v>
      </c>
      <c r="BK4342">
        <v>0</v>
      </c>
      <c r="BL4342">
        <v>0</v>
      </c>
      <c r="BO4342">
        <v>0</v>
      </c>
      <c r="BP4342">
        <v>0</v>
      </c>
      <c r="BW4342" t="str">
        <f t="shared" si="2439"/>
        <v>14:59:50.194</v>
      </c>
      <c r="CJ4342">
        <v>0</v>
      </c>
      <c r="CK4342">
        <v>2</v>
      </c>
      <c r="CL4342">
        <v>0</v>
      </c>
      <c r="CM4342">
        <v>2</v>
      </c>
      <c r="CN4342">
        <v>0</v>
      </c>
      <c r="CO4342">
        <v>5</v>
      </c>
      <c r="CP4342" t="s">
        <v>119</v>
      </c>
      <c r="CQ4342">
        <v>285</v>
      </c>
      <c r="CR4342">
        <v>0</v>
      </c>
      <c r="CW4342">
        <v>8892210</v>
      </c>
      <c r="CY4342">
        <v>0</v>
      </c>
      <c r="CZ4342">
        <v>0</v>
      </c>
      <c r="DA4342">
        <v>1</v>
      </c>
      <c r="DB4342">
        <v>0</v>
      </c>
      <c r="DC4342">
        <v>0</v>
      </c>
      <c r="DD4342">
        <v>0</v>
      </c>
      <c r="DE4342">
        <v>0</v>
      </c>
      <c r="DF4342">
        <v>0</v>
      </c>
      <c r="DG4342">
        <v>0</v>
      </c>
      <c r="DH4342">
        <v>0</v>
      </c>
      <c r="DI4342">
        <v>0</v>
      </c>
    </row>
    <row r="4343" spans="1:113" x14ac:dyDescent="0.25">
      <c r="A4343" t="str">
        <f t="shared" ref="A4343:A4349" si="2440">"06/05/2020 14:59:46.100"</f>
        <v>06/05/2020 14:59:46.100</v>
      </c>
      <c r="C4343" t="str">
        <f t="shared" si="2431"/>
        <v>FFDFD3C0</v>
      </c>
      <c r="D4343" t="s">
        <v>141</v>
      </c>
      <c r="E4343">
        <v>20</v>
      </c>
      <c r="F4343">
        <v>1020</v>
      </c>
      <c r="G4343" t="s">
        <v>114</v>
      </c>
      <c r="J4343" t="s">
        <v>142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 t="shared" ref="S4343:S4349" si="2441">"14:59:51.734"</f>
        <v>14:59:51.734</v>
      </c>
      <c r="T4343" t="str">
        <f t="shared" ref="T4343:T4349" si="2442">"14:59:51.634"</f>
        <v>14:59:51.634</v>
      </c>
      <c r="U4343" t="str">
        <f t="shared" si="2410"/>
        <v>ACC530</v>
      </c>
      <c r="V4343">
        <v>0</v>
      </c>
      <c r="W4343">
        <v>0</v>
      </c>
      <c r="X4343">
        <v>1</v>
      </c>
      <c r="Z4343">
        <v>0</v>
      </c>
      <c r="AA4343">
        <v>9</v>
      </c>
      <c r="AB4343">
        <v>3</v>
      </c>
      <c r="AC4343">
        <v>0</v>
      </c>
      <c r="AD4343">
        <v>9</v>
      </c>
      <c r="AE4343">
        <v>0</v>
      </c>
      <c r="AF4343">
        <v>3</v>
      </c>
      <c r="AG4343">
        <v>1</v>
      </c>
      <c r="AH4343">
        <v>0</v>
      </c>
      <c r="AI4343" t="s">
        <v>1364</v>
      </c>
      <c r="AJ4343">
        <v>34.071672</v>
      </c>
      <c r="AK4343" t="s">
        <v>1365</v>
      </c>
      <c r="AL4343">
        <v>-117.034779</v>
      </c>
      <c r="AM4343">
        <v>100</v>
      </c>
      <c r="AN4343">
        <v>5100</v>
      </c>
      <c r="AO4343" t="s">
        <v>118</v>
      </c>
      <c r="AP4343">
        <v>-104</v>
      </c>
      <c r="AQ4343">
        <v>21</v>
      </c>
      <c r="AR4343">
        <v>-768</v>
      </c>
      <c r="AZ4343">
        <v>1200</v>
      </c>
      <c r="BA4343">
        <v>1</v>
      </c>
      <c r="BB4343" t="str">
        <f t="shared" si="2411"/>
        <v xml:space="preserve">N9217B  </v>
      </c>
      <c r="BC4343">
        <v>1</v>
      </c>
      <c r="BE4343">
        <v>0</v>
      </c>
      <c r="BF4343">
        <v>0</v>
      </c>
      <c r="BG4343">
        <v>0</v>
      </c>
      <c r="BH4343">
        <v>4875</v>
      </c>
      <c r="BI4343">
        <v>1</v>
      </c>
      <c r="BJ4343">
        <v>0</v>
      </c>
      <c r="BK4343">
        <v>0</v>
      </c>
      <c r="BL4343">
        <v>0</v>
      </c>
      <c r="BO4343">
        <v>0</v>
      </c>
      <c r="BP4343">
        <v>0</v>
      </c>
      <c r="BW4343" t="str">
        <f t="shared" ref="BW4343:BW4349" si="2443">"14:59:51.739"</f>
        <v>14:59:51.739</v>
      </c>
      <c r="CJ4343">
        <v>0</v>
      </c>
      <c r="CK4343">
        <v>2</v>
      </c>
      <c r="CL4343">
        <v>0</v>
      </c>
      <c r="CM4343">
        <v>2</v>
      </c>
      <c r="CN4343">
        <v>0</v>
      </c>
      <c r="CO4343">
        <v>4</v>
      </c>
      <c r="CP4343" t="s">
        <v>119</v>
      </c>
      <c r="CQ4343">
        <v>285</v>
      </c>
      <c r="CR4343">
        <v>0</v>
      </c>
      <c r="CW4343">
        <v>8892357</v>
      </c>
      <c r="CY4343">
        <v>0</v>
      </c>
      <c r="CZ4343">
        <v>0</v>
      </c>
      <c r="DA4343">
        <v>0</v>
      </c>
      <c r="DB4343">
        <v>0</v>
      </c>
      <c r="DC4343">
        <v>0</v>
      </c>
      <c r="DD4343">
        <v>0</v>
      </c>
      <c r="DE4343">
        <v>0</v>
      </c>
      <c r="DF4343">
        <v>0</v>
      </c>
      <c r="DG4343">
        <v>0</v>
      </c>
      <c r="DH4343">
        <v>0</v>
      </c>
      <c r="DI4343">
        <v>0</v>
      </c>
    </row>
    <row r="4344" spans="1:113" x14ac:dyDescent="0.25">
      <c r="A4344" t="str">
        <f t="shared" si="2440"/>
        <v>06/05/2020 14:59:46.100</v>
      </c>
      <c r="C4344" t="str">
        <f t="shared" si="2431"/>
        <v>FFDFD3C0</v>
      </c>
      <c r="D4344" t="s">
        <v>151</v>
      </c>
      <c r="E4344">
        <v>8</v>
      </c>
      <c r="H4344">
        <v>225</v>
      </c>
      <c r="I4344" t="s">
        <v>353</v>
      </c>
      <c r="J4344" t="s">
        <v>150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 t="shared" si="2441"/>
        <v>14:59:51.734</v>
      </c>
      <c r="T4344" t="str">
        <f t="shared" si="2442"/>
        <v>14:59:51.634</v>
      </c>
      <c r="U4344" t="str">
        <f t="shared" si="2410"/>
        <v>ACC530</v>
      </c>
      <c r="V4344">
        <v>0</v>
      </c>
      <c r="W4344">
        <v>0</v>
      </c>
      <c r="X4344">
        <v>1</v>
      </c>
      <c r="Z4344">
        <v>0</v>
      </c>
      <c r="AA4344">
        <v>9</v>
      </c>
      <c r="AB4344">
        <v>3</v>
      </c>
      <c r="AC4344">
        <v>0</v>
      </c>
      <c r="AD4344">
        <v>9</v>
      </c>
      <c r="AE4344">
        <v>0</v>
      </c>
      <c r="AF4344">
        <v>3</v>
      </c>
      <c r="AG4344">
        <v>1</v>
      </c>
      <c r="AH4344">
        <v>0</v>
      </c>
      <c r="AI4344" t="s">
        <v>1364</v>
      </c>
      <c r="AJ4344">
        <v>34.071672</v>
      </c>
      <c r="AK4344" t="s">
        <v>1365</v>
      </c>
      <c r="AL4344">
        <v>-117.034779</v>
      </c>
      <c r="AM4344">
        <v>100</v>
      </c>
      <c r="AN4344">
        <v>5100</v>
      </c>
      <c r="AO4344" t="s">
        <v>118</v>
      </c>
      <c r="AP4344">
        <v>-104</v>
      </c>
      <c r="AQ4344">
        <v>21</v>
      </c>
      <c r="AR4344">
        <v>-768</v>
      </c>
      <c r="AZ4344">
        <v>1200</v>
      </c>
      <c r="BA4344">
        <v>1</v>
      </c>
      <c r="BB4344" t="str">
        <f t="shared" si="2411"/>
        <v xml:space="preserve">N9217B  </v>
      </c>
      <c r="BC4344">
        <v>1</v>
      </c>
      <c r="BE4344">
        <v>0</v>
      </c>
      <c r="BF4344">
        <v>0</v>
      </c>
      <c r="BG4344">
        <v>0</v>
      </c>
      <c r="BH4344">
        <v>4875</v>
      </c>
      <c r="BI4344">
        <v>1</v>
      </c>
      <c r="BJ4344">
        <v>0</v>
      </c>
      <c r="BK4344">
        <v>0</v>
      </c>
      <c r="BL4344">
        <v>0</v>
      </c>
      <c r="BO4344">
        <v>0</v>
      </c>
      <c r="BP4344">
        <v>0</v>
      </c>
      <c r="BW4344" t="str">
        <f t="shared" si="2443"/>
        <v>14:59:51.739</v>
      </c>
      <c r="CJ4344">
        <v>0</v>
      </c>
      <c r="CK4344">
        <v>2</v>
      </c>
      <c r="CL4344">
        <v>0</v>
      </c>
      <c r="CM4344">
        <v>2</v>
      </c>
      <c r="CN4344">
        <v>0</v>
      </c>
      <c r="CO4344">
        <v>4</v>
      </c>
      <c r="CP4344" t="s">
        <v>119</v>
      </c>
      <c r="CQ4344">
        <v>285</v>
      </c>
      <c r="CR4344">
        <v>0</v>
      </c>
      <c r="CW4344">
        <v>8892357</v>
      </c>
      <c r="CY4344">
        <v>0</v>
      </c>
      <c r="CZ4344">
        <v>0</v>
      </c>
      <c r="DA4344">
        <v>1</v>
      </c>
      <c r="DB4344">
        <v>0</v>
      </c>
      <c r="DC4344">
        <v>0</v>
      </c>
      <c r="DD4344">
        <v>0</v>
      </c>
      <c r="DE4344">
        <v>0</v>
      </c>
      <c r="DF4344">
        <v>0</v>
      </c>
      <c r="DG4344">
        <v>0</v>
      </c>
      <c r="DH4344">
        <v>0</v>
      </c>
      <c r="DI4344">
        <v>0</v>
      </c>
    </row>
    <row r="4345" spans="1:113" x14ac:dyDescent="0.25">
      <c r="A4345" t="str">
        <f t="shared" si="2440"/>
        <v>06/05/2020 14:59:46.100</v>
      </c>
      <c r="C4345" t="str">
        <f t="shared" si="2431"/>
        <v>FFDFD3C0</v>
      </c>
      <c r="D4345" t="s">
        <v>113</v>
      </c>
      <c r="E4345">
        <v>3</v>
      </c>
      <c r="H4345">
        <v>166</v>
      </c>
      <c r="I4345" t="s">
        <v>114</v>
      </c>
      <c r="J4345" t="s">
        <v>115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 t="shared" si="2441"/>
        <v>14:59:51.734</v>
      </c>
      <c r="T4345" t="str">
        <f t="shared" si="2442"/>
        <v>14:59:51.634</v>
      </c>
      <c r="U4345" t="str">
        <f t="shared" si="2410"/>
        <v>ACC530</v>
      </c>
      <c r="V4345">
        <v>0</v>
      </c>
      <c r="W4345">
        <v>0</v>
      </c>
      <c r="X4345">
        <v>1</v>
      </c>
      <c r="Z4345">
        <v>0</v>
      </c>
      <c r="AA4345">
        <v>9</v>
      </c>
      <c r="AB4345">
        <v>3</v>
      </c>
      <c r="AC4345">
        <v>0</v>
      </c>
      <c r="AD4345">
        <v>9</v>
      </c>
      <c r="AE4345">
        <v>0</v>
      </c>
      <c r="AF4345">
        <v>3</v>
      </c>
      <c r="AG4345">
        <v>1</v>
      </c>
      <c r="AH4345">
        <v>0</v>
      </c>
      <c r="AI4345" t="s">
        <v>1364</v>
      </c>
      <c r="AJ4345">
        <v>34.071672</v>
      </c>
      <c r="AK4345" t="s">
        <v>1365</v>
      </c>
      <c r="AL4345">
        <v>-117.034779</v>
      </c>
      <c r="AM4345">
        <v>100</v>
      </c>
      <c r="AN4345">
        <v>5100</v>
      </c>
      <c r="AO4345" t="s">
        <v>118</v>
      </c>
      <c r="AP4345">
        <v>-104</v>
      </c>
      <c r="AQ4345">
        <v>21</v>
      </c>
      <c r="AR4345">
        <v>-768</v>
      </c>
      <c r="AZ4345">
        <v>1200</v>
      </c>
      <c r="BA4345">
        <v>1</v>
      </c>
      <c r="BB4345" t="str">
        <f t="shared" si="2411"/>
        <v xml:space="preserve">N9217B  </v>
      </c>
      <c r="BC4345">
        <v>1</v>
      </c>
      <c r="BE4345">
        <v>0</v>
      </c>
      <c r="BF4345">
        <v>0</v>
      </c>
      <c r="BG4345">
        <v>0</v>
      </c>
      <c r="BH4345">
        <v>4875</v>
      </c>
      <c r="BI4345">
        <v>1</v>
      </c>
      <c r="BJ4345">
        <v>0</v>
      </c>
      <c r="BK4345">
        <v>0</v>
      </c>
      <c r="BL4345">
        <v>0</v>
      </c>
      <c r="BO4345">
        <v>0</v>
      </c>
      <c r="BP4345">
        <v>0</v>
      </c>
      <c r="BW4345" t="str">
        <f t="shared" si="2443"/>
        <v>14:59:51.739</v>
      </c>
      <c r="CJ4345">
        <v>0</v>
      </c>
      <c r="CK4345">
        <v>2</v>
      </c>
      <c r="CL4345">
        <v>0</v>
      </c>
      <c r="CM4345">
        <v>2</v>
      </c>
      <c r="CN4345">
        <v>0</v>
      </c>
      <c r="CO4345">
        <v>4</v>
      </c>
      <c r="CP4345" t="s">
        <v>119</v>
      </c>
      <c r="CQ4345">
        <v>285</v>
      </c>
      <c r="CR4345">
        <v>0</v>
      </c>
      <c r="CW4345">
        <v>8892357</v>
      </c>
      <c r="CY4345">
        <v>0</v>
      </c>
      <c r="CZ4345">
        <v>0</v>
      </c>
      <c r="DA4345">
        <v>1</v>
      </c>
      <c r="DB4345">
        <v>0</v>
      </c>
      <c r="DC4345">
        <v>0</v>
      </c>
      <c r="DD4345">
        <v>0</v>
      </c>
      <c r="DE4345">
        <v>0</v>
      </c>
      <c r="DF4345">
        <v>0</v>
      </c>
      <c r="DG4345">
        <v>0</v>
      </c>
      <c r="DH4345">
        <v>0</v>
      </c>
      <c r="DI4345">
        <v>0</v>
      </c>
    </row>
    <row r="4346" spans="1:113" x14ac:dyDescent="0.25">
      <c r="A4346" t="str">
        <f t="shared" si="2440"/>
        <v>06/05/2020 14:59:46.100</v>
      </c>
      <c r="C4346" t="str">
        <f t="shared" si="2431"/>
        <v>FFDFD3C0</v>
      </c>
      <c r="D4346" t="s">
        <v>148</v>
      </c>
      <c r="E4346">
        <v>11</v>
      </c>
      <c r="H4346">
        <v>53</v>
      </c>
      <c r="I4346" t="s">
        <v>364</v>
      </c>
      <c r="J4346" t="s">
        <v>150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 t="shared" si="2441"/>
        <v>14:59:51.734</v>
      </c>
      <c r="T4346" t="str">
        <f t="shared" si="2442"/>
        <v>14:59:51.634</v>
      </c>
      <c r="U4346" t="str">
        <f t="shared" si="2410"/>
        <v>ACC530</v>
      </c>
      <c r="V4346">
        <v>0</v>
      </c>
      <c r="W4346">
        <v>0</v>
      </c>
      <c r="X4346">
        <v>1</v>
      </c>
      <c r="Z4346">
        <v>0</v>
      </c>
      <c r="AA4346">
        <v>9</v>
      </c>
      <c r="AB4346">
        <v>3</v>
      </c>
      <c r="AC4346">
        <v>0</v>
      </c>
      <c r="AD4346">
        <v>9</v>
      </c>
      <c r="AE4346">
        <v>0</v>
      </c>
      <c r="AF4346">
        <v>3</v>
      </c>
      <c r="AG4346">
        <v>1</v>
      </c>
      <c r="AH4346">
        <v>0</v>
      </c>
      <c r="AI4346" t="s">
        <v>1364</v>
      </c>
      <c r="AJ4346">
        <v>34.071672</v>
      </c>
      <c r="AK4346" t="s">
        <v>1365</v>
      </c>
      <c r="AL4346">
        <v>-117.034779</v>
      </c>
      <c r="AM4346">
        <v>100</v>
      </c>
      <c r="AN4346">
        <v>5100</v>
      </c>
      <c r="AO4346" t="s">
        <v>118</v>
      </c>
      <c r="AP4346">
        <v>-104</v>
      </c>
      <c r="AQ4346">
        <v>21</v>
      </c>
      <c r="AR4346">
        <v>-768</v>
      </c>
      <c r="AZ4346">
        <v>1200</v>
      </c>
      <c r="BA4346">
        <v>1</v>
      </c>
      <c r="BB4346" t="str">
        <f t="shared" si="2411"/>
        <v xml:space="preserve">N9217B  </v>
      </c>
      <c r="BC4346">
        <v>1</v>
      </c>
      <c r="BE4346">
        <v>0</v>
      </c>
      <c r="BF4346">
        <v>0</v>
      </c>
      <c r="BG4346">
        <v>0</v>
      </c>
      <c r="BH4346">
        <v>4875</v>
      </c>
      <c r="BI4346">
        <v>1</v>
      </c>
      <c r="BJ4346">
        <v>0</v>
      </c>
      <c r="BK4346">
        <v>0</v>
      </c>
      <c r="BL4346">
        <v>0</v>
      </c>
      <c r="BO4346">
        <v>0</v>
      </c>
      <c r="BP4346">
        <v>0</v>
      </c>
      <c r="BW4346" t="str">
        <f t="shared" si="2443"/>
        <v>14:59:51.739</v>
      </c>
      <c r="CJ4346">
        <v>0</v>
      </c>
      <c r="CK4346">
        <v>2</v>
      </c>
      <c r="CL4346">
        <v>0</v>
      </c>
      <c r="CM4346">
        <v>2</v>
      </c>
      <c r="CN4346">
        <v>0</v>
      </c>
      <c r="CO4346">
        <v>4</v>
      </c>
      <c r="CP4346" t="s">
        <v>119</v>
      </c>
      <c r="CQ4346">
        <v>285</v>
      </c>
      <c r="CR4346">
        <v>0</v>
      </c>
      <c r="CW4346">
        <v>8892357</v>
      </c>
      <c r="CY4346">
        <v>0</v>
      </c>
      <c r="CZ4346">
        <v>0</v>
      </c>
      <c r="DA4346">
        <v>1</v>
      </c>
      <c r="DB4346">
        <v>0</v>
      </c>
      <c r="DC4346">
        <v>0</v>
      </c>
      <c r="DD4346">
        <v>0</v>
      </c>
      <c r="DE4346">
        <v>0</v>
      </c>
      <c r="DF4346">
        <v>0</v>
      </c>
      <c r="DG4346">
        <v>0</v>
      </c>
      <c r="DH4346">
        <v>0</v>
      </c>
      <c r="DI4346">
        <v>0</v>
      </c>
    </row>
    <row r="4347" spans="1:113" x14ac:dyDescent="0.25">
      <c r="A4347" t="str">
        <f t="shared" si="2440"/>
        <v>06/05/2020 14:59:46.100</v>
      </c>
      <c r="C4347" t="str">
        <f t="shared" si="2431"/>
        <v>FFDFD3C0</v>
      </c>
      <c r="D4347" t="s">
        <v>148</v>
      </c>
      <c r="E4347">
        <v>8</v>
      </c>
      <c r="H4347">
        <v>50</v>
      </c>
      <c r="I4347" t="s">
        <v>149</v>
      </c>
      <c r="J4347" t="s">
        <v>150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 t="shared" si="2441"/>
        <v>14:59:51.734</v>
      </c>
      <c r="T4347" t="str">
        <f t="shared" si="2442"/>
        <v>14:59:51.634</v>
      </c>
      <c r="U4347" t="str">
        <f t="shared" si="2410"/>
        <v>ACC530</v>
      </c>
      <c r="V4347">
        <v>0</v>
      </c>
      <c r="W4347">
        <v>0</v>
      </c>
      <c r="X4347">
        <v>1</v>
      </c>
      <c r="Z4347">
        <v>0</v>
      </c>
      <c r="AA4347">
        <v>9</v>
      </c>
      <c r="AB4347">
        <v>3</v>
      </c>
      <c r="AC4347">
        <v>0</v>
      </c>
      <c r="AD4347">
        <v>9</v>
      </c>
      <c r="AE4347">
        <v>0</v>
      </c>
      <c r="AF4347">
        <v>3</v>
      </c>
      <c r="AG4347">
        <v>1</v>
      </c>
      <c r="AH4347">
        <v>0</v>
      </c>
      <c r="AI4347" t="s">
        <v>1364</v>
      </c>
      <c r="AJ4347">
        <v>34.071672</v>
      </c>
      <c r="AK4347" t="s">
        <v>1365</v>
      </c>
      <c r="AL4347">
        <v>-117.034779</v>
      </c>
      <c r="AM4347">
        <v>100</v>
      </c>
      <c r="AN4347">
        <v>5100</v>
      </c>
      <c r="AO4347" t="s">
        <v>118</v>
      </c>
      <c r="AP4347">
        <v>-104</v>
      </c>
      <c r="AQ4347">
        <v>21</v>
      </c>
      <c r="AR4347">
        <v>-768</v>
      </c>
      <c r="AZ4347">
        <v>1200</v>
      </c>
      <c r="BA4347">
        <v>1</v>
      </c>
      <c r="BB4347" t="str">
        <f t="shared" si="2411"/>
        <v xml:space="preserve">N9217B  </v>
      </c>
      <c r="BC4347">
        <v>1</v>
      </c>
      <c r="BE4347">
        <v>0</v>
      </c>
      <c r="BF4347">
        <v>0</v>
      </c>
      <c r="BG4347">
        <v>0</v>
      </c>
      <c r="BH4347">
        <v>4875</v>
      </c>
      <c r="BI4347">
        <v>1</v>
      </c>
      <c r="BJ4347">
        <v>0</v>
      </c>
      <c r="BK4347">
        <v>0</v>
      </c>
      <c r="BL4347">
        <v>0</v>
      </c>
      <c r="BO4347">
        <v>0</v>
      </c>
      <c r="BP4347">
        <v>0</v>
      </c>
      <c r="BW4347" t="str">
        <f t="shared" si="2443"/>
        <v>14:59:51.739</v>
      </c>
      <c r="CJ4347">
        <v>0</v>
      </c>
      <c r="CK4347">
        <v>2</v>
      </c>
      <c r="CL4347">
        <v>0</v>
      </c>
      <c r="CM4347">
        <v>2</v>
      </c>
      <c r="CN4347">
        <v>0</v>
      </c>
      <c r="CO4347">
        <v>4</v>
      </c>
      <c r="CP4347" t="s">
        <v>119</v>
      </c>
      <c r="CQ4347">
        <v>285</v>
      </c>
      <c r="CR4347">
        <v>0</v>
      </c>
      <c r="CW4347">
        <v>8892357</v>
      </c>
      <c r="CY4347">
        <v>0</v>
      </c>
      <c r="CZ4347">
        <v>0</v>
      </c>
      <c r="DA4347">
        <v>1</v>
      </c>
      <c r="DB4347">
        <v>0</v>
      </c>
      <c r="DC4347">
        <v>0</v>
      </c>
      <c r="DD4347">
        <v>0</v>
      </c>
      <c r="DE4347">
        <v>0</v>
      </c>
      <c r="DF4347">
        <v>0</v>
      </c>
      <c r="DG4347">
        <v>0</v>
      </c>
      <c r="DH4347">
        <v>0</v>
      </c>
      <c r="DI4347">
        <v>0</v>
      </c>
    </row>
    <row r="4348" spans="1:113" x14ac:dyDescent="0.25">
      <c r="A4348" t="str">
        <f t="shared" si="2440"/>
        <v>06/05/2020 14:59:46.100</v>
      </c>
      <c r="C4348" t="str">
        <f t="shared" si="2431"/>
        <v>FFDFD3C0</v>
      </c>
      <c r="D4348" t="s">
        <v>134</v>
      </c>
      <c r="E4348">
        <v>7</v>
      </c>
      <c r="F4348">
        <v>2007</v>
      </c>
      <c r="G4348" t="s">
        <v>135</v>
      </c>
      <c r="J4348" t="s">
        <v>136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 t="shared" si="2441"/>
        <v>14:59:51.734</v>
      </c>
      <c r="T4348" t="str">
        <f t="shared" si="2442"/>
        <v>14:59:51.634</v>
      </c>
      <c r="U4348" t="str">
        <f t="shared" si="2410"/>
        <v>ACC530</v>
      </c>
      <c r="V4348">
        <v>0</v>
      </c>
      <c r="W4348">
        <v>0</v>
      </c>
      <c r="X4348">
        <v>1</v>
      </c>
      <c r="Z4348">
        <v>0</v>
      </c>
      <c r="AA4348">
        <v>9</v>
      </c>
      <c r="AB4348">
        <v>3</v>
      </c>
      <c r="AC4348">
        <v>0</v>
      </c>
      <c r="AD4348">
        <v>9</v>
      </c>
      <c r="AE4348">
        <v>0</v>
      </c>
      <c r="AF4348">
        <v>3</v>
      </c>
      <c r="AG4348">
        <v>1</v>
      </c>
      <c r="AH4348">
        <v>0</v>
      </c>
      <c r="AI4348" t="s">
        <v>1364</v>
      </c>
      <c r="AJ4348">
        <v>34.071672</v>
      </c>
      <c r="AK4348" t="s">
        <v>1365</v>
      </c>
      <c r="AL4348">
        <v>-117.034779</v>
      </c>
      <c r="AM4348">
        <v>100</v>
      </c>
      <c r="AN4348">
        <v>5100</v>
      </c>
      <c r="AO4348" t="s">
        <v>118</v>
      </c>
      <c r="AP4348">
        <v>-104</v>
      </c>
      <c r="AQ4348">
        <v>21</v>
      </c>
      <c r="AR4348">
        <v>-768</v>
      </c>
      <c r="AZ4348">
        <v>1200</v>
      </c>
      <c r="BA4348">
        <v>1</v>
      </c>
      <c r="BB4348" t="str">
        <f t="shared" si="2411"/>
        <v xml:space="preserve">N9217B  </v>
      </c>
      <c r="BC4348">
        <v>1</v>
      </c>
      <c r="BE4348">
        <v>0</v>
      </c>
      <c r="BF4348">
        <v>0</v>
      </c>
      <c r="BG4348">
        <v>0</v>
      </c>
      <c r="BH4348">
        <v>4875</v>
      </c>
      <c r="BI4348">
        <v>1</v>
      </c>
      <c r="BJ4348">
        <v>0</v>
      </c>
      <c r="BK4348">
        <v>0</v>
      </c>
      <c r="BL4348">
        <v>0</v>
      </c>
      <c r="BO4348">
        <v>0</v>
      </c>
      <c r="BP4348">
        <v>0</v>
      </c>
      <c r="BW4348" t="str">
        <f t="shared" si="2443"/>
        <v>14:59:51.739</v>
      </c>
      <c r="CJ4348">
        <v>0</v>
      </c>
      <c r="CK4348">
        <v>2</v>
      </c>
      <c r="CL4348">
        <v>0</v>
      </c>
      <c r="CM4348">
        <v>2</v>
      </c>
      <c r="CN4348">
        <v>0</v>
      </c>
      <c r="CO4348">
        <v>4</v>
      </c>
      <c r="CP4348" t="s">
        <v>119</v>
      </c>
      <c r="CQ4348">
        <v>285</v>
      </c>
      <c r="CR4348">
        <v>0</v>
      </c>
      <c r="CW4348">
        <v>8892357</v>
      </c>
      <c r="CY4348">
        <v>0</v>
      </c>
      <c r="CZ4348">
        <v>0</v>
      </c>
      <c r="DA4348">
        <v>1</v>
      </c>
      <c r="DB4348">
        <v>0</v>
      </c>
      <c r="DC4348">
        <v>0</v>
      </c>
      <c r="DD4348">
        <v>0</v>
      </c>
      <c r="DE4348">
        <v>0</v>
      </c>
      <c r="DF4348">
        <v>0</v>
      </c>
      <c r="DG4348">
        <v>0</v>
      </c>
      <c r="DH4348">
        <v>0</v>
      </c>
      <c r="DI4348">
        <v>0</v>
      </c>
    </row>
    <row r="4349" spans="1:113" x14ac:dyDescent="0.25">
      <c r="A4349" t="str">
        <f t="shared" si="2440"/>
        <v>06/05/2020 14:59:46.100</v>
      </c>
      <c r="C4349" t="str">
        <f t="shared" si="2431"/>
        <v>FFDFD3C0</v>
      </c>
      <c r="D4349" t="s">
        <v>151</v>
      </c>
      <c r="E4349">
        <v>9</v>
      </c>
      <c r="H4349">
        <v>226</v>
      </c>
      <c r="I4349" t="s">
        <v>152</v>
      </c>
      <c r="J4349" t="s">
        <v>150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 t="shared" si="2441"/>
        <v>14:59:51.734</v>
      </c>
      <c r="T4349" t="str">
        <f t="shared" si="2442"/>
        <v>14:59:51.634</v>
      </c>
      <c r="U4349" t="str">
        <f t="shared" si="2410"/>
        <v>ACC530</v>
      </c>
      <c r="V4349">
        <v>0</v>
      </c>
      <c r="W4349">
        <v>0</v>
      </c>
      <c r="X4349">
        <v>1</v>
      </c>
      <c r="Z4349">
        <v>0</v>
      </c>
      <c r="AA4349">
        <v>9</v>
      </c>
      <c r="AB4349">
        <v>3</v>
      </c>
      <c r="AC4349">
        <v>0</v>
      </c>
      <c r="AD4349">
        <v>9</v>
      </c>
      <c r="AE4349">
        <v>0</v>
      </c>
      <c r="AF4349">
        <v>3</v>
      </c>
      <c r="AG4349">
        <v>1</v>
      </c>
      <c r="AH4349">
        <v>0</v>
      </c>
      <c r="AI4349" t="s">
        <v>1364</v>
      </c>
      <c r="AJ4349">
        <v>34.071672</v>
      </c>
      <c r="AK4349" t="s">
        <v>1365</v>
      </c>
      <c r="AL4349">
        <v>-117.034779</v>
      </c>
      <c r="AM4349">
        <v>100</v>
      </c>
      <c r="AN4349">
        <v>5100</v>
      </c>
      <c r="AO4349" t="s">
        <v>118</v>
      </c>
      <c r="AP4349">
        <v>-104</v>
      </c>
      <c r="AQ4349">
        <v>21</v>
      </c>
      <c r="AR4349">
        <v>-768</v>
      </c>
      <c r="AZ4349">
        <v>1200</v>
      </c>
      <c r="BA4349">
        <v>1</v>
      </c>
      <c r="BB4349" t="str">
        <f t="shared" si="2411"/>
        <v xml:space="preserve">N9217B  </v>
      </c>
      <c r="BC4349">
        <v>1</v>
      </c>
      <c r="BE4349">
        <v>0</v>
      </c>
      <c r="BF4349">
        <v>0</v>
      </c>
      <c r="BG4349">
        <v>0</v>
      </c>
      <c r="BH4349">
        <v>4875</v>
      </c>
      <c r="BI4349">
        <v>1</v>
      </c>
      <c r="BJ4349">
        <v>0</v>
      </c>
      <c r="BK4349">
        <v>0</v>
      </c>
      <c r="BL4349">
        <v>0</v>
      </c>
      <c r="BO4349">
        <v>0</v>
      </c>
      <c r="BP4349">
        <v>0</v>
      </c>
      <c r="BW4349" t="str">
        <f t="shared" si="2443"/>
        <v>14:59:51.739</v>
      </c>
      <c r="CJ4349">
        <v>0</v>
      </c>
      <c r="CK4349">
        <v>2</v>
      </c>
      <c r="CL4349">
        <v>0</v>
      </c>
      <c r="CM4349">
        <v>2</v>
      </c>
      <c r="CN4349">
        <v>0</v>
      </c>
      <c r="CO4349">
        <v>4</v>
      </c>
      <c r="CP4349" t="s">
        <v>119</v>
      </c>
      <c r="CQ4349">
        <v>285</v>
      </c>
      <c r="CR4349">
        <v>0</v>
      </c>
      <c r="CW4349">
        <v>8892357</v>
      </c>
      <c r="CY4349">
        <v>0</v>
      </c>
      <c r="CZ4349">
        <v>0</v>
      </c>
      <c r="DA4349">
        <v>1</v>
      </c>
      <c r="DB4349">
        <v>0</v>
      </c>
      <c r="DC4349">
        <v>0</v>
      </c>
      <c r="DD4349">
        <v>0</v>
      </c>
      <c r="DE4349">
        <v>0</v>
      </c>
      <c r="DF4349">
        <v>0</v>
      </c>
      <c r="DG4349">
        <v>0</v>
      </c>
      <c r="DH4349">
        <v>0</v>
      </c>
      <c r="DI4349">
        <v>0</v>
      </c>
    </row>
    <row r="4350" spans="1:113" x14ac:dyDescent="0.25">
      <c r="A4350" t="str">
        <f t="shared" ref="A4350:A4356" si="2444">"06/05/2020 14:59:46.907"</f>
        <v>06/05/2020 14:59:46.907</v>
      </c>
      <c r="C4350" t="str">
        <f t="shared" si="2431"/>
        <v>FFDFD3C0</v>
      </c>
      <c r="D4350" t="s">
        <v>141</v>
      </c>
      <c r="E4350">
        <v>20</v>
      </c>
      <c r="F4350">
        <v>1020</v>
      </c>
      <c r="G4350" t="s">
        <v>114</v>
      </c>
      <c r="J4350" t="s">
        <v>142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 t="shared" ref="S4350:S4356" si="2445">"14:59:52.563"</f>
        <v>14:59:52.563</v>
      </c>
      <c r="T4350" t="str">
        <f t="shared" ref="T4350:T4356" si="2446">"14:59:52.163"</f>
        <v>14:59:52.163</v>
      </c>
      <c r="U4350" t="str">
        <f t="shared" si="2410"/>
        <v>ACC530</v>
      </c>
      <c r="V4350">
        <v>0</v>
      </c>
      <c r="W4350">
        <v>0</v>
      </c>
      <c r="X4350">
        <v>1</v>
      </c>
      <c r="Z4350">
        <v>0</v>
      </c>
      <c r="AA4350">
        <v>9</v>
      </c>
      <c r="AB4350">
        <v>3</v>
      </c>
      <c r="AC4350">
        <v>0</v>
      </c>
      <c r="AD4350">
        <v>9</v>
      </c>
      <c r="AE4350">
        <v>0</v>
      </c>
      <c r="AF4350">
        <v>3</v>
      </c>
      <c r="AG4350">
        <v>1</v>
      </c>
      <c r="AH4350">
        <v>0</v>
      </c>
      <c r="AI4350" t="s">
        <v>1366</v>
      </c>
      <c r="AJ4350">
        <v>34.071714999999998</v>
      </c>
      <c r="AK4350" t="s">
        <v>1367</v>
      </c>
      <c r="AL4350">
        <v>-117.035229</v>
      </c>
      <c r="AM4350">
        <v>100</v>
      </c>
      <c r="AN4350">
        <v>5100</v>
      </c>
      <c r="AO4350" t="s">
        <v>118</v>
      </c>
      <c r="AP4350">
        <v>-104</v>
      </c>
      <c r="AQ4350">
        <v>21</v>
      </c>
      <c r="AR4350">
        <v>-768</v>
      </c>
      <c r="AZ4350">
        <v>1200</v>
      </c>
      <c r="BA4350">
        <v>1</v>
      </c>
      <c r="BB4350" t="str">
        <f t="shared" si="2411"/>
        <v xml:space="preserve">N9217B  </v>
      </c>
      <c r="BC4350">
        <v>1</v>
      </c>
      <c r="BE4350">
        <v>0</v>
      </c>
      <c r="BF4350">
        <v>0</v>
      </c>
      <c r="BG4350">
        <v>0</v>
      </c>
      <c r="BH4350">
        <v>4875</v>
      </c>
      <c r="BI4350">
        <v>1</v>
      </c>
      <c r="BJ4350">
        <v>0</v>
      </c>
      <c r="BK4350">
        <v>0</v>
      </c>
      <c r="BL4350">
        <v>0</v>
      </c>
      <c r="BO4350">
        <v>0</v>
      </c>
      <c r="BP4350">
        <v>0</v>
      </c>
      <c r="BW4350" t="str">
        <f t="shared" ref="BW4350:BW4356" si="2447">"14:59:52.564"</f>
        <v>14:59:52.564</v>
      </c>
      <c r="CJ4350">
        <v>0</v>
      </c>
      <c r="CK4350">
        <v>2</v>
      </c>
      <c r="CL4350">
        <v>0</v>
      </c>
      <c r="CM4350">
        <v>2</v>
      </c>
      <c r="CN4350">
        <v>0</v>
      </c>
      <c r="CO4350">
        <v>4</v>
      </c>
      <c r="CP4350" t="s">
        <v>119</v>
      </c>
      <c r="CQ4350">
        <v>285</v>
      </c>
      <c r="CR4350">
        <v>0</v>
      </c>
      <c r="CW4350">
        <v>8892434</v>
      </c>
      <c r="CY4350">
        <v>0</v>
      </c>
      <c r="CZ4350">
        <v>0</v>
      </c>
      <c r="DA4350">
        <v>0</v>
      </c>
      <c r="DB4350">
        <v>0</v>
      </c>
      <c r="DC4350">
        <v>0</v>
      </c>
      <c r="DD4350">
        <v>0</v>
      </c>
      <c r="DE4350">
        <v>0</v>
      </c>
      <c r="DF4350">
        <v>0</v>
      </c>
      <c r="DG4350">
        <v>0</v>
      </c>
      <c r="DH4350">
        <v>0</v>
      </c>
      <c r="DI4350">
        <v>0</v>
      </c>
    </row>
    <row r="4351" spans="1:113" x14ac:dyDescent="0.25">
      <c r="A4351" t="str">
        <f t="shared" si="2444"/>
        <v>06/05/2020 14:59:46.907</v>
      </c>
      <c r="C4351" t="str">
        <f t="shared" si="2431"/>
        <v>FFDFD3C0</v>
      </c>
      <c r="D4351" t="s">
        <v>151</v>
      </c>
      <c r="E4351">
        <v>8</v>
      </c>
      <c r="H4351">
        <v>225</v>
      </c>
      <c r="I4351" t="s">
        <v>353</v>
      </c>
      <c r="J4351" t="s">
        <v>150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 t="shared" si="2445"/>
        <v>14:59:52.563</v>
      </c>
      <c r="T4351" t="str">
        <f t="shared" si="2446"/>
        <v>14:59:52.163</v>
      </c>
      <c r="U4351" t="str">
        <f t="shared" si="2410"/>
        <v>ACC530</v>
      </c>
      <c r="V4351">
        <v>0</v>
      </c>
      <c r="W4351">
        <v>0</v>
      </c>
      <c r="X4351">
        <v>1</v>
      </c>
      <c r="Z4351">
        <v>0</v>
      </c>
      <c r="AA4351">
        <v>9</v>
      </c>
      <c r="AB4351">
        <v>3</v>
      </c>
      <c r="AC4351">
        <v>0</v>
      </c>
      <c r="AD4351">
        <v>9</v>
      </c>
      <c r="AE4351">
        <v>0</v>
      </c>
      <c r="AF4351">
        <v>3</v>
      </c>
      <c r="AG4351">
        <v>1</v>
      </c>
      <c r="AH4351">
        <v>0</v>
      </c>
      <c r="AI4351" t="s">
        <v>1366</v>
      </c>
      <c r="AJ4351">
        <v>34.071714999999998</v>
      </c>
      <c r="AK4351" t="s">
        <v>1367</v>
      </c>
      <c r="AL4351">
        <v>-117.035229</v>
      </c>
      <c r="AM4351">
        <v>100</v>
      </c>
      <c r="AN4351">
        <v>5100</v>
      </c>
      <c r="AO4351" t="s">
        <v>118</v>
      </c>
      <c r="AP4351">
        <v>-104</v>
      </c>
      <c r="AQ4351">
        <v>21</v>
      </c>
      <c r="AR4351">
        <v>-768</v>
      </c>
      <c r="AZ4351">
        <v>1200</v>
      </c>
      <c r="BA4351">
        <v>1</v>
      </c>
      <c r="BB4351" t="str">
        <f t="shared" si="2411"/>
        <v xml:space="preserve">N9217B  </v>
      </c>
      <c r="BC4351">
        <v>1</v>
      </c>
      <c r="BE4351">
        <v>0</v>
      </c>
      <c r="BF4351">
        <v>0</v>
      </c>
      <c r="BG4351">
        <v>0</v>
      </c>
      <c r="BH4351">
        <v>4875</v>
      </c>
      <c r="BI4351">
        <v>1</v>
      </c>
      <c r="BJ4351">
        <v>0</v>
      </c>
      <c r="BK4351">
        <v>0</v>
      </c>
      <c r="BL4351">
        <v>0</v>
      </c>
      <c r="BO4351">
        <v>0</v>
      </c>
      <c r="BP4351">
        <v>0</v>
      </c>
      <c r="BW4351" t="str">
        <f t="shared" si="2447"/>
        <v>14:59:52.564</v>
      </c>
      <c r="CJ4351">
        <v>0</v>
      </c>
      <c r="CK4351">
        <v>2</v>
      </c>
      <c r="CL4351">
        <v>0</v>
      </c>
      <c r="CM4351">
        <v>2</v>
      </c>
      <c r="CN4351">
        <v>0</v>
      </c>
      <c r="CO4351">
        <v>4</v>
      </c>
      <c r="CP4351" t="s">
        <v>119</v>
      </c>
      <c r="CQ4351">
        <v>285</v>
      </c>
      <c r="CR4351">
        <v>0</v>
      </c>
      <c r="CW4351">
        <v>8892434</v>
      </c>
      <c r="CY4351">
        <v>0</v>
      </c>
      <c r="CZ4351">
        <v>0</v>
      </c>
      <c r="DA4351">
        <v>1</v>
      </c>
      <c r="DB4351">
        <v>0</v>
      </c>
      <c r="DC4351">
        <v>0</v>
      </c>
      <c r="DD4351">
        <v>0</v>
      </c>
      <c r="DE4351">
        <v>0</v>
      </c>
      <c r="DF4351">
        <v>0</v>
      </c>
      <c r="DG4351">
        <v>0</v>
      </c>
      <c r="DH4351">
        <v>0</v>
      </c>
      <c r="DI4351">
        <v>0</v>
      </c>
    </row>
    <row r="4352" spans="1:113" x14ac:dyDescent="0.25">
      <c r="A4352" t="str">
        <f t="shared" si="2444"/>
        <v>06/05/2020 14:59:46.907</v>
      </c>
      <c r="C4352" t="str">
        <f t="shared" si="2431"/>
        <v>FFDFD3C0</v>
      </c>
      <c r="D4352" t="s">
        <v>113</v>
      </c>
      <c r="E4352">
        <v>3</v>
      </c>
      <c r="H4352">
        <v>166</v>
      </c>
      <c r="I4352" t="s">
        <v>114</v>
      </c>
      <c r="J4352" t="s">
        <v>115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 t="shared" si="2445"/>
        <v>14:59:52.563</v>
      </c>
      <c r="T4352" t="str">
        <f t="shared" si="2446"/>
        <v>14:59:52.163</v>
      </c>
      <c r="U4352" t="str">
        <f t="shared" si="2410"/>
        <v>ACC530</v>
      </c>
      <c r="V4352">
        <v>0</v>
      </c>
      <c r="W4352">
        <v>0</v>
      </c>
      <c r="X4352">
        <v>1</v>
      </c>
      <c r="Z4352">
        <v>0</v>
      </c>
      <c r="AA4352">
        <v>9</v>
      </c>
      <c r="AB4352">
        <v>3</v>
      </c>
      <c r="AC4352">
        <v>0</v>
      </c>
      <c r="AD4352">
        <v>9</v>
      </c>
      <c r="AE4352">
        <v>0</v>
      </c>
      <c r="AF4352">
        <v>3</v>
      </c>
      <c r="AG4352">
        <v>1</v>
      </c>
      <c r="AH4352">
        <v>0</v>
      </c>
      <c r="AI4352" t="s">
        <v>1366</v>
      </c>
      <c r="AJ4352">
        <v>34.071714999999998</v>
      </c>
      <c r="AK4352" t="s">
        <v>1367</v>
      </c>
      <c r="AL4352">
        <v>-117.035229</v>
      </c>
      <c r="AM4352">
        <v>100</v>
      </c>
      <c r="AN4352">
        <v>5100</v>
      </c>
      <c r="AO4352" t="s">
        <v>118</v>
      </c>
      <c r="AP4352">
        <v>-104</v>
      </c>
      <c r="AQ4352">
        <v>21</v>
      </c>
      <c r="AR4352">
        <v>-768</v>
      </c>
      <c r="AZ4352">
        <v>1200</v>
      </c>
      <c r="BA4352">
        <v>1</v>
      </c>
      <c r="BB4352" t="str">
        <f t="shared" si="2411"/>
        <v xml:space="preserve">N9217B  </v>
      </c>
      <c r="BC4352">
        <v>1</v>
      </c>
      <c r="BE4352">
        <v>0</v>
      </c>
      <c r="BF4352">
        <v>0</v>
      </c>
      <c r="BG4352">
        <v>0</v>
      </c>
      <c r="BH4352">
        <v>4875</v>
      </c>
      <c r="BI4352">
        <v>1</v>
      </c>
      <c r="BJ4352">
        <v>0</v>
      </c>
      <c r="BK4352">
        <v>0</v>
      </c>
      <c r="BL4352">
        <v>0</v>
      </c>
      <c r="BO4352">
        <v>0</v>
      </c>
      <c r="BP4352">
        <v>0</v>
      </c>
      <c r="BW4352" t="str">
        <f t="shared" si="2447"/>
        <v>14:59:52.564</v>
      </c>
      <c r="CJ4352">
        <v>0</v>
      </c>
      <c r="CK4352">
        <v>2</v>
      </c>
      <c r="CL4352">
        <v>0</v>
      </c>
      <c r="CM4352">
        <v>2</v>
      </c>
      <c r="CN4352">
        <v>0</v>
      </c>
      <c r="CO4352">
        <v>4</v>
      </c>
      <c r="CP4352" t="s">
        <v>119</v>
      </c>
      <c r="CQ4352">
        <v>285</v>
      </c>
      <c r="CR4352">
        <v>0</v>
      </c>
      <c r="CW4352">
        <v>8892434</v>
      </c>
      <c r="CY4352">
        <v>0</v>
      </c>
      <c r="CZ4352">
        <v>0</v>
      </c>
      <c r="DA4352">
        <v>1</v>
      </c>
      <c r="DB4352">
        <v>0</v>
      </c>
      <c r="DC4352">
        <v>0</v>
      </c>
      <c r="DD4352">
        <v>0</v>
      </c>
      <c r="DE4352">
        <v>0</v>
      </c>
      <c r="DF4352">
        <v>0</v>
      </c>
      <c r="DG4352">
        <v>0</v>
      </c>
      <c r="DH4352">
        <v>0</v>
      </c>
      <c r="DI4352">
        <v>0</v>
      </c>
    </row>
    <row r="4353" spans="1:113" x14ac:dyDescent="0.25">
      <c r="A4353" t="str">
        <f t="shared" si="2444"/>
        <v>06/05/2020 14:59:46.907</v>
      </c>
      <c r="C4353" t="str">
        <f t="shared" si="2431"/>
        <v>FFDFD3C0</v>
      </c>
      <c r="D4353" t="s">
        <v>148</v>
      </c>
      <c r="E4353">
        <v>11</v>
      </c>
      <c r="H4353">
        <v>53</v>
      </c>
      <c r="I4353" t="s">
        <v>364</v>
      </c>
      <c r="J4353" t="s">
        <v>150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 t="shared" si="2445"/>
        <v>14:59:52.563</v>
      </c>
      <c r="T4353" t="str">
        <f t="shared" si="2446"/>
        <v>14:59:52.163</v>
      </c>
      <c r="U4353" t="str">
        <f t="shared" si="2410"/>
        <v>ACC530</v>
      </c>
      <c r="V4353">
        <v>0</v>
      </c>
      <c r="W4353">
        <v>0</v>
      </c>
      <c r="X4353">
        <v>1</v>
      </c>
      <c r="Z4353">
        <v>0</v>
      </c>
      <c r="AA4353">
        <v>9</v>
      </c>
      <c r="AB4353">
        <v>3</v>
      </c>
      <c r="AC4353">
        <v>0</v>
      </c>
      <c r="AD4353">
        <v>9</v>
      </c>
      <c r="AE4353">
        <v>0</v>
      </c>
      <c r="AF4353">
        <v>3</v>
      </c>
      <c r="AG4353">
        <v>1</v>
      </c>
      <c r="AH4353">
        <v>0</v>
      </c>
      <c r="AI4353" t="s">
        <v>1366</v>
      </c>
      <c r="AJ4353">
        <v>34.071714999999998</v>
      </c>
      <c r="AK4353" t="s">
        <v>1367</v>
      </c>
      <c r="AL4353">
        <v>-117.035229</v>
      </c>
      <c r="AM4353">
        <v>100</v>
      </c>
      <c r="AN4353">
        <v>5100</v>
      </c>
      <c r="AO4353" t="s">
        <v>118</v>
      </c>
      <c r="AP4353">
        <v>-104</v>
      </c>
      <c r="AQ4353">
        <v>21</v>
      </c>
      <c r="AR4353">
        <v>-768</v>
      </c>
      <c r="AZ4353">
        <v>1200</v>
      </c>
      <c r="BA4353">
        <v>1</v>
      </c>
      <c r="BB4353" t="str">
        <f t="shared" si="2411"/>
        <v xml:space="preserve">N9217B  </v>
      </c>
      <c r="BC4353">
        <v>1</v>
      </c>
      <c r="BE4353">
        <v>0</v>
      </c>
      <c r="BF4353">
        <v>0</v>
      </c>
      <c r="BG4353">
        <v>0</v>
      </c>
      <c r="BH4353">
        <v>4875</v>
      </c>
      <c r="BI4353">
        <v>1</v>
      </c>
      <c r="BJ4353">
        <v>0</v>
      </c>
      <c r="BK4353">
        <v>0</v>
      </c>
      <c r="BL4353">
        <v>0</v>
      </c>
      <c r="BO4353">
        <v>0</v>
      </c>
      <c r="BP4353">
        <v>0</v>
      </c>
      <c r="BW4353" t="str">
        <f t="shared" si="2447"/>
        <v>14:59:52.564</v>
      </c>
      <c r="CJ4353">
        <v>0</v>
      </c>
      <c r="CK4353">
        <v>2</v>
      </c>
      <c r="CL4353">
        <v>0</v>
      </c>
      <c r="CM4353">
        <v>2</v>
      </c>
      <c r="CN4353">
        <v>0</v>
      </c>
      <c r="CO4353">
        <v>4</v>
      </c>
      <c r="CP4353" t="s">
        <v>119</v>
      </c>
      <c r="CQ4353">
        <v>285</v>
      </c>
      <c r="CR4353">
        <v>0</v>
      </c>
      <c r="CW4353">
        <v>8892434</v>
      </c>
      <c r="CY4353">
        <v>0</v>
      </c>
      <c r="CZ4353">
        <v>0</v>
      </c>
      <c r="DA4353">
        <v>1</v>
      </c>
      <c r="DB4353">
        <v>0</v>
      </c>
      <c r="DC4353">
        <v>0</v>
      </c>
      <c r="DD4353">
        <v>0</v>
      </c>
      <c r="DE4353">
        <v>0</v>
      </c>
      <c r="DF4353">
        <v>0</v>
      </c>
      <c r="DG4353">
        <v>0</v>
      </c>
      <c r="DH4353">
        <v>0</v>
      </c>
      <c r="DI4353">
        <v>0</v>
      </c>
    </row>
    <row r="4354" spans="1:113" x14ac:dyDescent="0.25">
      <c r="A4354" t="str">
        <f t="shared" si="2444"/>
        <v>06/05/2020 14:59:46.907</v>
      </c>
      <c r="C4354" t="str">
        <f t="shared" si="2431"/>
        <v>FFDFD3C0</v>
      </c>
      <c r="D4354" t="s">
        <v>134</v>
      </c>
      <c r="E4354">
        <v>7</v>
      </c>
      <c r="F4354">
        <v>2007</v>
      </c>
      <c r="G4354" t="s">
        <v>135</v>
      </c>
      <c r="J4354" t="s">
        <v>136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 t="shared" si="2445"/>
        <v>14:59:52.563</v>
      </c>
      <c r="T4354" t="str">
        <f t="shared" si="2446"/>
        <v>14:59:52.163</v>
      </c>
      <c r="U4354" t="str">
        <f t="shared" ref="U4354:U4417" si="2448">"ACC530"</f>
        <v>ACC530</v>
      </c>
      <c r="V4354">
        <v>0</v>
      </c>
      <c r="W4354">
        <v>0</v>
      </c>
      <c r="X4354">
        <v>1</v>
      </c>
      <c r="Z4354">
        <v>0</v>
      </c>
      <c r="AA4354">
        <v>9</v>
      </c>
      <c r="AB4354">
        <v>3</v>
      </c>
      <c r="AC4354">
        <v>0</v>
      </c>
      <c r="AD4354">
        <v>9</v>
      </c>
      <c r="AE4354">
        <v>0</v>
      </c>
      <c r="AF4354">
        <v>3</v>
      </c>
      <c r="AG4354">
        <v>1</v>
      </c>
      <c r="AH4354">
        <v>0</v>
      </c>
      <c r="AI4354" t="s">
        <v>1366</v>
      </c>
      <c r="AJ4354">
        <v>34.071714999999998</v>
      </c>
      <c r="AK4354" t="s">
        <v>1367</v>
      </c>
      <c r="AL4354">
        <v>-117.035229</v>
      </c>
      <c r="AM4354">
        <v>100</v>
      </c>
      <c r="AN4354">
        <v>5100</v>
      </c>
      <c r="AO4354" t="s">
        <v>118</v>
      </c>
      <c r="AP4354">
        <v>-104</v>
      </c>
      <c r="AQ4354">
        <v>21</v>
      </c>
      <c r="AR4354">
        <v>-768</v>
      </c>
      <c r="AZ4354">
        <v>1200</v>
      </c>
      <c r="BA4354">
        <v>1</v>
      </c>
      <c r="BB4354" t="str">
        <f t="shared" si="2411"/>
        <v xml:space="preserve">N9217B  </v>
      </c>
      <c r="BC4354">
        <v>1</v>
      </c>
      <c r="BE4354">
        <v>0</v>
      </c>
      <c r="BF4354">
        <v>0</v>
      </c>
      <c r="BG4354">
        <v>0</v>
      </c>
      <c r="BH4354">
        <v>4875</v>
      </c>
      <c r="BI4354">
        <v>1</v>
      </c>
      <c r="BJ4354">
        <v>0</v>
      </c>
      <c r="BK4354">
        <v>0</v>
      </c>
      <c r="BL4354">
        <v>0</v>
      </c>
      <c r="BO4354">
        <v>0</v>
      </c>
      <c r="BP4354">
        <v>0</v>
      </c>
      <c r="BW4354" t="str">
        <f t="shared" si="2447"/>
        <v>14:59:52.564</v>
      </c>
      <c r="CJ4354">
        <v>0</v>
      </c>
      <c r="CK4354">
        <v>2</v>
      </c>
      <c r="CL4354">
        <v>0</v>
      </c>
      <c r="CM4354">
        <v>2</v>
      </c>
      <c r="CN4354">
        <v>0</v>
      </c>
      <c r="CO4354">
        <v>4</v>
      </c>
      <c r="CP4354" t="s">
        <v>119</v>
      </c>
      <c r="CQ4354">
        <v>285</v>
      </c>
      <c r="CR4354">
        <v>0</v>
      </c>
      <c r="CW4354">
        <v>8892434</v>
      </c>
      <c r="CY4354">
        <v>0</v>
      </c>
      <c r="CZ4354">
        <v>0</v>
      </c>
      <c r="DA4354">
        <v>1</v>
      </c>
      <c r="DB4354">
        <v>0</v>
      </c>
      <c r="DC4354">
        <v>0</v>
      </c>
      <c r="DD4354">
        <v>0</v>
      </c>
      <c r="DE4354">
        <v>0</v>
      </c>
      <c r="DF4354">
        <v>0</v>
      </c>
      <c r="DG4354">
        <v>0</v>
      </c>
      <c r="DH4354">
        <v>0</v>
      </c>
      <c r="DI4354">
        <v>0</v>
      </c>
    </row>
    <row r="4355" spans="1:113" x14ac:dyDescent="0.25">
      <c r="A4355" t="str">
        <f t="shared" si="2444"/>
        <v>06/05/2020 14:59:46.907</v>
      </c>
      <c r="C4355" t="str">
        <f t="shared" si="2431"/>
        <v>FFDFD3C0</v>
      </c>
      <c r="D4355" t="s">
        <v>148</v>
      </c>
      <c r="E4355">
        <v>8</v>
      </c>
      <c r="H4355">
        <v>50</v>
      </c>
      <c r="I4355" t="s">
        <v>149</v>
      </c>
      <c r="J4355" t="s">
        <v>150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 t="shared" si="2445"/>
        <v>14:59:52.563</v>
      </c>
      <c r="T4355" t="str">
        <f t="shared" si="2446"/>
        <v>14:59:52.163</v>
      </c>
      <c r="U4355" t="str">
        <f t="shared" si="2448"/>
        <v>ACC530</v>
      </c>
      <c r="V4355">
        <v>0</v>
      </c>
      <c r="W4355">
        <v>0</v>
      </c>
      <c r="X4355">
        <v>1</v>
      </c>
      <c r="Z4355">
        <v>0</v>
      </c>
      <c r="AA4355">
        <v>9</v>
      </c>
      <c r="AB4355">
        <v>3</v>
      </c>
      <c r="AC4355">
        <v>0</v>
      </c>
      <c r="AD4355">
        <v>9</v>
      </c>
      <c r="AE4355">
        <v>0</v>
      </c>
      <c r="AF4355">
        <v>3</v>
      </c>
      <c r="AG4355">
        <v>1</v>
      </c>
      <c r="AH4355">
        <v>0</v>
      </c>
      <c r="AI4355" t="s">
        <v>1366</v>
      </c>
      <c r="AJ4355">
        <v>34.071714999999998</v>
      </c>
      <c r="AK4355" t="s">
        <v>1367</v>
      </c>
      <c r="AL4355">
        <v>-117.035229</v>
      </c>
      <c r="AM4355">
        <v>100</v>
      </c>
      <c r="AN4355">
        <v>5100</v>
      </c>
      <c r="AO4355" t="s">
        <v>118</v>
      </c>
      <c r="AP4355">
        <v>-104</v>
      </c>
      <c r="AQ4355">
        <v>21</v>
      </c>
      <c r="AR4355">
        <v>-768</v>
      </c>
      <c r="AZ4355">
        <v>1200</v>
      </c>
      <c r="BA4355">
        <v>1</v>
      </c>
      <c r="BB4355" t="str">
        <f t="shared" si="2411"/>
        <v xml:space="preserve">N9217B  </v>
      </c>
      <c r="BC4355">
        <v>1</v>
      </c>
      <c r="BE4355">
        <v>0</v>
      </c>
      <c r="BF4355">
        <v>0</v>
      </c>
      <c r="BG4355">
        <v>0</v>
      </c>
      <c r="BH4355">
        <v>4875</v>
      </c>
      <c r="BI4355">
        <v>1</v>
      </c>
      <c r="BJ4355">
        <v>0</v>
      </c>
      <c r="BK4355">
        <v>0</v>
      </c>
      <c r="BL4355">
        <v>0</v>
      </c>
      <c r="BO4355">
        <v>0</v>
      </c>
      <c r="BP4355">
        <v>0</v>
      </c>
      <c r="BW4355" t="str">
        <f t="shared" si="2447"/>
        <v>14:59:52.564</v>
      </c>
      <c r="CJ4355">
        <v>0</v>
      </c>
      <c r="CK4355">
        <v>2</v>
      </c>
      <c r="CL4355">
        <v>0</v>
      </c>
      <c r="CM4355">
        <v>2</v>
      </c>
      <c r="CN4355">
        <v>0</v>
      </c>
      <c r="CO4355">
        <v>4</v>
      </c>
      <c r="CP4355" t="s">
        <v>119</v>
      </c>
      <c r="CQ4355">
        <v>285</v>
      </c>
      <c r="CR4355">
        <v>0</v>
      </c>
      <c r="CW4355">
        <v>8892434</v>
      </c>
      <c r="CY4355">
        <v>0</v>
      </c>
      <c r="CZ4355">
        <v>0</v>
      </c>
      <c r="DA4355">
        <v>1</v>
      </c>
      <c r="DB4355">
        <v>0</v>
      </c>
      <c r="DC4355">
        <v>0</v>
      </c>
      <c r="DD4355">
        <v>0</v>
      </c>
      <c r="DE4355">
        <v>0</v>
      </c>
      <c r="DF4355">
        <v>0</v>
      </c>
      <c r="DG4355">
        <v>0</v>
      </c>
      <c r="DH4355">
        <v>0</v>
      </c>
      <c r="DI4355">
        <v>0</v>
      </c>
    </row>
    <row r="4356" spans="1:113" x14ac:dyDescent="0.25">
      <c r="A4356" t="str">
        <f t="shared" si="2444"/>
        <v>06/05/2020 14:59:46.907</v>
      </c>
      <c r="C4356" t="str">
        <f t="shared" si="2431"/>
        <v>FFDFD3C0</v>
      </c>
      <c r="D4356" t="s">
        <v>151</v>
      </c>
      <c r="E4356">
        <v>9</v>
      </c>
      <c r="H4356">
        <v>226</v>
      </c>
      <c r="I4356" t="s">
        <v>152</v>
      </c>
      <c r="J4356" t="s">
        <v>150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 t="shared" si="2445"/>
        <v>14:59:52.563</v>
      </c>
      <c r="T4356" t="str">
        <f t="shared" si="2446"/>
        <v>14:59:52.163</v>
      </c>
      <c r="U4356" t="str">
        <f t="shared" si="2448"/>
        <v>ACC530</v>
      </c>
      <c r="V4356">
        <v>0</v>
      </c>
      <c r="W4356">
        <v>0</v>
      </c>
      <c r="X4356">
        <v>1</v>
      </c>
      <c r="Z4356">
        <v>0</v>
      </c>
      <c r="AA4356">
        <v>9</v>
      </c>
      <c r="AB4356">
        <v>3</v>
      </c>
      <c r="AC4356">
        <v>0</v>
      </c>
      <c r="AD4356">
        <v>9</v>
      </c>
      <c r="AE4356">
        <v>0</v>
      </c>
      <c r="AF4356">
        <v>3</v>
      </c>
      <c r="AG4356">
        <v>1</v>
      </c>
      <c r="AH4356">
        <v>0</v>
      </c>
      <c r="AI4356" t="s">
        <v>1366</v>
      </c>
      <c r="AJ4356">
        <v>34.071714999999998</v>
      </c>
      <c r="AK4356" t="s">
        <v>1367</v>
      </c>
      <c r="AL4356">
        <v>-117.035229</v>
      </c>
      <c r="AM4356">
        <v>100</v>
      </c>
      <c r="AN4356">
        <v>5100</v>
      </c>
      <c r="AO4356" t="s">
        <v>118</v>
      </c>
      <c r="AP4356">
        <v>-104</v>
      </c>
      <c r="AQ4356">
        <v>21</v>
      </c>
      <c r="AR4356">
        <v>-768</v>
      </c>
      <c r="AZ4356">
        <v>1200</v>
      </c>
      <c r="BA4356">
        <v>1</v>
      </c>
      <c r="BB4356" t="str">
        <f t="shared" si="2411"/>
        <v xml:space="preserve">N9217B  </v>
      </c>
      <c r="BC4356">
        <v>1</v>
      </c>
      <c r="BE4356">
        <v>0</v>
      </c>
      <c r="BF4356">
        <v>0</v>
      </c>
      <c r="BG4356">
        <v>0</v>
      </c>
      <c r="BH4356">
        <v>4875</v>
      </c>
      <c r="BI4356">
        <v>1</v>
      </c>
      <c r="BJ4356">
        <v>0</v>
      </c>
      <c r="BK4356">
        <v>0</v>
      </c>
      <c r="BL4356">
        <v>0</v>
      </c>
      <c r="BO4356">
        <v>0</v>
      </c>
      <c r="BP4356">
        <v>0</v>
      </c>
      <c r="BW4356" t="str">
        <f t="shared" si="2447"/>
        <v>14:59:52.564</v>
      </c>
      <c r="CJ4356">
        <v>0</v>
      </c>
      <c r="CK4356">
        <v>2</v>
      </c>
      <c r="CL4356">
        <v>0</v>
      </c>
      <c r="CM4356">
        <v>2</v>
      </c>
      <c r="CN4356">
        <v>0</v>
      </c>
      <c r="CO4356">
        <v>4</v>
      </c>
      <c r="CP4356" t="s">
        <v>119</v>
      </c>
      <c r="CQ4356">
        <v>285</v>
      </c>
      <c r="CR4356">
        <v>0</v>
      </c>
      <c r="CW4356">
        <v>8892434</v>
      </c>
      <c r="CY4356">
        <v>0</v>
      </c>
      <c r="CZ4356">
        <v>0</v>
      </c>
      <c r="DA4356">
        <v>1</v>
      </c>
      <c r="DB4356">
        <v>0</v>
      </c>
      <c r="DC4356">
        <v>0</v>
      </c>
      <c r="DD4356">
        <v>0</v>
      </c>
      <c r="DE4356">
        <v>0</v>
      </c>
      <c r="DF4356">
        <v>0</v>
      </c>
      <c r="DG4356">
        <v>0</v>
      </c>
      <c r="DH4356">
        <v>0</v>
      </c>
      <c r="DI4356">
        <v>0</v>
      </c>
    </row>
    <row r="4357" spans="1:113" x14ac:dyDescent="0.25">
      <c r="A4357" t="str">
        <f t="shared" ref="A4357:A4362" si="2449">"06/05/2020 14:59:47.676"</f>
        <v>06/05/2020 14:59:47.676</v>
      </c>
      <c r="C4357" t="str">
        <f t="shared" si="2431"/>
        <v>FFDFD3C0</v>
      </c>
      <c r="D4357" t="s">
        <v>151</v>
      </c>
      <c r="E4357">
        <v>8</v>
      </c>
      <c r="H4357">
        <v>225</v>
      </c>
      <c r="I4357" t="s">
        <v>353</v>
      </c>
      <c r="J4357" t="s">
        <v>150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 t="shared" ref="S4357:S4362" si="2450">"14:59:53.008"</f>
        <v>14:59:53.008</v>
      </c>
      <c r="U4357" t="str">
        <f t="shared" si="2448"/>
        <v>ACC530</v>
      </c>
      <c r="V4357">
        <v>0</v>
      </c>
      <c r="W4357">
        <v>0</v>
      </c>
      <c r="X4357">
        <v>1</v>
      </c>
      <c r="Z4357">
        <v>0</v>
      </c>
      <c r="AA4357">
        <v>9</v>
      </c>
      <c r="AB4357">
        <v>3</v>
      </c>
      <c r="AC4357">
        <v>0</v>
      </c>
      <c r="AD4357">
        <v>9</v>
      </c>
      <c r="AE4357">
        <v>0</v>
      </c>
      <c r="AF4357">
        <v>3</v>
      </c>
      <c r="AG4357">
        <v>1</v>
      </c>
      <c r="AH4357">
        <v>0</v>
      </c>
      <c r="AI4357" t="s">
        <v>1368</v>
      </c>
      <c r="AJ4357">
        <v>34.071778999999999</v>
      </c>
      <c r="AK4357" t="s">
        <v>1369</v>
      </c>
      <c r="AL4357">
        <v>-117.035465</v>
      </c>
      <c r="AM4357">
        <v>100</v>
      </c>
      <c r="AN4357">
        <v>5000</v>
      </c>
      <c r="AO4357" t="s">
        <v>118</v>
      </c>
      <c r="AR4357">
        <v>-832</v>
      </c>
      <c r="AZ4357">
        <v>1200</v>
      </c>
      <c r="BA4357">
        <v>1</v>
      </c>
      <c r="BB4357" t="str">
        <f t="shared" ref="BB4357:BB4420" si="2451">"N9217B  "</f>
        <v xml:space="preserve">N9217B  </v>
      </c>
      <c r="BC4357">
        <v>1</v>
      </c>
      <c r="BE4357">
        <v>0</v>
      </c>
      <c r="BF4357">
        <v>0</v>
      </c>
      <c r="BG4357">
        <v>0</v>
      </c>
      <c r="BH4357">
        <v>4750</v>
      </c>
      <c r="BI4357">
        <v>1</v>
      </c>
      <c r="BJ4357">
        <v>0</v>
      </c>
      <c r="BK4357">
        <v>0</v>
      </c>
      <c r="BL4357">
        <v>0</v>
      </c>
      <c r="BO4357">
        <v>0</v>
      </c>
      <c r="BP4357">
        <v>0</v>
      </c>
      <c r="BW4357" t="str">
        <f t="shared" ref="BW4357:BW4362" si="2452">"14:59:53.014"</f>
        <v>14:59:53.014</v>
      </c>
      <c r="CJ4357">
        <v>0</v>
      </c>
      <c r="CK4357">
        <v>2</v>
      </c>
      <c r="CL4357">
        <v>0</v>
      </c>
      <c r="CM4357">
        <v>2</v>
      </c>
      <c r="CN4357">
        <v>0</v>
      </c>
      <c r="CO4357">
        <v>2</v>
      </c>
      <c r="CP4357" t="s">
        <v>119</v>
      </c>
      <c r="CQ4357">
        <v>298</v>
      </c>
      <c r="CR4357">
        <v>0</v>
      </c>
      <c r="CW4357">
        <v>10478101</v>
      </c>
      <c r="CY4357">
        <v>0</v>
      </c>
      <c r="CZ4357">
        <v>0</v>
      </c>
      <c r="DA4357">
        <v>0</v>
      </c>
      <c r="DB4357">
        <v>0</v>
      </c>
      <c r="DC4357">
        <v>0</v>
      </c>
      <c r="DD4357">
        <v>0</v>
      </c>
      <c r="DE4357">
        <v>0</v>
      </c>
      <c r="DF4357">
        <v>1</v>
      </c>
      <c r="DG4357">
        <v>0</v>
      </c>
      <c r="DH4357">
        <v>0</v>
      </c>
      <c r="DI4357">
        <v>0</v>
      </c>
    </row>
    <row r="4358" spans="1:113" x14ac:dyDescent="0.25">
      <c r="A4358" t="str">
        <f t="shared" si="2449"/>
        <v>06/05/2020 14:59:47.676</v>
      </c>
      <c r="C4358" t="str">
        <f t="shared" si="2431"/>
        <v>FFDFD3C0</v>
      </c>
      <c r="D4358" t="s">
        <v>113</v>
      </c>
      <c r="E4358">
        <v>3</v>
      </c>
      <c r="H4358">
        <v>166</v>
      </c>
      <c r="I4358" t="s">
        <v>114</v>
      </c>
      <c r="J4358" t="s">
        <v>115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 t="shared" si="2450"/>
        <v>14:59:53.008</v>
      </c>
      <c r="U4358" t="str">
        <f t="shared" si="2448"/>
        <v>ACC530</v>
      </c>
      <c r="V4358">
        <v>0</v>
      </c>
      <c r="W4358">
        <v>0</v>
      </c>
      <c r="X4358">
        <v>1</v>
      </c>
      <c r="Z4358">
        <v>0</v>
      </c>
      <c r="AA4358">
        <v>9</v>
      </c>
      <c r="AB4358">
        <v>3</v>
      </c>
      <c r="AC4358">
        <v>0</v>
      </c>
      <c r="AD4358">
        <v>9</v>
      </c>
      <c r="AE4358">
        <v>0</v>
      </c>
      <c r="AF4358">
        <v>3</v>
      </c>
      <c r="AG4358">
        <v>1</v>
      </c>
      <c r="AH4358">
        <v>0</v>
      </c>
      <c r="AI4358" t="s">
        <v>1368</v>
      </c>
      <c r="AJ4358">
        <v>34.071778999999999</v>
      </c>
      <c r="AK4358" t="s">
        <v>1369</v>
      </c>
      <c r="AL4358">
        <v>-117.035465</v>
      </c>
      <c r="AM4358">
        <v>100</v>
      </c>
      <c r="AN4358">
        <v>5000</v>
      </c>
      <c r="AO4358" t="s">
        <v>118</v>
      </c>
      <c r="AR4358">
        <v>-832</v>
      </c>
      <c r="AZ4358">
        <v>1200</v>
      </c>
      <c r="BA4358">
        <v>1</v>
      </c>
      <c r="BB4358" t="str">
        <f t="shared" si="2451"/>
        <v xml:space="preserve">N9217B  </v>
      </c>
      <c r="BC4358">
        <v>1</v>
      </c>
      <c r="BE4358">
        <v>0</v>
      </c>
      <c r="BF4358">
        <v>0</v>
      </c>
      <c r="BG4358">
        <v>0</v>
      </c>
      <c r="BH4358">
        <v>4750</v>
      </c>
      <c r="BI4358">
        <v>1</v>
      </c>
      <c r="BJ4358">
        <v>0</v>
      </c>
      <c r="BK4358">
        <v>0</v>
      </c>
      <c r="BL4358">
        <v>0</v>
      </c>
      <c r="BO4358">
        <v>0</v>
      </c>
      <c r="BP4358">
        <v>0</v>
      </c>
      <c r="BW4358" t="str">
        <f t="shared" si="2452"/>
        <v>14:59:53.014</v>
      </c>
      <c r="CJ4358">
        <v>0</v>
      </c>
      <c r="CK4358">
        <v>2</v>
      </c>
      <c r="CL4358">
        <v>0</v>
      </c>
      <c r="CM4358">
        <v>2</v>
      </c>
      <c r="CN4358">
        <v>0</v>
      </c>
      <c r="CO4358">
        <v>2</v>
      </c>
      <c r="CP4358" t="s">
        <v>119</v>
      </c>
      <c r="CQ4358">
        <v>298</v>
      </c>
      <c r="CR4358">
        <v>0</v>
      </c>
      <c r="CW4358">
        <v>10478101</v>
      </c>
      <c r="CY4358">
        <v>0</v>
      </c>
      <c r="CZ4358">
        <v>0</v>
      </c>
      <c r="DA4358">
        <v>1</v>
      </c>
      <c r="DB4358">
        <v>0</v>
      </c>
      <c r="DC4358">
        <v>0</v>
      </c>
      <c r="DD4358">
        <v>0</v>
      </c>
      <c r="DE4358">
        <v>0</v>
      </c>
      <c r="DF4358">
        <v>1</v>
      </c>
      <c r="DG4358">
        <v>0</v>
      </c>
      <c r="DH4358">
        <v>0</v>
      </c>
      <c r="DI4358">
        <v>0</v>
      </c>
    </row>
    <row r="4359" spans="1:113" x14ac:dyDescent="0.25">
      <c r="A4359" t="str">
        <f t="shared" si="2449"/>
        <v>06/05/2020 14:59:47.676</v>
      </c>
      <c r="C4359" t="str">
        <f t="shared" si="2431"/>
        <v>FFDFD3C0</v>
      </c>
      <c r="D4359" t="s">
        <v>134</v>
      </c>
      <c r="E4359">
        <v>7</v>
      </c>
      <c r="F4359">
        <v>2007</v>
      </c>
      <c r="G4359" t="s">
        <v>135</v>
      </c>
      <c r="J4359" t="s">
        <v>136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 t="shared" si="2450"/>
        <v>14:59:53.008</v>
      </c>
      <c r="U4359" t="str">
        <f t="shared" si="2448"/>
        <v>ACC530</v>
      </c>
      <c r="V4359">
        <v>0</v>
      </c>
      <c r="W4359">
        <v>0</v>
      </c>
      <c r="X4359">
        <v>1</v>
      </c>
      <c r="Z4359">
        <v>0</v>
      </c>
      <c r="AA4359">
        <v>9</v>
      </c>
      <c r="AB4359">
        <v>3</v>
      </c>
      <c r="AC4359">
        <v>0</v>
      </c>
      <c r="AD4359">
        <v>9</v>
      </c>
      <c r="AE4359">
        <v>0</v>
      </c>
      <c r="AF4359">
        <v>3</v>
      </c>
      <c r="AG4359">
        <v>1</v>
      </c>
      <c r="AH4359">
        <v>0</v>
      </c>
      <c r="AI4359" t="s">
        <v>1368</v>
      </c>
      <c r="AJ4359">
        <v>34.071778999999999</v>
      </c>
      <c r="AK4359" t="s">
        <v>1369</v>
      </c>
      <c r="AL4359">
        <v>-117.035465</v>
      </c>
      <c r="AM4359">
        <v>100</v>
      </c>
      <c r="AN4359">
        <v>5000</v>
      </c>
      <c r="AO4359" t="s">
        <v>118</v>
      </c>
      <c r="AR4359">
        <v>-832</v>
      </c>
      <c r="AZ4359">
        <v>1200</v>
      </c>
      <c r="BA4359">
        <v>1</v>
      </c>
      <c r="BB4359" t="str">
        <f t="shared" si="2451"/>
        <v xml:space="preserve">N9217B  </v>
      </c>
      <c r="BC4359">
        <v>1</v>
      </c>
      <c r="BE4359">
        <v>0</v>
      </c>
      <c r="BF4359">
        <v>0</v>
      </c>
      <c r="BG4359">
        <v>0</v>
      </c>
      <c r="BH4359">
        <v>4750</v>
      </c>
      <c r="BI4359">
        <v>1</v>
      </c>
      <c r="BJ4359">
        <v>0</v>
      </c>
      <c r="BK4359">
        <v>0</v>
      </c>
      <c r="BL4359">
        <v>0</v>
      </c>
      <c r="BO4359">
        <v>0</v>
      </c>
      <c r="BP4359">
        <v>0</v>
      </c>
      <c r="BW4359" t="str">
        <f t="shared" si="2452"/>
        <v>14:59:53.014</v>
      </c>
      <c r="CJ4359">
        <v>0</v>
      </c>
      <c r="CK4359">
        <v>2</v>
      </c>
      <c r="CL4359">
        <v>0</v>
      </c>
      <c r="CM4359">
        <v>2</v>
      </c>
      <c r="CN4359">
        <v>0</v>
      </c>
      <c r="CO4359">
        <v>2</v>
      </c>
      <c r="CP4359" t="s">
        <v>119</v>
      </c>
      <c r="CQ4359">
        <v>298</v>
      </c>
      <c r="CR4359">
        <v>0</v>
      </c>
      <c r="CW4359">
        <v>10478101</v>
      </c>
      <c r="CY4359">
        <v>0</v>
      </c>
      <c r="CZ4359">
        <v>0</v>
      </c>
      <c r="DA4359">
        <v>1</v>
      </c>
      <c r="DB4359">
        <v>0</v>
      </c>
      <c r="DC4359">
        <v>0</v>
      </c>
      <c r="DD4359">
        <v>0</v>
      </c>
      <c r="DE4359">
        <v>0</v>
      </c>
      <c r="DF4359">
        <v>1</v>
      </c>
      <c r="DG4359">
        <v>0</v>
      </c>
      <c r="DH4359">
        <v>0</v>
      </c>
      <c r="DI4359">
        <v>0</v>
      </c>
    </row>
    <row r="4360" spans="1:113" x14ac:dyDescent="0.25">
      <c r="A4360" t="str">
        <f t="shared" si="2449"/>
        <v>06/05/2020 14:59:47.676</v>
      </c>
      <c r="C4360" t="str">
        <f t="shared" si="2431"/>
        <v>FFDFD3C0</v>
      </c>
      <c r="D4360" t="s">
        <v>148</v>
      </c>
      <c r="E4360">
        <v>11</v>
      </c>
      <c r="H4360">
        <v>53</v>
      </c>
      <c r="I4360" t="s">
        <v>364</v>
      </c>
      <c r="J4360" t="s">
        <v>150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 t="shared" si="2450"/>
        <v>14:59:53.008</v>
      </c>
      <c r="U4360" t="str">
        <f t="shared" si="2448"/>
        <v>ACC530</v>
      </c>
      <c r="V4360">
        <v>0</v>
      </c>
      <c r="W4360">
        <v>0</v>
      </c>
      <c r="X4360">
        <v>1</v>
      </c>
      <c r="Z4360">
        <v>0</v>
      </c>
      <c r="AA4360">
        <v>9</v>
      </c>
      <c r="AB4360">
        <v>3</v>
      </c>
      <c r="AC4360">
        <v>0</v>
      </c>
      <c r="AD4360">
        <v>9</v>
      </c>
      <c r="AE4360">
        <v>0</v>
      </c>
      <c r="AF4360">
        <v>3</v>
      </c>
      <c r="AG4360">
        <v>1</v>
      </c>
      <c r="AH4360">
        <v>0</v>
      </c>
      <c r="AI4360" t="s">
        <v>1368</v>
      </c>
      <c r="AJ4360">
        <v>34.071778999999999</v>
      </c>
      <c r="AK4360" t="s">
        <v>1369</v>
      </c>
      <c r="AL4360">
        <v>-117.035465</v>
      </c>
      <c r="AM4360">
        <v>100</v>
      </c>
      <c r="AN4360">
        <v>5000</v>
      </c>
      <c r="AO4360" t="s">
        <v>118</v>
      </c>
      <c r="AR4360">
        <v>-832</v>
      </c>
      <c r="AZ4360">
        <v>1200</v>
      </c>
      <c r="BA4360">
        <v>1</v>
      </c>
      <c r="BB4360" t="str">
        <f t="shared" si="2451"/>
        <v xml:space="preserve">N9217B  </v>
      </c>
      <c r="BC4360">
        <v>1</v>
      </c>
      <c r="BE4360">
        <v>0</v>
      </c>
      <c r="BF4360">
        <v>0</v>
      </c>
      <c r="BG4360">
        <v>0</v>
      </c>
      <c r="BH4360">
        <v>4750</v>
      </c>
      <c r="BI4360">
        <v>1</v>
      </c>
      <c r="BJ4360">
        <v>0</v>
      </c>
      <c r="BK4360">
        <v>0</v>
      </c>
      <c r="BL4360">
        <v>0</v>
      </c>
      <c r="BO4360">
        <v>0</v>
      </c>
      <c r="BP4360">
        <v>0</v>
      </c>
      <c r="BW4360" t="str">
        <f t="shared" si="2452"/>
        <v>14:59:53.014</v>
      </c>
      <c r="CJ4360">
        <v>0</v>
      </c>
      <c r="CK4360">
        <v>2</v>
      </c>
      <c r="CL4360">
        <v>0</v>
      </c>
      <c r="CM4360">
        <v>2</v>
      </c>
      <c r="CN4360">
        <v>0</v>
      </c>
      <c r="CO4360">
        <v>2</v>
      </c>
      <c r="CP4360" t="s">
        <v>119</v>
      </c>
      <c r="CQ4360">
        <v>298</v>
      </c>
      <c r="CR4360">
        <v>0</v>
      </c>
      <c r="CW4360">
        <v>10478101</v>
      </c>
      <c r="CY4360">
        <v>0</v>
      </c>
      <c r="CZ4360">
        <v>0</v>
      </c>
      <c r="DA4360">
        <v>1</v>
      </c>
      <c r="DB4360">
        <v>0</v>
      </c>
      <c r="DC4360">
        <v>0</v>
      </c>
      <c r="DD4360">
        <v>0</v>
      </c>
      <c r="DE4360">
        <v>0</v>
      </c>
      <c r="DF4360">
        <v>1</v>
      </c>
      <c r="DG4360">
        <v>0</v>
      </c>
      <c r="DH4360">
        <v>0</v>
      </c>
      <c r="DI4360">
        <v>0</v>
      </c>
    </row>
    <row r="4361" spans="1:113" x14ac:dyDescent="0.25">
      <c r="A4361" t="str">
        <f t="shared" si="2449"/>
        <v>06/05/2020 14:59:47.676</v>
      </c>
      <c r="C4361" t="str">
        <f t="shared" si="2431"/>
        <v>FFDFD3C0</v>
      </c>
      <c r="D4361" t="s">
        <v>148</v>
      </c>
      <c r="E4361">
        <v>8</v>
      </c>
      <c r="H4361">
        <v>50</v>
      </c>
      <c r="I4361" t="s">
        <v>149</v>
      </c>
      <c r="J4361" t="s">
        <v>150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 t="shared" si="2450"/>
        <v>14:59:53.008</v>
      </c>
      <c r="U4361" t="str">
        <f t="shared" si="2448"/>
        <v>ACC530</v>
      </c>
      <c r="V4361">
        <v>0</v>
      </c>
      <c r="W4361">
        <v>0</v>
      </c>
      <c r="X4361">
        <v>1</v>
      </c>
      <c r="Z4361">
        <v>0</v>
      </c>
      <c r="AA4361">
        <v>9</v>
      </c>
      <c r="AB4361">
        <v>3</v>
      </c>
      <c r="AC4361">
        <v>0</v>
      </c>
      <c r="AD4361">
        <v>9</v>
      </c>
      <c r="AE4361">
        <v>0</v>
      </c>
      <c r="AF4361">
        <v>3</v>
      </c>
      <c r="AG4361">
        <v>1</v>
      </c>
      <c r="AH4361">
        <v>0</v>
      </c>
      <c r="AI4361" t="s">
        <v>1368</v>
      </c>
      <c r="AJ4361">
        <v>34.071778999999999</v>
      </c>
      <c r="AK4361" t="s">
        <v>1369</v>
      </c>
      <c r="AL4361">
        <v>-117.035465</v>
      </c>
      <c r="AM4361">
        <v>100</v>
      </c>
      <c r="AN4361">
        <v>5000</v>
      </c>
      <c r="AO4361" t="s">
        <v>118</v>
      </c>
      <c r="AR4361">
        <v>-832</v>
      </c>
      <c r="AZ4361">
        <v>1200</v>
      </c>
      <c r="BA4361">
        <v>1</v>
      </c>
      <c r="BB4361" t="str">
        <f t="shared" si="2451"/>
        <v xml:space="preserve">N9217B  </v>
      </c>
      <c r="BC4361">
        <v>1</v>
      </c>
      <c r="BE4361">
        <v>0</v>
      </c>
      <c r="BF4361">
        <v>0</v>
      </c>
      <c r="BG4361">
        <v>0</v>
      </c>
      <c r="BH4361">
        <v>4750</v>
      </c>
      <c r="BI4361">
        <v>1</v>
      </c>
      <c r="BJ4361">
        <v>0</v>
      </c>
      <c r="BK4361">
        <v>0</v>
      </c>
      <c r="BL4361">
        <v>0</v>
      </c>
      <c r="BO4361">
        <v>0</v>
      </c>
      <c r="BP4361">
        <v>0</v>
      </c>
      <c r="BW4361" t="str">
        <f t="shared" si="2452"/>
        <v>14:59:53.014</v>
      </c>
      <c r="CJ4361">
        <v>0</v>
      </c>
      <c r="CK4361">
        <v>2</v>
      </c>
      <c r="CL4361">
        <v>0</v>
      </c>
      <c r="CM4361">
        <v>2</v>
      </c>
      <c r="CN4361">
        <v>0</v>
      </c>
      <c r="CO4361">
        <v>2</v>
      </c>
      <c r="CP4361" t="s">
        <v>119</v>
      </c>
      <c r="CQ4361">
        <v>298</v>
      </c>
      <c r="CR4361">
        <v>0</v>
      </c>
      <c r="CW4361">
        <v>10478101</v>
      </c>
      <c r="CY4361">
        <v>0</v>
      </c>
      <c r="CZ4361">
        <v>0</v>
      </c>
      <c r="DA4361">
        <v>1</v>
      </c>
      <c r="DB4361">
        <v>0</v>
      </c>
      <c r="DC4361">
        <v>0</v>
      </c>
      <c r="DD4361">
        <v>0</v>
      </c>
      <c r="DE4361">
        <v>0</v>
      </c>
      <c r="DF4361">
        <v>1</v>
      </c>
      <c r="DG4361">
        <v>0</v>
      </c>
      <c r="DH4361">
        <v>0</v>
      </c>
      <c r="DI4361">
        <v>0</v>
      </c>
    </row>
    <row r="4362" spans="1:113" x14ac:dyDescent="0.25">
      <c r="A4362" t="str">
        <f t="shared" si="2449"/>
        <v>06/05/2020 14:59:47.676</v>
      </c>
      <c r="C4362" t="str">
        <f t="shared" si="2431"/>
        <v>FFDFD3C0</v>
      </c>
      <c r="D4362" t="s">
        <v>141</v>
      </c>
      <c r="E4362">
        <v>20</v>
      </c>
      <c r="F4362">
        <v>1020</v>
      </c>
      <c r="G4362" t="s">
        <v>114</v>
      </c>
      <c r="J4362" t="s">
        <v>142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 t="shared" si="2450"/>
        <v>14:59:53.008</v>
      </c>
      <c r="U4362" t="str">
        <f t="shared" si="2448"/>
        <v>ACC530</v>
      </c>
      <c r="V4362">
        <v>0</v>
      </c>
      <c r="W4362">
        <v>0</v>
      </c>
      <c r="X4362">
        <v>1</v>
      </c>
      <c r="Z4362">
        <v>0</v>
      </c>
      <c r="AA4362">
        <v>9</v>
      </c>
      <c r="AB4362">
        <v>3</v>
      </c>
      <c r="AC4362">
        <v>0</v>
      </c>
      <c r="AD4362">
        <v>9</v>
      </c>
      <c r="AE4362">
        <v>0</v>
      </c>
      <c r="AF4362">
        <v>3</v>
      </c>
      <c r="AG4362">
        <v>1</v>
      </c>
      <c r="AH4362">
        <v>0</v>
      </c>
      <c r="AI4362" t="s">
        <v>1368</v>
      </c>
      <c r="AJ4362">
        <v>34.071778999999999</v>
      </c>
      <c r="AK4362" t="s">
        <v>1369</v>
      </c>
      <c r="AL4362">
        <v>-117.035465</v>
      </c>
      <c r="AM4362">
        <v>100</v>
      </c>
      <c r="AN4362">
        <v>5000</v>
      </c>
      <c r="AO4362" t="s">
        <v>118</v>
      </c>
      <c r="AR4362">
        <v>-832</v>
      </c>
      <c r="AZ4362">
        <v>1200</v>
      </c>
      <c r="BA4362">
        <v>1</v>
      </c>
      <c r="BB4362" t="str">
        <f t="shared" si="2451"/>
        <v xml:space="preserve">N9217B  </v>
      </c>
      <c r="BC4362">
        <v>1</v>
      </c>
      <c r="BE4362">
        <v>0</v>
      </c>
      <c r="BF4362">
        <v>0</v>
      </c>
      <c r="BG4362">
        <v>0</v>
      </c>
      <c r="BH4362">
        <v>4750</v>
      </c>
      <c r="BI4362">
        <v>1</v>
      </c>
      <c r="BJ4362">
        <v>0</v>
      </c>
      <c r="BK4362">
        <v>0</v>
      </c>
      <c r="BL4362">
        <v>0</v>
      </c>
      <c r="BO4362">
        <v>0</v>
      </c>
      <c r="BP4362">
        <v>0</v>
      </c>
      <c r="BW4362" t="str">
        <f t="shared" si="2452"/>
        <v>14:59:53.014</v>
      </c>
      <c r="CJ4362">
        <v>0</v>
      </c>
      <c r="CK4362">
        <v>2</v>
      </c>
      <c r="CL4362">
        <v>0</v>
      </c>
      <c r="CM4362">
        <v>2</v>
      </c>
      <c r="CN4362">
        <v>0</v>
      </c>
      <c r="CO4362">
        <v>2</v>
      </c>
      <c r="CP4362" t="s">
        <v>119</v>
      </c>
      <c r="CQ4362">
        <v>298</v>
      </c>
      <c r="CR4362">
        <v>0</v>
      </c>
      <c r="CW4362">
        <v>10478101</v>
      </c>
      <c r="CY4362">
        <v>0</v>
      </c>
      <c r="CZ4362">
        <v>0</v>
      </c>
      <c r="DA4362">
        <v>1</v>
      </c>
      <c r="DB4362">
        <v>0</v>
      </c>
      <c r="DC4362">
        <v>0</v>
      </c>
      <c r="DD4362">
        <v>0</v>
      </c>
      <c r="DE4362">
        <v>0</v>
      </c>
      <c r="DF4362">
        <v>1</v>
      </c>
      <c r="DG4362">
        <v>0</v>
      </c>
      <c r="DH4362">
        <v>0</v>
      </c>
      <c r="DI4362">
        <v>0</v>
      </c>
    </row>
    <row r="4363" spans="1:113" x14ac:dyDescent="0.25">
      <c r="A4363" t="str">
        <f t="shared" ref="A4363:A4369" si="2453">"06/05/2020 14:59:49.066"</f>
        <v>06/05/2020 14:59:49.066</v>
      </c>
      <c r="C4363" t="str">
        <f t="shared" si="2431"/>
        <v>FFDFD3C0</v>
      </c>
      <c r="D4363" t="s">
        <v>151</v>
      </c>
      <c r="E4363">
        <v>9</v>
      </c>
      <c r="H4363">
        <v>226</v>
      </c>
      <c r="I4363" t="s">
        <v>152</v>
      </c>
      <c r="J4363" t="s">
        <v>150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 t="shared" ref="S4363:T4369" si="2454">"14:59:54.719"</f>
        <v>14:59:54.719</v>
      </c>
      <c r="T4363" t="str">
        <f t="shared" si="2454"/>
        <v>14:59:54.719</v>
      </c>
      <c r="U4363" t="str">
        <f t="shared" si="2448"/>
        <v>ACC530</v>
      </c>
      <c r="V4363">
        <v>0</v>
      </c>
      <c r="W4363">
        <v>0</v>
      </c>
      <c r="X4363">
        <v>1</v>
      </c>
      <c r="Z4363">
        <v>0</v>
      </c>
      <c r="AA4363">
        <v>9</v>
      </c>
      <c r="AB4363">
        <v>3</v>
      </c>
      <c r="AC4363">
        <v>0</v>
      </c>
      <c r="AD4363">
        <v>9</v>
      </c>
      <c r="AE4363">
        <v>0</v>
      </c>
      <c r="AF4363">
        <v>3</v>
      </c>
      <c r="AG4363">
        <v>1</v>
      </c>
      <c r="AH4363">
        <v>0</v>
      </c>
      <c r="AI4363" t="s">
        <v>1370</v>
      </c>
      <c r="AJ4363">
        <v>34.071950999999999</v>
      </c>
      <c r="AK4363" t="s">
        <v>1371</v>
      </c>
      <c r="AL4363">
        <v>-117.036495</v>
      </c>
      <c r="AM4363">
        <v>100</v>
      </c>
      <c r="AN4363">
        <v>5000</v>
      </c>
      <c r="AO4363" t="s">
        <v>118</v>
      </c>
      <c r="AP4363">
        <v>-103</v>
      </c>
      <c r="AQ4363">
        <v>21</v>
      </c>
      <c r="AR4363">
        <v>-768</v>
      </c>
      <c r="AZ4363">
        <v>1200</v>
      </c>
      <c r="BA4363">
        <v>1</v>
      </c>
      <c r="BB4363" t="str">
        <f t="shared" si="2451"/>
        <v xml:space="preserve">N9217B  </v>
      </c>
      <c r="BC4363">
        <v>1</v>
      </c>
      <c r="BE4363">
        <v>0</v>
      </c>
      <c r="BF4363">
        <v>0</v>
      </c>
      <c r="BG4363">
        <v>0</v>
      </c>
      <c r="BH4363">
        <v>4850</v>
      </c>
      <c r="BI4363">
        <v>1</v>
      </c>
      <c r="BJ4363">
        <v>0</v>
      </c>
      <c r="BK4363">
        <v>0</v>
      </c>
      <c r="BL4363">
        <v>0</v>
      </c>
      <c r="BO4363">
        <v>0</v>
      </c>
      <c r="BP4363">
        <v>0</v>
      </c>
      <c r="BW4363" t="str">
        <f t="shared" ref="BW4363:BW4369" si="2455">"14:59:54.724"</f>
        <v>14:59:54.724</v>
      </c>
      <c r="CJ4363">
        <v>0</v>
      </c>
      <c r="CK4363">
        <v>2</v>
      </c>
      <c r="CL4363">
        <v>0</v>
      </c>
      <c r="CM4363">
        <v>2</v>
      </c>
      <c r="CN4363">
        <v>0</v>
      </c>
      <c r="CO4363">
        <v>3</v>
      </c>
      <c r="CP4363" t="s">
        <v>119</v>
      </c>
      <c r="CQ4363">
        <v>285</v>
      </c>
      <c r="CR4363">
        <v>0</v>
      </c>
      <c r="CW4363">
        <v>8892631</v>
      </c>
      <c r="CY4363">
        <v>0</v>
      </c>
      <c r="CZ4363">
        <v>0</v>
      </c>
      <c r="DA4363">
        <v>0</v>
      </c>
      <c r="DB4363">
        <v>0</v>
      </c>
      <c r="DC4363">
        <v>0</v>
      </c>
      <c r="DD4363">
        <v>0</v>
      </c>
      <c r="DE4363">
        <v>0</v>
      </c>
      <c r="DF4363">
        <v>0</v>
      </c>
      <c r="DG4363">
        <v>0</v>
      </c>
      <c r="DH4363">
        <v>0</v>
      </c>
      <c r="DI4363">
        <v>0</v>
      </c>
    </row>
    <row r="4364" spans="1:113" x14ac:dyDescent="0.25">
      <c r="A4364" t="str">
        <f t="shared" si="2453"/>
        <v>06/05/2020 14:59:49.066</v>
      </c>
      <c r="C4364" t="str">
        <f t="shared" si="2431"/>
        <v>FFDFD3C0</v>
      </c>
      <c r="D4364" t="s">
        <v>141</v>
      </c>
      <c r="E4364">
        <v>20</v>
      </c>
      <c r="F4364">
        <v>1020</v>
      </c>
      <c r="G4364" t="s">
        <v>114</v>
      </c>
      <c r="J4364" t="s">
        <v>142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 t="shared" si="2454"/>
        <v>14:59:54.719</v>
      </c>
      <c r="T4364" t="str">
        <f t="shared" si="2454"/>
        <v>14:59:54.719</v>
      </c>
      <c r="U4364" t="str">
        <f t="shared" si="2448"/>
        <v>ACC530</v>
      </c>
      <c r="V4364">
        <v>0</v>
      </c>
      <c r="W4364">
        <v>0</v>
      </c>
      <c r="X4364">
        <v>1</v>
      </c>
      <c r="Z4364">
        <v>0</v>
      </c>
      <c r="AA4364">
        <v>9</v>
      </c>
      <c r="AB4364">
        <v>3</v>
      </c>
      <c r="AC4364">
        <v>0</v>
      </c>
      <c r="AD4364">
        <v>9</v>
      </c>
      <c r="AE4364">
        <v>0</v>
      </c>
      <c r="AF4364">
        <v>3</v>
      </c>
      <c r="AG4364">
        <v>1</v>
      </c>
      <c r="AH4364">
        <v>0</v>
      </c>
      <c r="AI4364" t="s">
        <v>1370</v>
      </c>
      <c r="AJ4364">
        <v>34.071950999999999</v>
      </c>
      <c r="AK4364" t="s">
        <v>1371</v>
      </c>
      <c r="AL4364">
        <v>-117.036495</v>
      </c>
      <c r="AM4364">
        <v>100</v>
      </c>
      <c r="AN4364">
        <v>5000</v>
      </c>
      <c r="AO4364" t="s">
        <v>118</v>
      </c>
      <c r="AP4364">
        <v>-103</v>
      </c>
      <c r="AQ4364">
        <v>21</v>
      </c>
      <c r="AR4364">
        <v>-768</v>
      </c>
      <c r="AZ4364">
        <v>1200</v>
      </c>
      <c r="BA4364">
        <v>1</v>
      </c>
      <c r="BB4364" t="str">
        <f t="shared" si="2451"/>
        <v xml:space="preserve">N9217B  </v>
      </c>
      <c r="BC4364">
        <v>1</v>
      </c>
      <c r="BE4364">
        <v>0</v>
      </c>
      <c r="BF4364">
        <v>0</v>
      </c>
      <c r="BG4364">
        <v>0</v>
      </c>
      <c r="BH4364">
        <v>4850</v>
      </c>
      <c r="BI4364">
        <v>1</v>
      </c>
      <c r="BJ4364">
        <v>0</v>
      </c>
      <c r="BK4364">
        <v>0</v>
      </c>
      <c r="BL4364">
        <v>0</v>
      </c>
      <c r="BO4364">
        <v>0</v>
      </c>
      <c r="BP4364">
        <v>0</v>
      </c>
      <c r="BW4364" t="str">
        <f t="shared" si="2455"/>
        <v>14:59:54.724</v>
      </c>
      <c r="CJ4364">
        <v>0</v>
      </c>
      <c r="CK4364">
        <v>2</v>
      </c>
      <c r="CL4364">
        <v>0</v>
      </c>
      <c r="CM4364">
        <v>2</v>
      </c>
      <c r="CN4364">
        <v>0</v>
      </c>
      <c r="CO4364">
        <v>3</v>
      </c>
      <c r="CP4364" t="s">
        <v>119</v>
      </c>
      <c r="CQ4364">
        <v>285</v>
      </c>
      <c r="CR4364">
        <v>0</v>
      </c>
      <c r="CW4364">
        <v>8892631</v>
      </c>
      <c r="CY4364">
        <v>0</v>
      </c>
      <c r="CZ4364">
        <v>0</v>
      </c>
      <c r="DA4364">
        <v>1</v>
      </c>
      <c r="DB4364">
        <v>0</v>
      </c>
      <c r="DC4364">
        <v>0</v>
      </c>
      <c r="DD4364">
        <v>0</v>
      </c>
      <c r="DE4364">
        <v>0</v>
      </c>
      <c r="DF4364">
        <v>0</v>
      </c>
      <c r="DG4364">
        <v>0</v>
      </c>
      <c r="DH4364">
        <v>0</v>
      </c>
      <c r="DI4364">
        <v>0</v>
      </c>
    </row>
    <row r="4365" spans="1:113" x14ac:dyDescent="0.25">
      <c r="A4365" t="str">
        <f t="shared" si="2453"/>
        <v>06/05/2020 14:59:49.066</v>
      </c>
      <c r="C4365" t="str">
        <f t="shared" si="2431"/>
        <v>FFDFD3C0</v>
      </c>
      <c r="D4365" t="s">
        <v>151</v>
      </c>
      <c r="E4365">
        <v>8</v>
      </c>
      <c r="H4365">
        <v>225</v>
      </c>
      <c r="I4365" t="s">
        <v>353</v>
      </c>
      <c r="J4365" t="s">
        <v>150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 t="shared" si="2454"/>
        <v>14:59:54.719</v>
      </c>
      <c r="T4365" t="str">
        <f t="shared" si="2454"/>
        <v>14:59:54.719</v>
      </c>
      <c r="U4365" t="str">
        <f t="shared" si="2448"/>
        <v>ACC530</v>
      </c>
      <c r="V4365">
        <v>0</v>
      </c>
      <c r="W4365">
        <v>0</v>
      </c>
      <c r="X4365">
        <v>1</v>
      </c>
      <c r="Z4365">
        <v>0</v>
      </c>
      <c r="AA4365">
        <v>9</v>
      </c>
      <c r="AB4365">
        <v>3</v>
      </c>
      <c r="AC4365">
        <v>0</v>
      </c>
      <c r="AD4365">
        <v>9</v>
      </c>
      <c r="AE4365">
        <v>0</v>
      </c>
      <c r="AF4365">
        <v>3</v>
      </c>
      <c r="AG4365">
        <v>1</v>
      </c>
      <c r="AH4365">
        <v>0</v>
      </c>
      <c r="AI4365" t="s">
        <v>1370</v>
      </c>
      <c r="AJ4365">
        <v>34.071950999999999</v>
      </c>
      <c r="AK4365" t="s">
        <v>1371</v>
      </c>
      <c r="AL4365">
        <v>-117.036495</v>
      </c>
      <c r="AM4365">
        <v>100</v>
      </c>
      <c r="AN4365">
        <v>5000</v>
      </c>
      <c r="AO4365" t="s">
        <v>118</v>
      </c>
      <c r="AP4365">
        <v>-103</v>
      </c>
      <c r="AQ4365">
        <v>21</v>
      </c>
      <c r="AR4365">
        <v>-768</v>
      </c>
      <c r="AZ4365">
        <v>1200</v>
      </c>
      <c r="BA4365">
        <v>1</v>
      </c>
      <c r="BB4365" t="str">
        <f t="shared" si="2451"/>
        <v xml:space="preserve">N9217B  </v>
      </c>
      <c r="BC4365">
        <v>1</v>
      </c>
      <c r="BE4365">
        <v>0</v>
      </c>
      <c r="BF4365">
        <v>0</v>
      </c>
      <c r="BG4365">
        <v>0</v>
      </c>
      <c r="BH4365">
        <v>4850</v>
      </c>
      <c r="BI4365">
        <v>1</v>
      </c>
      <c r="BJ4365">
        <v>0</v>
      </c>
      <c r="BK4365">
        <v>0</v>
      </c>
      <c r="BL4365">
        <v>0</v>
      </c>
      <c r="BO4365">
        <v>0</v>
      </c>
      <c r="BP4365">
        <v>0</v>
      </c>
      <c r="BW4365" t="str">
        <f t="shared" si="2455"/>
        <v>14:59:54.724</v>
      </c>
      <c r="CJ4365">
        <v>0</v>
      </c>
      <c r="CK4365">
        <v>2</v>
      </c>
      <c r="CL4365">
        <v>0</v>
      </c>
      <c r="CM4365">
        <v>2</v>
      </c>
      <c r="CN4365">
        <v>0</v>
      </c>
      <c r="CO4365">
        <v>3</v>
      </c>
      <c r="CP4365" t="s">
        <v>119</v>
      </c>
      <c r="CQ4365">
        <v>285</v>
      </c>
      <c r="CR4365">
        <v>0</v>
      </c>
      <c r="CW4365">
        <v>8892631</v>
      </c>
      <c r="CY4365">
        <v>0</v>
      </c>
      <c r="CZ4365">
        <v>0</v>
      </c>
      <c r="DA4365">
        <v>1</v>
      </c>
      <c r="DB4365">
        <v>0</v>
      </c>
      <c r="DC4365">
        <v>0</v>
      </c>
      <c r="DD4365">
        <v>0</v>
      </c>
      <c r="DE4365">
        <v>0</v>
      </c>
      <c r="DF4365">
        <v>0</v>
      </c>
      <c r="DG4365">
        <v>0</v>
      </c>
      <c r="DH4365">
        <v>0</v>
      </c>
      <c r="DI4365">
        <v>0</v>
      </c>
    </row>
    <row r="4366" spans="1:113" x14ac:dyDescent="0.25">
      <c r="A4366" t="str">
        <f t="shared" si="2453"/>
        <v>06/05/2020 14:59:49.066</v>
      </c>
      <c r="C4366" t="str">
        <f t="shared" si="2431"/>
        <v>FFDFD3C0</v>
      </c>
      <c r="D4366" t="s">
        <v>113</v>
      </c>
      <c r="E4366">
        <v>3</v>
      </c>
      <c r="H4366">
        <v>166</v>
      </c>
      <c r="I4366" t="s">
        <v>114</v>
      </c>
      <c r="J4366" t="s">
        <v>115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 t="shared" si="2454"/>
        <v>14:59:54.719</v>
      </c>
      <c r="T4366" t="str">
        <f t="shared" si="2454"/>
        <v>14:59:54.719</v>
      </c>
      <c r="U4366" t="str">
        <f t="shared" si="2448"/>
        <v>ACC530</v>
      </c>
      <c r="V4366">
        <v>0</v>
      </c>
      <c r="W4366">
        <v>0</v>
      </c>
      <c r="X4366">
        <v>1</v>
      </c>
      <c r="Z4366">
        <v>0</v>
      </c>
      <c r="AA4366">
        <v>9</v>
      </c>
      <c r="AB4366">
        <v>3</v>
      </c>
      <c r="AC4366">
        <v>0</v>
      </c>
      <c r="AD4366">
        <v>9</v>
      </c>
      <c r="AE4366">
        <v>0</v>
      </c>
      <c r="AF4366">
        <v>3</v>
      </c>
      <c r="AG4366">
        <v>1</v>
      </c>
      <c r="AH4366">
        <v>0</v>
      </c>
      <c r="AI4366" t="s">
        <v>1370</v>
      </c>
      <c r="AJ4366">
        <v>34.071950999999999</v>
      </c>
      <c r="AK4366" t="s">
        <v>1371</v>
      </c>
      <c r="AL4366">
        <v>-117.036495</v>
      </c>
      <c r="AM4366">
        <v>100</v>
      </c>
      <c r="AN4366">
        <v>5000</v>
      </c>
      <c r="AO4366" t="s">
        <v>118</v>
      </c>
      <c r="AP4366">
        <v>-103</v>
      </c>
      <c r="AQ4366">
        <v>21</v>
      </c>
      <c r="AR4366">
        <v>-768</v>
      </c>
      <c r="AZ4366">
        <v>1200</v>
      </c>
      <c r="BA4366">
        <v>1</v>
      </c>
      <c r="BB4366" t="str">
        <f t="shared" si="2451"/>
        <v xml:space="preserve">N9217B  </v>
      </c>
      <c r="BC4366">
        <v>1</v>
      </c>
      <c r="BE4366">
        <v>0</v>
      </c>
      <c r="BF4366">
        <v>0</v>
      </c>
      <c r="BG4366">
        <v>0</v>
      </c>
      <c r="BH4366">
        <v>4850</v>
      </c>
      <c r="BI4366">
        <v>1</v>
      </c>
      <c r="BJ4366">
        <v>0</v>
      </c>
      <c r="BK4366">
        <v>0</v>
      </c>
      <c r="BL4366">
        <v>0</v>
      </c>
      <c r="BO4366">
        <v>0</v>
      </c>
      <c r="BP4366">
        <v>0</v>
      </c>
      <c r="BW4366" t="str">
        <f t="shared" si="2455"/>
        <v>14:59:54.724</v>
      </c>
      <c r="CJ4366">
        <v>0</v>
      </c>
      <c r="CK4366">
        <v>2</v>
      </c>
      <c r="CL4366">
        <v>0</v>
      </c>
      <c r="CM4366">
        <v>2</v>
      </c>
      <c r="CN4366">
        <v>0</v>
      </c>
      <c r="CO4366">
        <v>3</v>
      </c>
      <c r="CP4366" t="s">
        <v>119</v>
      </c>
      <c r="CQ4366">
        <v>285</v>
      </c>
      <c r="CR4366">
        <v>0</v>
      </c>
      <c r="CW4366">
        <v>8892631</v>
      </c>
      <c r="CY4366">
        <v>0</v>
      </c>
      <c r="CZ4366">
        <v>0</v>
      </c>
      <c r="DA4366">
        <v>1</v>
      </c>
      <c r="DB4366">
        <v>0</v>
      </c>
      <c r="DC4366">
        <v>0</v>
      </c>
      <c r="DD4366">
        <v>0</v>
      </c>
      <c r="DE4366">
        <v>0</v>
      </c>
      <c r="DF4366">
        <v>0</v>
      </c>
      <c r="DG4366">
        <v>0</v>
      </c>
      <c r="DH4366">
        <v>0</v>
      </c>
      <c r="DI4366">
        <v>0</v>
      </c>
    </row>
    <row r="4367" spans="1:113" x14ac:dyDescent="0.25">
      <c r="A4367" t="str">
        <f t="shared" si="2453"/>
        <v>06/05/2020 14:59:49.066</v>
      </c>
      <c r="C4367" t="str">
        <f t="shared" si="2431"/>
        <v>FFDFD3C0</v>
      </c>
      <c r="D4367" t="s">
        <v>134</v>
      </c>
      <c r="E4367">
        <v>7</v>
      </c>
      <c r="F4367">
        <v>2007</v>
      </c>
      <c r="G4367" t="s">
        <v>135</v>
      </c>
      <c r="J4367" t="s">
        <v>136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 t="shared" si="2454"/>
        <v>14:59:54.719</v>
      </c>
      <c r="T4367" t="str">
        <f t="shared" si="2454"/>
        <v>14:59:54.719</v>
      </c>
      <c r="U4367" t="str">
        <f t="shared" si="2448"/>
        <v>ACC530</v>
      </c>
      <c r="V4367">
        <v>0</v>
      </c>
      <c r="W4367">
        <v>0</v>
      </c>
      <c r="X4367">
        <v>1</v>
      </c>
      <c r="Z4367">
        <v>0</v>
      </c>
      <c r="AA4367">
        <v>9</v>
      </c>
      <c r="AB4367">
        <v>3</v>
      </c>
      <c r="AC4367">
        <v>0</v>
      </c>
      <c r="AD4367">
        <v>9</v>
      </c>
      <c r="AE4367">
        <v>0</v>
      </c>
      <c r="AF4367">
        <v>3</v>
      </c>
      <c r="AG4367">
        <v>1</v>
      </c>
      <c r="AH4367">
        <v>0</v>
      </c>
      <c r="AI4367" t="s">
        <v>1370</v>
      </c>
      <c r="AJ4367">
        <v>34.071950999999999</v>
      </c>
      <c r="AK4367" t="s">
        <v>1371</v>
      </c>
      <c r="AL4367">
        <v>-117.036495</v>
      </c>
      <c r="AM4367">
        <v>100</v>
      </c>
      <c r="AN4367">
        <v>5000</v>
      </c>
      <c r="AO4367" t="s">
        <v>118</v>
      </c>
      <c r="AP4367">
        <v>-103</v>
      </c>
      <c r="AQ4367">
        <v>21</v>
      </c>
      <c r="AR4367">
        <v>-768</v>
      </c>
      <c r="AZ4367">
        <v>1200</v>
      </c>
      <c r="BA4367">
        <v>1</v>
      </c>
      <c r="BB4367" t="str">
        <f t="shared" si="2451"/>
        <v xml:space="preserve">N9217B  </v>
      </c>
      <c r="BC4367">
        <v>1</v>
      </c>
      <c r="BE4367">
        <v>0</v>
      </c>
      <c r="BF4367">
        <v>0</v>
      </c>
      <c r="BG4367">
        <v>0</v>
      </c>
      <c r="BH4367">
        <v>4850</v>
      </c>
      <c r="BI4367">
        <v>1</v>
      </c>
      <c r="BJ4367">
        <v>0</v>
      </c>
      <c r="BK4367">
        <v>0</v>
      </c>
      <c r="BL4367">
        <v>0</v>
      </c>
      <c r="BO4367">
        <v>0</v>
      </c>
      <c r="BP4367">
        <v>0</v>
      </c>
      <c r="BW4367" t="str">
        <f t="shared" si="2455"/>
        <v>14:59:54.724</v>
      </c>
      <c r="CJ4367">
        <v>0</v>
      </c>
      <c r="CK4367">
        <v>2</v>
      </c>
      <c r="CL4367">
        <v>0</v>
      </c>
      <c r="CM4367">
        <v>2</v>
      </c>
      <c r="CN4367">
        <v>0</v>
      </c>
      <c r="CO4367">
        <v>3</v>
      </c>
      <c r="CP4367" t="s">
        <v>119</v>
      </c>
      <c r="CQ4367">
        <v>285</v>
      </c>
      <c r="CR4367">
        <v>0</v>
      </c>
      <c r="CW4367">
        <v>8892631</v>
      </c>
      <c r="CY4367">
        <v>0</v>
      </c>
      <c r="CZ4367">
        <v>0</v>
      </c>
      <c r="DA4367">
        <v>1</v>
      </c>
      <c r="DB4367">
        <v>0</v>
      </c>
      <c r="DC4367">
        <v>0</v>
      </c>
      <c r="DD4367">
        <v>0</v>
      </c>
      <c r="DE4367">
        <v>0</v>
      </c>
      <c r="DF4367">
        <v>0</v>
      </c>
      <c r="DG4367">
        <v>0</v>
      </c>
      <c r="DH4367">
        <v>0</v>
      </c>
      <c r="DI4367">
        <v>0</v>
      </c>
    </row>
    <row r="4368" spans="1:113" x14ac:dyDescent="0.25">
      <c r="A4368" t="str">
        <f t="shared" si="2453"/>
        <v>06/05/2020 14:59:49.066</v>
      </c>
      <c r="C4368" t="str">
        <f t="shared" si="2431"/>
        <v>FFDFD3C0</v>
      </c>
      <c r="D4368" t="s">
        <v>148</v>
      </c>
      <c r="E4368">
        <v>11</v>
      </c>
      <c r="H4368">
        <v>53</v>
      </c>
      <c r="I4368" t="s">
        <v>364</v>
      </c>
      <c r="J4368" t="s">
        <v>150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 t="shared" si="2454"/>
        <v>14:59:54.719</v>
      </c>
      <c r="T4368" t="str">
        <f t="shared" si="2454"/>
        <v>14:59:54.719</v>
      </c>
      <c r="U4368" t="str">
        <f t="shared" si="2448"/>
        <v>ACC530</v>
      </c>
      <c r="V4368">
        <v>0</v>
      </c>
      <c r="W4368">
        <v>0</v>
      </c>
      <c r="X4368">
        <v>1</v>
      </c>
      <c r="Z4368">
        <v>0</v>
      </c>
      <c r="AA4368">
        <v>9</v>
      </c>
      <c r="AB4368">
        <v>3</v>
      </c>
      <c r="AC4368">
        <v>0</v>
      </c>
      <c r="AD4368">
        <v>9</v>
      </c>
      <c r="AE4368">
        <v>0</v>
      </c>
      <c r="AF4368">
        <v>3</v>
      </c>
      <c r="AG4368">
        <v>1</v>
      </c>
      <c r="AH4368">
        <v>0</v>
      </c>
      <c r="AI4368" t="s">
        <v>1370</v>
      </c>
      <c r="AJ4368">
        <v>34.071950999999999</v>
      </c>
      <c r="AK4368" t="s">
        <v>1371</v>
      </c>
      <c r="AL4368">
        <v>-117.036495</v>
      </c>
      <c r="AM4368">
        <v>100</v>
      </c>
      <c r="AN4368">
        <v>5000</v>
      </c>
      <c r="AO4368" t="s">
        <v>118</v>
      </c>
      <c r="AP4368">
        <v>-103</v>
      </c>
      <c r="AQ4368">
        <v>21</v>
      </c>
      <c r="AR4368">
        <v>-768</v>
      </c>
      <c r="AZ4368">
        <v>1200</v>
      </c>
      <c r="BA4368">
        <v>1</v>
      </c>
      <c r="BB4368" t="str">
        <f t="shared" si="2451"/>
        <v xml:space="preserve">N9217B  </v>
      </c>
      <c r="BC4368">
        <v>1</v>
      </c>
      <c r="BE4368">
        <v>0</v>
      </c>
      <c r="BF4368">
        <v>0</v>
      </c>
      <c r="BG4368">
        <v>0</v>
      </c>
      <c r="BH4368">
        <v>4850</v>
      </c>
      <c r="BI4368">
        <v>1</v>
      </c>
      <c r="BJ4368">
        <v>0</v>
      </c>
      <c r="BK4368">
        <v>0</v>
      </c>
      <c r="BL4368">
        <v>0</v>
      </c>
      <c r="BO4368">
        <v>0</v>
      </c>
      <c r="BP4368">
        <v>0</v>
      </c>
      <c r="BW4368" t="str">
        <f t="shared" si="2455"/>
        <v>14:59:54.724</v>
      </c>
      <c r="CJ4368">
        <v>0</v>
      </c>
      <c r="CK4368">
        <v>2</v>
      </c>
      <c r="CL4368">
        <v>0</v>
      </c>
      <c r="CM4368">
        <v>2</v>
      </c>
      <c r="CN4368">
        <v>0</v>
      </c>
      <c r="CO4368">
        <v>3</v>
      </c>
      <c r="CP4368" t="s">
        <v>119</v>
      </c>
      <c r="CQ4368">
        <v>285</v>
      </c>
      <c r="CR4368">
        <v>0</v>
      </c>
      <c r="CW4368">
        <v>8892631</v>
      </c>
      <c r="CY4368">
        <v>0</v>
      </c>
      <c r="CZ4368">
        <v>0</v>
      </c>
      <c r="DA4368">
        <v>1</v>
      </c>
      <c r="DB4368">
        <v>0</v>
      </c>
      <c r="DC4368">
        <v>0</v>
      </c>
      <c r="DD4368">
        <v>0</v>
      </c>
      <c r="DE4368">
        <v>0</v>
      </c>
      <c r="DF4368">
        <v>0</v>
      </c>
      <c r="DG4368">
        <v>0</v>
      </c>
      <c r="DH4368">
        <v>0</v>
      </c>
      <c r="DI4368">
        <v>0</v>
      </c>
    </row>
    <row r="4369" spans="1:113" x14ac:dyDescent="0.25">
      <c r="A4369" t="str">
        <f t="shared" si="2453"/>
        <v>06/05/2020 14:59:49.066</v>
      </c>
      <c r="C4369" t="str">
        <f t="shared" si="2431"/>
        <v>FFDFD3C0</v>
      </c>
      <c r="D4369" t="s">
        <v>148</v>
      </c>
      <c r="E4369">
        <v>8</v>
      </c>
      <c r="H4369">
        <v>50</v>
      </c>
      <c r="I4369" t="s">
        <v>149</v>
      </c>
      <c r="J4369" t="s">
        <v>150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 t="shared" si="2454"/>
        <v>14:59:54.719</v>
      </c>
      <c r="T4369" t="str">
        <f t="shared" si="2454"/>
        <v>14:59:54.719</v>
      </c>
      <c r="U4369" t="str">
        <f t="shared" si="2448"/>
        <v>ACC530</v>
      </c>
      <c r="V4369">
        <v>0</v>
      </c>
      <c r="W4369">
        <v>0</v>
      </c>
      <c r="X4369">
        <v>1</v>
      </c>
      <c r="Z4369">
        <v>0</v>
      </c>
      <c r="AA4369">
        <v>9</v>
      </c>
      <c r="AB4369">
        <v>3</v>
      </c>
      <c r="AC4369">
        <v>0</v>
      </c>
      <c r="AD4369">
        <v>9</v>
      </c>
      <c r="AE4369">
        <v>0</v>
      </c>
      <c r="AF4369">
        <v>3</v>
      </c>
      <c r="AG4369">
        <v>1</v>
      </c>
      <c r="AH4369">
        <v>0</v>
      </c>
      <c r="AI4369" t="s">
        <v>1370</v>
      </c>
      <c r="AJ4369">
        <v>34.071950999999999</v>
      </c>
      <c r="AK4369" t="s">
        <v>1371</v>
      </c>
      <c r="AL4369">
        <v>-117.036495</v>
      </c>
      <c r="AM4369">
        <v>100</v>
      </c>
      <c r="AN4369">
        <v>5000</v>
      </c>
      <c r="AO4369" t="s">
        <v>118</v>
      </c>
      <c r="AP4369">
        <v>-103</v>
      </c>
      <c r="AQ4369">
        <v>21</v>
      </c>
      <c r="AR4369">
        <v>-768</v>
      </c>
      <c r="AZ4369">
        <v>1200</v>
      </c>
      <c r="BA4369">
        <v>1</v>
      </c>
      <c r="BB4369" t="str">
        <f t="shared" si="2451"/>
        <v xml:space="preserve">N9217B  </v>
      </c>
      <c r="BC4369">
        <v>1</v>
      </c>
      <c r="BE4369">
        <v>0</v>
      </c>
      <c r="BF4369">
        <v>0</v>
      </c>
      <c r="BG4369">
        <v>0</v>
      </c>
      <c r="BH4369">
        <v>4850</v>
      </c>
      <c r="BI4369">
        <v>1</v>
      </c>
      <c r="BJ4369">
        <v>0</v>
      </c>
      <c r="BK4369">
        <v>0</v>
      </c>
      <c r="BL4369">
        <v>0</v>
      </c>
      <c r="BO4369">
        <v>0</v>
      </c>
      <c r="BP4369">
        <v>0</v>
      </c>
      <c r="BW4369" t="str">
        <f t="shared" si="2455"/>
        <v>14:59:54.724</v>
      </c>
      <c r="CJ4369">
        <v>0</v>
      </c>
      <c r="CK4369">
        <v>2</v>
      </c>
      <c r="CL4369">
        <v>0</v>
      </c>
      <c r="CM4369">
        <v>2</v>
      </c>
      <c r="CN4369">
        <v>0</v>
      </c>
      <c r="CO4369">
        <v>3</v>
      </c>
      <c r="CP4369" t="s">
        <v>119</v>
      </c>
      <c r="CQ4369">
        <v>285</v>
      </c>
      <c r="CR4369">
        <v>0</v>
      </c>
      <c r="CW4369">
        <v>8892631</v>
      </c>
      <c r="CY4369">
        <v>0</v>
      </c>
      <c r="CZ4369">
        <v>0</v>
      </c>
      <c r="DA4369">
        <v>1</v>
      </c>
      <c r="DB4369">
        <v>0</v>
      </c>
      <c r="DC4369">
        <v>0</v>
      </c>
      <c r="DD4369">
        <v>0</v>
      </c>
      <c r="DE4369">
        <v>0</v>
      </c>
      <c r="DF4369">
        <v>0</v>
      </c>
      <c r="DG4369">
        <v>0</v>
      </c>
      <c r="DH4369">
        <v>0</v>
      </c>
      <c r="DI4369">
        <v>0</v>
      </c>
    </row>
    <row r="4370" spans="1:113" x14ac:dyDescent="0.25">
      <c r="A4370" t="str">
        <f t="shared" ref="A4370:A4376" si="2456">"06/05/2020 14:59:50.055"</f>
        <v>06/05/2020 14:59:50.055</v>
      </c>
      <c r="C4370" t="str">
        <f t="shared" si="2431"/>
        <v>FFDFD3C0</v>
      </c>
      <c r="D4370" t="s">
        <v>151</v>
      </c>
      <c r="E4370">
        <v>8</v>
      </c>
      <c r="H4370">
        <v>225</v>
      </c>
      <c r="I4370" t="s">
        <v>353</v>
      </c>
      <c r="J4370" t="s">
        <v>150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 t="shared" ref="S4370:S4376" si="2457">"14:59:55.695"</f>
        <v>14:59:55.695</v>
      </c>
      <c r="T4370" t="str">
        <f t="shared" ref="T4370:T4376" si="2458">"14:59:54.695"</f>
        <v>14:59:54.695</v>
      </c>
      <c r="U4370" t="str">
        <f t="shared" si="2448"/>
        <v>ACC530</v>
      </c>
      <c r="V4370">
        <v>0</v>
      </c>
      <c r="W4370">
        <v>0</v>
      </c>
      <c r="X4370">
        <v>1</v>
      </c>
      <c r="Z4370">
        <v>0</v>
      </c>
      <c r="AA4370">
        <v>9</v>
      </c>
      <c r="AB4370">
        <v>3</v>
      </c>
      <c r="AC4370">
        <v>0</v>
      </c>
      <c r="AD4370">
        <v>9</v>
      </c>
      <c r="AE4370">
        <v>0</v>
      </c>
      <c r="AF4370">
        <v>3</v>
      </c>
      <c r="AG4370">
        <v>1</v>
      </c>
      <c r="AH4370">
        <v>0</v>
      </c>
      <c r="AI4370" t="s">
        <v>1372</v>
      </c>
      <c r="AJ4370">
        <v>34.072037000000002</v>
      </c>
      <c r="AK4370" t="s">
        <v>1100</v>
      </c>
      <c r="AL4370">
        <v>-117.03701</v>
      </c>
      <c r="AM4370">
        <v>100</v>
      </c>
      <c r="AN4370">
        <v>5000</v>
      </c>
      <c r="AO4370" t="s">
        <v>118</v>
      </c>
      <c r="AP4370">
        <v>-103</v>
      </c>
      <c r="AQ4370">
        <v>21</v>
      </c>
      <c r="AR4370">
        <v>-768</v>
      </c>
      <c r="AZ4370">
        <v>1200</v>
      </c>
      <c r="BA4370">
        <v>1</v>
      </c>
      <c r="BB4370" t="str">
        <f t="shared" si="2451"/>
        <v xml:space="preserve">N9217B  </v>
      </c>
      <c r="BC4370">
        <v>1</v>
      </c>
      <c r="BE4370">
        <v>0</v>
      </c>
      <c r="BF4370">
        <v>0</v>
      </c>
      <c r="BG4370">
        <v>0</v>
      </c>
      <c r="BH4370">
        <v>4850</v>
      </c>
      <c r="BI4370">
        <v>1</v>
      </c>
      <c r="BJ4370">
        <v>0</v>
      </c>
      <c r="BK4370">
        <v>0</v>
      </c>
      <c r="BL4370">
        <v>0</v>
      </c>
      <c r="BO4370">
        <v>0</v>
      </c>
      <c r="BP4370">
        <v>0</v>
      </c>
      <c r="BW4370" t="str">
        <f t="shared" ref="BW4370:BW4376" si="2459">"14:59:55.699"</f>
        <v>14:59:55.699</v>
      </c>
      <c r="CJ4370">
        <v>0</v>
      </c>
      <c r="CK4370">
        <v>2</v>
      </c>
      <c r="CL4370">
        <v>0</v>
      </c>
      <c r="CM4370">
        <v>2</v>
      </c>
      <c r="CN4370">
        <v>0</v>
      </c>
      <c r="CO4370">
        <v>4</v>
      </c>
      <c r="CP4370" t="s">
        <v>119</v>
      </c>
      <c r="CQ4370">
        <v>285</v>
      </c>
      <c r="CR4370">
        <v>0</v>
      </c>
      <c r="CW4370">
        <v>8892724</v>
      </c>
      <c r="CY4370">
        <v>0</v>
      </c>
      <c r="CZ4370">
        <v>0</v>
      </c>
      <c r="DA4370">
        <v>0</v>
      </c>
      <c r="DB4370">
        <v>0</v>
      </c>
      <c r="DC4370">
        <v>0</v>
      </c>
      <c r="DD4370">
        <v>0</v>
      </c>
      <c r="DE4370">
        <v>0</v>
      </c>
      <c r="DF4370">
        <v>0</v>
      </c>
      <c r="DG4370">
        <v>0</v>
      </c>
      <c r="DH4370">
        <v>0</v>
      </c>
      <c r="DI4370">
        <v>0</v>
      </c>
    </row>
    <row r="4371" spans="1:113" x14ac:dyDescent="0.25">
      <c r="A4371" t="str">
        <f t="shared" si="2456"/>
        <v>06/05/2020 14:59:50.055</v>
      </c>
      <c r="C4371" t="str">
        <f t="shared" si="2431"/>
        <v>FFDFD3C0</v>
      </c>
      <c r="D4371" t="s">
        <v>134</v>
      </c>
      <c r="E4371">
        <v>7</v>
      </c>
      <c r="F4371">
        <v>2007</v>
      </c>
      <c r="G4371" t="s">
        <v>135</v>
      </c>
      <c r="J4371" t="s">
        <v>136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 t="shared" si="2457"/>
        <v>14:59:55.695</v>
      </c>
      <c r="T4371" t="str">
        <f t="shared" si="2458"/>
        <v>14:59:54.695</v>
      </c>
      <c r="U4371" t="str">
        <f t="shared" si="2448"/>
        <v>ACC530</v>
      </c>
      <c r="V4371">
        <v>0</v>
      </c>
      <c r="W4371">
        <v>0</v>
      </c>
      <c r="X4371">
        <v>1</v>
      </c>
      <c r="Z4371">
        <v>0</v>
      </c>
      <c r="AA4371">
        <v>9</v>
      </c>
      <c r="AB4371">
        <v>3</v>
      </c>
      <c r="AC4371">
        <v>0</v>
      </c>
      <c r="AD4371">
        <v>9</v>
      </c>
      <c r="AE4371">
        <v>0</v>
      </c>
      <c r="AF4371">
        <v>3</v>
      </c>
      <c r="AG4371">
        <v>1</v>
      </c>
      <c r="AH4371">
        <v>0</v>
      </c>
      <c r="AI4371" t="s">
        <v>1372</v>
      </c>
      <c r="AJ4371">
        <v>34.072037000000002</v>
      </c>
      <c r="AK4371" t="s">
        <v>1100</v>
      </c>
      <c r="AL4371">
        <v>-117.03701</v>
      </c>
      <c r="AM4371">
        <v>100</v>
      </c>
      <c r="AN4371">
        <v>5000</v>
      </c>
      <c r="AO4371" t="s">
        <v>118</v>
      </c>
      <c r="AP4371">
        <v>-103</v>
      </c>
      <c r="AQ4371">
        <v>21</v>
      </c>
      <c r="AR4371">
        <v>-768</v>
      </c>
      <c r="AZ4371">
        <v>1200</v>
      </c>
      <c r="BA4371">
        <v>1</v>
      </c>
      <c r="BB4371" t="str">
        <f t="shared" si="2451"/>
        <v xml:space="preserve">N9217B  </v>
      </c>
      <c r="BC4371">
        <v>1</v>
      </c>
      <c r="BE4371">
        <v>0</v>
      </c>
      <c r="BF4371">
        <v>0</v>
      </c>
      <c r="BG4371">
        <v>0</v>
      </c>
      <c r="BH4371">
        <v>4850</v>
      </c>
      <c r="BI4371">
        <v>1</v>
      </c>
      <c r="BJ4371">
        <v>0</v>
      </c>
      <c r="BK4371">
        <v>0</v>
      </c>
      <c r="BL4371">
        <v>0</v>
      </c>
      <c r="BO4371">
        <v>0</v>
      </c>
      <c r="BP4371">
        <v>0</v>
      </c>
      <c r="BW4371" t="str">
        <f t="shared" si="2459"/>
        <v>14:59:55.699</v>
      </c>
      <c r="CJ4371">
        <v>0</v>
      </c>
      <c r="CK4371">
        <v>2</v>
      </c>
      <c r="CL4371">
        <v>0</v>
      </c>
      <c r="CM4371">
        <v>2</v>
      </c>
      <c r="CN4371">
        <v>0</v>
      </c>
      <c r="CO4371">
        <v>4</v>
      </c>
      <c r="CP4371" t="s">
        <v>119</v>
      </c>
      <c r="CQ4371">
        <v>285</v>
      </c>
      <c r="CR4371">
        <v>0</v>
      </c>
      <c r="CW4371">
        <v>8892724</v>
      </c>
      <c r="CY4371">
        <v>0</v>
      </c>
      <c r="CZ4371">
        <v>0</v>
      </c>
      <c r="DA4371">
        <v>1</v>
      </c>
      <c r="DB4371">
        <v>0</v>
      </c>
      <c r="DC4371">
        <v>0</v>
      </c>
      <c r="DD4371">
        <v>0</v>
      </c>
      <c r="DE4371">
        <v>0</v>
      </c>
      <c r="DF4371">
        <v>0</v>
      </c>
      <c r="DG4371">
        <v>0</v>
      </c>
      <c r="DH4371">
        <v>0</v>
      </c>
      <c r="DI4371">
        <v>0</v>
      </c>
    </row>
    <row r="4372" spans="1:113" x14ac:dyDescent="0.25">
      <c r="A4372" t="str">
        <f t="shared" si="2456"/>
        <v>06/05/2020 14:59:50.055</v>
      </c>
      <c r="C4372" t="str">
        <f t="shared" si="2431"/>
        <v>FFDFD3C0</v>
      </c>
      <c r="D4372" t="s">
        <v>148</v>
      </c>
      <c r="E4372">
        <v>11</v>
      </c>
      <c r="H4372">
        <v>53</v>
      </c>
      <c r="I4372" t="s">
        <v>364</v>
      </c>
      <c r="J4372" t="s">
        <v>150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 t="shared" si="2457"/>
        <v>14:59:55.695</v>
      </c>
      <c r="T4372" t="str">
        <f t="shared" si="2458"/>
        <v>14:59:54.695</v>
      </c>
      <c r="U4372" t="str">
        <f t="shared" si="2448"/>
        <v>ACC530</v>
      </c>
      <c r="V4372">
        <v>0</v>
      </c>
      <c r="W4372">
        <v>0</v>
      </c>
      <c r="X4372">
        <v>1</v>
      </c>
      <c r="Z4372">
        <v>0</v>
      </c>
      <c r="AA4372">
        <v>9</v>
      </c>
      <c r="AB4372">
        <v>3</v>
      </c>
      <c r="AC4372">
        <v>0</v>
      </c>
      <c r="AD4372">
        <v>9</v>
      </c>
      <c r="AE4372">
        <v>0</v>
      </c>
      <c r="AF4372">
        <v>3</v>
      </c>
      <c r="AG4372">
        <v>1</v>
      </c>
      <c r="AH4372">
        <v>0</v>
      </c>
      <c r="AI4372" t="s">
        <v>1372</v>
      </c>
      <c r="AJ4372">
        <v>34.072037000000002</v>
      </c>
      <c r="AK4372" t="s">
        <v>1100</v>
      </c>
      <c r="AL4372">
        <v>-117.03701</v>
      </c>
      <c r="AM4372">
        <v>100</v>
      </c>
      <c r="AN4372">
        <v>5000</v>
      </c>
      <c r="AO4372" t="s">
        <v>118</v>
      </c>
      <c r="AP4372">
        <v>-103</v>
      </c>
      <c r="AQ4372">
        <v>21</v>
      </c>
      <c r="AR4372">
        <v>-768</v>
      </c>
      <c r="AZ4372">
        <v>1200</v>
      </c>
      <c r="BA4372">
        <v>1</v>
      </c>
      <c r="BB4372" t="str">
        <f t="shared" si="2451"/>
        <v xml:space="preserve">N9217B  </v>
      </c>
      <c r="BC4372">
        <v>1</v>
      </c>
      <c r="BE4372">
        <v>0</v>
      </c>
      <c r="BF4372">
        <v>0</v>
      </c>
      <c r="BG4372">
        <v>0</v>
      </c>
      <c r="BH4372">
        <v>4850</v>
      </c>
      <c r="BI4372">
        <v>1</v>
      </c>
      <c r="BJ4372">
        <v>0</v>
      </c>
      <c r="BK4372">
        <v>0</v>
      </c>
      <c r="BL4372">
        <v>0</v>
      </c>
      <c r="BO4372">
        <v>0</v>
      </c>
      <c r="BP4372">
        <v>0</v>
      </c>
      <c r="BW4372" t="str">
        <f t="shared" si="2459"/>
        <v>14:59:55.699</v>
      </c>
      <c r="CJ4372">
        <v>0</v>
      </c>
      <c r="CK4372">
        <v>2</v>
      </c>
      <c r="CL4372">
        <v>0</v>
      </c>
      <c r="CM4372">
        <v>2</v>
      </c>
      <c r="CN4372">
        <v>0</v>
      </c>
      <c r="CO4372">
        <v>4</v>
      </c>
      <c r="CP4372" t="s">
        <v>119</v>
      </c>
      <c r="CQ4372">
        <v>285</v>
      </c>
      <c r="CR4372">
        <v>0</v>
      </c>
      <c r="CW4372">
        <v>8892724</v>
      </c>
      <c r="CY4372">
        <v>0</v>
      </c>
      <c r="CZ4372">
        <v>0</v>
      </c>
      <c r="DA4372">
        <v>1</v>
      </c>
      <c r="DB4372">
        <v>0</v>
      </c>
      <c r="DC4372">
        <v>0</v>
      </c>
      <c r="DD4372">
        <v>0</v>
      </c>
      <c r="DE4372">
        <v>0</v>
      </c>
      <c r="DF4372">
        <v>0</v>
      </c>
      <c r="DG4372">
        <v>0</v>
      </c>
      <c r="DH4372">
        <v>0</v>
      </c>
      <c r="DI4372">
        <v>0</v>
      </c>
    </row>
    <row r="4373" spans="1:113" x14ac:dyDescent="0.25">
      <c r="A4373" t="str">
        <f t="shared" si="2456"/>
        <v>06/05/2020 14:59:50.055</v>
      </c>
      <c r="C4373" t="str">
        <f t="shared" si="2431"/>
        <v>FFDFD3C0</v>
      </c>
      <c r="D4373" t="s">
        <v>148</v>
      </c>
      <c r="E4373">
        <v>8</v>
      </c>
      <c r="H4373">
        <v>50</v>
      </c>
      <c r="I4373" t="s">
        <v>149</v>
      </c>
      <c r="J4373" t="s">
        <v>150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 t="shared" si="2457"/>
        <v>14:59:55.695</v>
      </c>
      <c r="T4373" t="str">
        <f t="shared" si="2458"/>
        <v>14:59:54.695</v>
      </c>
      <c r="U4373" t="str">
        <f t="shared" si="2448"/>
        <v>ACC530</v>
      </c>
      <c r="V4373">
        <v>0</v>
      </c>
      <c r="W4373">
        <v>0</v>
      </c>
      <c r="X4373">
        <v>1</v>
      </c>
      <c r="Z4373">
        <v>0</v>
      </c>
      <c r="AA4373">
        <v>9</v>
      </c>
      <c r="AB4373">
        <v>3</v>
      </c>
      <c r="AC4373">
        <v>0</v>
      </c>
      <c r="AD4373">
        <v>9</v>
      </c>
      <c r="AE4373">
        <v>0</v>
      </c>
      <c r="AF4373">
        <v>3</v>
      </c>
      <c r="AG4373">
        <v>1</v>
      </c>
      <c r="AH4373">
        <v>0</v>
      </c>
      <c r="AI4373" t="s">
        <v>1372</v>
      </c>
      <c r="AJ4373">
        <v>34.072037000000002</v>
      </c>
      <c r="AK4373" t="s">
        <v>1100</v>
      </c>
      <c r="AL4373">
        <v>-117.03701</v>
      </c>
      <c r="AM4373">
        <v>100</v>
      </c>
      <c r="AN4373">
        <v>5000</v>
      </c>
      <c r="AO4373" t="s">
        <v>118</v>
      </c>
      <c r="AP4373">
        <v>-103</v>
      </c>
      <c r="AQ4373">
        <v>21</v>
      </c>
      <c r="AR4373">
        <v>-768</v>
      </c>
      <c r="AZ4373">
        <v>1200</v>
      </c>
      <c r="BA4373">
        <v>1</v>
      </c>
      <c r="BB4373" t="str">
        <f t="shared" si="2451"/>
        <v xml:space="preserve">N9217B  </v>
      </c>
      <c r="BC4373">
        <v>1</v>
      </c>
      <c r="BE4373">
        <v>0</v>
      </c>
      <c r="BF4373">
        <v>0</v>
      </c>
      <c r="BG4373">
        <v>0</v>
      </c>
      <c r="BH4373">
        <v>4850</v>
      </c>
      <c r="BI4373">
        <v>1</v>
      </c>
      <c r="BJ4373">
        <v>0</v>
      </c>
      <c r="BK4373">
        <v>0</v>
      </c>
      <c r="BL4373">
        <v>0</v>
      </c>
      <c r="BO4373">
        <v>0</v>
      </c>
      <c r="BP4373">
        <v>0</v>
      </c>
      <c r="BW4373" t="str">
        <f t="shared" si="2459"/>
        <v>14:59:55.699</v>
      </c>
      <c r="CJ4373">
        <v>0</v>
      </c>
      <c r="CK4373">
        <v>2</v>
      </c>
      <c r="CL4373">
        <v>0</v>
      </c>
      <c r="CM4373">
        <v>2</v>
      </c>
      <c r="CN4373">
        <v>0</v>
      </c>
      <c r="CO4373">
        <v>4</v>
      </c>
      <c r="CP4373" t="s">
        <v>119</v>
      </c>
      <c r="CQ4373">
        <v>285</v>
      </c>
      <c r="CR4373">
        <v>0</v>
      </c>
      <c r="CW4373">
        <v>8892724</v>
      </c>
      <c r="CY4373">
        <v>0</v>
      </c>
      <c r="CZ4373">
        <v>0</v>
      </c>
      <c r="DA4373">
        <v>1</v>
      </c>
      <c r="DB4373">
        <v>0</v>
      </c>
      <c r="DC4373">
        <v>0</v>
      </c>
      <c r="DD4373">
        <v>0</v>
      </c>
      <c r="DE4373">
        <v>0</v>
      </c>
      <c r="DF4373">
        <v>0</v>
      </c>
      <c r="DG4373">
        <v>0</v>
      </c>
      <c r="DH4373">
        <v>0</v>
      </c>
      <c r="DI4373">
        <v>0</v>
      </c>
    </row>
    <row r="4374" spans="1:113" x14ac:dyDescent="0.25">
      <c r="A4374" t="str">
        <f t="shared" si="2456"/>
        <v>06/05/2020 14:59:50.055</v>
      </c>
      <c r="C4374" t="str">
        <f t="shared" si="2431"/>
        <v>FFDFD3C0</v>
      </c>
      <c r="D4374" t="s">
        <v>141</v>
      </c>
      <c r="E4374">
        <v>20</v>
      </c>
      <c r="F4374">
        <v>1020</v>
      </c>
      <c r="G4374" t="s">
        <v>114</v>
      </c>
      <c r="J4374" t="s">
        <v>142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 t="shared" si="2457"/>
        <v>14:59:55.695</v>
      </c>
      <c r="T4374" t="str">
        <f t="shared" si="2458"/>
        <v>14:59:54.695</v>
      </c>
      <c r="U4374" t="str">
        <f t="shared" si="2448"/>
        <v>ACC530</v>
      </c>
      <c r="V4374">
        <v>0</v>
      </c>
      <c r="W4374">
        <v>0</v>
      </c>
      <c r="X4374">
        <v>1</v>
      </c>
      <c r="Z4374">
        <v>0</v>
      </c>
      <c r="AA4374">
        <v>9</v>
      </c>
      <c r="AB4374">
        <v>3</v>
      </c>
      <c r="AC4374">
        <v>0</v>
      </c>
      <c r="AD4374">
        <v>9</v>
      </c>
      <c r="AE4374">
        <v>0</v>
      </c>
      <c r="AF4374">
        <v>3</v>
      </c>
      <c r="AG4374">
        <v>1</v>
      </c>
      <c r="AH4374">
        <v>0</v>
      </c>
      <c r="AI4374" t="s">
        <v>1372</v>
      </c>
      <c r="AJ4374">
        <v>34.072037000000002</v>
      </c>
      <c r="AK4374" t="s">
        <v>1100</v>
      </c>
      <c r="AL4374">
        <v>-117.03701</v>
      </c>
      <c r="AM4374">
        <v>100</v>
      </c>
      <c r="AN4374">
        <v>5000</v>
      </c>
      <c r="AO4374" t="s">
        <v>118</v>
      </c>
      <c r="AP4374">
        <v>-103</v>
      </c>
      <c r="AQ4374">
        <v>21</v>
      </c>
      <c r="AR4374">
        <v>-768</v>
      </c>
      <c r="AZ4374">
        <v>1200</v>
      </c>
      <c r="BA4374">
        <v>1</v>
      </c>
      <c r="BB4374" t="str">
        <f t="shared" si="2451"/>
        <v xml:space="preserve">N9217B  </v>
      </c>
      <c r="BC4374">
        <v>1</v>
      </c>
      <c r="BE4374">
        <v>0</v>
      </c>
      <c r="BF4374">
        <v>0</v>
      </c>
      <c r="BG4374">
        <v>0</v>
      </c>
      <c r="BH4374">
        <v>4850</v>
      </c>
      <c r="BI4374">
        <v>1</v>
      </c>
      <c r="BJ4374">
        <v>0</v>
      </c>
      <c r="BK4374">
        <v>0</v>
      </c>
      <c r="BL4374">
        <v>0</v>
      </c>
      <c r="BO4374">
        <v>0</v>
      </c>
      <c r="BP4374">
        <v>0</v>
      </c>
      <c r="BW4374" t="str">
        <f t="shared" si="2459"/>
        <v>14:59:55.699</v>
      </c>
      <c r="CJ4374">
        <v>0</v>
      </c>
      <c r="CK4374">
        <v>2</v>
      </c>
      <c r="CL4374">
        <v>0</v>
      </c>
      <c r="CM4374">
        <v>2</v>
      </c>
      <c r="CN4374">
        <v>0</v>
      </c>
      <c r="CO4374">
        <v>4</v>
      </c>
      <c r="CP4374" t="s">
        <v>119</v>
      </c>
      <c r="CQ4374">
        <v>285</v>
      </c>
      <c r="CR4374">
        <v>0</v>
      </c>
      <c r="CW4374">
        <v>8892724</v>
      </c>
      <c r="CY4374">
        <v>0</v>
      </c>
      <c r="CZ4374">
        <v>0</v>
      </c>
      <c r="DA4374">
        <v>1</v>
      </c>
      <c r="DB4374">
        <v>0</v>
      </c>
      <c r="DC4374">
        <v>0</v>
      </c>
      <c r="DD4374">
        <v>0</v>
      </c>
      <c r="DE4374">
        <v>0</v>
      </c>
      <c r="DF4374">
        <v>0</v>
      </c>
      <c r="DG4374">
        <v>0</v>
      </c>
      <c r="DH4374">
        <v>0</v>
      </c>
      <c r="DI4374">
        <v>0</v>
      </c>
    </row>
    <row r="4375" spans="1:113" x14ac:dyDescent="0.25">
      <c r="A4375" t="str">
        <f t="shared" si="2456"/>
        <v>06/05/2020 14:59:50.055</v>
      </c>
      <c r="C4375" t="str">
        <f t="shared" si="2431"/>
        <v>FFDFD3C0</v>
      </c>
      <c r="D4375" t="s">
        <v>151</v>
      </c>
      <c r="E4375">
        <v>9</v>
      </c>
      <c r="H4375">
        <v>226</v>
      </c>
      <c r="I4375" t="s">
        <v>152</v>
      </c>
      <c r="J4375" t="s">
        <v>150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 t="shared" si="2457"/>
        <v>14:59:55.695</v>
      </c>
      <c r="T4375" t="str">
        <f t="shared" si="2458"/>
        <v>14:59:54.695</v>
      </c>
      <c r="U4375" t="str">
        <f t="shared" si="2448"/>
        <v>ACC530</v>
      </c>
      <c r="V4375">
        <v>0</v>
      </c>
      <c r="W4375">
        <v>0</v>
      </c>
      <c r="X4375">
        <v>1</v>
      </c>
      <c r="Z4375">
        <v>0</v>
      </c>
      <c r="AA4375">
        <v>9</v>
      </c>
      <c r="AB4375">
        <v>3</v>
      </c>
      <c r="AC4375">
        <v>0</v>
      </c>
      <c r="AD4375">
        <v>9</v>
      </c>
      <c r="AE4375">
        <v>0</v>
      </c>
      <c r="AF4375">
        <v>3</v>
      </c>
      <c r="AG4375">
        <v>1</v>
      </c>
      <c r="AH4375">
        <v>0</v>
      </c>
      <c r="AI4375" t="s">
        <v>1372</v>
      </c>
      <c r="AJ4375">
        <v>34.072037000000002</v>
      </c>
      <c r="AK4375" t="s">
        <v>1100</v>
      </c>
      <c r="AL4375">
        <v>-117.03701</v>
      </c>
      <c r="AM4375">
        <v>100</v>
      </c>
      <c r="AN4375">
        <v>5000</v>
      </c>
      <c r="AO4375" t="s">
        <v>118</v>
      </c>
      <c r="AP4375">
        <v>-103</v>
      </c>
      <c r="AQ4375">
        <v>21</v>
      </c>
      <c r="AR4375">
        <v>-768</v>
      </c>
      <c r="AZ4375">
        <v>1200</v>
      </c>
      <c r="BA4375">
        <v>1</v>
      </c>
      <c r="BB4375" t="str">
        <f t="shared" si="2451"/>
        <v xml:space="preserve">N9217B  </v>
      </c>
      <c r="BC4375">
        <v>1</v>
      </c>
      <c r="BE4375">
        <v>0</v>
      </c>
      <c r="BF4375">
        <v>0</v>
      </c>
      <c r="BG4375">
        <v>0</v>
      </c>
      <c r="BH4375">
        <v>4850</v>
      </c>
      <c r="BI4375">
        <v>1</v>
      </c>
      <c r="BJ4375">
        <v>0</v>
      </c>
      <c r="BK4375">
        <v>0</v>
      </c>
      <c r="BL4375">
        <v>0</v>
      </c>
      <c r="BO4375">
        <v>0</v>
      </c>
      <c r="BP4375">
        <v>0</v>
      </c>
      <c r="BW4375" t="str">
        <f t="shared" si="2459"/>
        <v>14:59:55.699</v>
      </c>
      <c r="CJ4375">
        <v>0</v>
      </c>
      <c r="CK4375">
        <v>2</v>
      </c>
      <c r="CL4375">
        <v>0</v>
      </c>
      <c r="CM4375">
        <v>2</v>
      </c>
      <c r="CN4375">
        <v>0</v>
      </c>
      <c r="CO4375">
        <v>4</v>
      </c>
      <c r="CP4375" t="s">
        <v>119</v>
      </c>
      <c r="CQ4375">
        <v>285</v>
      </c>
      <c r="CR4375">
        <v>0</v>
      </c>
      <c r="CW4375">
        <v>8892724</v>
      </c>
      <c r="CY4375">
        <v>0</v>
      </c>
      <c r="CZ4375">
        <v>0</v>
      </c>
      <c r="DA4375">
        <v>1</v>
      </c>
      <c r="DB4375">
        <v>0</v>
      </c>
      <c r="DC4375">
        <v>0</v>
      </c>
      <c r="DD4375">
        <v>0</v>
      </c>
      <c r="DE4375">
        <v>0</v>
      </c>
      <c r="DF4375">
        <v>0</v>
      </c>
      <c r="DG4375">
        <v>0</v>
      </c>
      <c r="DH4375">
        <v>0</v>
      </c>
      <c r="DI4375">
        <v>0</v>
      </c>
    </row>
    <row r="4376" spans="1:113" x14ac:dyDescent="0.25">
      <c r="A4376" t="str">
        <f t="shared" si="2456"/>
        <v>06/05/2020 14:59:50.055</v>
      </c>
      <c r="C4376" t="str">
        <f t="shared" si="2431"/>
        <v>FFDFD3C0</v>
      </c>
      <c r="D4376" t="s">
        <v>113</v>
      </c>
      <c r="E4376">
        <v>3</v>
      </c>
      <c r="H4376">
        <v>166</v>
      </c>
      <c r="I4376" t="s">
        <v>114</v>
      </c>
      <c r="J4376" t="s">
        <v>115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 t="shared" si="2457"/>
        <v>14:59:55.695</v>
      </c>
      <c r="T4376" t="str">
        <f t="shared" si="2458"/>
        <v>14:59:54.695</v>
      </c>
      <c r="U4376" t="str">
        <f t="shared" si="2448"/>
        <v>ACC530</v>
      </c>
      <c r="V4376">
        <v>0</v>
      </c>
      <c r="W4376">
        <v>0</v>
      </c>
      <c r="X4376">
        <v>1</v>
      </c>
      <c r="Z4376">
        <v>0</v>
      </c>
      <c r="AA4376">
        <v>9</v>
      </c>
      <c r="AB4376">
        <v>3</v>
      </c>
      <c r="AC4376">
        <v>0</v>
      </c>
      <c r="AD4376">
        <v>9</v>
      </c>
      <c r="AE4376">
        <v>0</v>
      </c>
      <c r="AF4376">
        <v>3</v>
      </c>
      <c r="AG4376">
        <v>1</v>
      </c>
      <c r="AH4376">
        <v>0</v>
      </c>
      <c r="AI4376" t="s">
        <v>1372</v>
      </c>
      <c r="AJ4376">
        <v>34.072037000000002</v>
      </c>
      <c r="AK4376" t="s">
        <v>1100</v>
      </c>
      <c r="AL4376">
        <v>-117.03701</v>
      </c>
      <c r="AM4376">
        <v>100</v>
      </c>
      <c r="AN4376">
        <v>5000</v>
      </c>
      <c r="AO4376" t="s">
        <v>118</v>
      </c>
      <c r="AP4376">
        <v>-103</v>
      </c>
      <c r="AQ4376">
        <v>21</v>
      </c>
      <c r="AR4376">
        <v>-768</v>
      </c>
      <c r="AZ4376">
        <v>1200</v>
      </c>
      <c r="BA4376">
        <v>1</v>
      </c>
      <c r="BB4376" t="str">
        <f t="shared" si="2451"/>
        <v xml:space="preserve">N9217B  </v>
      </c>
      <c r="BC4376">
        <v>1</v>
      </c>
      <c r="BE4376">
        <v>0</v>
      </c>
      <c r="BF4376">
        <v>0</v>
      </c>
      <c r="BG4376">
        <v>0</v>
      </c>
      <c r="BH4376">
        <v>4850</v>
      </c>
      <c r="BI4376">
        <v>1</v>
      </c>
      <c r="BJ4376">
        <v>0</v>
      </c>
      <c r="BK4376">
        <v>0</v>
      </c>
      <c r="BL4376">
        <v>0</v>
      </c>
      <c r="BO4376">
        <v>0</v>
      </c>
      <c r="BP4376">
        <v>0</v>
      </c>
      <c r="BW4376" t="str">
        <f t="shared" si="2459"/>
        <v>14:59:55.699</v>
      </c>
      <c r="CJ4376">
        <v>0</v>
      </c>
      <c r="CK4376">
        <v>2</v>
      </c>
      <c r="CL4376">
        <v>0</v>
      </c>
      <c r="CM4376">
        <v>2</v>
      </c>
      <c r="CN4376">
        <v>0</v>
      </c>
      <c r="CO4376">
        <v>4</v>
      </c>
      <c r="CP4376" t="s">
        <v>119</v>
      </c>
      <c r="CQ4376">
        <v>285</v>
      </c>
      <c r="CR4376">
        <v>0</v>
      </c>
      <c r="CW4376">
        <v>8892724</v>
      </c>
      <c r="CY4376">
        <v>0</v>
      </c>
      <c r="CZ4376">
        <v>0</v>
      </c>
      <c r="DA4376">
        <v>1</v>
      </c>
      <c r="DB4376">
        <v>0</v>
      </c>
      <c r="DC4376">
        <v>0</v>
      </c>
      <c r="DD4376">
        <v>0</v>
      </c>
      <c r="DE4376">
        <v>0</v>
      </c>
      <c r="DF4376">
        <v>0</v>
      </c>
      <c r="DG4376">
        <v>0</v>
      </c>
      <c r="DH4376">
        <v>0</v>
      </c>
      <c r="DI4376">
        <v>0</v>
      </c>
    </row>
    <row r="4377" spans="1:113" x14ac:dyDescent="0.25">
      <c r="A4377" t="str">
        <f t="shared" ref="A4377:A4382" si="2460">"06/05/2020 14:59:51.264"</f>
        <v>06/05/2020 14:59:51.264</v>
      </c>
      <c r="C4377" t="str">
        <f t="shared" si="2431"/>
        <v>FFDFD3C0</v>
      </c>
      <c r="D4377" t="s">
        <v>134</v>
      </c>
      <c r="E4377">
        <v>7</v>
      </c>
      <c r="F4377">
        <v>2007</v>
      </c>
      <c r="G4377" t="s">
        <v>135</v>
      </c>
      <c r="J4377" t="s">
        <v>136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 t="shared" ref="S4377:S4382" si="2461">"14:59:56.609"</f>
        <v>14:59:56.609</v>
      </c>
      <c r="T4377" t="str">
        <f t="shared" ref="T4377:T4382" si="2462">"14:59:55.209"</f>
        <v>14:59:55.209</v>
      </c>
      <c r="U4377" t="str">
        <f t="shared" si="2448"/>
        <v>ACC530</v>
      </c>
      <c r="V4377">
        <v>0</v>
      </c>
      <c r="W4377">
        <v>0</v>
      </c>
      <c r="X4377">
        <v>1</v>
      </c>
      <c r="Z4377">
        <v>0</v>
      </c>
      <c r="AA4377">
        <v>8</v>
      </c>
      <c r="AB4377">
        <v>0</v>
      </c>
      <c r="AC4377">
        <v>0</v>
      </c>
      <c r="AE4377">
        <v>0</v>
      </c>
      <c r="AF4377">
        <v>3</v>
      </c>
      <c r="AG4377">
        <v>1</v>
      </c>
      <c r="AH4377">
        <v>0</v>
      </c>
      <c r="AI4377" t="s">
        <v>1373</v>
      </c>
      <c r="AJ4377">
        <v>34.072144000000002</v>
      </c>
      <c r="AK4377" t="s">
        <v>1374</v>
      </c>
      <c r="AL4377">
        <v>-117.03758999999999</v>
      </c>
      <c r="AM4377">
        <v>100</v>
      </c>
      <c r="AN4377">
        <v>5000</v>
      </c>
      <c r="AO4377" t="s">
        <v>118</v>
      </c>
      <c r="AP4377">
        <v>-103</v>
      </c>
      <c r="AQ4377">
        <v>21</v>
      </c>
      <c r="AR4377">
        <v>-768</v>
      </c>
      <c r="AZ4377">
        <v>1200</v>
      </c>
      <c r="BA4377">
        <v>1</v>
      </c>
      <c r="BB4377" t="str">
        <f t="shared" si="2451"/>
        <v xml:space="preserve">N9217B  </v>
      </c>
      <c r="BC4377">
        <v>1</v>
      </c>
      <c r="BE4377">
        <v>0</v>
      </c>
      <c r="BF4377">
        <v>0</v>
      </c>
      <c r="BG4377">
        <v>0</v>
      </c>
      <c r="BH4377">
        <v>4825</v>
      </c>
      <c r="BI4377">
        <v>0</v>
      </c>
      <c r="BJ4377">
        <v>0</v>
      </c>
      <c r="BK4377">
        <v>0</v>
      </c>
      <c r="BL4377">
        <v>0</v>
      </c>
      <c r="BO4377">
        <v>0</v>
      </c>
      <c r="BP4377">
        <v>0</v>
      </c>
      <c r="BW4377" t="str">
        <f t="shared" ref="BW4377:BW4382" si="2463">"14:59:56.614"</f>
        <v>14:59:56.614</v>
      </c>
      <c r="CJ4377">
        <v>0</v>
      </c>
      <c r="CK4377">
        <v>0</v>
      </c>
      <c r="CL4377">
        <v>0</v>
      </c>
      <c r="CM4377">
        <v>0</v>
      </c>
      <c r="CN4377">
        <v>0</v>
      </c>
      <c r="CO4377">
        <v>3</v>
      </c>
      <c r="CP4377" t="s">
        <v>119</v>
      </c>
      <c r="CQ4377">
        <v>298</v>
      </c>
      <c r="CR4377">
        <v>0</v>
      </c>
      <c r="CW4377">
        <v>10478550</v>
      </c>
      <c r="CY4377">
        <v>0</v>
      </c>
      <c r="CZ4377">
        <v>0</v>
      </c>
      <c r="DA4377">
        <v>0</v>
      </c>
      <c r="DB4377">
        <v>0</v>
      </c>
      <c r="DC4377">
        <v>0</v>
      </c>
      <c r="DD4377">
        <v>0</v>
      </c>
      <c r="DE4377">
        <v>0</v>
      </c>
      <c r="DF4377">
        <v>1</v>
      </c>
      <c r="DG4377">
        <v>1</v>
      </c>
      <c r="DH4377">
        <v>0</v>
      </c>
      <c r="DI4377">
        <v>0</v>
      </c>
    </row>
    <row r="4378" spans="1:113" x14ac:dyDescent="0.25">
      <c r="A4378" t="str">
        <f t="shared" si="2460"/>
        <v>06/05/2020 14:59:51.264</v>
      </c>
      <c r="C4378" t="str">
        <f t="shared" si="2431"/>
        <v>FFDFD3C0</v>
      </c>
      <c r="D4378" t="s">
        <v>113</v>
      </c>
      <c r="E4378">
        <v>3</v>
      </c>
      <c r="H4378">
        <v>166</v>
      </c>
      <c r="I4378" t="s">
        <v>114</v>
      </c>
      <c r="J4378" t="s">
        <v>115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 t="shared" si="2461"/>
        <v>14:59:56.609</v>
      </c>
      <c r="T4378" t="str">
        <f t="shared" si="2462"/>
        <v>14:59:55.209</v>
      </c>
      <c r="U4378" t="str">
        <f t="shared" si="2448"/>
        <v>ACC530</v>
      </c>
      <c r="V4378">
        <v>0</v>
      </c>
      <c r="W4378">
        <v>0</v>
      </c>
      <c r="X4378">
        <v>1</v>
      </c>
      <c r="Z4378">
        <v>0</v>
      </c>
      <c r="AA4378">
        <v>8</v>
      </c>
      <c r="AB4378">
        <v>0</v>
      </c>
      <c r="AC4378">
        <v>0</v>
      </c>
      <c r="AE4378">
        <v>0</v>
      </c>
      <c r="AF4378">
        <v>3</v>
      </c>
      <c r="AG4378">
        <v>1</v>
      </c>
      <c r="AH4378">
        <v>0</v>
      </c>
      <c r="AI4378" t="s">
        <v>1373</v>
      </c>
      <c r="AJ4378">
        <v>34.072144000000002</v>
      </c>
      <c r="AK4378" t="s">
        <v>1374</v>
      </c>
      <c r="AL4378">
        <v>-117.03758999999999</v>
      </c>
      <c r="AM4378">
        <v>100</v>
      </c>
      <c r="AN4378">
        <v>5000</v>
      </c>
      <c r="AO4378" t="s">
        <v>118</v>
      </c>
      <c r="AP4378">
        <v>-103</v>
      </c>
      <c r="AQ4378">
        <v>21</v>
      </c>
      <c r="AR4378">
        <v>-768</v>
      </c>
      <c r="AZ4378">
        <v>1200</v>
      </c>
      <c r="BA4378">
        <v>1</v>
      </c>
      <c r="BB4378" t="str">
        <f t="shared" si="2451"/>
        <v xml:space="preserve">N9217B  </v>
      </c>
      <c r="BC4378">
        <v>1</v>
      </c>
      <c r="BE4378">
        <v>0</v>
      </c>
      <c r="BF4378">
        <v>0</v>
      </c>
      <c r="BG4378">
        <v>0</v>
      </c>
      <c r="BH4378">
        <v>4825</v>
      </c>
      <c r="BI4378">
        <v>0</v>
      </c>
      <c r="BJ4378">
        <v>0</v>
      </c>
      <c r="BK4378">
        <v>0</v>
      </c>
      <c r="BL4378">
        <v>0</v>
      </c>
      <c r="BO4378">
        <v>0</v>
      </c>
      <c r="BP4378">
        <v>0</v>
      </c>
      <c r="BW4378" t="str">
        <f t="shared" si="2463"/>
        <v>14:59:56.614</v>
      </c>
      <c r="CJ4378">
        <v>0</v>
      </c>
      <c r="CK4378">
        <v>0</v>
      </c>
      <c r="CL4378">
        <v>0</v>
      </c>
      <c r="CM4378">
        <v>0</v>
      </c>
      <c r="CN4378">
        <v>0</v>
      </c>
      <c r="CO4378">
        <v>3</v>
      </c>
      <c r="CP4378" t="s">
        <v>119</v>
      </c>
      <c r="CQ4378">
        <v>298</v>
      </c>
      <c r="CR4378">
        <v>0</v>
      </c>
      <c r="CW4378">
        <v>10478550</v>
      </c>
      <c r="CY4378">
        <v>0</v>
      </c>
      <c r="CZ4378">
        <v>0</v>
      </c>
      <c r="DA4378">
        <v>1</v>
      </c>
      <c r="DB4378">
        <v>0</v>
      </c>
      <c r="DC4378">
        <v>0</v>
      </c>
      <c r="DD4378">
        <v>0</v>
      </c>
      <c r="DE4378">
        <v>0</v>
      </c>
      <c r="DF4378">
        <v>1</v>
      </c>
      <c r="DG4378">
        <v>1</v>
      </c>
      <c r="DH4378">
        <v>0</v>
      </c>
      <c r="DI4378">
        <v>0</v>
      </c>
    </row>
    <row r="4379" spans="1:113" x14ac:dyDescent="0.25">
      <c r="A4379" t="str">
        <f t="shared" si="2460"/>
        <v>06/05/2020 14:59:51.264</v>
      </c>
      <c r="C4379" t="str">
        <f t="shared" si="2431"/>
        <v>FFDFD3C0</v>
      </c>
      <c r="D4379" t="s">
        <v>151</v>
      </c>
      <c r="E4379">
        <v>8</v>
      </c>
      <c r="H4379">
        <v>225</v>
      </c>
      <c r="I4379" t="s">
        <v>353</v>
      </c>
      <c r="J4379" t="s">
        <v>150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 t="shared" si="2461"/>
        <v>14:59:56.609</v>
      </c>
      <c r="T4379" t="str">
        <f t="shared" si="2462"/>
        <v>14:59:55.209</v>
      </c>
      <c r="U4379" t="str">
        <f t="shared" si="2448"/>
        <v>ACC530</v>
      </c>
      <c r="V4379">
        <v>0</v>
      </c>
      <c r="W4379">
        <v>0</v>
      </c>
      <c r="X4379">
        <v>1</v>
      </c>
      <c r="Z4379">
        <v>0</v>
      </c>
      <c r="AA4379">
        <v>8</v>
      </c>
      <c r="AB4379">
        <v>0</v>
      </c>
      <c r="AC4379">
        <v>0</v>
      </c>
      <c r="AE4379">
        <v>0</v>
      </c>
      <c r="AF4379">
        <v>3</v>
      </c>
      <c r="AG4379">
        <v>1</v>
      </c>
      <c r="AH4379">
        <v>0</v>
      </c>
      <c r="AI4379" t="s">
        <v>1373</v>
      </c>
      <c r="AJ4379">
        <v>34.072144000000002</v>
      </c>
      <c r="AK4379" t="s">
        <v>1374</v>
      </c>
      <c r="AL4379">
        <v>-117.03758999999999</v>
      </c>
      <c r="AM4379">
        <v>100</v>
      </c>
      <c r="AN4379">
        <v>5000</v>
      </c>
      <c r="AO4379" t="s">
        <v>118</v>
      </c>
      <c r="AP4379">
        <v>-103</v>
      </c>
      <c r="AQ4379">
        <v>21</v>
      </c>
      <c r="AR4379">
        <v>-768</v>
      </c>
      <c r="AZ4379">
        <v>1200</v>
      </c>
      <c r="BA4379">
        <v>1</v>
      </c>
      <c r="BB4379" t="str">
        <f t="shared" si="2451"/>
        <v xml:space="preserve">N9217B  </v>
      </c>
      <c r="BC4379">
        <v>1</v>
      </c>
      <c r="BE4379">
        <v>0</v>
      </c>
      <c r="BF4379">
        <v>0</v>
      </c>
      <c r="BG4379">
        <v>0</v>
      </c>
      <c r="BH4379">
        <v>4825</v>
      </c>
      <c r="BI4379">
        <v>0</v>
      </c>
      <c r="BJ4379">
        <v>0</v>
      </c>
      <c r="BK4379">
        <v>0</v>
      </c>
      <c r="BL4379">
        <v>0</v>
      </c>
      <c r="BO4379">
        <v>0</v>
      </c>
      <c r="BP4379">
        <v>0</v>
      </c>
      <c r="BW4379" t="str">
        <f t="shared" si="2463"/>
        <v>14:59:56.614</v>
      </c>
      <c r="CJ4379">
        <v>0</v>
      </c>
      <c r="CK4379">
        <v>0</v>
      </c>
      <c r="CL4379">
        <v>0</v>
      </c>
      <c r="CM4379">
        <v>0</v>
      </c>
      <c r="CN4379">
        <v>0</v>
      </c>
      <c r="CO4379">
        <v>3</v>
      </c>
      <c r="CP4379" t="s">
        <v>119</v>
      </c>
      <c r="CQ4379">
        <v>298</v>
      </c>
      <c r="CR4379">
        <v>0</v>
      </c>
      <c r="CW4379">
        <v>10478550</v>
      </c>
      <c r="CY4379">
        <v>0</v>
      </c>
      <c r="CZ4379">
        <v>0</v>
      </c>
      <c r="DA4379">
        <v>1</v>
      </c>
      <c r="DB4379">
        <v>0</v>
      </c>
      <c r="DC4379">
        <v>0</v>
      </c>
      <c r="DD4379">
        <v>0</v>
      </c>
      <c r="DE4379">
        <v>0</v>
      </c>
      <c r="DF4379">
        <v>1</v>
      </c>
      <c r="DG4379">
        <v>1</v>
      </c>
      <c r="DH4379">
        <v>0</v>
      </c>
      <c r="DI4379">
        <v>0</v>
      </c>
    </row>
    <row r="4380" spans="1:113" x14ac:dyDescent="0.25">
      <c r="A4380" t="str">
        <f t="shared" si="2460"/>
        <v>06/05/2020 14:59:51.264</v>
      </c>
      <c r="C4380" t="str">
        <f t="shared" si="2431"/>
        <v>FFDFD3C0</v>
      </c>
      <c r="D4380" t="s">
        <v>148</v>
      </c>
      <c r="E4380">
        <v>11</v>
      </c>
      <c r="H4380">
        <v>53</v>
      </c>
      <c r="I4380" t="s">
        <v>364</v>
      </c>
      <c r="J4380" t="s">
        <v>150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 t="shared" si="2461"/>
        <v>14:59:56.609</v>
      </c>
      <c r="T4380" t="str">
        <f t="shared" si="2462"/>
        <v>14:59:55.209</v>
      </c>
      <c r="U4380" t="str">
        <f t="shared" si="2448"/>
        <v>ACC530</v>
      </c>
      <c r="V4380">
        <v>0</v>
      </c>
      <c r="W4380">
        <v>0</v>
      </c>
      <c r="X4380">
        <v>1</v>
      </c>
      <c r="Z4380">
        <v>0</v>
      </c>
      <c r="AA4380">
        <v>8</v>
      </c>
      <c r="AB4380">
        <v>0</v>
      </c>
      <c r="AC4380">
        <v>0</v>
      </c>
      <c r="AE4380">
        <v>0</v>
      </c>
      <c r="AF4380">
        <v>3</v>
      </c>
      <c r="AG4380">
        <v>1</v>
      </c>
      <c r="AH4380">
        <v>0</v>
      </c>
      <c r="AI4380" t="s">
        <v>1373</v>
      </c>
      <c r="AJ4380">
        <v>34.072144000000002</v>
      </c>
      <c r="AK4380" t="s">
        <v>1374</v>
      </c>
      <c r="AL4380">
        <v>-117.03758999999999</v>
      </c>
      <c r="AM4380">
        <v>100</v>
      </c>
      <c r="AN4380">
        <v>5000</v>
      </c>
      <c r="AO4380" t="s">
        <v>118</v>
      </c>
      <c r="AP4380">
        <v>-103</v>
      </c>
      <c r="AQ4380">
        <v>21</v>
      </c>
      <c r="AR4380">
        <v>-768</v>
      </c>
      <c r="AZ4380">
        <v>1200</v>
      </c>
      <c r="BA4380">
        <v>1</v>
      </c>
      <c r="BB4380" t="str">
        <f t="shared" si="2451"/>
        <v xml:space="preserve">N9217B  </v>
      </c>
      <c r="BC4380">
        <v>1</v>
      </c>
      <c r="BE4380">
        <v>0</v>
      </c>
      <c r="BF4380">
        <v>0</v>
      </c>
      <c r="BG4380">
        <v>0</v>
      </c>
      <c r="BH4380">
        <v>4825</v>
      </c>
      <c r="BI4380">
        <v>0</v>
      </c>
      <c r="BJ4380">
        <v>0</v>
      </c>
      <c r="BK4380">
        <v>0</v>
      </c>
      <c r="BL4380">
        <v>0</v>
      </c>
      <c r="BO4380">
        <v>0</v>
      </c>
      <c r="BP4380">
        <v>0</v>
      </c>
      <c r="BW4380" t="str">
        <f t="shared" si="2463"/>
        <v>14:59:56.614</v>
      </c>
      <c r="CJ4380">
        <v>0</v>
      </c>
      <c r="CK4380">
        <v>0</v>
      </c>
      <c r="CL4380">
        <v>0</v>
      </c>
      <c r="CM4380">
        <v>0</v>
      </c>
      <c r="CN4380">
        <v>0</v>
      </c>
      <c r="CO4380">
        <v>3</v>
      </c>
      <c r="CP4380" t="s">
        <v>119</v>
      </c>
      <c r="CQ4380">
        <v>298</v>
      </c>
      <c r="CR4380">
        <v>0</v>
      </c>
      <c r="CW4380">
        <v>10478550</v>
      </c>
      <c r="CY4380">
        <v>0</v>
      </c>
      <c r="CZ4380">
        <v>0</v>
      </c>
      <c r="DA4380">
        <v>1</v>
      </c>
      <c r="DB4380">
        <v>0</v>
      </c>
      <c r="DC4380">
        <v>0</v>
      </c>
      <c r="DD4380">
        <v>0</v>
      </c>
      <c r="DE4380">
        <v>0</v>
      </c>
      <c r="DF4380">
        <v>1</v>
      </c>
      <c r="DG4380">
        <v>1</v>
      </c>
      <c r="DH4380">
        <v>0</v>
      </c>
      <c r="DI4380">
        <v>0</v>
      </c>
    </row>
    <row r="4381" spans="1:113" x14ac:dyDescent="0.25">
      <c r="A4381" t="str">
        <f t="shared" si="2460"/>
        <v>06/05/2020 14:59:51.264</v>
      </c>
      <c r="C4381" t="str">
        <f t="shared" si="2431"/>
        <v>FFDFD3C0</v>
      </c>
      <c r="D4381" t="s">
        <v>141</v>
      </c>
      <c r="E4381">
        <v>20</v>
      </c>
      <c r="F4381">
        <v>1020</v>
      </c>
      <c r="G4381" t="s">
        <v>114</v>
      </c>
      <c r="J4381" t="s">
        <v>142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 t="shared" si="2461"/>
        <v>14:59:56.609</v>
      </c>
      <c r="T4381" t="str">
        <f t="shared" si="2462"/>
        <v>14:59:55.209</v>
      </c>
      <c r="U4381" t="str">
        <f t="shared" si="2448"/>
        <v>ACC530</v>
      </c>
      <c r="V4381">
        <v>0</v>
      </c>
      <c r="W4381">
        <v>0</v>
      </c>
      <c r="X4381">
        <v>1</v>
      </c>
      <c r="Z4381">
        <v>0</v>
      </c>
      <c r="AA4381">
        <v>8</v>
      </c>
      <c r="AB4381">
        <v>0</v>
      </c>
      <c r="AC4381">
        <v>0</v>
      </c>
      <c r="AE4381">
        <v>0</v>
      </c>
      <c r="AF4381">
        <v>3</v>
      </c>
      <c r="AG4381">
        <v>1</v>
      </c>
      <c r="AH4381">
        <v>0</v>
      </c>
      <c r="AI4381" t="s">
        <v>1373</v>
      </c>
      <c r="AJ4381">
        <v>34.072144000000002</v>
      </c>
      <c r="AK4381" t="s">
        <v>1374</v>
      </c>
      <c r="AL4381">
        <v>-117.03758999999999</v>
      </c>
      <c r="AM4381">
        <v>100</v>
      </c>
      <c r="AN4381">
        <v>5000</v>
      </c>
      <c r="AO4381" t="s">
        <v>118</v>
      </c>
      <c r="AP4381">
        <v>-103</v>
      </c>
      <c r="AQ4381">
        <v>21</v>
      </c>
      <c r="AR4381">
        <v>-768</v>
      </c>
      <c r="AZ4381">
        <v>1200</v>
      </c>
      <c r="BA4381">
        <v>1</v>
      </c>
      <c r="BB4381" t="str">
        <f t="shared" si="2451"/>
        <v xml:space="preserve">N9217B  </v>
      </c>
      <c r="BC4381">
        <v>1</v>
      </c>
      <c r="BE4381">
        <v>0</v>
      </c>
      <c r="BF4381">
        <v>0</v>
      </c>
      <c r="BG4381">
        <v>0</v>
      </c>
      <c r="BH4381">
        <v>4825</v>
      </c>
      <c r="BI4381">
        <v>0</v>
      </c>
      <c r="BJ4381">
        <v>0</v>
      </c>
      <c r="BK4381">
        <v>0</v>
      </c>
      <c r="BL4381">
        <v>0</v>
      </c>
      <c r="BO4381">
        <v>0</v>
      </c>
      <c r="BP4381">
        <v>0</v>
      </c>
      <c r="BW4381" t="str">
        <f t="shared" si="2463"/>
        <v>14:59:56.614</v>
      </c>
      <c r="CJ4381">
        <v>0</v>
      </c>
      <c r="CK4381">
        <v>0</v>
      </c>
      <c r="CL4381">
        <v>0</v>
      </c>
      <c r="CM4381">
        <v>0</v>
      </c>
      <c r="CN4381">
        <v>0</v>
      </c>
      <c r="CO4381">
        <v>3</v>
      </c>
      <c r="CP4381" t="s">
        <v>119</v>
      </c>
      <c r="CQ4381">
        <v>298</v>
      </c>
      <c r="CR4381">
        <v>0</v>
      </c>
      <c r="CW4381">
        <v>10478550</v>
      </c>
      <c r="CY4381">
        <v>0</v>
      </c>
      <c r="CZ4381">
        <v>0</v>
      </c>
      <c r="DA4381">
        <v>1</v>
      </c>
      <c r="DB4381">
        <v>0</v>
      </c>
      <c r="DC4381">
        <v>0</v>
      </c>
      <c r="DD4381">
        <v>0</v>
      </c>
      <c r="DE4381">
        <v>0</v>
      </c>
      <c r="DF4381">
        <v>1</v>
      </c>
      <c r="DG4381">
        <v>1</v>
      </c>
      <c r="DH4381">
        <v>0</v>
      </c>
      <c r="DI4381">
        <v>0</v>
      </c>
    </row>
    <row r="4382" spans="1:113" x14ac:dyDescent="0.25">
      <c r="A4382" t="str">
        <f t="shared" si="2460"/>
        <v>06/05/2020 14:59:51.264</v>
      </c>
      <c r="C4382" t="str">
        <f t="shared" si="2431"/>
        <v>FFDFD3C0</v>
      </c>
      <c r="D4382" t="s">
        <v>148</v>
      </c>
      <c r="E4382">
        <v>8</v>
      </c>
      <c r="H4382">
        <v>50</v>
      </c>
      <c r="I4382" t="s">
        <v>149</v>
      </c>
      <c r="J4382" t="s">
        <v>150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 t="shared" si="2461"/>
        <v>14:59:56.609</v>
      </c>
      <c r="T4382" t="str">
        <f t="shared" si="2462"/>
        <v>14:59:55.209</v>
      </c>
      <c r="U4382" t="str">
        <f t="shared" si="2448"/>
        <v>ACC530</v>
      </c>
      <c r="V4382">
        <v>0</v>
      </c>
      <c r="W4382">
        <v>0</v>
      </c>
      <c r="X4382">
        <v>1</v>
      </c>
      <c r="Z4382">
        <v>0</v>
      </c>
      <c r="AA4382">
        <v>8</v>
      </c>
      <c r="AB4382">
        <v>0</v>
      </c>
      <c r="AC4382">
        <v>0</v>
      </c>
      <c r="AE4382">
        <v>0</v>
      </c>
      <c r="AF4382">
        <v>3</v>
      </c>
      <c r="AG4382">
        <v>1</v>
      </c>
      <c r="AH4382">
        <v>0</v>
      </c>
      <c r="AI4382" t="s">
        <v>1373</v>
      </c>
      <c r="AJ4382">
        <v>34.072144000000002</v>
      </c>
      <c r="AK4382" t="s">
        <v>1374</v>
      </c>
      <c r="AL4382">
        <v>-117.03758999999999</v>
      </c>
      <c r="AM4382">
        <v>100</v>
      </c>
      <c r="AN4382">
        <v>5000</v>
      </c>
      <c r="AO4382" t="s">
        <v>118</v>
      </c>
      <c r="AP4382">
        <v>-103</v>
      </c>
      <c r="AQ4382">
        <v>21</v>
      </c>
      <c r="AR4382">
        <v>-768</v>
      </c>
      <c r="AZ4382">
        <v>1200</v>
      </c>
      <c r="BA4382">
        <v>1</v>
      </c>
      <c r="BB4382" t="str">
        <f t="shared" si="2451"/>
        <v xml:space="preserve">N9217B  </v>
      </c>
      <c r="BC4382">
        <v>1</v>
      </c>
      <c r="BE4382">
        <v>0</v>
      </c>
      <c r="BF4382">
        <v>0</v>
      </c>
      <c r="BG4382">
        <v>0</v>
      </c>
      <c r="BH4382">
        <v>4825</v>
      </c>
      <c r="BI4382">
        <v>0</v>
      </c>
      <c r="BJ4382">
        <v>0</v>
      </c>
      <c r="BK4382">
        <v>0</v>
      </c>
      <c r="BL4382">
        <v>0</v>
      </c>
      <c r="BO4382">
        <v>0</v>
      </c>
      <c r="BP4382">
        <v>0</v>
      </c>
      <c r="BW4382" t="str">
        <f t="shared" si="2463"/>
        <v>14:59:56.614</v>
      </c>
      <c r="CJ4382">
        <v>0</v>
      </c>
      <c r="CK4382">
        <v>0</v>
      </c>
      <c r="CL4382">
        <v>0</v>
      </c>
      <c r="CM4382">
        <v>0</v>
      </c>
      <c r="CN4382">
        <v>0</v>
      </c>
      <c r="CO4382">
        <v>3</v>
      </c>
      <c r="CP4382" t="s">
        <v>119</v>
      </c>
      <c r="CQ4382">
        <v>298</v>
      </c>
      <c r="CR4382">
        <v>0</v>
      </c>
      <c r="CW4382">
        <v>10478550</v>
      </c>
      <c r="CY4382">
        <v>0</v>
      </c>
      <c r="CZ4382">
        <v>0</v>
      </c>
      <c r="DA4382">
        <v>1</v>
      </c>
      <c r="DB4382">
        <v>0</v>
      </c>
      <c r="DC4382">
        <v>0</v>
      </c>
      <c r="DD4382">
        <v>0</v>
      </c>
      <c r="DE4382">
        <v>0</v>
      </c>
      <c r="DF4382">
        <v>1</v>
      </c>
      <c r="DG4382">
        <v>1</v>
      </c>
      <c r="DH4382">
        <v>0</v>
      </c>
      <c r="DI4382">
        <v>0</v>
      </c>
    </row>
    <row r="4383" spans="1:113" x14ac:dyDescent="0.25">
      <c r="A4383" t="str">
        <f t="shared" ref="A4383:A4388" si="2464">"06/05/2020 14:59:52.731"</f>
        <v>06/05/2020 14:59:52.731</v>
      </c>
      <c r="C4383" t="str">
        <f t="shared" si="2431"/>
        <v>FFDFD3C0</v>
      </c>
      <c r="D4383" t="s">
        <v>113</v>
      </c>
      <c r="E4383">
        <v>3</v>
      </c>
      <c r="H4383">
        <v>166</v>
      </c>
      <c r="I4383" t="s">
        <v>114</v>
      </c>
      <c r="J4383" t="s">
        <v>115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 t="shared" ref="S4383:S4388" si="2465">"14:59:58.078"</f>
        <v>14:59:58.078</v>
      </c>
      <c r="T4383" t="str">
        <f t="shared" ref="T4383:T4388" si="2466">"14:59:55.178"</f>
        <v>14:59:55.178</v>
      </c>
      <c r="U4383" t="str">
        <f t="shared" si="2448"/>
        <v>ACC530</v>
      </c>
      <c r="V4383">
        <v>0</v>
      </c>
      <c r="W4383">
        <v>0</v>
      </c>
      <c r="X4383">
        <v>1</v>
      </c>
      <c r="Z4383">
        <v>0</v>
      </c>
      <c r="AA4383">
        <v>9</v>
      </c>
      <c r="AB4383">
        <v>3</v>
      </c>
      <c r="AC4383">
        <v>0</v>
      </c>
      <c r="AD4383">
        <v>9</v>
      </c>
      <c r="AE4383">
        <v>0</v>
      </c>
      <c r="AF4383">
        <v>3</v>
      </c>
      <c r="AG4383">
        <v>1</v>
      </c>
      <c r="AH4383">
        <v>0</v>
      </c>
      <c r="AI4383" t="s">
        <v>1375</v>
      </c>
      <c r="AJ4383">
        <v>34.072316000000001</v>
      </c>
      <c r="AK4383" t="s">
        <v>1376</v>
      </c>
      <c r="AL4383">
        <v>-117.038426</v>
      </c>
      <c r="AM4383">
        <v>100</v>
      </c>
      <c r="AN4383">
        <v>5000</v>
      </c>
      <c r="AO4383" t="s">
        <v>118</v>
      </c>
      <c r="AP4383">
        <v>-103</v>
      </c>
      <c r="AQ4383">
        <v>21</v>
      </c>
      <c r="AR4383">
        <v>-768</v>
      </c>
      <c r="AZ4383">
        <v>1200</v>
      </c>
      <c r="BA4383">
        <v>1</v>
      </c>
      <c r="BB4383" t="str">
        <f t="shared" si="2451"/>
        <v xml:space="preserve">N9217B  </v>
      </c>
      <c r="BC4383">
        <v>1</v>
      </c>
      <c r="BE4383">
        <v>0</v>
      </c>
      <c r="BF4383">
        <v>0</v>
      </c>
      <c r="BG4383">
        <v>0</v>
      </c>
      <c r="BH4383">
        <v>4825</v>
      </c>
      <c r="BI4383">
        <v>1</v>
      </c>
      <c r="BJ4383">
        <v>0</v>
      </c>
      <c r="BK4383">
        <v>0</v>
      </c>
      <c r="BL4383">
        <v>0</v>
      </c>
      <c r="BO4383">
        <v>0</v>
      </c>
      <c r="BP4383">
        <v>0</v>
      </c>
      <c r="BW4383" t="str">
        <f t="shared" ref="BW4383:BW4388" si="2467">"14:59:58.084"</f>
        <v>14:59:58.084</v>
      </c>
      <c r="CJ4383">
        <v>0</v>
      </c>
      <c r="CK4383">
        <v>2</v>
      </c>
      <c r="CL4383">
        <v>0</v>
      </c>
      <c r="CM4383">
        <v>2</v>
      </c>
      <c r="CN4383">
        <v>0</v>
      </c>
      <c r="CO4383">
        <v>4</v>
      </c>
      <c r="CP4383" t="s">
        <v>119</v>
      </c>
      <c r="CQ4383">
        <v>298</v>
      </c>
      <c r="CR4383">
        <v>0</v>
      </c>
      <c r="CW4383">
        <v>10478720</v>
      </c>
      <c r="CY4383">
        <v>0</v>
      </c>
      <c r="CZ4383">
        <v>0</v>
      </c>
      <c r="DA4383">
        <v>0</v>
      </c>
      <c r="DB4383">
        <v>0</v>
      </c>
      <c r="DC4383">
        <v>0</v>
      </c>
      <c r="DD4383">
        <v>0</v>
      </c>
      <c r="DE4383">
        <v>0</v>
      </c>
      <c r="DF4383">
        <v>0</v>
      </c>
      <c r="DG4383">
        <v>0</v>
      </c>
      <c r="DH4383">
        <v>0</v>
      </c>
      <c r="DI4383">
        <v>0</v>
      </c>
    </row>
    <row r="4384" spans="1:113" x14ac:dyDescent="0.25">
      <c r="A4384" t="str">
        <f t="shared" si="2464"/>
        <v>06/05/2020 14:59:52.731</v>
      </c>
      <c r="C4384" t="str">
        <f t="shared" si="2431"/>
        <v>FFDFD3C0</v>
      </c>
      <c r="D4384" t="s">
        <v>151</v>
      </c>
      <c r="E4384">
        <v>8</v>
      </c>
      <c r="H4384">
        <v>225</v>
      </c>
      <c r="I4384" t="s">
        <v>353</v>
      </c>
      <c r="J4384" t="s">
        <v>150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 t="shared" si="2465"/>
        <v>14:59:58.078</v>
      </c>
      <c r="T4384" t="str">
        <f t="shared" si="2466"/>
        <v>14:59:55.178</v>
      </c>
      <c r="U4384" t="str">
        <f t="shared" si="2448"/>
        <v>ACC530</v>
      </c>
      <c r="V4384">
        <v>0</v>
      </c>
      <c r="W4384">
        <v>0</v>
      </c>
      <c r="X4384">
        <v>1</v>
      </c>
      <c r="Z4384">
        <v>0</v>
      </c>
      <c r="AA4384">
        <v>9</v>
      </c>
      <c r="AB4384">
        <v>3</v>
      </c>
      <c r="AC4384">
        <v>0</v>
      </c>
      <c r="AD4384">
        <v>9</v>
      </c>
      <c r="AE4384">
        <v>0</v>
      </c>
      <c r="AF4384">
        <v>3</v>
      </c>
      <c r="AG4384">
        <v>1</v>
      </c>
      <c r="AH4384">
        <v>0</v>
      </c>
      <c r="AI4384" t="s">
        <v>1375</v>
      </c>
      <c r="AJ4384">
        <v>34.072316000000001</v>
      </c>
      <c r="AK4384" t="s">
        <v>1376</v>
      </c>
      <c r="AL4384">
        <v>-117.038426</v>
      </c>
      <c r="AM4384">
        <v>100</v>
      </c>
      <c r="AN4384">
        <v>5000</v>
      </c>
      <c r="AO4384" t="s">
        <v>118</v>
      </c>
      <c r="AP4384">
        <v>-103</v>
      </c>
      <c r="AQ4384">
        <v>21</v>
      </c>
      <c r="AR4384">
        <v>-768</v>
      </c>
      <c r="AZ4384">
        <v>1200</v>
      </c>
      <c r="BA4384">
        <v>1</v>
      </c>
      <c r="BB4384" t="str">
        <f t="shared" si="2451"/>
        <v xml:space="preserve">N9217B  </v>
      </c>
      <c r="BC4384">
        <v>1</v>
      </c>
      <c r="BE4384">
        <v>0</v>
      </c>
      <c r="BF4384">
        <v>0</v>
      </c>
      <c r="BG4384">
        <v>0</v>
      </c>
      <c r="BH4384">
        <v>4825</v>
      </c>
      <c r="BI4384">
        <v>1</v>
      </c>
      <c r="BJ4384">
        <v>0</v>
      </c>
      <c r="BK4384">
        <v>0</v>
      </c>
      <c r="BL4384">
        <v>0</v>
      </c>
      <c r="BO4384">
        <v>0</v>
      </c>
      <c r="BP4384">
        <v>0</v>
      </c>
      <c r="BW4384" t="str">
        <f t="shared" si="2467"/>
        <v>14:59:58.084</v>
      </c>
      <c r="CJ4384">
        <v>0</v>
      </c>
      <c r="CK4384">
        <v>2</v>
      </c>
      <c r="CL4384">
        <v>0</v>
      </c>
      <c r="CM4384">
        <v>2</v>
      </c>
      <c r="CN4384">
        <v>0</v>
      </c>
      <c r="CO4384">
        <v>4</v>
      </c>
      <c r="CP4384" t="s">
        <v>119</v>
      </c>
      <c r="CQ4384">
        <v>298</v>
      </c>
      <c r="CR4384">
        <v>0</v>
      </c>
      <c r="CW4384">
        <v>10478720</v>
      </c>
      <c r="CY4384">
        <v>0</v>
      </c>
      <c r="CZ4384">
        <v>0</v>
      </c>
      <c r="DA4384">
        <v>1</v>
      </c>
      <c r="DB4384">
        <v>0</v>
      </c>
      <c r="DC4384">
        <v>0</v>
      </c>
      <c r="DD4384">
        <v>0</v>
      </c>
      <c r="DE4384">
        <v>0</v>
      </c>
      <c r="DF4384">
        <v>0</v>
      </c>
      <c r="DG4384">
        <v>0</v>
      </c>
      <c r="DH4384">
        <v>0</v>
      </c>
      <c r="DI4384">
        <v>0</v>
      </c>
    </row>
    <row r="4385" spans="1:113" x14ac:dyDescent="0.25">
      <c r="A4385" t="str">
        <f t="shared" si="2464"/>
        <v>06/05/2020 14:59:52.731</v>
      </c>
      <c r="C4385" t="str">
        <f t="shared" si="2431"/>
        <v>FFDFD3C0</v>
      </c>
      <c r="D4385" t="s">
        <v>141</v>
      </c>
      <c r="E4385">
        <v>20</v>
      </c>
      <c r="F4385">
        <v>1020</v>
      </c>
      <c r="G4385" t="s">
        <v>114</v>
      </c>
      <c r="J4385" t="s">
        <v>142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 t="shared" si="2465"/>
        <v>14:59:58.078</v>
      </c>
      <c r="T4385" t="str">
        <f t="shared" si="2466"/>
        <v>14:59:55.178</v>
      </c>
      <c r="U4385" t="str">
        <f t="shared" si="2448"/>
        <v>ACC530</v>
      </c>
      <c r="V4385">
        <v>0</v>
      </c>
      <c r="W4385">
        <v>0</v>
      </c>
      <c r="X4385">
        <v>1</v>
      </c>
      <c r="Z4385">
        <v>0</v>
      </c>
      <c r="AA4385">
        <v>9</v>
      </c>
      <c r="AB4385">
        <v>3</v>
      </c>
      <c r="AC4385">
        <v>0</v>
      </c>
      <c r="AD4385">
        <v>9</v>
      </c>
      <c r="AE4385">
        <v>0</v>
      </c>
      <c r="AF4385">
        <v>3</v>
      </c>
      <c r="AG4385">
        <v>1</v>
      </c>
      <c r="AH4385">
        <v>0</v>
      </c>
      <c r="AI4385" t="s">
        <v>1375</v>
      </c>
      <c r="AJ4385">
        <v>34.072316000000001</v>
      </c>
      <c r="AK4385" t="s">
        <v>1376</v>
      </c>
      <c r="AL4385">
        <v>-117.038426</v>
      </c>
      <c r="AM4385">
        <v>100</v>
      </c>
      <c r="AN4385">
        <v>5000</v>
      </c>
      <c r="AO4385" t="s">
        <v>118</v>
      </c>
      <c r="AP4385">
        <v>-103</v>
      </c>
      <c r="AQ4385">
        <v>21</v>
      </c>
      <c r="AR4385">
        <v>-768</v>
      </c>
      <c r="AZ4385">
        <v>1200</v>
      </c>
      <c r="BA4385">
        <v>1</v>
      </c>
      <c r="BB4385" t="str">
        <f t="shared" si="2451"/>
        <v xml:space="preserve">N9217B  </v>
      </c>
      <c r="BC4385">
        <v>1</v>
      </c>
      <c r="BE4385">
        <v>0</v>
      </c>
      <c r="BF4385">
        <v>0</v>
      </c>
      <c r="BG4385">
        <v>0</v>
      </c>
      <c r="BH4385">
        <v>4825</v>
      </c>
      <c r="BI4385">
        <v>1</v>
      </c>
      <c r="BJ4385">
        <v>0</v>
      </c>
      <c r="BK4385">
        <v>0</v>
      </c>
      <c r="BL4385">
        <v>0</v>
      </c>
      <c r="BO4385">
        <v>0</v>
      </c>
      <c r="BP4385">
        <v>0</v>
      </c>
      <c r="BW4385" t="str">
        <f t="shared" si="2467"/>
        <v>14:59:58.084</v>
      </c>
      <c r="CJ4385">
        <v>0</v>
      </c>
      <c r="CK4385">
        <v>2</v>
      </c>
      <c r="CL4385">
        <v>0</v>
      </c>
      <c r="CM4385">
        <v>2</v>
      </c>
      <c r="CN4385">
        <v>0</v>
      </c>
      <c r="CO4385">
        <v>4</v>
      </c>
      <c r="CP4385" t="s">
        <v>119</v>
      </c>
      <c r="CQ4385">
        <v>298</v>
      </c>
      <c r="CR4385">
        <v>0</v>
      </c>
      <c r="CW4385">
        <v>10478720</v>
      </c>
      <c r="CY4385">
        <v>0</v>
      </c>
      <c r="CZ4385">
        <v>0</v>
      </c>
      <c r="DA4385">
        <v>1</v>
      </c>
      <c r="DB4385">
        <v>0</v>
      </c>
      <c r="DC4385">
        <v>0</v>
      </c>
      <c r="DD4385">
        <v>0</v>
      </c>
      <c r="DE4385">
        <v>0</v>
      </c>
      <c r="DF4385">
        <v>0</v>
      </c>
      <c r="DG4385">
        <v>0</v>
      </c>
      <c r="DH4385">
        <v>0</v>
      </c>
      <c r="DI4385">
        <v>0</v>
      </c>
    </row>
    <row r="4386" spans="1:113" x14ac:dyDescent="0.25">
      <c r="A4386" t="str">
        <f t="shared" si="2464"/>
        <v>06/05/2020 14:59:52.731</v>
      </c>
      <c r="C4386" t="str">
        <f t="shared" si="2431"/>
        <v>FFDFD3C0</v>
      </c>
      <c r="D4386" t="s">
        <v>148</v>
      </c>
      <c r="E4386">
        <v>11</v>
      </c>
      <c r="H4386">
        <v>53</v>
      </c>
      <c r="I4386" t="s">
        <v>364</v>
      </c>
      <c r="J4386" t="s">
        <v>150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 t="shared" si="2465"/>
        <v>14:59:58.078</v>
      </c>
      <c r="T4386" t="str">
        <f t="shared" si="2466"/>
        <v>14:59:55.178</v>
      </c>
      <c r="U4386" t="str">
        <f t="shared" si="2448"/>
        <v>ACC530</v>
      </c>
      <c r="V4386">
        <v>0</v>
      </c>
      <c r="W4386">
        <v>0</v>
      </c>
      <c r="X4386">
        <v>1</v>
      </c>
      <c r="Z4386">
        <v>0</v>
      </c>
      <c r="AA4386">
        <v>9</v>
      </c>
      <c r="AB4386">
        <v>3</v>
      </c>
      <c r="AC4386">
        <v>0</v>
      </c>
      <c r="AD4386">
        <v>9</v>
      </c>
      <c r="AE4386">
        <v>0</v>
      </c>
      <c r="AF4386">
        <v>3</v>
      </c>
      <c r="AG4386">
        <v>1</v>
      </c>
      <c r="AH4386">
        <v>0</v>
      </c>
      <c r="AI4386" t="s">
        <v>1375</v>
      </c>
      <c r="AJ4386">
        <v>34.072316000000001</v>
      </c>
      <c r="AK4386" t="s">
        <v>1376</v>
      </c>
      <c r="AL4386">
        <v>-117.038426</v>
      </c>
      <c r="AM4386">
        <v>100</v>
      </c>
      <c r="AN4386">
        <v>5000</v>
      </c>
      <c r="AO4386" t="s">
        <v>118</v>
      </c>
      <c r="AP4386">
        <v>-103</v>
      </c>
      <c r="AQ4386">
        <v>21</v>
      </c>
      <c r="AR4386">
        <v>-768</v>
      </c>
      <c r="AZ4386">
        <v>1200</v>
      </c>
      <c r="BA4386">
        <v>1</v>
      </c>
      <c r="BB4386" t="str">
        <f t="shared" si="2451"/>
        <v xml:space="preserve">N9217B  </v>
      </c>
      <c r="BC4386">
        <v>1</v>
      </c>
      <c r="BE4386">
        <v>0</v>
      </c>
      <c r="BF4386">
        <v>0</v>
      </c>
      <c r="BG4386">
        <v>0</v>
      </c>
      <c r="BH4386">
        <v>4825</v>
      </c>
      <c r="BI4386">
        <v>1</v>
      </c>
      <c r="BJ4386">
        <v>0</v>
      </c>
      <c r="BK4386">
        <v>0</v>
      </c>
      <c r="BL4386">
        <v>0</v>
      </c>
      <c r="BO4386">
        <v>0</v>
      </c>
      <c r="BP4386">
        <v>0</v>
      </c>
      <c r="BW4386" t="str">
        <f t="shared" si="2467"/>
        <v>14:59:58.084</v>
      </c>
      <c r="CJ4386">
        <v>0</v>
      </c>
      <c r="CK4386">
        <v>2</v>
      </c>
      <c r="CL4386">
        <v>0</v>
      </c>
      <c r="CM4386">
        <v>2</v>
      </c>
      <c r="CN4386">
        <v>0</v>
      </c>
      <c r="CO4386">
        <v>4</v>
      </c>
      <c r="CP4386" t="s">
        <v>119</v>
      </c>
      <c r="CQ4386">
        <v>298</v>
      </c>
      <c r="CR4386">
        <v>0</v>
      </c>
      <c r="CW4386">
        <v>10478720</v>
      </c>
      <c r="CY4386">
        <v>0</v>
      </c>
      <c r="CZ4386">
        <v>0</v>
      </c>
      <c r="DA4386">
        <v>1</v>
      </c>
      <c r="DB4386">
        <v>0</v>
      </c>
      <c r="DC4386">
        <v>0</v>
      </c>
      <c r="DD4386">
        <v>0</v>
      </c>
      <c r="DE4386">
        <v>0</v>
      </c>
      <c r="DF4386">
        <v>0</v>
      </c>
      <c r="DG4386">
        <v>0</v>
      </c>
      <c r="DH4386">
        <v>0</v>
      </c>
      <c r="DI4386">
        <v>0</v>
      </c>
    </row>
    <row r="4387" spans="1:113" x14ac:dyDescent="0.25">
      <c r="A4387" t="str">
        <f t="shared" si="2464"/>
        <v>06/05/2020 14:59:52.731</v>
      </c>
      <c r="C4387" t="str">
        <f t="shared" ref="C4387:C4450" si="2468">"FFDFD3C0"</f>
        <v>FFDFD3C0</v>
      </c>
      <c r="D4387" t="s">
        <v>148</v>
      </c>
      <c r="E4387">
        <v>8</v>
      </c>
      <c r="H4387">
        <v>50</v>
      </c>
      <c r="I4387" t="s">
        <v>149</v>
      </c>
      <c r="J4387" t="s">
        <v>150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 t="shared" si="2465"/>
        <v>14:59:58.078</v>
      </c>
      <c r="T4387" t="str">
        <f t="shared" si="2466"/>
        <v>14:59:55.178</v>
      </c>
      <c r="U4387" t="str">
        <f t="shared" si="2448"/>
        <v>ACC530</v>
      </c>
      <c r="V4387">
        <v>0</v>
      </c>
      <c r="W4387">
        <v>0</v>
      </c>
      <c r="X4387">
        <v>1</v>
      </c>
      <c r="Z4387">
        <v>0</v>
      </c>
      <c r="AA4387">
        <v>9</v>
      </c>
      <c r="AB4387">
        <v>3</v>
      </c>
      <c r="AC4387">
        <v>0</v>
      </c>
      <c r="AD4387">
        <v>9</v>
      </c>
      <c r="AE4387">
        <v>0</v>
      </c>
      <c r="AF4387">
        <v>3</v>
      </c>
      <c r="AG4387">
        <v>1</v>
      </c>
      <c r="AH4387">
        <v>0</v>
      </c>
      <c r="AI4387" t="s">
        <v>1375</v>
      </c>
      <c r="AJ4387">
        <v>34.072316000000001</v>
      </c>
      <c r="AK4387" t="s">
        <v>1376</v>
      </c>
      <c r="AL4387">
        <v>-117.038426</v>
      </c>
      <c r="AM4387">
        <v>100</v>
      </c>
      <c r="AN4387">
        <v>5000</v>
      </c>
      <c r="AO4387" t="s">
        <v>118</v>
      </c>
      <c r="AP4387">
        <v>-103</v>
      </c>
      <c r="AQ4387">
        <v>21</v>
      </c>
      <c r="AR4387">
        <v>-768</v>
      </c>
      <c r="AZ4387">
        <v>1200</v>
      </c>
      <c r="BA4387">
        <v>1</v>
      </c>
      <c r="BB4387" t="str">
        <f t="shared" si="2451"/>
        <v xml:space="preserve">N9217B  </v>
      </c>
      <c r="BC4387">
        <v>1</v>
      </c>
      <c r="BE4387">
        <v>0</v>
      </c>
      <c r="BF4387">
        <v>0</v>
      </c>
      <c r="BG4387">
        <v>0</v>
      </c>
      <c r="BH4387">
        <v>4825</v>
      </c>
      <c r="BI4387">
        <v>1</v>
      </c>
      <c r="BJ4387">
        <v>0</v>
      </c>
      <c r="BK4387">
        <v>0</v>
      </c>
      <c r="BL4387">
        <v>0</v>
      </c>
      <c r="BO4387">
        <v>0</v>
      </c>
      <c r="BP4387">
        <v>0</v>
      </c>
      <c r="BW4387" t="str">
        <f t="shared" si="2467"/>
        <v>14:59:58.084</v>
      </c>
      <c r="CJ4387">
        <v>0</v>
      </c>
      <c r="CK4387">
        <v>2</v>
      </c>
      <c r="CL4387">
        <v>0</v>
      </c>
      <c r="CM4387">
        <v>2</v>
      </c>
      <c r="CN4387">
        <v>0</v>
      </c>
      <c r="CO4387">
        <v>4</v>
      </c>
      <c r="CP4387" t="s">
        <v>119</v>
      </c>
      <c r="CQ4387">
        <v>298</v>
      </c>
      <c r="CR4387">
        <v>0</v>
      </c>
      <c r="CW4387">
        <v>10478720</v>
      </c>
      <c r="CY4387">
        <v>0</v>
      </c>
      <c r="CZ4387">
        <v>0</v>
      </c>
      <c r="DA4387">
        <v>1</v>
      </c>
      <c r="DB4387">
        <v>0</v>
      </c>
      <c r="DC4387">
        <v>0</v>
      </c>
      <c r="DD4387">
        <v>0</v>
      </c>
      <c r="DE4387">
        <v>0</v>
      </c>
      <c r="DF4387">
        <v>0</v>
      </c>
      <c r="DG4387">
        <v>0</v>
      </c>
      <c r="DH4387">
        <v>0</v>
      </c>
      <c r="DI4387">
        <v>0</v>
      </c>
    </row>
    <row r="4388" spans="1:113" x14ac:dyDescent="0.25">
      <c r="A4388" t="str">
        <f t="shared" si="2464"/>
        <v>06/05/2020 14:59:52.731</v>
      </c>
      <c r="C4388" t="str">
        <f t="shared" si="2468"/>
        <v>FFDFD3C0</v>
      </c>
      <c r="D4388" t="s">
        <v>134</v>
      </c>
      <c r="E4388">
        <v>7</v>
      </c>
      <c r="F4388">
        <v>2007</v>
      </c>
      <c r="G4388" t="s">
        <v>135</v>
      </c>
      <c r="J4388" t="s">
        <v>136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 t="shared" si="2465"/>
        <v>14:59:58.078</v>
      </c>
      <c r="T4388" t="str">
        <f t="shared" si="2466"/>
        <v>14:59:55.178</v>
      </c>
      <c r="U4388" t="str">
        <f t="shared" si="2448"/>
        <v>ACC530</v>
      </c>
      <c r="V4388">
        <v>0</v>
      </c>
      <c r="W4388">
        <v>0</v>
      </c>
      <c r="X4388">
        <v>1</v>
      </c>
      <c r="Z4388">
        <v>0</v>
      </c>
      <c r="AA4388">
        <v>9</v>
      </c>
      <c r="AB4388">
        <v>3</v>
      </c>
      <c r="AC4388">
        <v>0</v>
      </c>
      <c r="AD4388">
        <v>9</v>
      </c>
      <c r="AE4388">
        <v>0</v>
      </c>
      <c r="AF4388">
        <v>3</v>
      </c>
      <c r="AG4388">
        <v>1</v>
      </c>
      <c r="AH4388">
        <v>0</v>
      </c>
      <c r="AI4388" t="s">
        <v>1375</v>
      </c>
      <c r="AJ4388">
        <v>34.072316000000001</v>
      </c>
      <c r="AK4388" t="s">
        <v>1376</v>
      </c>
      <c r="AL4388">
        <v>-117.038426</v>
      </c>
      <c r="AM4388">
        <v>100</v>
      </c>
      <c r="AN4388">
        <v>5000</v>
      </c>
      <c r="AO4388" t="s">
        <v>118</v>
      </c>
      <c r="AP4388">
        <v>-103</v>
      </c>
      <c r="AQ4388">
        <v>21</v>
      </c>
      <c r="AR4388">
        <v>-768</v>
      </c>
      <c r="AZ4388">
        <v>1200</v>
      </c>
      <c r="BA4388">
        <v>1</v>
      </c>
      <c r="BB4388" t="str">
        <f t="shared" si="2451"/>
        <v xml:space="preserve">N9217B  </v>
      </c>
      <c r="BC4388">
        <v>1</v>
      </c>
      <c r="BE4388">
        <v>0</v>
      </c>
      <c r="BF4388">
        <v>0</v>
      </c>
      <c r="BG4388">
        <v>0</v>
      </c>
      <c r="BH4388">
        <v>4825</v>
      </c>
      <c r="BI4388">
        <v>1</v>
      </c>
      <c r="BJ4388">
        <v>0</v>
      </c>
      <c r="BK4388">
        <v>0</v>
      </c>
      <c r="BL4388">
        <v>0</v>
      </c>
      <c r="BO4388">
        <v>0</v>
      </c>
      <c r="BP4388">
        <v>0</v>
      </c>
      <c r="BW4388" t="str">
        <f t="shared" si="2467"/>
        <v>14:59:58.084</v>
      </c>
      <c r="CJ4388">
        <v>0</v>
      </c>
      <c r="CK4388">
        <v>2</v>
      </c>
      <c r="CL4388">
        <v>0</v>
      </c>
      <c r="CM4388">
        <v>2</v>
      </c>
      <c r="CN4388">
        <v>0</v>
      </c>
      <c r="CO4388">
        <v>4</v>
      </c>
      <c r="CP4388" t="s">
        <v>119</v>
      </c>
      <c r="CQ4388">
        <v>298</v>
      </c>
      <c r="CR4388">
        <v>0</v>
      </c>
      <c r="CW4388">
        <v>10478720</v>
      </c>
      <c r="CY4388">
        <v>0</v>
      </c>
      <c r="CZ4388">
        <v>0</v>
      </c>
      <c r="DA4388">
        <v>1</v>
      </c>
      <c r="DB4388">
        <v>0</v>
      </c>
      <c r="DC4388">
        <v>0</v>
      </c>
      <c r="DD4388">
        <v>0</v>
      </c>
      <c r="DE4388">
        <v>0</v>
      </c>
      <c r="DF4388">
        <v>0</v>
      </c>
      <c r="DG4388">
        <v>0</v>
      </c>
      <c r="DH4388">
        <v>0</v>
      </c>
      <c r="DI4388">
        <v>0</v>
      </c>
    </row>
    <row r="4389" spans="1:113" x14ac:dyDescent="0.25">
      <c r="A4389" t="str">
        <f t="shared" ref="A4389:A4394" si="2469">"06/05/2020 14:59:53.532"</f>
        <v>06/05/2020 14:59:53.532</v>
      </c>
      <c r="C4389" t="str">
        <f t="shared" si="2468"/>
        <v>FFDFD3C0</v>
      </c>
      <c r="D4389" t="s">
        <v>134</v>
      </c>
      <c r="E4389">
        <v>7</v>
      </c>
      <c r="F4389">
        <v>2007</v>
      </c>
      <c r="G4389" t="s">
        <v>135</v>
      </c>
      <c r="J4389" t="s">
        <v>136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 t="shared" ref="S4389:T4394" si="2470">"14:59:59.172"</f>
        <v>14:59:59.172</v>
      </c>
      <c r="T4389" t="str">
        <f t="shared" si="2470"/>
        <v>14:59:59.172</v>
      </c>
      <c r="U4389" t="str">
        <f t="shared" si="2448"/>
        <v>ACC530</v>
      </c>
      <c r="V4389">
        <v>0</v>
      </c>
      <c r="W4389">
        <v>0</v>
      </c>
      <c r="X4389">
        <v>1</v>
      </c>
      <c r="Z4389">
        <v>0</v>
      </c>
      <c r="AA4389">
        <v>9</v>
      </c>
      <c r="AB4389">
        <v>3</v>
      </c>
      <c r="AC4389">
        <v>0</v>
      </c>
      <c r="AD4389">
        <v>9</v>
      </c>
      <c r="AE4389">
        <v>0</v>
      </c>
      <c r="AF4389">
        <v>3</v>
      </c>
      <c r="AG4389">
        <v>1</v>
      </c>
      <c r="AH4389">
        <v>0</v>
      </c>
      <c r="AI4389" t="s">
        <v>1377</v>
      </c>
      <c r="AJ4389">
        <v>34.072401999999997</v>
      </c>
      <c r="AK4389" t="s">
        <v>1378</v>
      </c>
      <c r="AL4389">
        <v>-117.039027</v>
      </c>
      <c r="AM4389">
        <v>100</v>
      </c>
      <c r="AN4389">
        <v>5000</v>
      </c>
      <c r="AO4389" t="s">
        <v>118</v>
      </c>
      <c r="AP4389">
        <v>-103</v>
      </c>
      <c r="AQ4389">
        <v>22</v>
      </c>
      <c r="AR4389">
        <v>-896</v>
      </c>
      <c r="AZ4389">
        <v>1200</v>
      </c>
      <c r="BA4389">
        <v>1</v>
      </c>
      <c r="BB4389" t="str">
        <f t="shared" si="2451"/>
        <v xml:space="preserve">N9217B  </v>
      </c>
      <c r="BC4389">
        <v>1</v>
      </c>
      <c r="BE4389">
        <v>0</v>
      </c>
      <c r="BF4389">
        <v>0</v>
      </c>
      <c r="BG4389">
        <v>0</v>
      </c>
      <c r="BH4389">
        <v>4775</v>
      </c>
      <c r="BI4389">
        <v>1</v>
      </c>
      <c r="BJ4389">
        <v>0</v>
      </c>
      <c r="BK4389">
        <v>0</v>
      </c>
      <c r="BL4389">
        <v>0</v>
      </c>
      <c r="BO4389">
        <v>0</v>
      </c>
      <c r="BP4389">
        <v>0</v>
      </c>
      <c r="BW4389" t="str">
        <f t="shared" ref="BW4389:BW4394" si="2471">"14:59:59.179"</f>
        <v>14:59:59.179</v>
      </c>
      <c r="CJ4389">
        <v>0</v>
      </c>
      <c r="CK4389">
        <v>2</v>
      </c>
      <c r="CL4389">
        <v>0</v>
      </c>
      <c r="CM4389">
        <v>2</v>
      </c>
      <c r="CN4389">
        <v>0</v>
      </c>
      <c r="CO4389">
        <v>4</v>
      </c>
      <c r="CP4389" t="s">
        <v>119</v>
      </c>
      <c r="CQ4389">
        <v>298</v>
      </c>
      <c r="CR4389">
        <v>0</v>
      </c>
      <c r="CW4389">
        <v>10478855</v>
      </c>
      <c r="CY4389">
        <v>0</v>
      </c>
      <c r="CZ4389">
        <v>0</v>
      </c>
      <c r="DA4389">
        <v>0</v>
      </c>
      <c r="DB4389">
        <v>0</v>
      </c>
      <c r="DC4389">
        <v>0</v>
      </c>
      <c r="DD4389">
        <v>0</v>
      </c>
      <c r="DE4389">
        <v>0</v>
      </c>
      <c r="DF4389">
        <v>0</v>
      </c>
      <c r="DG4389">
        <v>0</v>
      </c>
      <c r="DH4389">
        <v>0</v>
      </c>
      <c r="DI4389">
        <v>0</v>
      </c>
    </row>
    <row r="4390" spans="1:113" x14ac:dyDescent="0.25">
      <c r="A4390" t="str">
        <f t="shared" si="2469"/>
        <v>06/05/2020 14:59:53.532</v>
      </c>
      <c r="C4390" t="str">
        <f t="shared" si="2468"/>
        <v>FFDFD3C0</v>
      </c>
      <c r="D4390" t="s">
        <v>113</v>
      </c>
      <c r="E4390">
        <v>3</v>
      </c>
      <c r="H4390">
        <v>166</v>
      </c>
      <c r="I4390" t="s">
        <v>114</v>
      </c>
      <c r="J4390" t="s">
        <v>115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 t="shared" si="2470"/>
        <v>14:59:59.172</v>
      </c>
      <c r="T4390" t="str">
        <f t="shared" si="2470"/>
        <v>14:59:59.172</v>
      </c>
      <c r="U4390" t="str">
        <f t="shared" si="2448"/>
        <v>ACC530</v>
      </c>
      <c r="V4390">
        <v>0</v>
      </c>
      <c r="W4390">
        <v>0</v>
      </c>
      <c r="X4390">
        <v>1</v>
      </c>
      <c r="Z4390">
        <v>0</v>
      </c>
      <c r="AA4390">
        <v>9</v>
      </c>
      <c r="AB4390">
        <v>3</v>
      </c>
      <c r="AC4390">
        <v>0</v>
      </c>
      <c r="AD4390">
        <v>9</v>
      </c>
      <c r="AE4390">
        <v>0</v>
      </c>
      <c r="AF4390">
        <v>3</v>
      </c>
      <c r="AG4390">
        <v>1</v>
      </c>
      <c r="AH4390">
        <v>0</v>
      </c>
      <c r="AI4390" t="s">
        <v>1377</v>
      </c>
      <c r="AJ4390">
        <v>34.072401999999997</v>
      </c>
      <c r="AK4390" t="s">
        <v>1378</v>
      </c>
      <c r="AL4390">
        <v>-117.039027</v>
      </c>
      <c r="AM4390">
        <v>100</v>
      </c>
      <c r="AN4390">
        <v>5000</v>
      </c>
      <c r="AO4390" t="s">
        <v>118</v>
      </c>
      <c r="AP4390">
        <v>-103</v>
      </c>
      <c r="AQ4390">
        <v>22</v>
      </c>
      <c r="AR4390">
        <v>-896</v>
      </c>
      <c r="AZ4390">
        <v>1200</v>
      </c>
      <c r="BA4390">
        <v>1</v>
      </c>
      <c r="BB4390" t="str">
        <f t="shared" si="2451"/>
        <v xml:space="preserve">N9217B  </v>
      </c>
      <c r="BC4390">
        <v>1</v>
      </c>
      <c r="BE4390">
        <v>0</v>
      </c>
      <c r="BF4390">
        <v>0</v>
      </c>
      <c r="BG4390">
        <v>0</v>
      </c>
      <c r="BH4390">
        <v>4775</v>
      </c>
      <c r="BI4390">
        <v>1</v>
      </c>
      <c r="BJ4390">
        <v>0</v>
      </c>
      <c r="BK4390">
        <v>0</v>
      </c>
      <c r="BL4390">
        <v>0</v>
      </c>
      <c r="BO4390">
        <v>0</v>
      </c>
      <c r="BP4390">
        <v>0</v>
      </c>
      <c r="BW4390" t="str">
        <f t="shared" si="2471"/>
        <v>14:59:59.179</v>
      </c>
      <c r="CJ4390">
        <v>0</v>
      </c>
      <c r="CK4390">
        <v>2</v>
      </c>
      <c r="CL4390">
        <v>0</v>
      </c>
      <c r="CM4390">
        <v>2</v>
      </c>
      <c r="CN4390">
        <v>0</v>
      </c>
      <c r="CO4390">
        <v>4</v>
      </c>
      <c r="CP4390" t="s">
        <v>119</v>
      </c>
      <c r="CQ4390">
        <v>298</v>
      </c>
      <c r="CR4390">
        <v>0</v>
      </c>
      <c r="CW4390">
        <v>10478855</v>
      </c>
      <c r="CY4390">
        <v>0</v>
      </c>
      <c r="CZ4390">
        <v>0</v>
      </c>
      <c r="DA4390">
        <v>1</v>
      </c>
      <c r="DB4390">
        <v>0</v>
      </c>
      <c r="DC4390">
        <v>0</v>
      </c>
      <c r="DD4390">
        <v>0</v>
      </c>
      <c r="DE4390">
        <v>0</v>
      </c>
      <c r="DF4390">
        <v>0</v>
      </c>
      <c r="DG4390">
        <v>0</v>
      </c>
      <c r="DH4390">
        <v>0</v>
      </c>
      <c r="DI4390">
        <v>0</v>
      </c>
    </row>
    <row r="4391" spans="1:113" x14ac:dyDescent="0.25">
      <c r="A4391" t="str">
        <f t="shared" si="2469"/>
        <v>06/05/2020 14:59:53.532</v>
      </c>
      <c r="C4391" t="str">
        <f t="shared" si="2468"/>
        <v>FFDFD3C0</v>
      </c>
      <c r="D4391" t="s">
        <v>151</v>
      </c>
      <c r="E4391">
        <v>8</v>
      </c>
      <c r="H4391">
        <v>225</v>
      </c>
      <c r="I4391" t="s">
        <v>353</v>
      </c>
      <c r="J4391" t="s">
        <v>150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 t="shared" si="2470"/>
        <v>14:59:59.172</v>
      </c>
      <c r="T4391" t="str">
        <f t="shared" si="2470"/>
        <v>14:59:59.172</v>
      </c>
      <c r="U4391" t="str">
        <f t="shared" si="2448"/>
        <v>ACC530</v>
      </c>
      <c r="V4391">
        <v>0</v>
      </c>
      <c r="W4391">
        <v>0</v>
      </c>
      <c r="X4391">
        <v>1</v>
      </c>
      <c r="Z4391">
        <v>0</v>
      </c>
      <c r="AA4391">
        <v>9</v>
      </c>
      <c r="AB4391">
        <v>3</v>
      </c>
      <c r="AC4391">
        <v>0</v>
      </c>
      <c r="AD4391">
        <v>9</v>
      </c>
      <c r="AE4391">
        <v>0</v>
      </c>
      <c r="AF4391">
        <v>3</v>
      </c>
      <c r="AG4391">
        <v>1</v>
      </c>
      <c r="AH4391">
        <v>0</v>
      </c>
      <c r="AI4391" t="s">
        <v>1377</v>
      </c>
      <c r="AJ4391">
        <v>34.072401999999997</v>
      </c>
      <c r="AK4391" t="s">
        <v>1378</v>
      </c>
      <c r="AL4391">
        <v>-117.039027</v>
      </c>
      <c r="AM4391">
        <v>100</v>
      </c>
      <c r="AN4391">
        <v>5000</v>
      </c>
      <c r="AO4391" t="s">
        <v>118</v>
      </c>
      <c r="AP4391">
        <v>-103</v>
      </c>
      <c r="AQ4391">
        <v>22</v>
      </c>
      <c r="AR4391">
        <v>-896</v>
      </c>
      <c r="AZ4391">
        <v>1200</v>
      </c>
      <c r="BA4391">
        <v>1</v>
      </c>
      <c r="BB4391" t="str">
        <f t="shared" si="2451"/>
        <v xml:space="preserve">N9217B  </v>
      </c>
      <c r="BC4391">
        <v>1</v>
      </c>
      <c r="BE4391">
        <v>0</v>
      </c>
      <c r="BF4391">
        <v>0</v>
      </c>
      <c r="BG4391">
        <v>0</v>
      </c>
      <c r="BH4391">
        <v>4775</v>
      </c>
      <c r="BI4391">
        <v>1</v>
      </c>
      <c r="BJ4391">
        <v>0</v>
      </c>
      <c r="BK4391">
        <v>0</v>
      </c>
      <c r="BL4391">
        <v>0</v>
      </c>
      <c r="BO4391">
        <v>0</v>
      </c>
      <c r="BP4391">
        <v>0</v>
      </c>
      <c r="BW4391" t="str">
        <f t="shared" si="2471"/>
        <v>14:59:59.179</v>
      </c>
      <c r="CJ4391">
        <v>0</v>
      </c>
      <c r="CK4391">
        <v>2</v>
      </c>
      <c r="CL4391">
        <v>0</v>
      </c>
      <c r="CM4391">
        <v>2</v>
      </c>
      <c r="CN4391">
        <v>0</v>
      </c>
      <c r="CO4391">
        <v>4</v>
      </c>
      <c r="CP4391" t="s">
        <v>119</v>
      </c>
      <c r="CQ4391">
        <v>298</v>
      </c>
      <c r="CR4391">
        <v>0</v>
      </c>
      <c r="CW4391">
        <v>10478855</v>
      </c>
      <c r="CY4391">
        <v>0</v>
      </c>
      <c r="CZ4391">
        <v>0</v>
      </c>
      <c r="DA4391">
        <v>1</v>
      </c>
      <c r="DB4391">
        <v>0</v>
      </c>
      <c r="DC4391">
        <v>0</v>
      </c>
      <c r="DD4391">
        <v>0</v>
      </c>
      <c r="DE4391">
        <v>0</v>
      </c>
      <c r="DF4391">
        <v>0</v>
      </c>
      <c r="DG4391">
        <v>0</v>
      </c>
      <c r="DH4391">
        <v>0</v>
      </c>
      <c r="DI4391">
        <v>0</v>
      </c>
    </row>
    <row r="4392" spans="1:113" x14ac:dyDescent="0.25">
      <c r="A4392" t="str">
        <f t="shared" si="2469"/>
        <v>06/05/2020 14:59:53.532</v>
      </c>
      <c r="C4392" t="str">
        <f t="shared" si="2468"/>
        <v>FFDFD3C0</v>
      </c>
      <c r="D4392" t="s">
        <v>141</v>
      </c>
      <c r="E4392">
        <v>20</v>
      </c>
      <c r="F4392">
        <v>1020</v>
      </c>
      <c r="G4392" t="s">
        <v>114</v>
      </c>
      <c r="J4392" t="s">
        <v>142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 t="shared" si="2470"/>
        <v>14:59:59.172</v>
      </c>
      <c r="T4392" t="str">
        <f t="shared" si="2470"/>
        <v>14:59:59.172</v>
      </c>
      <c r="U4392" t="str">
        <f t="shared" si="2448"/>
        <v>ACC530</v>
      </c>
      <c r="V4392">
        <v>0</v>
      </c>
      <c r="W4392">
        <v>0</v>
      </c>
      <c r="X4392">
        <v>1</v>
      </c>
      <c r="Z4392">
        <v>0</v>
      </c>
      <c r="AA4392">
        <v>9</v>
      </c>
      <c r="AB4392">
        <v>3</v>
      </c>
      <c r="AC4392">
        <v>0</v>
      </c>
      <c r="AD4392">
        <v>9</v>
      </c>
      <c r="AE4392">
        <v>0</v>
      </c>
      <c r="AF4392">
        <v>3</v>
      </c>
      <c r="AG4392">
        <v>1</v>
      </c>
      <c r="AH4392">
        <v>0</v>
      </c>
      <c r="AI4392" t="s">
        <v>1377</v>
      </c>
      <c r="AJ4392">
        <v>34.072401999999997</v>
      </c>
      <c r="AK4392" t="s">
        <v>1378</v>
      </c>
      <c r="AL4392">
        <v>-117.039027</v>
      </c>
      <c r="AM4392">
        <v>100</v>
      </c>
      <c r="AN4392">
        <v>5000</v>
      </c>
      <c r="AO4392" t="s">
        <v>118</v>
      </c>
      <c r="AP4392">
        <v>-103</v>
      </c>
      <c r="AQ4392">
        <v>22</v>
      </c>
      <c r="AR4392">
        <v>-896</v>
      </c>
      <c r="AZ4392">
        <v>1200</v>
      </c>
      <c r="BA4392">
        <v>1</v>
      </c>
      <c r="BB4392" t="str">
        <f t="shared" si="2451"/>
        <v xml:space="preserve">N9217B  </v>
      </c>
      <c r="BC4392">
        <v>1</v>
      </c>
      <c r="BE4392">
        <v>0</v>
      </c>
      <c r="BF4392">
        <v>0</v>
      </c>
      <c r="BG4392">
        <v>0</v>
      </c>
      <c r="BH4392">
        <v>4775</v>
      </c>
      <c r="BI4392">
        <v>1</v>
      </c>
      <c r="BJ4392">
        <v>0</v>
      </c>
      <c r="BK4392">
        <v>0</v>
      </c>
      <c r="BL4392">
        <v>0</v>
      </c>
      <c r="BO4392">
        <v>0</v>
      </c>
      <c r="BP4392">
        <v>0</v>
      </c>
      <c r="BW4392" t="str">
        <f t="shared" si="2471"/>
        <v>14:59:59.179</v>
      </c>
      <c r="CJ4392">
        <v>0</v>
      </c>
      <c r="CK4392">
        <v>2</v>
      </c>
      <c r="CL4392">
        <v>0</v>
      </c>
      <c r="CM4392">
        <v>2</v>
      </c>
      <c r="CN4392">
        <v>0</v>
      </c>
      <c r="CO4392">
        <v>4</v>
      </c>
      <c r="CP4392" t="s">
        <v>119</v>
      </c>
      <c r="CQ4392">
        <v>298</v>
      </c>
      <c r="CR4392">
        <v>0</v>
      </c>
      <c r="CW4392">
        <v>10478855</v>
      </c>
      <c r="CY4392">
        <v>0</v>
      </c>
      <c r="CZ4392">
        <v>0</v>
      </c>
      <c r="DA4392">
        <v>1</v>
      </c>
      <c r="DB4392">
        <v>0</v>
      </c>
      <c r="DC4392">
        <v>0</v>
      </c>
      <c r="DD4392">
        <v>0</v>
      </c>
      <c r="DE4392">
        <v>0</v>
      </c>
      <c r="DF4392">
        <v>0</v>
      </c>
      <c r="DG4392">
        <v>0</v>
      </c>
      <c r="DH4392">
        <v>0</v>
      </c>
      <c r="DI4392">
        <v>0</v>
      </c>
    </row>
    <row r="4393" spans="1:113" x14ac:dyDescent="0.25">
      <c r="A4393" t="str">
        <f t="shared" si="2469"/>
        <v>06/05/2020 14:59:53.532</v>
      </c>
      <c r="C4393" t="str">
        <f t="shared" si="2468"/>
        <v>FFDFD3C0</v>
      </c>
      <c r="D4393" t="s">
        <v>148</v>
      </c>
      <c r="E4393">
        <v>11</v>
      </c>
      <c r="H4393">
        <v>53</v>
      </c>
      <c r="I4393" t="s">
        <v>364</v>
      </c>
      <c r="J4393" t="s">
        <v>150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 t="shared" si="2470"/>
        <v>14:59:59.172</v>
      </c>
      <c r="T4393" t="str">
        <f t="shared" si="2470"/>
        <v>14:59:59.172</v>
      </c>
      <c r="U4393" t="str">
        <f t="shared" si="2448"/>
        <v>ACC530</v>
      </c>
      <c r="V4393">
        <v>0</v>
      </c>
      <c r="W4393">
        <v>0</v>
      </c>
      <c r="X4393">
        <v>1</v>
      </c>
      <c r="Z4393">
        <v>0</v>
      </c>
      <c r="AA4393">
        <v>9</v>
      </c>
      <c r="AB4393">
        <v>3</v>
      </c>
      <c r="AC4393">
        <v>0</v>
      </c>
      <c r="AD4393">
        <v>9</v>
      </c>
      <c r="AE4393">
        <v>0</v>
      </c>
      <c r="AF4393">
        <v>3</v>
      </c>
      <c r="AG4393">
        <v>1</v>
      </c>
      <c r="AH4393">
        <v>0</v>
      </c>
      <c r="AI4393" t="s">
        <v>1377</v>
      </c>
      <c r="AJ4393">
        <v>34.072401999999997</v>
      </c>
      <c r="AK4393" t="s">
        <v>1378</v>
      </c>
      <c r="AL4393">
        <v>-117.039027</v>
      </c>
      <c r="AM4393">
        <v>100</v>
      </c>
      <c r="AN4393">
        <v>5000</v>
      </c>
      <c r="AO4393" t="s">
        <v>118</v>
      </c>
      <c r="AP4393">
        <v>-103</v>
      </c>
      <c r="AQ4393">
        <v>22</v>
      </c>
      <c r="AR4393">
        <v>-896</v>
      </c>
      <c r="AZ4393">
        <v>1200</v>
      </c>
      <c r="BA4393">
        <v>1</v>
      </c>
      <c r="BB4393" t="str">
        <f t="shared" si="2451"/>
        <v xml:space="preserve">N9217B  </v>
      </c>
      <c r="BC4393">
        <v>1</v>
      </c>
      <c r="BE4393">
        <v>0</v>
      </c>
      <c r="BF4393">
        <v>0</v>
      </c>
      <c r="BG4393">
        <v>0</v>
      </c>
      <c r="BH4393">
        <v>4775</v>
      </c>
      <c r="BI4393">
        <v>1</v>
      </c>
      <c r="BJ4393">
        <v>0</v>
      </c>
      <c r="BK4393">
        <v>0</v>
      </c>
      <c r="BL4393">
        <v>0</v>
      </c>
      <c r="BO4393">
        <v>0</v>
      </c>
      <c r="BP4393">
        <v>0</v>
      </c>
      <c r="BW4393" t="str">
        <f t="shared" si="2471"/>
        <v>14:59:59.179</v>
      </c>
      <c r="CJ4393">
        <v>0</v>
      </c>
      <c r="CK4393">
        <v>2</v>
      </c>
      <c r="CL4393">
        <v>0</v>
      </c>
      <c r="CM4393">
        <v>2</v>
      </c>
      <c r="CN4393">
        <v>0</v>
      </c>
      <c r="CO4393">
        <v>4</v>
      </c>
      <c r="CP4393" t="s">
        <v>119</v>
      </c>
      <c r="CQ4393">
        <v>298</v>
      </c>
      <c r="CR4393">
        <v>0</v>
      </c>
      <c r="CW4393">
        <v>10478855</v>
      </c>
      <c r="CY4393">
        <v>0</v>
      </c>
      <c r="CZ4393">
        <v>0</v>
      </c>
      <c r="DA4393">
        <v>1</v>
      </c>
      <c r="DB4393">
        <v>0</v>
      </c>
      <c r="DC4393">
        <v>0</v>
      </c>
      <c r="DD4393">
        <v>0</v>
      </c>
      <c r="DE4393">
        <v>0</v>
      </c>
      <c r="DF4393">
        <v>0</v>
      </c>
      <c r="DG4393">
        <v>0</v>
      </c>
      <c r="DH4393">
        <v>0</v>
      </c>
      <c r="DI4393">
        <v>0</v>
      </c>
    </row>
    <row r="4394" spans="1:113" x14ac:dyDescent="0.25">
      <c r="A4394" t="str">
        <f t="shared" si="2469"/>
        <v>06/05/2020 14:59:53.532</v>
      </c>
      <c r="C4394" t="str">
        <f t="shared" si="2468"/>
        <v>FFDFD3C0</v>
      </c>
      <c r="D4394" t="s">
        <v>148</v>
      </c>
      <c r="E4394">
        <v>8</v>
      </c>
      <c r="H4394">
        <v>50</v>
      </c>
      <c r="I4394" t="s">
        <v>149</v>
      </c>
      <c r="J4394" t="s">
        <v>150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 t="shared" si="2470"/>
        <v>14:59:59.172</v>
      </c>
      <c r="T4394" t="str">
        <f t="shared" si="2470"/>
        <v>14:59:59.172</v>
      </c>
      <c r="U4394" t="str">
        <f t="shared" si="2448"/>
        <v>ACC530</v>
      </c>
      <c r="V4394">
        <v>0</v>
      </c>
      <c r="W4394">
        <v>0</v>
      </c>
      <c r="X4394">
        <v>1</v>
      </c>
      <c r="Z4394">
        <v>0</v>
      </c>
      <c r="AA4394">
        <v>9</v>
      </c>
      <c r="AB4394">
        <v>3</v>
      </c>
      <c r="AC4394">
        <v>0</v>
      </c>
      <c r="AD4394">
        <v>9</v>
      </c>
      <c r="AE4394">
        <v>0</v>
      </c>
      <c r="AF4394">
        <v>3</v>
      </c>
      <c r="AG4394">
        <v>1</v>
      </c>
      <c r="AH4394">
        <v>0</v>
      </c>
      <c r="AI4394" t="s">
        <v>1377</v>
      </c>
      <c r="AJ4394">
        <v>34.072401999999997</v>
      </c>
      <c r="AK4394" t="s">
        <v>1378</v>
      </c>
      <c r="AL4394">
        <v>-117.039027</v>
      </c>
      <c r="AM4394">
        <v>100</v>
      </c>
      <c r="AN4394">
        <v>5000</v>
      </c>
      <c r="AO4394" t="s">
        <v>118</v>
      </c>
      <c r="AP4394">
        <v>-103</v>
      </c>
      <c r="AQ4394">
        <v>22</v>
      </c>
      <c r="AR4394">
        <v>-896</v>
      </c>
      <c r="AZ4394">
        <v>1200</v>
      </c>
      <c r="BA4394">
        <v>1</v>
      </c>
      <c r="BB4394" t="str">
        <f t="shared" si="2451"/>
        <v xml:space="preserve">N9217B  </v>
      </c>
      <c r="BC4394">
        <v>1</v>
      </c>
      <c r="BE4394">
        <v>0</v>
      </c>
      <c r="BF4394">
        <v>0</v>
      </c>
      <c r="BG4394">
        <v>0</v>
      </c>
      <c r="BH4394">
        <v>4775</v>
      </c>
      <c r="BI4394">
        <v>1</v>
      </c>
      <c r="BJ4394">
        <v>0</v>
      </c>
      <c r="BK4394">
        <v>0</v>
      </c>
      <c r="BL4394">
        <v>0</v>
      </c>
      <c r="BO4394">
        <v>0</v>
      </c>
      <c r="BP4394">
        <v>0</v>
      </c>
      <c r="BW4394" t="str">
        <f t="shared" si="2471"/>
        <v>14:59:59.179</v>
      </c>
      <c r="CJ4394">
        <v>0</v>
      </c>
      <c r="CK4394">
        <v>2</v>
      </c>
      <c r="CL4394">
        <v>0</v>
      </c>
      <c r="CM4394">
        <v>2</v>
      </c>
      <c r="CN4394">
        <v>0</v>
      </c>
      <c r="CO4394">
        <v>4</v>
      </c>
      <c r="CP4394" t="s">
        <v>119</v>
      </c>
      <c r="CQ4394">
        <v>298</v>
      </c>
      <c r="CR4394">
        <v>0</v>
      </c>
      <c r="CW4394">
        <v>10478855</v>
      </c>
      <c r="CY4394">
        <v>0</v>
      </c>
      <c r="CZ4394">
        <v>0</v>
      </c>
      <c r="DA4394">
        <v>1</v>
      </c>
      <c r="DB4394">
        <v>0</v>
      </c>
      <c r="DC4394">
        <v>0</v>
      </c>
      <c r="DD4394">
        <v>0</v>
      </c>
      <c r="DE4394">
        <v>0</v>
      </c>
      <c r="DF4394">
        <v>0</v>
      </c>
      <c r="DG4394">
        <v>0</v>
      </c>
      <c r="DH4394">
        <v>0</v>
      </c>
      <c r="DI4394">
        <v>0</v>
      </c>
    </row>
    <row r="4395" spans="1:113" x14ac:dyDescent="0.25">
      <c r="A4395" t="str">
        <f t="shared" ref="A4395:A4400" si="2472">"06/05/2020 14:59:54.448"</f>
        <v>06/05/2020 14:59:54.448</v>
      </c>
      <c r="C4395" t="str">
        <f t="shared" si="2468"/>
        <v>FFDFD3C0</v>
      </c>
      <c r="D4395" t="s">
        <v>113</v>
      </c>
      <c r="E4395">
        <v>3</v>
      </c>
      <c r="H4395">
        <v>166</v>
      </c>
      <c r="I4395" t="s">
        <v>114</v>
      </c>
      <c r="J4395" t="s">
        <v>115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 t="shared" ref="S4395:S4400" si="2473">"15:00:00.078"</f>
        <v>15:00:00.078</v>
      </c>
      <c r="T4395" t="str">
        <f t="shared" ref="T4395:T4400" si="2474">"14:59:59.678"</f>
        <v>14:59:59.678</v>
      </c>
      <c r="U4395" t="str">
        <f t="shared" si="2448"/>
        <v>ACC530</v>
      </c>
      <c r="V4395">
        <v>0</v>
      </c>
      <c r="W4395">
        <v>0</v>
      </c>
      <c r="X4395">
        <v>1</v>
      </c>
      <c r="Z4395">
        <v>0</v>
      </c>
      <c r="AA4395">
        <v>9</v>
      </c>
      <c r="AB4395">
        <v>3</v>
      </c>
      <c r="AC4395">
        <v>0</v>
      </c>
      <c r="AD4395">
        <v>9</v>
      </c>
      <c r="AE4395">
        <v>0</v>
      </c>
      <c r="AF4395">
        <v>3</v>
      </c>
      <c r="AG4395">
        <v>1</v>
      </c>
      <c r="AH4395">
        <v>0</v>
      </c>
      <c r="AI4395" t="s">
        <v>1379</v>
      </c>
      <c r="AJ4395">
        <v>34.072487000000002</v>
      </c>
      <c r="AK4395" t="s">
        <v>1380</v>
      </c>
      <c r="AL4395">
        <v>-117.039585</v>
      </c>
      <c r="AM4395">
        <v>100</v>
      </c>
      <c r="AN4395">
        <v>5000</v>
      </c>
      <c r="AO4395" t="s">
        <v>118</v>
      </c>
      <c r="AP4395">
        <v>-103</v>
      </c>
      <c r="AQ4395">
        <v>23</v>
      </c>
      <c r="AR4395">
        <v>-832</v>
      </c>
      <c r="AZ4395">
        <v>1200</v>
      </c>
      <c r="BA4395">
        <v>1</v>
      </c>
      <c r="BB4395" t="str">
        <f t="shared" si="2451"/>
        <v xml:space="preserve">N9217B  </v>
      </c>
      <c r="BC4395">
        <v>1</v>
      </c>
      <c r="BE4395">
        <v>0</v>
      </c>
      <c r="BF4395">
        <v>0</v>
      </c>
      <c r="BG4395">
        <v>0</v>
      </c>
      <c r="BH4395">
        <v>4775</v>
      </c>
      <c r="BI4395">
        <v>1</v>
      </c>
      <c r="BJ4395">
        <v>0</v>
      </c>
      <c r="BK4395">
        <v>0</v>
      </c>
      <c r="BL4395">
        <v>0</v>
      </c>
      <c r="BO4395">
        <v>0</v>
      </c>
      <c r="BP4395">
        <v>0</v>
      </c>
      <c r="BW4395" t="str">
        <f t="shared" ref="BW4395:BW4400" si="2475">"15:00:00.078"</f>
        <v>15:00:00.078</v>
      </c>
      <c r="CJ4395">
        <v>0</v>
      </c>
      <c r="CK4395">
        <v>2</v>
      </c>
      <c r="CL4395">
        <v>0</v>
      </c>
      <c r="CM4395">
        <v>2</v>
      </c>
      <c r="CN4395">
        <v>0</v>
      </c>
      <c r="CO4395">
        <v>5</v>
      </c>
      <c r="CP4395" t="s">
        <v>119</v>
      </c>
      <c r="CQ4395">
        <v>298</v>
      </c>
      <c r="CR4395">
        <v>0</v>
      </c>
      <c r="CW4395">
        <v>10478969</v>
      </c>
      <c r="CY4395">
        <v>0</v>
      </c>
      <c r="CZ4395">
        <v>0</v>
      </c>
      <c r="DA4395">
        <v>0</v>
      </c>
      <c r="DB4395">
        <v>0</v>
      </c>
      <c r="DC4395">
        <v>0</v>
      </c>
      <c r="DD4395">
        <v>0</v>
      </c>
      <c r="DE4395">
        <v>0</v>
      </c>
      <c r="DF4395">
        <v>0</v>
      </c>
      <c r="DG4395">
        <v>0</v>
      </c>
      <c r="DH4395">
        <v>0</v>
      </c>
      <c r="DI4395">
        <v>0</v>
      </c>
    </row>
    <row r="4396" spans="1:113" x14ac:dyDescent="0.25">
      <c r="A4396" t="str">
        <f t="shared" si="2472"/>
        <v>06/05/2020 14:59:54.448</v>
      </c>
      <c r="C4396" t="str">
        <f t="shared" si="2468"/>
        <v>FFDFD3C0</v>
      </c>
      <c r="D4396" t="s">
        <v>141</v>
      </c>
      <c r="E4396">
        <v>20</v>
      </c>
      <c r="F4396">
        <v>1020</v>
      </c>
      <c r="G4396" t="s">
        <v>114</v>
      </c>
      <c r="J4396" t="s">
        <v>142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 t="shared" si="2473"/>
        <v>15:00:00.078</v>
      </c>
      <c r="T4396" t="str">
        <f t="shared" si="2474"/>
        <v>14:59:59.678</v>
      </c>
      <c r="U4396" t="str">
        <f t="shared" si="2448"/>
        <v>ACC530</v>
      </c>
      <c r="V4396">
        <v>0</v>
      </c>
      <c r="W4396">
        <v>0</v>
      </c>
      <c r="X4396">
        <v>1</v>
      </c>
      <c r="Z4396">
        <v>0</v>
      </c>
      <c r="AA4396">
        <v>9</v>
      </c>
      <c r="AB4396">
        <v>3</v>
      </c>
      <c r="AC4396">
        <v>0</v>
      </c>
      <c r="AD4396">
        <v>9</v>
      </c>
      <c r="AE4396">
        <v>0</v>
      </c>
      <c r="AF4396">
        <v>3</v>
      </c>
      <c r="AG4396">
        <v>1</v>
      </c>
      <c r="AH4396">
        <v>0</v>
      </c>
      <c r="AI4396" t="s">
        <v>1379</v>
      </c>
      <c r="AJ4396">
        <v>34.072487000000002</v>
      </c>
      <c r="AK4396" t="s">
        <v>1380</v>
      </c>
      <c r="AL4396">
        <v>-117.039585</v>
      </c>
      <c r="AM4396">
        <v>100</v>
      </c>
      <c r="AN4396">
        <v>5000</v>
      </c>
      <c r="AO4396" t="s">
        <v>118</v>
      </c>
      <c r="AP4396">
        <v>-103</v>
      </c>
      <c r="AQ4396">
        <v>23</v>
      </c>
      <c r="AR4396">
        <v>-832</v>
      </c>
      <c r="AZ4396">
        <v>1200</v>
      </c>
      <c r="BA4396">
        <v>1</v>
      </c>
      <c r="BB4396" t="str">
        <f t="shared" si="2451"/>
        <v xml:space="preserve">N9217B  </v>
      </c>
      <c r="BC4396">
        <v>1</v>
      </c>
      <c r="BE4396">
        <v>0</v>
      </c>
      <c r="BF4396">
        <v>0</v>
      </c>
      <c r="BG4396">
        <v>0</v>
      </c>
      <c r="BH4396">
        <v>4775</v>
      </c>
      <c r="BI4396">
        <v>1</v>
      </c>
      <c r="BJ4396">
        <v>0</v>
      </c>
      <c r="BK4396">
        <v>0</v>
      </c>
      <c r="BL4396">
        <v>0</v>
      </c>
      <c r="BO4396">
        <v>0</v>
      </c>
      <c r="BP4396">
        <v>0</v>
      </c>
      <c r="BW4396" t="str">
        <f t="shared" si="2475"/>
        <v>15:00:00.078</v>
      </c>
      <c r="CJ4396">
        <v>0</v>
      </c>
      <c r="CK4396">
        <v>2</v>
      </c>
      <c r="CL4396">
        <v>0</v>
      </c>
      <c r="CM4396">
        <v>2</v>
      </c>
      <c r="CN4396">
        <v>0</v>
      </c>
      <c r="CO4396">
        <v>5</v>
      </c>
      <c r="CP4396" t="s">
        <v>119</v>
      </c>
      <c r="CQ4396">
        <v>298</v>
      </c>
      <c r="CR4396">
        <v>0</v>
      </c>
      <c r="CW4396">
        <v>10478969</v>
      </c>
      <c r="CY4396">
        <v>0</v>
      </c>
      <c r="CZ4396">
        <v>0</v>
      </c>
      <c r="DA4396">
        <v>1</v>
      </c>
      <c r="DB4396">
        <v>0</v>
      </c>
      <c r="DC4396">
        <v>0</v>
      </c>
      <c r="DD4396">
        <v>0</v>
      </c>
      <c r="DE4396">
        <v>0</v>
      </c>
      <c r="DF4396">
        <v>0</v>
      </c>
      <c r="DG4396">
        <v>0</v>
      </c>
      <c r="DH4396">
        <v>0</v>
      </c>
      <c r="DI4396">
        <v>0</v>
      </c>
    </row>
    <row r="4397" spans="1:113" x14ac:dyDescent="0.25">
      <c r="A4397" t="str">
        <f t="shared" si="2472"/>
        <v>06/05/2020 14:59:54.448</v>
      </c>
      <c r="C4397" t="str">
        <f t="shared" si="2468"/>
        <v>FFDFD3C0</v>
      </c>
      <c r="D4397" t="s">
        <v>151</v>
      </c>
      <c r="E4397">
        <v>8</v>
      </c>
      <c r="H4397">
        <v>225</v>
      </c>
      <c r="I4397" t="s">
        <v>353</v>
      </c>
      <c r="J4397" t="s">
        <v>150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 t="shared" si="2473"/>
        <v>15:00:00.078</v>
      </c>
      <c r="T4397" t="str">
        <f t="shared" si="2474"/>
        <v>14:59:59.678</v>
      </c>
      <c r="U4397" t="str">
        <f t="shared" si="2448"/>
        <v>ACC530</v>
      </c>
      <c r="V4397">
        <v>0</v>
      </c>
      <c r="W4397">
        <v>0</v>
      </c>
      <c r="X4397">
        <v>1</v>
      </c>
      <c r="Z4397">
        <v>0</v>
      </c>
      <c r="AA4397">
        <v>9</v>
      </c>
      <c r="AB4397">
        <v>3</v>
      </c>
      <c r="AC4397">
        <v>0</v>
      </c>
      <c r="AD4397">
        <v>9</v>
      </c>
      <c r="AE4397">
        <v>0</v>
      </c>
      <c r="AF4397">
        <v>3</v>
      </c>
      <c r="AG4397">
        <v>1</v>
      </c>
      <c r="AH4397">
        <v>0</v>
      </c>
      <c r="AI4397" t="s">
        <v>1379</v>
      </c>
      <c r="AJ4397">
        <v>34.072487000000002</v>
      </c>
      <c r="AK4397" t="s">
        <v>1380</v>
      </c>
      <c r="AL4397">
        <v>-117.039585</v>
      </c>
      <c r="AM4397">
        <v>100</v>
      </c>
      <c r="AN4397">
        <v>5000</v>
      </c>
      <c r="AO4397" t="s">
        <v>118</v>
      </c>
      <c r="AP4397">
        <v>-103</v>
      </c>
      <c r="AQ4397">
        <v>23</v>
      </c>
      <c r="AR4397">
        <v>-832</v>
      </c>
      <c r="AZ4397">
        <v>1200</v>
      </c>
      <c r="BA4397">
        <v>1</v>
      </c>
      <c r="BB4397" t="str">
        <f t="shared" si="2451"/>
        <v xml:space="preserve">N9217B  </v>
      </c>
      <c r="BC4397">
        <v>1</v>
      </c>
      <c r="BE4397">
        <v>0</v>
      </c>
      <c r="BF4397">
        <v>0</v>
      </c>
      <c r="BG4397">
        <v>0</v>
      </c>
      <c r="BH4397">
        <v>4775</v>
      </c>
      <c r="BI4397">
        <v>1</v>
      </c>
      <c r="BJ4397">
        <v>0</v>
      </c>
      <c r="BK4397">
        <v>0</v>
      </c>
      <c r="BL4397">
        <v>0</v>
      </c>
      <c r="BO4397">
        <v>0</v>
      </c>
      <c r="BP4397">
        <v>0</v>
      </c>
      <c r="BW4397" t="str">
        <f t="shared" si="2475"/>
        <v>15:00:00.078</v>
      </c>
      <c r="CJ4397">
        <v>0</v>
      </c>
      <c r="CK4397">
        <v>2</v>
      </c>
      <c r="CL4397">
        <v>0</v>
      </c>
      <c r="CM4397">
        <v>2</v>
      </c>
      <c r="CN4397">
        <v>0</v>
      </c>
      <c r="CO4397">
        <v>5</v>
      </c>
      <c r="CP4397" t="s">
        <v>119</v>
      </c>
      <c r="CQ4397">
        <v>298</v>
      </c>
      <c r="CR4397">
        <v>0</v>
      </c>
      <c r="CW4397">
        <v>10478969</v>
      </c>
      <c r="CY4397">
        <v>0</v>
      </c>
      <c r="CZ4397">
        <v>0</v>
      </c>
      <c r="DA4397">
        <v>1</v>
      </c>
      <c r="DB4397">
        <v>0</v>
      </c>
      <c r="DC4397">
        <v>0</v>
      </c>
      <c r="DD4397">
        <v>0</v>
      </c>
      <c r="DE4397">
        <v>0</v>
      </c>
      <c r="DF4397">
        <v>0</v>
      </c>
      <c r="DG4397">
        <v>0</v>
      </c>
      <c r="DH4397">
        <v>0</v>
      </c>
      <c r="DI4397">
        <v>0</v>
      </c>
    </row>
    <row r="4398" spans="1:113" x14ac:dyDescent="0.25">
      <c r="A4398" t="str">
        <f t="shared" si="2472"/>
        <v>06/05/2020 14:59:54.448</v>
      </c>
      <c r="C4398" t="str">
        <f t="shared" si="2468"/>
        <v>FFDFD3C0</v>
      </c>
      <c r="D4398" t="s">
        <v>148</v>
      </c>
      <c r="E4398">
        <v>11</v>
      </c>
      <c r="H4398">
        <v>53</v>
      </c>
      <c r="I4398" t="s">
        <v>364</v>
      </c>
      <c r="J4398" t="s">
        <v>150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 t="shared" si="2473"/>
        <v>15:00:00.078</v>
      </c>
      <c r="T4398" t="str">
        <f t="shared" si="2474"/>
        <v>14:59:59.678</v>
      </c>
      <c r="U4398" t="str">
        <f t="shared" si="2448"/>
        <v>ACC530</v>
      </c>
      <c r="V4398">
        <v>0</v>
      </c>
      <c r="W4398">
        <v>0</v>
      </c>
      <c r="X4398">
        <v>1</v>
      </c>
      <c r="Z4398">
        <v>0</v>
      </c>
      <c r="AA4398">
        <v>9</v>
      </c>
      <c r="AB4398">
        <v>3</v>
      </c>
      <c r="AC4398">
        <v>0</v>
      </c>
      <c r="AD4398">
        <v>9</v>
      </c>
      <c r="AE4398">
        <v>0</v>
      </c>
      <c r="AF4398">
        <v>3</v>
      </c>
      <c r="AG4398">
        <v>1</v>
      </c>
      <c r="AH4398">
        <v>0</v>
      </c>
      <c r="AI4398" t="s">
        <v>1379</v>
      </c>
      <c r="AJ4398">
        <v>34.072487000000002</v>
      </c>
      <c r="AK4398" t="s">
        <v>1380</v>
      </c>
      <c r="AL4398">
        <v>-117.039585</v>
      </c>
      <c r="AM4398">
        <v>100</v>
      </c>
      <c r="AN4398">
        <v>5000</v>
      </c>
      <c r="AO4398" t="s">
        <v>118</v>
      </c>
      <c r="AP4398">
        <v>-103</v>
      </c>
      <c r="AQ4398">
        <v>23</v>
      </c>
      <c r="AR4398">
        <v>-832</v>
      </c>
      <c r="AZ4398">
        <v>1200</v>
      </c>
      <c r="BA4398">
        <v>1</v>
      </c>
      <c r="BB4398" t="str">
        <f t="shared" si="2451"/>
        <v xml:space="preserve">N9217B  </v>
      </c>
      <c r="BC4398">
        <v>1</v>
      </c>
      <c r="BE4398">
        <v>0</v>
      </c>
      <c r="BF4398">
        <v>0</v>
      </c>
      <c r="BG4398">
        <v>0</v>
      </c>
      <c r="BH4398">
        <v>4775</v>
      </c>
      <c r="BI4398">
        <v>1</v>
      </c>
      <c r="BJ4398">
        <v>0</v>
      </c>
      <c r="BK4398">
        <v>0</v>
      </c>
      <c r="BL4398">
        <v>0</v>
      </c>
      <c r="BO4398">
        <v>0</v>
      </c>
      <c r="BP4398">
        <v>0</v>
      </c>
      <c r="BW4398" t="str">
        <f t="shared" si="2475"/>
        <v>15:00:00.078</v>
      </c>
      <c r="CJ4398">
        <v>0</v>
      </c>
      <c r="CK4398">
        <v>2</v>
      </c>
      <c r="CL4398">
        <v>0</v>
      </c>
      <c r="CM4398">
        <v>2</v>
      </c>
      <c r="CN4398">
        <v>0</v>
      </c>
      <c r="CO4398">
        <v>5</v>
      </c>
      <c r="CP4398" t="s">
        <v>119</v>
      </c>
      <c r="CQ4398">
        <v>298</v>
      </c>
      <c r="CR4398">
        <v>0</v>
      </c>
      <c r="CW4398">
        <v>10478969</v>
      </c>
      <c r="CY4398">
        <v>0</v>
      </c>
      <c r="CZ4398">
        <v>0</v>
      </c>
      <c r="DA4398">
        <v>1</v>
      </c>
      <c r="DB4398">
        <v>0</v>
      </c>
      <c r="DC4398">
        <v>0</v>
      </c>
      <c r="DD4398">
        <v>0</v>
      </c>
      <c r="DE4398">
        <v>0</v>
      </c>
      <c r="DF4398">
        <v>0</v>
      </c>
      <c r="DG4398">
        <v>0</v>
      </c>
      <c r="DH4398">
        <v>0</v>
      </c>
      <c r="DI4398">
        <v>0</v>
      </c>
    </row>
    <row r="4399" spans="1:113" x14ac:dyDescent="0.25">
      <c r="A4399" t="str">
        <f t="shared" si="2472"/>
        <v>06/05/2020 14:59:54.448</v>
      </c>
      <c r="C4399" t="str">
        <f t="shared" si="2468"/>
        <v>FFDFD3C0</v>
      </c>
      <c r="D4399" t="s">
        <v>148</v>
      </c>
      <c r="E4399">
        <v>8</v>
      </c>
      <c r="H4399">
        <v>50</v>
      </c>
      <c r="I4399" t="s">
        <v>149</v>
      </c>
      <c r="J4399" t="s">
        <v>150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 t="shared" si="2473"/>
        <v>15:00:00.078</v>
      </c>
      <c r="T4399" t="str">
        <f t="shared" si="2474"/>
        <v>14:59:59.678</v>
      </c>
      <c r="U4399" t="str">
        <f t="shared" si="2448"/>
        <v>ACC530</v>
      </c>
      <c r="V4399">
        <v>0</v>
      </c>
      <c r="W4399">
        <v>0</v>
      </c>
      <c r="X4399">
        <v>1</v>
      </c>
      <c r="Z4399">
        <v>0</v>
      </c>
      <c r="AA4399">
        <v>9</v>
      </c>
      <c r="AB4399">
        <v>3</v>
      </c>
      <c r="AC4399">
        <v>0</v>
      </c>
      <c r="AD4399">
        <v>9</v>
      </c>
      <c r="AE4399">
        <v>0</v>
      </c>
      <c r="AF4399">
        <v>3</v>
      </c>
      <c r="AG4399">
        <v>1</v>
      </c>
      <c r="AH4399">
        <v>0</v>
      </c>
      <c r="AI4399" t="s">
        <v>1379</v>
      </c>
      <c r="AJ4399">
        <v>34.072487000000002</v>
      </c>
      <c r="AK4399" t="s">
        <v>1380</v>
      </c>
      <c r="AL4399">
        <v>-117.039585</v>
      </c>
      <c r="AM4399">
        <v>100</v>
      </c>
      <c r="AN4399">
        <v>5000</v>
      </c>
      <c r="AO4399" t="s">
        <v>118</v>
      </c>
      <c r="AP4399">
        <v>-103</v>
      </c>
      <c r="AQ4399">
        <v>23</v>
      </c>
      <c r="AR4399">
        <v>-832</v>
      </c>
      <c r="AZ4399">
        <v>1200</v>
      </c>
      <c r="BA4399">
        <v>1</v>
      </c>
      <c r="BB4399" t="str">
        <f t="shared" si="2451"/>
        <v xml:space="preserve">N9217B  </v>
      </c>
      <c r="BC4399">
        <v>1</v>
      </c>
      <c r="BE4399">
        <v>0</v>
      </c>
      <c r="BF4399">
        <v>0</v>
      </c>
      <c r="BG4399">
        <v>0</v>
      </c>
      <c r="BH4399">
        <v>4775</v>
      </c>
      <c r="BI4399">
        <v>1</v>
      </c>
      <c r="BJ4399">
        <v>0</v>
      </c>
      <c r="BK4399">
        <v>0</v>
      </c>
      <c r="BL4399">
        <v>0</v>
      </c>
      <c r="BO4399">
        <v>0</v>
      </c>
      <c r="BP4399">
        <v>0</v>
      </c>
      <c r="BW4399" t="str">
        <f t="shared" si="2475"/>
        <v>15:00:00.078</v>
      </c>
      <c r="CJ4399">
        <v>0</v>
      </c>
      <c r="CK4399">
        <v>2</v>
      </c>
      <c r="CL4399">
        <v>0</v>
      </c>
      <c r="CM4399">
        <v>2</v>
      </c>
      <c r="CN4399">
        <v>0</v>
      </c>
      <c r="CO4399">
        <v>5</v>
      </c>
      <c r="CP4399" t="s">
        <v>119</v>
      </c>
      <c r="CQ4399">
        <v>298</v>
      </c>
      <c r="CR4399">
        <v>0</v>
      </c>
      <c r="CW4399">
        <v>10478969</v>
      </c>
      <c r="CY4399">
        <v>0</v>
      </c>
      <c r="CZ4399">
        <v>0</v>
      </c>
      <c r="DA4399">
        <v>1</v>
      </c>
      <c r="DB4399">
        <v>0</v>
      </c>
      <c r="DC4399">
        <v>0</v>
      </c>
      <c r="DD4399">
        <v>0</v>
      </c>
      <c r="DE4399">
        <v>0</v>
      </c>
      <c r="DF4399">
        <v>0</v>
      </c>
      <c r="DG4399">
        <v>0</v>
      </c>
      <c r="DH4399">
        <v>0</v>
      </c>
      <c r="DI4399">
        <v>0</v>
      </c>
    </row>
    <row r="4400" spans="1:113" x14ac:dyDescent="0.25">
      <c r="A4400" t="str">
        <f t="shared" si="2472"/>
        <v>06/05/2020 14:59:54.448</v>
      </c>
      <c r="C4400" t="str">
        <f t="shared" si="2468"/>
        <v>FFDFD3C0</v>
      </c>
      <c r="D4400" t="s">
        <v>134</v>
      </c>
      <c r="E4400">
        <v>7</v>
      </c>
      <c r="F4400">
        <v>2007</v>
      </c>
      <c r="G4400" t="s">
        <v>135</v>
      </c>
      <c r="J4400" t="s">
        <v>136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 t="shared" si="2473"/>
        <v>15:00:00.078</v>
      </c>
      <c r="T4400" t="str">
        <f t="shared" si="2474"/>
        <v>14:59:59.678</v>
      </c>
      <c r="U4400" t="str">
        <f t="shared" si="2448"/>
        <v>ACC530</v>
      </c>
      <c r="V4400">
        <v>0</v>
      </c>
      <c r="W4400">
        <v>0</v>
      </c>
      <c r="X4400">
        <v>1</v>
      </c>
      <c r="Z4400">
        <v>0</v>
      </c>
      <c r="AA4400">
        <v>9</v>
      </c>
      <c r="AB4400">
        <v>3</v>
      </c>
      <c r="AC4400">
        <v>0</v>
      </c>
      <c r="AD4400">
        <v>9</v>
      </c>
      <c r="AE4400">
        <v>0</v>
      </c>
      <c r="AF4400">
        <v>3</v>
      </c>
      <c r="AG4400">
        <v>1</v>
      </c>
      <c r="AH4400">
        <v>0</v>
      </c>
      <c r="AI4400" t="s">
        <v>1379</v>
      </c>
      <c r="AJ4400">
        <v>34.072487000000002</v>
      </c>
      <c r="AK4400" t="s">
        <v>1380</v>
      </c>
      <c r="AL4400">
        <v>-117.039585</v>
      </c>
      <c r="AM4400">
        <v>100</v>
      </c>
      <c r="AN4400">
        <v>5000</v>
      </c>
      <c r="AO4400" t="s">
        <v>118</v>
      </c>
      <c r="AP4400">
        <v>-103</v>
      </c>
      <c r="AQ4400">
        <v>23</v>
      </c>
      <c r="AR4400">
        <v>-832</v>
      </c>
      <c r="AZ4400">
        <v>1200</v>
      </c>
      <c r="BA4400">
        <v>1</v>
      </c>
      <c r="BB4400" t="str">
        <f t="shared" si="2451"/>
        <v xml:space="preserve">N9217B  </v>
      </c>
      <c r="BC4400">
        <v>1</v>
      </c>
      <c r="BE4400">
        <v>0</v>
      </c>
      <c r="BF4400">
        <v>0</v>
      </c>
      <c r="BG4400">
        <v>0</v>
      </c>
      <c r="BH4400">
        <v>4775</v>
      </c>
      <c r="BI4400">
        <v>1</v>
      </c>
      <c r="BJ4400">
        <v>0</v>
      </c>
      <c r="BK4400">
        <v>0</v>
      </c>
      <c r="BL4400">
        <v>0</v>
      </c>
      <c r="BO4400">
        <v>0</v>
      </c>
      <c r="BP4400">
        <v>0</v>
      </c>
      <c r="BW4400" t="str">
        <f t="shared" si="2475"/>
        <v>15:00:00.078</v>
      </c>
      <c r="CJ4400">
        <v>0</v>
      </c>
      <c r="CK4400">
        <v>2</v>
      </c>
      <c r="CL4400">
        <v>0</v>
      </c>
      <c r="CM4400">
        <v>2</v>
      </c>
      <c r="CN4400">
        <v>0</v>
      </c>
      <c r="CO4400">
        <v>5</v>
      </c>
      <c r="CP4400" t="s">
        <v>119</v>
      </c>
      <c r="CQ4400">
        <v>298</v>
      </c>
      <c r="CR4400">
        <v>0</v>
      </c>
      <c r="CW4400">
        <v>10478969</v>
      </c>
      <c r="CY4400">
        <v>0</v>
      </c>
      <c r="CZ4400">
        <v>0</v>
      </c>
      <c r="DA4400">
        <v>1</v>
      </c>
      <c r="DB4400">
        <v>0</v>
      </c>
      <c r="DC4400">
        <v>0</v>
      </c>
      <c r="DD4400">
        <v>0</v>
      </c>
      <c r="DE4400">
        <v>0</v>
      </c>
      <c r="DF4400">
        <v>0</v>
      </c>
      <c r="DG4400">
        <v>0</v>
      </c>
      <c r="DH4400">
        <v>0</v>
      </c>
      <c r="DI4400">
        <v>0</v>
      </c>
    </row>
    <row r="4401" spans="1:113" x14ac:dyDescent="0.25">
      <c r="A4401" t="str">
        <f t="shared" ref="A4401:A4407" si="2476">"06/05/2020 14:59:55.485"</f>
        <v>06/05/2020 14:59:55.485</v>
      </c>
      <c r="C4401" t="str">
        <f t="shared" si="2468"/>
        <v>FFDFD3C0</v>
      </c>
      <c r="D4401" t="s">
        <v>148</v>
      </c>
      <c r="E4401">
        <v>8</v>
      </c>
      <c r="H4401">
        <v>50</v>
      </c>
      <c r="I4401" t="s">
        <v>149</v>
      </c>
      <c r="J4401" t="s">
        <v>150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 t="shared" ref="S4401:S4407" si="2477">"15:00:01.125"</f>
        <v>15:00:01.125</v>
      </c>
      <c r="T4401" t="str">
        <f>"15:00:00.725"</f>
        <v>15:00:00.725</v>
      </c>
      <c r="U4401" t="str">
        <f t="shared" si="2448"/>
        <v>ACC530</v>
      </c>
      <c r="V4401">
        <v>0</v>
      </c>
      <c r="W4401">
        <v>0</v>
      </c>
      <c r="X4401">
        <v>1</v>
      </c>
      <c r="Z4401">
        <v>0</v>
      </c>
      <c r="AA4401">
        <v>9</v>
      </c>
      <c r="AB4401">
        <v>3</v>
      </c>
      <c r="AC4401">
        <v>0</v>
      </c>
      <c r="AD4401">
        <v>9</v>
      </c>
      <c r="AE4401">
        <v>0</v>
      </c>
      <c r="AF4401">
        <v>3</v>
      </c>
      <c r="AG4401">
        <v>1</v>
      </c>
      <c r="AH4401">
        <v>0</v>
      </c>
      <c r="AI4401" t="s">
        <v>1201</v>
      </c>
      <c r="AJ4401">
        <v>34.072615999999996</v>
      </c>
      <c r="AK4401" t="s">
        <v>1381</v>
      </c>
      <c r="AL4401">
        <v>-117.040164</v>
      </c>
      <c r="AM4401">
        <v>100</v>
      </c>
      <c r="AN4401">
        <v>4900</v>
      </c>
      <c r="AO4401" t="s">
        <v>118</v>
      </c>
      <c r="AP4401">
        <v>-102</v>
      </c>
      <c r="AQ4401">
        <v>23</v>
      </c>
      <c r="AR4401">
        <v>-768</v>
      </c>
      <c r="AZ4401">
        <v>1200</v>
      </c>
      <c r="BA4401">
        <v>1</v>
      </c>
      <c r="BB4401" t="str">
        <f t="shared" si="2451"/>
        <v xml:space="preserve">N9217B  </v>
      </c>
      <c r="BC4401">
        <v>1</v>
      </c>
      <c r="BE4401">
        <v>0</v>
      </c>
      <c r="BF4401">
        <v>0</v>
      </c>
      <c r="BG4401">
        <v>0</v>
      </c>
      <c r="BH4401">
        <v>4750</v>
      </c>
      <c r="BI4401">
        <v>1</v>
      </c>
      <c r="BJ4401">
        <v>0</v>
      </c>
      <c r="BK4401">
        <v>0</v>
      </c>
      <c r="BL4401">
        <v>0</v>
      </c>
      <c r="BO4401">
        <v>0</v>
      </c>
      <c r="BP4401">
        <v>0</v>
      </c>
      <c r="BW4401" t="str">
        <f t="shared" ref="BW4401:BW4407" si="2478">"15:00:01.128"</f>
        <v>15:00:01.128</v>
      </c>
      <c r="CJ4401">
        <v>0</v>
      </c>
      <c r="CK4401">
        <v>2</v>
      </c>
      <c r="CL4401">
        <v>0</v>
      </c>
      <c r="CM4401">
        <v>2</v>
      </c>
      <c r="CN4401">
        <v>0</v>
      </c>
      <c r="CO4401">
        <v>5</v>
      </c>
      <c r="CP4401" t="s">
        <v>119</v>
      </c>
      <c r="CQ4401">
        <v>298</v>
      </c>
      <c r="CR4401">
        <v>0</v>
      </c>
      <c r="CW4401">
        <v>10479101</v>
      </c>
      <c r="CY4401">
        <v>0</v>
      </c>
      <c r="CZ4401">
        <v>0</v>
      </c>
      <c r="DA4401">
        <v>0</v>
      </c>
      <c r="DB4401">
        <v>0</v>
      </c>
      <c r="DC4401">
        <v>0</v>
      </c>
      <c r="DD4401">
        <v>0</v>
      </c>
      <c r="DE4401">
        <v>0</v>
      </c>
      <c r="DF4401">
        <v>0</v>
      </c>
      <c r="DG4401">
        <v>0</v>
      </c>
      <c r="DH4401">
        <v>0</v>
      </c>
      <c r="DI4401">
        <v>0</v>
      </c>
    </row>
    <row r="4402" spans="1:113" x14ac:dyDescent="0.25">
      <c r="A4402" t="str">
        <f t="shared" si="2476"/>
        <v>06/05/2020 14:59:55.485</v>
      </c>
      <c r="C4402" t="str">
        <f t="shared" si="2468"/>
        <v>FFDFD3C0</v>
      </c>
      <c r="D4402" t="s">
        <v>151</v>
      </c>
      <c r="E4402">
        <v>9</v>
      </c>
      <c r="H4402">
        <v>226</v>
      </c>
      <c r="I4402" t="s">
        <v>152</v>
      </c>
      <c r="J4402" t="s">
        <v>150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 t="shared" si="2477"/>
        <v>15:00:01.125</v>
      </c>
      <c r="T4402" t="str">
        <f>"14:59:59.225"</f>
        <v>14:59:59.225</v>
      </c>
      <c r="U4402" t="str">
        <f t="shared" si="2448"/>
        <v>ACC530</v>
      </c>
      <c r="V4402">
        <v>0</v>
      </c>
      <c r="W4402">
        <v>0</v>
      </c>
      <c r="X4402">
        <v>1</v>
      </c>
      <c r="Z4402">
        <v>0</v>
      </c>
      <c r="AA4402">
        <v>9</v>
      </c>
      <c r="AB4402">
        <v>3</v>
      </c>
      <c r="AC4402">
        <v>0</v>
      </c>
      <c r="AD4402">
        <v>9</v>
      </c>
      <c r="AE4402">
        <v>0</v>
      </c>
      <c r="AF4402">
        <v>3</v>
      </c>
      <c r="AG4402">
        <v>1</v>
      </c>
      <c r="AH4402">
        <v>0</v>
      </c>
      <c r="AI4402" t="s">
        <v>1201</v>
      </c>
      <c r="AJ4402">
        <v>34.072615999999996</v>
      </c>
      <c r="AK4402" t="s">
        <v>1381</v>
      </c>
      <c r="AL4402">
        <v>-117.040164</v>
      </c>
      <c r="AM4402">
        <v>100</v>
      </c>
      <c r="AN4402">
        <v>4900</v>
      </c>
      <c r="AO4402" t="s">
        <v>118</v>
      </c>
      <c r="AP4402">
        <v>-103</v>
      </c>
      <c r="AQ4402">
        <v>22</v>
      </c>
      <c r="AR4402">
        <v>-896</v>
      </c>
      <c r="AZ4402">
        <v>1200</v>
      </c>
      <c r="BA4402">
        <v>1</v>
      </c>
      <c r="BB4402" t="str">
        <f t="shared" si="2451"/>
        <v xml:space="preserve">N9217B  </v>
      </c>
      <c r="BC4402">
        <v>1</v>
      </c>
      <c r="BE4402">
        <v>0</v>
      </c>
      <c r="BF4402">
        <v>0</v>
      </c>
      <c r="BG4402">
        <v>0</v>
      </c>
      <c r="BH4402">
        <v>4675</v>
      </c>
      <c r="BI4402">
        <v>1</v>
      </c>
      <c r="BJ4402">
        <v>0</v>
      </c>
      <c r="BK4402">
        <v>0</v>
      </c>
      <c r="BL4402">
        <v>0</v>
      </c>
      <c r="BO4402">
        <v>0</v>
      </c>
      <c r="BP4402">
        <v>0</v>
      </c>
      <c r="BW4402" t="str">
        <f t="shared" si="2478"/>
        <v>15:00:01.128</v>
      </c>
      <c r="CJ4402">
        <v>0</v>
      </c>
      <c r="CK4402">
        <v>2</v>
      </c>
      <c r="CL4402">
        <v>0</v>
      </c>
      <c r="CM4402">
        <v>2</v>
      </c>
      <c r="CN4402">
        <v>0</v>
      </c>
      <c r="CO4402">
        <v>2</v>
      </c>
      <c r="CP4402" t="s">
        <v>119</v>
      </c>
      <c r="CQ4402">
        <v>285</v>
      </c>
      <c r="CR4402">
        <v>0</v>
      </c>
      <c r="CW4402">
        <v>8893225</v>
      </c>
      <c r="CY4402">
        <v>0</v>
      </c>
      <c r="CZ4402">
        <v>0</v>
      </c>
      <c r="DA4402">
        <v>1</v>
      </c>
      <c r="DB4402">
        <v>0</v>
      </c>
      <c r="DC4402">
        <v>0</v>
      </c>
      <c r="DD4402">
        <v>0</v>
      </c>
      <c r="DE4402">
        <v>0</v>
      </c>
      <c r="DF4402">
        <v>0</v>
      </c>
      <c r="DG4402">
        <v>0</v>
      </c>
      <c r="DH4402">
        <v>0</v>
      </c>
      <c r="DI4402">
        <v>0</v>
      </c>
    </row>
    <row r="4403" spans="1:113" x14ac:dyDescent="0.25">
      <c r="A4403" t="str">
        <f t="shared" si="2476"/>
        <v>06/05/2020 14:59:55.485</v>
      </c>
      <c r="C4403" t="str">
        <f t="shared" si="2468"/>
        <v>FFDFD3C0</v>
      </c>
      <c r="D4403" t="s">
        <v>134</v>
      </c>
      <c r="E4403">
        <v>7</v>
      </c>
      <c r="F4403">
        <v>2007</v>
      </c>
      <c r="G4403" t="s">
        <v>135</v>
      </c>
      <c r="J4403" t="s">
        <v>136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 t="shared" si="2477"/>
        <v>15:00:01.125</v>
      </c>
      <c r="T4403" t="str">
        <f>"15:00:00.725"</f>
        <v>15:00:00.725</v>
      </c>
      <c r="U4403" t="str">
        <f t="shared" si="2448"/>
        <v>ACC530</v>
      </c>
      <c r="V4403">
        <v>0</v>
      </c>
      <c r="W4403">
        <v>0</v>
      </c>
      <c r="X4403">
        <v>1</v>
      </c>
      <c r="Z4403">
        <v>0</v>
      </c>
      <c r="AA4403">
        <v>9</v>
      </c>
      <c r="AB4403">
        <v>3</v>
      </c>
      <c r="AC4403">
        <v>0</v>
      </c>
      <c r="AD4403">
        <v>9</v>
      </c>
      <c r="AE4403">
        <v>0</v>
      </c>
      <c r="AF4403">
        <v>3</v>
      </c>
      <c r="AG4403">
        <v>1</v>
      </c>
      <c r="AH4403">
        <v>0</v>
      </c>
      <c r="AI4403" t="s">
        <v>1201</v>
      </c>
      <c r="AJ4403">
        <v>34.072615999999996</v>
      </c>
      <c r="AK4403" t="s">
        <v>1381</v>
      </c>
      <c r="AL4403">
        <v>-117.040164</v>
      </c>
      <c r="AM4403">
        <v>100</v>
      </c>
      <c r="AN4403">
        <v>4900</v>
      </c>
      <c r="AO4403" t="s">
        <v>118</v>
      </c>
      <c r="AP4403">
        <v>-102</v>
      </c>
      <c r="AQ4403">
        <v>23</v>
      </c>
      <c r="AR4403">
        <v>-768</v>
      </c>
      <c r="AZ4403">
        <v>1200</v>
      </c>
      <c r="BA4403">
        <v>1</v>
      </c>
      <c r="BB4403" t="str">
        <f t="shared" si="2451"/>
        <v xml:space="preserve">N9217B  </v>
      </c>
      <c r="BC4403">
        <v>1</v>
      </c>
      <c r="BE4403">
        <v>0</v>
      </c>
      <c r="BF4403">
        <v>0</v>
      </c>
      <c r="BG4403">
        <v>0</v>
      </c>
      <c r="BH4403">
        <v>4750</v>
      </c>
      <c r="BI4403">
        <v>1</v>
      </c>
      <c r="BJ4403">
        <v>0</v>
      </c>
      <c r="BK4403">
        <v>0</v>
      </c>
      <c r="BL4403">
        <v>0</v>
      </c>
      <c r="BO4403">
        <v>0</v>
      </c>
      <c r="BP4403">
        <v>0</v>
      </c>
      <c r="BW4403" t="str">
        <f t="shared" si="2478"/>
        <v>15:00:01.128</v>
      </c>
      <c r="CJ4403">
        <v>0</v>
      </c>
      <c r="CK4403">
        <v>2</v>
      </c>
      <c r="CL4403">
        <v>0</v>
      </c>
      <c r="CM4403">
        <v>2</v>
      </c>
      <c r="CN4403">
        <v>0</v>
      </c>
      <c r="CO4403">
        <v>5</v>
      </c>
      <c r="CP4403" t="s">
        <v>119</v>
      </c>
      <c r="CQ4403">
        <v>298</v>
      </c>
      <c r="CR4403">
        <v>0</v>
      </c>
      <c r="CW4403">
        <v>10479101</v>
      </c>
      <c r="CY4403">
        <v>0</v>
      </c>
      <c r="CZ4403">
        <v>0</v>
      </c>
      <c r="DA4403">
        <v>1</v>
      </c>
      <c r="DB4403">
        <v>0</v>
      </c>
      <c r="DC4403">
        <v>0</v>
      </c>
      <c r="DD4403">
        <v>0</v>
      </c>
      <c r="DE4403">
        <v>0</v>
      </c>
      <c r="DF4403">
        <v>0</v>
      </c>
      <c r="DG4403">
        <v>0</v>
      </c>
      <c r="DH4403">
        <v>0</v>
      </c>
      <c r="DI4403">
        <v>0</v>
      </c>
    </row>
    <row r="4404" spans="1:113" x14ac:dyDescent="0.25">
      <c r="A4404" t="str">
        <f t="shared" si="2476"/>
        <v>06/05/2020 14:59:55.485</v>
      </c>
      <c r="C4404" t="str">
        <f t="shared" si="2468"/>
        <v>FFDFD3C0</v>
      </c>
      <c r="D4404" t="s">
        <v>113</v>
      </c>
      <c r="E4404">
        <v>3</v>
      </c>
      <c r="H4404">
        <v>166</v>
      </c>
      <c r="I4404" t="s">
        <v>114</v>
      </c>
      <c r="J4404" t="s">
        <v>115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 t="shared" si="2477"/>
        <v>15:00:01.125</v>
      </c>
      <c r="T4404" t="str">
        <f>"15:00:00.725"</f>
        <v>15:00:00.725</v>
      </c>
      <c r="U4404" t="str">
        <f t="shared" si="2448"/>
        <v>ACC530</v>
      </c>
      <c r="V4404">
        <v>0</v>
      </c>
      <c r="W4404">
        <v>0</v>
      </c>
      <c r="X4404">
        <v>1</v>
      </c>
      <c r="Z4404">
        <v>0</v>
      </c>
      <c r="AA4404">
        <v>9</v>
      </c>
      <c r="AB4404">
        <v>3</v>
      </c>
      <c r="AC4404">
        <v>0</v>
      </c>
      <c r="AD4404">
        <v>9</v>
      </c>
      <c r="AE4404">
        <v>0</v>
      </c>
      <c r="AF4404">
        <v>3</v>
      </c>
      <c r="AG4404">
        <v>1</v>
      </c>
      <c r="AH4404">
        <v>0</v>
      </c>
      <c r="AI4404" t="s">
        <v>1201</v>
      </c>
      <c r="AJ4404">
        <v>34.072615999999996</v>
      </c>
      <c r="AK4404" t="s">
        <v>1381</v>
      </c>
      <c r="AL4404">
        <v>-117.040164</v>
      </c>
      <c r="AM4404">
        <v>100</v>
      </c>
      <c r="AN4404">
        <v>4900</v>
      </c>
      <c r="AO4404" t="s">
        <v>118</v>
      </c>
      <c r="AP4404">
        <v>-102</v>
      </c>
      <c r="AQ4404">
        <v>23</v>
      </c>
      <c r="AR4404">
        <v>-768</v>
      </c>
      <c r="AZ4404">
        <v>1200</v>
      </c>
      <c r="BA4404">
        <v>1</v>
      </c>
      <c r="BB4404" t="str">
        <f t="shared" si="2451"/>
        <v xml:space="preserve">N9217B  </v>
      </c>
      <c r="BC4404">
        <v>1</v>
      </c>
      <c r="BE4404">
        <v>0</v>
      </c>
      <c r="BF4404">
        <v>0</v>
      </c>
      <c r="BG4404">
        <v>0</v>
      </c>
      <c r="BH4404">
        <v>4750</v>
      </c>
      <c r="BI4404">
        <v>1</v>
      </c>
      <c r="BJ4404">
        <v>0</v>
      </c>
      <c r="BK4404">
        <v>0</v>
      </c>
      <c r="BL4404">
        <v>0</v>
      </c>
      <c r="BO4404">
        <v>0</v>
      </c>
      <c r="BP4404">
        <v>0</v>
      </c>
      <c r="BW4404" t="str">
        <f t="shared" si="2478"/>
        <v>15:00:01.128</v>
      </c>
      <c r="CJ4404">
        <v>0</v>
      </c>
      <c r="CK4404">
        <v>2</v>
      </c>
      <c r="CL4404">
        <v>0</v>
      </c>
      <c r="CM4404">
        <v>2</v>
      </c>
      <c r="CN4404">
        <v>0</v>
      </c>
      <c r="CO4404">
        <v>5</v>
      </c>
      <c r="CP4404" t="s">
        <v>119</v>
      </c>
      <c r="CQ4404">
        <v>298</v>
      </c>
      <c r="CR4404">
        <v>0</v>
      </c>
      <c r="CW4404">
        <v>10479101</v>
      </c>
      <c r="CY4404">
        <v>0</v>
      </c>
      <c r="CZ4404">
        <v>0</v>
      </c>
      <c r="DA4404">
        <v>1</v>
      </c>
      <c r="DB4404">
        <v>0</v>
      </c>
      <c r="DC4404">
        <v>0</v>
      </c>
      <c r="DD4404">
        <v>0</v>
      </c>
      <c r="DE4404">
        <v>0</v>
      </c>
      <c r="DF4404">
        <v>0</v>
      </c>
      <c r="DG4404">
        <v>0</v>
      </c>
      <c r="DH4404">
        <v>0</v>
      </c>
      <c r="DI4404">
        <v>0</v>
      </c>
    </row>
    <row r="4405" spans="1:113" x14ac:dyDescent="0.25">
      <c r="A4405" t="str">
        <f t="shared" si="2476"/>
        <v>06/05/2020 14:59:55.485</v>
      </c>
      <c r="C4405" t="str">
        <f t="shared" si="2468"/>
        <v>FFDFD3C0</v>
      </c>
      <c r="D4405" t="s">
        <v>141</v>
      </c>
      <c r="E4405">
        <v>20</v>
      </c>
      <c r="F4405">
        <v>1020</v>
      </c>
      <c r="G4405" t="s">
        <v>114</v>
      </c>
      <c r="J4405" t="s">
        <v>142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 t="shared" si="2477"/>
        <v>15:00:01.125</v>
      </c>
      <c r="T4405" t="str">
        <f>"15:00:00.725"</f>
        <v>15:00:00.725</v>
      </c>
      <c r="U4405" t="str">
        <f t="shared" si="2448"/>
        <v>ACC530</v>
      </c>
      <c r="V4405">
        <v>0</v>
      </c>
      <c r="W4405">
        <v>0</v>
      </c>
      <c r="X4405">
        <v>1</v>
      </c>
      <c r="Z4405">
        <v>0</v>
      </c>
      <c r="AA4405">
        <v>9</v>
      </c>
      <c r="AB4405">
        <v>3</v>
      </c>
      <c r="AC4405">
        <v>0</v>
      </c>
      <c r="AD4405">
        <v>9</v>
      </c>
      <c r="AE4405">
        <v>0</v>
      </c>
      <c r="AF4405">
        <v>3</v>
      </c>
      <c r="AG4405">
        <v>1</v>
      </c>
      <c r="AH4405">
        <v>0</v>
      </c>
      <c r="AI4405" t="s">
        <v>1201</v>
      </c>
      <c r="AJ4405">
        <v>34.072615999999996</v>
      </c>
      <c r="AK4405" t="s">
        <v>1381</v>
      </c>
      <c r="AL4405">
        <v>-117.040164</v>
      </c>
      <c r="AM4405">
        <v>100</v>
      </c>
      <c r="AN4405">
        <v>4900</v>
      </c>
      <c r="AO4405" t="s">
        <v>118</v>
      </c>
      <c r="AP4405">
        <v>-102</v>
      </c>
      <c r="AQ4405">
        <v>23</v>
      </c>
      <c r="AR4405">
        <v>-768</v>
      </c>
      <c r="AZ4405">
        <v>1200</v>
      </c>
      <c r="BA4405">
        <v>1</v>
      </c>
      <c r="BB4405" t="str">
        <f t="shared" si="2451"/>
        <v xml:space="preserve">N9217B  </v>
      </c>
      <c r="BC4405">
        <v>1</v>
      </c>
      <c r="BE4405">
        <v>0</v>
      </c>
      <c r="BF4405">
        <v>0</v>
      </c>
      <c r="BG4405">
        <v>0</v>
      </c>
      <c r="BH4405">
        <v>4750</v>
      </c>
      <c r="BI4405">
        <v>1</v>
      </c>
      <c r="BJ4405">
        <v>0</v>
      </c>
      <c r="BK4405">
        <v>0</v>
      </c>
      <c r="BL4405">
        <v>0</v>
      </c>
      <c r="BO4405">
        <v>0</v>
      </c>
      <c r="BP4405">
        <v>0</v>
      </c>
      <c r="BW4405" t="str">
        <f t="shared" si="2478"/>
        <v>15:00:01.128</v>
      </c>
      <c r="CJ4405">
        <v>0</v>
      </c>
      <c r="CK4405">
        <v>2</v>
      </c>
      <c r="CL4405">
        <v>0</v>
      </c>
      <c r="CM4405">
        <v>2</v>
      </c>
      <c r="CN4405">
        <v>0</v>
      </c>
      <c r="CO4405">
        <v>5</v>
      </c>
      <c r="CP4405" t="s">
        <v>119</v>
      </c>
      <c r="CQ4405">
        <v>298</v>
      </c>
      <c r="CR4405">
        <v>0</v>
      </c>
      <c r="CW4405">
        <v>10479101</v>
      </c>
      <c r="CY4405">
        <v>0</v>
      </c>
      <c r="CZ4405">
        <v>0</v>
      </c>
      <c r="DA4405">
        <v>1</v>
      </c>
      <c r="DB4405">
        <v>0</v>
      </c>
      <c r="DC4405">
        <v>0</v>
      </c>
      <c r="DD4405">
        <v>0</v>
      </c>
      <c r="DE4405">
        <v>0</v>
      </c>
      <c r="DF4405">
        <v>0</v>
      </c>
      <c r="DG4405">
        <v>0</v>
      </c>
      <c r="DH4405">
        <v>0</v>
      </c>
      <c r="DI4405">
        <v>0</v>
      </c>
    </row>
    <row r="4406" spans="1:113" x14ac:dyDescent="0.25">
      <c r="A4406" t="str">
        <f t="shared" si="2476"/>
        <v>06/05/2020 14:59:55.485</v>
      </c>
      <c r="C4406" t="str">
        <f t="shared" si="2468"/>
        <v>FFDFD3C0</v>
      </c>
      <c r="D4406" t="s">
        <v>151</v>
      </c>
      <c r="E4406">
        <v>8</v>
      </c>
      <c r="H4406">
        <v>225</v>
      </c>
      <c r="I4406" t="s">
        <v>353</v>
      </c>
      <c r="J4406" t="s">
        <v>150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 t="shared" si="2477"/>
        <v>15:00:01.125</v>
      </c>
      <c r="T4406" t="str">
        <f>"15:00:00.725"</f>
        <v>15:00:00.725</v>
      </c>
      <c r="U4406" t="str">
        <f t="shared" si="2448"/>
        <v>ACC530</v>
      </c>
      <c r="V4406">
        <v>0</v>
      </c>
      <c r="W4406">
        <v>0</v>
      </c>
      <c r="X4406">
        <v>1</v>
      </c>
      <c r="Z4406">
        <v>0</v>
      </c>
      <c r="AA4406">
        <v>9</v>
      </c>
      <c r="AB4406">
        <v>3</v>
      </c>
      <c r="AC4406">
        <v>0</v>
      </c>
      <c r="AD4406">
        <v>9</v>
      </c>
      <c r="AE4406">
        <v>0</v>
      </c>
      <c r="AF4406">
        <v>3</v>
      </c>
      <c r="AG4406">
        <v>1</v>
      </c>
      <c r="AH4406">
        <v>0</v>
      </c>
      <c r="AI4406" t="s">
        <v>1201</v>
      </c>
      <c r="AJ4406">
        <v>34.072615999999996</v>
      </c>
      <c r="AK4406" t="s">
        <v>1381</v>
      </c>
      <c r="AL4406">
        <v>-117.040164</v>
      </c>
      <c r="AM4406">
        <v>100</v>
      </c>
      <c r="AN4406">
        <v>4900</v>
      </c>
      <c r="AO4406" t="s">
        <v>118</v>
      </c>
      <c r="AP4406">
        <v>-102</v>
      </c>
      <c r="AQ4406">
        <v>23</v>
      </c>
      <c r="AR4406">
        <v>-768</v>
      </c>
      <c r="AZ4406">
        <v>1200</v>
      </c>
      <c r="BA4406">
        <v>1</v>
      </c>
      <c r="BB4406" t="str">
        <f t="shared" si="2451"/>
        <v xml:space="preserve">N9217B  </v>
      </c>
      <c r="BC4406">
        <v>1</v>
      </c>
      <c r="BE4406">
        <v>0</v>
      </c>
      <c r="BF4406">
        <v>0</v>
      </c>
      <c r="BG4406">
        <v>0</v>
      </c>
      <c r="BH4406">
        <v>4750</v>
      </c>
      <c r="BI4406">
        <v>1</v>
      </c>
      <c r="BJ4406">
        <v>0</v>
      </c>
      <c r="BK4406">
        <v>0</v>
      </c>
      <c r="BL4406">
        <v>0</v>
      </c>
      <c r="BO4406">
        <v>0</v>
      </c>
      <c r="BP4406">
        <v>0</v>
      </c>
      <c r="BW4406" t="str">
        <f t="shared" si="2478"/>
        <v>15:00:01.128</v>
      </c>
      <c r="CJ4406">
        <v>0</v>
      </c>
      <c r="CK4406">
        <v>2</v>
      </c>
      <c r="CL4406">
        <v>0</v>
      </c>
      <c r="CM4406">
        <v>2</v>
      </c>
      <c r="CN4406">
        <v>0</v>
      </c>
      <c r="CO4406">
        <v>5</v>
      </c>
      <c r="CP4406" t="s">
        <v>119</v>
      </c>
      <c r="CQ4406">
        <v>298</v>
      </c>
      <c r="CR4406">
        <v>0</v>
      </c>
      <c r="CW4406">
        <v>10479101</v>
      </c>
      <c r="CY4406">
        <v>0</v>
      </c>
      <c r="CZ4406">
        <v>0</v>
      </c>
      <c r="DA4406">
        <v>1</v>
      </c>
      <c r="DB4406">
        <v>0</v>
      </c>
      <c r="DC4406">
        <v>0</v>
      </c>
      <c r="DD4406">
        <v>0</v>
      </c>
      <c r="DE4406">
        <v>0</v>
      </c>
      <c r="DF4406">
        <v>0</v>
      </c>
      <c r="DG4406">
        <v>0</v>
      </c>
      <c r="DH4406">
        <v>0</v>
      </c>
      <c r="DI4406">
        <v>0</v>
      </c>
    </row>
    <row r="4407" spans="1:113" x14ac:dyDescent="0.25">
      <c r="A4407" t="str">
        <f t="shared" si="2476"/>
        <v>06/05/2020 14:59:55.485</v>
      </c>
      <c r="C4407" t="str">
        <f t="shared" si="2468"/>
        <v>FFDFD3C0</v>
      </c>
      <c r="D4407" t="s">
        <v>148</v>
      </c>
      <c r="E4407">
        <v>11</v>
      </c>
      <c r="H4407">
        <v>53</v>
      </c>
      <c r="I4407" t="s">
        <v>364</v>
      </c>
      <c r="J4407" t="s">
        <v>150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 t="shared" si="2477"/>
        <v>15:00:01.125</v>
      </c>
      <c r="T4407" t="str">
        <f>"15:00:00.725"</f>
        <v>15:00:00.725</v>
      </c>
      <c r="U4407" t="str">
        <f t="shared" si="2448"/>
        <v>ACC530</v>
      </c>
      <c r="V4407">
        <v>0</v>
      </c>
      <c r="W4407">
        <v>0</v>
      </c>
      <c r="X4407">
        <v>1</v>
      </c>
      <c r="Z4407">
        <v>0</v>
      </c>
      <c r="AA4407">
        <v>9</v>
      </c>
      <c r="AB4407">
        <v>3</v>
      </c>
      <c r="AC4407">
        <v>0</v>
      </c>
      <c r="AD4407">
        <v>9</v>
      </c>
      <c r="AE4407">
        <v>0</v>
      </c>
      <c r="AF4407">
        <v>3</v>
      </c>
      <c r="AG4407">
        <v>1</v>
      </c>
      <c r="AH4407">
        <v>0</v>
      </c>
      <c r="AI4407" t="s">
        <v>1201</v>
      </c>
      <c r="AJ4407">
        <v>34.072615999999996</v>
      </c>
      <c r="AK4407" t="s">
        <v>1381</v>
      </c>
      <c r="AL4407">
        <v>-117.040164</v>
      </c>
      <c r="AM4407">
        <v>100</v>
      </c>
      <c r="AN4407">
        <v>4900</v>
      </c>
      <c r="AO4407" t="s">
        <v>118</v>
      </c>
      <c r="AP4407">
        <v>-102</v>
      </c>
      <c r="AQ4407">
        <v>23</v>
      </c>
      <c r="AR4407">
        <v>-768</v>
      </c>
      <c r="AZ4407">
        <v>1200</v>
      </c>
      <c r="BA4407">
        <v>1</v>
      </c>
      <c r="BB4407" t="str">
        <f t="shared" si="2451"/>
        <v xml:space="preserve">N9217B  </v>
      </c>
      <c r="BC4407">
        <v>1</v>
      </c>
      <c r="BE4407">
        <v>0</v>
      </c>
      <c r="BF4407">
        <v>0</v>
      </c>
      <c r="BG4407">
        <v>0</v>
      </c>
      <c r="BH4407">
        <v>4750</v>
      </c>
      <c r="BI4407">
        <v>1</v>
      </c>
      <c r="BJ4407">
        <v>0</v>
      </c>
      <c r="BK4407">
        <v>0</v>
      </c>
      <c r="BL4407">
        <v>0</v>
      </c>
      <c r="BO4407">
        <v>0</v>
      </c>
      <c r="BP4407">
        <v>0</v>
      </c>
      <c r="BW4407" t="str">
        <f t="shared" si="2478"/>
        <v>15:00:01.128</v>
      </c>
      <c r="CJ4407">
        <v>0</v>
      </c>
      <c r="CK4407">
        <v>2</v>
      </c>
      <c r="CL4407">
        <v>0</v>
      </c>
      <c r="CM4407">
        <v>2</v>
      </c>
      <c r="CN4407">
        <v>0</v>
      </c>
      <c r="CO4407">
        <v>5</v>
      </c>
      <c r="CP4407" t="s">
        <v>119</v>
      </c>
      <c r="CQ4407">
        <v>298</v>
      </c>
      <c r="CR4407">
        <v>0</v>
      </c>
      <c r="CW4407">
        <v>10479101</v>
      </c>
      <c r="CY4407">
        <v>0</v>
      </c>
      <c r="CZ4407">
        <v>0</v>
      </c>
      <c r="DA4407">
        <v>1</v>
      </c>
      <c r="DB4407">
        <v>0</v>
      </c>
      <c r="DC4407">
        <v>0</v>
      </c>
      <c r="DD4407">
        <v>0</v>
      </c>
      <c r="DE4407">
        <v>0</v>
      </c>
      <c r="DF4407">
        <v>0</v>
      </c>
      <c r="DG4407">
        <v>0</v>
      </c>
      <c r="DH4407">
        <v>0</v>
      </c>
      <c r="DI4407">
        <v>0</v>
      </c>
    </row>
    <row r="4408" spans="1:113" x14ac:dyDescent="0.25">
      <c r="A4408" t="str">
        <f t="shared" ref="A4408:A4413" si="2479">"06/05/2020 14:59:56.542"</f>
        <v>06/05/2020 14:59:56.542</v>
      </c>
      <c r="C4408" t="str">
        <f t="shared" si="2468"/>
        <v>FFDFD3C0</v>
      </c>
      <c r="D4408" t="s">
        <v>148</v>
      </c>
      <c r="E4408">
        <v>11</v>
      </c>
      <c r="H4408">
        <v>53</v>
      </c>
      <c r="I4408" t="s">
        <v>364</v>
      </c>
      <c r="J4408" t="s">
        <v>150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 t="shared" ref="S4408:T4413" si="2480">"15:00:02.203"</f>
        <v>15:00:02.203</v>
      </c>
      <c r="T4408" t="str">
        <f t="shared" si="2480"/>
        <v>15:00:02.203</v>
      </c>
      <c r="U4408" t="str">
        <f t="shared" si="2448"/>
        <v>ACC530</v>
      </c>
      <c r="V4408">
        <v>0</v>
      </c>
      <c r="W4408">
        <v>0</v>
      </c>
      <c r="X4408">
        <v>1</v>
      </c>
      <c r="Z4408">
        <v>0</v>
      </c>
      <c r="AA4408">
        <v>9</v>
      </c>
      <c r="AB4408">
        <v>3</v>
      </c>
      <c r="AC4408">
        <v>0</v>
      </c>
      <c r="AD4408">
        <v>9</v>
      </c>
      <c r="AE4408">
        <v>0</v>
      </c>
      <c r="AF4408">
        <v>3</v>
      </c>
      <c r="AG4408">
        <v>1</v>
      </c>
      <c r="AH4408">
        <v>0</v>
      </c>
      <c r="AI4408" t="s">
        <v>1382</v>
      </c>
      <c r="AJ4408">
        <v>34.072744999999998</v>
      </c>
      <c r="AK4408" t="s">
        <v>817</v>
      </c>
      <c r="AL4408">
        <v>-117.04078699999999</v>
      </c>
      <c r="AM4408">
        <v>100</v>
      </c>
      <c r="AN4408">
        <v>4900</v>
      </c>
      <c r="AO4408" t="s">
        <v>118</v>
      </c>
      <c r="AP4408">
        <v>-102</v>
      </c>
      <c r="AQ4408">
        <v>23</v>
      </c>
      <c r="AR4408">
        <v>-704</v>
      </c>
      <c r="AZ4408">
        <v>1200</v>
      </c>
      <c r="BA4408">
        <v>1</v>
      </c>
      <c r="BB4408" t="str">
        <f t="shared" si="2451"/>
        <v xml:space="preserve">N9217B  </v>
      </c>
      <c r="BC4408">
        <v>1</v>
      </c>
      <c r="BE4408">
        <v>0</v>
      </c>
      <c r="BF4408">
        <v>0</v>
      </c>
      <c r="BG4408">
        <v>0</v>
      </c>
      <c r="BH4408">
        <v>4725</v>
      </c>
      <c r="BI4408">
        <v>1</v>
      </c>
      <c r="BJ4408">
        <v>0</v>
      </c>
      <c r="BK4408">
        <v>0</v>
      </c>
      <c r="BL4408">
        <v>0</v>
      </c>
      <c r="BO4408">
        <v>0</v>
      </c>
      <c r="BP4408">
        <v>0</v>
      </c>
      <c r="BW4408" t="str">
        <f t="shared" ref="BW4408:BW4413" si="2481">"15:00:02.208"</f>
        <v>15:00:02.208</v>
      </c>
      <c r="CJ4408">
        <v>0</v>
      </c>
      <c r="CK4408">
        <v>2</v>
      </c>
      <c r="CL4408">
        <v>0</v>
      </c>
      <c r="CM4408">
        <v>2</v>
      </c>
      <c r="CN4408">
        <v>0</v>
      </c>
      <c r="CO4408">
        <v>5</v>
      </c>
      <c r="CP4408" t="s">
        <v>119</v>
      </c>
      <c r="CQ4408">
        <v>298</v>
      </c>
      <c r="CR4408">
        <v>0</v>
      </c>
      <c r="CW4408">
        <v>10479238</v>
      </c>
      <c r="CY4408">
        <v>0</v>
      </c>
      <c r="CZ4408">
        <v>0</v>
      </c>
      <c r="DA4408">
        <v>0</v>
      </c>
      <c r="DB4408">
        <v>0</v>
      </c>
      <c r="DC4408">
        <v>0</v>
      </c>
      <c r="DD4408">
        <v>0</v>
      </c>
      <c r="DE4408">
        <v>0</v>
      </c>
      <c r="DF4408">
        <v>0</v>
      </c>
      <c r="DG4408">
        <v>0</v>
      </c>
      <c r="DH4408">
        <v>0</v>
      </c>
      <c r="DI4408">
        <v>0</v>
      </c>
    </row>
    <row r="4409" spans="1:113" x14ac:dyDescent="0.25">
      <c r="A4409" t="str">
        <f t="shared" si="2479"/>
        <v>06/05/2020 14:59:56.542</v>
      </c>
      <c r="C4409" t="str">
        <f t="shared" si="2468"/>
        <v>FFDFD3C0</v>
      </c>
      <c r="D4409" t="s">
        <v>148</v>
      </c>
      <c r="E4409">
        <v>8</v>
      </c>
      <c r="H4409">
        <v>50</v>
      </c>
      <c r="I4409" t="s">
        <v>149</v>
      </c>
      <c r="J4409" t="s">
        <v>150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 t="shared" si="2480"/>
        <v>15:00:02.203</v>
      </c>
      <c r="T4409" t="str">
        <f t="shared" si="2480"/>
        <v>15:00:02.203</v>
      </c>
      <c r="U4409" t="str">
        <f t="shared" si="2448"/>
        <v>ACC530</v>
      </c>
      <c r="V4409">
        <v>0</v>
      </c>
      <c r="W4409">
        <v>0</v>
      </c>
      <c r="X4409">
        <v>1</v>
      </c>
      <c r="Z4409">
        <v>0</v>
      </c>
      <c r="AA4409">
        <v>9</v>
      </c>
      <c r="AB4409">
        <v>3</v>
      </c>
      <c r="AC4409">
        <v>0</v>
      </c>
      <c r="AD4409">
        <v>9</v>
      </c>
      <c r="AE4409">
        <v>0</v>
      </c>
      <c r="AF4409">
        <v>3</v>
      </c>
      <c r="AG4409">
        <v>1</v>
      </c>
      <c r="AH4409">
        <v>0</v>
      </c>
      <c r="AI4409" t="s">
        <v>1382</v>
      </c>
      <c r="AJ4409">
        <v>34.072744999999998</v>
      </c>
      <c r="AK4409" t="s">
        <v>817</v>
      </c>
      <c r="AL4409">
        <v>-117.04078699999999</v>
      </c>
      <c r="AM4409">
        <v>100</v>
      </c>
      <c r="AN4409">
        <v>4900</v>
      </c>
      <c r="AO4409" t="s">
        <v>118</v>
      </c>
      <c r="AP4409">
        <v>-102</v>
      </c>
      <c r="AQ4409">
        <v>23</v>
      </c>
      <c r="AR4409">
        <v>-704</v>
      </c>
      <c r="AZ4409">
        <v>1200</v>
      </c>
      <c r="BA4409">
        <v>1</v>
      </c>
      <c r="BB4409" t="str">
        <f t="shared" si="2451"/>
        <v xml:space="preserve">N9217B  </v>
      </c>
      <c r="BC4409">
        <v>1</v>
      </c>
      <c r="BE4409">
        <v>0</v>
      </c>
      <c r="BF4409">
        <v>0</v>
      </c>
      <c r="BG4409">
        <v>0</v>
      </c>
      <c r="BH4409">
        <v>4725</v>
      </c>
      <c r="BI4409">
        <v>1</v>
      </c>
      <c r="BJ4409">
        <v>0</v>
      </c>
      <c r="BK4409">
        <v>0</v>
      </c>
      <c r="BL4409">
        <v>0</v>
      </c>
      <c r="BO4409">
        <v>0</v>
      </c>
      <c r="BP4409">
        <v>0</v>
      </c>
      <c r="BW4409" t="str">
        <f t="shared" si="2481"/>
        <v>15:00:02.208</v>
      </c>
      <c r="CJ4409">
        <v>0</v>
      </c>
      <c r="CK4409">
        <v>2</v>
      </c>
      <c r="CL4409">
        <v>0</v>
      </c>
      <c r="CM4409">
        <v>2</v>
      </c>
      <c r="CN4409">
        <v>0</v>
      </c>
      <c r="CO4409">
        <v>5</v>
      </c>
      <c r="CP4409" t="s">
        <v>119</v>
      </c>
      <c r="CQ4409">
        <v>298</v>
      </c>
      <c r="CR4409">
        <v>0</v>
      </c>
      <c r="CW4409">
        <v>10479238</v>
      </c>
      <c r="CY4409">
        <v>0</v>
      </c>
      <c r="CZ4409">
        <v>0</v>
      </c>
      <c r="DA4409">
        <v>1</v>
      </c>
      <c r="DB4409">
        <v>0</v>
      </c>
      <c r="DC4409">
        <v>0</v>
      </c>
      <c r="DD4409">
        <v>0</v>
      </c>
      <c r="DE4409">
        <v>0</v>
      </c>
      <c r="DF4409">
        <v>0</v>
      </c>
      <c r="DG4409">
        <v>0</v>
      </c>
      <c r="DH4409">
        <v>0</v>
      </c>
      <c r="DI4409">
        <v>0</v>
      </c>
    </row>
    <row r="4410" spans="1:113" x14ac:dyDescent="0.25">
      <c r="A4410" t="str">
        <f t="shared" si="2479"/>
        <v>06/05/2020 14:59:56.542</v>
      </c>
      <c r="C4410" t="str">
        <f t="shared" si="2468"/>
        <v>FFDFD3C0</v>
      </c>
      <c r="D4410" t="s">
        <v>134</v>
      </c>
      <c r="E4410">
        <v>7</v>
      </c>
      <c r="F4410">
        <v>2007</v>
      </c>
      <c r="G4410" t="s">
        <v>135</v>
      </c>
      <c r="J4410" t="s">
        <v>136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 t="shared" si="2480"/>
        <v>15:00:02.203</v>
      </c>
      <c r="T4410" t="str">
        <f t="shared" si="2480"/>
        <v>15:00:02.203</v>
      </c>
      <c r="U4410" t="str">
        <f t="shared" si="2448"/>
        <v>ACC530</v>
      </c>
      <c r="V4410">
        <v>0</v>
      </c>
      <c r="W4410">
        <v>0</v>
      </c>
      <c r="X4410">
        <v>1</v>
      </c>
      <c r="Z4410">
        <v>0</v>
      </c>
      <c r="AA4410">
        <v>9</v>
      </c>
      <c r="AB4410">
        <v>3</v>
      </c>
      <c r="AC4410">
        <v>0</v>
      </c>
      <c r="AD4410">
        <v>9</v>
      </c>
      <c r="AE4410">
        <v>0</v>
      </c>
      <c r="AF4410">
        <v>3</v>
      </c>
      <c r="AG4410">
        <v>1</v>
      </c>
      <c r="AH4410">
        <v>0</v>
      </c>
      <c r="AI4410" t="s">
        <v>1382</v>
      </c>
      <c r="AJ4410">
        <v>34.072744999999998</v>
      </c>
      <c r="AK4410" t="s">
        <v>817</v>
      </c>
      <c r="AL4410">
        <v>-117.04078699999999</v>
      </c>
      <c r="AM4410">
        <v>100</v>
      </c>
      <c r="AN4410">
        <v>4900</v>
      </c>
      <c r="AO4410" t="s">
        <v>118</v>
      </c>
      <c r="AP4410">
        <v>-102</v>
      </c>
      <c r="AQ4410">
        <v>23</v>
      </c>
      <c r="AR4410">
        <v>-704</v>
      </c>
      <c r="AZ4410">
        <v>1200</v>
      </c>
      <c r="BA4410">
        <v>1</v>
      </c>
      <c r="BB4410" t="str">
        <f t="shared" si="2451"/>
        <v xml:space="preserve">N9217B  </v>
      </c>
      <c r="BC4410">
        <v>1</v>
      </c>
      <c r="BE4410">
        <v>0</v>
      </c>
      <c r="BF4410">
        <v>0</v>
      </c>
      <c r="BG4410">
        <v>0</v>
      </c>
      <c r="BH4410">
        <v>4725</v>
      </c>
      <c r="BI4410">
        <v>1</v>
      </c>
      <c r="BJ4410">
        <v>0</v>
      </c>
      <c r="BK4410">
        <v>0</v>
      </c>
      <c r="BL4410">
        <v>0</v>
      </c>
      <c r="BO4410">
        <v>0</v>
      </c>
      <c r="BP4410">
        <v>0</v>
      </c>
      <c r="BW4410" t="str">
        <f t="shared" si="2481"/>
        <v>15:00:02.208</v>
      </c>
      <c r="CJ4410">
        <v>0</v>
      </c>
      <c r="CK4410">
        <v>2</v>
      </c>
      <c r="CL4410">
        <v>0</v>
      </c>
      <c r="CM4410">
        <v>2</v>
      </c>
      <c r="CN4410">
        <v>0</v>
      </c>
      <c r="CO4410">
        <v>5</v>
      </c>
      <c r="CP4410" t="s">
        <v>119</v>
      </c>
      <c r="CQ4410">
        <v>298</v>
      </c>
      <c r="CR4410">
        <v>0</v>
      </c>
      <c r="CW4410">
        <v>10479238</v>
      </c>
      <c r="CY4410">
        <v>0</v>
      </c>
      <c r="CZ4410">
        <v>0</v>
      </c>
      <c r="DA4410">
        <v>1</v>
      </c>
      <c r="DB4410">
        <v>0</v>
      </c>
      <c r="DC4410">
        <v>0</v>
      </c>
      <c r="DD4410">
        <v>0</v>
      </c>
      <c r="DE4410">
        <v>0</v>
      </c>
      <c r="DF4410">
        <v>0</v>
      </c>
      <c r="DG4410">
        <v>0</v>
      </c>
      <c r="DH4410">
        <v>0</v>
      </c>
      <c r="DI4410">
        <v>0</v>
      </c>
    </row>
    <row r="4411" spans="1:113" x14ac:dyDescent="0.25">
      <c r="A4411" t="str">
        <f t="shared" si="2479"/>
        <v>06/05/2020 14:59:56.542</v>
      </c>
      <c r="C4411" t="str">
        <f t="shared" si="2468"/>
        <v>FFDFD3C0</v>
      </c>
      <c r="D4411" t="s">
        <v>113</v>
      </c>
      <c r="E4411">
        <v>3</v>
      </c>
      <c r="H4411">
        <v>166</v>
      </c>
      <c r="I4411" t="s">
        <v>114</v>
      </c>
      <c r="J4411" t="s">
        <v>115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 t="shared" si="2480"/>
        <v>15:00:02.203</v>
      </c>
      <c r="T4411" t="str">
        <f t="shared" si="2480"/>
        <v>15:00:02.203</v>
      </c>
      <c r="U4411" t="str">
        <f t="shared" si="2448"/>
        <v>ACC530</v>
      </c>
      <c r="V4411">
        <v>0</v>
      </c>
      <c r="W4411">
        <v>0</v>
      </c>
      <c r="X4411">
        <v>1</v>
      </c>
      <c r="Z4411">
        <v>0</v>
      </c>
      <c r="AA4411">
        <v>9</v>
      </c>
      <c r="AB4411">
        <v>3</v>
      </c>
      <c r="AC4411">
        <v>0</v>
      </c>
      <c r="AD4411">
        <v>9</v>
      </c>
      <c r="AE4411">
        <v>0</v>
      </c>
      <c r="AF4411">
        <v>3</v>
      </c>
      <c r="AG4411">
        <v>1</v>
      </c>
      <c r="AH4411">
        <v>0</v>
      </c>
      <c r="AI4411" t="s">
        <v>1382</v>
      </c>
      <c r="AJ4411">
        <v>34.072744999999998</v>
      </c>
      <c r="AK4411" t="s">
        <v>817</v>
      </c>
      <c r="AL4411">
        <v>-117.04078699999999</v>
      </c>
      <c r="AM4411">
        <v>100</v>
      </c>
      <c r="AN4411">
        <v>4900</v>
      </c>
      <c r="AO4411" t="s">
        <v>118</v>
      </c>
      <c r="AP4411">
        <v>-102</v>
      </c>
      <c r="AQ4411">
        <v>23</v>
      </c>
      <c r="AR4411">
        <v>-704</v>
      </c>
      <c r="AZ4411">
        <v>1200</v>
      </c>
      <c r="BA4411">
        <v>1</v>
      </c>
      <c r="BB4411" t="str">
        <f t="shared" si="2451"/>
        <v xml:space="preserve">N9217B  </v>
      </c>
      <c r="BC4411">
        <v>1</v>
      </c>
      <c r="BE4411">
        <v>0</v>
      </c>
      <c r="BF4411">
        <v>0</v>
      </c>
      <c r="BG4411">
        <v>0</v>
      </c>
      <c r="BH4411">
        <v>4725</v>
      </c>
      <c r="BI4411">
        <v>1</v>
      </c>
      <c r="BJ4411">
        <v>0</v>
      </c>
      <c r="BK4411">
        <v>0</v>
      </c>
      <c r="BL4411">
        <v>0</v>
      </c>
      <c r="BO4411">
        <v>0</v>
      </c>
      <c r="BP4411">
        <v>0</v>
      </c>
      <c r="BW4411" t="str">
        <f t="shared" si="2481"/>
        <v>15:00:02.208</v>
      </c>
      <c r="CJ4411">
        <v>0</v>
      </c>
      <c r="CK4411">
        <v>2</v>
      </c>
      <c r="CL4411">
        <v>0</v>
      </c>
      <c r="CM4411">
        <v>2</v>
      </c>
      <c r="CN4411">
        <v>0</v>
      </c>
      <c r="CO4411">
        <v>5</v>
      </c>
      <c r="CP4411" t="s">
        <v>119</v>
      </c>
      <c r="CQ4411">
        <v>298</v>
      </c>
      <c r="CR4411">
        <v>0</v>
      </c>
      <c r="CW4411">
        <v>10479238</v>
      </c>
      <c r="CY4411">
        <v>0</v>
      </c>
      <c r="CZ4411">
        <v>0</v>
      </c>
      <c r="DA4411">
        <v>1</v>
      </c>
      <c r="DB4411">
        <v>0</v>
      </c>
      <c r="DC4411">
        <v>0</v>
      </c>
      <c r="DD4411">
        <v>0</v>
      </c>
      <c r="DE4411">
        <v>0</v>
      </c>
      <c r="DF4411">
        <v>0</v>
      </c>
      <c r="DG4411">
        <v>0</v>
      </c>
      <c r="DH4411">
        <v>0</v>
      </c>
      <c r="DI4411">
        <v>0</v>
      </c>
    </row>
    <row r="4412" spans="1:113" x14ac:dyDescent="0.25">
      <c r="A4412" t="str">
        <f t="shared" si="2479"/>
        <v>06/05/2020 14:59:56.542</v>
      </c>
      <c r="C4412" t="str">
        <f t="shared" si="2468"/>
        <v>FFDFD3C0</v>
      </c>
      <c r="D4412" t="s">
        <v>141</v>
      </c>
      <c r="E4412">
        <v>20</v>
      </c>
      <c r="F4412">
        <v>1020</v>
      </c>
      <c r="G4412" t="s">
        <v>114</v>
      </c>
      <c r="J4412" t="s">
        <v>142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 t="shared" si="2480"/>
        <v>15:00:02.203</v>
      </c>
      <c r="T4412" t="str">
        <f t="shared" si="2480"/>
        <v>15:00:02.203</v>
      </c>
      <c r="U4412" t="str">
        <f t="shared" si="2448"/>
        <v>ACC530</v>
      </c>
      <c r="V4412">
        <v>0</v>
      </c>
      <c r="W4412">
        <v>0</v>
      </c>
      <c r="X4412">
        <v>1</v>
      </c>
      <c r="Z4412">
        <v>0</v>
      </c>
      <c r="AA4412">
        <v>9</v>
      </c>
      <c r="AB4412">
        <v>3</v>
      </c>
      <c r="AC4412">
        <v>0</v>
      </c>
      <c r="AD4412">
        <v>9</v>
      </c>
      <c r="AE4412">
        <v>0</v>
      </c>
      <c r="AF4412">
        <v>3</v>
      </c>
      <c r="AG4412">
        <v>1</v>
      </c>
      <c r="AH4412">
        <v>0</v>
      </c>
      <c r="AI4412" t="s">
        <v>1382</v>
      </c>
      <c r="AJ4412">
        <v>34.072744999999998</v>
      </c>
      <c r="AK4412" t="s">
        <v>817</v>
      </c>
      <c r="AL4412">
        <v>-117.04078699999999</v>
      </c>
      <c r="AM4412">
        <v>100</v>
      </c>
      <c r="AN4412">
        <v>4900</v>
      </c>
      <c r="AO4412" t="s">
        <v>118</v>
      </c>
      <c r="AP4412">
        <v>-102</v>
      </c>
      <c r="AQ4412">
        <v>23</v>
      </c>
      <c r="AR4412">
        <v>-704</v>
      </c>
      <c r="AZ4412">
        <v>1200</v>
      </c>
      <c r="BA4412">
        <v>1</v>
      </c>
      <c r="BB4412" t="str">
        <f t="shared" si="2451"/>
        <v xml:space="preserve">N9217B  </v>
      </c>
      <c r="BC4412">
        <v>1</v>
      </c>
      <c r="BE4412">
        <v>0</v>
      </c>
      <c r="BF4412">
        <v>0</v>
      </c>
      <c r="BG4412">
        <v>0</v>
      </c>
      <c r="BH4412">
        <v>4725</v>
      </c>
      <c r="BI4412">
        <v>1</v>
      </c>
      <c r="BJ4412">
        <v>0</v>
      </c>
      <c r="BK4412">
        <v>0</v>
      </c>
      <c r="BL4412">
        <v>0</v>
      </c>
      <c r="BO4412">
        <v>0</v>
      </c>
      <c r="BP4412">
        <v>0</v>
      </c>
      <c r="BW4412" t="str">
        <f t="shared" si="2481"/>
        <v>15:00:02.208</v>
      </c>
      <c r="CJ4412">
        <v>0</v>
      </c>
      <c r="CK4412">
        <v>2</v>
      </c>
      <c r="CL4412">
        <v>0</v>
      </c>
      <c r="CM4412">
        <v>2</v>
      </c>
      <c r="CN4412">
        <v>0</v>
      </c>
      <c r="CO4412">
        <v>5</v>
      </c>
      <c r="CP4412" t="s">
        <v>119</v>
      </c>
      <c r="CQ4412">
        <v>298</v>
      </c>
      <c r="CR4412">
        <v>0</v>
      </c>
      <c r="CW4412">
        <v>10479238</v>
      </c>
      <c r="CY4412">
        <v>0</v>
      </c>
      <c r="CZ4412">
        <v>0</v>
      </c>
      <c r="DA4412">
        <v>1</v>
      </c>
      <c r="DB4412">
        <v>0</v>
      </c>
      <c r="DC4412">
        <v>0</v>
      </c>
      <c r="DD4412">
        <v>0</v>
      </c>
      <c r="DE4412">
        <v>0</v>
      </c>
      <c r="DF4412">
        <v>0</v>
      </c>
      <c r="DG4412">
        <v>0</v>
      </c>
      <c r="DH4412">
        <v>0</v>
      </c>
      <c r="DI4412">
        <v>0</v>
      </c>
    </row>
    <row r="4413" spans="1:113" x14ac:dyDescent="0.25">
      <c r="A4413" t="str">
        <f t="shared" si="2479"/>
        <v>06/05/2020 14:59:56.542</v>
      </c>
      <c r="C4413" t="str">
        <f t="shared" si="2468"/>
        <v>FFDFD3C0</v>
      </c>
      <c r="D4413" t="s">
        <v>151</v>
      </c>
      <c r="E4413">
        <v>8</v>
      </c>
      <c r="H4413">
        <v>225</v>
      </c>
      <c r="I4413" t="s">
        <v>353</v>
      </c>
      <c r="J4413" t="s">
        <v>150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 t="shared" si="2480"/>
        <v>15:00:02.203</v>
      </c>
      <c r="T4413" t="str">
        <f t="shared" si="2480"/>
        <v>15:00:02.203</v>
      </c>
      <c r="U4413" t="str">
        <f t="shared" si="2448"/>
        <v>ACC530</v>
      </c>
      <c r="V4413">
        <v>0</v>
      </c>
      <c r="W4413">
        <v>0</v>
      </c>
      <c r="X4413">
        <v>1</v>
      </c>
      <c r="Z4413">
        <v>0</v>
      </c>
      <c r="AA4413">
        <v>9</v>
      </c>
      <c r="AB4413">
        <v>3</v>
      </c>
      <c r="AC4413">
        <v>0</v>
      </c>
      <c r="AD4413">
        <v>9</v>
      </c>
      <c r="AE4413">
        <v>0</v>
      </c>
      <c r="AF4413">
        <v>3</v>
      </c>
      <c r="AG4413">
        <v>1</v>
      </c>
      <c r="AH4413">
        <v>0</v>
      </c>
      <c r="AI4413" t="s">
        <v>1382</v>
      </c>
      <c r="AJ4413">
        <v>34.072744999999998</v>
      </c>
      <c r="AK4413" t="s">
        <v>817</v>
      </c>
      <c r="AL4413">
        <v>-117.04078699999999</v>
      </c>
      <c r="AM4413">
        <v>100</v>
      </c>
      <c r="AN4413">
        <v>4900</v>
      </c>
      <c r="AO4413" t="s">
        <v>118</v>
      </c>
      <c r="AP4413">
        <v>-102</v>
      </c>
      <c r="AQ4413">
        <v>23</v>
      </c>
      <c r="AR4413">
        <v>-704</v>
      </c>
      <c r="AZ4413">
        <v>1200</v>
      </c>
      <c r="BA4413">
        <v>1</v>
      </c>
      <c r="BB4413" t="str">
        <f t="shared" si="2451"/>
        <v xml:space="preserve">N9217B  </v>
      </c>
      <c r="BC4413">
        <v>1</v>
      </c>
      <c r="BE4413">
        <v>0</v>
      </c>
      <c r="BF4413">
        <v>0</v>
      </c>
      <c r="BG4413">
        <v>0</v>
      </c>
      <c r="BH4413">
        <v>4725</v>
      </c>
      <c r="BI4413">
        <v>1</v>
      </c>
      <c r="BJ4413">
        <v>0</v>
      </c>
      <c r="BK4413">
        <v>0</v>
      </c>
      <c r="BL4413">
        <v>0</v>
      </c>
      <c r="BO4413">
        <v>0</v>
      </c>
      <c r="BP4413">
        <v>0</v>
      </c>
      <c r="BW4413" t="str">
        <f t="shared" si="2481"/>
        <v>15:00:02.208</v>
      </c>
      <c r="CJ4413">
        <v>0</v>
      </c>
      <c r="CK4413">
        <v>2</v>
      </c>
      <c r="CL4413">
        <v>0</v>
      </c>
      <c r="CM4413">
        <v>2</v>
      </c>
      <c r="CN4413">
        <v>0</v>
      </c>
      <c r="CO4413">
        <v>5</v>
      </c>
      <c r="CP4413" t="s">
        <v>119</v>
      </c>
      <c r="CQ4413">
        <v>298</v>
      </c>
      <c r="CR4413">
        <v>0</v>
      </c>
      <c r="CW4413">
        <v>10479238</v>
      </c>
      <c r="CY4413">
        <v>0</v>
      </c>
      <c r="CZ4413">
        <v>0</v>
      </c>
      <c r="DA4413">
        <v>1</v>
      </c>
      <c r="DB4413">
        <v>0</v>
      </c>
      <c r="DC4413">
        <v>0</v>
      </c>
      <c r="DD4413">
        <v>0</v>
      </c>
      <c r="DE4413">
        <v>0</v>
      </c>
      <c r="DF4413">
        <v>0</v>
      </c>
      <c r="DG4413">
        <v>0</v>
      </c>
      <c r="DH4413">
        <v>0</v>
      </c>
      <c r="DI4413">
        <v>0</v>
      </c>
    </row>
    <row r="4414" spans="1:113" x14ac:dyDescent="0.25">
      <c r="A4414" t="str">
        <f t="shared" ref="A4414:A4420" si="2482">"06/05/2020 14:59:57.532"</f>
        <v>06/05/2020 14:59:57.532</v>
      </c>
      <c r="C4414" t="str">
        <f t="shared" si="2468"/>
        <v>FFDFD3C0</v>
      </c>
      <c r="D4414" t="s">
        <v>141</v>
      </c>
      <c r="E4414">
        <v>20</v>
      </c>
      <c r="F4414">
        <v>1020</v>
      </c>
      <c r="G4414" t="s">
        <v>114</v>
      </c>
      <c r="J4414" t="s">
        <v>142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 t="shared" ref="S4414:T4420" si="2483">"15:00:03.148"</f>
        <v>15:00:03.148</v>
      </c>
      <c r="T4414" t="str">
        <f t="shared" si="2483"/>
        <v>15:00:03.148</v>
      </c>
      <c r="U4414" t="str">
        <f t="shared" si="2448"/>
        <v>ACC530</v>
      </c>
      <c r="V4414">
        <v>0</v>
      </c>
      <c r="W4414">
        <v>0</v>
      </c>
      <c r="X4414">
        <v>1</v>
      </c>
      <c r="Z4414">
        <v>0</v>
      </c>
      <c r="AA4414">
        <v>9</v>
      </c>
      <c r="AB4414">
        <v>3</v>
      </c>
      <c r="AC4414">
        <v>0</v>
      </c>
      <c r="AD4414">
        <v>9</v>
      </c>
      <c r="AE4414">
        <v>0</v>
      </c>
      <c r="AF4414">
        <v>3</v>
      </c>
      <c r="AG4414">
        <v>1</v>
      </c>
      <c r="AH4414">
        <v>0</v>
      </c>
      <c r="AI4414" t="s">
        <v>1383</v>
      </c>
      <c r="AJ4414">
        <v>34.072808999999999</v>
      </c>
      <c r="AK4414" t="s">
        <v>1384</v>
      </c>
      <c r="AL4414">
        <v>-117.04128</v>
      </c>
      <c r="AM4414">
        <v>100</v>
      </c>
      <c r="AN4414">
        <v>4900</v>
      </c>
      <c r="AO4414" t="s">
        <v>118</v>
      </c>
      <c r="AP4414">
        <v>-102</v>
      </c>
      <c r="AQ4414">
        <v>23</v>
      </c>
      <c r="AR4414">
        <v>-704</v>
      </c>
      <c r="AZ4414">
        <v>1200</v>
      </c>
      <c r="BA4414">
        <v>1</v>
      </c>
      <c r="BB4414" t="str">
        <f t="shared" si="2451"/>
        <v xml:space="preserve">N9217B  </v>
      </c>
      <c r="BC4414">
        <v>1</v>
      </c>
      <c r="BE4414">
        <v>0</v>
      </c>
      <c r="BF4414">
        <v>0</v>
      </c>
      <c r="BG4414">
        <v>0</v>
      </c>
      <c r="BH4414">
        <v>4725</v>
      </c>
      <c r="BI4414">
        <v>1</v>
      </c>
      <c r="BJ4414">
        <v>0</v>
      </c>
      <c r="BK4414">
        <v>0</v>
      </c>
      <c r="BL4414">
        <v>0</v>
      </c>
      <c r="BO4414">
        <v>0</v>
      </c>
      <c r="BP4414">
        <v>0</v>
      </c>
      <c r="BW4414" t="str">
        <f t="shared" ref="BW4414:BW4420" si="2484">"15:00:03.153"</f>
        <v>15:00:03.153</v>
      </c>
      <c r="CJ4414">
        <v>0</v>
      </c>
      <c r="CK4414">
        <v>2</v>
      </c>
      <c r="CL4414">
        <v>0</v>
      </c>
      <c r="CM4414">
        <v>2</v>
      </c>
      <c r="CN4414">
        <v>0</v>
      </c>
      <c r="CO4414">
        <v>3</v>
      </c>
      <c r="CP4414" t="s">
        <v>119</v>
      </c>
      <c r="CQ4414">
        <v>285</v>
      </c>
      <c r="CR4414">
        <v>0</v>
      </c>
      <c r="CW4414">
        <v>8893417</v>
      </c>
      <c r="CY4414">
        <v>0</v>
      </c>
      <c r="CZ4414">
        <v>0</v>
      </c>
      <c r="DA4414">
        <v>0</v>
      </c>
      <c r="DB4414">
        <v>0</v>
      </c>
      <c r="DC4414">
        <v>0</v>
      </c>
      <c r="DD4414">
        <v>0</v>
      </c>
      <c r="DE4414">
        <v>0</v>
      </c>
      <c r="DF4414">
        <v>0</v>
      </c>
      <c r="DG4414">
        <v>0</v>
      </c>
      <c r="DH4414">
        <v>0</v>
      </c>
      <c r="DI4414">
        <v>0</v>
      </c>
    </row>
    <row r="4415" spans="1:113" x14ac:dyDescent="0.25">
      <c r="A4415" t="str">
        <f t="shared" si="2482"/>
        <v>06/05/2020 14:59:57.532</v>
      </c>
      <c r="C4415" t="str">
        <f t="shared" si="2468"/>
        <v>FFDFD3C0</v>
      </c>
      <c r="D4415" t="s">
        <v>113</v>
      </c>
      <c r="E4415">
        <v>3</v>
      </c>
      <c r="H4415">
        <v>166</v>
      </c>
      <c r="I4415" t="s">
        <v>114</v>
      </c>
      <c r="J4415" t="s">
        <v>115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 t="shared" si="2483"/>
        <v>15:00:03.148</v>
      </c>
      <c r="T4415" t="str">
        <f t="shared" si="2483"/>
        <v>15:00:03.148</v>
      </c>
      <c r="U4415" t="str">
        <f t="shared" si="2448"/>
        <v>ACC530</v>
      </c>
      <c r="V4415">
        <v>0</v>
      </c>
      <c r="W4415">
        <v>0</v>
      </c>
      <c r="X4415">
        <v>1</v>
      </c>
      <c r="Z4415">
        <v>0</v>
      </c>
      <c r="AA4415">
        <v>9</v>
      </c>
      <c r="AB4415">
        <v>3</v>
      </c>
      <c r="AC4415">
        <v>0</v>
      </c>
      <c r="AD4415">
        <v>9</v>
      </c>
      <c r="AE4415">
        <v>0</v>
      </c>
      <c r="AF4415">
        <v>3</v>
      </c>
      <c r="AG4415">
        <v>1</v>
      </c>
      <c r="AH4415">
        <v>0</v>
      </c>
      <c r="AI4415" t="s">
        <v>1383</v>
      </c>
      <c r="AJ4415">
        <v>34.072808999999999</v>
      </c>
      <c r="AK4415" t="s">
        <v>1384</v>
      </c>
      <c r="AL4415">
        <v>-117.04128</v>
      </c>
      <c r="AM4415">
        <v>100</v>
      </c>
      <c r="AN4415">
        <v>4900</v>
      </c>
      <c r="AO4415" t="s">
        <v>118</v>
      </c>
      <c r="AP4415">
        <v>-102</v>
      </c>
      <c r="AQ4415">
        <v>23</v>
      </c>
      <c r="AR4415">
        <v>-704</v>
      </c>
      <c r="AZ4415">
        <v>1200</v>
      </c>
      <c r="BA4415">
        <v>1</v>
      </c>
      <c r="BB4415" t="str">
        <f t="shared" si="2451"/>
        <v xml:space="preserve">N9217B  </v>
      </c>
      <c r="BC4415">
        <v>1</v>
      </c>
      <c r="BE4415">
        <v>0</v>
      </c>
      <c r="BF4415">
        <v>0</v>
      </c>
      <c r="BG4415">
        <v>0</v>
      </c>
      <c r="BH4415">
        <v>4725</v>
      </c>
      <c r="BI4415">
        <v>1</v>
      </c>
      <c r="BJ4415">
        <v>0</v>
      </c>
      <c r="BK4415">
        <v>0</v>
      </c>
      <c r="BL4415">
        <v>0</v>
      </c>
      <c r="BO4415">
        <v>0</v>
      </c>
      <c r="BP4415">
        <v>0</v>
      </c>
      <c r="BW4415" t="str">
        <f t="shared" si="2484"/>
        <v>15:00:03.153</v>
      </c>
      <c r="CJ4415">
        <v>0</v>
      </c>
      <c r="CK4415">
        <v>2</v>
      </c>
      <c r="CL4415">
        <v>0</v>
      </c>
      <c r="CM4415">
        <v>2</v>
      </c>
      <c r="CN4415">
        <v>0</v>
      </c>
      <c r="CO4415">
        <v>3</v>
      </c>
      <c r="CP4415" t="s">
        <v>119</v>
      </c>
      <c r="CQ4415">
        <v>285</v>
      </c>
      <c r="CR4415">
        <v>0</v>
      </c>
      <c r="CW4415">
        <v>8893417</v>
      </c>
      <c r="CY4415">
        <v>0</v>
      </c>
      <c r="CZ4415">
        <v>0</v>
      </c>
      <c r="DA4415">
        <v>1</v>
      </c>
      <c r="DB4415">
        <v>0</v>
      </c>
      <c r="DC4415">
        <v>0</v>
      </c>
      <c r="DD4415">
        <v>0</v>
      </c>
      <c r="DE4415">
        <v>0</v>
      </c>
      <c r="DF4415">
        <v>0</v>
      </c>
      <c r="DG4415">
        <v>0</v>
      </c>
      <c r="DH4415">
        <v>0</v>
      </c>
      <c r="DI4415">
        <v>0</v>
      </c>
    </row>
    <row r="4416" spans="1:113" x14ac:dyDescent="0.25">
      <c r="A4416" t="str">
        <f t="shared" si="2482"/>
        <v>06/05/2020 14:59:57.532</v>
      </c>
      <c r="C4416" t="str">
        <f t="shared" si="2468"/>
        <v>FFDFD3C0</v>
      </c>
      <c r="D4416" t="s">
        <v>151</v>
      </c>
      <c r="E4416">
        <v>8</v>
      </c>
      <c r="H4416">
        <v>225</v>
      </c>
      <c r="I4416" t="s">
        <v>353</v>
      </c>
      <c r="J4416" t="s">
        <v>150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 t="shared" si="2483"/>
        <v>15:00:03.148</v>
      </c>
      <c r="T4416" t="str">
        <f t="shared" si="2483"/>
        <v>15:00:03.148</v>
      </c>
      <c r="U4416" t="str">
        <f t="shared" si="2448"/>
        <v>ACC530</v>
      </c>
      <c r="V4416">
        <v>0</v>
      </c>
      <c r="W4416">
        <v>0</v>
      </c>
      <c r="X4416">
        <v>1</v>
      </c>
      <c r="Z4416">
        <v>0</v>
      </c>
      <c r="AA4416">
        <v>9</v>
      </c>
      <c r="AB4416">
        <v>3</v>
      </c>
      <c r="AC4416">
        <v>0</v>
      </c>
      <c r="AD4416">
        <v>9</v>
      </c>
      <c r="AE4416">
        <v>0</v>
      </c>
      <c r="AF4416">
        <v>3</v>
      </c>
      <c r="AG4416">
        <v>1</v>
      </c>
      <c r="AH4416">
        <v>0</v>
      </c>
      <c r="AI4416" t="s">
        <v>1383</v>
      </c>
      <c r="AJ4416">
        <v>34.072808999999999</v>
      </c>
      <c r="AK4416" t="s">
        <v>1384</v>
      </c>
      <c r="AL4416">
        <v>-117.04128</v>
      </c>
      <c r="AM4416">
        <v>100</v>
      </c>
      <c r="AN4416">
        <v>4900</v>
      </c>
      <c r="AO4416" t="s">
        <v>118</v>
      </c>
      <c r="AP4416">
        <v>-102</v>
      </c>
      <c r="AQ4416">
        <v>23</v>
      </c>
      <c r="AR4416">
        <v>-704</v>
      </c>
      <c r="AZ4416">
        <v>1200</v>
      </c>
      <c r="BA4416">
        <v>1</v>
      </c>
      <c r="BB4416" t="str">
        <f t="shared" si="2451"/>
        <v xml:space="preserve">N9217B  </v>
      </c>
      <c r="BC4416">
        <v>1</v>
      </c>
      <c r="BE4416">
        <v>0</v>
      </c>
      <c r="BF4416">
        <v>0</v>
      </c>
      <c r="BG4416">
        <v>0</v>
      </c>
      <c r="BH4416">
        <v>4725</v>
      </c>
      <c r="BI4416">
        <v>1</v>
      </c>
      <c r="BJ4416">
        <v>0</v>
      </c>
      <c r="BK4416">
        <v>0</v>
      </c>
      <c r="BL4416">
        <v>0</v>
      </c>
      <c r="BO4416">
        <v>0</v>
      </c>
      <c r="BP4416">
        <v>0</v>
      </c>
      <c r="BW4416" t="str">
        <f t="shared" si="2484"/>
        <v>15:00:03.153</v>
      </c>
      <c r="CJ4416">
        <v>0</v>
      </c>
      <c r="CK4416">
        <v>2</v>
      </c>
      <c r="CL4416">
        <v>0</v>
      </c>
      <c r="CM4416">
        <v>2</v>
      </c>
      <c r="CN4416">
        <v>0</v>
      </c>
      <c r="CO4416">
        <v>3</v>
      </c>
      <c r="CP4416" t="s">
        <v>119</v>
      </c>
      <c r="CQ4416">
        <v>285</v>
      </c>
      <c r="CR4416">
        <v>0</v>
      </c>
      <c r="CW4416">
        <v>8893417</v>
      </c>
      <c r="CY4416">
        <v>0</v>
      </c>
      <c r="CZ4416">
        <v>0</v>
      </c>
      <c r="DA4416">
        <v>1</v>
      </c>
      <c r="DB4416">
        <v>0</v>
      </c>
      <c r="DC4416">
        <v>0</v>
      </c>
      <c r="DD4416">
        <v>0</v>
      </c>
      <c r="DE4416">
        <v>0</v>
      </c>
      <c r="DF4416">
        <v>0</v>
      </c>
      <c r="DG4416">
        <v>0</v>
      </c>
      <c r="DH4416">
        <v>0</v>
      </c>
      <c r="DI4416">
        <v>0</v>
      </c>
    </row>
    <row r="4417" spans="1:113" x14ac:dyDescent="0.25">
      <c r="A4417" t="str">
        <f t="shared" si="2482"/>
        <v>06/05/2020 14:59:57.532</v>
      </c>
      <c r="C4417" t="str">
        <f t="shared" si="2468"/>
        <v>FFDFD3C0</v>
      </c>
      <c r="D4417" t="s">
        <v>148</v>
      </c>
      <c r="E4417">
        <v>11</v>
      </c>
      <c r="H4417">
        <v>53</v>
      </c>
      <c r="I4417" t="s">
        <v>364</v>
      </c>
      <c r="J4417" t="s">
        <v>150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 t="shared" si="2483"/>
        <v>15:00:03.148</v>
      </c>
      <c r="T4417" t="str">
        <f t="shared" si="2483"/>
        <v>15:00:03.148</v>
      </c>
      <c r="U4417" t="str">
        <f t="shared" si="2448"/>
        <v>ACC530</v>
      </c>
      <c r="V4417">
        <v>0</v>
      </c>
      <c r="W4417">
        <v>0</v>
      </c>
      <c r="X4417">
        <v>1</v>
      </c>
      <c r="Z4417">
        <v>0</v>
      </c>
      <c r="AA4417">
        <v>9</v>
      </c>
      <c r="AB4417">
        <v>3</v>
      </c>
      <c r="AC4417">
        <v>0</v>
      </c>
      <c r="AD4417">
        <v>9</v>
      </c>
      <c r="AE4417">
        <v>0</v>
      </c>
      <c r="AF4417">
        <v>3</v>
      </c>
      <c r="AG4417">
        <v>1</v>
      </c>
      <c r="AH4417">
        <v>0</v>
      </c>
      <c r="AI4417" t="s">
        <v>1383</v>
      </c>
      <c r="AJ4417">
        <v>34.072808999999999</v>
      </c>
      <c r="AK4417" t="s">
        <v>1384</v>
      </c>
      <c r="AL4417">
        <v>-117.04128</v>
      </c>
      <c r="AM4417">
        <v>100</v>
      </c>
      <c r="AN4417">
        <v>4900</v>
      </c>
      <c r="AO4417" t="s">
        <v>118</v>
      </c>
      <c r="AP4417">
        <v>-102</v>
      </c>
      <c r="AQ4417">
        <v>23</v>
      </c>
      <c r="AR4417">
        <v>-704</v>
      </c>
      <c r="AZ4417">
        <v>1200</v>
      </c>
      <c r="BA4417">
        <v>1</v>
      </c>
      <c r="BB4417" t="str">
        <f t="shared" si="2451"/>
        <v xml:space="preserve">N9217B  </v>
      </c>
      <c r="BC4417">
        <v>1</v>
      </c>
      <c r="BE4417">
        <v>0</v>
      </c>
      <c r="BF4417">
        <v>0</v>
      </c>
      <c r="BG4417">
        <v>0</v>
      </c>
      <c r="BH4417">
        <v>4725</v>
      </c>
      <c r="BI4417">
        <v>1</v>
      </c>
      <c r="BJ4417">
        <v>0</v>
      </c>
      <c r="BK4417">
        <v>0</v>
      </c>
      <c r="BL4417">
        <v>0</v>
      </c>
      <c r="BO4417">
        <v>0</v>
      </c>
      <c r="BP4417">
        <v>0</v>
      </c>
      <c r="BW4417" t="str">
        <f t="shared" si="2484"/>
        <v>15:00:03.153</v>
      </c>
      <c r="CJ4417">
        <v>0</v>
      </c>
      <c r="CK4417">
        <v>2</v>
      </c>
      <c r="CL4417">
        <v>0</v>
      </c>
      <c r="CM4417">
        <v>2</v>
      </c>
      <c r="CN4417">
        <v>0</v>
      </c>
      <c r="CO4417">
        <v>3</v>
      </c>
      <c r="CP4417" t="s">
        <v>119</v>
      </c>
      <c r="CQ4417">
        <v>285</v>
      </c>
      <c r="CR4417">
        <v>0</v>
      </c>
      <c r="CW4417">
        <v>8893417</v>
      </c>
      <c r="CY4417">
        <v>0</v>
      </c>
      <c r="CZ4417">
        <v>0</v>
      </c>
      <c r="DA4417">
        <v>1</v>
      </c>
      <c r="DB4417">
        <v>0</v>
      </c>
      <c r="DC4417">
        <v>0</v>
      </c>
      <c r="DD4417">
        <v>0</v>
      </c>
      <c r="DE4417">
        <v>0</v>
      </c>
      <c r="DF4417">
        <v>0</v>
      </c>
      <c r="DG4417">
        <v>0</v>
      </c>
      <c r="DH4417">
        <v>0</v>
      </c>
      <c r="DI4417">
        <v>0</v>
      </c>
    </row>
    <row r="4418" spans="1:113" x14ac:dyDescent="0.25">
      <c r="A4418" t="str">
        <f t="shared" si="2482"/>
        <v>06/05/2020 14:59:57.532</v>
      </c>
      <c r="C4418" t="str">
        <f t="shared" si="2468"/>
        <v>FFDFD3C0</v>
      </c>
      <c r="D4418" t="s">
        <v>148</v>
      </c>
      <c r="E4418">
        <v>8</v>
      </c>
      <c r="H4418">
        <v>50</v>
      </c>
      <c r="I4418" t="s">
        <v>149</v>
      </c>
      <c r="J4418" t="s">
        <v>150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 t="shared" si="2483"/>
        <v>15:00:03.148</v>
      </c>
      <c r="T4418" t="str">
        <f t="shared" si="2483"/>
        <v>15:00:03.148</v>
      </c>
      <c r="U4418" t="str">
        <f t="shared" ref="U4418:U4481" si="2485">"ACC530"</f>
        <v>ACC530</v>
      </c>
      <c r="V4418">
        <v>0</v>
      </c>
      <c r="W4418">
        <v>0</v>
      </c>
      <c r="X4418">
        <v>1</v>
      </c>
      <c r="Z4418">
        <v>0</v>
      </c>
      <c r="AA4418">
        <v>9</v>
      </c>
      <c r="AB4418">
        <v>3</v>
      </c>
      <c r="AC4418">
        <v>0</v>
      </c>
      <c r="AD4418">
        <v>9</v>
      </c>
      <c r="AE4418">
        <v>0</v>
      </c>
      <c r="AF4418">
        <v>3</v>
      </c>
      <c r="AG4418">
        <v>1</v>
      </c>
      <c r="AH4418">
        <v>0</v>
      </c>
      <c r="AI4418" t="s">
        <v>1383</v>
      </c>
      <c r="AJ4418">
        <v>34.072808999999999</v>
      </c>
      <c r="AK4418" t="s">
        <v>1384</v>
      </c>
      <c r="AL4418">
        <v>-117.04128</v>
      </c>
      <c r="AM4418">
        <v>100</v>
      </c>
      <c r="AN4418">
        <v>4900</v>
      </c>
      <c r="AO4418" t="s">
        <v>118</v>
      </c>
      <c r="AP4418">
        <v>-102</v>
      </c>
      <c r="AQ4418">
        <v>23</v>
      </c>
      <c r="AR4418">
        <v>-704</v>
      </c>
      <c r="AZ4418">
        <v>1200</v>
      </c>
      <c r="BA4418">
        <v>1</v>
      </c>
      <c r="BB4418" t="str">
        <f t="shared" si="2451"/>
        <v xml:space="preserve">N9217B  </v>
      </c>
      <c r="BC4418">
        <v>1</v>
      </c>
      <c r="BE4418">
        <v>0</v>
      </c>
      <c r="BF4418">
        <v>0</v>
      </c>
      <c r="BG4418">
        <v>0</v>
      </c>
      <c r="BH4418">
        <v>4725</v>
      </c>
      <c r="BI4418">
        <v>1</v>
      </c>
      <c r="BJ4418">
        <v>0</v>
      </c>
      <c r="BK4418">
        <v>0</v>
      </c>
      <c r="BL4418">
        <v>0</v>
      </c>
      <c r="BO4418">
        <v>0</v>
      </c>
      <c r="BP4418">
        <v>0</v>
      </c>
      <c r="BW4418" t="str">
        <f t="shared" si="2484"/>
        <v>15:00:03.153</v>
      </c>
      <c r="CJ4418">
        <v>0</v>
      </c>
      <c r="CK4418">
        <v>2</v>
      </c>
      <c r="CL4418">
        <v>0</v>
      </c>
      <c r="CM4418">
        <v>2</v>
      </c>
      <c r="CN4418">
        <v>0</v>
      </c>
      <c r="CO4418">
        <v>3</v>
      </c>
      <c r="CP4418" t="s">
        <v>119</v>
      </c>
      <c r="CQ4418">
        <v>285</v>
      </c>
      <c r="CR4418">
        <v>0</v>
      </c>
      <c r="CW4418">
        <v>8893417</v>
      </c>
      <c r="CY4418">
        <v>0</v>
      </c>
      <c r="CZ4418">
        <v>0</v>
      </c>
      <c r="DA4418">
        <v>1</v>
      </c>
      <c r="DB4418">
        <v>0</v>
      </c>
      <c r="DC4418">
        <v>0</v>
      </c>
      <c r="DD4418">
        <v>0</v>
      </c>
      <c r="DE4418">
        <v>0</v>
      </c>
      <c r="DF4418">
        <v>0</v>
      </c>
      <c r="DG4418">
        <v>0</v>
      </c>
      <c r="DH4418">
        <v>0</v>
      </c>
      <c r="DI4418">
        <v>0</v>
      </c>
    </row>
    <row r="4419" spans="1:113" x14ac:dyDescent="0.25">
      <c r="A4419" t="str">
        <f t="shared" si="2482"/>
        <v>06/05/2020 14:59:57.532</v>
      </c>
      <c r="C4419" t="str">
        <f t="shared" si="2468"/>
        <v>FFDFD3C0</v>
      </c>
      <c r="D4419" t="s">
        <v>134</v>
      </c>
      <c r="E4419">
        <v>7</v>
      </c>
      <c r="F4419">
        <v>2007</v>
      </c>
      <c r="G4419" t="s">
        <v>135</v>
      </c>
      <c r="J4419" t="s">
        <v>136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 t="shared" si="2483"/>
        <v>15:00:03.148</v>
      </c>
      <c r="T4419" t="str">
        <f t="shared" si="2483"/>
        <v>15:00:03.148</v>
      </c>
      <c r="U4419" t="str">
        <f t="shared" si="2485"/>
        <v>ACC530</v>
      </c>
      <c r="V4419">
        <v>0</v>
      </c>
      <c r="W4419">
        <v>0</v>
      </c>
      <c r="X4419">
        <v>1</v>
      </c>
      <c r="Z4419">
        <v>0</v>
      </c>
      <c r="AA4419">
        <v>9</v>
      </c>
      <c r="AB4419">
        <v>3</v>
      </c>
      <c r="AC4419">
        <v>0</v>
      </c>
      <c r="AD4419">
        <v>9</v>
      </c>
      <c r="AE4419">
        <v>0</v>
      </c>
      <c r="AF4419">
        <v>3</v>
      </c>
      <c r="AG4419">
        <v>1</v>
      </c>
      <c r="AH4419">
        <v>0</v>
      </c>
      <c r="AI4419" t="s">
        <v>1383</v>
      </c>
      <c r="AJ4419">
        <v>34.072808999999999</v>
      </c>
      <c r="AK4419" t="s">
        <v>1384</v>
      </c>
      <c r="AL4419">
        <v>-117.04128</v>
      </c>
      <c r="AM4419">
        <v>100</v>
      </c>
      <c r="AN4419">
        <v>4900</v>
      </c>
      <c r="AO4419" t="s">
        <v>118</v>
      </c>
      <c r="AP4419">
        <v>-102</v>
      </c>
      <c r="AQ4419">
        <v>23</v>
      </c>
      <c r="AR4419">
        <v>-704</v>
      </c>
      <c r="AZ4419">
        <v>1200</v>
      </c>
      <c r="BA4419">
        <v>1</v>
      </c>
      <c r="BB4419" t="str">
        <f t="shared" si="2451"/>
        <v xml:space="preserve">N9217B  </v>
      </c>
      <c r="BC4419">
        <v>1</v>
      </c>
      <c r="BE4419">
        <v>0</v>
      </c>
      <c r="BF4419">
        <v>0</v>
      </c>
      <c r="BG4419">
        <v>0</v>
      </c>
      <c r="BH4419">
        <v>4725</v>
      </c>
      <c r="BI4419">
        <v>1</v>
      </c>
      <c r="BJ4419">
        <v>0</v>
      </c>
      <c r="BK4419">
        <v>0</v>
      </c>
      <c r="BL4419">
        <v>0</v>
      </c>
      <c r="BO4419">
        <v>0</v>
      </c>
      <c r="BP4419">
        <v>0</v>
      </c>
      <c r="BW4419" t="str">
        <f t="shared" si="2484"/>
        <v>15:00:03.153</v>
      </c>
      <c r="CJ4419">
        <v>0</v>
      </c>
      <c r="CK4419">
        <v>2</v>
      </c>
      <c r="CL4419">
        <v>0</v>
      </c>
      <c r="CM4419">
        <v>2</v>
      </c>
      <c r="CN4419">
        <v>0</v>
      </c>
      <c r="CO4419">
        <v>3</v>
      </c>
      <c r="CP4419" t="s">
        <v>119</v>
      </c>
      <c r="CQ4419">
        <v>285</v>
      </c>
      <c r="CR4419">
        <v>0</v>
      </c>
      <c r="CW4419">
        <v>8893417</v>
      </c>
      <c r="CY4419">
        <v>0</v>
      </c>
      <c r="CZ4419">
        <v>0</v>
      </c>
      <c r="DA4419">
        <v>1</v>
      </c>
      <c r="DB4419">
        <v>0</v>
      </c>
      <c r="DC4419">
        <v>0</v>
      </c>
      <c r="DD4419">
        <v>0</v>
      </c>
      <c r="DE4419">
        <v>0</v>
      </c>
      <c r="DF4419">
        <v>0</v>
      </c>
      <c r="DG4419">
        <v>0</v>
      </c>
      <c r="DH4419">
        <v>0</v>
      </c>
      <c r="DI4419">
        <v>0</v>
      </c>
    </row>
    <row r="4420" spans="1:113" x14ac:dyDescent="0.25">
      <c r="A4420" t="str">
        <f t="shared" si="2482"/>
        <v>06/05/2020 14:59:57.532</v>
      </c>
      <c r="C4420" t="str">
        <f t="shared" si="2468"/>
        <v>FFDFD3C0</v>
      </c>
      <c r="D4420" t="s">
        <v>151</v>
      </c>
      <c r="E4420">
        <v>9</v>
      </c>
      <c r="H4420">
        <v>226</v>
      </c>
      <c r="I4420" t="s">
        <v>152</v>
      </c>
      <c r="J4420" t="s">
        <v>150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 t="shared" si="2483"/>
        <v>15:00:03.148</v>
      </c>
      <c r="T4420" t="str">
        <f t="shared" si="2483"/>
        <v>15:00:03.148</v>
      </c>
      <c r="U4420" t="str">
        <f t="shared" si="2485"/>
        <v>ACC530</v>
      </c>
      <c r="V4420">
        <v>0</v>
      </c>
      <c r="W4420">
        <v>0</v>
      </c>
      <c r="X4420">
        <v>1</v>
      </c>
      <c r="Z4420">
        <v>0</v>
      </c>
      <c r="AA4420">
        <v>9</v>
      </c>
      <c r="AB4420">
        <v>3</v>
      </c>
      <c r="AC4420">
        <v>0</v>
      </c>
      <c r="AD4420">
        <v>9</v>
      </c>
      <c r="AE4420">
        <v>0</v>
      </c>
      <c r="AF4420">
        <v>3</v>
      </c>
      <c r="AG4420">
        <v>1</v>
      </c>
      <c r="AH4420">
        <v>0</v>
      </c>
      <c r="AI4420" t="s">
        <v>1383</v>
      </c>
      <c r="AJ4420">
        <v>34.072808999999999</v>
      </c>
      <c r="AK4420" t="s">
        <v>1384</v>
      </c>
      <c r="AL4420">
        <v>-117.04128</v>
      </c>
      <c r="AM4420">
        <v>100</v>
      </c>
      <c r="AN4420">
        <v>4900</v>
      </c>
      <c r="AO4420" t="s">
        <v>118</v>
      </c>
      <c r="AP4420">
        <v>-102</v>
      </c>
      <c r="AQ4420">
        <v>23</v>
      </c>
      <c r="AR4420">
        <v>-704</v>
      </c>
      <c r="AZ4420">
        <v>1200</v>
      </c>
      <c r="BA4420">
        <v>1</v>
      </c>
      <c r="BB4420" t="str">
        <f t="shared" si="2451"/>
        <v xml:space="preserve">N9217B  </v>
      </c>
      <c r="BC4420">
        <v>1</v>
      </c>
      <c r="BE4420">
        <v>0</v>
      </c>
      <c r="BF4420">
        <v>0</v>
      </c>
      <c r="BG4420">
        <v>0</v>
      </c>
      <c r="BH4420">
        <v>4725</v>
      </c>
      <c r="BI4420">
        <v>1</v>
      </c>
      <c r="BJ4420">
        <v>0</v>
      </c>
      <c r="BK4420">
        <v>0</v>
      </c>
      <c r="BL4420">
        <v>0</v>
      </c>
      <c r="BO4420">
        <v>0</v>
      </c>
      <c r="BP4420">
        <v>0</v>
      </c>
      <c r="BW4420" t="str">
        <f t="shared" si="2484"/>
        <v>15:00:03.153</v>
      </c>
      <c r="CJ4420">
        <v>0</v>
      </c>
      <c r="CK4420">
        <v>2</v>
      </c>
      <c r="CL4420">
        <v>0</v>
      </c>
      <c r="CM4420">
        <v>2</v>
      </c>
      <c r="CN4420">
        <v>0</v>
      </c>
      <c r="CO4420">
        <v>3</v>
      </c>
      <c r="CP4420" t="s">
        <v>119</v>
      </c>
      <c r="CQ4420">
        <v>285</v>
      </c>
      <c r="CR4420">
        <v>0</v>
      </c>
      <c r="CW4420">
        <v>8893417</v>
      </c>
      <c r="CY4420">
        <v>0</v>
      </c>
      <c r="CZ4420">
        <v>0</v>
      </c>
      <c r="DA4420">
        <v>1</v>
      </c>
      <c r="DB4420">
        <v>0</v>
      </c>
      <c r="DC4420">
        <v>0</v>
      </c>
      <c r="DD4420">
        <v>0</v>
      </c>
      <c r="DE4420">
        <v>0</v>
      </c>
      <c r="DF4420">
        <v>0</v>
      </c>
      <c r="DG4420">
        <v>0</v>
      </c>
      <c r="DH4420">
        <v>0</v>
      </c>
      <c r="DI4420">
        <v>0</v>
      </c>
    </row>
    <row r="4421" spans="1:113" x14ac:dyDescent="0.25">
      <c r="A4421" t="str">
        <f t="shared" ref="A4421:A4427" si="2486">"06/05/2020 14:59:58.514"</f>
        <v>06/05/2020 14:59:58.514</v>
      </c>
      <c r="C4421" t="str">
        <f t="shared" si="2468"/>
        <v>FFDFD3C0</v>
      </c>
      <c r="D4421" t="s">
        <v>148</v>
      </c>
      <c r="E4421">
        <v>11</v>
      </c>
      <c r="H4421">
        <v>53</v>
      </c>
      <c r="I4421" t="s">
        <v>364</v>
      </c>
      <c r="J4421" t="s">
        <v>150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 t="shared" ref="S4421:S4427" si="2487">"15:00:04.156"</f>
        <v>15:00:04.156</v>
      </c>
      <c r="T4421" t="str">
        <f t="shared" ref="T4421:T4427" si="2488">"15:00:04.056"</f>
        <v>15:00:04.056</v>
      </c>
      <c r="U4421" t="str">
        <f t="shared" si="2485"/>
        <v>ACC530</v>
      </c>
      <c r="V4421">
        <v>0</v>
      </c>
      <c r="W4421">
        <v>0</v>
      </c>
      <c r="X4421">
        <v>1</v>
      </c>
      <c r="Z4421">
        <v>0</v>
      </c>
      <c r="AA4421">
        <v>9</v>
      </c>
      <c r="AB4421">
        <v>3</v>
      </c>
      <c r="AC4421">
        <v>0</v>
      </c>
      <c r="AD4421">
        <v>9</v>
      </c>
      <c r="AE4421">
        <v>0</v>
      </c>
      <c r="AF4421">
        <v>3</v>
      </c>
      <c r="AG4421">
        <v>1</v>
      </c>
      <c r="AH4421">
        <v>0</v>
      </c>
      <c r="AI4421" t="s">
        <v>1385</v>
      </c>
      <c r="AJ4421">
        <v>34.072938000000001</v>
      </c>
      <c r="AK4421" t="s">
        <v>1386</v>
      </c>
      <c r="AL4421">
        <v>-117.041881</v>
      </c>
      <c r="AM4421">
        <v>100</v>
      </c>
      <c r="AN4421">
        <v>4900</v>
      </c>
      <c r="AO4421" t="s">
        <v>118</v>
      </c>
      <c r="AP4421">
        <v>-101</v>
      </c>
      <c r="AQ4421">
        <v>23</v>
      </c>
      <c r="AR4421">
        <v>-640</v>
      </c>
      <c r="AZ4421">
        <v>1200</v>
      </c>
      <c r="BA4421">
        <v>1</v>
      </c>
      <c r="BB4421" t="str">
        <f t="shared" ref="BB4421:BB4484" si="2489">"N9217B  "</f>
        <v xml:space="preserve">N9217B  </v>
      </c>
      <c r="BC4421">
        <v>1</v>
      </c>
      <c r="BE4421">
        <v>0</v>
      </c>
      <c r="BF4421">
        <v>0</v>
      </c>
      <c r="BG4421">
        <v>0</v>
      </c>
      <c r="BH4421">
        <v>4700</v>
      </c>
      <c r="BI4421">
        <v>1</v>
      </c>
      <c r="BJ4421">
        <v>0</v>
      </c>
      <c r="BK4421">
        <v>0</v>
      </c>
      <c r="BL4421">
        <v>0</v>
      </c>
      <c r="BO4421">
        <v>0</v>
      </c>
      <c r="BP4421">
        <v>0</v>
      </c>
      <c r="BW4421" t="str">
        <f t="shared" ref="BW4421:BW4427" si="2490">"15:00:04.158"</f>
        <v>15:00:04.158</v>
      </c>
      <c r="CJ4421">
        <v>0</v>
      </c>
      <c r="CK4421">
        <v>2</v>
      </c>
      <c r="CL4421">
        <v>0</v>
      </c>
      <c r="CM4421">
        <v>2</v>
      </c>
      <c r="CN4421">
        <v>0</v>
      </c>
      <c r="CO4421">
        <v>5</v>
      </c>
      <c r="CP4421" t="s">
        <v>119</v>
      </c>
      <c r="CQ4421">
        <v>298</v>
      </c>
      <c r="CR4421">
        <v>0</v>
      </c>
      <c r="CW4421">
        <v>10479496</v>
      </c>
      <c r="CY4421">
        <v>0</v>
      </c>
      <c r="CZ4421">
        <v>0</v>
      </c>
      <c r="DA4421">
        <v>0</v>
      </c>
      <c r="DB4421">
        <v>0</v>
      </c>
      <c r="DC4421">
        <v>0</v>
      </c>
      <c r="DD4421">
        <v>0</v>
      </c>
      <c r="DE4421">
        <v>0</v>
      </c>
      <c r="DF4421">
        <v>0</v>
      </c>
      <c r="DG4421">
        <v>0</v>
      </c>
      <c r="DH4421">
        <v>0</v>
      </c>
      <c r="DI4421">
        <v>0</v>
      </c>
    </row>
    <row r="4422" spans="1:113" x14ac:dyDescent="0.25">
      <c r="A4422" t="str">
        <f t="shared" si="2486"/>
        <v>06/05/2020 14:59:58.514</v>
      </c>
      <c r="C4422" t="str">
        <f t="shared" si="2468"/>
        <v>FFDFD3C0</v>
      </c>
      <c r="D4422" t="s">
        <v>134</v>
      </c>
      <c r="E4422">
        <v>7</v>
      </c>
      <c r="F4422">
        <v>2007</v>
      </c>
      <c r="G4422" t="s">
        <v>135</v>
      </c>
      <c r="J4422" t="s">
        <v>136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 t="shared" si="2487"/>
        <v>15:00:04.156</v>
      </c>
      <c r="T4422" t="str">
        <f t="shared" si="2488"/>
        <v>15:00:04.056</v>
      </c>
      <c r="U4422" t="str">
        <f t="shared" si="2485"/>
        <v>ACC530</v>
      </c>
      <c r="V4422">
        <v>0</v>
      </c>
      <c r="W4422">
        <v>0</v>
      </c>
      <c r="X4422">
        <v>1</v>
      </c>
      <c r="Z4422">
        <v>0</v>
      </c>
      <c r="AA4422">
        <v>9</v>
      </c>
      <c r="AB4422">
        <v>3</v>
      </c>
      <c r="AC4422">
        <v>0</v>
      </c>
      <c r="AD4422">
        <v>9</v>
      </c>
      <c r="AE4422">
        <v>0</v>
      </c>
      <c r="AF4422">
        <v>3</v>
      </c>
      <c r="AG4422">
        <v>1</v>
      </c>
      <c r="AH4422">
        <v>0</v>
      </c>
      <c r="AI4422" t="s">
        <v>1385</v>
      </c>
      <c r="AJ4422">
        <v>34.072938000000001</v>
      </c>
      <c r="AK4422" t="s">
        <v>1386</v>
      </c>
      <c r="AL4422">
        <v>-117.041881</v>
      </c>
      <c r="AM4422">
        <v>100</v>
      </c>
      <c r="AN4422">
        <v>4900</v>
      </c>
      <c r="AO4422" t="s">
        <v>118</v>
      </c>
      <c r="AP4422">
        <v>-101</v>
      </c>
      <c r="AQ4422">
        <v>23</v>
      </c>
      <c r="AR4422">
        <v>-640</v>
      </c>
      <c r="AZ4422">
        <v>1200</v>
      </c>
      <c r="BA4422">
        <v>1</v>
      </c>
      <c r="BB4422" t="str">
        <f t="shared" si="2489"/>
        <v xml:space="preserve">N9217B  </v>
      </c>
      <c r="BC4422">
        <v>1</v>
      </c>
      <c r="BE4422">
        <v>0</v>
      </c>
      <c r="BF4422">
        <v>0</v>
      </c>
      <c r="BG4422">
        <v>0</v>
      </c>
      <c r="BH4422">
        <v>4700</v>
      </c>
      <c r="BI4422">
        <v>1</v>
      </c>
      <c r="BJ4422">
        <v>0</v>
      </c>
      <c r="BK4422">
        <v>0</v>
      </c>
      <c r="BL4422">
        <v>0</v>
      </c>
      <c r="BO4422">
        <v>0</v>
      </c>
      <c r="BP4422">
        <v>0</v>
      </c>
      <c r="BW4422" t="str">
        <f t="shared" si="2490"/>
        <v>15:00:04.158</v>
      </c>
      <c r="CJ4422">
        <v>0</v>
      </c>
      <c r="CK4422">
        <v>2</v>
      </c>
      <c r="CL4422">
        <v>0</v>
      </c>
      <c r="CM4422">
        <v>2</v>
      </c>
      <c r="CN4422">
        <v>0</v>
      </c>
      <c r="CO4422">
        <v>5</v>
      </c>
      <c r="CP4422" t="s">
        <v>119</v>
      </c>
      <c r="CQ4422">
        <v>298</v>
      </c>
      <c r="CR4422">
        <v>0</v>
      </c>
      <c r="CW4422">
        <v>10479496</v>
      </c>
      <c r="CY4422">
        <v>0</v>
      </c>
      <c r="CZ4422">
        <v>0</v>
      </c>
      <c r="DA4422">
        <v>1</v>
      </c>
      <c r="DB4422">
        <v>0</v>
      </c>
      <c r="DC4422">
        <v>0</v>
      </c>
      <c r="DD4422">
        <v>0</v>
      </c>
      <c r="DE4422">
        <v>0</v>
      </c>
      <c r="DF4422">
        <v>0</v>
      </c>
      <c r="DG4422">
        <v>0</v>
      </c>
      <c r="DH4422">
        <v>0</v>
      </c>
      <c r="DI4422">
        <v>0</v>
      </c>
    </row>
    <row r="4423" spans="1:113" x14ac:dyDescent="0.25">
      <c r="A4423" t="str">
        <f t="shared" si="2486"/>
        <v>06/05/2020 14:59:58.514</v>
      </c>
      <c r="C4423" t="str">
        <f t="shared" si="2468"/>
        <v>FFDFD3C0</v>
      </c>
      <c r="D4423" t="s">
        <v>148</v>
      </c>
      <c r="E4423">
        <v>8</v>
      </c>
      <c r="H4423">
        <v>50</v>
      </c>
      <c r="I4423" t="s">
        <v>149</v>
      </c>
      <c r="J4423" t="s">
        <v>150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 t="shared" si="2487"/>
        <v>15:00:04.156</v>
      </c>
      <c r="T4423" t="str">
        <f t="shared" si="2488"/>
        <v>15:00:04.056</v>
      </c>
      <c r="U4423" t="str">
        <f t="shared" si="2485"/>
        <v>ACC530</v>
      </c>
      <c r="V4423">
        <v>0</v>
      </c>
      <c r="W4423">
        <v>0</v>
      </c>
      <c r="X4423">
        <v>1</v>
      </c>
      <c r="Z4423">
        <v>0</v>
      </c>
      <c r="AA4423">
        <v>9</v>
      </c>
      <c r="AB4423">
        <v>3</v>
      </c>
      <c r="AC4423">
        <v>0</v>
      </c>
      <c r="AD4423">
        <v>9</v>
      </c>
      <c r="AE4423">
        <v>0</v>
      </c>
      <c r="AF4423">
        <v>3</v>
      </c>
      <c r="AG4423">
        <v>1</v>
      </c>
      <c r="AH4423">
        <v>0</v>
      </c>
      <c r="AI4423" t="s">
        <v>1385</v>
      </c>
      <c r="AJ4423">
        <v>34.072938000000001</v>
      </c>
      <c r="AK4423" t="s">
        <v>1386</v>
      </c>
      <c r="AL4423">
        <v>-117.041881</v>
      </c>
      <c r="AM4423">
        <v>100</v>
      </c>
      <c r="AN4423">
        <v>4900</v>
      </c>
      <c r="AO4423" t="s">
        <v>118</v>
      </c>
      <c r="AP4423">
        <v>-101</v>
      </c>
      <c r="AQ4423">
        <v>23</v>
      </c>
      <c r="AR4423">
        <v>-640</v>
      </c>
      <c r="AZ4423">
        <v>1200</v>
      </c>
      <c r="BA4423">
        <v>1</v>
      </c>
      <c r="BB4423" t="str">
        <f t="shared" si="2489"/>
        <v xml:space="preserve">N9217B  </v>
      </c>
      <c r="BC4423">
        <v>1</v>
      </c>
      <c r="BE4423">
        <v>0</v>
      </c>
      <c r="BF4423">
        <v>0</v>
      </c>
      <c r="BG4423">
        <v>0</v>
      </c>
      <c r="BH4423">
        <v>4700</v>
      </c>
      <c r="BI4423">
        <v>1</v>
      </c>
      <c r="BJ4423">
        <v>0</v>
      </c>
      <c r="BK4423">
        <v>0</v>
      </c>
      <c r="BL4423">
        <v>0</v>
      </c>
      <c r="BO4423">
        <v>0</v>
      </c>
      <c r="BP4423">
        <v>0</v>
      </c>
      <c r="BW4423" t="str">
        <f t="shared" si="2490"/>
        <v>15:00:04.158</v>
      </c>
      <c r="CJ4423">
        <v>0</v>
      </c>
      <c r="CK4423">
        <v>2</v>
      </c>
      <c r="CL4423">
        <v>0</v>
      </c>
      <c r="CM4423">
        <v>2</v>
      </c>
      <c r="CN4423">
        <v>0</v>
      </c>
      <c r="CO4423">
        <v>5</v>
      </c>
      <c r="CP4423" t="s">
        <v>119</v>
      </c>
      <c r="CQ4423">
        <v>298</v>
      </c>
      <c r="CR4423">
        <v>0</v>
      </c>
      <c r="CW4423">
        <v>10479496</v>
      </c>
      <c r="CY4423">
        <v>0</v>
      </c>
      <c r="CZ4423">
        <v>0</v>
      </c>
      <c r="DA4423">
        <v>1</v>
      </c>
      <c r="DB4423">
        <v>0</v>
      </c>
      <c r="DC4423">
        <v>0</v>
      </c>
      <c r="DD4423">
        <v>0</v>
      </c>
      <c r="DE4423">
        <v>0</v>
      </c>
      <c r="DF4423">
        <v>0</v>
      </c>
      <c r="DG4423">
        <v>0</v>
      </c>
      <c r="DH4423">
        <v>0</v>
      </c>
      <c r="DI4423">
        <v>0</v>
      </c>
    </row>
    <row r="4424" spans="1:113" x14ac:dyDescent="0.25">
      <c r="A4424" t="str">
        <f t="shared" si="2486"/>
        <v>06/05/2020 14:59:58.514</v>
      </c>
      <c r="C4424" t="str">
        <f t="shared" si="2468"/>
        <v>FFDFD3C0</v>
      </c>
      <c r="D4424" t="s">
        <v>151</v>
      </c>
      <c r="E4424">
        <v>9</v>
      </c>
      <c r="H4424">
        <v>226</v>
      </c>
      <c r="I4424" t="s">
        <v>152</v>
      </c>
      <c r="J4424" t="s">
        <v>150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 t="shared" si="2487"/>
        <v>15:00:04.156</v>
      </c>
      <c r="T4424" t="str">
        <f t="shared" si="2488"/>
        <v>15:00:04.056</v>
      </c>
      <c r="U4424" t="str">
        <f t="shared" si="2485"/>
        <v>ACC530</v>
      </c>
      <c r="V4424">
        <v>0</v>
      </c>
      <c r="W4424">
        <v>0</v>
      </c>
      <c r="X4424">
        <v>1</v>
      </c>
      <c r="Z4424">
        <v>0</v>
      </c>
      <c r="AA4424">
        <v>9</v>
      </c>
      <c r="AB4424">
        <v>3</v>
      </c>
      <c r="AC4424">
        <v>0</v>
      </c>
      <c r="AD4424">
        <v>9</v>
      </c>
      <c r="AE4424">
        <v>0</v>
      </c>
      <c r="AF4424">
        <v>3</v>
      </c>
      <c r="AG4424">
        <v>1</v>
      </c>
      <c r="AH4424">
        <v>0</v>
      </c>
      <c r="AI4424" t="s">
        <v>1385</v>
      </c>
      <c r="AJ4424">
        <v>34.072938000000001</v>
      </c>
      <c r="AK4424" t="s">
        <v>1386</v>
      </c>
      <c r="AL4424">
        <v>-117.041881</v>
      </c>
      <c r="AM4424">
        <v>100</v>
      </c>
      <c r="AN4424">
        <v>4900</v>
      </c>
      <c r="AO4424" t="s">
        <v>118</v>
      </c>
      <c r="AP4424">
        <v>-101</v>
      </c>
      <c r="AQ4424">
        <v>23</v>
      </c>
      <c r="AR4424">
        <v>-640</v>
      </c>
      <c r="AZ4424">
        <v>1200</v>
      </c>
      <c r="BA4424">
        <v>1</v>
      </c>
      <c r="BB4424" t="str">
        <f t="shared" si="2489"/>
        <v xml:space="preserve">N9217B  </v>
      </c>
      <c r="BC4424">
        <v>1</v>
      </c>
      <c r="BE4424">
        <v>0</v>
      </c>
      <c r="BF4424">
        <v>0</v>
      </c>
      <c r="BG4424">
        <v>0</v>
      </c>
      <c r="BH4424">
        <v>4700</v>
      </c>
      <c r="BI4424">
        <v>1</v>
      </c>
      <c r="BJ4424">
        <v>0</v>
      </c>
      <c r="BK4424">
        <v>0</v>
      </c>
      <c r="BL4424">
        <v>0</v>
      </c>
      <c r="BO4424">
        <v>0</v>
      </c>
      <c r="BP4424">
        <v>0</v>
      </c>
      <c r="BW4424" t="str">
        <f t="shared" si="2490"/>
        <v>15:00:04.158</v>
      </c>
      <c r="CJ4424">
        <v>0</v>
      </c>
      <c r="CK4424">
        <v>2</v>
      </c>
      <c r="CL4424">
        <v>0</v>
      </c>
      <c r="CM4424">
        <v>2</v>
      </c>
      <c r="CN4424">
        <v>0</v>
      </c>
      <c r="CO4424">
        <v>1</v>
      </c>
      <c r="CP4424" t="s">
        <v>119</v>
      </c>
      <c r="CQ4424">
        <v>285</v>
      </c>
      <c r="CR4424">
        <v>3</v>
      </c>
      <c r="CW4424">
        <v>8893508</v>
      </c>
      <c r="CY4424">
        <v>0</v>
      </c>
      <c r="CZ4424">
        <v>0</v>
      </c>
      <c r="DA4424">
        <v>1</v>
      </c>
      <c r="DB4424">
        <v>0</v>
      </c>
      <c r="DC4424">
        <v>0</v>
      </c>
      <c r="DD4424">
        <v>0</v>
      </c>
      <c r="DE4424">
        <v>0</v>
      </c>
      <c r="DF4424">
        <v>0</v>
      </c>
      <c r="DG4424">
        <v>0</v>
      </c>
      <c r="DH4424">
        <v>0</v>
      </c>
      <c r="DI4424">
        <v>0</v>
      </c>
    </row>
    <row r="4425" spans="1:113" x14ac:dyDescent="0.25">
      <c r="A4425" t="str">
        <f t="shared" si="2486"/>
        <v>06/05/2020 14:59:58.514</v>
      </c>
      <c r="C4425" t="str">
        <f t="shared" si="2468"/>
        <v>FFDFD3C0</v>
      </c>
      <c r="D4425" t="s">
        <v>113</v>
      </c>
      <c r="E4425">
        <v>3</v>
      </c>
      <c r="H4425">
        <v>166</v>
      </c>
      <c r="I4425" t="s">
        <v>114</v>
      </c>
      <c r="J4425" t="s">
        <v>115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 t="shared" si="2487"/>
        <v>15:00:04.156</v>
      </c>
      <c r="T4425" t="str">
        <f t="shared" si="2488"/>
        <v>15:00:04.056</v>
      </c>
      <c r="U4425" t="str">
        <f t="shared" si="2485"/>
        <v>ACC530</v>
      </c>
      <c r="V4425">
        <v>0</v>
      </c>
      <c r="W4425">
        <v>0</v>
      </c>
      <c r="X4425">
        <v>1</v>
      </c>
      <c r="Z4425">
        <v>0</v>
      </c>
      <c r="AA4425">
        <v>9</v>
      </c>
      <c r="AB4425">
        <v>3</v>
      </c>
      <c r="AC4425">
        <v>0</v>
      </c>
      <c r="AD4425">
        <v>9</v>
      </c>
      <c r="AE4425">
        <v>0</v>
      </c>
      <c r="AF4425">
        <v>3</v>
      </c>
      <c r="AG4425">
        <v>1</v>
      </c>
      <c r="AH4425">
        <v>0</v>
      </c>
      <c r="AI4425" t="s">
        <v>1385</v>
      </c>
      <c r="AJ4425">
        <v>34.072938000000001</v>
      </c>
      <c r="AK4425" t="s">
        <v>1386</v>
      </c>
      <c r="AL4425">
        <v>-117.041881</v>
      </c>
      <c r="AM4425">
        <v>100</v>
      </c>
      <c r="AN4425">
        <v>4900</v>
      </c>
      <c r="AO4425" t="s">
        <v>118</v>
      </c>
      <c r="AP4425">
        <v>-101</v>
      </c>
      <c r="AQ4425">
        <v>23</v>
      </c>
      <c r="AR4425">
        <v>-640</v>
      </c>
      <c r="AZ4425">
        <v>1200</v>
      </c>
      <c r="BA4425">
        <v>1</v>
      </c>
      <c r="BB4425" t="str">
        <f t="shared" si="2489"/>
        <v xml:space="preserve">N9217B  </v>
      </c>
      <c r="BC4425">
        <v>1</v>
      </c>
      <c r="BE4425">
        <v>0</v>
      </c>
      <c r="BF4425">
        <v>0</v>
      </c>
      <c r="BG4425">
        <v>0</v>
      </c>
      <c r="BH4425">
        <v>4700</v>
      </c>
      <c r="BI4425">
        <v>1</v>
      </c>
      <c r="BJ4425">
        <v>0</v>
      </c>
      <c r="BK4425">
        <v>0</v>
      </c>
      <c r="BL4425">
        <v>0</v>
      </c>
      <c r="BO4425">
        <v>0</v>
      </c>
      <c r="BP4425">
        <v>0</v>
      </c>
      <c r="BW4425" t="str">
        <f t="shared" si="2490"/>
        <v>15:00:04.158</v>
      </c>
      <c r="CJ4425">
        <v>0</v>
      </c>
      <c r="CK4425">
        <v>2</v>
      </c>
      <c r="CL4425">
        <v>0</v>
      </c>
      <c r="CM4425">
        <v>2</v>
      </c>
      <c r="CN4425">
        <v>0</v>
      </c>
      <c r="CO4425">
        <v>5</v>
      </c>
      <c r="CP4425" t="s">
        <v>119</v>
      </c>
      <c r="CQ4425">
        <v>298</v>
      </c>
      <c r="CR4425">
        <v>0</v>
      </c>
      <c r="CW4425">
        <v>10479496</v>
      </c>
      <c r="CY4425">
        <v>0</v>
      </c>
      <c r="CZ4425">
        <v>0</v>
      </c>
      <c r="DA4425">
        <v>1</v>
      </c>
      <c r="DB4425">
        <v>0</v>
      </c>
      <c r="DC4425">
        <v>0</v>
      </c>
      <c r="DD4425">
        <v>0</v>
      </c>
      <c r="DE4425">
        <v>0</v>
      </c>
      <c r="DF4425">
        <v>0</v>
      </c>
      <c r="DG4425">
        <v>0</v>
      </c>
      <c r="DH4425">
        <v>0</v>
      </c>
      <c r="DI4425">
        <v>0</v>
      </c>
    </row>
    <row r="4426" spans="1:113" x14ac:dyDescent="0.25">
      <c r="A4426" t="str">
        <f t="shared" si="2486"/>
        <v>06/05/2020 14:59:58.514</v>
      </c>
      <c r="C4426" t="str">
        <f t="shared" si="2468"/>
        <v>FFDFD3C0</v>
      </c>
      <c r="D4426" t="s">
        <v>141</v>
      </c>
      <c r="E4426">
        <v>20</v>
      </c>
      <c r="F4426">
        <v>1020</v>
      </c>
      <c r="G4426" t="s">
        <v>114</v>
      </c>
      <c r="J4426" t="s">
        <v>142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 t="shared" si="2487"/>
        <v>15:00:04.156</v>
      </c>
      <c r="T4426" t="str">
        <f t="shared" si="2488"/>
        <v>15:00:04.056</v>
      </c>
      <c r="U4426" t="str">
        <f t="shared" si="2485"/>
        <v>ACC530</v>
      </c>
      <c r="V4426">
        <v>0</v>
      </c>
      <c r="W4426">
        <v>0</v>
      </c>
      <c r="X4426">
        <v>1</v>
      </c>
      <c r="Z4426">
        <v>0</v>
      </c>
      <c r="AA4426">
        <v>9</v>
      </c>
      <c r="AB4426">
        <v>3</v>
      </c>
      <c r="AC4426">
        <v>0</v>
      </c>
      <c r="AD4426">
        <v>9</v>
      </c>
      <c r="AE4426">
        <v>0</v>
      </c>
      <c r="AF4426">
        <v>3</v>
      </c>
      <c r="AG4426">
        <v>1</v>
      </c>
      <c r="AH4426">
        <v>0</v>
      </c>
      <c r="AI4426" t="s">
        <v>1385</v>
      </c>
      <c r="AJ4426">
        <v>34.072938000000001</v>
      </c>
      <c r="AK4426" t="s">
        <v>1386</v>
      </c>
      <c r="AL4426">
        <v>-117.041881</v>
      </c>
      <c r="AM4426">
        <v>100</v>
      </c>
      <c r="AN4426">
        <v>4900</v>
      </c>
      <c r="AO4426" t="s">
        <v>118</v>
      </c>
      <c r="AP4426">
        <v>-101</v>
      </c>
      <c r="AQ4426">
        <v>23</v>
      </c>
      <c r="AR4426">
        <v>-640</v>
      </c>
      <c r="AZ4426">
        <v>1200</v>
      </c>
      <c r="BA4426">
        <v>1</v>
      </c>
      <c r="BB4426" t="str">
        <f t="shared" si="2489"/>
        <v xml:space="preserve">N9217B  </v>
      </c>
      <c r="BC4426">
        <v>1</v>
      </c>
      <c r="BE4426">
        <v>0</v>
      </c>
      <c r="BF4426">
        <v>0</v>
      </c>
      <c r="BG4426">
        <v>0</v>
      </c>
      <c r="BH4426">
        <v>4700</v>
      </c>
      <c r="BI4426">
        <v>1</v>
      </c>
      <c r="BJ4426">
        <v>0</v>
      </c>
      <c r="BK4426">
        <v>0</v>
      </c>
      <c r="BL4426">
        <v>0</v>
      </c>
      <c r="BO4426">
        <v>0</v>
      </c>
      <c r="BP4426">
        <v>0</v>
      </c>
      <c r="BW4426" t="str">
        <f t="shared" si="2490"/>
        <v>15:00:04.158</v>
      </c>
      <c r="CJ4426">
        <v>0</v>
      </c>
      <c r="CK4426">
        <v>2</v>
      </c>
      <c r="CL4426">
        <v>0</v>
      </c>
      <c r="CM4426">
        <v>2</v>
      </c>
      <c r="CN4426">
        <v>0</v>
      </c>
      <c r="CO4426">
        <v>5</v>
      </c>
      <c r="CP4426" t="s">
        <v>119</v>
      </c>
      <c r="CQ4426">
        <v>298</v>
      </c>
      <c r="CR4426">
        <v>0</v>
      </c>
      <c r="CW4426">
        <v>10479496</v>
      </c>
      <c r="CY4426">
        <v>0</v>
      </c>
      <c r="CZ4426">
        <v>0</v>
      </c>
      <c r="DA4426">
        <v>1</v>
      </c>
      <c r="DB4426">
        <v>0</v>
      </c>
      <c r="DC4426">
        <v>0</v>
      </c>
      <c r="DD4426">
        <v>0</v>
      </c>
      <c r="DE4426">
        <v>0</v>
      </c>
      <c r="DF4426">
        <v>0</v>
      </c>
      <c r="DG4426">
        <v>0</v>
      </c>
      <c r="DH4426">
        <v>0</v>
      </c>
      <c r="DI4426">
        <v>0</v>
      </c>
    </row>
    <row r="4427" spans="1:113" x14ac:dyDescent="0.25">
      <c r="A4427" t="str">
        <f t="shared" si="2486"/>
        <v>06/05/2020 14:59:58.514</v>
      </c>
      <c r="C4427" t="str">
        <f t="shared" si="2468"/>
        <v>FFDFD3C0</v>
      </c>
      <c r="D4427" t="s">
        <v>151</v>
      </c>
      <c r="E4427">
        <v>8</v>
      </c>
      <c r="H4427">
        <v>225</v>
      </c>
      <c r="I4427" t="s">
        <v>353</v>
      </c>
      <c r="J4427" t="s">
        <v>150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 t="shared" si="2487"/>
        <v>15:00:04.156</v>
      </c>
      <c r="T4427" t="str">
        <f t="shared" si="2488"/>
        <v>15:00:04.056</v>
      </c>
      <c r="U4427" t="str">
        <f t="shared" si="2485"/>
        <v>ACC530</v>
      </c>
      <c r="V4427">
        <v>0</v>
      </c>
      <c r="W4427">
        <v>0</v>
      </c>
      <c r="X4427">
        <v>1</v>
      </c>
      <c r="Z4427">
        <v>0</v>
      </c>
      <c r="AA4427">
        <v>9</v>
      </c>
      <c r="AB4427">
        <v>3</v>
      </c>
      <c r="AC4427">
        <v>0</v>
      </c>
      <c r="AD4427">
        <v>9</v>
      </c>
      <c r="AE4427">
        <v>0</v>
      </c>
      <c r="AF4427">
        <v>3</v>
      </c>
      <c r="AG4427">
        <v>1</v>
      </c>
      <c r="AH4427">
        <v>0</v>
      </c>
      <c r="AI4427" t="s">
        <v>1385</v>
      </c>
      <c r="AJ4427">
        <v>34.072938000000001</v>
      </c>
      <c r="AK4427" t="s">
        <v>1386</v>
      </c>
      <c r="AL4427">
        <v>-117.041881</v>
      </c>
      <c r="AM4427">
        <v>100</v>
      </c>
      <c r="AN4427">
        <v>4900</v>
      </c>
      <c r="AO4427" t="s">
        <v>118</v>
      </c>
      <c r="AP4427">
        <v>-101</v>
      </c>
      <c r="AQ4427">
        <v>23</v>
      </c>
      <c r="AR4427">
        <v>-640</v>
      </c>
      <c r="AZ4427">
        <v>1200</v>
      </c>
      <c r="BA4427">
        <v>1</v>
      </c>
      <c r="BB4427" t="str">
        <f t="shared" si="2489"/>
        <v xml:space="preserve">N9217B  </v>
      </c>
      <c r="BC4427">
        <v>1</v>
      </c>
      <c r="BE4427">
        <v>0</v>
      </c>
      <c r="BF4427">
        <v>0</v>
      </c>
      <c r="BG4427">
        <v>0</v>
      </c>
      <c r="BH4427">
        <v>4700</v>
      </c>
      <c r="BI4427">
        <v>1</v>
      </c>
      <c r="BJ4427">
        <v>0</v>
      </c>
      <c r="BK4427">
        <v>0</v>
      </c>
      <c r="BL4427">
        <v>0</v>
      </c>
      <c r="BO4427">
        <v>0</v>
      </c>
      <c r="BP4427">
        <v>0</v>
      </c>
      <c r="BW4427" t="str">
        <f t="shared" si="2490"/>
        <v>15:00:04.158</v>
      </c>
      <c r="CJ4427">
        <v>0</v>
      </c>
      <c r="CK4427">
        <v>2</v>
      </c>
      <c r="CL4427">
        <v>0</v>
      </c>
      <c r="CM4427">
        <v>2</v>
      </c>
      <c r="CN4427">
        <v>0</v>
      </c>
      <c r="CO4427">
        <v>5</v>
      </c>
      <c r="CP4427" t="s">
        <v>119</v>
      </c>
      <c r="CQ4427">
        <v>298</v>
      </c>
      <c r="CR4427">
        <v>0</v>
      </c>
      <c r="CW4427">
        <v>10479496</v>
      </c>
      <c r="CY4427">
        <v>0</v>
      </c>
      <c r="CZ4427">
        <v>0</v>
      </c>
      <c r="DA4427">
        <v>1</v>
      </c>
      <c r="DB4427">
        <v>0</v>
      </c>
      <c r="DC4427">
        <v>0</v>
      </c>
      <c r="DD4427">
        <v>0</v>
      </c>
      <c r="DE4427">
        <v>0</v>
      </c>
      <c r="DF4427">
        <v>0</v>
      </c>
      <c r="DG4427">
        <v>0</v>
      </c>
      <c r="DH4427">
        <v>0</v>
      </c>
      <c r="DI4427">
        <v>0</v>
      </c>
    </row>
    <row r="4428" spans="1:113" x14ac:dyDescent="0.25">
      <c r="A4428" t="str">
        <f t="shared" ref="A4428:A4433" si="2491">"06/05/2020 14:59:59.520"</f>
        <v>06/05/2020 14:59:59.520</v>
      </c>
      <c r="C4428" t="str">
        <f t="shared" si="2468"/>
        <v>FFDFD3C0</v>
      </c>
      <c r="D4428" t="s">
        <v>151</v>
      </c>
      <c r="E4428">
        <v>8</v>
      </c>
      <c r="H4428">
        <v>225</v>
      </c>
      <c r="I4428" t="s">
        <v>353</v>
      </c>
      <c r="J4428" t="s">
        <v>150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 t="shared" ref="S4428:T4433" si="2492">"15:00:05.156"</f>
        <v>15:00:05.156</v>
      </c>
      <c r="T4428" t="str">
        <f t="shared" si="2492"/>
        <v>15:00:05.156</v>
      </c>
      <c r="U4428" t="str">
        <f t="shared" si="2485"/>
        <v>ACC530</v>
      </c>
      <c r="V4428">
        <v>0</v>
      </c>
      <c r="W4428">
        <v>0</v>
      </c>
      <c r="X4428">
        <v>1</v>
      </c>
      <c r="Z4428">
        <v>0</v>
      </c>
      <c r="AA4428">
        <v>9</v>
      </c>
      <c r="AB4428">
        <v>3</v>
      </c>
      <c r="AC4428">
        <v>0</v>
      </c>
      <c r="AD4428">
        <v>9</v>
      </c>
      <c r="AE4428">
        <v>0</v>
      </c>
      <c r="AF4428">
        <v>3</v>
      </c>
      <c r="AG4428">
        <v>1</v>
      </c>
      <c r="AH4428">
        <v>0</v>
      </c>
      <c r="AI4428" t="s">
        <v>1387</v>
      </c>
      <c r="AJ4428">
        <v>34.073045</v>
      </c>
      <c r="AK4428" t="s">
        <v>1388</v>
      </c>
      <c r="AL4428">
        <v>-117.042396</v>
      </c>
      <c r="AM4428">
        <v>100</v>
      </c>
      <c r="AN4428">
        <v>4900</v>
      </c>
      <c r="AO4428" t="s">
        <v>118</v>
      </c>
      <c r="AP4428">
        <v>-101</v>
      </c>
      <c r="AQ4428">
        <v>23</v>
      </c>
      <c r="AR4428">
        <v>-704</v>
      </c>
      <c r="AZ4428">
        <v>1200</v>
      </c>
      <c r="BA4428">
        <v>1</v>
      </c>
      <c r="BB4428" t="str">
        <f t="shared" si="2489"/>
        <v xml:space="preserve">N9217B  </v>
      </c>
      <c r="BC4428">
        <v>1</v>
      </c>
      <c r="BE4428">
        <v>0</v>
      </c>
      <c r="BF4428">
        <v>0</v>
      </c>
      <c r="BG4428">
        <v>0</v>
      </c>
      <c r="BH4428">
        <v>4700</v>
      </c>
      <c r="BI4428">
        <v>1</v>
      </c>
      <c r="BJ4428">
        <v>0</v>
      </c>
      <c r="BK4428">
        <v>0</v>
      </c>
      <c r="BL4428">
        <v>0</v>
      </c>
      <c r="BO4428">
        <v>0</v>
      </c>
      <c r="BP4428">
        <v>0</v>
      </c>
      <c r="BW4428" t="str">
        <f t="shared" ref="BW4428:BW4433" si="2493">"15:00:05.163"</f>
        <v>15:00:05.163</v>
      </c>
      <c r="CJ4428">
        <v>0</v>
      </c>
      <c r="CK4428">
        <v>2</v>
      </c>
      <c r="CL4428">
        <v>0</v>
      </c>
      <c r="CM4428">
        <v>2</v>
      </c>
      <c r="CN4428">
        <v>0</v>
      </c>
      <c r="CO4428">
        <v>4</v>
      </c>
      <c r="CP4428" t="s">
        <v>119</v>
      </c>
      <c r="CQ4428">
        <v>298</v>
      </c>
      <c r="CR4428">
        <v>0</v>
      </c>
      <c r="CW4428">
        <v>10479631</v>
      </c>
      <c r="CY4428">
        <v>0</v>
      </c>
      <c r="CZ4428">
        <v>0</v>
      </c>
      <c r="DA4428">
        <v>0</v>
      </c>
      <c r="DB4428">
        <v>0</v>
      </c>
      <c r="DC4428">
        <v>0</v>
      </c>
      <c r="DD4428">
        <v>0</v>
      </c>
      <c r="DE4428">
        <v>0</v>
      </c>
      <c r="DF4428">
        <v>0</v>
      </c>
      <c r="DG4428">
        <v>0</v>
      </c>
      <c r="DH4428">
        <v>0</v>
      </c>
      <c r="DI4428">
        <v>0</v>
      </c>
    </row>
    <row r="4429" spans="1:113" x14ac:dyDescent="0.25">
      <c r="A4429" t="str">
        <f t="shared" si="2491"/>
        <v>06/05/2020 14:59:59.520</v>
      </c>
      <c r="C4429" t="str">
        <f t="shared" si="2468"/>
        <v>FFDFD3C0</v>
      </c>
      <c r="D4429" t="s">
        <v>148</v>
      </c>
      <c r="E4429">
        <v>11</v>
      </c>
      <c r="H4429">
        <v>53</v>
      </c>
      <c r="I4429" t="s">
        <v>364</v>
      </c>
      <c r="J4429" t="s">
        <v>150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 t="shared" si="2492"/>
        <v>15:00:05.156</v>
      </c>
      <c r="T4429" t="str">
        <f t="shared" si="2492"/>
        <v>15:00:05.156</v>
      </c>
      <c r="U4429" t="str">
        <f t="shared" si="2485"/>
        <v>ACC530</v>
      </c>
      <c r="V4429">
        <v>0</v>
      </c>
      <c r="W4429">
        <v>0</v>
      </c>
      <c r="X4429">
        <v>1</v>
      </c>
      <c r="Z4429">
        <v>0</v>
      </c>
      <c r="AA4429">
        <v>9</v>
      </c>
      <c r="AB4429">
        <v>3</v>
      </c>
      <c r="AC4429">
        <v>0</v>
      </c>
      <c r="AD4429">
        <v>9</v>
      </c>
      <c r="AE4429">
        <v>0</v>
      </c>
      <c r="AF4429">
        <v>3</v>
      </c>
      <c r="AG4429">
        <v>1</v>
      </c>
      <c r="AH4429">
        <v>0</v>
      </c>
      <c r="AI4429" t="s">
        <v>1387</v>
      </c>
      <c r="AJ4429">
        <v>34.073045</v>
      </c>
      <c r="AK4429" t="s">
        <v>1388</v>
      </c>
      <c r="AL4429">
        <v>-117.042396</v>
      </c>
      <c r="AM4429">
        <v>100</v>
      </c>
      <c r="AN4429">
        <v>4900</v>
      </c>
      <c r="AO4429" t="s">
        <v>118</v>
      </c>
      <c r="AP4429">
        <v>-101</v>
      </c>
      <c r="AQ4429">
        <v>23</v>
      </c>
      <c r="AR4429">
        <v>-704</v>
      </c>
      <c r="AZ4429">
        <v>1200</v>
      </c>
      <c r="BA4429">
        <v>1</v>
      </c>
      <c r="BB4429" t="str">
        <f t="shared" si="2489"/>
        <v xml:space="preserve">N9217B  </v>
      </c>
      <c r="BC4429">
        <v>1</v>
      </c>
      <c r="BE4429">
        <v>0</v>
      </c>
      <c r="BF4429">
        <v>0</v>
      </c>
      <c r="BG4429">
        <v>0</v>
      </c>
      <c r="BH4429">
        <v>4700</v>
      </c>
      <c r="BI4429">
        <v>1</v>
      </c>
      <c r="BJ4429">
        <v>0</v>
      </c>
      <c r="BK4429">
        <v>0</v>
      </c>
      <c r="BL4429">
        <v>0</v>
      </c>
      <c r="BO4429">
        <v>0</v>
      </c>
      <c r="BP4429">
        <v>0</v>
      </c>
      <c r="BW4429" t="str">
        <f t="shared" si="2493"/>
        <v>15:00:05.163</v>
      </c>
      <c r="CJ4429">
        <v>0</v>
      </c>
      <c r="CK4429">
        <v>2</v>
      </c>
      <c r="CL4429">
        <v>0</v>
      </c>
      <c r="CM4429">
        <v>2</v>
      </c>
      <c r="CN4429">
        <v>0</v>
      </c>
      <c r="CO4429">
        <v>4</v>
      </c>
      <c r="CP4429" t="s">
        <v>119</v>
      </c>
      <c r="CQ4429">
        <v>298</v>
      </c>
      <c r="CR4429">
        <v>0</v>
      </c>
      <c r="CW4429">
        <v>10479631</v>
      </c>
      <c r="CY4429">
        <v>0</v>
      </c>
      <c r="CZ4429">
        <v>0</v>
      </c>
      <c r="DA4429">
        <v>1</v>
      </c>
      <c r="DB4429">
        <v>0</v>
      </c>
      <c r="DC4429">
        <v>0</v>
      </c>
      <c r="DD4429">
        <v>0</v>
      </c>
      <c r="DE4429">
        <v>0</v>
      </c>
      <c r="DF4429">
        <v>0</v>
      </c>
      <c r="DG4429">
        <v>0</v>
      </c>
      <c r="DH4429">
        <v>0</v>
      </c>
      <c r="DI4429">
        <v>0</v>
      </c>
    </row>
    <row r="4430" spans="1:113" x14ac:dyDescent="0.25">
      <c r="A4430" t="str">
        <f t="shared" si="2491"/>
        <v>06/05/2020 14:59:59.520</v>
      </c>
      <c r="C4430" t="str">
        <f t="shared" si="2468"/>
        <v>FFDFD3C0</v>
      </c>
      <c r="D4430" t="s">
        <v>134</v>
      </c>
      <c r="E4430">
        <v>7</v>
      </c>
      <c r="F4430">
        <v>2007</v>
      </c>
      <c r="G4430" t="s">
        <v>135</v>
      </c>
      <c r="J4430" t="s">
        <v>136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 t="shared" si="2492"/>
        <v>15:00:05.156</v>
      </c>
      <c r="T4430" t="str">
        <f t="shared" si="2492"/>
        <v>15:00:05.156</v>
      </c>
      <c r="U4430" t="str">
        <f t="shared" si="2485"/>
        <v>ACC530</v>
      </c>
      <c r="V4430">
        <v>0</v>
      </c>
      <c r="W4430">
        <v>0</v>
      </c>
      <c r="X4430">
        <v>1</v>
      </c>
      <c r="Z4430">
        <v>0</v>
      </c>
      <c r="AA4430">
        <v>9</v>
      </c>
      <c r="AB4430">
        <v>3</v>
      </c>
      <c r="AC4430">
        <v>0</v>
      </c>
      <c r="AD4430">
        <v>9</v>
      </c>
      <c r="AE4430">
        <v>0</v>
      </c>
      <c r="AF4430">
        <v>3</v>
      </c>
      <c r="AG4430">
        <v>1</v>
      </c>
      <c r="AH4430">
        <v>0</v>
      </c>
      <c r="AI4430" t="s">
        <v>1387</v>
      </c>
      <c r="AJ4430">
        <v>34.073045</v>
      </c>
      <c r="AK4430" t="s">
        <v>1388</v>
      </c>
      <c r="AL4430">
        <v>-117.042396</v>
      </c>
      <c r="AM4430">
        <v>100</v>
      </c>
      <c r="AN4430">
        <v>4900</v>
      </c>
      <c r="AO4430" t="s">
        <v>118</v>
      </c>
      <c r="AP4430">
        <v>-101</v>
      </c>
      <c r="AQ4430">
        <v>23</v>
      </c>
      <c r="AR4430">
        <v>-704</v>
      </c>
      <c r="AZ4430">
        <v>1200</v>
      </c>
      <c r="BA4430">
        <v>1</v>
      </c>
      <c r="BB4430" t="str">
        <f t="shared" si="2489"/>
        <v xml:space="preserve">N9217B  </v>
      </c>
      <c r="BC4430">
        <v>1</v>
      </c>
      <c r="BE4430">
        <v>0</v>
      </c>
      <c r="BF4430">
        <v>0</v>
      </c>
      <c r="BG4430">
        <v>0</v>
      </c>
      <c r="BH4430">
        <v>4700</v>
      </c>
      <c r="BI4430">
        <v>1</v>
      </c>
      <c r="BJ4430">
        <v>0</v>
      </c>
      <c r="BK4430">
        <v>0</v>
      </c>
      <c r="BL4430">
        <v>0</v>
      </c>
      <c r="BO4430">
        <v>0</v>
      </c>
      <c r="BP4430">
        <v>0</v>
      </c>
      <c r="BW4430" t="str">
        <f t="shared" si="2493"/>
        <v>15:00:05.163</v>
      </c>
      <c r="CJ4430">
        <v>0</v>
      </c>
      <c r="CK4430">
        <v>2</v>
      </c>
      <c r="CL4430">
        <v>0</v>
      </c>
      <c r="CM4430">
        <v>2</v>
      </c>
      <c r="CN4430">
        <v>0</v>
      </c>
      <c r="CO4430">
        <v>4</v>
      </c>
      <c r="CP4430" t="s">
        <v>119</v>
      </c>
      <c r="CQ4430">
        <v>298</v>
      </c>
      <c r="CR4430">
        <v>0</v>
      </c>
      <c r="CW4430">
        <v>10479631</v>
      </c>
      <c r="CY4430">
        <v>0</v>
      </c>
      <c r="CZ4430">
        <v>0</v>
      </c>
      <c r="DA4430">
        <v>1</v>
      </c>
      <c r="DB4430">
        <v>0</v>
      </c>
      <c r="DC4430">
        <v>0</v>
      </c>
      <c r="DD4430">
        <v>0</v>
      </c>
      <c r="DE4430">
        <v>0</v>
      </c>
      <c r="DF4430">
        <v>0</v>
      </c>
      <c r="DG4430">
        <v>0</v>
      </c>
      <c r="DH4430">
        <v>0</v>
      </c>
      <c r="DI4430">
        <v>0</v>
      </c>
    </row>
    <row r="4431" spans="1:113" x14ac:dyDescent="0.25">
      <c r="A4431" t="str">
        <f t="shared" si="2491"/>
        <v>06/05/2020 14:59:59.520</v>
      </c>
      <c r="C4431" t="str">
        <f t="shared" si="2468"/>
        <v>FFDFD3C0</v>
      </c>
      <c r="D4431" t="s">
        <v>148</v>
      </c>
      <c r="E4431">
        <v>8</v>
      </c>
      <c r="H4431">
        <v>50</v>
      </c>
      <c r="I4431" t="s">
        <v>149</v>
      </c>
      <c r="J4431" t="s">
        <v>150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 t="shared" si="2492"/>
        <v>15:00:05.156</v>
      </c>
      <c r="T4431" t="str">
        <f t="shared" si="2492"/>
        <v>15:00:05.156</v>
      </c>
      <c r="U4431" t="str">
        <f t="shared" si="2485"/>
        <v>ACC530</v>
      </c>
      <c r="V4431">
        <v>0</v>
      </c>
      <c r="W4431">
        <v>0</v>
      </c>
      <c r="X4431">
        <v>1</v>
      </c>
      <c r="Z4431">
        <v>0</v>
      </c>
      <c r="AA4431">
        <v>9</v>
      </c>
      <c r="AB4431">
        <v>3</v>
      </c>
      <c r="AC4431">
        <v>0</v>
      </c>
      <c r="AD4431">
        <v>9</v>
      </c>
      <c r="AE4431">
        <v>0</v>
      </c>
      <c r="AF4431">
        <v>3</v>
      </c>
      <c r="AG4431">
        <v>1</v>
      </c>
      <c r="AH4431">
        <v>0</v>
      </c>
      <c r="AI4431" t="s">
        <v>1387</v>
      </c>
      <c r="AJ4431">
        <v>34.073045</v>
      </c>
      <c r="AK4431" t="s">
        <v>1388</v>
      </c>
      <c r="AL4431">
        <v>-117.042396</v>
      </c>
      <c r="AM4431">
        <v>100</v>
      </c>
      <c r="AN4431">
        <v>4900</v>
      </c>
      <c r="AO4431" t="s">
        <v>118</v>
      </c>
      <c r="AP4431">
        <v>-101</v>
      </c>
      <c r="AQ4431">
        <v>23</v>
      </c>
      <c r="AR4431">
        <v>-704</v>
      </c>
      <c r="AZ4431">
        <v>1200</v>
      </c>
      <c r="BA4431">
        <v>1</v>
      </c>
      <c r="BB4431" t="str">
        <f t="shared" si="2489"/>
        <v xml:space="preserve">N9217B  </v>
      </c>
      <c r="BC4431">
        <v>1</v>
      </c>
      <c r="BE4431">
        <v>0</v>
      </c>
      <c r="BF4431">
        <v>0</v>
      </c>
      <c r="BG4431">
        <v>0</v>
      </c>
      <c r="BH4431">
        <v>4700</v>
      </c>
      <c r="BI4431">
        <v>1</v>
      </c>
      <c r="BJ4431">
        <v>0</v>
      </c>
      <c r="BK4431">
        <v>0</v>
      </c>
      <c r="BL4431">
        <v>0</v>
      </c>
      <c r="BO4431">
        <v>0</v>
      </c>
      <c r="BP4431">
        <v>0</v>
      </c>
      <c r="BW4431" t="str">
        <f t="shared" si="2493"/>
        <v>15:00:05.163</v>
      </c>
      <c r="CJ4431">
        <v>0</v>
      </c>
      <c r="CK4431">
        <v>2</v>
      </c>
      <c r="CL4431">
        <v>0</v>
      </c>
      <c r="CM4431">
        <v>2</v>
      </c>
      <c r="CN4431">
        <v>0</v>
      </c>
      <c r="CO4431">
        <v>4</v>
      </c>
      <c r="CP4431" t="s">
        <v>119</v>
      </c>
      <c r="CQ4431">
        <v>298</v>
      </c>
      <c r="CR4431">
        <v>0</v>
      </c>
      <c r="CW4431">
        <v>10479631</v>
      </c>
      <c r="CY4431">
        <v>0</v>
      </c>
      <c r="CZ4431">
        <v>0</v>
      </c>
      <c r="DA4431">
        <v>1</v>
      </c>
      <c r="DB4431">
        <v>0</v>
      </c>
      <c r="DC4431">
        <v>0</v>
      </c>
      <c r="DD4431">
        <v>0</v>
      </c>
      <c r="DE4431">
        <v>0</v>
      </c>
      <c r="DF4431">
        <v>0</v>
      </c>
      <c r="DG4431">
        <v>0</v>
      </c>
      <c r="DH4431">
        <v>0</v>
      </c>
      <c r="DI4431">
        <v>0</v>
      </c>
    </row>
    <row r="4432" spans="1:113" x14ac:dyDescent="0.25">
      <c r="A4432" t="str">
        <f t="shared" si="2491"/>
        <v>06/05/2020 14:59:59.520</v>
      </c>
      <c r="C4432" t="str">
        <f t="shared" si="2468"/>
        <v>FFDFD3C0</v>
      </c>
      <c r="D4432" t="s">
        <v>141</v>
      </c>
      <c r="E4432">
        <v>20</v>
      </c>
      <c r="F4432">
        <v>1020</v>
      </c>
      <c r="G4432" t="s">
        <v>114</v>
      </c>
      <c r="J4432" t="s">
        <v>142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 t="shared" si="2492"/>
        <v>15:00:05.156</v>
      </c>
      <c r="T4432" t="str">
        <f t="shared" si="2492"/>
        <v>15:00:05.156</v>
      </c>
      <c r="U4432" t="str">
        <f t="shared" si="2485"/>
        <v>ACC530</v>
      </c>
      <c r="V4432">
        <v>0</v>
      </c>
      <c r="W4432">
        <v>0</v>
      </c>
      <c r="X4432">
        <v>1</v>
      </c>
      <c r="Z4432">
        <v>0</v>
      </c>
      <c r="AA4432">
        <v>9</v>
      </c>
      <c r="AB4432">
        <v>3</v>
      </c>
      <c r="AC4432">
        <v>0</v>
      </c>
      <c r="AD4432">
        <v>9</v>
      </c>
      <c r="AE4432">
        <v>0</v>
      </c>
      <c r="AF4432">
        <v>3</v>
      </c>
      <c r="AG4432">
        <v>1</v>
      </c>
      <c r="AH4432">
        <v>0</v>
      </c>
      <c r="AI4432" t="s">
        <v>1387</v>
      </c>
      <c r="AJ4432">
        <v>34.073045</v>
      </c>
      <c r="AK4432" t="s">
        <v>1388</v>
      </c>
      <c r="AL4432">
        <v>-117.042396</v>
      </c>
      <c r="AM4432">
        <v>100</v>
      </c>
      <c r="AN4432">
        <v>4900</v>
      </c>
      <c r="AO4432" t="s">
        <v>118</v>
      </c>
      <c r="AP4432">
        <v>-101</v>
      </c>
      <c r="AQ4432">
        <v>23</v>
      </c>
      <c r="AR4432">
        <v>-704</v>
      </c>
      <c r="AZ4432">
        <v>1200</v>
      </c>
      <c r="BA4432">
        <v>1</v>
      </c>
      <c r="BB4432" t="str">
        <f t="shared" si="2489"/>
        <v xml:space="preserve">N9217B  </v>
      </c>
      <c r="BC4432">
        <v>1</v>
      </c>
      <c r="BE4432">
        <v>0</v>
      </c>
      <c r="BF4432">
        <v>0</v>
      </c>
      <c r="BG4432">
        <v>0</v>
      </c>
      <c r="BH4432">
        <v>4700</v>
      </c>
      <c r="BI4432">
        <v>1</v>
      </c>
      <c r="BJ4432">
        <v>0</v>
      </c>
      <c r="BK4432">
        <v>0</v>
      </c>
      <c r="BL4432">
        <v>0</v>
      </c>
      <c r="BO4432">
        <v>0</v>
      </c>
      <c r="BP4432">
        <v>0</v>
      </c>
      <c r="BW4432" t="str">
        <f t="shared" si="2493"/>
        <v>15:00:05.163</v>
      </c>
      <c r="CJ4432">
        <v>0</v>
      </c>
      <c r="CK4432">
        <v>2</v>
      </c>
      <c r="CL4432">
        <v>0</v>
      </c>
      <c r="CM4432">
        <v>2</v>
      </c>
      <c r="CN4432">
        <v>0</v>
      </c>
      <c r="CO4432">
        <v>4</v>
      </c>
      <c r="CP4432" t="s">
        <v>119</v>
      </c>
      <c r="CQ4432">
        <v>298</v>
      </c>
      <c r="CR4432">
        <v>0</v>
      </c>
      <c r="CW4432">
        <v>10479631</v>
      </c>
      <c r="CY4432">
        <v>0</v>
      </c>
      <c r="CZ4432">
        <v>0</v>
      </c>
      <c r="DA4432">
        <v>1</v>
      </c>
      <c r="DB4432">
        <v>0</v>
      </c>
      <c r="DC4432">
        <v>0</v>
      </c>
      <c r="DD4432">
        <v>0</v>
      </c>
      <c r="DE4432">
        <v>0</v>
      </c>
      <c r="DF4432">
        <v>0</v>
      </c>
      <c r="DG4432">
        <v>0</v>
      </c>
      <c r="DH4432">
        <v>0</v>
      </c>
      <c r="DI4432">
        <v>0</v>
      </c>
    </row>
    <row r="4433" spans="1:113" x14ac:dyDescent="0.25">
      <c r="A4433" t="str">
        <f t="shared" si="2491"/>
        <v>06/05/2020 14:59:59.520</v>
      </c>
      <c r="C4433" t="str">
        <f t="shared" si="2468"/>
        <v>FFDFD3C0</v>
      </c>
      <c r="D4433" t="s">
        <v>113</v>
      </c>
      <c r="E4433">
        <v>3</v>
      </c>
      <c r="H4433">
        <v>166</v>
      </c>
      <c r="I4433" t="s">
        <v>114</v>
      </c>
      <c r="J4433" t="s">
        <v>115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 t="shared" si="2492"/>
        <v>15:00:05.156</v>
      </c>
      <c r="T4433" t="str">
        <f t="shared" si="2492"/>
        <v>15:00:05.156</v>
      </c>
      <c r="U4433" t="str">
        <f t="shared" si="2485"/>
        <v>ACC530</v>
      </c>
      <c r="V4433">
        <v>0</v>
      </c>
      <c r="W4433">
        <v>0</v>
      </c>
      <c r="X4433">
        <v>1</v>
      </c>
      <c r="Z4433">
        <v>0</v>
      </c>
      <c r="AA4433">
        <v>9</v>
      </c>
      <c r="AB4433">
        <v>3</v>
      </c>
      <c r="AC4433">
        <v>0</v>
      </c>
      <c r="AD4433">
        <v>9</v>
      </c>
      <c r="AE4433">
        <v>0</v>
      </c>
      <c r="AF4433">
        <v>3</v>
      </c>
      <c r="AG4433">
        <v>1</v>
      </c>
      <c r="AH4433">
        <v>0</v>
      </c>
      <c r="AI4433" t="s">
        <v>1387</v>
      </c>
      <c r="AJ4433">
        <v>34.073045</v>
      </c>
      <c r="AK4433" t="s">
        <v>1388</v>
      </c>
      <c r="AL4433">
        <v>-117.042396</v>
      </c>
      <c r="AM4433">
        <v>100</v>
      </c>
      <c r="AN4433">
        <v>4900</v>
      </c>
      <c r="AO4433" t="s">
        <v>118</v>
      </c>
      <c r="AP4433">
        <v>-101</v>
      </c>
      <c r="AQ4433">
        <v>23</v>
      </c>
      <c r="AR4433">
        <v>-704</v>
      </c>
      <c r="AZ4433">
        <v>1200</v>
      </c>
      <c r="BA4433">
        <v>1</v>
      </c>
      <c r="BB4433" t="str">
        <f t="shared" si="2489"/>
        <v xml:space="preserve">N9217B  </v>
      </c>
      <c r="BC4433">
        <v>1</v>
      </c>
      <c r="BE4433">
        <v>0</v>
      </c>
      <c r="BF4433">
        <v>0</v>
      </c>
      <c r="BG4433">
        <v>0</v>
      </c>
      <c r="BH4433">
        <v>4700</v>
      </c>
      <c r="BI4433">
        <v>1</v>
      </c>
      <c r="BJ4433">
        <v>0</v>
      </c>
      <c r="BK4433">
        <v>0</v>
      </c>
      <c r="BL4433">
        <v>0</v>
      </c>
      <c r="BO4433">
        <v>0</v>
      </c>
      <c r="BP4433">
        <v>0</v>
      </c>
      <c r="BW4433" t="str">
        <f t="shared" si="2493"/>
        <v>15:00:05.163</v>
      </c>
      <c r="CJ4433">
        <v>0</v>
      </c>
      <c r="CK4433">
        <v>2</v>
      </c>
      <c r="CL4433">
        <v>0</v>
      </c>
      <c r="CM4433">
        <v>2</v>
      </c>
      <c r="CN4433">
        <v>0</v>
      </c>
      <c r="CO4433">
        <v>4</v>
      </c>
      <c r="CP4433" t="s">
        <v>119</v>
      </c>
      <c r="CQ4433">
        <v>298</v>
      </c>
      <c r="CR4433">
        <v>0</v>
      </c>
      <c r="CW4433">
        <v>10479631</v>
      </c>
      <c r="CY4433">
        <v>0</v>
      </c>
      <c r="CZ4433">
        <v>0</v>
      </c>
      <c r="DA4433">
        <v>1</v>
      </c>
      <c r="DB4433">
        <v>0</v>
      </c>
      <c r="DC4433">
        <v>0</v>
      </c>
      <c r="DD4433">
        <v>0</v>
      </c>
      <c r="DE4433">
        <v>0</v>
      </c>
      <c r="DF4433">
        <v>0</v>
      </c>
      <c r="DG4433">
        <v>0</v>
      </c>
      <c r="DH4433">
        <v>0</v>
      </c>
      <c r="DI4433">
        <v>0</v>
      </c>
    </row>
    <row r="4434" spans="1:113" x14ac:dyDescent="0.25">
      <c r="A4434" t="str">
        <f t="shared" ref="A4434:A4439" si="2494">"06/05/2020 15:00:00.588"</f>
        <v>06/05/2020 15:00:00.588</v>
      </c>
      <c r="C4434" t="str">
        <f t="shared" si="2468"/>
        <v>FFDFD3C0</v>
      </c>
      <c r="D4434" t="s">
        <v>148</v>
      </c>
      <c r="E4434">
        <v>11</v>
      </c>
      <c r="H4434">
        <v>53</v>
      </c>
      <c r="I4434" t="s">
        <v>364</v>
      </c>
      <c r="J4434" t="s">
        <v>150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 t="shared" ref="S4434:T4439" si="2495">"15:00:06.211"</f>
        <v>15:00:06.211</v>
      </c>
      <c r="T4434" t="str">
        <f t="shared" si="2495"/>
        <v>15:00:06.211</v>
      </c>
      <c r="U4434" t="str">
        <f t="shared" si="2485"/>
        <v>ACC530</v>
      </c>
      <c r="V4434">
        <v>0</v>
      </c>
      <c r="W4434">
        <v>0</v>
      </c>
      <c r="X4434">
        <v>1</v>
      </c>
      <c r="Z4434">
        <v>0</v>
      </c>
      <c r="AA4434">
        <v>9</v>
      </c>
      <c r="AB4434">
        <v>3</v>
      </c>
      <c r="AC4434">
        <v>0</v>
      </c>
      <c r="AD4434">
        <v>9</v>
      </c>
      <c r="AE4434">
        <v>0</v>
      </c>
      <c r="AF4434">
        <v>3</v>
      </c>
      <c r="AG4434">
        <v>1</v>
      </c>
      <c r="AH4434">
        <v>0</v>
      </c>
      <c r="AI4434" t="s">
        <v>1389</v>
      </c>
      <c r="AJ4434">
        <v>34.073174000000002</v>
      </c>
      <c r="AK4434" t="s">
        <v>1071</v>
      </c>
      <c r="AL4434">
        <v>-117.043018</v>
      </c>
      <c r="AM4434">
        <v>100</v>
      </c>
      <c r="AN4434">
        <v>4900</v>
      </c>
      <c r="AO4434" t="s">
        <v>118</v>
      </c>
      <c r="AP4434">
        <v>-100</v>
      </c>
      <c r="AQ4434">
        <v>24</v>
      </c>
      <c r="AR4434">
        <v>-640</v>
      </c>
      <c r="AZ4434">
        <v>1200</v>
      </c>
      <c r="BA4434">
        <v>1</v>
      </c>
      <c r="BB4434" t="str">
        <f t="shared" si="2489"/>
        <v xml:space="preserve">N9217B  </v>
      </c>
      <c r="BC4434">
        <v>1</v>
      </c>
      <c r="BE4434">
        <v>0</v>
      </c>
      <c r="BF4434">
        <v>0</v>
      </c>
      <c r="BG4434">
        <v>0</v>
      </c>
      <c r="BH4434">
        <v>4700</v>
      </c>
      <c r="BI4434">
        <v>1</v>
      </c>
      <c r="BJ4434">
        <v>0</v>
      </c>
      <c r="BK4434">
        <v>0</v>
      </c>
      <c r="BL4434">
        <v>0</v>
      </c>
      <c r="BO4434">
        <v>0</v>
      </c>
      <c r="BP4434">
        <v>0</v>
      </c>
      <c r="BW4434" t="str">
        <f t="shared" ref="BW4434:BW4439" si="2496">"15:00:06.213"</f>
        <v>15:00:06.213</v>
      </c>
      <c r="CJ4434">
        <v>0</v>
      </c>
      <c r="CK4434">
        <v>2</v>
      </c>
      <c r="CL4434">
        <v>0</v>
      </c>
      <c r="CM4434">
        <v>2</v>
      </c>
      <c r="CN4434">
        <v>0</v>
      </c>
      <c r="CO4434">
        <v>5</v>
      </c>
      <c r="CP4434" t="s">
        <v>119</v>
      </c>
      <c r="CQ4434">
        <v>298</v>
      </c>
      <c r="CR4434">
        <v>0</v>
      </c>
      <c r="CW4434">
        <v>10479765</v>
      </c>
      <c r="CY4434">
        <v>0</v>
      </c>
      <c r="CZ4434">
        <v>0</v>
      </c>
      <c r="DA4434">
        <v>0</v>
      </c>
      <c r="DB4434">
        <v>0</v>
      </c>
      <c r="DC4434">
        <v>0</v>
      </c>
      <c r="DD4434">
        <v>0</v>
      </c>
      <c r="DE4434">
        <v>0</v>
      </c>
      <c r="DF4434">
        <v>0</v>
      </c>
      <c r="DG4434">
        <v>0</v>
      </c>
      <c r="DH4434">
        <v>0</v>
      </c>
      <c r="DI4434">
        <v>0</v>
      </c>
    </row>
    <row r="4435" spans="1:113" x14ac:dyDescent="0.25">
      <c r="A4435" t="str">
        <f t="shared" si="2494"/>
        <v>06/05/2020 15:00:00.588</v>
      </c>
      <c r="C4435" t="str">
        <f t="shared" si="2468"/>
        <v>FFDFD3C0</v>
      </c>
      <c r="D4435" t="s">
        <v>148</v>
      </c>
      <c r="E4435">
        <v>8</v>
      </c>
      <c r="H4435">
        <v>50</v>
      </c>
      <c r="I4435" t="s">
        <v>149</v>
      </c>
      <c r="J4435" t="s">
        <v>150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 t="shared" si="2495"/>
        <v>15:00:06.211</v>
      </c>
      <c r="T4435" t="str">
        <f t="shared" si="2495"/>
        <v>15:00:06.211</v>
      </c>
      <c r="U4435" t="str">
        <f t="shared" si="2485"/>
        <v>ACC530</v>
      </c>
      <c r="V4435">
        <v>0</v>
      </c>
      <c r="W4435">
        <v>0</v>
      </c>
      <c r="X4435">
        <v>1</v>
      </c>
      <c r="Z4435">
        <v>0</v>
      </c>
      <c r="AA4435">
        <v>9</v>
      </c>
      <c r="AB4435">
        <v>3</v>
      </c>
      <c r="AC4435">
        <v>0</v>
      </c>
      <c r="AD4435">
        <v>9</v>
      </c>
      <c r="AE4435">
        <v>0</v>
      </c>
      <c r="AF4435">
        <v>3</v>
      </c>
      <c r="AG4435">
        <v>1</v>
      </c>
      <c r="AH4435">
        <v>0</v>
      </c>
      <c r="AI4435" t="s">
        <v>1389</v>
      </c>
      <c r="AJ4435">
        <v>34.073174000000002</v>
      </c>
      <c r="AK4435" t="s">
        <v>1071</v>
      </c>
      <c r="AL4435">
        <v>-117.043018</v>
      </c>
      <c r="AM4435">
        <v>100</v>
      </c>
      <c r="AN4435">
        <v>4900</v>
      </c>
      <c r="AO4435" t="s">
        <v>118</v>
      </c>
      <c r="AP4435">
        <v>-100</v>
      </c>
      <c r="AQ4435">
        <v>24</v>
      </c>
      <c r="AR4435">
        <v>-640</v>
      </c>
      <c r="AZ4435">
        <v>1200</v>
      </c>
      <c r="BA4435">
        <v>1</v>
      </c>
      <c r="BB4435" t="str">
        <f t="shared" si="2489"/>
        <v xml:space="preserve">N9217B  </v>
      </c>
      <c r="BC4435">
        <v>1</v>
      </c>
      <c r="BE4435">
        <v>0</v>
      </c>
      <c r="BF4435">
        <v>0</v>
      </c>
      <c r="BG4435">
        <v>0</v>
      </c>
      <c r="BH4435">
        <v>4700</v>
      </c>
      <c r="BI4435">
        <v>1</v>
      </c>
      <c r="BJ4435">
        <v>0</v>
      </c>
      <c r="BK4435">
        <v>0</v>
      </c>
      <c r="BL4435">
        <v>0</v>
      </c>
      <c r="BO4435">
        <v>0</v>
      </c>
      <c r="BP4435">
        <v>0</v>
      </c>
      <c r="BW4435" t="str">
        <f t="shared" si="2496"/>
        <v>15:00:06.213</v>
      </c>
      <c r="CJ4435">
        <v>0</v>
      </c>
      <c r="CK4435">
        <v>2</v>
      </c>
      <c r="CL4435">
        <v>0</v>
      </c>
      <c r="CM4435">
        <v>2</v>
      </c>
      <c r="CN4435">
        <v>0</v>
      </c>
      <c r="CO4435">
        <v>5</v>
      </c>
      <c r="CP4435" t="s">
        <v>119</v>
      </c>
      <c r="CQ4435">
        <v>298</v>
      </c>
      <c r="CR4435">
        <v>0</v>
      </c>
      <c r="CW4435">
        <v>10479765</v>
      </c>
      <c r="CY4435">
        <v>0</v>
      </c>
      <c r="CZ4435">
        <v>0</v>
      </c>
      <c r="DA4435">
        <v>1</v>
      </c>
      <c r="DB4435">
        <v>0</v>
      </c>
      <c r="DC4435">
        <v>0</v>
      </c>
      <c r="DD4435">
        <v>0</v>
      </c>
      <c r="DE4435">
        <v>0</v>
      </c>
      <c r="DF4435">
        <v>0</v>
      </c>
      <c r="DG4435">
        <v>0</v>
      </c>
      <c r="DH4435">
        <v>0</v>
      </c>
      <c r="DI4435">
        <v>0</v>
      </c>
    </row>
    <row r="4436" spans="1:113" x14ac:dyDescent="0.25">
      <c r="A4436" t="str">
        <f t="shared" si="2494"/>
        <v>06/05/2020 15:00:00.588</v>
      </c>
      <c r="C4436" t="str">
        <f t="shared" si="2468"/>
        <v>FFDFD3C0</v>
      </c>
      <c r="D4436" t="s">
        <v>141</v>
      </c>
      <c r="E4436">
        <v>20</v>
      </c>
      <c r="F4436">
        <v>1020</v>
      </c>
      <c r="G4436" t="s">
        <v>114</v>
      </c>
      <c r="J4436" t="s">
        <v>142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 t="shared" si="2495"/>
        <v>15:00:06.211</v>
      </c>
      <c r="T4436" t="str">
        <f t="shared" si="2495"/>
        <v>15:00:06.211</v>
      </c>
      <c r="U4436" t="str">
        <f t="shared" si="2485"/>
        <v>ACC530</v>
      </c>
      <c r="V4436">
        <v>0</v>
      </c>
      <c r="W4436">
        <v>0</v>
      </c>
      <c r="X4436">
        <v>1</v>
      </c>
      <c r="Z4436">
        <v>0</v>
      </c>
      <c r="AA4436">
        <v>9</v>
      </c>
      <c r="AB4436">
        <v>3</v>
      </c>
      <c r="AC4436">
        <v>0</v>
      </c>
      <c r="AD4436">
        <v>9</v>
      </c>
      <c r="AE4436">
        <v>0</v>
      </c>
      <c r="AF4436">
        <v>3</v>
      </c>
      <c r="AG4436">
        <v>1</v>
      </c>
      <c r="AH4436">
        <v>0</v>
      </c>
      <c r="AI4436" t="s">
        <v>1389</v>
      </c>
      <c r="AJ4436">
        <v>34.073174000000002</v>
      </c>
      <c r="AK4436" t="s">
        <v>1071</v>
      </c>
      <c r="AL4436">
        <v>-117.043018</v>
      </c>
      <c r="AM4436">
        <v>100</v>
      </c>
      <c r="AN4436">
        <v>4900</v>
      </c>
      <c r="AO4436" t="s">
        <v>118</v>
      </c>
      <c r="AP4436">
        <v>-100</v>
      </c>
      <c r="AQ4436">
        <v>24</v>
      </c>
      <c r="AR4436">
        <v>-640</v>
      </c>
      <c r="AZ4436">
        <v>1200</v>
      </c>
      <c r="BA4436">
        <v>1</v>
      </c>
      <c r="BB4436" t="str">
        <f t="shared" si="2489"/>
        <v xml:space="preserve">N9217B  </v>
      </c>
      <c r="BC4436">
        <v>1</v>
      </c>
      <c r="BE4436">
        <v>0</v>
      </c>
      <c r="BF4436">
        <v>0</v>
      </c>
      <c r="BG4436">
        <v>0</v>
      </c>
      <c r="BH4436">
        <v>4700</v>
      </c>
      <c r="BI4436">
        <v>1</v>
      </c>
      <c r="BJ4436">
        <v>0</v>
      </c>
      <c r="BK4436">
        <v>0</v>
      </c>
      <c r="BL4436">
        <v>0</v>
      </c>
      <c r="BO4436">
        <v>0</v>
      </c>
      <c r="BP4436">
        <v>0</v>
      </c>
      <c r="BW4436" t="str">
        <f t="shared" si="2496"/>
        <v>15:00:06.213</v>
      </c>
      <c r="CJ4436">
        <v>0</v>
      </c>
      <c r="CK4436">
        <v>2</v>
      </c>
      <c r="CL4436">
        <v>0</v>
      </c>
      <c r="CM4436">
        <v>2</v>
      </c>
      <c r="CN4436">
        <v>0</v>
      </c>
      <c r="CO4436">
        <v>5</v>
      </c>
      <c r="CP4436" t="s">
        <v>119</v>
      </c>
      <c r="CQ4436">
        <v>298</v>
      </c>
      <c r="CR4436">
        <v>0</v>
      </c>
      <c r="CW4436">
        <v>10479765</v>
      </c>
      <c r="CY4436">
        <v>0</v>
      </c>
      <c r="CZ4436">
        <v>0</v>
      </c>
      <c r="DA4436">
        <v>1</v>
      </c>
      <c r="DB4436">
        <v>0</v>
      </c>
      <c r="DC4436">
        <v>0</v>
      </c>
      <c r="DD4436">
        <v>0</v>
      </c>
      <c r="DE4436">
        <v>0</v>
      </c>
      <c r="DF4436">
        <v>0</v>
      </c>
      <c r="DG4436">
        <v>0</v>
      </c>
      <c r="DH4436">
        <v>0</v>
      </c>
      <c r="DI4436">
        <v>0</v>
      </c>
    </row>
    <row r="4437" spans="1:113" x14ac:dyDescent="0.25">
      <c r="A4437" t="str">
        <f t="shared" si="2494"/>
        <v>06/05/2020 15:00:00.588</v>
      </c>
      <c r="C4437" t="str">
        <f t="shared" si="2468"/>
        <v>FFDFD3C0</v>
      </c>
      <c r="D4437" t="s">
        <v>113</v>
      </c>
      <c r="E4437">
        <v>3</v>
      </c>
      <c r="H4437">
        <v>166</v>
      </c>
      <c r="I4437" t="s">
        <v>114</v>
      </c>
      <c r="J4437" t="s">
        <v>115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 t="shared" si="2495"/>
        <v>15:00:06.211</v>
      </c>
      <c r="T4437" t="str">
        <f t="shared" si="2495"/>
        <v>15:00:06.211</v>
      </c>
      <c r="U4437" t="str">
        <f t="shared" si="2485"/>
        <v>ACC530</v>
      </c>
      <c r="V4437">
        <v>0</v>
      </c>
      <c r="W4437">
        <v>0</v>
      </c>
      <c r="X4437">
        <v>1</v>
      </c>
      <c r="Z4437">
        <v>0</v>
      </c>
      <c r="AA4437">
        <v>9</v>
      </c>
      <c r="AB4437">
        <v>3</v>
      </c>
      <c r="AC4437">
        <v>0</v>
      </c>
      <c r="AD4437">
        <v>9</v>
      </c>
      <c r="AE4437">
        <v>0</v>
      </c>
      <c r="AF4437">
        <v>3</v>
      </c>
      <c r="AG4437">
        <v>1</v>
      </c>
      <c r="AH4437">
        <v>0</v>
      </c>
      <c r="AI4437" t="s">
        <v>1389</v>
      </c>
      <c r="AJ4437">
        <v>34.073174000000002</v>
      </c>
      <c r="AK4437" t="s">
        <v>1071</v>
      </c>
      <c r="AL4437">
        <v>-117.043018</v>
      </c>
      <c r="AM4437">
        <v>100</v>
      </c>
      <c r="AN4437">
        <v>4900</v>
      </c>
      <c r="AO4437" t="s">
        <v>118</v>
      </c>
      <c r="AP4437">
        <v>-100</v>
      </c>
      <c r="AQ4437">
        <v>24</v>
      </c>
      <c r="AR4437">
        <v>-640</v>
      </c>
      <c r="AZ4437">
        <v>1200</v>
      </c>
      <c r="BA4437">
        <v>1</v>
      </c>
      <c r="BB4437" t="str">
        <f t="shared" si="2489"/>
        <v xml:space="preserve">N9217B  </v>
      </c>
      <c r="BC4437">
        <v>1</v>
      </c>
      <c r="BE4437">
        <v>0</v>
      </c>
      <c r="BF4437">
        <v>0</v>
      </c>
      <c r="BG4437">
        <v>0</v>
      </c>
      <c r="BH4437">
        <v>4700</v>
      </c>
      <c r="BI4437">
        <v>1</v>
      </c>
      <c r="BJ4437">
        <v>0</v>
      </c>
      <c r="BK4437">
        <v>0</v>
      </c>
      <c r="BL4437">
        <v>0</v>
      </c>
      <c r="BO4437">
        <v>0</v>
      </c>
      <c r="BP4437">
        <v>0</v>
      </c>
      <c r="BW4437" t="str">
        <f t="shared" si="2496"/>
        <v>15:00:06.213</v>
      </c>
      <c r="CJ4437">
        <v>0</v>
      </c>
      <c r="CK4437">
        <v>2</v>
      </c>
      <c r="CL4437">
        <v>0</v>
      </c>
      <c r="CM4437">
        <v>2</v>
      </c>
      <c r="CN4437">
        <v>0</v>
      </c>
      <c r="CO4437">
        <v>5</v>
      </c>
      <c r="CP4437" t="s">
        <v>119</v>
      </c>
      <c r="CQ4437">
        <v>298</v>
      </c>
      <c r="CR4437">
        <v>0</v>
      </c>
      <c r="CW4437">
        <v>10479765</v>
      </c>
      <c r="CY4437">
        <v>0</v>
      </c>
      <c r="CZ4437">
        <v>0</v>
      </c>
      <c r="DA4437">
        <v>1</v>
      </c>
      <c r="DB4437">
        <v>0</v>
      </c>
      <c r="DC4437">
        <v>0</v>
      </c>
      <c r="DD4437">
        <v>0</v>
      </c>
      <c r="DE4437">
        <v>0</v>
      </c>
      <c r="DF4437">
        <v>0</v>
      </c>
      <c r="DG4437">
        <v>0</v>
      </c>
      <c r="DH4437">
        <v>0</v>
      </c>
      <c r="DI4437">
        <v>0</v>
      </c>
    </row>
    <row r="4438" spans="1:113" x14ac:dyDescent="0.25">
      <c r="A4438" t="str">
        <f t="shared" si="2494"/>
        <v>06/05/2020 15:00:00.588</v>
      </c>
      <c r="C4438" t="str">
        <f t="shared" si="2468"/>
        <v>FFDFD3C0</v>
      </c>
      <c r="D4438" t="s">
        <v>151</v>
      </c>
      <c r="E4438">
        <v>8</v>
      </c>
      <c r="H4438">
        <v>225</v>
      </c>
      <c r="I4438" t="s">
        <v>353</v>
      </c>
      <c r="J4438" t="s">
        <v>150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 t="shared" si="2495"/>
        <v>15:00:06.211</v>
      </c>
      <c r="T4438" t="str">
        <f t="shared" si="2495"/>
        <v>15:00:06.211</v>
      </c>
      <c r="U4438" t="str">
        <f t="shared" si="2485"/>
        <v>ACC530</v>
      </c>
      <c r="V4438">
        <v>0</v>
      </c>
      <c r="W4438">
        <v>0</v>
      </c>
      <c r="X4438">
        <v>1</v>
      </c>
      <c r="Z4438">
        <v>0</v>
      </c>
      <c r="AA4438">
        <v>9</v>
      </c>
      <c r="AB4438">
        <v>3</v>
      </c>
      <c r="AC4438">
        <v>0</v>
      </c>
      <c r="AD4438">
        <v>9</v>
      </c>
      <c r="AE4438">
        <v>0</v>
      </c>
      <c r="AF4438">
        <v>3</v>
      </c>
      <c r="AG4438">
        <v>1</v>
      </c>
      <c r="AH4438">
        <v>0</v>
      </c>
      <c r="AI4438" t="s">
        <v>1389</v>
      </c>
      <c r="AJ4438">
        <v>34.073174000000002</v>
      </c>
      <c r="AK4438" t="s">
        <v>1071</v>
      </c>
      <c r="AL4438">
        <v>-117.043018</v>
      </c>
      <c r="AM4438">
        <v>100</v>
      </c>
      <c r="AN4438">
        <v>4900</v>
      </c>
      <c r="AO4438" t="s">
        <v>118</v>
      </c>
      <c r="AP4438">
        <v>-100</v>
      </c>
      <c r="AQ4438">
        <v>24</v>
      </c>
      <c r="AR4438">
        <v>-640</v>
      </c>
      <c r="AZ4438">
        <v>1200</v>
      </c>
      <c r="BA4438">
        <v>1</v>
      </c>
      <c r="BB4438" t="str">
        <f t="shared" si="2489"/>
        <v xml:space="preserve">N9217B  </v>
      </c>
      <c r="BC4438">
        <v>1</v>
      </c>
      <c r="BE4438">
        <v>0</v>
      </c>
      <c r="BF4438">
        <v>0</v>
      </c>
      <c r="BG4438">
        <v>0</v>
      </c>
      <c r="BH4438">
        <v>4700</v>
      </c>
      <c r="BI4438">
        <v>1</v>
      </c>
      <c r="BJ4438">
        <v>0</v>
      </c>
      <c r="BK4438">
        <v>0</v>
      </c>
      <c r="BL4438">
        <v>0</v>
      </c>
      <c r="BO4438">
        <v>0</v>
      </c>
      <c r="BP4438">
        <v>0</v>
      </c>
      <c r="BW4438" t="str">
        <f t="shared" si="2496"/>
        <v>15:00:06.213</v>
      </c>
      <c r="CJ4438">
        <v>0</v>
      </c>
      <c r="CK4438">
        <v>2</v>
      </c>
      <c r="CL4438">
        <v>0</v>
      </c>
      <c r="CM4438">
        <v>2</v>
      </c>
      <c r="CN4438">
        <v>0</v>
      </c>
      <c r="CO4438">
        <v>5</v>
      </c>
      <c r="CP4438" t="s">
        <v>119</v>
      </c>
      <c r="CQ4438">
        <v>298</v>
      </c>
      <c r="CR4438">
        <v>0</v>
      </c>
      <c r="CW4438">
        <v>10479765</v>
      </c>
      <c r="CY4438">
        <v>0</v>
      </c>
      <c r="CZ4438">
        <v>0</v>
      </c>
      <c r="DA4438">
        <v>1</v>
      </c>
      <c r="DB4438">
        <v>0</v>
      </c>
      <c r="DC4438">
        <v>0</v>
      </c>
      <c r="DD4438">
        <v>0</v>
      </c>
      <c r="DE4438">
        <v>0</v>
      </c>
      <c r="DF4438">
        <v>0</v>
      </c>
      <c r="DG4438">
        <v>0</v>
      </c>
      <c r="DH4438">
        <v>0</v>
      </c>
      <c r="DI4438">
        <v>0</v>
      </c>
    </row>
    <row r="4439" spans="1:113" x14ac:dyDescent="0.25">
      <c r="A4439" t="str">
        <f t="shared" si="2494"/>
        <v>06/05/2020 15:00:00.588</v>
      </c>
      <c r="C4439" t="str">
        <f t="shared" si="2468"/>
        <v>FFDFD3C0</v>
      </c>
      <c r="D4439" t="s">
        <v>134</v>
      </c>
      <c r="E4439">
        <v>7</v>
      </c>
      <c r="F4439">
        <v>2007</v>
      </c>
      <c r="G4439" t="s">
        <v>135</v>
      </c>
      <c r="J4439" t="s">
        <v>136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 t="shared" si="2495"/>
        <v>15:00:06.211</v>
      </c>
      <c r="T4439" t="str">
        <f t="shared" si="2495"/>
        <v>15:00:06.211</v>
      </c>
      <c r="U4439" t="str">
        <f t="shared" si="2485"/>
        <v>ACC530</v>
      </c>
      <c r="V4439">
        <v>0</v>
      </c>
      <c r="W4439">
        <v>0</v>
      </c>
      <c r="X4439">
        <v>1</v>
      </c>
      <c r="Z4439">
        <v>0</v>
      </c>
      <c r="AA4439">
        <v>9</v>
      </c>
      <c r="AB4439">
        <v>3</v>
      </c>
      <c r="AC4439">
        <v>0</v>
      </c>
      <c r="AD4439">
        <v>9</v>
      </c>
      <c r="AE4439">
        <v>0</v>
      </c>
      <c r="AF4439">
        <v>3</v>
      </c>
      <c r="AG4439">
        <v>1</v>
      </c>
      <c r="AH4439">
        <v>0</v>
      </c>
      <c r="AI4439" t="s">
        <v>1389</v>
      </c>
      <c r="AJ4439">
        <v>34.073174000000002</v>
      </c>
      <c r="AK4439" t="s">
        <v>1071</v>
      </c>
      <c r="AL4439">
        <v>-117.043018</v>
      </c>
      <c r="AM4439">
        <v>100</v>
      </c>
      <c r="AN4439">
        <v>4900</v>
      </c>
      <c r="AO4439" t="s">
        <v>118</v>
      </c>
      <c r="AP4439">
        <v>-100</v>
      </c>
      <c r="AQ4439">
        <v>24</v>
      </c>
      <c r="AR4439">
        <v>-640</v>
      </c>
      <c r="AZ4439">
        <v>1200</v>
      </c>
      <c r="BA4439">
        <v>1</v>
      </c>
      <c r="BB4439" t="str">
        <f t="shared" si="2489"/>
        <v xml:space="preserve">N9217B  </v>
      </c>
      <c r="BC4439">
        <v>1</v>
      </c>
      <c r="BE4439">
        <v>0</v>
      </c>
      <c r="BF4439">
        <v>0</v>
      </c>
      <c r="BG4439">
        <v>0</v>
      </c>
      <c r="BH4439">
        <v>4700</v>
      </c>
      <c r="BI4439">
        <v>1</v>
      </c>
      <c r="BJ4439">
        <v>0</v>
      </c>
      <c r="BK4439">
        <v>0</v>
      </c>
      <c r="BL4439">
        <v>0</v>
      </c>
      <c r="BO4439">
        <v>0</v>
      </c>
      <c r="BP4439">
        <v>0</v>
      </c>
      <c r="BW4439" t="str">
        <f t="shared" si="2496"/>
        <v>15:00:06.213</v>
      </c>
      <c r="CJ4439">
        <v>0</v>
      </c>
      <c r="CK4439">
        <v>2</v>
      </c>
      <c r="CL4439">
        <v>0</v>
      </c>
      <c r="CM4439">
        <v>2</v>
      </c>
      <c r="CN4439">
        <v>0</v>
      </c>
      <c r="CO4439">
        <v>5</v>
      </c>
      <c r="CP4439" t="s">
        <v>119</v>
      </c>
      <c r="CQ4439">
        <v>298</v>
      </c>
      <c r="CR4439">
        <v>0</v>
      </c>
      <c r="CW4439">
        <v>10479765</v>
      </c>
      <c r="CY4439">
        <v>0</v>
      </c>
      <c r="CZ4439">
        <v>0</v>
      </c>
      <c r="DA4439">
        <v>1</v>
      </c>
      <c r="DB4439">
        <v>0</v>
      </c>
      <c r="DC4439">
        <v>0</v>
      </c>
      <c r="DD4439">
        <v>0</v>
      </c>
      <c r="DE4439">
        <v>0</v>
      </c>
      <c r="DF4439">
        <v>0</v>
      </c>
      <c r="DG4439">
        <v>0</v>
      </c>
      <c r="DH4439">
        <v>0</v>
      </c>
      <c r="DI4439">
        <v>0</v>
      </c>
    </row>
    <row r="4440" spans="1:113" x14ac:dyDescent="0.25">
      <c r="A4440" t="str">
        <f t="shared" ref="A4440:A4445" si="2497">"06/05/2020 15:00:01.457"</f>
        <v>06/05/2020 15:00:01.457</v>
      </c>
      <c r="C4440" t="str">
        <f t="shared" si="2468"/>
        <v>FFDFD3C0</v>
      </c>
      <c r="D4440" t="s">
        <v>148</v>
      </c>
      <c r="E4440">
        <v>8</v>
      </c>
      <c r="H4440">
        <v>50</v>
      </c>
      <c r="I4440" t="s">
        <v>149</v>
      </c>
      <c r="J4440" t="s">
        <v>150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 t="shared" ref="S4440:S4445" si="2498">"15:00:07.063"</f>
        <v>15:00:07.063</v>
      </c>
      <c r="T4440" t="str">
        <f t="shared" ref="T4440:T4445" si="2499">"15:00:06.763"</f>
        <v>15:00:06.763</v>
      </c>
      <c r="U4440" t="str">
        <f t="shared" si="2485"/>
        <v>ACC530</v>
      </c>
      <c r="V4440">
        <v>0</v>
      </c>
      <c r="W4440">
        <v>0</v>
      </c>
      <c r="X4440">
        <v>1</v>
      </c>
      <c r="Z4440">
        <v>0</v>
      </c>
      <c r="AA4440">
        <v>9</v>
      </c>
      <c r="AB4440">
        <v>3</v>
      </c>
      <c r="AC4440">
        <v>0</v>
      </c>
      <c r="AD4440">
        <v>9</v>
      </c>
      <c r="AE4440">
        <v>0</v>
      </c>
      <c r="AF4440">
        <v>3</v>
      </c>
      <c r="AG4440">
        <v>1</v>
      </c>
      <c r="AH4440">
        <v>0</v>
      </c>
      <c r="AI4440" t="s">
        <v>1390</v>
      </c>
      <c r="AJ4440">
        <v>34.073259999999998</v>
      </c>
      <c r="AK4440" t="s">
        <v>1391</v>
      </c>
      <c r="AL4440">
        <v>-117.043469</v>
      </c>
      <c r="AM4440">
        <v>100</v>
      </c>
      <c r="AN4440">
        <v>4900</v>
      </c>
      <c r="AO4440" t="s">
        <v>118</v>
      </c>
      <c r="AP4440">
        <v>-100</v>
      </c>
      <c r="AQ4440">
        <v>23</v>
      </c>
      <c r="AR4440">
        <v>-704</v>
      </c>
      <c r="AZ4440">
        <v>1200</v>
      </c>
      <c r="BA4440">
        <v>1</v>
      </c>
      <c r="BB4440" t="str">
        <f t="shared" si="2489"/>
        <v xml:space="preserve">N9217B  </v>
      </c>
      <c r="BC4440">
        <v>1</v>
      </c>
      <c r="BE4440">
        <v>0</v>
      </c>
      <c r="BF4440">
        <v>0</v>
      </c>
      <c r="BG4440">
        <v>0</v>
      </c>
      <c r="BH4440">
        <v>4675</v>
      </c>
      <c r="BI4440">
        <v>1</v>
      </c>
      <c r="BJ4440">
        <v>0</v>
      </c>
      <c r="BK4440">
        <v>0</v>
      </c>
      <c r="BL4440">
        <v>0</v>
      </c>
      <c r="BO4440">
        <v>0</v>
      </c>
      <c r="BP4440">
        <v>0</v>
      </c>
      <c r="BW4440" t="str">
        <f t="shared" ref="BW4440:BW4445" si="2500">"15:00:07.068"</f>
        <v>15:00:07.068</v>
      </c>
      <c r="CJ4440">
        <v>0</v>
      </c>
      <c r="CK4440">
        <v>2</v>
      </c>
      <c r="CL4440">
        <v>0</v>
      </c>
      <c r="CM4440">
        <v>2</v>
      </c>
      <c r="CN4440">
        <v>0</v>
      </c>
      <c r="CO4440">
        <v>2</v>
      </c>
      <c r="CP4440" t="s">
        <v>119</v>
      </c>
      <c r="CQ4440">
        <v>298</v>
      </c>
      <c r="CR4440">
        <v>1</v>
      </c>
      <c r="CW4440">
        <v>10479883</v>
      </c>
      <c r="CY4440">
        <v>0</v>
      </c>
      <c r="CZ4440">
        <v>0</v>
      </c>
      <c r="DA4440">
        <v>0</v>
      </c>
      <c r="DB4440">
        <v>0</v>
      </c>
      <c r="DC4440">
        <v>0</v>
      </c>
      <c r="DD4440">
        <v>0</v>
      </c>
      <c r="DE4440">
        <v>0</v>
      </c>
      <c r="DF4440">
        <v>0</v>
      </c>
      <c r="DG4440">
        <v>0</v>
      </c>
      <c r="DH4440">
        <v>0</v>
      </c>
      <c r="DI4440">
        <v>0</v>
      </c>
    </row>
    <row r="4441" spans="1:113" x14ac:dyDescent="0.25">
      <c r="A4441" t="str">
        <f t="shared" si="2497"/>
        <v>06/05/2020 15:00:01.457</v>
      </c>
      <c r="C4441" t="str">
        <f t="shared" si="2468"/>
        <v>FFDFD3C0</v>
      </c>
      <c r="D4441" t="s">
        <v>141</v>
      </c>
      <c r="E4441">
        <v>20</v>
      </c>
      <c r="F4441">
        <v>1020</v>
      </c>
      <c r="G4441" t="s">
        <v>114</v>
      </c>
      <c r="J4441" t="s">
        <v>142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 t="shared" si="2498"/>
        <v>15:00:07.063</v>
      </c>
      <c r="T4441" t="str">
        <f t="shared" si="2499"/>
        <v>15:00:06.763</v>
      </c>
      <c r="U4441" t="str">
        <f t="shared" si="2485"/>
        <v>ACC530</v>
      </c>
      <c r="V4441">
        <v>0</v>
      </c>
      <c r="W4441">
        <v>0</v>
      </c>
      <c r="X4441">
        <v>1</v>
      </c>
      <c r="Z4441">
        <v>0</v>
      </c>
      <c r="AA4441">
        <v>9</v>
      </c>
      <c r="AB4441">
        <v>3</v>
      </c>
      <c r="AC4441">
        <v>0</v>
      </c>
      <c r="AD4441">
        <v>9</v>
      </c>
      <c r="AE4441">
        <v>0</v>
      </c>
      <c r="AF4441">
        <v>3</v>
      </c>
      <c r="AG4441">
        <v>1</v>
      </c>
      <c r="AH4441">
        <v>0</v>
      </c>
      <c r="AI4441" t="s">
        <v>1390</v>
      </c>
      <c r="AJ4441">
        <v>34.073259999999998</v>
      </c>
      <c r="AK4441" t="s">
        <v>1391</v>
      </c>
      <c r="AL4441">
        <v>-117.043469</v>
      </c>
      <c r="AM4441">
        <v>100</v>
      </c>
      <c r="AN4441">
        <v>4900</v>
      </c>
      <c r="AO4441" t="s">
        <v>118</v>
      </c>
      <c r="AP4441">
        <v>-100</v>
      </c>
      <c r="AQ4441">
        <v>23</v>
      </c>
      <c r="AR4441">
        <v>-704</v>
      </c>
      <c r="AZ4441">
        <v>1200</v>
      </c>
      <c r="BA4441">
        <v>1</v>
      </c>
      <c r="BB4441" t="str">
        <f t="shared" si="2489"/>
        <v xml:space="preserve">N9217B  </v>
      </c>
      <c r="BC4441">
        <v>1</v>
      </c>
      <c r="BE4441">
        <v>0</v>
      </c>
      <c r="BF4441">
        <v>0</v>
      </c>
      <c r="BG4441">
        <v>0</v>
      </c>
      <c r="BH4441">
        <v>4675</v>
      </c>
      <c r="BI4441">
        <v>1</v>
      </c>
      <c r="BJ4441">
        <v>0</v>
      </c>
      <c r="BK4441">
        <v>0</v>
      </c>
      <c r="BL4441">
        <v>0</v>
      </c>
      <c r="BO4441">
        <v>0</v>
      </c>
      <c r="BP4441">
        <v>0</v>
      </c>
      <c r="BW4441" t="str">
        <f t="shared" si="2500"/>
        <v>15:00:07.068</v>
      </c>
      <c r="CJ4441">
        <v>0</v>
      </c>
      <c r="CK4441">
        <v>2</v>
      </c>
      <c r="CL4441">
        <v>0</v>
      </c>
      <c r="CM4441">
        <v>2</v>
      </c>
      <c r="CN4441">
        <v>0</v>
      </c>
      <c r="CO4441">
        <v>2</v>
      </c>
      <c r="CP4441" t="s">
        <v>119</v>
      </c>
      <c r="CQ4441">
        <v>298</v>
      </c>
      <c r="CR4441">
        <v>1</v>
      </c>
      <c r="CW4441">
        <v>10479883</v>
      </c>
      <c r="CY4441">
        <v>0</v>
      </c>
      <c r="CZ4441">
        <v>0</v>
      </c>
      <c r="DA4441">
        <v>1</v>
      </c>
      <c r="DB4441">
        <v>0</v>
      </c>
      <c r="DC4441">
        <v>0</v>
      </c>
      <c r="DD4441">
        <v>0</v>
      </c>
      <c r="DE4441">
        <v>0</v>
      </c>
      <c r="DF4441">
        <v>0</v>
      </c>
      <c r="DG4441">
        <v>0</v>
      </c>
      <c r="DH4441">
        <v>0</v>
      </c>
      <c r="DI4441">
        <v>0</v>
      </c>
    </row>
    <row r="4442" spans="1:113" x14ac:dyDescent="0.25">
      <c r="A4442" t="str">
        <f t="shared" si="2497"/>
        <v>06/05/2020 15:00:01.457</v>
      </c>
      <c r="C4442" t="str">
        <f t="shared" si="2468"/>
        <v>FFDFD3C0</v>
      </c>
      <c r="D4442" t="s">
        <v>113</v>
      </c>
      <c r="E4442">
        <v>3</v>
      </c>
      <c r="H4442">
        <v>166</v>
      </c>
      <c r="I4442" t="s">
        <v>114</v>
      </c>
      <c r="J4442" t="s">
        <v>115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 t="shared" si="2498"/>
        <v>15:00:07.063</v>
      </c>
      <c r="T4442" t="str">
        <f t="shared" si="2499"/>
        <v>15:00:06.763</v>
      </c>
      <c r="U4442" t="str">
        <f t="shared" si="2485"/>
        <v>ACC530</v>
      </c>
      <c r="V4442">
        <v>0</v>
      </c>
      <c r="W4442">
        <v>0</v>
      </c>
      <c r="X4442">
        <v>1</v>
      </c>
      <c r="Z4442">
        <v>0</v>
      </c>
      <c r="AA4442">
        <v>9</v>
      </c>
      <c r="AB4442">
        <v>3</v>
      </c>
      <c r="AC4442">
        <v>0</v>
      </c>
      <c r="AD4442">
        <v>9</v>
      </c>
      <c r="AE4442">
        <v>0</v>
      </c>
      <c r="AF4442">
        <v>3</v>
      </c>
      <c r="AG4442">
        <v>1</v>
      </c>
      <c r="AH4442">
        <v>0</v>
      </c>
      <c r="AI4442" t="s">
        <v>1390</v>
      </c>
      <c r="AJ4442">
        <v>34.073259999999998</v>
      </c>
      <c r="AK4442" t="s">
        <v>1391</v>
      </c>
      <c r="AL4442">
        <v>-117.043469</v>
      </c>
      <c r="AM4442">
        <v>100</v>
      </c>
      <c r="AN4442">
        <v>4900</v>
      </c>
      <c r="AO4442" t="s">
        <v>118</v>
      </c>
      <c r="AP4442">
        <v>-100</v>
      </c>
      <c r="AQ4442">
        <v>23</v>
      </c>
      <c r="AR4442">
        <v>-704</v>
      </c>
      <c r="AZ4442">
        <v>1200</v>
      </c>
      <c r="BA4442">
        <v>1</v>
      </c>
      <c r="BB4442" t="str">
        <f t="shared" si="2489"/>
        <v xml:space="preserve">N9217B  </v>
      </c>
      <c r="BC4442">
        <v>1</v>
      </c>
      <c r="BE4442">
        <v>0</v>
      </c>
      <c r="BF4442">
        <v>0</v>
      </c>
      <c r="BG4442">
        <v>0</v>
      </c>
      <c r="BH4442">
        <v>4675</v>
      </c>
      <c r="BI4442">
        <v>1</v>
      </c>
      <c r="BJ4442">
        <v>0</v>
      </c>
      <c r="BK4442">
        <v>0</v>
      </c>
      <c r="BL4442">
        <v>0</v>
      </c>
      <c r="BO4442">
        <v>0</v>
      </c>
      <c r="BP4442">
        <v>0</v>
      </c>
      <c r="BW4442" t="str">
        <f t="shared" si="2500"/>
        <v>15:00:07.068</v>
      </c>
      <c r="CJ4442">
        <v>0</v>
      </c>
      <c r="CK4442">
        <v>2</v>
      </c>
      <c r="CL4442">
        <v>0</v>
      </c>
      <c r="CM4442">
        <v>2</v>
      </c>
      <c r="CN4442">
        <v>0</v>
      </c>
      <c r="CO4442">
        <v>2</v>
      </c>
      <c r="CP4442" t="s">
        <v>119</v>
      </c>
      <c r="CQ4442">
        <v>298</v>
      </c>
      <c r="CR4442">
        <v>1</v>
      </c>
      <c r="CW4442">
        <v>10479883</v>
      </c>
      <c r="CY4442">
        <v>0</v>
      </c>
      <c r="CZ4442">
        <v>0</v>
      </c>
      <c r="DA4442">
        <v>1</v>
      </c>
      <c r="DB4442">
        <v>0</v>
      </c>
      <c r="DC4442">
        <v>0</v>
      </c>
      <c r="DD4442">
        <v>0</v>
      </c>
      <c r="DE4442">
        <v>0</v>
      </c>
      <c r="DF4442">
        <v>0</v>
      </c>
      <c r="DG4442">
        <v>0</v>
      </c>
      <c r="DH4442">
        <v>0</v>
      </c>
      <c r="DI4442">
        <v>0</v>
      </c>
    </row>
    <row r="4443" spans="1:113" x14ac:dyDescent="0.25">
      <c r="A4443" t="str">
        <f t="shared" si="2497"/>
        <v>06/05/2020 15:00:01.457</v>
      </c>
      <c r="C4443" t="str">
        <f t="shared" si="2468"/>
        <v>FFDFD3C0</v>
      </c>
      <c r="D4443" t="s">
        <v>151</v>
      </c>
      <c r="E4443">
        <v>8</v>
      </c>
      <c r="H4443">
        <v>225</v>
      </c>
      <c r="I4443" t="s">
        <v>353</v>
      </c>
      <c r="J4443" t="s">
        <v>150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 t="shared" si="2498"/>
        <v>15:00:07.063</v>
      </c>
      <c r="T4443" t="str">
        <f t="shared" si="2499"/>
        <v>15:00:06.763</v>
      </c>
      <c r="U4443" t="str">
        <f t="shared" si="2485"/>
        <v>ACC530</v>
      </c>
      <c r="V4443">
        <v>0</v>
      </c>
      <c r="W4443">
        <v>0</v>
      </c>
      <c r="X4443">
        <v>1</v>
      </c>
      <c r="Z4443">
        <v>0</v>
      </c>
      <c r="AA4443">
        <v>9</v>
      </c>
      <c r="AB4443">
        <v>3</v>
      </c>
      <c r="AC4443">
        <v>0</v>
      </c>
      <c r="AD4443">
        <v>9</v>
      </c>
      <c r="AE4443">
        <v>0</v>
      </c>
      <c r="AF4443">
        <v>3</v>
      </c>
      <c r="AG4443">
        <v>1</v>
      </c>
      <c r="AH4443">
        <v>0</v>
      </c>
      <c r="AI4443" t="s">
        <v>1390</v>
      </c>
      <c r="AJ4443">
        <v>34.073259999999998</v>
      </c>
      <c r="AK4443" t="s">
        <v>1391</v>
      </c>
      <c r="AL4443">
        <v>-117.043469</v>
      </c>
      <c r="AM4443">
        <v>100</v>
      </c>
      <c r="AN4443">
        <v>4900</v>
      </c>
      <c r="AO4443" t="s">
        <v>118</v>
      </c>
      <c r="AP4443">
        <v>-100</v>
      </c>
      <c r="AQ4443">
        <v>23</v>
      </c>
      <c r="AR4443">
        <v>-704</v>
      </c>
      <c r="AZ4443">
        <v>1200</v>
      </c>
      <c r="BA4443">
        <v>1</v>
      </c>
      <c r="BB4443" t="str">
        <f t="shared" si="2489"/>
        <v xml:space="preserve">N9217B  </v>
      </c>
      <c r="BC4443">
        <v>1</v>
      </c>
      <c r="BE4443">
        <v>0</v>
      </c>
      <c r="BF4443">
        <v>0</v>
      </c>
      <c r="BG4443">
        <v>0</v>
      </c>
      <c r="BH4443">
        <v>4675</v>
      </c>
      <c r="BI4443">
        <v>1</v>
      </c>
      <c r="BJ4443">
        <v>0</v>
      </c>
      <c r="BK4443">
        <v>0</v>
      </c>
      <c r="BL4443">
        <v>0</v>
      </c>
      <c r="BO4443">
        <v>0</v>
      </c>
      <c r="BP4443">
        <v>0</v>
      </c>
      <c r="BW4443" t="str">
        <f t="shared" si="2500"/>
        <v>15:00:07.068</v>
      </c>
      <c r="CJ4443">
        <v>0</v>
      </c>
      <c r="CK4443">
        <v>2</v>
      </c>
      <c r="CL4443">
        <v>0</v>
      </c>
      <c r="CM4443">
        <v>2</v>
      </c>
      <c r="CN4443">
        <v>0</v>
      </c>
      <c r="CO4443">
        <v>2</v>
      </c>
      <c r="CP4443" t="s">
        <v>119</v>
      </c>
      <c r="CQ4443">
        <v>298</v>
      </c>
      <c r="CR4443">
        <v>1</v>
      </c>
      <c r="CW4443">
        <v>10479883</v>
      </c>
      <c r="CY4443">
        <v>0</v>
      </c>
      <c r="CZ4443">
        <v>0</v>
      </c>
      <c r="DA4443">
        <v>1</v>
      </c>
      <c r="DB4443">
        <v>0</v>
      </c>
      <c r="DC4443">
        <v>0</v>
      </c>
      <c r="DD4443">
        <v>0</v>
      </c>
      <c r="DE4443">
        <v>0</v>
      </c>
      <c r="DF4443">
        <v>0</v>
      </c>
      <c r="DG4443">
        <v>0</v>
      </c>
      <c r="DH4443">
        <v>0</v>
      </c>
      <c r="DI4443">
        <v>0</v>
      </c>
    </row>
    <row r="4444" spans="1:113" x14ac:dyDescent="0.25">
      <c r="A4444" t="str">
        <f t="shared" si="2497"/>
        <v>06/05/2020 15:00:01.457</v>
      </c>
      <c r="C4444" t="str">
        <f t="shared" si="2468"/>
        <v>FFDFD3C0</v>
      </c>
      <c r="D4444" t="s">
        <v>134</v>
      </c>
      <c r="E4444">
        <v>7</v>
      </c>
      <c r="F4444">
        <v>2007</v>
      </c>
      <c r="G4444" t="s">
        <v>135</v>
      </c>
      <c r="J4444" t="s">
        <v>136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 t="shared" si="2498"/>
        <v>15:00:07.063</v>
      </c>
      <c r="T4444" t="str">
        <f t="shared" si="2499"/>
        <v>15:00:06.763</v>
      </c>
      <c r="U4444" t="str">
        <f t="shared" si="2485"/>
        <v>ACC530</v>
      </c>
      <c r="V4444">
        <v>0</v>
      </c>
      <c r="W4444">
        <v>0</v>
      </c>
      <c r="X4444">
        <v>1</v>
      </c>
      <c r="Z4444">
        <v>0</v>
      </c>
      <c r="AA4444">
        <v>9</v>
      </c>
      <c r="AB4444">
        <v>3</v>
      </c>
      <c r="AC4444">
        <v>0</v>
      </c>
      <c r="AD4444">
        <v>9</v>
      </c>
      <c r="AE4444">
        <v>0</v>
      </c>
      <c r="AF4444">
        <v>3</v>
      </c>
      <c r="AG4444">
        <v>1</v>
      </c>
      <c r="AH4444">
        <v>0</v>
      </c>
      <c r="AI4444" t="s">
        <v>1390</v>
      </c>
      <c r="AJ4444">
        <v>34.073259999999998</v>
      </c>
      <c r="AK4444" t="s">
        <v>1391</v>
      </c>
      <c r="AL4444">
        <v>-117.043469</v>
      </c>
      <c r="AM4444">
        <v>100</v>
      </c>
      <c r="AN4444">
        <v>4900</v>
      </c>
      <c r="AO4444" t="s">
        <v>118</v>
      </c>
      <c r="AP4444">
        <v>-100</v>
      </c>
      <c r="AQ4444">
        <v>23</v>
      </c>
      <c r="AR4444">
        <v>-704</v>
      </c>
      <c r="AZ4444">
        <v>1200</v>
      </c>
      <c r="BA4444">
        <v>1</v>
      </c>
      <c r="BB4444" t="str">
        <f t="shared" si="2489"/>
        <v xml:space="preserve">N9217B  </v>
      </c>
      <c r="BC4444">
        <v>1</v>
      </c>
      <c r="BE4444">
        <v>0</v>
      </c>
      <c r="BF4444">
        <v>0</v>
      </c>
      <c r="BG4444">
        <v>0</v>
      </c>
      <c r="BH4444">
        <v>4675</v>
      </c>
      <c r="BI4444">
        <v>1</v>
      </c>
      <c r="BJ4444">
        <v>0</v>
      </c>
      <c r="BK4444">
        <v>0</v>
      </c>
      <c r="BL4444">
        <v>0</v>
      </c>
      <c r="BO4444">
        <v>0</v>
      </c>
      <c r="BP4444">
        <v>0</v>
      </c>
      <c r="BW4444" t="str">
        <f t="shared" si="2500"/>
        <v>15:00:07.068</v>
      </c>
      <c r="CJ4444">
        <v>0</v>
      </c>
      <c r="CK4444">
        <v>2</v>
      </c>
      <c r="CL4444">
        <v>0</v>
      </c>
      <c r="CM4444">
        <v>2</v>
      </c>
      <c r="CN4444">
        <v>0</v>
      </c>
      <c r="CO4444">
        <v>2</v>
      </c>
      <c r="CP4444" t="s">
        <v>119</v>
      </c>
      <c r="CQ4444">
        <v>298</v>
      </c>
      <c r="CR4444">
        <v>1</v>
      </c>
      <c r="CW4444">
        <v>10479883</v>
      </c>
      <c r="CY4444">
        <v>0</v>
      </c>
      <c r="CZ4444">
        <v>0</v>
      </c>
      <c r="DA4444">
        <v>1</v>
      </c>
      <c r="DB4444">
        <v>0</v>
      </c>
      <c r="DC4444">
        <v>0</v>
      </c>
      <c r="DD4444">
        <v>0</v>
      </c>
      <c r="DE4444">
        <v>0</v>
      </c>
      <c r="DF4444">
        <v>0</v>
      </c>
      <c r="DG4444">
        <v>0</v>
      </c>
      <c r="DH4444">
        <v>0</v>
      </c>
      <c r="DI4444">
        <v>0</v>
      </c>
    </row>
    <row r="4445" spans="1:113" x14ac:dyDescent="0.25">
      <c r="A4445" t="str">
        <f t="shared" si="2497"/>
        <v>06/05/2020 15:00:01.457</v>
      </c>
      <c r="C4445" t="str">
        <f t="shared" si="2468"/>
        <v>FFDFD3C0</v>
      </c>
      <c r="D4445" t="s">
        <v>148</v>
      </c>
      <c r="E4445">
        <v>11</v>
      </c>
      <c r="H4445">
        <v>53</v>
      </c>
      <c r="I4445" t="s">
        <v>364</v>
      </c>
      <c r="J4445" t="s">
        <v>150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 t="shared" si="2498"/>
        <v>15:00:07.063</v>
      </c>
      <c r="T4445" t="str">
        <f t="shared" si="2499"/>
        <v>15:00:06.763</v>
      </c>
      <c r="U4445" t="str">
        <f t="shared" si="2485"/>
        <v>ACC530</v>
      </c>
      <c r="V4445">
        <v>0</v>
      </c>
      <c r="W4445">
        <v>0</v>
      </c>
      <c r="X4445">
        <v>1</v>
      </c>
      <c r="Z4445">
        <v>0</v>
      </c>
      <c r="AA4445">
        <v>9</v>
      </c>
      <c r="AB4445">
        <v>3</v>
      </c>
      <c r="AC4445">
        <v>0</v>
      </c>
      <c r="AD4445">
        <v>9</v>
      </c>
      <c r="AE4445">
        <v>0</v>
      </c>
      <c r="AF4445">
        <v>3</v>
      </c>
      <c r="AG4445">
        <v>1</v>
      </c>
      <c r="AH4445">
        <v>0</v>
      </c>
      <c r="AI4445" t="s">
        <v>1390</v>
      </c>
      <c r="AJ4445">
        <v>34.073259999999998</v>
      </c>
      <c r="AK4445" t="s">
        <v>1391</v>
      </c>
      <c r="AL4445">
        <v>-117.043469</v>
      </c>
      <c r="AM4445">
        <v>100</v>
      </c>
      <c r="AN4445">
        <v>4900</v>
      </c>
      <c r="AO4445" t="s">
        <v>118</v>
      </c>
      <c r="AP4445">
        <v>-100</v>
      </c>
      <c r="AQ4445">
        <v>23</v>
      </c>
      <c r="AR4445">
        <v>-704</v>
      </c>
      <c r="AZ4445">
        <v>1200</v>
      </c>
      <c r="BA4445">
        <v>1</v>
      </c>
      <c r="BB4445" t="str">
        <f t="shared" si="2489"/>
        <v xml:space="preserve">N9217B  </v>
      </c>
      <c r="BC4445">
        <v>1</v>
      </c>
      <c r="BE4445">
        <v>0</v>
      </c>
      <c r="BF4445">
        <v>0</v>
      </c>
      <c r="BG4445">
        <v>0</v>
      </c>
      <c r="BH4445">
        <v>4675</v>
      </c>
      <c r="BI4445">
        <v>1</v>
      </c>
      <c r="BJ4445">
        <v>0</v>
      </c>
      <c r="BK4445">
        <v>0</v>
      </c>
      <c r="BL4445">
        <v>0</v>
      </c>
      <c r="BO4445">
        <v>0</v>
      </c>
      <c r="BP4445">
        <v>0</v>
      </c>
      <c r="BW4445" t="str">
        <f t="shared" si="2500"/>
        <v>15:00:07.068</v>
      </c>
      <c r="CJ4445">
        <v>0</v>
      </c>
      <c r="CK4445">
        <v>2</v>
      </c>
      <c r="CL4445">
        <v>0</v>
      </c>
      <c r="CM4445">
        <v>2</v>
      </c>
      <c r="CN4445">
        <v>0</v>
      </c>
      <c r="CO4445">
        <v>2</v>
      </c>
      <c r="CP4445" t="s">
        <v>119</v>
      </c>
      <c r="CQ4445">
        <v>298</v>
      </c>
      <c r="CR4445">
        <v>1</v>
      </c>
      <c r="CW4445">
        <v>10479883</v>
      </c>
      <c r="CY4445">
        <v>0</v>
      </c>
      <c r="CZ4445">
        <v>0</v>
      </c>
      <c r="DA4445">
        <v>1</v>
      </c>
      <c r="DB4445">
        <v>0</v>
      </c>
      <c r="DC4445">
        <v>0</v>
      </c>
      <c r="DD4445">
        <v>0</v>
      </c>
      <c r="DE4445">
        <v>0</v>
      </c>
      <c r="DF4445">
        <v>0</v>
      </c>
      <c r="DG4445">
        <v>0</v>
      </c>
      <c r="DH4445">
        <v>0</v>
      </c>
      <c r="DI4445">
        <v>0</v>
      </c>
    </row>
    <row r="4446" spans="1:113" x14ac:dyDescent="0.25">
      <c r="A4446" t="str">
        <f t="shared" ref="A4446:A4452" si="2501">"06/05/2020 15:00:02.908"</f>
        <v>06/05/2020 15:00:02.908</v>
      </c>
      <c r="C4446" t="str">
        <f t="shared" si="2468"/>
        <v>FFDFD3C0</v>
      </c>
      <c r="D4446" t="s">
        <v>134</v>
      </c>
      <c r="E4446">
        <v>7</v>
      </c>
      <c r="F4446">
        <v>2007</v>
      </c>
      <c r="G4446" t="s">
        <v>135</v>
      </c>
      <c r="J4446" t="s">
        <v>136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 t="shared" ref="S4446:S4452" si="2502">"15:00:08.516"</f>
        <v>15:00:08.516</v>
      </c>
      <c r="T4446" t="str">
        <f t="shared" ref="T4446:T4452" si="2503">"15:00:08.216"</f>
        <v>15:00:08.216</v>
      </c>
      <c r="U4446" t="str">
        <f t="shared" si="2485"/>
        <v>ACC530</v>
      </c>
      <c r="V4446">
        <v>0</v>
      </c>
      <c r="W4446">
        <v>0</v>
      </c>
      <c r="X4446">
        <v>1</v>
      </c>
      <c r="Z4446">
        <v>0</v>
      </c>
      <c r="AA4446">
        <v>9</v>
      </c>
      <c r="AB4446">
        <v>3</v>
      </c>
      <c r="AC4446">
        <v>0</v>
      </c>
      <c r="AD4446">
        <v>9</v>
      </c>
      <c r="AE4446">
        <v>0</v>
      </c>
      <c r="AF4446">
        <v>3</v>
      </c>
      <c r="AG4446">
        <v>1</v>
      </c>
      <c r="AH4446">
        <v>0</v>
      </c>
      <c r="AI4446" t="s">
        <v>1392</v>
      </c>
      <c r="AJ4446">
        <v>34.073410000000003</v>
      </c>
      <c r="AK4446" t="s">
        <v>1393</v>
      </c>
      <c r="AL4446">
        <v>-117.044241</v>
      </c>
      <c r="AM4446">
        <v>100</v>
      </c>
      <c r="AN4446">
        <v>4900</v>
      </c>
      <c r="AO4446" t="s">
        <v>118</v>
      </c>
      <c r="AP4446">
        <v>-99</v>
      </c>
      <c r="AQ4446">
        <v>23</v>
      </c>
      <c r="AR4446">
        <v>-832</v>
      </c>
      <c r="AZ4446">
        <v>1200</v>
      </c>
      <c r="BA4446">
        <v>1</v>
      </c>
      <c r="BB4446" t="str">
        <f t="shared" si="2489"/>
        <v xml:space="preserve">N9217B  </v>
      </c>
      <c r="BC4446">
        <v>1</v>
      </c>
      <c r="BE4446">
        <v>0</v>
      </c>
      <c r="BF4446">
        <v>0</v>
      </c>
      <c r="BG4446">
        <v>0</v>
      </c>
      <c r="BH4446">
        <v>4775</v>
      </c>
      <c r="BI4446">
        <v>1</v>
      </c>
      <c r="BJ4446">
        <v>0</v>
      </c>
      <c r="BK4446">
        <v>0</v>
      </c>
      <c r="BL4446">
        <v>0</v>
      </c>
      <c r="BO4446">
        <v>0</v>
      </c>
      <c r="BP4446">
        <v>0</v>
      </c>
      <c r="BW4446" t="str">
        <f>"15:00:08.523"</f>
        <v>15:00:08.523</v>
      </c>
      <c r="CJ4446">
        <v>0</v>
      </c>
      <c r="CK4446">
        <v>2</v>
      </c>
      <c r="CL4446">
        <v>0</v>
      </c>
      <c r="CM4446">
        <v>2</v>
      </c>
      <c r="CN4446">
        <v>0</v>
      </c>
      <c r="CO4446">
        <v>5</v>
      </c>
      <c r="CP4446" t="s">
        <v>119</v>
      </c>
      <c r="CQ4446">
        <v>298</v>
      </c>
      <c r="CR4446">
        <v>0</v>
      </c>
      <c r="CW4446">
        <v>10480077</v>
      </c>
      <c r="CY4446">
        <v>0</v>
      </c>
      <c r="CZ4446">
        <v>0</v>
      </c>
      <c r="DA4446">
        <v>0</v>
      </c>
      <c r="DB4446">
        <v>0</v>
      </c>
      <c r="DC4446">
        <v>0</v>
      </c>
      <c r="DD4446">
        <v>0</v>
      </c>
      <c r="DE4446">
        <v>0</v>
      </c>
      <c r="DF4446">
        <v>0</v>
      </c>
      <c r="DG4446">
        <v>0</v>
      </c>
      <c r="DH4446">
        <v>0</v>
      </c>
      <c r="DI4446">
        <v>0</v>
      </c>
    </row>
    <row r="4447" spans="1:113" x14ac:dyDescent="0.25">
      <c r="A4447" t="str">
        <f t="shared" si="2501"/>
        <v>06/05/2020 15:00:02.908</v>
      </c>
      <c r="C4447" t="str">
        <f t="shared" si="2468"/>
        <v>FFDFD3C0</v>
      </c>
      <c r="D4447" t="s">
        <v>151</v>
      </c>
      <c r="E4447">
        <v>8</v>
      </c>
      <c r="H4447">
        <v>225</v>
      </c>
      <c r="I4447" t="s">
        <v>353</v>
      </c>
      <c r="J4447" t="s">
        <v>150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 t="shared" si="2502"/>
        <v>15:00:08.516</v>
      </c>
      <c r="T4447" t="str">
        <f t="shared" si="2503"/>
        <v>15:00:08.216</v>
      </c>
      <c r="U4447" t="str">
        <f t="shared" si="2485"/>
        <v>ACC530</v>
      </c>
      <c r="V4447">
        <v>0</v>
      </c>
      <c r="W4447">
        <v>0</v>
      </c>
      <c r="X4447">
        <v>1</v>
      </c>
      <c r="Z4447">
        <v>0</v>
      </c>
      <c r="AA4447">
        <v>9</v>
      </c>
      <c r="AB4447">
        <v>3</v>
      </c>
      <c r="AC4447">
        <v>0</v>
      </c>
      <c r="AD4447">
        <v>9</v>
      </c>
      <c r="AE4447">
        <v>0</v>
      </c>
      <c r="AF4447">
        <v>3</v>
      </c>
      <c r="AG4447">
        <v>1</v>
      </c>
      <c r="AH4447">
        <v>0</v>
      </c>
      <c r="AI4447" t="s">
        <v>1392</v>
      </c>
      <c r="AJ4447">
        <v>34.073410000000003</v>
      </c>
      <c r="AK4447" t="s">
        <v>1393</v>
      </c>
      <c r="AL4447">
        <v>-117.044241</v>
      </c>
      <c r="AM4447">
        <v>100</v>
      </c>
      <c r="AN4447">
        <v>4900</v>
      </c>
      <c r="AO4447" t="s">
        <v>118</v>
      </c>
      <c r="AP4447">
        <v>-99</v>
      </c>
      <c r="AQ4447">
        <v>23</v>
      </c>
      <c r="AR4447">
        <v>-832</v>
      </c>
      <c r="AZ4447">
        <v>1200</v>
      </c>
      <c r="BA4447">
        <v>1</v>
      </c>
      <c r="BB4447" t="str">
        <f t="shared" si="2489"/>
        <v xml:space="preserve">N9217B  </v>
      </c>
      <c r="BC4447">
        <v>1</v>
      </c>
      <c r="BE4447">
        <v>0</v>
      </c>
      <c r="BF4447">
        <v>0</v>
      </c>
      <c r="BG4447">
        <v>0</v>
      </c>
      <c r="BH4447">
        <v>4775</v>
      </c>
      <c r="BI4447">
        <v>1</v>
      </c>
      <c r="BJ4447">
        <v>0</v>
      </c>
      <c r="BK4447">
        <v>0</v>
      </c>
      <c r="BL4447">
        <v>0</v>
      </c>
      <c r="BO4447">
        <v>0</v>
      </c>
      <c r="BP4447">
        <v>0</v>
      </c>
      <c r="BW4447" t="str">
        <f>"15:00:08.523"</f>
        <v>15:00:08.523</v>
      </c>
      <c r="CJ4447">
        <v>0</v>
      </c>
      <c r="CK4447">
        <v>2</v>
      </c>
      <c r="CL4447">
        <v>0</v>
      </c>
      <c r="CM4447">
        <v>2</v>
      </c>
      <c r="CN4447">
        <v>0</v>
      </c>
      <c r="CO4447">
        <v>5</v>
      </c>
      <c r="CP4447" t="s">
        <v>119</v>
      </c>
      <c r="CQ4447">
        <v>298</v>
      </c>
      <c r="CR4447">
        <v>0</v>
      </c>
      <c r="CW4447">
        <v>10480077</v>
      </c>
      <c r="CY4447">
        <v>0</v>
      </c>
      <c r="CZ4447">
        <v>0</v>
      </c>
      <c r="DA4447">
        <v>1</v>
      </c>
      <c r="DB4447">
        <v>0</v>
      </c>
      <c r="DC4447">
        <v>0</v>
      </c>
      <c r="DD4447">
        <v>0</v>
      </c>
      <c r="DE4447">
        <v>0</v>
      </c>
      <c r="DF4447">
        <v>0</v>
      </c>
      <c r="DG4447">
        <v>0</v>
      </c>
      <c r="DH4447">
        <v>0</v>
      </c>
      <c r="DI4447">
        <v>0</v>
      </c>
    </row>
    <row r="4448" spans="1:113" x14ac:dyDescent="0.25">
      <c r="A4448" t="str">
        <f t="shared" si="2501"/>
        <v>06/05/2020 15:00:02.908</v>
      </c>
      <c r="C4448" t="str">
        <f t="shared" si="2468"/>
        <v>FFDFD3C0</v>
      </c>
      <c r="D4448" t="s">
        <v>148</v>
      </c>
      <c r="E4448">
        <v>11</v>
      </c>
      <c r="H4448">
        <v>53</v>
      </c>
      <c r="I4448" t="s">
        <v>364</v>
      </c>
      <c r="J4448" t="s">
        <v>150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 t="shared" si="2502"/>
        <v>15:00:08.516</v>
      </c>
      <c r="T4448" t="str">
        <f t="shared" si="2503"/>
        <v>15:00:08.216</v>
      </c>
      <c r="U4448" t="str">
        <f t="shared" si="2485"/>
        <v>ACC530</v>
      </c>
      <c r="V4448">
        <v>0</v>
      </c>
      <c r="W4448">
        <v>0</v>
      </c>
      <c r="X4448">
        <v>1</v>
      </c>
      <c r="Z4448">
        <v>0</v>
      </c>
      <c r="AA4448">
        <v>9</v>
      </c>
      <c r="AB4448">
        <v>3</v>
      </c>
      <c r="AC4448">
        <v>0</v>
      </c>
      <c r="AD4448">
        <v>9</v>
      </c>
      <c r="AE4448">
        <v>0</v>
      </c>
      <c r="AF4448">
        <v>3</v>
      </c>
      <c r="AG4448">
        <v>1</v>
      </c>
      <c r="AH4448">
        <v>0</v>
      </c>
      <c r="AI4448" t="s">
        <v>1392</v>
      </c>
      <c r="AJ4448">
        <v>34.073410000000003</v>
      </c>
      <c r="AK4448" t="s">
        <v>1393</v>
      </c>
      <c r="AL4448">
        <v>-117.044241</v>
      </c>
      <c r="AM4448">
        <v>100</v>
      </c>
      <c r="AN4448">
        <v>4900</v>
      </c>
      <c r="AO4448" t="s">
        <v>118</v>
      </c>
      <c r="AP4448">
        <v>-99</v>
      </c>
      <c r="AQ4448">
        <v>23</v>
      </c>
      <c r="AR4448">
        <v>-832</v>
      </c>
      <c r="AZ4448">
        <v>1200</v>
      </c>
      <c r="BA4448">
        <v>1</v>
      </c>
      <c r="BB4448" t="str">
        <f t="shared" si="2489"/>
        <v xml:space="preserve">N9217B  </v>
      </c>
      <c r="BC4448">
        <v>1</v>
      </c>
      <c r="BE4448">
        <v>0</v>
      </c>
      <c r="BF4448">
        <v>0</v>
      </c>
      <c r="BG4448">
        <v>0</v>
      </c>
      <c r="BH4448">
        <v>4775</v>
      </c>
      <c r="BI4448">
        <v>1</v>
      </c>
      <c r="BJ4448">
        <v>0</v>
      </c>
      <c r="BK4448">
        <v>0</v>
      </c>
      <c r="BL4448">
        <v>0</v>
      </c>
      <c r="BO4448">
        <v>0</v>
      </c>
      <c r="BP4448">
        <v>0</v>
      </c>
      <c r="BW4448" t="str">
        <f>"15:00:08.523"</f>
        <v>15:00:08.523</v>
      </c>
      <c r="CJ4448">
        <v>0</v>
      </c>
      <c r="CK4448">
        <v>2</v>
      </c>
      <c r="CL4448">
        <v>0</v>
      </c>
      <c r="CM4448">
        <v>2</v>
      </c>
      <c r="CN4448">
        <v>0</v>
      </c>
      <c r="CO4448">
        <v>5</v>
      </c>
      <c r="CP4448" t="s">
        <v>119</v>
      </c>
      <c r="CQ4448">
        <v>298</v>
      </c>
      <c r="CR4448">
        <v>0</v>
      </c>
      <c r="CW4448">
        <v>10480077</v>
      </c>
      <c r="CY4448">
        <v>0</v>
      </c>
      <c r="CZ4448">
        <v>0</v>
      </c>
      <c r="DA4448">
        <v>1</v>
      </c>
      <c r="DB4448">
        <v>0</v>
      </c>
      <c r="DC4448">
        <v>0</v>
      </c>
      <c r="DD4448">
        <v>0</v>
      </c>
      <c r="DE4448">
        <v>0</v>
      </c>
      <c r="DF4448">
        <v>0</v>
      </c>
      <c r="DG4448">
        <v>0</v>
      </c>
      <c r="DH4448">
        <v>0</v>
      </c>
      <c r="DI4448">
        <v>0</v>
      </c>
    </row>
    <row r="4449" spans="1:113" x14ac:dyDescent="0.25">
      <c r="A4449" t="str">
        <f t="shared" si="2501"/>
        <v>06/05/2020 15:00:02.908</v>
      </c>
      <c r="C4449" t="str">
        <f t="shared" si="2468"/>
        <v>FFDFD3C0</v>
      </c>
      <c r="D4449" t="s">
        <v>148</v>
      </c>
      <c r="E4449">
        <v>8</v>
      </c>
      <c r="H4449">
        <v>50</v>
      </c>
      <c r="I4449" t="s">
        <v>149</v>
      </c>
      <c r="J4449" t="s">
        <v>150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 t="shared" si="2502"/>
        <v>15:00:08.516</v>
      </c>
      <c r="T4449" t="str">
        <f t="shared" si="2503"/>
        <v>15:00:08.216</v>
      </c>
      <c r="U4449" t="str">
        <f t="shared" si="2485"/>
        <v>ACC530</v>
      </c>
      <c r="V4449">
        <v>0</v>
      </c>
      <c r="W4449">
        <v>0</v>
      </c>
      <c r="X4449">
        <v>1</v>
      </c>
      <c r="Z4449">
        <v>0</v>
      </c>
      <c r="AA4449">
        <v>9</v>
      </c>
      <c r="AB4449">
        <v>3</v>
      </c>
      <c r="AC4449">
        <v>0</v>
      </c>
      <c r="AD4449">
        <v>9</v>
      </c>
      <c r="AE4449">
        <v>0</v>
      </c>
      <c r="AF4449">
        <v>3</v>
      </c>
      <c r="AG4449">
        <v>1</v>
      </c>
      <c r="AH4449">
        <v>0</v>
      </c>
      <c r="AI4449" t="s">
        <v>1392</v>
      </c>
      <c r="AJ4449">
        <v>34.073410000000003</v>
      </c>
      <c r="AK4449" t="s">
        <v>1393</v>
      </c>
      <c r="AL4449">
        <v>-117.044241</v>
      </c>
      <c r="AM4449">
        <v>100</v>
      </c>
      <c r="AN4449">
        <v>4900</v>
      </c>
      <c r="AO4449" t="s">
        <v>118</v>
      </c>
      <c r="AP4449">
        <v>-99</v>
      </c>
      <c r="AQ4449">
        <v>23</v>
      </c>
      <c r="AR4449">
        <v>-832</v>
      </c>
      <c r="AZ4449">
        <v>1200</v>
      </c>
      <c r="BA4449">
        <v>1</v>
      </c>
      <c r="BB4449" t="str">
        <f t="shared" si="2489"/>
        <v xml:space="preserve">N9217B  </v>
      </c>
      <c r="BC4449">
        <v>1</v>
      </c>
      <c r="BE4449">
        <v>0</v>
      </c>
      <c r="BF4449">
        <v>0</v>
      </c>
      <c r="BG4449">
        <v>0</v>
      </c>
      <c r="BH4449">
        <v>4775</v>
      </c>
      <c r="BI4449">
        <v>1</v>
      </c>
      <c r="BJ4449">
        <v>0</v>
      </c>
      <c r="BK4449">
        <v>0</v>
      </c>
      <c r="BL4449">
        <v>0</v>
      </c>
      <c r="BO4449">
        <v>0</v>
      </c>
      <c r="BP4449">
        <v>0</v>
      </c>
      <c r="BW4449" t="str">
        <f>"15:00:08.523"</f>
        <v>15:00:08.523</v>
      </c>
      <c r="CJ4449">
        <v>0</v>
      </c>
      <c r="CK4449">
        <v>2</v>
      </c>
      <c r="CL4449">
        <v>0</v>
      </c>
      <c r="CM4449">
        <v>2</v>
      </c>
      <c r="CN4449">
        <v>0</v>
      </c>
      <c r="CO4449">
        <v>5</v>
      </c>
      <c r="CP4449" t="s">
        <v>119</v>
      </c>
      <c r="CQ4449">
        <v>298</v>
      </c>
      <c r="CR4449">
        <v>0</v>
      </c>
      <c r="CW4449">
        <v>10480077</v>
      </c>
      <c r="CY4449">
        <v>0</v>
      </c>
      <c r="CZ4449">
        <v>0</v>
      </c>
      <c r="DA4449">
        <v>1</v>
      </c>
      <c r="DB4449">
        <v>0</v>
      </c>
      <c r="DC4449">
        <v>0</v>
      </c>
      <c r="DD4449">
        <v>0</v>
      </c>
      <c r="DE4449">
        <v>0</v>
      </c>
      <c r="DF4449">
        <v>0</v>
      </c>
      <c r="DG4449">
        <v>0</v>
      </c>
      <c r="DH4449">
        <v>0</v>
      </c>
      <c r="DI4449">
        <v>0</v>
      </c>
    </row>
    <row r="4450" spans="1:113" x14ac:dyDescent="0.25">
      <c r="A4450" t="str">
        <f t="shared" si="2501"/>
        <v>06/05/2020 15:00:02.908</v>
      </c>
      <c r="C4450" t="str">
        <f t="shared" si="2468"/>
        <v>FFDFD3C0</v>
      </c>
      <c r="D4450" t="s">
        <v>151</v>
      </c>
      <c r="E4450">
        <v>9</v>
      </c>
      <c r="H4450">
        <v>226</v>
      </c>
      <c r="I4450" t="s">
        <v>152</v>
      </c>
      <c r="J4450" t="s">
        <v>150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 t="shared" si="2502"/>
        <v>15:00:08.516</v>
      </c>
      <c r="T4450" t="str">
        <f t="shared" si="2503"/>
        <v>15:00:08.216</v>
      </c>
      <c r="U4450" t="str">
        <f t="shared" si="2485"/>
        <v>ACC530</v>
      </c>
      <c r="V4450">
        <v>0</v>
      </c>
      <c r="W4450">
        <v>0</v>
      </c>
      <c r="X4450">
        <v>1</v>
      </c>
      <c r="Z4450">
        <v>0</v>
      </c>
      <c r="AA4450">
        <v>9</v>
      </c>
      <c r="AB4450">
        <v>3</v>
      </c>
      <c r="AC4450">
        <v>0</v>
      </c>
      <c r="AD4450">
        <v>9</v>
      </c>
      <c r="AE4450">
        <v>0</v>
      </c>
      <c r="AF4450">
        <v>3</v>
      </c>
      <c r="AG4450">
        <v>1</v>
      </c>
      <c r="AH4450">
        <v>0</v>
      </c>
      <c r="AI4450" t="s">
        <v>1392</v>
      </c>
      <c r="AJ4450">
        <v>34.073410000000003</v>
      </c>
      <c r="AK4450" t="s">
        <v>1393</v>
      </c>
      <c r="AL4450">
        <v>-117.044241</v>
      </c>
      <c r="AM4450">
        <v>100</v>
      </c>
      <c r="AN4450">
        <v>4900</v>
      </c>
      <c r="AO4450" t="s">
        <v>118</v>
      </c>
      <c r="AP4450">
        <v>-99</v>
      </c>
      <c r="AQ4450">
        <v>23</v>
      </c>
      <c r="AR4450">
        <v>-832</v>
      </c>
      <c r="AZ4450">
        <v>1200</v>
      </c>
      <c r="BA4450">
        <v>1</v>
      </c>
      <c r="BB4450" t="str">
        <f t="shared" si="2489"/>
        <v xml:space="preserve">N9217B  </v>
      </c>
      <c r="BC4450">
        <v>1</v>
      </c>
      <c r="BE4450">
        <v>0</v>
      </c>
      <c r="BF4450">
        <v>0</v>
      </c>
      <c r="BG4450">
        <v>0</v>
      </c>
      <c r="BH4450">
        <v>4775</v>
      </c>
      <c r="BI4450">
        <v>1</v>
      </c>
      <c r="BJ4450">
        <v>0</v>
      </c>
      <c r="BK4450">
        <v>0</v>
      </c>
      <c r="BL4450">
        <v>0</v>
      </c>
      <c r="BO4450">
        <v>0</v>
      </c>
      <c r="BP4450">
        <v>0</v>
      </c>
      <c r="BW4450" t="str">
        <f>"15:00:08.522"</f>
        <v>15:00:08.522</v>
      </c>
      <c r="CJ4450">
        <v>0</v>
      </c>
      <c r="CK4450">
        <v>2</v>
      </c>
      <c r="CL4450">
        <v>0</v>
      </c>
      <c r="CM4450">
        <v>2</v>
      </c>
      <c r="CN4450">
        <v>0</v>
      </c>
      <c r="CO4450">
        <v>2</v>
      </c>
      <c r="CP4450" t="s">
        <v>119</v>
      </c>
      <c r="CQ4450">
        <v>285</v>
      </c>
      <c r="CR4450">
        <v>0</v>
      </c>
      <c r="CW4450">
        <v>8893931</v>
      </c>
      <c r="CY4450">
        <v>0</v>
      </c>
      <c r="CZ4450">
        <v>0</v>
      </c>
      <c r="DA4450">
        <v>1</v>
      </c>
      <c r="DB4450">
        <v>0</v>
      </c>
      <c r="DC4450">
        <v>0</v>
      </c>
      <c r="DD4450">
        <v>0</v>
      </c>
      <c r="DE4450">
        <v>0</v>
      </c>
      <c r="DF4450">
        <v>0</v>
      </c>
      <c r="DG4450">
        <v>0</v>
      </c>
      <c r="DH4450">
        <v>0</v>
      </c>
      <c r="DI4450">
        <v>0</v>
      </c>
    </row>
    <row r="4451" spans="1:113" x14ac:dyDescent="0.25">
      <c r="A4451" t="str">
        <f t="shared" si="2501"/>
        <v>06/05/2020 15:00:02.908</v>
      </c>
      <c r="C4451" t="str">
        <f t="shared" ref="C4451:C4514" si="2504">"FFDFD3C0"</f>
        <v>FFDFD3C0</v>
      </c>
      <c r="D4451" t="s">
        <v>141</v>
      </c>
      <c r="E4451">
        <v>20</v>
      </c>
      <c r="F4451">
        <v>1020</v>
      </c>
      <c r="G4451" t="s">
        <v>114</v>
      </c>
      <c r="J4451" t="s">
        <v>142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 t="shared" si="2502"/>
        <v>15:00:08.516</v>
      </c>
      <c r="T4451" t="str">
        <f t="shared" si="2503"/>
        <v>15:00:08.216</v>
      </c>
      <c r="U4451" t="str">
        <f t="shared" si="2485"/>
        <v>ACC530</v>
      </c>
      <c r="V4451">
        <v>0</v>
      </c>
      <c r="W4451">
        <v>0</v>
      </c>
      <c r="X4451">
        <v>1</v>
      </c>
      <c r="Z4451">
        <v>0</v>
      </c>
      <c r="AA4451">
        <v>9</v>
      </c>
      <c r="AB4451">
        <v>3</v>
      </c>
      <c r="AC4451">
        <v>0</v>
      </c>
      <c r="AD4451">
        <v>9</v>
      </c>
      <c r="AE4451">
        <v>0</v>
      </c>
      <c r="AF4451">
        <v>3</v>
      </c>
      <c r="AG4451">
        <v>1</v>
      </c>
      <c r="AH4451">
        <v>0</v>
      </c>
      <c r="AI4451" t="s">
        <v>1392</v>
      </c>
      <c r="AJ4451">
        <v>34.073410000000003</v>
      </c>
      <c r="AK4451" t="s">
        <v>1393</v>
      </c>
      <c r="AL4451">
        <v>-117.044241</v>
      </c>
      <c r="AM4451">
        <v>100</v>
      </c>
      <c r="AN4451">
        <v>4900</v>
      </c>
      <c r="AO4451" t="s">
        <v>118</v>
      </c>
      <c r="AP4451">
        <v>-99</v>
      </c>
      <c r="AQ4451">
        <v>23</v>
      </c>
      <c r="AR4451">
        <v>-832</v>
      </c>
      <c r="AZ4451">
        <v>1200</v>
      </c>
      <c r="BA4451">
        <v>1</v>
      </c>
      <c r="BB4451" t="str">
        <f t="shared" si="2489"/>
        <v xml:space="preserve">N9217B  </v>
      </c>
      <c r="BC4451">
        <v>1</v>
      </c>
      <c r="BE4451">
        <v>0</v>
      </c>
      <c r="BF4451">
        <v>0</v>
      </c>
      <c r="BG4451">
        <v>0</v>
      </c>
      <c r="BH4451">
        <v>4775</v>
      </c>
      <c r="BI4451">
        <v>1</v>
      </c>
      <c r="BJ4451">
        <v>0</v>
      </c>
      <c r="BK4451">
        <v>0</v>
      </c>
      <c r="BL4451">
        <v>0</v>
      </c>
      <c r="BO4451">
        <v>0</v>
      </c>
      <c r="BP4451">
        <v>0</v>
      </c>
      <c r="BW4451" t="str">
        <f>"15:00:08.523"</f>
        <v>15:00:08.523</v>
      </c>
      <c r="CJ4451">
        <v>0</v>
      </c>
      <c r="CK4451">
        <v>2</v>
      </c>
      <c r="CL4451">
        <v>0</v>
      </c>
      <c r="CM4451">
        <v>2</v>
      </c>
      <c r="CN4451">
        <v>0</v>
      </c>
      <c r="CO4451">
        <v>5</v>
      </c>
      <c r="CP4451" t="s">
        <v>119</v>
      </c>
      <c r="CQ4451">
        <v>298</v>
      </c>
      <c r="CR4451">
        <v>0</v>
      </c>
      <c r="CW4451">
        <v>10480077</v>
      </c>
      <c r="CY4451">
        <v>0</v>
      </c>
      <c r="CZ4451">
        <v>0</v>
      </c>
      <c r="DA4451">
        <v>1</v>
      </c>
      <c r="DB4451">
        <v>0</v>
      </c>
      <c r="DC4451">
        <v>0</v>
      </c>
      <c r="DD4451">
        <v>0</v>
      </c>
      <c r="DE4451">
        <v>0</v>
      </c>
      <c r="DF4451">
        <v>0</v>
      </c>
      <c r="DG4451">
        <v>0</v>
      </c>
      <c r="DH4451">
        <v>0</v>
      </c>
      <c r="DI4451">
        <v>0</v>
      </c>
    </row>
    <row r="4452" spans="1:113" x14ac:dyDescent="0.25">
      <c r="A4452" t="str">
        <f t="shared" si="2501"/>
        <v>06/05/2020 15:00:02.908</v>
      </c>
      <c r="C4452" t="str">
        <f t="shared" si="2504"/>
        <v>FFDFD3C0</v>
      </c>
      <c r="D4452" t="s">
        <v>113</v>
      </c>
      <c r="E4452">
        <v>3</v>
      </c>
      <c r="H4452">
        <v>166</v>
      </c>
      <c r="I4452" t="s">
        <v>114</v>
      </c>
      <c r="J4452" t="s">
        <v>115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 t="shared" si="2502"/>
        <v>15:00:08.516</v>
      </c>
      <c r="T4452" t="str">
        <f t="shared" si="2503"/>
        <v>15:00:08.216</v>
      </c>
      <c r="U4452" t="str">
        <f t="shared" si="2485"/>
        <v>ACC530</v>
      </c>
      <c r="V4452">
        <v>0</v>
      </c>
      <c r="W4452">
        <v>0</v>
      </c>
      <c r="X4452">
        <v>1</v>
      </c>
      <c r="Z4452">
        <v>0</v>
      </c>
      <c r="AA4452">
        <v>9</v>
      </c>
      <c r="AB4452">
        <v>3</v>
      </c>
      <c r="AC4452">
        <v>0</v>
      </c>
      <c r="AD4452">
        <v>9</v>
      </c>
      <c r="AE4452">
        <v>0</v>
      </c>
      <c r="AF4452">
        <v>3</v>
      </c>
      <c r="AG4452">
        <v>1</v>
      </c>
      <c r="AH4452">
        <v>0</v>
      </c>
      <c r="AI4452" t="s">
        <v>1392</v>
      </c>
      <c r="AJ4452">
        <v>34.073410000000003</v>
      </c>
      <c r="AK4452" t="s">
        <v>1393</v>
      </c>
      <c r="AL4452">
        <v>-117.044241</v>
      </c>
      <c r="AM4452">
        <v>100</v>
      </c>
      <c r="AN4452">
        <v>4900</v>
      </c>
      <c r="AO4452" t="s">
        <v>118</v>
      </c>
      <c r="AP4452">
        <v>-99</v>
      </c>
      <c r="AQ4452">
        <v>23</v>
      </c>
      <c r="AR4452">
        <v>-832</v>
      </c>
      <c r="AZ4452">
        <v>1200</v>
      </c>
      <c r="BA4452">
        <v>1</v>
      </c>
      <c r="BB4452" t="str">
        <f t="shared" si="2489"/>
        <v xml:space="preserve">N9217B  </v>
      </c>
      <c r="BC4452">
        <v>1</v>
      </c>
      <c r="BE4452">
        <v>0</v>
      </c>
      <c r="BF4452">
        <v>0</v>
      </c>
      <c r="BG4452">
        <v>0</v>
      </c>
      <c r="BH4452">
        <v>4775</v>
      </c>
      <c r="BI4452">
        <v>1</v>
      </c>
      <c r="BJ4452">
        <v>0</v>
      </c>
      <c r="BK4452">
        <v>0</v>
      </c>
      <c r="BL4452">
        <v>0</v>
      </c>
      <c r="BO4452">
        <v>0</v>
      </c>
      <c r="BP4452">
        <v>0</v>
      </c>
      <c r="BW4452" t="str">
        <f>"15:00:08.523"</f>
        <v>15:00:08.523</v>
      </c>
      <c r="CJ4452">
        <v>0</v>
      </c>
      <c r="CK4452">
        <v>2</v>
      </c>
      <c r="CL4452">
        <v>0</v>
      </c>
      <c r="CM4452">
        <v>2</v>
      </c>
      <c r="CN4452">
        <v>0</v>
      </c>
      <c r="CO4452">
        <v>5</v>
      </c>
      <c r="CP4452" t="s">
        <v>119</v>
      </c>
      <c r="CQ4452">
        <v>298</v>
      </c>
      <c r="CR4452">
        <v>0</v>
      </c>
      <c r="CW4452">
        <v>10480077</v>
      </c>
      <c r="CY4452">
        <v>0</v>
      </c>
      <c r="CZ4452">
        <v>0</v>
      </c>
      <c r="DA4452">
        <v>1</v>
      </c>
      <c r="DB4452">
        <v>0</v>
      </c>
      <c r="DC4452">
        <v>0</v>
      </c>
      <c r="DD4452">
        <v>0</v>
      </c>
      <c r="DE4452">
        <v>0</v>
      </c>
      <c r="DF4452">
        <v>0</v>
      </c>
      <c r="DG4452">
        <v>0</v>
      </c>
      <c r="DH4452">
        <v>0</v>
      </c>
      <c r="DI4452">
        <v>0</v>
      </c>
    </row>
    <row r="4453" spans="1:113" x14ac:dyDescent="0.25">
      <c r="A4453" t="str">
        <f t="shared" ref="A4453:A4458" si="2505">"06/05/2020 15:00:04.029"</f>
        <v>06/05/2020 15:00:04.029</v>
      </c>
      <c r="C4453" t="str">
        <f t="shared" si="2504"/>
        <v>FFDFD3C0</v>
      </c>
      <c r="D4453" t="s">
        <v>148</v>
      </c>
      <c r="E4453">
        <v>11</v>
      </c>
      <c r="H4453">
        <v>53</v>
      </c>
      <c r="I4453" t="s">
        <v>364</v>
      </c>
      <c r="J4453" t="s">
        <v>150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 t="shared" ref="S4453:S4458" si="2506">"15:00:09.641"</f>
        <v>15:00:09.641</v>
      </c>
      <c r="T4453" t="str">
        <f t="shared" ref="T4453:T4458" si="2507">"15:00:09.541"</f>
        <v>15:00:09.541</v>
      </c>
      <c r="U4453" t="str">
        <f t="shared" si="2485"/>
        <v>ACC530</v>
      </c>
      <c r="V4453">
        <v>0</v>
      </c>
      <c r="W4453">
        <v>0</v>
      </c>
      <c r="X4453">
        <v>1</v>
      </c>
      <c r="Z4453">
        <v>0</v>
      </c>
      <c r="AA4453">
        <v>9</v>
      </c>
      <c r="AB4453">
        <v>3</v>
      </c>
      <c r="AC4453">
        <v>0</v>
      </c>
      <c r="AD4453">
        <v>9</v>
      </c>
      <c r="AE4453">
        <v>0</v>
      </c>
      <c r="AF4453">
        <v>3</v>
      </c>
      <c r="AG4453">
        <v>1</v>
      </c>
      <c r="AH4453">
        <v>0</v>
      </c>
      <c r="AI4453" t="s">
        <v>1394</v>
      </c>
      <c r="AJ4453">
        <v>34.073538999999997</v>
      </c>
      <c r="AK4453" t="s">
        <v>1395</v>
      </c>
      <c r="AL4453">
        <v>-117.044928</v>
      </c>
      <c r="AM4453">
        <v>100</v>
      </c>
      <c r="AN4453">
        <v>4800</v>
      </c>
      <c r="AO4453" t="s">
        <v>118</v>
      </c>
      <c r="AP4453">
        <v>-99</v>
      </c>
      <c r="AQ4453">
        <v>23</v>
      </c>
      <c r="AR4453">
        <v>-832</v>
      </c>
      <c r="AZ4453">
        <v>1200</v>
      </c>
      <c r="BA4453">
        <v>1</v>
      </c>
      <c r="BB4453" t="str">
        <f t="shared" si="2489"/>
        <v xml:space="preserve">N9217B  </v>
      </c>
      <c r="BC4453">
        <v>1</v>
      </c>
      <c r="BE4453">
        <v>0</v>
      </c>
      <c r="BF4453">
        <v>0</v>
      </c>
      <c r="BG4453">
        <v>0</v>
      </c>
      <c r="BH4453">
        <v>4650</v>
      </c>
      <c r="BI4453">
        <v>1</v>
      </c>
      <c r="BJ4453">
        <v>0</v>
      </c>
      <c r="BK4453">
        <v>0</v>
      </c>
      <c r="BL4453">
        <v>0</v>
      </c>
      <c r="BO4453">
        <v>0</v>
      </c>
      <c r="BP4453">
        <v>0</v>
      </c>
      <c r="BW4453" t="str">
        <f t="shared" ref="BW4453:BW4458" si="2508">"15:00:09.648"</f>
        <v>15:00:09.648</v>
      </c>
      <c r="CJ4453">
        <v>0</v>
      </c>
      <c r="CK4453">
        <v>2</v>
      </c>
      <c r="CL4453">
        <v>0</v>
      </c>
      <c r="CM4453">
        <v>2</v>
      </c>
      <c r="CN4453">
        <v>0</v>
      </c>
      <c r="CO4453">
        <v>5</v>
      </c>
      <c r="CP4453" t="s">
        <v>119</v>
      </c>
      <c r="CQ4453">
        <v>298</v>
      </c>
      <c r="CR4453">
        <v>0</v>
      </c>
      <c r="CW4453">
        <v>10480220</v>
      </c>
      <c r="CY4453">
        <v>0</v>
      </c>
      <c r="CZ4453">
        <v>0</v>
      </c>
      <c r="DA4453">
        <v>0</v>
      </c>
      <c r="DB4453">
        <v>0</v>
      </c>
      <c r="DC4453">
        <v>0</v>
      </c>
      <c r="DD4453">
        <v>0</v>
      </c>
      <c r="DE4453">
        <v>0</v>
      </c>
      <c r="DF4453">
        <v>0</v>
      </c>
      <c r="DG4453">
        <v>0</v>
      </c>
      <c r="DH4453">
        <v>0</v>
      </c>
      <c r="DI4453">
        <v>0</v>
      </c>
    </row>
    <row r="4454" spans="1:113" x14ac:dyDescent="0.25">
      <c r="A4454" t="str">
        <f t="shared" si="2505"/>
        <v>06/05/2020 15:00:04.029</v>
      </c>
      <c r="C4454" t="str">
        <f t="shared" si="2504"/>
        <v>FFDFD3C0</v>
      </c>
      <c r="D4454" t="s">
        <v>148</v>
      </c>
      <c r="E4454">
        <v>8</v>
      </c>
      <c r="H4454">
        <v>50</v>
      </c>
      <c r="I4454" t="s">
        <v>149</v>
      </c>
      <c r="J4454" t="s">
        <v>150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 t="shared" si="2506"/>
        <v>15:00:09.641</v>
      </c>
      <c r="T4454" t="str">
        <f t="shared" si="2507"/>
        <v>15:00:09.541</v>
      </c>
      <c r="U4454" t="str">
        <f t="shared" si="2485"/>
        <v>ACC530</v>
      </c>
      <c r="V4454">
        <v>0</v>
      </c>
      <c r="W4454">
        <v>0</v>
      </c>
      <c r="X4454">
        <v>1</v>
      </c>
      <c r="Z4454">
        <v>0</v>
      </c>
      <c r="AA4454">
        <v>9</v>
      </c>
      <c r="AB4454">
        <v>3</v>
      </c>
      <c r="AC4454">
        <v>0</v>
      </c>
      <c r="AD4454">
        <v>9</v>
      </c>
      <c r="AE4454">
        <v>0</v>
      </c>
      <c r="AF4454">
        <v>3</v>
      </c>
      <c r="AG4454">
        <v>1</v>
      </c>
      <c r="AH4454">
        <v>0</v>
      </c>
      <c r="AI4454" t="s">
        <v>1394</v>
      </c>
      <c r="AJ4454">
        <v>34.073538999999997</v>
      </c>
      <c r="AK4454" t="s">
        <v>1395</v>
      </c>
      <c r="AL4454">
        <v>-117.044928</v>
      </c>
      <c r="AM4454">
        <v>100</v>
      </c>
      <c r="AN4454">
        <v>4800</v>
      </c>
      <c r="AO4454" t="s">
        <v>118</v>
      </c>
      <c r="AP4454">
        <v>-99</v>
      </c>
      <c r="AQ4454">
        <v>23</v>
      </c>
      <c r="AR4454">
        <v>-832</v>
      </c>
      <c r="AZ4454">
        <v>1200</v>
      </c>
      <c r="BA4454">
        <v>1</v>
      </c>
      <c r="BB4454" t="str">
        <f t="shared" si="2489"/>
        <v xml:space="preserve">N9217B  </v>
      </c>
      <c r="BC4454">
        <v>1</v>
      </c>
      <c r="BE4454">
        <v>0</v>
      </c>
      <c r="BF4454">
        <v>0</v>
      </c>
      <c r="BG4454">
        <v>0</v>
      </c>
      <c r="BH4454">
        <v>4650</v>
      </c>
      <c r="BI4454">
        <v>1</v>
      </c>
      <c r="BJ4454">
        <v>0</v>
      </c>
      <c r="BK4454">
        <v>0</v>
      </c>
      <c r="BL4454">
        <v>0</v>
      </c>
      <c r="BO4454">
        <v>0</v>
      </c>
      <c r="BP4454">
        <v>0</v>
      </c>
      <c r="BW4454" t="str">
        <f t="shared" si="2508"/>
        <v>15:00:09.648</v>
      </c>
      <c r="CJ4454">
        <v>0</v>
      </c>
      <c r="CK4454">
        <v>2</v>
      </c>
      <c r="CL4454">
        <v>0</v>
      </c>
      <c r="CM4454">
        <v>2</v>
      </c>
      <c r="CN4454">
        <v>0</v>
      </c>
      <c r="CO4454">
        <v>5</v>
      </c>
      <c r="CP4454" t="s">
        <v>119</v>
      </c>
      <c r="CQ4454">
        <v>298</v>
      </c>
      <c r="CR4454">
        <v>0</v>
      </c>
      <c r="CW4454">
        <v>10480220</v>
      </c>
      <c r="CY4454">
        <v>0</v>
      </c>
      <c r="CZ4454">
        <v>0</v>
      </c>
      <c r="DA4454">
        <v>1</v>
      </c>
      <c r="DB4454">
        <v>0</v>
      </c>
      <c r="DC4454">
        <v>0</v>
      </c>
      <c r="DD4454">
        <v>0</v>
      </c>
      <c r="DE4454">
        <v>0</v>
      </c>
      <c r="DF4454">
        <v>0</v>
      </c>
      <c r="DG4454">
        <v>0</v>
      </c>
      <c r="DH4454">
        <v>0</v>
      </c>
      <c r="DI4454">
        <v>0</v>
      </c>
    </row>
    <row r="4455" spans="1:113" x14ac:dyDescent="0.25">
      <c r="A4455" t="str">
        <f t="shared" si="2505"/>
        <v>06/05/2020 15:00:04.029</v>
      </c>
      <c r="C4455" t="str">
        <f t="shared" si="2504"/>
        <v>FFDFD3C0</v>
      </c>
      <c r="D4455" t="s">
        <v>141</v>
      </c>
      <c r="E4455">
        <v>20</v>
      </c>
      <c r="F4455">
        <v>1020</v>
      </c>
      <c r="G4455" t="s">
        <v>114</v>
      </c>
      <c r="J4455" t="s">
        <v>142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 t="shared" si="2506"/>
        <v>15:00:09.641</v>
      </c>
      <c r="T4455" t="str">
        <f t="shared" si="2507"/>
        <v>15:00:09.541</v>
      </c>
      <c r="U4455" t="str">
        <f t="shared" si="2485"/>
        <v>ACC530</v>
      </c>
      <c r="V4455">
        <v>0</v>
      </c>
      <c r="W4455">
        <v>0</v>
      </c>
      <c r="X4455">
        <v>1</v>
      </c>
      <c r="Z4455">
        <v>0</v>
      </c>
      <c r="AA4455">
        <v>9</v>
      </c>
      <c r="AB4455">
        <v>3</v>
      </c>
      <c r="AC4455">
        <v>0</v>
      </c>
      <c r="AD4455">
        <v>9</v>
      </c>
      <c r="AE4455">
        <v>0</v>
      </c>
      <c r="AF4455">
        <v>3</v>
      </c>
      <c r="AG4455">
        <v>1</v>
      </c>
      <c r="AH4455">
        <v>0</v>
      </c>
      <c r="AI4455" t="s">
        <v>1394</v>
      </c>
      <c r="AJ4455">
        <v>34.073538999999997</v>
      </c>
      <c r="AK4455" t="s">
        <v>1395</v>
      </c>
      <c r="AL4455">
        <v>-117.044928</v>
      </c>
      <c r="AM4455">
        <v>100</v>
      </c>
      <c r="AN4455">
        <v>4800</v>
      </c>
      <c r="AO4455" t="s">
        <v>118</v>
      </c>
      <c r="AP4455">
        <v>-99</v>
      </c>
      <c r="AQ4455">
        <v>23</v>
      </c>
      <c r="AR4455">
        <v>-832</v>
      </c>
      <c r="AZ4455">
        <v>1200</v>
      </c>
      <c r="BA4455">
        <v>1</v>
      </c>
      <c r="BB4455" t="str">
        <f t="shared" si="2489"/>
        <v xml:space="preserve">N9217B  </v>
      </c>
      <c r="BC4455">
        <v>1</v>
      </c>
      <c r="BE4455">
        <v>0</v>
      </c>
      <c r="BF4455">
        <v>0</v>
      </c>
      <c r="BG4455">
        <v>0</v>
      </c>
      <c r="BH4455">
        <v>4650</v>
      </c>
      <c r="BI4455">
        <v>1</v>
      </c>
      <c r="BJ4455">
        <v>0</v>
      </c>
      <c r="BK4455">
        <v>0</v>
      </c>
      <c r="BL4455">
        <v>0</v>
      </c>
      <c r="BO4455">
        <v>0</v>
      </c>
      <c r="BP4455">
        <v>0</v>
      </c>
      <c r="BW4455" t="str">
        <f t="shared" si="2508"/>
        <v>15:00:09.648</v>
      </c>
      <c r="CJ4455">
        <v>0</v>
      </c>
      <c r="CK4455">
        <v>2</v>
      </c>
      <c r="CL4455">
        <v>0</v>
      </c>
      <c r="CM4455">
        <v>2</v>
      </c>
      <c r="CN4455">
        <v>0</v>
      </c>
      <c r="CO4455">
        <v>5</v>
      </c>
      <c r="CP4455" t="s">
        <v>119</v>
      </c>
      <c r="CQ4455">
        <v>298</v>
      </c>
      <c r="CR4455">
        <v>0</v>
      </c>
      <c r="CW4455">
        <v>10480220</v>
      </c>
      <c r="CY4455">
        <v>0</v>
      </c>
      <c r="CZ4455">
        <v>0</v>
      </c>
      <c r="DA4455">
        <v>1</v>
      </c>
      <c r="DB4455">
        <v>0</v>
      </c>
      <c r="DC4455">
        <v>0</v>
      </c>
      <c r="DD4455">
        <v>0</v>
      </c>
      <c r="DE4455">
        <v>0</v>
      </c>
      <c r="DF4455">
        <v>0</v>
      </c>
      <c r="DG4455">
        <v>0</v>
      </c>
      <c r="DH4455">
        <v>0</v>
      </c>
      <c r="DI4455">
        <v>0</v>
      </c>
    </row>
    <row r="4456" spans="1:113" x14ac:dyDescent="0.25">
      <c r="A4456" t="str">
        <f t="shared" si="2505"/>
        <v>06/05/2020 15:00:04.029</v>
      </c>
      <c r="C4456" t="str">
        <f t="shared" si="2504"/>
        <v>FFDFD3C0</v>
      </c>
      <c r="D4456" t="s">
        <v>113</v>
      </c>
      <c r="E4456">
        <v>3</v>
      </c>
      <c r="H4456">
        <v>166</v>
      </c>
      <c r="I4456" t="s">
        <v>114</v>
      </c>
      <c r="J4456" t="s">
        <v>115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 t="shared" si="2506"/>
        <v>15:00:09.641</v>
      </c>
      <c r="T4456" t="str">
        <f t="shared" si="2507"/>
        <v>15:00:09.541</v>
      </c>
      <c r="U4456" t="str">
        <f t="shared" si="2485"/>
        <v>ACC530</v>
      </c>
      <c r="V4456">
        <v>0</v>
      </c>
      <c r="W4456">
        <v>0</v>
      </c>
      <c r="X4456">
        <v>1</v>
      </c>
      <c r="Z4456">
        <v>0</v>
      </c>
      <c r="AA4456">
        <v>9</v>
      </c>
      <c r="AB4456">
        <v>3</v>
      </c>
      <c r="AC4456">
        <v>0</v>
      </c>
      <c r="AD4456">
        <v>9</v>
      </c>
      <c r="AE4456">
        <v>0</v>
      </c>
      <c r="AF4456">
        <v>3</v>
      </c>
      <c r="AG4456">
        <v>1</v>
      </c>
      <c r="AH4456">
        <v>0</v>
      </c>
      <c r="AI4456" t="s">
        <v>1394</v>
      </c>
      <c r="AJ4456">
        <v>34.073538999999997</v>
      </c>
      <c r="AK4456" t="s">
        <v>1395</v>
      </c>
      <c r="AL4456">
        <v>-117.044928</v>
      </c>
      <c r="AM4456">
        <v>100</v>
      </c>
      <c r="AN4456">
        <v>4800</v>
      </c>
      <c r="AO4456" t="s">
        <v>118</v>
      </c>
      <c r="AP4456">
        <v>-99</v>
      </c>
      <c r="AQ4456">
        <v>23</v>
      </c>
      <c r="AR4456">
        <v>-832</v>
      </c>
      <c r="AZ4456">
        <v>1200</v>
      </c>
      <c r="BA4456">
        <v>1</v>
      </c>
      <c r="BB4456" t="str">
        <f t="shared" si="2489"/>
        <v xml:space="preserve">N9217B  </v>
      </c>
      <c r="BC4456">
        <v>1</v>
      </c>
      <c r="BE4456">
        <v>0</v>
      </c>
      <c r="BF4456">
        <v>0</v>
      </c>
      <c r="BG4456">
        <v>0</v>
      </c>
      <c r="BH4456">
        <v>4650</v>
      </c>
      <c r="BI4456">
        <v>1</v>
      </c>
      <c r="BJ4456">
        <v>0</v>
      </c>
      <c r="BK4456">
        <v>0</v>
      </c>
      <c r="BL4456">
        <v>0</v>
      </c>
      <c r="BO4456">
        <v>0</v>
      </c>
      <c r="BP4456">
        <v>0</v>
      </c>
      <c r="BW4456" t="str">
        <f t="shared" si="2508"/>
        <v>15:00:09.648</v>
      </c>
      <c r="CJ4456">
        <v>0</v>
      </c>
      <c r="CK4456">
        <v>2</v>
      </c>
      <c r="CL4456">
        <v>0</v>
      </c>
      <c r="CM4456">
        <v>2</v>
      </c>
      <c r="CN4456">
        <v>0</v>
      </c>
      <c r="CO4456">
        <v>5</v>
      </c>
      <c r="CP4456" t="s">
        <v>119</v>
      </c>
      <c r="CQ4456">
        <v>298</v>
      </c>
      <c r="CR4456">
        <v>0</v>
      </c>
      <c r="CW4456">
        <v>10480220</v>
      </c>
      <c r="CY4456">
        <v>0</v>
      </c>
      <c r="CZ4456">
        <v>0</v>
      </c>
      <c r="DA4456">
        <v>1</v>
      </c>
      <c r="DB4456">
        <v>0</v>
      </c>
      <c r="DC4456">
        <v>0</v>
      </c>
      <c r="DD4456">
        <v>0</v>
      </c>
      <c r="DE4456">
        <v>0</v>
      </c>
      <c r="DF4456">
        <v>0</v>
      </c>
      <c r="DG4456">
        <v>0</v>
      </c>
      <c r="DH4456">
        <v>0</v>
      </c>
      <c r="DI4456">
        <v>0</v>
      </c>
    </row>
    <row r="4457" spans="1:113" x14ac:dyDescent="0.25">
      <c r="A4457" t="str">
        <f t="shared" si="2505"/>
        <v>06/05/2020 15:00:04.029</v>
      </c>
      <c r="C4457" t="str">
        <f t="shared" si="2504"/>
        <v>FFDFD3C0</v>
      </c>
      <c r="D4457" t="s">
        <v>151</v>
      </c>
      <c r="E4457">
        <v>8</v>
      </c>
      <c r="H4457">
        <v>225</v>
      </c>
      <c r="I4457" t="s">
        <v>353</v>
      </c>
      <c r="J4457" t="s">
        <v>150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 t="shared" si="2506"/>
        <v>15:00:09.641</v>
      </c>
      <c r="T4457" t="str">
        <f t="shared" si="2507"/>
        <v>15:00:09.541</v>
      </c>
      <c r="U4457" t="str">
        <f t="shared" si="2485"/>
        <v>ACC530</v>
      </c>
      <c r="V4457">
        <v>0</v>
      </c>
      <c r="W4457">
        <v>0</v>
      </c>
      <c r="X4457">
        <v>1</v>
      </c>
      <c r="Z4457">
        <v>0</v>
      </c>
      <c r="AA4457">
        <v>9</v>
      </c>
      <c r="AB4457">
        <v>3</v>
      </c>
      <c r="AC4457">
        <v>0</v>
      </c>
      <c r="AD4457">
        <v>9</v>
      </c>
      <c r="AE4457">
        <v>0</v>
      </c>
      <c r="AF4457">
        <v>3</v>
      </c>
      <c r="AG4457">
        <v>1</v>
      </c>
      <c r="AH4457">
        <v>0</v>
      </c>
      <c r="AI4457" t="s">
        <v>1394</v>
      </c>
      <c r="AJ4457">
        <v>34.073538999999997</v>
      </c>
      <c r="AK4457" t="s">
        <v>1395</v>
      </c>
      <c r="AL4457">
        <v>-117.044928</v>
      </c>
      <c r="AM4457">
        <v>100</v>
      </c>
      <c r="AN4457">
        <v>4800</v>
      </c>
      <c r="AO4457" t="s">
        <v>118</v>
      </c>
      <c r="AP4457">
        <v>-99</v>
      </c>
      <c r="AQ4457">
        <v>23</v>
      </c>
      <c r="AR4457">
        <v>-832</v>
      </c>
      <c r="AZ4457">
        <v>1200</v>
      </c>
      <c r="BA4457">
        <v>1</v>
      </c>
      <c r="BB4457" t="str">
        <f t="shared" si="2489"/>
        <v xml:space="preserve">N9217B  </v>
      </c>
      <c r="BC4457">
        <v>1</v>
      </c>
      <c r="BE4457">
        <v>0</v>
      </c>
      <c r="BF4457">
        <v>0</v>
      </c>
      <c r="BG4457">
        <v>0</v>
      </c>
      <c r="BH4457">
        <v>4650</v>
      </c>
      <c r="BI4457">
        <v>1</v>
      </c>
      <c r="BJ4457">
        <v>0</v>
      </c>
      <c r="BK4457">
        <v>0</v>
      </c>
      <c r="BL4457">
        <v>0</v>
      </c>
      <c r="BO4457">
        <v>0</v>
      </c>
      <c r="BP4457">
        <v>0</v>
      </c>
      <c r="BW4457" t="str">
        <f t="shared" si="2508"/>
        <v>15:00:09.648</v>
      </c>
      <c r="CJ4457">
        <v>0</v>
      </c>
      <c r="CK4457">
        <v>2</v>
      </c>
      <c r="CL4457">
        <v>0</v>
      </c>
      <c r="CM4457">
        <v>2</v>
      </c>
      <c r="CN4457">
        <v>0</v>
      </c>
      <c r="CO4457">
        <v>5</v>
      </c>
      <c r="CP4457" t="s">
        <v>119</v>
      </c>
      <c r="CQ4457">
        <v>298</v>
      </c>
      <c r="CR4457">
        <v>0</v>
      </c>
      <c r="CW4457">
        <v>10480220</v>
      </c>
      <c r="CY4457">
        <v>0</v>
      </c>
      <c r="CZ4457">
        <v>0</v>
      </c>
      <c r="DA4457">
        <v>1</v>
      </c>
      <c r="DB4457">
        <v>0</v>
      </c>
      <c r="DC4457">
        <v>0</v>
      </c>
      <c r="DD4457">
        <v>0</v>
      </c>
      <c r="DE4457">
        <v>0</v>
      </c>
      <c r="DF4457">
        <v>0</v>
      </c>
      <c r="DG4457">
        <v>0</v>
      </c>
      <c r="DH4457">
        <v>0</v>
      </c>
      <c r="DI4457">
        <v>0</v>
      </c>
    </row>
    <row r="4458" spans="1:113" x14ac:dyDescent="0.25">
      <c r="A4458" t="str">
        <f t="shared" si="2505"/>
        <v>06/05/2020 15:00:04.029</v>
      </c>
      <c r="C4458" t="str">
        <f t="shared" si="2504"/>
        <v>FFDFD3C0</v>
      </c>
      <c r="D4458" t="s">
        <v>134</v>
      </c>
      <c r="E4458">
        <v>7</v>
      </c>
      <c r="F4458">
        <v>2007</v>
      </c>
      <c r="G4458" t="s">
        <v>135</v>
      </c>
      <c r="J4458" t="s">
        <v>136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 t="shared" si="2506"/>
        <v>15:00:09.641</v>
      </c>
      <c r="T4458" t="str">
        <f t="shared" si="2507"/>
        <v>15:00:09.541</v>
      </c>
      <c r="U4458" t="str">
        <f t="shared" si="2485"/>
        <v>ACC530</v>
      </c>
      <c r="V4458">
        <v>0</v>
      </c>
      <c r="W4458">
        <v>0</v>
      </c>
      <c r="X4458">
        <v>1</v>
      </c>
      <c r="Z4458">
        <v>0</v>
      </c>
      <c r="AA4458">
        <v>9</v>
      </c>
      <c r="AB4458">
        <v>3</v>
      </c>
      <c r="AC4458">
        <v>0</v>
      </c>
      <c r="AD4458">
        <v>9</v>
      </c>
      <c r="AE4458">
        <v>0</v>
      </c>
      <c r="AF4458">
        <v>3</v>
      </c>
      <c r="AG4458">
        <v>1</v>
      </c>
      <c r="AH4458">
        <v>0</v>
      </c>
      <c r="AI4458" t="s">
        <v>1394</v>
      </c>
      <c r="AJ4458">
        <v>34.073538999999997</v>
      </c>
      <c r="AK4458" t="s">
        <v>1395</v>
      </c>
      <c r="AL4458">
        <v>-117.044928</v>
      </c>
      <c r="AM4458">
        <v>100</v>
      </c>
      <c r="AN4458">
        <v>4800</v>
      </c>
      <c r="AO4458" t="s">
        <v>118</v>
      </c>
      <c r="AP4458">
        <v>-99</v>
      </c>
      <c r="AQ4458">
        <v>23</v>
      </c>
      <c r="AR4458">
        <v>-832</v>
      </c>
      <c r="AZ4458">
        <v>1200</v>
      </c>
      <c r="BA4458">
        <v>1</v>
      </c>
      <c r="BB4458" t="str">
        <f t="shared" si="2489"/>
        <v xml:space="preserve">N9217B  </v>
      </c>
      <c r="BC4458">
        <v>1</v>
      </c>
      <c r="BE4458">
        <v>0</v>
      </c>
      <c r="BF4458">
        <v>0</v>
      </c>
      <c r="BG4458">
        <v>0</v>
      </c>
      <c r="BH4458">
        <v>4650</v>
      </c>
      <c r="BI4458">
        <v>1</v>
      </c>
      <c r="BJ4458">
        <v>0</v>
      </c>
      <c r="BK4458">
        <v>0</v>
      </c>
      <c r="BL4458">
        <v>0</v>
      </c>
      <c r="BO4458">
        <v>0</v>
      </c>
      <c r="BP4458">
        <v>0</v>
      </c>
      <c r="BW4458" t="str">
        <f t="shared" si="2508"/>
        <v>15:00:09.648</v>
      </c>
      <c r="CJ4458">
        <v>0</v>
      </c>
      <c r="CK4458">
        <v>2</v>
      </c>
      <c r="CL4458">
        <v>0</v>
      </c>
      <c r="CM4458">
        <v>2</v>
      </c>
      <c r="CN4458">
        <v>0</v>
      </c>
      <c r="CO4458">
        <v>5</v>
      </c>
      <c r="CP4458" t="s">
        <v>119</v>
      </c>
      <c r="CQ4458">
        <v>298</v>
      </c>
      <c r="CR4458">
        <v>0</v>
      </c>
      <c r="CW4458">
        <v>10480220</v>
      </c>
      <c r="CY4458">
        <v>0</v>
      </c>
      <c r="CZ4458">
        <v>0</v>
      </c>
      <c r="DA4458">
        <v>1</v>
      </c>
      <c r="DB4458">
        <v>0</v>
      </c>
      <c r="DC4458">
        <v>0</v>
      </c>
      <c r="DD4458">
        <v>0</v>
      </c>
      <c r="DE4458">
        <v>0</v>
      </c>
      <c r="DF4458">
        <v>0</v>
      </c>
      <c r="DG4458">
        <v>0</v>
      </c>
      <c r="DH4458">
        <v>0</v>
      </c>
      <c r="DI4458">
        <v>0</v>
      </c>
    </row>
    <row r="4459" spans="1:113" x14ac:dyDescent="0.25">
      <c r="A4459" t="str">
        <f t="shared" ref="A4459:A4464" si="2509">"06/05/2020 15:00:04.858"</f>
        <v>06/05/2020 15:00:04.858</v>
      </c>
      <c r="C4459" t="str">
        <f t="shared" si="2504"/>
        <v>FFDFD3C0</v>
      </c>
      <c r="D4459" t="s">
        <v>113</v>
      </c>
      <c r="E4459">
        <v>3</v>
      </c>
      <c r="H4459">
        <v>166</v>
      </c>
      <c r="I4459" t="s">
        <v>114</v>
      </c>
      <c r="J4459" t="s">
        <v>115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 t="shared" ref="S4459:S4464" si="2510">"15:00:10.516"</f>
        <v>15:00:10.516</v>
      </c>
      <c r="T4459" t="str">
        <f t="shared" ref="T4459:T4464" si="2511">"15:00:10.016"</f>
        <v>15:00:10.016</v>
      </c>
      <c r="U4459" t="str">
        <f t="shared" si="2485"/>
        <v>ACC530</v>
      </c>
      <c r="V4459">
        <v>0</v>
      </c>
      <c r="W4459">
        <v>0</v>
      </c>
      <c r="X4459">
        <v>1</v>
      </c>
      <c r="Z4459">
        <v>0</v>
      </c>
      <c r="AA4459">
        <v>9</v>
      </c>
      <c r="AB4459">
        <v>3</v>
      </c>
      <c r="AC4459">
        <v>0</v>
      </c>
      <c r="AD4459">
        <v>9</v>
      </c>
      <c r="AE4459">
        <v>0</v>
      </c>
      <c r="AF4459">
        <v>3</v>
      </c>
      <c r="AG4459">
        <v>1</v>
      </c>
      <c r="AH4459">
        <v>0</v>
      </c>
      <c r="AI4459" t="s">
        <v>1396</v>
      </c>
      <c r="AJ4459">
        <v>34.073645999999997</v>
      </c>
      <c r="AK4459" t="s">
        <v>1397</v>
      </c>
      <c r="AL4459">
        <v>-117.045379</v>
      </c>
      <c r="AM4459">
        <v>100</v>
      </c>
      <c r="AN4459">
        <v>4800</v>
      </c>
      <c r="AO4459" t="s">
        <v>118</v>
      </c>
      <c r="AP4459">
        <v>-99</v>
      </c>
      <c r="AQ4459">
        <v>23</v>
      </c>
      <c r="AR4459">
        <v>-896</v>
      </c>
      <c r="AZ4459">
        <v>1200</v>
      </c>
      <c r="BA4459">
        <v>1</v>
      </c>
      <c r="BB4459" t="str">
        <f t="shared" si="2489"/>
        <v xml:space="preserve">N9217B  </v>
      </c>
      <c r="BC4459">
        <v>1</v>
      </c>
      <c r="BE4459">
        <v>0</v>
      </c>
      <c r="BF4459">
        <v>0</v>
      </c>
      <c r="BG4459">
        <v>0</v>
      </c>
      <c r="BH4459">
        <v>4650</v>
      </c>
      <c r="BI4459">
        <v>1</v>
      </c>
      <c r="BJ4459">
        <v>0</v>
      </c>
      <c r="BK4459">
        <v>0</v>
      </c>
      <c r="BL4459">
        <v>0</v>
      </c>
      <c r="BO4459">
        <v>0</v>
      </c>
      <c r="BP4459">
        <v>0</v>
      </c>
      <c r="BW4459" t="str">
        <f t="shared" ref="BW4459:BW4464" si="2512">"15:00:10.517"</f>
        <v>15:00:10.517</v>
      </c>
      <c r="CJ4459">
        <v>0</v>
      </c>
      <c r="CK4459">
        <v>2</v>
      </c>
      <c r="CL4459">
        <v>0</v>
      </c>
      <c r="CM4459">
        <v>2</v>
      </c>
      <c r="CN4459">
        <v>0</v>
      </c>
      <c r="CO4459">
        <v>5</v>
      </c>
      <c r="CP4459" t="s">
        <v>119</v>
      </c>
      <c r="CQ4459">
        <v>298</v>
      </c>
      <c r="CR4459">
        <v>0</v>
      </c>
      <c r="CW4459">
        <v>10480327</v>
      </c>
      <c r="CY4459">
        <v>0</v>
      </c>
      <c r="CZ4459">
        <v>0</v>
      </c>
      <c r="DA4459">
        <v>0</v>
      </c>
      <c r="DB4459">
        <v>0</v>
      </c>
      <c r="DC4459">
        <v>0</v>
      </c>
      <c r="DD4459">
        <v>0</v>
      </c>
      <c r="DE4459">
        <v>0</v>
      </c>
      <c r="DF4459">
        <v>0</v>
      </c>
      <c r="DG4459">
        <v>0</v>
      </c>
      <c r="DH4459">
        <v>0</v>
      </c>
      <c r="DI4459">
        <v>0</v>
      </c>
    </row>
    <row r="4460" spans="1:113" x14ac:dyDescent="0.25">
      <c r="A4460" t="str">
        <f t="shared" si="2509"/>
        <v>06/05/2020 15:00:04.858</v>
      </c>
      <c r="C4460" t="str">
        <f t="shared" si="2504"/>
        <v>FFDFD3C0</v>
      </c>
      <c r="D4460" t="s">
        <v>151</v>
      </c>
      <c r="E4460">
        <v>8</v>
      </c>
      <c r="H4460">
        <v>225</v>
      </c>
      <c r="I4460" t="s">
        <v>353</v>
      </c>
      <c r="J4460" t="s">
        <v>150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 t="shared" si="2510"/>
        <v>15:00:10.516</v>
      </c>
      <c r="T4460" t="str">
        <f t="shared" si="2511"/>
        <v>15:00:10.016</v>
      </c>
      <c r="U4460" t="str">
        <f t="shared" si="2485"/>
        <v>ACC530</v>
      </c>
      <c r="V4460">
        <v>0</v>
      </c>
      <c r="W4460">
        <v>0</v>
      </c>
      <c r="X4460">
        <v>1</v>
      </c>
      <c r="Z4460">
        <v>0</v>
      </c>
      <c r="AA4460">
        <v>9</v>
      </c>
      <c r="AB4460">
        <v>3</v>
      </c>
      <c r="AC4460">
        <v>0</v>
      </c>
      <c r="AD4460">
        <v>9</v>
      </c>
      <c r="AE4460">
        <v>0</v>
      </c>
      <c r="AF4460">
        <v>3</v>
      </c>
      <c r="AG4460">
        <v>1</v>
      </c>
      <c r="AH4460">
        <v>0</v>
      </c>
      <c r="AI4460" t="s">
        <v>1396</v>
      </c>
      <c r="AJ4460">
        <v>34.073645999999997</v>
      </c>
      <c r="AK4460" t="s">
        <v>1397</v>
      </c>
      <c r="AL4460">
        <v>-117.045379</v>
      </c>
      <c r="AM4460">
        <v>100</v>
      </c>
      <c r="AN4460">
        <v>4800</v>
      </c>
      <c r="AO4460" t="s">
        <v>118</v>
      </c>
      <c r="AP4460">
        <v>-99</v>
      </c>
      <c r="AQ4460">
        <v>23</v>
      </c>
      <c r="AR4460">
        <v>-896</v>
      </c>
      <c r="AZ4460">
        <v>1200</v>
      </c>
      <c r="BA4460">
        <v>1</v>
      </c>
      <c r="BB4460" t="str">
        <f t="shared" si="2489"/>
        <v xml:space="preserve">N9217B  </v>
      </c>
      <c r="BC4460">
        <v>1</v>
      </c>
      <c r="BE4460">
        <v>0</v>
      </c>
      <c r="BF4460">
        <v>0</v>
      </c>
      <c r="BG4460">
        <v>0</v>
      </c>
      <c r="BH4460">
        <v>4650</v>
      </c>
      <c r="BI4460">
        <v>1</v>
      </c>
      <c r="BJ4460">
        <v>0</v>
      </c>
      <c r="BK4460">
        <v>0</v>
      </c>
      <c r="BL4460">
        <v>0</v>
      </c>
      <c r="BO4460">
        <v>0</v>
      </c>
      <c r="BP4460">
        <v>0</v>
      </c>
      <c r="BW4460" t="str">
        <f t="shared" si="2512"/>
        <v>15:00:10.517</v>
      </c>
      <c r="CJ4460">
        <v>0</v>
      </c>
      <c r="CK4460">
        <v>2</v>
      </c>
      <c r="CL4460">
        <v>0</v>
      </c>
      <c r="CM4460">
        <v>2</v>
      </c>
      <c r="CN4460">
        <v>0</v>
      </c>
      <c r="CO4460">
        <v>5</v>
      </c>
      <c r="CP4460" t="s">
        <v>119</v>
      </c>
      <c r="CQ4460">
        <v>298</v>
      </c>
      <c r="CR4460">
        <v>0</v>
      </c>
      <c r="CW4460">
        <v>10480327</v>
      </c>
      <c r="CY4460">
        <v>0</v>
      </c>
      <c r="CZ4460">
        <v>0</v>
      </c>
      <c r="DA4460">
        <v>1</v>
      </c>
      <c r="DB4460">
        <v>0</v>
      </c>
      <c r="DC4460">
        <v>0</v>
      </c>
      <c r="DD4460">
        <v>0</v>
      </c>
      <c r="DE4460">
        <v>0</v>
      </c>
      <c r="DF4460">
        <v>0</v>
      </c>
      <c r="DG4460">
        <v>0</v>
      </c>
      <c r="DH4460">
        <v>0</v>
      </c>
      <c r="DI4460">
        <v>0</v>
      </c>
    </row>
    <row r="4461" spans="1:113" x14ac:dyDescent="0.25">
      <c r="A4461" t="str">
        <f t="shared" si="2509"/>
        <v>06/05/2020 15:00:04.858</v>
      </c>
      <c r="C4461" t="str">
        <f t="shared" si="2504"/>
        <v>FFDFD3C0</v>
      </c>
      <c r="D4461" t="s">
        <v>134</v>
      </c>
      <c r="E4461">
        <v>7</v>
      </c>
      <c r="F4461">
        <v>2007</v>
      </c>
      <c r="G4461" t="s">
        <v>135</v>
      </c>
      <c r="J4461" t="s">
        <v>136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 t="shared" si="2510"/>
        <v>15:00:10.516</v>
      </c>
      <c r="T4461" t="str">
        <f t="shared" si="2511"/>
        <v>15:00:10.016</v>
      </c>
      <c r="U4461" t="str">
        <f t="shared" si="2485"/>
        <v>ACC530</v>
      </c>
      <c r="V4461">
        <v>0</v>
      </c>
      <c r="W4461">
        <v>0</v>
      </c>
      <c r="X4461">
        <v>1</v>
      </c>
      <c r="Z4461">
        <v>0</v>
      </c>
      <c r="AA4461">
        <v>9</v>
      </c>
      <c r="AB4461">
        <v>3</v>
      </c>
      <c r="AC4461">
        <v>0</v>
      </c>
      <c r="AD4461">
        <v>9</v>
      </c>
      <c r="AE4461">
        <v>0</v>
      </c>
      <c r="AF4461">
        <v>3</v>
      </c>
      <c r="AG4461">
        <v>1</v>
      </c>
      <c r="AH4461">
        <v>0</v>
      </c>
      <c r="AI4461" t="s">
        <v>1396</v>
      </c>
      <c r="AJ4461">
        <v>34.073645999999997</v>
      </c>
      <c r="AK4461" t="s">
        <v>1397</v>
      </c>
      <c r="AL4461">
        <v>-117.045379</v>
      </c>
      <c r="AM4461">
        <v>100</v>
      </c>
      <c r="AN4461">
        <v>4800</v>
      </c>
      <c r="AO4461" t="s">
        <v>118</v>
      </c>
      <c r="AP4461">
        <v>-99</v>
      </c>
      <c r="AQ4461">
        <v>23</v>
      </c>
      <c r="AR4461">
        <v>-896</v>
      </c>
      <c r="AZ4461">
        <v>1200</v>
      </c>
      <c r="BA4461">
        <v>1</v>
      </c>
      <c r="BB4461" t="str">
        <f t="shared" si="2489"/>
        <v xml:space="preserve">N9217B  </v>
      </c>
      <c r="BC4461">
        <v>1</v>
      </c>
      <c r="BE4461">
        <v>0</v>
      </c>
      <c r="BF4461">
        <v>0</v>
      </c>
      <c r="BG4461">
        <v>0</v>
      </c>
      <c r="BH4461">
        <v>4650</v>
      </c>
      <c r="BI4461">
        <v>1</v>
      </c>
      <c r="BJ4461">
        <v>0</v>
      </c>
      <c r="BK4461">
        <v>0</v>
      </c>
      <c r="BL4461">
        <v>0</v>
      </c>
      <c r="BO4461">
        <v>0</v>
      </c>
      <c r="BP4461">
        <v>0</v>
      </c>
      <c r="BW4461" t="str">
        <f t="shared" si="2512"/>
        <v>15:00:10.517</v>
      </c>
      <c r="CJ4461">
        <v>0</v>
      </c>
      <c r="CK4461">
        <v>2</v>
      </c>
      <c r="CL4461">
        <v>0</v>
      </c>
      <c r="CM4461">
        <v>2</v>
      </c>
      <c r="CN4461">
        <v>0</v>
      </c>
      <c r="CO4461">
        <v>5</v>
      </c>
      <c r="CP4461" t="s">
        <v>119</v>
      </c>
      <c r="CQ4461">
        <v>298</v>
      </c>
      <c r="CR4461">
        <v>0</v>
      </c>
      <c r="CW4461">
        <v>10480327</v>
      </c>
      <c r="CY4461">
        <v>0</v>
      </c>
      <c r="CZ4461">
        <v>0</v>
      </c>
      <c r="DA4461">
        <v>1</v>
      </c>
      <c r="DB4461">
        <v>0</v>
      </c>
      <c r="DC4461">
        <v>0</v>
      </c>
      <c r="DD4461">
        <v>0</v>
      </c>
      <c r="DE4461">
        <v>0</v>
      </c>
      <c r="DF4461">
        <v>0</v>
      </c>
      <c r="DG4461">
        <v>0</v>
      </c>
      <c r="DH4461">
        <v>0</v>
      </c>
      <c r="DI4461">
        <v>0</v>
      </c>
    </row>
    <row r="4462" spans="1:113" x14ac:dyDescent="0.25">
      <c r="A4462" t="str">
        <f t="shared" si="2509"/>
        <v>06/05/2020 15:00:04.858</v>
      </c>
      <c r="C4462" t="str">
        <f t="shared" si="2504"/>
        <v>FFDFD3C0</v>
      </c>
      <c r="D4462" t="s">
        <v>148</v>
      </c>
      <c r="E4462">
        <v>11</v>
      </c>
      <c r="H4462">
        <v>53</v>
      </c>
      <c r="I4462" t="s">
        <v>364</v>
      </c>
      <c r="J4462" t="s">
        <v>150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 t="shared" si="2510"/>
        <v>15:00:10.516</v>
      </c>
      <c r="T4462" t="str">
        <f t="shared" si="2511"/>
        <v>15:00:10.016</v>
      </c>
      <c r="U4462" t="str">
        <f t="shared" si="2485"/>
        <v>ACC530</v>
      </c>
      <c r="V4462">
        <v>0</v>
      </c>
      <c r="W4462">
        <v>0</v>
      </c>
      <c r="X4462">
        <v>1</v>
      </c>
      <c r="Z4462">
        <v>0</v>
      </c>
      <c r="AA4462">
        <v>9</v>
      </c>
      <c r="AB4462">
        <v>3</v>
      </c>
      <c r="AC4462">
        <v>0</v>
      </c>
      <c r="AD4462">
        <v>9</v>
      </c>
      <c r="AE4462">
        <v>0</v>
      </c>
      <c r="AF4462">
        <v>3</v>
      </c>
      <c r="AG4462">
        <v>1</v>
      </c>
      <c r="AH4462">
        <v>0</v>
      </c>
      <c r="AI4462" t="s">
        <v>1396</v>
      </c>
      <c r="AJ4462">
        <v>34.073645999999997</v>
      </c>
      <c r="AK4462" t="s">
        <v>1397</v>
      </c>
      <c r="AL4462">
        <v>-117.045379</v>
      </c>
      <c r="AM4462">
        <v>100</v>
      </c>
      <c r="AN4462">
        <v>4800</v>
      </c>
      <c r="AO4462" t="s">
        <v>118</v>
      </c>
      <c r="AP4462">
        <v>-99</v>
      </c>
      <c r="AQ4462">
        <v>23</v>
      </c>
      <c r="AR4462">
        <v>-896</v>
      </c>
      <c r="AZ4462">
        <v>1200</v>
      </c>
      <c r="BA4462">
        <v>1</v>
      </c>
      <c r="BB4462" t="str">
        <f t="shared" si="2489"/>
        <v xml:space="preserve">N9217B  </v>
      </c>
      <c r="BC4462">
        <v>1</v>
      </c>
      <c r="BE4462">
        <v>0</v>
      </c>
      <c r="BF4462">
        <v>0</v>
      </c>
      <c r="BG4462">
        <v>0</v>
      </c>
      <c r="BH4462">
        <v>4650</v>
      </c>
      <c r="BI4462">
        <v>1</v>
      </c>
      <c r="BJ4462">
        <v>0</v>
      </c>
      <c r="BK4462">
        <v>0</v>
      </c>
      <c r="BL4462">
        <v>0</v>
      </c>
      <c r="BO4462">
        <v>0</v>
      </c>
      <c r="BP4462">
        <v>0</v>
      </c>
      <c r="BW4462" t="str">
        <f t="shared" si="2512"/>
        <v>15:00:10.517</v>
      </c>
      <c r="CJ4462">
        <v>0</v>
      </c>
      <c r="CK4462">
        <v>2</v>
      </c>
      <c r="CL4462">
        <v>0</v>
      </c>
      <c r="CM4462">
        <v>2</v>
      </c>
      <c r="CN4462">
        <v>0</v>
      </c>
      <c r="CO4462">
        <v>5</v>
      </c>
      <c r="CP4462" t="s">
        <v>119</v>
      </c>
      <c r="CQ4462">
        <v>298</v>
      </c>
      <c r="CR4462">
        <v>0</v>
      </c>
      <c r="CW4462">
        <v>10480327</v>
      </c>
      <c r="CY4462">
        <v>0</v>
      </c>
      <c r="CZ4462">
        <v>0</v>
      </c>
      <c r="DA4462">
        <v>1</v>
      </c>
      <c r="DB4462">
        <v>0</v>
      </c>
      <c r="DC4462">
        <v>0</v>
      </c>
      <c r="DD4462">
        <v>0</v>
      </c>
      <c r="DE4462">
        <v>0</v>
      </c>
      <c r="DF4462">
        <v>0</v>
      </c>
      <c r="DG4462">
        <v>0</v>
      </c>
      <c r="DH4462">
        <v>0</v>
      </c>
      <c r="DI4462">
        <v>0</v>
      </c>
    </row>
    <row r="4463" spans="1:113" x14ac:dyDescent="0.25">
      <c r="A4463" t="str">
        <f t="shared" si="2509"/>
        <v>06/05/2020 15:00:04.858</v>
      </c>
      <c r="C4463" t="str">
        <f t="shared" si="2504"/>
        <v>FFDFD3C0</v>
      </c>
      <c r="D4463" t="s">
        <v>148</v>
      </c>
      <c r="E4463">
        <v>8</v>
      </c>
      <c r="H4463">
        <v>50</v>
      </c>
      <c r="I4463" t="s">
        <v>149</v>
      </c>
      <c r="J4463" t="s">
        <v>150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 t="shared" si="2510"/>
        <v>15:00:10.516</v>
      </c>
      <c r="T4463" t="str">
        <f t="shared" si="2511"/>
        <v>15:00:10.016</v>
      </c>
      <c r="U4463" t="str">
        <f t="shared" si="2485"/>
        <v>ACC530</v>
      </c>
      <c r="V4463">
        <v>0</v>
      </c>
      <c r="W4463">
        <v>0</v>
      </c>
      <c r="X4463">
        <v>1</v>
      </c>
      <c r="Z4463">
        <v>0</v>
      </c>
      <c r="AA4463">
        <v>9</v>
      </c>
      <c r="AB4463">
        <v>3</v>
      </c>
      <c r="AC4463">
        <v>0</v>
      </c>
      <c r="AD4463">
        <v>9</v>
      </c>
      <c r="AE4463">
        <v>0</v>
      </c>
      <c r="AF4463">
        <v>3</v>
      </c>
      <c r="AG4463">
        <v>1</v>
      </c>
      <c r="AH4463">
        <v>0</v>
      </c>
      <c r="AI4463" t="s">
        <v>1396</v>
      </c>
      <c r="AJ4463">
        <v>34.073645999999997</v>
      </c>
      <c r="AK4463" t="s">
        <v>1397</v>
      </c>
      <c r="AL4463">
        <v>-117.045379</v>
      </c>
      <c r="AM4463">
        <v>100</v>
      </c>
      <c r="AN4463">
        <v>4800</v>
      </c>
      <c r="AO4463" t="s">
        <v>118</v>
      </c>
      <c r="AP4463">
        <v>-99</v>
      </c>
      <c r="AQ4463">
        <v>23</v>
      </c>
      <c r="AR4463">
        <v>-896</v>
      </c>
      <c r="AZ4463">
        <v>1200</v>
      </c>
      <c r="BA4463">
        <v>1</v>
      </c>
      <c r="BB4463" t="str">
        <f t="shared" si="2489"/>
        <v xml:space="preserve">N9217B  </v>
      </c>
      <c r="BC4463">
        <v>1</v>
      </c>
      <c r="BE4463">
        <v>0</v>
      </c>
      <c r="BF4463">
        <v>0</v>
      </c>
      <c r="BG4463">
        <v>0</v>
      </c>
      <c r="BH4463">
        <v>4650</v>
      </c>
      <c r="BI4463">
        <v>1</v>
      </c>
      <c r="BJ4463">
        <v>0</v>
      </c>
      <c r="BK4463">
        <v>0</v>
      </c>
      <c r="BL4463">
        <v>0</v>
      </c>
      <c r="BO4463">
        <v>0</v>
      </c>
      <c r="BP4463">
        <v>0</v>
      </c>
      <c r="BW4463" t="str">
        <f t="shared" si="2512"/>
        <v>15:00:10.517</v>
      </c>
      <c r="CJ4463">
        <v>0</v>
      </c>
      <c r="CK4463">
        <v>2</v>
      </c>
      <c r="CL4463">
        <v>0</v>
      </c>
      <c r="CM4463">
        <v>2</v>
      </c>
      <c r="CN4463">
        <v>0</v>
      </c>
      <c r="CO4463">
        <v>5</v>
      </c>
      <c r="CP4463" t="s">
        <v>119</v>
      </c>
      <c r="CQ4463">
        <v>298</v>
      </c>
      <c r="CR4463">
        <v>0</v>
      </c>
      <c r="CW4463">
        <v>10480327</v>
      </c>
      <c r="CY4463">
        <v>0</v>
      </c>
      <c r="CZ4463">
        <v>0</v>
      </c>
      <c r="DA4463">
        <v>1</v>
      </c>
      <c r="DB4463">
        <v>0</v>
      </c>
      <c r="DC4463">
        <v>0</v>
      </c>
      <c r="DD4463">
        <v>0</v>
      </c>
      <c r="DE4463">
        <v>0</v>
      </c>
      <c r="DF4463">
        <v>0</v>
      </c>
      <c r="DG4463">
        <v>0</v>
      </c>
      <c r="DH4463">
        <v>0</v>
      </c>
      <c r="DI4463">
        <v>0</v>
      </c>
    </row>
    <row r="4464" spans="1:113" x14ac:dyDescent="0.25">
      <c r="A4464" t="str">
        <f t="shared" si="2509"/>
        <v>06/05/2020 15:00:04.858</v>
      </c>
      <c r="C4464" t="str">
        <f t="shared" si="2504"/>
        <v>FFDFD3C0</v>
      </c>
      <c r="D4464" t="s">
        <v>141</v>
      </c>
      <c r="E4464">
        <v>20</v>
      </c>
      <c r="F4464">
        <v>1020</v>
      </c>
      <c r="G4464" t="s">
        <v>114</v>
      </c>
      <c r="J4464" t="s">
        <v>142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 t="shared" si="2510"/>
        <v>15:00:10.516</v>
      </c>
      <c r="T4464" t="str">
        <f t="shared" si="2511"/>
        <v>15:00:10.016</v>
      </c>
      <c r="U4464" t="str">
        <f t="shared" si="2485"/>
        <v>ACC530</v>
      </c>
      <c r="V4464">
        <v>0</v>
      </c>
      <c r="W4464">
        <v>0</v>
      </c>
      <c r="X4464">
        <v>1</v>
      </c>
      <c r="Z4464">
        <v>0</v>
      </c>
      <c r="AA4464">
        <v>9</v>
      </c>
      <c r="AB4464">
        <v>3</v>
      </c>
      <c r="AC4464">
        <v>0</v>
      </c>
      <c r="AD4464">
        <v>9</v>
      </c>
      <c r="AE4464">
        <v>0</v>
      </c>
      <c r="AF4464">
        <v>3</v>
      </c>
      <c r="AG4464">
        <v>1</v>
      </c>
      <c r="AH4464">
        <v>0</v>
      </c>
      <c r="AI4464" t="s">
        <v>1396</v>
      </c>
      <c r="AJ4464">
        <v>34.073645999999997</v>
      </c>
      <c r="AK4464" t="s">
        <v>1397</v>
      </c>
      <c r="AL4464">
        <v>-117.045379</v>
      </c>
      <c r="AM4464">
        <v>100</v>
      </c>
      <c r="AN4464">
        <v>4800</v>
      </c>
      <c r="AO4464" t="s">
        <v>118</v>
      </c>
      <c r="AP4464">
        <v>-99</v>
      </c>
      <c r="AQ4464">
        <v>23</v>
      </c>
      <c r="AR4464">
        <v>-896</v>
      </c>
      <c r="AZ4464">
        <v>1200</v>
      </c>
      <c r="BA4464">
        <v>1</v>
      </c>
      <c r="BB4464" t="str">
        <f t="shared" si="2489"/>
        <v xml:space="preserve">N9217B  </v>
      </c>
      <c r="BC4464">
        <v>1</v>
      </c>
      <c r="BE4464">
        <v>0</v>
      </c>
      <c r="BF4464">
        <v>0</v>
      </c>
      <c r="BG4464">
        <v>0</v>
      </c>
      <c r="BH4464">
        <v>4650</v>
      </c>
      <c r="BI4464">
        <v>1</v>
      </c>
      <c r="BJ4464">
        <v>0</v>
      </c>
      <c r="BK4464">
        <v>0</v>
      </c>
      <c r="BL4464">
        <v>0</v>
      </c>
      <c r="BO4464">
        <v>0</v>
      </c>
      <c r="BP4464">
        <v>0</v>
      </c>
      <c r="BW4464" t="str">
        <f t="shared" si="2512"/>
        <v>15:00:10.517</v>
      </c>
      <c r="CJ4464">
        <v>0</v>
      </c>
      <c r="CK4464">
        <v>2</v>
      </c>
      <c r="CL4464">
        <v>0</v>
      </c>
      <c r="CM4464">
        <v>2</v>
      </c>
      <c r="CN4464">
        <v>0</v>
      </c>
      <c r="CO4464">
        <v>5</v>
      </c>
      <c r="CP4464" t="s">
        <v>119</v>
      </c>
      <c r="CQ4464">
        <v>298</v>
      </c>
      <c r="CR4464">
        <v>0</v>
      </c>
      <c r="CW4464">
        <v>10480327</v>
      </c>
      <c r="CY4464">
        <v>0</v>
      </c>
      <c r="CZ4464">
        <v>0</v>
      </c>
      <c r="DA4464">
        <v>1</v>
      </c>
      <c r="DB4464">
        <v>0</v>
      </c>
      <c r="DC4464">
        <v>0</v>
      </c>
      <c r="DD4464">
        <v>0</v>
      </c>
      <c r="DE4464">
        <v>0</v>
      </c>
      <c r="DF4464">
        <v>0</v>
      </c>
      <c r="DG4464">
        <v>0</v>
      </c>
      <c r="DH4464">
        <v>0</v>
      </c>
      <c r="DI4464">
        <v>0</v>
      </c>
    </row>
    <row r="4465" spans="1:113" x14ac:dyDescent="0.25">
      <c r="A4465" t="str">
        <f t="shared" ref="A4465:A4470" si="2513">"06/05/2020 15:00:06.011"</f>
        <v>06/05/2020 15:00:06.011</v>
      </c>
      <c r="C4465" t="str">
        <f t="shared" si="2504"/>
        <v>FFDFD3C0</v>
      </c>
      <c r="D4465" t="s">
        <v>141</v>
      </c>
      <c r="E4465">
        <v>20</v>
      </c>
      <c r="F4465">
        <v>1020</v>
      </c>
      <c r="G4465" t="s">
        <v>114</v>
      </c>
      <c r="J4465" t="s">
        <v>142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 t="shared" ref="S4465:T4470" si="2514">"15:00:11.641"</f>
        <v>15:00:11.641</v>
      </c>
      <c r="T4465" t="str">
        <f t="shared" si="2514"/>
        <v>15:00:11.641</v>
      </c>
      <c r="U4465" t="str">
        <f t="shared" si="2485"/>
        <v>ACC530</v>
      </c>
      <c r="V4465">
        <v>0</v>
      </c>
      <c r="W4465">
        <v>0</v>
      </c>
      <c r="X4465">
        <v>1</v>
      </c>
      <c r="Z4465">
        <v>0</v>
      </c>
      <c r="AA4465">
        <v>9</v>
      </c>
      <c r="AB4465">
        <v>3</v>
      </c>
      <c r="AC4465">
        <v>0</v>
      </c>
      <c r="AD4465">
        <v>9</v>
      </c>
      <c r="AE4465">
        <v>0</v>
      </c>
      <c r="AF4465">
        <v>3</v>
      </c>
      <c r="AG4465">
        <v>1</v>
      </c>
      <c r="AH4465">
        <v>0</v>
      </c>
      <c r="AI4465" t="s">
        <v>1398</v>
      </c>
      <c r="AJ4465">
        <v>34.073732</v>
      </c>
      <c r="AK4465" t="s">
        <v>1399</v>
      </c>
      <c r="AL4465">
        <v>-117.04604399999999</v>
      </c>
      <c r="AM4465">
        <v>100</v>
      </c>
      <c r="AN4465">
        <v>4800</v>
      </c>
      <c r="AO4465" t="s">
        <v>118</v>
      </c>
      <c r="AP4465">
        <v>-99</v>
      </c>
      <c r="AQ4465">
        <v>22</v>
      </c>
      <c r="AR4465">
        <v>-1280</v>
      </c>
      <c r="AZ4465">
        <v>1200</v>
      </c>
      <c r="BA4465">
        <v>1</v>
      </c>
      <c r="BB4465" t="str">
        <f t="shared" si="2489"/>
        <v xml:space="preserve">N9217B  </v>
      </c>
      <c r="BC4465">
        <v>1</v>
      </c>
      <c r="BE4465">
        <v>0</v>
      </c>
      <c r="BF4465">
        <v>0</v>
      </c>
      <c r="BG4465">
        <v>0</v>
      </c>
      <c r="BH4465">
        <v>4625</v>
      </c>
      <c r="BI4465">
        <v>1</v>
      </c>
      <c r="BJ4465">
        <v>0</v>
      </c>
      <c r="BK4465">
        <v>0</v>
      </c>
      <c r="BL4465">
        <v>0</v>
      </c>
      <c r="BO4465">
        <v>0</v>
      </c>
      <c r="BP4465">
        <v>0</v>
      </c>
      <c r="BW4465" t="str">
        <f t="shared" ref="BW4465:BW4470" si="2515">"15:00:11.642"</f>
        <v>15:00:11.642</v>
      </c>
      <c r="CJ4465">
        <v>0</v>
      </c>
      <c r="CK4465">
        <v>2</v>
      </c>
      <c r="CL4465">
        <v>0</v>
      </c>
      <c r="CM4465">
        <v>2</v>
      </c>
      <c r="CN4465">
        <v>0</v>
      </c>
      <c r="CO4465">
        <v>5</v>
      </c>
      <c r="CP4465" t="s">
        <v>119</v>
      </c>
      <c r="CQ4465">
        <v>298</v>
      </c>
      <c r="CR4465">
        <v>0</v>
      </c>
      <c r="CW4465">
        <v>10480477</v>
      </c>
      <c r="CY4465">
        <v>0</v>
      </c>
      <c r="CZ4465">
        <v>0</v>
      </c>
      <c r="DA4465">
        <v>0</v>
      </c>
      <c r="DB4465">
        <v>0</v>
      </c>
      <c r="DC4465">
        <v>0</v>
      </c>
      <c r="DD4465">
        <v>0</v>
      </c>
      <c r="DE4465">
        <v>0</v>
      </c>
      <c r="DF4465">
        <v>0</v>
      </c>
      <c r="DG4465">
        <v>0</v>
      </c>
      <c r="DH4465">
        <v>0</v>
      </c>
      <c r="DI4465">
        <v>0</v>
      </c>
    </row>
    <row r="4466" spans="1:113" x14ac:dyDescent="0.25">
      <c r="A4466" t="str">
        <f t="shared" si="2513"/>
        <v>06/05/2020 15:00:06.011</v>
      </c>
      <c r="C4466" t="str">
        <f t="shared" si="2504"/>
        <v>FFDFD3C0</v>
      </c>
      <c r="D4466" t="s">
        <v>148</v>
      </c>
      <c r="E4466">
        <v>8</v>
      </c>
      <c r="H4466">
        <v>50</v>
      </c>
      <c r="I4466" t="s">
        <v>149</v>
      </c>
      <c r="J4466" t="s">
        <v>150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 t="shared" si="2514"/>
        <v>15:00:11.641</v>
      </c>
      <c r="T4466" t="str">
        <f t="shared" si="2514"/>
        <v>15:00:11.641</v>
      </c>
      <c r="U4466" t="str">
        <f t="shared" si="2485"/>
        <v>ACC530</v>
      </c>
      <c r="V4466">
        <v>0</v>
      </c>
      <c r="W4466">
        <v>0</v>
      </c>
      <c r="X4466">
        <v>1</v>
      </c>
      <c r="Z4466">
        <v>0</v>
      </c>
      <c r="AA4466">
        <v>9</v>
      </c>
      <c r="AB4466">
        <v>3</v>
      </c>
      <c r="AC4466">
        <v>0</v>
      </c>
      <c r="AD4466">
        <v>9</v>
      </c>
      <c r="AE4466">
        <v>0</v>
      </c>
      <c r="AF4466">
        <v>3</v>
      </c>
      <c r="AG4466">
        <v>1</v>
      </c>
      <c r="AH4466">
        <v>0</v>
      </c>
      <c r="AI4466" t="s">
        <v>1398</v>
      </c>
      <c r="AJ4466">
        <v>34.073732</v>
      </c>
      <c r="AK4466" t="s">
        <v>1399</v>
      </c>
      <c r="AL4466">
        <v>-117.04604399999999</v>
      </c>
      <c r="AM4466">
        <v>100</v>
      </c>
      <c r="AN4466">
        <v>4800</v>
      </c>
      <c r="AO4466" t="s">
        <v>118</v>
      </c>
      <c r="AP4466">
        <v>-99</v>
      </c>
      <c r="AQ4466">
        <v>22</v>
      </c>
      <c r="AR4466">
        <v>-1280</v>
      </c>
      <c r="AZ4466">
        <v>1200</v>
      </c>
      <c r="BA4466">
        <v>1</v>
      </c>
      <c r="BB4466" t="str">
        <f t="shared" si="2489"/>
        <v xml:space="preserve">N9217B  </v>
      </c>
      <c r="BC4466">
        <v>1</v>
      </c>
      <c r="BE4466">
        <v>0</v>
      </c>
      <c r="BF4466">
        <v>0</v>
      </c>
      <c r="BG4466">
        <v>0</v>
      </c>
      <c r="BH4466">
        <v>4625</v>
      </c>
      <c r="BI4466">
        <v>1</v>
      </c>
      <c r="BJ4466">
        <v>0</v>
      </c>
      <c r="BK4466">
        <v>0</v>
      </c>
      <c r="BL4466">
        <v>0</v>
      </c>
      <c r="BO4466">
        <v>0</v>
      </c>
      <c r="BP4466">
        <v>0</v>
      </c>
      <c r="BW4466" t="str">
        <f t="shared" si="2515"/>
        <v>15:00:11.642</v>
      </c>
      <c r="CJ4466">
        <v>0</v>
      </c>
      <c r="CK4466">
        <v>2</v>
      </c>
      <c r="CL4466">
        <v>0</v>
      </c>
      <c r="CM4466">
        <v>2</v>
      </c>
      <c r="CN4466">
        <v>0</v>
      </c>
      <c r="CO4466">
        <v>5</v>
      </c>
      <c r="CP4466" t="s">
        <v>119</v>
      </c>
      <c r="CQ4466">
        <v>298</v>
      </c>
      <c r="CR4466">
        <v>0</v>
      </c>
      <c r="CW4466">
        <v>10480477</v>
      </c>
      <c r="CY4466">
        <v>0</v>
      </c>
      <c r="CZ4466">
        <v>0</v>
      </c>
      <c r="DA4466">
        <v>1</v>
      </c>
      <c r="DB4466">
        <v>0</v>
      </c>
      <c r="DC4466">
        <v>0</v>
      </c>
      <c r="DD4466">
        <v>0</v>
      </c>
      <c r="DE4466">
        <v>0</v>
      </c>
      <c r="DF4466">
        <v>0</v>
      </c>
      <c r="DG4466">
        <v>0</v>
      </c>
      <c r="DH4466">
        <v>0</v>
      </c>
      <c r="DI4466">
        <v>0</v>
      </c>
    </row>
    <row r="4467" spans="1:113" x14ac:dyDescent="0.25">
      <c r="A4467" t="str">
        <f t="shared" si="2513"/>
        <v>06/05/2020 15:00:06.011</v>
      </c>
      <c r="C4467" t="str">
        <f t="shared" si="2504"/>
        <v>FFDFD3C0</v>
      </c>
      <c r="D4467" t="s">
        <v>113</v>
      </c>
      <c r="E4467">
        <v>3</v>
      </c>
      <c r="H4467">
        <v>166</v>
      </c>
      <c r="I4467" t="s">
        <v>114</v>
      </c>
      <c r="J4467" t="s">
        <v>115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 t="shared" si="2514"/>
        <v>15:00:11.641</v>
      </c>
      <c r="T4467" t="str">
        <f t="shared" si="2514"/>
        <v>15:00:11.641</v>
      </c>
      <c r="U4467" t="str">
        <f t="shared" si="2485"/>
        <v>ACC530</v>
      </c>
      <c r="V4467">
        <v>0</v>
      </c>
      <c r="W4467">
        <v>0</v>
      </c>
      <c r="X4467">
        <v>1</v>
      </c>
      <c r="Z4467">
        <v>0</v>
      </c>
      <c r="AA4467">
        <v>9</v>
      </c>
      <c r="AB4467">
        <v>3</v>
      </c>
      <c r="AC4467">
        <v>0</v>
      </c>
      <c r="AD4467">
        <v>9</v>
      </c>
      <c r="AE4467">
        <v>0</v>
      </c>
      <c r="AF4467">
        <v>3</v>
      </c>
      <c r="AG4467">
        <v>1</v>
      </c>
      <c r="AH4467">
        <v>0</v>
      </c>
      <c r="AI4467" t="s">
        <v>1398</v>
      </c>
      <c r="AJ4467">
        <v>34.073732</v>
      </c>
      <c r="AK4467" t="s">
        <v>1399</v>
      </c>
      <c r="AL4467">
        <v>-117.04604399999999</v>
      </c>
      <c r="AM4467">
        <v>100</v>
      </c>
      <c r="AN4467">
        <v>4800</v>
      </c>
      <c r="AO4467" t="s">
        <v>118</v>
      </c>
      <c r="AP4467">
        <v>-99</v>
      </c>
      <c r="AQ4467">
        <v>22</v>
      </c>
      <c r="AR4467">
        <v>-1280</v>
      </c>
      <c r="AZ4467">
        <v>1200</v>
      </c>
      <c r="BA4467">
        <v>1</v>
      </c>
      <c r="BB4467" t="str">
        <f t="shared" si="2489"/>
        <v xml:space="preserve">N9217B  </v>
      </c>
      <c r="BC4467">
        <v>1</v>
      </c>
      <c r="BE4467">
        <v>0</v>
      </c>
      <c r="BF4467">
        <v>0</v>
      </c>
      <c r="BG4467">
        <v>0</v>
      </c>
      <c r="BH4467">
        <v>4625</v>
      </c>
      <c r="BI4467">
        <v>1</v>
      </c>
      <c r="BJ4467">
        <v>0</v>
      </c>
      <c r="BK4467">
        <v>0</v>
      </c>
      <c r="BL4467">
        <v>0</v>
      </c>
      <c r="BO4467">
        <v>0</v>
      </c>
      <c r="BP4467">
        <v>0</v>
      </c>
      <c r="BW4467" t="str">
        <f t="shared" si="2515"/>
        <v>15:00:11.642</v>
      </c>
      <c r="CJ4467">
        <v>0</v>
      </c>
      <c r="CK4467">
        <v>2</v>
      </c>
      <c r="CL4467">
        <v>0</v>
      </c>
      <c r="CM4467">
        <v>2</v>
      </c>
      <c r="CN4467">
        <v>0</v>
      </c>
      <c r="CO4467">
        <v>5</v>
      </c>
      <c r="CP4467" t="s">
        <v>119</v>
      </c>
      <c r="CQ4467">
        <v>298</v>
      </c>
      <c r="CR4467">
        <v>0</v>
      </c>
      <c r="CW4467">
        <v>10480477</v>
      </c>
      <c r="CY4467">
        <v>0</v>
      </c>
      <c r="CZ4467">
        <v>0</v>
      </c>
      <c r="DA4467">
        <v>1</v>
      </c>
      <c r="DB4467">
        <v>0</v>
      </c>
      <c r="DC4467">
        <v>0</v>
      </c>
      <c r="DD4467">
        <v>0</v>
      </c>
      <c r="DE4467">
        <v>0</v>
      </c>
      <c r="DF4467">
        <v>0</v>
      </c>
      <c r="DG4467">
        <v>0</v>
      </c>
      <c r="DH4467">
        <v>0</v>
      </c>
      <c r="DI4467">
        <v>0</v>
      </c>
    </row>
    <row r="4468" spans="1:113" x14ac:dyDescent="0.25">
      <c r="A4468" t="str">
        <f t="shared" si="2513"/>
        <v>06/05/2020 15:00:06.011</v>
      </c>
      <c r="C4468" t="str">
        <f t="shared" si="2504"/>
        <v>FFDFD3C0</v>
      </c>
      <c r="D4468" t="s">
        <v>134</v>
      </c>
      <c r="E4468">
        <v>7</v>
      </c>
      <c r="F4468">
        <v>2007</v>
      </c>
      <c r="G4468" t="s">
        <v>135</v>
      </c>
      <c r="J4468" t="s">
        <v>136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 t="shared" si="2514"/>
        <v>15:00:11.641</v>
      </c>
      <c r="T4468" t="str">
        <f t="shared" si="2514"/>
        <v>15:00:11.641</v>
      </c>
      <c r="U4468" t="str">
        <f t="shared" si="2485"/>
        <v>ACC530</v>
      </c>
      <c r="V4468">
        <v>0</v>
      </c>
      <c r="W4468">
        <v>0</v>
      </c>
      <c r="X4468">
        <v>1</v>
      </c>
      <c r="Z4468">
        <v>0</v>
      </c>
      <c r="AA4468">
        <v>9</v>
      </c>
      <c r="AB4468">
        <v>3</v>
      </c>
      <c r="AC4468">
        <v>0</v>
      </c>
      <c r="AD4468">
        <v>9</v>
      </c>
      <c r="AE4468">
        <v>0</v>
      </c>
      <c r="AF4468">
        <v>3</v>
      </c>
      <c r="AG4468">
        <v>1</v>
      </c>
      <c r="AH4468">
        <v>0</v>
      </c>
      <c r="AI4468" t="s">
        <v>1398</v>
      </c>
      <c r="AJ4468">
        <v>34.073732</v>
      </c>
      <c r="AK4468" t="s">
        <v>1399</v>
      </c>
      <c r="AL4468">
        <v>-117.04604399999999</v>
      </c>
      <c r="AM4468">
        <v>100</v>
      </c>
      <c r="AN4468">
        <v>4800</v>
      </c>
      <c r="AO4468" t="s">
        <v>118</v>
      </c>
      <c r="AP4468">
        <v>-99</v>
      </c>
      <c r="AQ4468">
        <v>22</v>
      </c>
      <c r="AR4468">
        <v>-1280</v>
      </c>
      <c r="AZ4468">
        <v>1200</v>
      </c>
      <c r="BA4468">
        <v>1</v>
      </c>
      <c r="BB4468" t="str">
        <f t="shared" si="2489"/>
        <v xml:space="preserve">N9217B  </v>
      </c>
      <c r="BC4468">
        <v>1</v>
      </c>
      <c r="BE4468">
        <v>0</v>
      </c>
      <c r="BF4468">
        <v>0</v>
      </c>
      <c r="BG4468">
        <v>0</v>
      </c>
      <c r="BH4468">
        <v>4625</v>
      </c>
      <c r="BI4468">
        <v>1</v>
      </c>
      <c r="BJ4468">
        <v>0</v>
      </c>
      <c r="BK4468">
        <v>0</v>
      </c>
      <c r="BL4468">
        <v>0</v>
      </c>
      <c r="BO4468">
        <v>0</v>
      </c>
      <c r="BP4468">
        <v>0</v>
      </c>
      <c r="BW4468" t="str">
        <f t="shared" si="2515"/>
        <v>15:00:11.642</v>
      </c>
      <c r="CJ4468">
        <v>0</v>
      </c>
      <c r="CK4468">
        <v>2</v>
      </c>
      <c r="CL4468">
        <v>0</v>
      </c>
      <c r="CM4468">
        <v>2</v>
      </c>
      <c r="CN4468">
        <v>0</v>
      </c>
      <c r="CO4468">
        <v>5</v>
      </c>
      <c r="CP4468" t="s">
        <v>119</v>
      </c>
      <c r="CQ4468">
        <v>298</v>
      </c>
      <c r="CR4468">
        <v>0</v>
      </c>
      <c r="CW4468">
        <v>10480477</v>
      </c>
      <c r="CY4468">
        <v>0</v>
      </c>
      <c r="CZ4468">
        <v>0</v>
      </c>
      <c r="DA4468">
        <v>1</v>
      </c>
      <c r="DB4468">
        <v>0</v>
      </c>
      <c r="DC4468">
        <v>0</v>
      </c>
      <c r="DD4468">
        <v>0</v>
      </c>
      <c r="DE4468">
        <v>0</v>
      </c>
      <c r="DF4468">
        <v>0</v>
      </c>
      <c r="DG4468">
        <v>0</v>
      </c>
      <c r="DH4468">
        <v>0</v>
      </c>
      <c r="DI4468">
        <v>0</v>
      </c>
    </row>
    <row r="4469" spans="1:113" x14ac:dyDescent="0.25">
      <c r="A4469" t="str">
        <f t="shared" si="2513"/>
        <v>06/05/2020 15:00:06.011</v>
      </c>
      <c r="C4469" t="str">
        <f t="shared" si="2504"/>
        <v>FFDFD3C0</v>
      </c>
      <c r="D4469" t="s">
        <v>151</v>
      </c>
      <c r="E4469">
        <v>8</v>
      </c>
      <c r="H4469">
        <v>225</v>
      </c>
      <c r="I4469" t="s">
        <v>353</v>
      </c>
      <c r="J4469" t="s">
        <v>150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 t="shared" si="2514"/>
        <v>15:00:11.641</v>
      </c>
      <c r="T4469" t="str">
        <f t="shared" si="2514"/>
        <v>15:00:11.641</v>
      </c>
      <c r="U4469" t="str">
        <f t="shared" si="2485"/>
        <v>ACC530</v>
      </c>
      <c r="V4469">
        <v>0</v>
      </c>
      <c r="W4469">
        <v>0</v>
      </c>
      <c r="X4469">
        <v>1</v>
      </c>
      <c r="Z4469">
        <v>0</v>
      </c>
      <c r="AA4469">
        <v>9</v>
      </c>
      <c r="AB4469">
        <v>3</v>
      </c>
      <c r="AC4469">
        <v>0</v>
      </c>
      <c r="AD4469">
        <v>9</v>
      </c>
      <c r="AE4469">
        <v>0</v>
      </c>
      <c r="AF4469">
        <v>3</v>
      </c>
      <c r="AG4469">
        <v>1</v>
      </c>
      <c r="AH4469">
        <v>0</v>
      </c>
      <c r="AI4469" t="s">
        <v>1398</v>
      </c>
      <c r="AJ4469">
        <v>34.073732</v>
      </c>
      <c r="AK4469" t="s">
        <v>1399</v>
      </c>
      <c r="AL4469">
        <v>-117.04604399999999</v>
      </c>
      <c r="AM4469">
        <v>100</v>
      </c>
      <c r="AN4469">
        <v>4800</v>
      </c>
      <c r="AO4469" t="s">
        <v>118</v>
      </c>
      <c r="AP4469">
        <v>-99</v>
      </c>
      <c r="AQ4469">
        <v>22</v>
      </c>
      <c r="AR4469">
        <v>-1280</v>
      </c>
      <c r="AZ4469">
        <v>1200</v>
      </c>
      <c r="BA4469">
        <v>1</v>
      </c>
      <c r="BB4469" t="str">
        <f t="shared" si="2489"/>
        <v xml:space="preserve">N9217B  </v>
      </c>
      <c r="BC4469">
        <v>1</v>
      </c>
      <c r="BE4469">
        <v>0</v>
      </c>
      <c r="BF4469">
        <v>0</v>
      </c>
      <c r="BG4469">
        <v>0</v>
      </c>
      <c r="BH4469">
        <v>4625</v>
      </c>
      <c r="BI4469">
        <v>1</v>
      </c>
      <c r="BJ4469">
        <v>0</v>
      </c>
      <c r="BK4469">
        <v>0</v>
      </c>
      <c r="BL4469">
        <v>0</v>
      </c>
      <c r="BO4469">
        <v>0</v>
      </c>
      <c r="BP4469">
        <v>0</v>
      </c>
      <c r="BW4469" t="str">
        <f t="shared" si="2515"/>
        <v>15:00:11.642</v>
      </c>
      <c r="CJ4469">
        <v>0</v>
      </c>
      <c r="CK4469">
        <v>2</v>
      </c>
      <c r="CL4469">
        <v>0</v>
      </c>
      <c r="CM4469">
        <v>2</v>
      </c>
      <c r="CN4469">
        <v>0</v>
      </c>
      <c r="CO4469">
        <v>5</v>
      </c>
      <c r="CP4469" t="s">
        <v>119</v>
      </c>
      <c r="CQ4469">
        <v>298</v>
      </c>
      <c r="CR4469">
        <v>0</v>
      </c>
      <c r="CW4469">
        <v>10480477</v>
      </c>
      <c r="CY4469">
        <v>0</v>
      </c>
      <c r="CZ4469">
        <v>0</v>
      </c>
      <c r="DA4469">
        <v>1</v>
      </c>
      <c r="DB4469">
        <v>0</v>
      </c>
      <c r="DC4469">
        <v>0</v>
      </c>
      <c r="DD4469">
        <v>0</v>
      </c>
      <c r="DE4469">
        <v>0</v>
      </c>
      <c r="DF4469">
        <v>0</v>
      </c>
      <c r="DG4469">
        <v>0</v>
      </c>
      <c r="DH4469">
        <v>0</v>
      </c>
      <c r="DI4469">
        <v>0</v>
      </c>
    </row>
    <row r="4470" spans="1:113" x14ac:dyDescent="0.25">
      <c r="A4470" t="str">
        <f t="shared" si="2513"/>
        <v>06/05/2020 15:00:06.011</v>
      </c>
      <c r="C4470" t="str">
        <f t="shared" si="2504"/>
        <v>FFDFD3C0</v>
      </c>
      <c r="D4470" t="s">
        <v>148</v>
      </c>
      <c r="E4470">
        <v>11</v>
      </c>
      <c r="H4470">
        <v>53</v>
      </c>
      <c r="I4470" t="s">
        <v>364</v>
      </c>
      <c r="J4470" t="s">
        <v>150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 t="shared" si="2514"/>
        <v>15:00:11.641</v>
      </c>
      <c r="T4470" t="str">
        <f t="shared" si="2514"/>
        <v>15:00:11.641</v>
      </c>
      <c r="U4470" t="str">
        <f t="shared" si="2485"/>
        <v>ACC530</v>
      </c>
      <c r="V4470">
        <v>0</v>
      </c>
      <c r="W4470">
        <v>0</v>
      </c>
      <c r="X4470">
        <v>1</v>
      </c>
      <c r="Z4470">
        <v>0</v>
      </c>
      <c r="AA4470">
        <v>9</v>
      </c>
      <c r="AB4470">
        <v>3</v>
      </c>
      <c r="AC4470">
        <v>0</v>
      </c>
      <c r="AD4470">
        <v>9</v>
      </c>
      <c r="AE4470">
        <v>0</v>
      </c>
      <c r="AF4470">
        <v>3</v>
      </c>
      <c r="AG4470">
        <v>1</v>
      </c>
      <c r="AH4470">
        <v>0</v>
      </c>
      <c r="AI4470" t="s">
        <v>1398</v>
      </c>
      <c r="AJ4470">
        <v>34.073732</v>
      </c>
      <c r="AK4470" t="s">
        <v>1399</v>
      </c>
      <c r="AL4470">
        <v>-117.04604399999999</v>
      </c>
      <c r="AM4470">
        <v>100</v>
      </c>
      <c r="AN4470">
        <v>4800</v>
      </c>
      <c r="AO4470" t="s">
        <v>118</v>
      </c>
      <c r="AP4470">
        <v>-99</v>
      </c>
      <c r="AQ4470">
        <v>22</v>
      </c>
      <c r="AR4470">
        <v>-1280</v>
      </c>
      <c r="AZ4470">
        <v>1200</v>
      </c>
      <c r="BA4470">
        <v>1</v>
      </c>
      <c r="BB4470" t="str">
        <f t="shared" si="2489"/>
        <v xml:space="preserve">N9217B  </v>
      </c>
      <c r="BC4470">
        <v>1</v>
      </c>
      <c r="BE4470">
        <v>0</v>
      </c>
      <c r="BF4470">
        <v>0</v>
      </c>
      <c r="BG4470">
        <v>0</v>
      </c>
      <c r="BH4470">
        <v>4625</v>
      </c>
      <c r="BI4470">
        <v>1</v>
      </c>
      <c r="BJ4470">
        <v>0</v>
      </c>
      <c r="BK4470">
        <v>0</v>
      </c>
      <c r="BL4470">
        <v>0</v>
      </c>
      <c r="BO4470">
        <v>0</v>
      </c>
      <c r="BP4470">
        <v>0</v>
      </c>
      <c r="BW4470" t="str">
        <f t="shared" si="2515"/>
        <v>15:00:11.642</v>
      </c>
      <c r="CJ4470">
        <v>0</v>
      </c>
      <c r="CK4470">
        <v>2</v>
      </c>
      <c r="CL4470">
        <v>0</v>
      </c>
      <c r="CM4470">
        <v>2</v>
      </c>
      <c r="CN4470">
        <v>0</v>
      </c>
      <c r="CO4470">
        <v>5</v>
      </c>
      <c r="CP4470" t="s">
        <v>119</v>
      </c>
      <c r="CQ4470">
        <v>298</v>
      </c>
      <c r="CR4470">
        <v>0</v>
      </c>
      <c r="CW4470">
        <v>10480477</v>
      </c>
      <c r="CY4470">
        <v>0</v>
      </c>
      <c r="CZ4470">
        <v>0</v>
      </c>
      <c r="DA4470">
        <v>1</v>
      </c>
      <c r="DB4470">
        <v>0</v>
      </c>
      <c r="DC4470">
        <v>0</v>
      </c>
      <c r="DD4470">
        <v>0</v>
      </c>
      <c r="DE4470">
        <v>0</v>
      </c>
      <c r="DF4470">
        <v>0</v>
      </c>
      <c r="DG4470">
        <v>0</v>
      </c>
      <c r="DH4470">
        <v>0</v>
      </c>
      <c r="DI4470">
        <v>0</v>
      </c>
    </row>
    <row r="4471" spans="1:113" x14ac:dyDescent="0.25">
      <c r="A4471" t="str">
        <f t="shared" ref="A4471:A4477" si="2516">"06/05/2020 15:00:07.071"</f>
        <v>06/05/2020 15:00:07.071</v>
      </c>
      <c r="C4471" t="str">
        <f t="shared" si="2504"/>
        <v>FFDFD3C0</v>
      </c>
      <c r="D4471" t="s">
        <v>141</v>
      </c>
      <c r="E4471">
        <v>20</v>
      </c>
      <c r="F4471">
        <v>1020</v>
      </c>
      <c r="G4471" t="s">
        <v>114</v>
      </c>
      <c r="J4471" t="s">
        <v>142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 t="shared" ref="S4471:T4476" si="2517">"15:00:12.734"</f>
        <v>15:00:12.734</v>
      </c>
      <c r="T4471" t="str">
        <f t="shared" si="2517"/>
        <v>15:00:12.734</v>
      </c>
      <c r="U4471" t="str">
        <f t="shared" si="2485"/>
        <v>ACC530</v>
      </c>
      <c r="V4471">
        <v>0</v>
      </c>
      <c r="W4471">
        <v>0</v>
      </c>
      <c r="X4471">
        <v>1</v>
      </c>
      <c r="Z4471">
        <v>0</v>
      </c>
      <c r="AA4471">
        <v>9</v>
      </c>
      <c r="AB4471">
        <v>3</v>
      </c>
      <c r="AC4471">
        <v>0</v>
      </c>
      <c r="AD4471">
        <v>9</v>
      </c>
      <c r="AE4471">
        <v>0</v>
      </c>
      <c r="AF4471">
        <v>3</v>
      </c>
      <c r="AG4471">
        <v>1</v>
      </c>
      <c r="AH4471">
        <v>0</v>
      </c>
      <c r="AI4471" t="s">
        <v>1400</v>
      </c>
      <c r="AJ4471">
        <v>34.073861000000001</v>
      </c>
      <c r="AK4471" t="s">
        <v>1401</v>
      </c>
      <c r="AL4471">
        <v>-117.046623</v>
      </c>
      <c r="AM4471">
        <v>100</v>
      </c>
      <c r="AN4471">
        <v>4800</v>
      </c>
      <c r="AO4471" t="s">
        <v>118</v>
      </c>
      <c r="AP4471">
        <v>-100</v>
      </c>
      <c r="AQ4471">
        <v>22</v>
      </c>
      <c r="AR4471">
        <v>-1408</v>
      </c>
      <c r="AZ4471">
        <v>1200</v>
      </c>
      <c r="BA4471">
        <v>1</v>
      </c>
      <c r="BB4471" t="str">
        <f t="shared" si="2489"/>
        <v xml:space="preserve">N9217B  </v>
      </c>
      <c r="BC4471">
        <v>1</v>
      </c>
      <c r="BE4471">
        <v>0</v>
      </c>
      <c r="BF4471">
        <v>0</v>
      </c>
      <c r="BG4471">
        <v>0</v>
      </c>
      <c r="BH4471">
        <v>4600</v>
      </c>
      <c r="BI4471">
        <v>1</v>
      </c>
      <c r="BJ4471">
        <v>0</v>
      </c>
      <c r="BK4471">
        <v>0</v>
      </c>
      <c r="BL4471">
        <v>0</v>
      </c>
      <c r="BO4471">
        <v>0</v>
      </c>
      <c r="BP4471">
        <v>0</v>
      </c>
      <c r="BW4471" t="str">
        <f t="shared" ref="BW4471:BW4477" si="2518">"15:00:12.737"</f>
        <v>15:00:12.737</v>
      </c>
      <c r="CJ4471">
        <v>0</v>
      </c>
      <c r="CK4471">
        <v>2</v>
      </c>
      <c r="CL4471">
        <v>0</v>
      </c>
      <c r="CM4471">
        <v>2</v>
      </c>
      <c r="CN4471">
        <v>0</v>
      </c>
      <c r="CO4471">
        <v>5</v>
      </c>
      <c r="CP4471" t="s">
        <v>119</v>
      </c>
      <c r="CQ4471">
        <v>298</v>
      </c>
      <c r="CR4471">
        <v>0</v>
      </c>
      <c r="CW4471">
        <v>10480627</v>
      </c>
      <c r="CY4471">
        <v>0</v>
      </c>
      <c r="CZ4471">
        <v>0</v>
      </c>
      <c r="DA4471">
        <v>0</v>
      </c>
      <c r="DB4471">
        <v>0</v>
      </c>
      <c r="DC4471">
        <v>0</v>
      </c>
      <c r="DD4471">
        <v>0</v>
      </c>
      <c r="DE4471">
        <v>0</v>
      </c>
      <c r="DF4471">
        <v>0</v>
      </c>
      <c r="DG4471">
        <v>0</v>
      </c>
      <c r="DH4471">
        <v>0</v>
      </c>
      <c r="DI4471">
        <v>0</v>
      </c>
    </row>
    <row r="4472" spans="1:113" x14ac:dyDescent="0.25">
      <c r="A4472" t="str">
        <f t="shared" si="2516"/>
        <v>06/05/2020 15:00:07.071</v>
      </c>
      <c r="C4472" t="str">
        <f t="shared" si="2504"/>
        <v>FFDFD3C0</v>
      </c>
      <c r="D4472" t="s">
        <v>148</v>
      </c>
      <c r="E4472">
        <v>8</v>
      </c>
      <c r="H4472">
        <v>50</v>
      </c>
      <c r="I4472" t="s">
        <v>149</v>
      </c>
      <c r="J4472" t="s">
        <v>150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 t="shared" si="2517"/>
        <v>15:00:12.734</v>
      </c>
      <c r="T4472" t="str">
        <f t="shared" si="2517"/>
        <v>15:00:12.734</v>
      </c>
      <c r="U4472" t="str">
        <f t="shared" si="2485"/>
        <v>ACC530</v>
      </c>
      <c r="V4472">
        <v>0</v>
      </c>
      <c r="W4472">
        <v>0</v>
      </c>
      <c r="X4472">
        <v>1</v>
      </c>
      <c r="Z4472">
        <v>0</v>
      </c>
      <c r="AA4472">
        <v>9</v>
      </c>
      <c r="AB4472">
        <v>3</v>
      </c>
      <c r="AC4472">
        <v>0</v>
      </c>
      <c r="AD4472">
        <v>9</v>
      </c>
      <c r="AE4472">
        <v>0</v>
      </c>
      <c r="AF4472">
        <v>3</v>
      </c>
      <c r="AG4472">
        <v>1</v>
      </c>
      <c r="AH4472">
        <v>0</v>
      </c>
      <c r="AI4472" t="s">
        <v>1400</v>
      </c>
      <c r="AJ4472">
        <v>34.073861000000001</v>
      </c>
      <c r="AK4472" t="s">
        <v>1401</v>
      </c>
      <c r="AL4472">
        <v>-117.046623</v>
      </c>
      <c r="AM4472">
        <v>100</v>
      </c>
      <c r="AN4472">
        <v>4800</v>
      </c>
      <c r="AO4472" t="s">
        <v>118</v>
      </c>
      <c r="AP4472">
        <v>-100</v>
      </c>
      <c r="AQ4472">
        <v>22</v>
      </c>
      <c r="AR4472">
        <v>-1408</v>
      </c>
      <c r="AZ4472">
        <v>1200</v>
      </c>
      <c r="BA4472">
        <v>1</v>
      </c>
      <c r="BB4472" t="str">
        <f t="shared" si="2489"/>
        <v xml:space="preserve">N9217B  </v>
      </c>
      <c r="BC4472">
        <v>1</v>
      </c>
      <c r="BE4472">
        <v>0</v>
      </c>
      <c r="BF4472">
        <v>0</v>
      </c>
      <c r="BG4472">
        <v>0</v>
      </c>
      <c r="BH4472">
        <v>4600</v>
      </c>
      <c r="BI4472">
        <v>1</v>
      </c>
      <c r="BJ4472">
        <v>0</v>
      </c>
      <c r="BK4472">
        <v>0</v>
      </c>
      <c r="BL4472">
        <v>0</v>
      </c>
      <c r="BO4472">
        <v>0</v>
      </c>
      <c r="BP4472">
        <v>0</v>
      </c>
      <c r="BW4472" t="str">
        <f t="shared" si="2518"/>
        <v>15:00:12.737</v>
      </c>
      <c r="CJ4472">
        <v>0</v>
      </c>
      <c r="CK4472">
        <v>2</v>
      </c>
      <c r="CL4472">
        <v>0</v>
      </c>
      <c r="CM4472">
        <v>2</v>
      </c>
      <c r="CN4472">
        <v>0</v>
      </c>
      <c r="CO4472">
        <v>5</v>
      </c>
      <c r="CP4472" t="s">
        <v>119</v>
      </c>
      <c r="CQ4472">
        <v>298</v>
      </c>
      <c r="CR4472">
        <v>0</v>
      </c>
      <c r="CW4472">
        <v>10480627</v>
      </c>
      <c r="CY4472">
        <v>0</v>
      </c>
      <c r="CZ4472">
        <v>0</v>
      </c>
      <c r="DA4472">
        <v>1</v>
      </c>
      <c r="DB4472">
        <v>0</v>
      </c>
      <c r="DC4472">
        <v>0</v>
      </c>
      <c r="DD4472">
        <v>0</v>
      </c>
      <c r="DE4472">
        <v>0</v>
      </c>
      <c r="DF4472">
        <v>0</v>
      </c>
      <c r="DG4472">
        <v>0</v>
      </c>
      <c r="DH4472">
        <v>0</v>
      </c>
      <c r="DI4472">
        <v>0</v>
      </c>
    </row>
    <row r="4473" spans="1:113" x14ac:dyDescent="0.25">
      <c r="A4473" t="str">
        <f t="shared" si="2516"/>
        <v>06/05/2020 15:00:07.071</v>
      </c>
      <c r="C4473" t="str">
        <f t="shared" si="2504"/>
        <v>FFDFD3C0</v>
      </c>
      <c r="D4473" t="s">
        <v>113</v>
      </c>
      <c r="E4473">
        <v>3</v>
      </c>
      <c r="H4473">
        <v>166</v>
      </c>
      <c r="I4473" t="s">
        <v>114</v>
      </c>
      <c r="J4473" t="s">
        <v>115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 t="shared" si="2517"/>
        <v>15:00:12.734</v>
      </c>
      <c r="T4473" t="str">
        <f t="shared" si="2517"/>
        <v>15:00:12.734</v>
      </c>
      <c r="U4473" t="str">
        <f t="shared" si="2485"/>
        <v>ACC530</v>
      </c>
      <c r="V4473">
        <v>0</v>
      </c>
      <c r="W4473">
        <v>0</v>
      </c>
      <c r="X4473">
        <v>1</v>
      </c>
      <c r="Z4473">
        <v>0</v>
      </c>
      <c r="AA4473">
        <v>9</v>
      </c>
      <c r="AB4473">
        <v>3</v>
      </c>
      <c r="AC4473">
        <v>0</v>
      </c>
      <c r="AD4473">
        <v>9</v>
      </c>
      <c r="AE4473">
        <v>0</v>
      </c>
      <c r="AF4473">
        <v>3</v>
      </c>
      <c r="AG4473">
        <v>1</v>
      </c>
      <c r="AH4473">
        <v>0</v>
      </c>
      <c r="AI4473" t="s">
        <v>1400</v>
      </c>
      <c r="AJ4473">
        <v>34.073861000000001</v>
      </c>
      <c r="AK4473" t="s">
        <v>1401</v>
      </c>
      <c r="AL4473">
        <v>-117.046623</v>
      </c>
      <c r="AM4473">
        <v>100</v>
      </c>
      <c r="AN4473">
        <v>4800</v>
      </c>
      <c r="AO4473" t="s">
        <v>118</v>
      </c>
      <c r="AP4473">
        <v>-100</v>
      </c>
      <c r="AQ4473">
        <v>22</v>
      </c>
      <c r="AR4473">
        <v>-1408</v>
      </c>
      <c r="AZ4473">
        <v>1200</v>
      </c>
      <c r="BA4473">
        <v>1</v>
      </c>
      <c r="BB4473" t="str">
        <f t="shared" si="2489"/>
        <v xml:space="preserve">N9217B  </v>
      </c>
      <c r="BC4473">
        <v>1</v>
      </c>
      <c r="BE4473">
        <v>0</v>
      </c>
      <c r="BF4473">
        <v>0</v>
      </c>
      <c r="BG4473">
        <v>0</v>
      </c>
      <c r="BH4473">
        <v>4600</v>
      </c>
      <c r="BI4473">
        <v>1</v>
      </c>
      <c r="BJ4473">
        <v>0</v>
      </c>
      <c r="BK4473">
        <v>0</v>
      </c>
      <c r="BL4473">
        <v>0</v>
      </c>
      <c r="BO4473">
        <v>0</v>
      </c>
      <c r="BP4473">
        <v>0</v>
      </c>
      <c r="BW4473" t="str">
        <f t="shared" si="2518"/>
        <v>15:00:12.737</v>
      </c>
      <c r="CJ4473">
        <v>0</v>
      </c>
      <c r="CK4473">
        <v>2</v>
      </c>
      <c r="CL4473">
        <v>0</v>
      </c>
      <c r="CM4473">
        <v>2</v>
      </c>
      <c r="CN4473">
        <v>0</v>
      </c>
      <c r="CO4473">
        <v>5</v>
      </c>
      <c r="CP4473" t="s">
        <v>119</v>
      </c>
      <c r="CQ4473">
        <v>298</v>
      </c>
      <c r="CR4473">
        <v>0</v>
      </c>
      <c r="CW4473">
        <v>10480627</v>
      </c>
      <c r="CY4473">
        <v>0</v>
      </c>
      <c r="CZ4473">
        <v>0</v>
      </c>
      <c r="DA4473">
        <v>1</v>
      </c>
      <c r="DB4473">
        <v>0</v>
      </c>
      <c r="DC4473">
        <v>0</v>
      </c>
      <c r="DD4473">
        <v>0</v>
      </c>
      <c r="DE4473">
        <v>0</v>
      </c>
      <c r="DF4473">
        <v>0</v>
      </c>
      <c r="DG4473">
        <v>0</v>
      </c>
      <c r="DH4473">
        <v>0</v>
      </c>
      <c r="DI4473">
        <v>0</v>
      </c>
    </row>
    <row r="4474" spans="1:113" x14ac:dyDescent="0.25">
      <c r="A4474" t="str">
        <f t="shared" si="2516"/>
        <v>06/05/2020 15:00:07.071</v>
      </c>
      <c r="C4474" t="str">
        <f t="shared" si="2504"/>
        <v>FFDFD3C0</v>
      </c>
      <c r="D4474" t="s">
        <v>134</v>
      </c>
      <c r="E4474">
        <v>7</v>
      </c>
      <c r="F4474">
        <v>2007</v>
      </c>
      <c r="G4474" t="s">
        <v>135</v>
      </c>
      <c r="J4474" t="s">
        <v>136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 t="shared" si="2517"/>
        <v>15:00:12.734</v>
      </c>
      <c r="T4474" t="str">
        <f t="shared" si="2517"/>
        <v>15:00:12.734</v>
      </c>
      <c r="U4474" t="str">
        <f t="shared" si="2485"/>
        <v>ACC530</v>
      </c>
      <c r="V4474">
        <v>0</v>
      </c>
      <c r="W4474">
        <v>0</v>
      </c>
      <c r="X4474">
        <v>1</v>
      </c>
      <c r="Z4474">
        <v>0</v>
      </c>
      <c r="AA4474">
        <v>9</v>
      </c>
      <c r="AB4474">
        <v>3</v>
      </c>
      <c r="AC4474">
        <v>0</v>
      </c>
      <c r="AD4474">
        <v>9</v>
      </c>
      <c r="AE4474">
        <v>0</v>
      </c>
      <c r="AF4474">
        <v>3</v>
      </c>
      <c r="AG4474">
        <v>1</v>
      </c>
      <c r="AH4474">
        <v>0</v>
      </c>
      <c r="AI4474" t="s">
        <v>1400</v>
      </c>
      <c r="AJ4474">
        <v>34.073861000000001</v>
      </c>
      <c r="AK4474" t="s">
        <v>1401</v>
      </c>
      <c r="AL4474">
        <v>-117.046623</v>
      </c>
      <c r="AM4474">
        <v>100</v>
      </c>
      <c r="AN4474">
        <v>4800</v>
      </c>
      <c r="AO4474" t="s">
        <v>118</v>
      </c>
      <c r="AP4474">
        <v>-100</v>
      </c>
      <c r="AQ4474">
        <v>22</v>
      </c>
      <c r="AR4474">
        <v>-1408</v>
      </c>
      <c r="AZ4474">
        <v>1200</v>
      </c>
      <c r="BA4474">
        <v>1</v>
      </c>
      <c r="BB4474" t="str">
        <f t="shared" si="2489"/>
        <v xml:space="preserve">N9217B  </v>
      </c>
      <c r="BC4474">
        <v>1</v>
      </c>
      <c r="BE4474">
        <v>0</v>
      </c>
      <c r="BF4474">
        <v>0</v>
      </c>
      <c r="BG4474">
        <v>0</v>
      </c>
      <c r="BH4474">
        <v>4600</v>
      </c>
      <c r="BI4474">
        <v>1</v>
      </c>
      <c r="BJ4474">
        <v>0</v>
      </c>
      <c r="BK4474">
        <v>0</v>
      </c>
      <c r="BL4474">
        <v>0</v>
      </c>
      <c r="BO4474">
        <v>0</v>
      </c>
      <c r="BP4474">
        <v>0</v>
      </c>
      <c r="BW4474" t="str">
        <f t="shared" si="2518"/>
        <v>15:00:12.737</v>
      </c>
      <c r="CJ4474">
        <v>0</v>
      </c>
      <c r="CK4474">
        <v>2</v>
      </c>
      <c r="CL4474">
        <v>0</v>
      </c>
      <c r="CM4474">
        <v>2</v>
      </c>
      <c r="CN4474">
        <v>0</v>
      </c>
      <c r="CO4474">
        <v>5</v>
      </c>
      <c r="CP4474" t="s">
        <v>119</v>
      </c>
      <c r="CQ4474">
        <v>298</v>
      </c>
      <c r="CR4474">
        <v>0</v>
      </c>
      <c r="CW4474">
        <v>10480627</v>
      </c>
      <c r="CY4474">
        <v>0</v>
      </c>
      <c r="CZ4474">
        <v>0</v>
      </c>
      <c r="DA4474">
        <v>1</v>
      </c>
      <c r="DB4474">
        <v>0</v>
      </c>
      <c r="DC4474">
        <v>0</v>
      </c>
      <c r="DD4474">
        <v>0</v>
      </c>
      <c r="DE4474">
        <v>0</v>
      </c>
      <c r="DF4474">
        <v>0</v>
      </c>
      <c r="DG4474">
        <v>0</v>
      </c>
      <c r="DH4474">
        <v>0</v>
      </c>
      <c r="DI4474">
        <v>0</v>
      </c>
    </row>
    <row r="4475" spans="1:113" x14ac:dyDescent="0.25">
      <c r="A4475" t="str">
        <f t="shared" si="2516"/>
        <v>06/05/2020 15:00:07.071</v>
      </c>
      <c r="C4475" t="str">
        <f t="shared" si="2504"/>
        <v>FFDFD3C0</v>
      </c>
      <c r="D4475" t="s">
        <v>151</v>
      </c>
      <c r="E4475">
        <v>8</v>
      </c>
      <c r="H4475">
        <v>225</v>
      </c>
      <c r="I4475" t="s">
        <v>353</v>
      </c>
      <c r="J4475" t="s">
        <v>150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 t="shared" si="2517"/>
        <v>15:00:12.734</v>
      </c>
      <c r="T4475" t="str">
        <f t="shared" si="2517"/>
        <v>15:00:12.734</v>
      </c>
      <c r="U4475" t="str">
        <f t="shared" si="2485"/>
        <v>ACC530</v>
      </c>
      <c r="V4475">
        <v>0</v>
      </c>
      <c r="W4475">
        <v>0</v>
      </c>
      <c r="X4475">
        <v>1</v>
      </c>
      <c r="Z4475">
        <v>0</v>
      </c>
      <c r="AA4475">
        <v>9</v>
      </c>
      <c r="AB4475">
        <v>3</v>
      </c>
      <c r="AC4475">
        <v>0</v>
      </c>
      <c r="AD4475">
        <v>9</v>
      </c>
      <c r="AE4475">
        <v>0</v>
      </c>
      <c r="AF4475">
        <v>3</v>
      </c>
      <c r="AG4475">
        <v>1</v>
      </c>
      <c r="AH4475">
        <v>0</v>
      </c>
      <c r="AI4475" t="s">
        <v>1400</v>
      </c>
      <c r="AJ4475">
        <v>34.073861000000001</v>
      </c>
      <c r="AK4475" t="s">
        <v>1401</v>
      </c>
      <c r="AL4475">
        <v>-117.046623</v>
      </c>
      <c r="AM4475">
        <v>100</v>
      </c>
      <c r="AN4475">
        <v>4800</v>
      </c>
      <c r="AO4475" t="s">
        <v>118</v>
      </c>
      <c r="AP4475">
        <v>-100</v>
      </c>
      <c r="AQ4475">
        <v>22</v>
      </c>
      <c r="AR4475">
        <v>-1408</v>
      </c>
      <c r="AZ4475">
        <v>1200</v>
      </c>
      <c r="BA4475">
        <v>1</v>
      </c>
      <c r="BB4475" t="str">
        <f t="shared" si="2489"/>
        <v xml:space="preserve">N9217B  </v>
      </c>
      <c r="BC4475">
        <v>1</v>
      </c>
      <c r="BE4475">
        <v>0</v>
      </c>
      <c r="BF4475">
        <v>0</v>
      </c>
      <c r="BG4475">
        <v>0</v>
      </c>
      <c r="BH4475">
        <v>4600</v>
      </c>
      <c r="BI4475">
        <v>1</v>
      </c>
      <c r="BJ4475">
        <v>0</v>
      </c>
      <c r="BK4475">
        <v>0</v>
      </c>
      <c r="BL4475">
        <v>0</v>
      </c>
      <c r="BO4475">
        <v>0</v>
      </c>
      <c r="BP4475">
        <v>0</v>
      </c>
      <c r="BW4475" t="str">
        <f t="shared" si="2518"/>
        <v>15:00:12.737</v>
      </c>
      <c r="CJ4475">
        <v>0</v>
      </c>
      <c r="CK4475">
        <v>2</v>
      </c>
      <c r="CL4475">
        <v>0</v>
      </c>
      <c r="CM4475">
        <v>2</v>
      </c>
      <c r="CN4475">
        <v>0</v>
      </c>
      <c r="CO4475">
        <v>5</v>
      </c>
      <c r="CP4475" t="s">
        <v>119</v>
      </c>
      <c r="CQ4475">
        <v>298</v>
      </c>
      <c r="CR4475">
        <v>0</v>
      </c>
      <c r="CW4475">
        <v>10480627</v>
      </c>
      <c r="CY4475">
        <v>0</v>
      </c>
      <c r="CZ4475">
        <v>0</v>
      </c>
      <c r="DA4475">
        <v>1</v>
      </c>
      <c r="DB4475">
        <v>0</v>
      </c>
      <c r="DC4475">
        <v>0</v>
      </c>
      <c r="DD4475">
        <v>0</v>
      </c>
      <c r="DE4475">
        <v>0</v>
      </c>
      <c r="DF4475">
        <v>0</v>
      </c>
      <c r="DG4475">
        <v>0</v>
      </c>
      <c r="DH4475">
        <v>0</v>
      </c>
      <c r="DI4475">
        <v>0</v>
      </c>
    </row>
    <row r="4476" spans="1:113" x14ac:dyDescent="0.25">
      <c r="A4476" t="str">
        <f t="shared" si="2516"/>
        <v>06/05/2020 15:00:07.071</v>
      </c>
      <c r="C4476" t="str">
        <f t="shared" si="2504"/>
        <v>FFDFD3C0</v>
      </c>
      <c r="D4476" t="s">
        <v>148</v>
      </c>
      <c r="E4476">
        <v>11</v>
      </c>
      <c r="H4476">
        <v>53</v>
      </c>
      <c r="I4476" t="s">
        <v>364</v>
      </c>
      <c r="J4476" t="s">
        <v>150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 t="shared" si="2517"/>
        <v>15:00:12.734</v>
      </c>
      <c r="T4476" t="str">
        <f t="shared" si="2517"/>
        <v>15:00:12.734</v>
      </c>
      <c r="U4476" t="str">
        <f t="shared" si="2485"/>
        <v>ACC530</v>
      </c>
      <c r="V4476">
        <v>0</v>
      </c>
      <c r="W4476">
        <v>0</v>
      </c>
      <c r="X4476">
        <v>1</v>
      </c>
      <c r="Z4476">
        <v>0</v>
      </c>
      <c r="AA4476">
        <v>9</v>
      </c>
      <c r="AB4476">
        <v>3</v>
      </c>
      <c r="AC4476">
        <v>0</v>
      </c>
      <c r="AD4476">
        <v>9</v>
      </c>
      <c r="AE4476">
        <v>0</v>
      </c>
      <c r="AF4476">
        <v>3</v>
      </c>
      <c r="AG4476">
        <v>1</v>
      </c>
      <c r="AH4476">
        <v>0</v>
      </c>
      <c r="AI4476" t="s">
        <v>1400</v>
      </c>
      <c r="AJ4476">
        <v>34.073861000000001</v>
      </c>
      <c r="AK4476" t="s">
        <v>1401</v>
      </c>
      <c r="AL4476">
        <v>-117.046623</v>
      </c>
      <c r="AM4476">
        <v>100</v>
      </c>
      <c r="AN4476">
        <v>4800</v>
      </c>
      <c r="AO4476" t="s">
        <v>118</v>
      </c>
      <c r="AP4476">
        <v>-100</v>
      </c>
      <c r="AQ4476">
        <v>22</v>
      </c>
      <c r="AR4476">
        <v>-1408</v>
      </c>
      <c r="AZ4476">
        <v>1200</v>
      </c>
      <c r="BA4476">
        <v>1</v>
      </c>
      <c r="BB4476" t="str">
        <f t="shared" si="2489"/>
        <v xml:space="preserve">N9217B  </v>
      </c>
      <c r="BC4476">
        <v>1</v>
      </c>
      <c r="BE4476">
        <v>0</v>
      </c>
      <c r="BF4476">
        <v>0</v>
      </c>
      <c r="BG4476">
        <v>0</v>
      </c>
      <c r="BH4476">
        <v>4600</v>
      </c>
      <c r="BI4476">
        <v>1</v>
      </c>
      <c r="BJ4476">
        <v>0</v>
      </c>
      <c r="BK4476">
        <v>0</v>
      </c>
      <c r="BL4476">
        <v>0</v>
      </c>
      <c r="BO4476">
        <v>0</v>
      </c>
      <c r="BP4476">
        <v>0</v>
      </c>
      <c r="BW4476" t="str">
        <f t="shared" si="2518"/>
        <v>15:00:12.737</v>
      </c>
      <c r="CJ4476">
        <v>0</v>
      </c>
      <c r="CK4476">
        <v>2</v>
      </c>
      <c r="CL4476">
        <v>0</v>
      </c>
      <c r="CM4476">
        <v>2</v>
      </c>
      <c r="CN4476">
        <v>0</v>
      </c>
      <c r="CO4476">
        <v>5</v>
      </c>
      <c r="CP4476" t="s">
        <v>119</v>
      </c>
      <c r="CQ4476">
        <v>298</v>
      </c>
      <c r="CR4476">
        <v>0</v>
      </c>
      <c r="CW4476">
        <v>10480627</v>
      </c>
      <c r="CY4476">
        <v>0</v>
      </c>
      <c r="CZ4476">
        <v>0</v>
      </c>
      <c r="DA4476">
        <v>1</v>
      </c>
      <c r="DB4476">
        <v>0</v>
      </c>
      <c r="DC4476">
        <v>0</v>
      </c>
      <c r="DD4476">
        <v>0</v>
      </c>
      <c r="DE4476">
        <v>0</v>
      </c>
      <c r="DF4476">
        <v>0</v>
      </c>
      <c r="DG4476">
        <v>0</v>
      </c>
      <c r="DH4476">
        <v>0</v>
      </c>
      <c r="DI4476">
        <v>0</v>
      </c>
    </row>
    <row r="4477" spans="1:113" x14ac:dyDescent="0.25">
      <c r="A4477" t="str">
        <f t="shared" si="2516"/>
        <v>06/05/2020 15:00:07.071</v>
      </c>
      <c r="C4477" t="str">
        <f t="shared" si="2504"/>
        <v>FFDFD3C0</v>
      </c>
      <c r="D4477" t="s">
        <v>151</v>
      </c>
      <c r="E4477">
        <v>9</v>
      </c>
      <c r="H4477">
        <v>226</v>
      </c>
      <c r="I4477" t="s">
        <v>152</v>
      </c>
      <c r="J4477" t="s">
        <v>150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>"15:00:12.734"</f>
        <v>15:00:12.734</v>
      </c>
      <c r="T4477" t="str">
        <f>"15:00:12.234"</f>
        <v>15:00:12.234</v>
      </c>
      <c r="U4477" t="str">
        <f t="shared" si="2485"/>
        <v>ACC530</v>
      </c>
      <c r="V4477">
        <v>0</v>
      </c>
      <c r="W4477">
        <v>0</v>
      </c>
      <c r="X4477">
        <v>1</v>
      </c>
      <c r="Z4477">
        <v>0</v>
      </c>
      <c r="AA4477">
        <v>9</v>
      </c>
      <c r="AB4477">
        <v>3</v>
      </c>
      <c r="AC4477">
        <v>0</v>
      </c>
      <c r="AD4477">
        <v>9</v>
      </c>
      <c r="AE4477">
        <v>0</v>
      </c>
      <c r="AF4477">
        <v>3</v>
      </c>
      <c r="AG4477">
        <v>1</v>
      </c>
      <c r="AH4477">
        <v>0</v>
      </c>
      <c r="AI4477" t="s">
        <v>1400</v>
      </c>
      <c r="AJ4477">
        <v>34.073861000000001</v>
      </c>
      <c r="AK4477" t="s">
        <v>1401</v>
      </c>
      <c r="AL4477">
        <v>-117.046623</v>
      </c>
      <c r="AM4477">
        <v>100</v>
      </c>
      <c r="AN4477">
        <v>4800</v>
      </c>
      <c r="AO4477" t="s">
        <v>118</v>
      </c>
      <c r="AP4477">
        <v>-100</v>
      </c>
      <c r="AQ4477">
        <v>22</v>
      </c>
      <c r="AR4477">
        <v>-1344</v>
      </c>
      <c r="AZ4477">
        <v>1200</v>
      </c>
      <c r="BA4477">
        <v>1</v>
      </c>
      <c r="BB4477" t="str">
        <f t="shared" si="2489"/>
        <v xml:space="preserve">N9217B  </v>
      </c>
      <c r="BC4477">
        <v>1</v>
      </c>
      <c r="BE4477">
        <v>0</v>
      </c>
      <c r="BF4477">
        <v>0</v>
      </c>
      <c r="BG4477">
        <v>0</v>
      </c>
      <c r="BH4477">
        <v>4600</v>
      </c>
      <c r="BI4477">
        <v>1</v>
      </c>
      <c r="BJ4477">
        <v>0</v>
      </c>
      <c r="BK4477">
        <v>0</v>
      </c>
      <c r="BL4477">
        <v>0</v>
      </c>
      <c r="BO4477">
        <v>0</v>
      </c>
      <c r="BP4477">
        <v>0</v>
      </c>
      <c r="BW4477" t="str">
        <f t="shared" si="2518"/>
        <v>15:00:12.737</v>
      </c>
      <c r="CJ4477">
        <v>0</v>
      </c>
      <c r="CK4477">
        <v>2</v>
      </c>
      <c r="CL4477">
        <v>0</v>
      </c>
      <c r="CM4477">
        <v>2</v>
      </c>
      <c r="CN4477">
        <v>0</v>
      </c>
      <c r="CO4477">
        <v>4</v>
      </c>
      <c r="CP4477" t="s">
        <v>119</v>
      </c>
      <c r="CQ4477">
        <v>285</v>
      </c>
      <c r="CR4477">
        <v>0</v>
      </c>
      <c r="CW4477">
        <v>8894334</v>
      </c>
      <c r="CY4477">
        <v>0</v>
      </c>
      <c r="CZ4477">
        <v>0</v>
      </c>
      <c r="DA4477">
        <v>1</v>
      </c>
      <c r="DB4477">
        <v>0</v>
      </c>
      <c r="DC4477">
        <v>0</v>
      </c>
      <c r="DD4477">
        <v>0</v>
      </c>
      <c r="DE4477">
        <v>0</v>
      </c>
      <c r="DF4477">
        <v>0</v>
      </c>
      <c r="DG4477">
        <v>0</v>
      </c>
      <c r="DH4477">
        <v>0</v>
      </c>
      <c r="DI4477">
        <v>0</v>
      </c>
    </row>
    <row r="4478" spans="1:113" x14ac:dyDescent="0.25">
      <c r="A4478" t="str">
        <f t="shared" ref="A4478:A4484" si="2519">"06/05/2020 15:00:08.148"</f>
        <v>06/05/2020 15:00:08.148</v>
      </c>
      <c r="C4478" t="str">
        <f t="shared" si="2504"/>
        <v>FFDFD3C0</v>
      </c>
      <c r="D4478" t="s">
        <v>134</v>
      </c>
      <c r="E4478">
        <v>7</v>
      </c>
      <c r="F4478">
        <v>2007</v>
      </c>
      <c r="G4478" t="s">
        <v>135</v>
      </c>
      <c r="J4478" t="s">
        <v>136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 t="shared" ref="S4478:T4481" si="2520">"15:00:13.766"</f>
        <v>15:00:13.766</v>
      </c>
      <c r="T4478" t="str">
        <f t="shared" si="2520"/>
        <v>15:00:13.766</v>
      </c>
      <c r="U4478" t="str">
        <f t="shared" si="2485"/>
        <v>ACC530</v>
      </c>
      <c r="V4478">
        <v>0</v>
      </c>
      <c r="W4478">
        <v>0</v>
      </c>
      <c r="X4478">
        <v>1</v>
      </c>
      <c r="Z4478">
        <v>0</v>
      </c>
      <c r="AA4478">
        <v>9</v>
      </c>
      <c r="AB4478">
        <v>3</v>
      </c>
      <c r="AC4478">
        <v>0</v>
      </c>
      <c r="AD4478">
        <v>9</v>
      </c>
      <c r="AE4478">
        <v>0</v>
      </c>
      <c r="AF4478">
        <v>3</v>
      </c>
      <c r="AG4478">
        <v>1</v>
      </c>
      <c r="AH4478">
        <v>0</v>
      </c>
      <c r="AI4478" t="s">
        <v>1402</v>
      </c>
      <c r="AJ4478">
        <v>34.073945999999999</v>
      </c>
      <c r="AK4478" t="s">
        <v>1403</v>
      </c>
      <c r="AL4478">
        <v>-117.047203</v>
      </c>
      <c r="AM4478">
        <v>100</v>
      </c>
      <c r="AN4478">
        <v>4800</v>
      </c>
      <c r="AO4478" t="s">
        <v>118</v>
      </c>
      <c r="AP4478">
        <v>-101</v>
      </c>
      <c r="AQ4478">
        <v>21</v>
      </c>
      <c r="AR4478">
        <v>-1600</v>
      </c>
      <c r="AZ4478">
        <v>1200</v>
      </c>
      <c r="BA4478">
        <v>1</v>
      </c>
      <c r="BB4478" t="str">
        <f t="shared" si="2489"/>
        <v xml:space="preserve">N9217B  </v>
      </c>
      <c r="BC4478">
        <v>1</v>
      </c>
      <c r="BE4478">
        <v>0</v>
      </c>
      <c r="BF4478">
        <v>0</v>
      </c>
      <c r="BG4478">
        <v>0</v>
      </c>
      <c r="BH4478">
        <v>4550</v>
      </c>
      <c r="BI4478">
        <v>1</v>
      </c>
      <c r="BJ4478">
        <v>0</v>
      </c>
      <c r="BK4478">
        <v>0</v>
      </c>
      <c r="BL4478">
        <v>0</v>
      </c>
      <c r="BO4478">
        <v>0</v>
      </c>
      <c r="BP4478">
        <v>0</v>
      </c>
      <c r="BW4478" t="str">
        <f t="shared" ref="BW4478:BW4484" si="2521">"15:00:13.772"</f>
        <v>15:00:13.772</v>
      </c>
      <c r="CJ4478">
        <v>0</v>
      </c>
      <c r="CK4478">
        <v>2</v>
      </c>
      <c r="CL4478">
        <v>0</v>
      </c>
      <c r="CM4478">
        <v>2</v>
      </c>
      <c r="CN4478">
        <v>0</v>
      </c>
      <c r="CO4478">
        <v>5</v>
      </c>
      <c r="CP4478" t="s">
        <v>119</v>
      </c>
      <c r="CQ4478">
        <v>298</v>
      </c>
      <c r="CR4478">
        <v>0</v>
      </c>
      <c r="CW4478">
        <v>10480760</v>
      </c>
      <c r="CY4478">
        <v>0</v>
      </c>
      <c r="CZ4478">
        <v>0</v>
      </c>
      <c r="DA4478">
        <v>0</v>
      </c>
      <c r="DB4478">
        <v>0</v>
      </c>
      <c r="DC4478">
        <v>0</v>
      </c>
      <c r="DD4478">
        <v>0</v>
      </c>
      <c r="DE4478">
        <v>0</v>
      </c>
      <c r="DF4478">
        <v>0</v>
      </c>
      <c r="DG4478">
        <v>0</v>
      </c>
      <c r="DH4478">
        <v>0</v>
      </c>
      <c r="DI4478">
        <v>0</v>
      </c>
    </row>
    <row r="4479" spans="1:113" x14ac:dyDescent="0.25">
      <c r="A4479" t="str">
        <f t="shared" si="2519"/>
        <v>06/05/2020 15:00:08.148</v>
      </c>
      <c r="C4479" t="str">
        <f t="shared" si="2504"/>
        <v>FFDFD3C0</v>
      </c>
      <c r="D4479" t="s">
        <v>151</v>
      </c>
      <c r="E4479">
        <v>8</v>
      </c>
      <c r="H4479">
        <v>225</v>
      </c>
      <c r="I4479" t="s">
        <v>353</v>
      </c>
      <c r="J4479" t="s">
        <v>150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 t="shared" si="2520"/>
        <v>15:00:13.766</v>
      </c>
      <c r="T4479" t="str">
        <f t="shared" si="2520"/>
        <v>15:00:13.766</v>
      </c>
      <c r="U4479" t="str">
        <f t="shared" si="2485"/>
        <v>ACC530</v>
      </c>
      <c r="V4479">
        <v>0</v>
      </c>
      <c r="W4479">
        <v>0</v>
      </c>
      <c r="X4479">
        <v>1</v>
      </c>
      <c r="Z4479">
        <v>0</v>
      </c>
      <c r="AA4479">
        <v>9</v>
      </c>
      <c r="AB4479">
        <v>3</v>
      </c>
      <c r="AC4479">
        <v>0</v>
      </c>
      <c r="AD4479">
        <v>9</v>
      </c>
      <c r="AE4479">
        <v>0</v>
      </c>
      <c r="AF4479">
        <v>3</v>
      </c>
      <c r="AG4479">
        <v>1</v>
      </c>
      <c r="AH4479">
        <v>0</v>
      </c>
      <c r="AI4479" t="s">
        <v>1402</v>
      </c>
      <c r="AJ4479">
        <v>34.073945999999999</v>
      </c>
      <c r="AK4479" t="s">
        <v>1403</v>
      </c>
      <c r="AL4479">
        <v>-117.047203</v>
      </c>
      <c r="AM4479">
        <v>100</v>
      </c>
      <c r="AN4479">
        <v>4800</v>
      </c>
      <c r="AO4479" t="s">
        <v>118</v>
      </c>
      <c r="AP4479">
        <v>-101</v>
      </c>
      <c r="AQ4479">
        <v>21</v>
      </c>
      <c r="AR4479">
        <v>-1600</v>
      </c>
      <c r="AZ4479">
        <v>1200</v>
      </c>
      <c r="BA4479">
        <v>1</v>
      </c>
      <c r="BB4479" t="str">
        <f t="shared" si="2489"/>
        <v xml:space="preserve">N9217B  </v>
      </c>
      <c r="BC4479">
        <v>1</v>
      </c>
      <c r="BE4479">
        <v>0</v>
      </c>
      <c r="BF4479">
        <v>0</v>
      </c>
      <c r="BG4479">
        <v>0</v>
      </c>
      <c r="BH4479">
        <v>4550</v>
      </c>
      <c r="BI4479">
        <v>1</v>
      </c>
      <c r="BJ4479">
        <v>0</v>
      </c>
      <c r="BK4479">
        <v>0</v>
      </c>
      <c r="BL4479">
        <v>0</v>
      </c>
      <c r="BO4479">
        <v>0</v>
      </c>
      <c r="BP4479">
        <v>0</v>
      </c>
      <c r="BW4479" t="str">
        <f t="shared" si="2521"/>
        <v>15:00:13.772</v>
      </c>
      <c r="CJ4479">
        <v>0</v>
      </c>
      <c r="CK4479">
        <v>2</v>
      </c>
      <c r="CL4479">
        <v>0</v>
      </c>
      <c r="CM4479">
        <v>2</v>
      </c>
      <c r="CN4479">
        <v>0</v>
      </c>
      <c r="CO4479">
        <v>5</v>
      </c>
      <c r="CP4479" t="s">
        <v>119</v>
      </c>
      <c r="CQ4479">
        <v>298</v>
      </c>
      <c r="CR4479">
        <v>0</v>
      </c>
      <c r="CW4479">
        <v>10480760</v>
      </c>
      <c r="CY4479">
        <v>0</v>
      </c>
      <c r="CZ4479">
        <v>0</v>
      </c>
      <c r="DA4479">
        <v>1</v>
      </c>
      <c r="DB4479">
        <v>0</v>
      </c>
      <c r="DC4479">
        <v>0</v>
      </c>
      <c r="DD4479">
        <v>0</v>
      </c>
      <c r="DE4479">
        <v>0</v>
      </c>
      <c r="DF4479">
        <v>0</v>
      </c>
      <c r="DG4479">
        <v>0</v>
      </c>
      <c r="DH4479">
        <v>0</v>
      </c>
      <c r="DI4479">
        <v>0</v>
      </c>
    </row>
    <row r="4480" spans="1:113" x14ac:dyDescent="0.25">
      <c r="A4480" t="str">
        <f t="shared" si="2519"/>
        <v>06/05/2020 15:00:08.148</v>
      </c>
      <c r="C4480" t="str">
        <f t="shared" si="2504"/>
        <v>FFDFD3C0</v>
      </c>
      <c r="D4480" t="s">
        <v>148</v>
      </c>
      <c r="E4480">
        <v>11</v>
      </c>
      <c r="H4480">
        <v>53</v>
      </c>
      <c r="I4480" t="s">
        <v>364</v>
      </c>
      <c r="J4480" t="s">
        <v>150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 t="shared" si="2520"/>
        <v>15:00:13.766</v>
      </c>
      <c r="T4480" t="str">
        <f t="shared" si="2520"/>
        <v>15:00:13.766</v>
      </c>
      <c r="U4480" t="str">
        <f t="shared" si="2485"/>
        <v>ACC530</v>
      </c>
      <c r="V4480">
        <v>0</v>
      </c>
      <c r="W4480">
        <v>0</v>
      </c>
      <c r="X4480">
        <v>1</v>
      </c>
      <c r="Z4480">
        <v>0</v>
      </c>
      <c r="AA4480">
        <v>9</v>
      </c>
      <c r="AB4480">
        <v>3</v>
      </c>
      <c r="AC4480">
        <v>0</v>
      </c>
      <c r="AD4480">
        <v>9</v>
      </c>
      <c r="AE4480">
        <v>0</v>
      </c>
      <c r="AF4480">
        <v>3</v>
      </c>
      <c r="AG4480">
        <v>1</v>
      </c>
      <c r="AH4480">
        <v>0</v>
      </c>
      <c r="AI4480" t="s">
        <v>1402</v>
      </c>
      <c r="AJ4480">
        <v>34.073945999999999</v>
      </c>
      <c r="AK4480" t="s">
        <v>1403</v>
      </c>
      <c r="AL4480">
        <v>-117.047203</v>
      </c>
      <c r="AM4480">
        <v>100</v>
      </c>
      <c r="AN4480">
        <v>4800</v>
      </c>
      <c r="AO4480" t="s">
        <v>118</v>
      </c>
      <c r="AP4480">
        <v>-101</v>
      </c>
      <c r="AQ4480">
        <v>21</v>
      </c>
      <c r="AR4480">
        <v>-1600</v>
      </c>
      <c r="AZ4480">
        <v>1200</v>
      </c>
      <c r="BA4480">
        <v>1</v>
      </c>
      <c r="BB4480" t="str">
        <f t="shared" si="2489"/>
        <v xml:space="preserve">N9217B  </v>
      </c>
      <c r="BC4480">
        <v>1</v>
      </c>
      <c r="BE4480">
        <v>0</v>
      </c>
      <c r="BF4480">
        <v>0</v>
      </c>
      <c r="BG4480">
        <v>0</v>
      </c>
      <c r="BH4480">
        <v>4550</v>
      </c>
      <c r="BI4480">
        <v>1</v>
      </c>
      <c r="BJ4480">
        <v>0</v>
      </c>
      <c r="BK4480">
        <v>0</v>
      </c>
      <c r="BL4480">
        <v>0</v>
      </c>
      <c r="BO4480">
        <v>0</v>
      </c>
      <c r="BP4480">
        <v>0</v>
      </c>
      <c r="BW4480" t="str">
        <f t="shared" si="2521"/>
        <v>15:00:13.772</v>
      </c>
      <c r="CJ4480">
        <v>0</v>
      </c>
      <c r="CK4480">
        <v>2</v>
      </c>
      <c r="CL4480">
        <v>0</v>
      </c>
      <c r="CM4480">
        <v>2</v>
      </c>
      <c r="CN4480">
        <v>0</v>
      </c>
      <c r="CO4480">
        <v>5</v>
      </c>
      <c r="CP4480" t="s">
        <v>119</v>
      </c>
      <c r="CQ4480">
        <v>298</v>
      </c>
      <c r="CR4480">
        <v>0</v>
      </c>
      <c r="CW4480">
        <v>10480760</v>
      </c>
      <c r="CY4480">
        <v>0</v>
      </c>
      <c r="CZ4480">
        <v>0</v>
      </c>
      <c r="DA4480">
        <v>1</v>
      </c>
      <c r="DB4480">
        <v>0</v>
      </c>
      <c r="DC4480">
        <v>0</v>
      </c>
      <c r="DD4480">
        <v>0</v>
      </c>
      <c r="DE4480">
        <v>0</v>
      </c>
      <c r="DF4480">
        <v>0</v>
      </c>
      <c r="DG4480">
        <v>0</v>
      </c>
      <c r="DH4480">
        <v>0</v>
      </c>
      <c r="DI4480">
        <v>0</v>
      </c>
    </row>
    <row r="4481" spans="1:113" x14ac:dyDescent="0.25">
      <c r="A4481" t="str">
        <f t="shared" si="2519"/>
        <v>06/05/2020 15:00:08.148</v>
      </c>
      <c r="C4481" t="str">
        <f t="shared" si="2504"/>
        <v>FFDFD3C0</v>
      </c>
      <c r="D4481" t="s">
        <v>141</v>
      </c>
      <c r="E4481">
        <v>20</v>
      </c>
      <c r="F4481">
        <v>1020</v>
      </c>
      <c r="G4481" t="s">
        <v>114</v>
      </c>
      <c r="J4481" t="s">
        <v>142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 t="shared" si="2520"/>
        <v>15:00:13.766</v>
      </c>
      <c r="T4481" t="str">
        <f t="shared" si="2520"/>
        <v>15:00:13.766</v>
      </c>
      <c r="U4481" t="str">
        <f t="shared" si="2485"/>
        <v>ACC530</v>
      </c>
      <c r="V4481">
        <v>0</v>
      </c>
      <c r="W4481">
        <v>0</v>
      </c>
      <c r="X4481">
        <v>1</v>
      </c>
      <c r="Z4481">
        <v>0</v>
      </c>
      <c r="AA4481">
        <v>9</v>
      </c>
      <c r="AB4481">
        <v>3</v>
      </c>
      <c r="AC4481">
        <v>0</v>
      </c>
      <c r="AD4481">
        <v>9</v>
      </c>
      <c r="AE4481">
        <v>0</v>
      </c>
      <c r="AF4481">
        <v>3</v>
      </c>
      <c r="AG4481">
        <v>1</v>
      </c>
      <c r="AH4481">
        <v>0</v>
      </c>
      <c r="AI4481" t="s">
        <v>1402</v>
      </c>
      <c r="AJ4481">
        <v>34.073945999999999</v>
      </c>
      <c r="AK4481" t="s">
        <v>1403</v>
      </c>
      <c r="AL4481">
        <v>-117.047203</v>
      </c>
      <c r="AM4481">
        <v>100</v>
      </c>
      <c r="AN4481">
        <v>4800</v>
      </c>
      <c r="AO4481" t="s">
        <v>118</v>
      </c>
      <c r="AP4481">
        <v>-101</v>
      </c>
      <c r="AQ4481">
        <v>21</v>
      </c>
      <c r="AR4481">
        <v>-1600</v>
      </c>
      <c r="AZ4481">
        <v>1200</v>
      </c>
      <c r="BA4481">
        <v>1</v>
      </c>
      <c r="BB4481" t="str">
        <f t="shared" si="2489"/>
        <v xml:space="preserve">N9217B  </v>
      </c>
      <c r="BC4481">
        <v>1</v>
      </c>
      <c r="BE4481">
        <v>0</v>
      </c>
      <c r="BF4481">
        <v>0</v>
      </c>
      <c r="BG4481">
        <v>0</v>
      </c>
      <c r="BH4481">
        <v>4550</v>
      </c>
      <c r="BI4481">
        <v>1</v>
      </c>
      <c r="BJ4481">
        <v>0</v>
      </c>
      <c r="BK4481">
        <v>0</v>
      </c>
      <c r="BL4481">
        <v>0</v>
      </c>
      <c r="BO4481">
        <v>0</v>
      </c>
      <c r="BP4481">
        <v>0</v>
      </c>
      <c r="BW4481" t="str">
        <f t="shared" si="2521"/>
        <v>15:00:13.772</v>
      </c>
      <c r="CJ4481">
        <v>0</v>
      </c>
      <c r="CK4481">
        <v>2</v>
      </c>
      <c r="CL4481">
        <v>0</v>
      </c>
      <c r="CM4481">
        <v>2</v>
      </c>
      <c r="CN4481">
        <v>0</v>
      </c>
      <c r="CO4481">
        <v>5</v>
      </c>
      <c r="CP4481" t="s">
        <v>119</v>
      </c>
      <c r="CQ4481">
        <v>298</v>
      </c>
      <c r="CR4481">
        <v>0</v>
      </c>
      <c r="CW4481">
        <v>10480760</v>
      </c>
      <c r="CY4481">
        <v>0</v>
      </c>
      <c r="CZ4481">
        <v>0</v>
      </c>
      <c r="DA4481">
        <v>1</v>
      </c>
      <c r="DB4481">
        <v>0</v>
      </c>
      <c r="DC4481">
        <v>0</v>
      </c>
      <c r="DD4481">
        <v>0</v>
      </c>
      <c r="DE4481">
        <v>0</v>
      </c>
      <c r="DF4481">
        <v>0</v>
      </c>
      <c r="DG4481">
        <v>0</v>
      </c>
      <c r="DH4481">
        <v>0</v>
      </c>
      <c r="DI4481">
        <v>0</v>
      </c>
    </row>
    <row r="4482" spans="1:113" x14ac:dyDescent="0.25">
      <c r="A4482" t="str">
        <f t="shared" si="2519"/>
        <v>06/05/2020 15:00:08.148</v>
      </c>
      <c r="C4482" t="str">
        <f t="shared" si="2504"/>
        <v>FFDFD3C0</v>
      </c>
      <c r="D4482" t="s">
        <v>151</v>
      </c>
      <c r="E4482">
        <v>9</v>
      </c>
      <c r="H4482">
        <v>226</v>
      </c>
      <c r="I4482" t="s">
        <v>152</v>
      </c>
      <c r="J4482" t="s">
        <v>150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>"15:00:13.766"</f>
        <v>15:00:13.766</v>
      </c>
      <c r="T4482" t="str">
        <f>"15:00:12.166"</f>
        <v>15:00:12.166</v>
      </c>
      <c r="U4482" t="str">
        <f t="shared" ref="U4482:U4545" si="2522">"ACC530"</f>
        <v>ACC530</v>
      </c>
      <c r="V4482">
        <v>0</v>
      </c>
      <c r="W4482">
        <v>0</v>
      </c>
      <c r="X4482">
        <v>1</v>
      </c>
      <c r="Z4482">
        <v>0</v>
      </c>
      <c r="AA4482">
        <v>9</v>
      </c>
      <c r="AB4482">
        <v>3</v>
      </c>
      <c r="AC4482">
        <v>0</v>
      </c>
      <c r="AD4482">
        <v>9</v>
      </c>
      <c r="AE4482">
        <v>0</v>
      </c>
      <c r="AF4482">
        <v>3</v>
      </c>
      <c r="AG4482">
        <v>1</v>
      </c>
      <c r="AH4482">
        <v>0</v>
      </c>
      <c r="AI4482" t="s">
        <v>1402</v>
      </c>
      <c r="AJ4482">
        <v>34.073945999999999</v>
      </c>
      <c r="AK4482" t="s">
        <v>1403</v>
      </c>
      <c r="AL4482">
        <v>-117.047203</v>
      </c>
      <c r="AM4482">
        <v>100</v>
      </c>
      <c r="AN4482">
        <v>4800</v>
      </c>
      <c r="AO4482" t="s">
        <v>118</v>
      </c>
      <c r="AP4482">
        <v>-100</v>
      </c>
      <c r="AQ4482">
        <v>22</v>
      </c>
      <c r="AR4482">
        <v>-1344</v>
      </c>
      <c r="AZ4482">
        <v>1200</v>
      </c>
      <c r="BA4482">
        <v>1</v>
      </c>
      <c r="BB4482" t="str">
        <f t="shared" si="2489"/>
        <v xml:space="preserve">N9217B  </v>
      </c>
      <c r="BC4482">
        <v>1</v>
      </c>
      <c r="BE4482">
        <v>0</v>
      </c>
      <c r="BF4482">
        <v>0</v>
      </c>
      <c r="BG4482">
        <v>0</v>
      </c>
      <c r="BH4482">
        <v>4600</v>
      </c>
      <c r="BI4482">
        <v>1</v>
      </c>
      <c r="BJ4482">
        <v>0</v>
      </c>
      <c r="BK4482">
        <v>0</v>
      </c>
      <c r="BL4482">
        <v>0</v>
      </c>
      <c r="BO4482">
        <v>0</v>
      </c>
      <c r="BP4482">
        <v>0</v>
      </c>
      <c r="BW4482" t="str">
        <f t="shared" si="2521"/>
        <v>15:00:13.772</v>
      </c>
      <c r="CJ4482">
        <v>0</v>
      </c>
      <c r="CK4482">
        <v>2</v>
      </c>
      <c r="CL4482">
        <v>0</v>
      </c>
      <c r="CM4482">
        <v>2</v>
      </c>
      <c r="CN4482">
        <v>0</v>
      </c>
      <c r="CO4482">
        <v>2</v>
      </c>
      <c r="CP4482" t="s">
        <v>119</v>
      </c>
      <c r="CQ4482">
        <v>285</v>
      </c>
      <c r="CR4482">
        <v>0</v>
      </c>
      <c r="CW4482">
        <v>8894429</v>
      </c>
      <c r="CY4482">
        <v>0</v>
      </c>
      <c r="CZ4482">
        <v>0</v>
      </c>
      <c r="DA4482">
        <v>1</v>
      </c>
      <c r="DB4482">
        <v>0</v>
      </c>
      <c r="DC4482">
        <v>0</v>
      </c>
      <c r="DD4482">
        <v>0</v>
      </c>
      <c r="DE4482">
        <v>0</v>
      </c>
      <c r="DF4482">
        <v>0</v>
      </c>
      <c r="DG4482">
        <v>0</v>
      </c>
      <c r="DH4482">
        <v>0</v>
      </c>
      <c r="DI4482">
        <v>0</v>
      </c>
    </row>
    <row r="4483" spans="1:113" x14ac:dyDescent="0.25">
      <c r="A4483" t="str">
        <f t="shared" si="2519"/>
        <v>06/05/2020 15:00:08.148</v>
      </c>
      <c r="C4483" t="str">
        <f t="shared" si="2504"/>
        <v>FFDFD3C0</v>
      </c>
      <c r="D4483" t="s">
        <v>148</v>
      </c>
      <c r="E4483">
        <v>8</v>
      </c>
      <c r="H4483">
        <v>50</v>
      </c>
      <c r="I4483" t="s">
        <v>149</v>
      </c>
      <c r="J4483" t="s">
        <v>150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>"15:00:13.766"</f>
        <v>15:00:13.766</v>
      </c>
      <c r="T4483" t="str">
        <f>"15:00:13.766"</f>
        <v>15:00:13.766</v>
      </c>
      <c r="U4483" t="str">
        <f t="shared" si="2522"/>
        <v>ACC530</v>
      </c>
      <c r="V4483">
        <v>0</v>
      </c>
      <c r="W4483">
        <v>0</v>
      </c>
      <c r="X4483">
        <v>1</v>
      </c>
      <c r="Z4483">
        <v>0</v>
      </c>
      <c r="AA4483">
        <v>9</v>
      </c>
      <c r="AB4483">
        <v>3</v>
      </c>
      <c r="AC4483">
        <v>0</v>
      </c>
      <c r="AD4483">
        <v>9</v>
      </c>
      <c r="AE4483">
        <v>0</v>
      </c>
      <c r="AF4483">
        <v>3</v>
      </c>
      <c r="AG4483">
        <v>1</v>
      </c>
      <c r="AH4483">
        <v>0</v>
      </c>
      <c r="AI4483" t="s">
        <v>1402</v>
      </c>
      <c r="AJ4483">
        <v>34.073945999999999</v>
      </c>
      <c r="AK4483" t="s">
        <v>1403</v>
      </c>
      <c r="AL4483">
        <v>-117.047203</v>
      </c>
      <c r="AM4483">
        <v>100</v>
      </c>
      <c r="AN4483">
        <v>4800</v>
      </c>
      <c r="AO4483" t="s">
        <v>118</v>
      </c>
      <c r="AP4483">
        <v>-101</v>
      </c>
      <c r="AQ4483">
        <v>21</v>
      </c>
      <c r="AR4483">
        <v>-1600</v>
      </c>
      <c r="AZ4483">
        <v>1200</v>
      </c>
      <c r="BA4483">
        <v>1</v>
      </c>
      <c r="BB4483" t="str">
        <f t="shared" si="2489"/>
        <v xml:space="preserve">N9217B  </v>
      </c>
      <c r="BC4483">
        <v>1</v>
      </c>
      <c r="BE4483">
        <v>0</v>
      </c>
      <c r="BF4483">
        <v>0</v>
      </c>
      <c r="BG4483">
        <v>0</v>
      </c>
      <c r="BH4483">
        <v>4550</v>
      </c>
      <c r="BI4483">
        <v>1</v>
      </c>
      <c r="BJ4483">
        <v>0</v>
      </c>
      <c r="BK4483">
        <v>0</v>
      </c>
      <c r="BL4483">
        <v>0</v>
      </c>
      <c r="BO4483">
        <v>0</v>
      </c>
      <c r="BP4483">
        <v>0</v>
      </c>
      <c r="BW4483" t="str">
        <f t="shared" si="2521"/>
        <v>15:00:13.772</v>
      </c>
      <c r="CJ4483">
        <v>0</v>
      </c>
      <c r="CK4483">
        <v>2</v>
      </c>
      <c r="CL4483">
        <v>0</v>
      </c>
      <c r="CM4483">
        <v>2</v>
      </c>
      <c r="CN4483">
        <v>0</v>
      </c>
      <c r="CO4483">
        <v>5</v>
      </c>
      <c r="CP4483" t="s">
        <v>119</v>
      </c>
      <c r="CQ4483">
        <v>298</v>
      </c>
      <c r="CR4483">
        <v>0</v>
      </c>
      <c r="CW4483">
        <v>10480760</v>
      </c>
      <c r="CY4483">
        <v>0</v>
      </c>
      <c r="CZ4483">
        <v>0</v>
      </c>
      <c r="DA4483">
        <v>1</v>
      </c>
      <c r="DB4483">
        <v>0</v>
      </c>
      <c r="DC4483">
        <v>0</v>
      </c>
      <c r="DD4483">
        <v>0</v>
      </c>
      <c r="DE4483">
        <v>0</v>
      </c>
      <c r="DF4483">
        <v>0</v>
      </c>
      <c r="DG4483">
        <v>0</v>
      </c>
      <c r="DH4483">
        <v>0</v>
      </c>
      <c r="DI4483">
        <v>0</v>
      </c>
    </row>
    <row r="4484" spans="1:113" x14ac:dyDescent="0.25">
      <c r="A4484" t="str">
        <f t="shared" si="2519"/>
        <v>06/05/2020 15:00:08.148</v>
      </c>
      <c r="C4484" t="str">
        <f t="shared" si="2504"/>
        <v>FFDFD3C0</v>
      </c>
      <c r="D4484" t="s">
        <v>113</v>
      </c>
      <c r="E4484">
        <v>3</v>
      </c>
      <c r="H4484">
        <v>166</v>
      </c>
      <c r="I4484" t="s">
        <v>114</v>
      </c>
      <c r="J4484" t="s">
        <v>115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>"15:00:13.766"</f>
        <v>15:00:13.766</v>
      </c>
      <c r="T4484" t="str">
        <f>"15:00:13.766"</f>
        <v>15:00:13.766</v>
      </c>
      <c r="U4484" t="str">
        <f t="shared" si="2522"/>
        <v>ACC530</v>
      </c>
      <c r="V4484">
        <v>0</v>
      </c>
      <c r="W4484">
        <v>0</v>
      </c>
      <c r="X4484">
        <v>1</v>
      </c>
      <c r="Z4484">
        <v>0</v>
      </c>
      <c r="AA4484">
        <v>9</v>
      </c>
      <c r="AB4484">
        <v>3</v>
      </c>
      <c r="AC4484">
        <v>0</v>
      </c>
      <c r="AD4484">
        <v>9</v>
      </c>
      <c r="AE4484">
        <v>0</v>
      </c>
      <c r="AF4484">
        <v>3</v>
      </c>
      <c r="AG4484">
        <v>1</v>
      </c>
      <c r="AH4484">
        <v>0</v>
      </c>
      <c r="AI4484" t="s">
        <v>1402</v>
      </c>
      <c r="AJ4484">
        <v>34.073945999999999</v>
      </c>
      <c r="AK4484" t="s">
        <v>1403</v>
      </c>
      <c r="AL4484">
        <v>-117.047203</v>
      </c>
      <c r="AM4484">
        <v>100</v>
      </c>
      <c r="AN4484">
        <v>4800</v>
      </c>
      <c r="AO4484" t="s">
        <v>118</v>
      </c>
      <c r="AP4484">
        <v>-101</v>
      </c>
      <c r="AQ4484">
        <v>21</v>
      </c>
      <c r="AR4484">
        <v>-1600</v>
      </c>
      <c r="AZ4484">
        <v>1200</v>
      </c>
      <c r="BA4484">
        <v>1</v>
      </c>
      <c r="BB4484" t="str">
        <f t="shared" si="2489"/>
        <v xml:space="preserve">N9217B  </v>
      </c>
      <c r="BC4484">
        <v>1</v>
      </c>
      <c r="BE4484">
        <v>0</v>
      </c>
      <c r="BF4484">
        <v>0</v>
      </c>
      <c r="BG4484">
        <v>0</v>
      </c>
      <c r="BH4484">
        <v>4550</v>
      </c>
      <c r="BI4484">
        <v>1</v>
      </c>
      <c r="BJ4484">
        <v>0</v>
      </c>
      <c r="BK4484">
        <v>0</v>
      </c>
      <c r="BL4484">
        <v>0</v>
      </c>
      <c r="BO4484">
        <v>0</v>
      </c>
      <c r="BP4484">
        <v>0</v>
      </c>
      <c r="BW4484" t="str">
        <f t="shared" si="2521"/>
        <v>15:00:13.772</v>
      </c>
      <c r="CJ4484">
        <v>0</v>
      </c>
      <c r="CK4484">
        <v>2</v>
      </c>
      <c r="CL4484">
        <v>0</v>
      </c>
      <c r="CM4484">
        <v>2</v>
      </c>
      <c r="CN4484">
        <v>0</v>
      </c>
      <c r="CO4484">
        <v>5</v>
      </c>
      <c r="CP4484" t="s">
        <v>119</v>
      </c>
      <c r="CQ4484">
        <v>298</v>
      </c>
      <c r="CR4484">
        <v>0</v>
      </c>
      <c r="CW4484">
        <v>10480760</v>
      </c>
      <c r="CY4484">
        <v>0</v>
      </c>
      <c r="CZ4484">
        <v>0</v>
      </c>
      <c r="DA4484">
        <v>1</v>
      </c>
      <c r="DB4484">
        <v>0</v>
      </c>
      <c r="DC4484">
        <v>0</v>
      </c>
      <c r="DD4484">
        <v>0</v>
      </c>
      <c r="DE4484">
        <v>0</v>
      </c>
      <c r="DF4484">
        <v>0</v>
      </c>
      <c r="DG4484">
        <v>0</v>
      </c>
      <c r="DH4484">
        <v>0</v>
      </c>
      <c r="DI4484">
        <v>0</v>
      </c>
    </row>
    <row r="4485" spans="1:113" x14ac:dyDescent="0.25">
      <c r="A4485" t="str">
        <f t="shared" ref="A4485:A4490" si="2523">"06/05/2020 15:00:09.079"</f>
        <v>06/05/2020 15:00:09.079</v>
      </c>
      <c r="C4485" t="str">
        <f t="shared" si="2504"/>
        <v>FFDFD3C0</v>
      </c>
      <c r="D4485" t="s">
        <v>151</v>
      </c>
      <c r="E4485">
        <v>8</v>
      </c>
      <c r="H4485">
        <v>225</v>
      </c>
      <c r="I4485" t="s">
        <v>353</v>
      </c>
      <c r="J4485" t="s">
        <v>150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 t="shared" ref="S4485:S4490" si="2524">"15:00:14.695"</f>
        <v>15:00:14.695</v>
      </c>
      <c r="T4485" t="str">
        <f t="shared" ref="T4485:T4490" si="2525">"15:00:14.295"</f>
        <v>15:00:14.295</v>
      </c>
      <c r="U4485" t="str">
        <f t="shared" si="2522"/>
        <v>ACC530</v>
      </c>
      <c r="V4485">
        <v>0</v>
      </c>
      <c r="W4485">
        <v>0</v>
      </c>
      <c r="X4485">
        <v>1</v>
      </c>
      <c r="Z4485">
        <v>0</v>
      </c>
      <c r="AA4485">
        <v>9</v>
      </c>
      <c r="AB4485">
        <v>3</v>
      </c>
      <c r="AC4485">
        <v>0</v>
      </c>
      <c r="AD4485">
        <v>9</v>
      </c>
      <c r="AE4485">
        <v>0</v>
      </c>
      <c r="AF4485">
        <v>3</v>
      </c>
      <c r="AG4485">
        <v>1</v>
      </c>
      <c r="AH4485">
        <v>0</v>
      </c>
      <c r="AI4485" t="s">
        <v>1197</v>
      </c>
      <c r="AJ4485">
        <v>34.074053999999997</v>
      </c>
      <c r="AK4485" t="s">
        <v>855</v>
      </c>
      <c r="AL4485">
        <v>-117.04776</v>
      </c>
      <c r="AM4485">
        <v>100</v>
      </c>
      <c r="AN4485">
        <v>4700</v>
      </c>
      <c r="AO4485" t="s">
        <v>118</v>
      </c>
      <c r="AP4485">
        <v>-101</v>
      </c>
      <c r="AQ4485">
        <v>21</v>
      </c>
      <c r="AR4485">
        <v>-1600</v>
      </c>
      <c r="AZ4485">
        <v>1200</v>
      </c>
      <c r="BA4485">
        <v>1</v>
      </c>
      <c r="BB4485" t="str">
        <f t="shared" ref="BB4485:BB4548" si="2526">"N9217B  "</f>
        <v xml:space="preserve">N9217B  </v>
      </c>
      <c r="BC4485">
        <v>1</v>
      </c>
      <c r="BE4485">
        <v>0</v>
      </c>
      <c r="BF4485">
        <v>0</v>
      </c>
      <c r="BG4485">
        <v>0</v>
      </c>
      <c r="BH4485">
        <v>4550</v>
      </c>
      <c r="BI4485">
        <v>1</v>
      </c>
      <c r="BJ4485">
        <v>0</v>
      </c>
      <c r="BK4485">
        <v>0</v>
      </c>
      <c r="BL4485">
        <v>0</v>
      </c>
      <c r="BO4485">
        <v>0</v>
      </c>
      <c r="BP4485">
        <v>0</v>
      </c>
      <c r="BW4485" t="str">
        <f t="shared" ref="BW4485:BW4490" si="2527">"15:00:14.702"</f>
        <v>15:00:14.702</v>
      </c>
      <c r="CJ4485">
        <v>0</v>
      </c>
      <c r="CK4485">
        <v>2</v>
      </c>
      <c r="CL4485">
        <v>0</v>
      </c>
      <c r="CM4485">
        <v>2</v>
      </c>
      <c r="CN4485">
        <v>0</v>
      </c>
      <c r="CO4485">
        <v>4</v>
      </c>
      <c r="CP4485" t="s">
        <v>119</v>
      </c>
      <c r="CQ4485">
        <v>298</v>
      </c>
      <c r="CR4485">
        <v>0</v>
      </c>
      <c r="CW4485">
        <v>10480890</v>
      </c>
      <c r="CY4485">
        <v>0</v>
      </c>
      <c r="CZ4485">
        <v>0</v>
      </c>
      <c r="DA4485">
        <v>0</v>
      </c>
      <c r="DB4485">
        <v>0</v>
      </c>
      <c r="DC4485">
        <v>0</v>
      </c>
      <c r="DD4485">
        <v>0</v>
      </c>
      <c r="DE4485">
        <v>0</v>
      </c>
      <c r="DF4485">
        <v>0</v>
      </c>
      <c r="DG4485">
        <v>0</v>
      </c>
      <c r="DH4485">
        <v>0</v>
      </c>
      <c r="DI4485">
        <v>0</v>
      </c>
    </row>
    <row r="4486" spans="1:113" x14ac:dyDescent="0.25">
      <c r="A4486" t="str">
        <f t="shared" si="2523"/>
        <v>06/05/2020 15:00:09.079</v>
      </c>
      <c r="C4486" t="str">
        <f t="shared" si="2504"/>
        <v>FFDFD3C0</v>
      </c>
      <c r="D4486" t="s">
        <v>148</v>
      </c>
      <c r="E4486">
        <v>11</v>
      </c>
      <c r="H4486">
        <v>53</v>
      </c>
      <c r="I4486" t="s">
        <v>364</v>
      </c>
      <c r="J4486" t="s">
        <v>150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 t="shared" si="2524"/>
        <v>15:00:14.695</v>
      </c>
      <c r="T4486" t="str">
        <f t="shared" si="2525"/>
        <v>15:00:14.295</v>
      </c>
      <c r="U4486" t="str">
        <f t="shared" si="2522"/>
        <v>ACC530</v>
      </c>
      <c r="V4486">
        <v>0</v>
      </c>
      <c r="W4486">
        <v>0</v>
      </c>
      <c r="X4486">
        <v>1</v>
      </c>
      <c r="Z4486">
        <v>0</v>
      </c>
      <c r="AA4486">
        <v>9</v>
      </c>
      <c r="AB4486">
        <v>3</v>
      </c>
      <c r="AC4486">
        <v>0</v>
      </c>
      <c r="AD4486">
        <v>9</v>
      </c>
      <c r="AE4486">
        <v>0</v>
      </c>
      <c r="AF4486">
        <v>3</v>
      </c>
      <c r="AG4486">
        <v>1</v>
      </c>
      <c r="AH4486">
        <v>0</v>
      </c>
      <c r="AI4486" t="s">
        <v>1197</v>
      </c>
      <c r="AJ4486">
        <v>34.074053999999997</v>
      </c>
      <c r="AK4486" t="s">
        <v>855</v>
      </c>
      <c r="AL4486">
        <v>-117.04776</v>
      </c>
      <c r="AM4486">
        <v>100</v>
      </c>
      <c r="AN4486">
        <v>4700</v>
      </c>
      <c r="AO4486" t="s">
        <v>118</v>
      </c>
      <c r="AP4486">
        <v>-101</v>
      </c>
      <c r="AQ4486">
        <v>21</v>
      </c>
      <c r="AR4486">
        <v>-1600</v>
      </c>
      <c r="AZ4486">
        <v>1200</v>
      </c>
      <c r="BA4486">
        <v>1</v>
      </c>
      <c r="BB4486" t="str">
        <f t="shared" si="2526"/>
        <v xml:space="preserve">N9217B  </v>
      </c>
      <c r="BC4486">
        <v>1</v>
      </c>
      <c r="BE4486">
        <v>0</v>
      </c>
      <c r="BF4486">
        <v>0</v>
      </c>
      <c r="BG4486">
        <v>0</v>
      </c>
      <c r="BH4486">
        <v>4550</v>
      </c>
      <c r="BI4486">
        <v>1</v>
      </c>
      <c r="BJ4486">
        <v>0</v>
      </c>
      <c r="BK4486">
        <v>0</v>
      </c>
      <c r="BL4486">
        <v>0</v>
      </c>
      <c r="BO4486">
        <v>0</v>
      </c>
      <c r="BP4486">
        <v>0</v>
      </c>
      <c r="BW4486" t="str">
        <f t="shared" si="2527"/>
        <v>15:00:14.702</v>
      </c>
      <c r="CJ4486">
        <v>0</v>
      </c>
      <c r="CK4486">
        <v>2</v>
      </c>
      <c r="CL4486">
        <v>0</v>
      </c>
      <c r="CM4486">
        <v>2</v>
      </c>
      <c r="CN4486">
        <v>0</v>
      </c>
      <c r="CO4486">
        <v>4</v>
      </c>
      <c r="CP4486" t="s">
        <v>119</v>
      </c>
      <c r="CQ4486">
        <v>298</v>
      </c>
      <c r="CR4486">
        <v>0</v>
      </c>
      <c r="CW4486">
        <v>10480890</v>
      </c>
      <c r="CY4486">
        <v>0</v>
      </c>
      <c r="CZ4486">
        <v>0</v>
      </c>
      <c r="DA4486">
        <v>1</v>
      </c>
      <c r="DB4486">
        <v>0</v>
      </c>
      <c r="DC4486">
        <v>0</v>
      </c>
      <c r="DD4486">
        <v>0</v>
      </c>
      <c r="DE4486">
        <v>0</v>
      </c>
      <c r="DF4486">
        <v>0</v>
      </c>
      <c r="DG4486">
        <v>0</v>
      </c>
      <c r="DH4486">
        <v>0</v>
      </c>
      <c r="DI4486">
        <v>0</v>
      </c>
    </row>
    <row r="4487" spans="1:113" x14ac:dyDescent="0.25">
      <c r="A4487" t="str">
        <f t="shared" si="2523"/>
        <v>06/05/2020 15:00:09.079</v>
      </c>
      <c r="C4487" t="str">
        <f t="shared" si="2504"/>
        <v>FFDFD3C0</v>
      </c>
      <c r="D4487" t="s">
        <v>141</v>
      </c>
      <c r="E4487">
        <v>20</v>
      </c>
      <c r="F4487">
        <v>1020</v>
      </c>
      <c r="G4487" t="s">
        <v>114</v>
      </c>
      <c r="J4487" t="s">
        <v>142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 t="shared" si="2524"/>
        <v>15:00:14.695</v>
      </c>
      <c r="T4487" t="str">
        <f t="shared" si="2525"/>
        <v>15:00:14.295</v>
      </c>
      <c r="U4487" t="str">
        <f t="shared" si="2522"/>
        <v>ACC530</v>
      </c>
      <c r="V4487">
        <v>0</v>
      </c>
      <c r="W4487">
        <v>0</v>
      </c>
      <c r="X4487">
        <v>1</v>
      </c>
      <c r="Z4487">
        <v>0</v>
      </c>
      <c r="AA4487">
        <v>9</v>
      </c>
      <c r="AB4487">
        <v>3</v>
      </c>
      <c r="AC4487">
        <v>0</v>
      </c>
      <c r="AD4487">
        <v>9</v>
      </c>
      <c r="AE4487">
        <v>0</v>
      </c>
      <c r="AF4487">
        <v>3</v>
      </c>
      <c r="AG4487">
        <v>1</v>
      </c>
      <c r="AH4487">
        <v>0</v>
      </c>
      <c r="AI4487" t="s">
        <v>1197</v>
      </c>
      <c r="AJ4487">
        <v>34.074053999999997</v>
      </c>
      <c r="AK4487" t="s">
        <v>855</v>
      </c>
      <c r="AL4487">
        <v>-117.04776</v>
      </c>
      <c r="AM4487">
        <v>100</v>
      </c>
      <c r="AN4487">
        <v>4700</v>
      </c>
      <c r="AO4487" t="s">
        <v>118</v>
      </c>
      <c r="AP4487">
        <v>-101</v>
      </c>
      <c r="AQ4487">
        <v>21</v>
      </c>
      <c r="AR4487">
        <v>-1600</v>
      </c>
      <c r="AZ4487">
        <v>1200</v>
      </c>
      <c r="BA4487">
        <v>1</v>
      </c>
      <c r="BB4487" t="str">
        <f t="shared" si="2526"/>
        <v xml:space="preserve">N9217B  </v>
      </c>
      <c r="BC4487">
        <v>1</v>
      </c>
      <c r="BE4487">
        <v>0</v>
      </c>
      <c r="BF4487">
        <v>0</v>
      </c>
      <c r="BG4487">
        <v>0</v>
      </c>
      <c r="BH4487">
        <v>4550</v>
      </c>
      <c r="BI4487">
        <v>1</v>
      </c>
      <c r="BJ4487">
        <v>0</v>
      </c>
      <c r="BK4487">
        <v>0</v>
      </c>
      <c r="BL4487">
        <v>0</v>
      </c>
      <c r="BO4487">
        <v>0</v>
      </c>
      <c r="BP4487">
        <v>0</v>
      </c>
      <c r="BW4487" t="str">
        <f t="shared" si="2527"/>
        <v>15:00:14.702</v>
      </c>
      <c r="CJ4487">
        <v>0</v>
      </c>
      <c r="CK4487">
        <v>2</v>
      </c>
      <c r="CL4487">
        <v>0</v>
      </c>
      <c r="CM4487">
        <v>2</v>
      </c>
      <c r="CN4487">
        <v>0</v>
      </c>
      <c r="CO4487">
        <v>4</v>
      </c>
      <c r="CP4487" t="s">
        <v>119</v>
      </c>
      <c r="CQ4487">
        <v>298</v>
      </c>
      <c r="CR4487">
        <v>0</v>
      </c>
      <c r="CW4487">
        <v>10480890</v>
      </c>
      <c r="CY4487">
        <v>0</v>
      </c>
      <c r="CZ4487">
        <v>0</v>
      </c>
      <c r="DA4487">
        <v>1</v>
      </c>
      <c r="DB4487">
        <v>0</v>
      </c>
      <c r="DC4487">
        <v>0</v>
      </c>
      <c r="DD4487">
        <v>0</v>
      </c>
      <c r="DE4487">
        <v>0</v>
      </c>
      <c r="DF4487">
        <v>0</v>
      </c>
      <c r="DG4487">
        <v>0</v>
      </c>
      <c r="DH4487">
        <v>0</v>
      </c>
      <c r="DI4487">
        <v>0</v>
      </c>
    </row>
    <row r="4488" spans="1:113" x14ac:dyDescent="0.25">
      <c r="A4488" t="str">
        <f t="shared" si="2523"/>
        <v>06/05/2020 15:00:09.079</v>
      </c>
      <c r="C4488" t="str">
        <f t="shared" si="2504"/>
        <v>FFDFD3C0</v>
      </c>
      <c r="D4488" t="s">
        <v>148</v>
      </c>
      <c r="E4488">
        <v>8</v>
      </c>
      <c r="H4488">
        <v>50</v>
      </c>
      <c r="I4488" t="s">
        <v>149</v>
      </c>
      <c r="J4488" t="s">
        <v>150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 t="shared" si="2524"/>
        <v>15:00:14.695</v>
      </c>
      <c r="T4488" t="str">
        <f t="shared" si="2525"/>
        <v>15:00:14.295</v>
      </c>
      <c r="U4488" t="str">
        <f t="shared" si="2522"/>
        <v>ACC530</v>
      </c>
      <c r="V4488">
        <v>0</v>
      </c>
      <c r="W4488">
        <v>0</v>
      </c>
      <c r="X4488">
        <v>1</v>
      </c>
      <c r="Z4488">
        <v>0</v>
      </c>
      <c r="AA4488">
        <v>9</v>
      </c>
      <c r="AB4488">
        <v>3</v>
      </c>
      <c r="AC4488">
        <v>0</v>
      </c>
      <c r="AD4488">
        <v>9</v>
      </c>
      <c r="AE4488">
        <v>0</v>
      </c>
      <c r="AF4488">
        <v>3</v>
      </c>
      <c r="AG4488">
        <v>1</v>
      </c>
      <c r="AH4488">
        <v>0</v>
      </c>
      <c r="AI4488" t="s">
        <v>1197</v>
      </c>
      <c r="AJ4488">
        <v>34.074053999999997</v>
      </c>
      <c r="AK4488" t="s">
        <v>855</v>
      </c>
      <c r="AL4488">
        <v>-117.04776</v>
      </c>
      <c r="AM4488">
        <v>100</v>
      </c>
      <c r="AN4488">
        <v>4700</v>
      </c>
      <c r="AO4488" t="s">
        <v>118</v>
      </c>
      <c r="AP4488">
        <v>-101</v>
      </c>
      <c r="AQ4488">
        <v>21</v>
      </c>
      <c r="AR4488">
        <v>-1600</v>
      </c>
      <c r="AZ4488">
        <v>1200</v>
      </c>
      <c r="BA4488">
        <v>1</v>
      </c>
      <c r="BB4488" t="str">
        <f t="shared" si="2526"/>
        <v xml:space="preserve">N9217B  </v>
      </c>
      <c r="BC4488">
        <v>1</v>
      </c>
      <c r="BE4488">
        <v>0</v>
      </c>
      <c r="BF4488">
        <v>0</v>
      </c>
      <c r="BG4488">
        <v>0</v>
      </c>
      <c r="BH4488">
        <v>4550</v>
      </c>
      <c r="BI4488">
        <v>1</v>
      </c>
      <c r="BJ4488">
        <v>0</v>
      </c>
      <c r="BK4488">
        <v>0</v>
      </c>
      <c r="BL4488">
        <v>0</v>
      </c>
      <c r="BO4488">
        <v>0</v>
      </c>
      <c r="BP4488">
        <v>0</v>
      </c>
      <c r="BW4488" t="str">
        <f t="shared" si="2527"/>
        <v>15:00:14.702</v>
      </c>
      <c r="CJ4488">
        <v>0</v>
      </c>
      <c r="CK4488">
        <v>2</v>
      </c>
      <c r="CL4488">
        <v>0</v>
      </c>
      <c r="CM4488">
        <v>2</v>
      </c>
      <c r="CN4488">
        <v>0</v>
      </c>
      <c r="CO4488">
        <v>4</v>
      </c>
      <c r="CP4488" t="s">
        <v>119</v>
      </c>
      <c r="CQ4488">
        <v>298</v>
      </c>
      <c r="CR4488">
        <v>0</v>
      </c>
      <c r="CW4488">
        <v>10480890</v>
      </c>
      <c r="CY4488">
        <v>0</v>
      </c>
      <c r="CZ4488">
        <v>0</v>
      </c>
      <c r="DA4488">
        <v>1</v>
      </c>
      <c r="DB4488">
        <v>0</v>
      </c>
      <c r="DC4488">
        <v>0</v>
      </c>
      <c r="DD4488">
        <v>0</v>
      </c>
      <c r="DE4488">
        <v>0</v>
      </c>
      <c r="DF4488">
        <v>0</v>
      </c>
      <c r="DG4488">
        <v>0</v>
      </c>
      <c r="DH4488">
        <v>0</v>
      </c>
      <c r="DI4488">
        <v>0</v>
      </c>
    </row>
    <row r="4489" spans="1:113" x14ac:dyDescent="0.25">
      <c r="A4489" t="str">
        <f t="shared" si="2523"/>
        <v>06/05/2020 15:00:09.079</v>
      </c>
      <c r="C4489" t="str">
        <f t="shared" si="2504"/>
        <v>FFDFD3C0</v>
      </c>
      <c r="D4489" t="s">
        <v>113</v>
      </c>
      <c r="E4489">
        <v>3</v>
      </c>
      <c r="H4489">
        <v>166</v>
      </c>
      <c r="I4489" t="s">
        <v>114</v>
      </c>
      <c r="J4489" t="s">
        <v>115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 t="shared" si="2524"/>
        <v>15:00:14.695</v>
      </c>
      <c r="T4489" t="str">
        <f t="shared" si="2525"/>
        <v>15:00:14.295</v>
      </c>
      <c r="U4489" t="str">
        <f t="shared" si="2522"/>
        <v>ACC530</v>
      </c>
      <c r="V4489">
        <v>0</v>
      </c>
      <c r="W4489">
        <v>0</v>
      </c>
      <c r="X4489">
        <v>1</v>
      </c>
      <c r="Z4489">
        <v>0</v>
      </c>
      <c r="AA4489">
        <v>9</v>
      </c>
      <c r="AB4489">
        <v>3</v>
      </c>
      <c r="AC4489">
        <v>0</v>
      </c>
      <c r="AD4489">
        <v>9</v>
      </c>
      <c r="AE4489">
        <v>0</v>
      </c>
      <c r="AF4489">
        <v>3</v>
      </c>
      <c r="AG4489">
        <v>1</v>
      </c>
      <c r="AH4489">
        <v>0</v>
      </c>
      <c r="AI4489" t="s">
        <v>1197</v>
      </c>
      <c r="AJ4489">
        <v>34.074053999999997</v>
      </c>
      <c r="AK4489" t="s">
        <v>855</v>
      </c>
      <c r="AL4489">
        <v>-117.04776</v>
      </c>
      <c r="AM4489">
        <v>100</v>
      </c>
      <c r="AN4489">
        <v>4700</v>
      </c>
      <c r="AO4489" t="s">
        <v>118</v>
      </c>
      <c r="AP4489">
        <v>-101</v>
      </c>
      <c r="AQ4489">
        <v>21</v>
      </c>
      <c r="AR4489">
        <v>-1600</v>
      </c>
      <c r="AZ4489">
        <v>1200</v>
      </c>
      <c r="BA4489">
        <v>1</v>
      </c>
      <c r="BB4489" t="str">
        <f t="shared" si="2526"/>
        <v xml:space="preserve">N9217B  </v>
      </c>
      <c r="BC4489">
        <v>1</v>
      </c>
      <c r="BE4489">
        <v>0</v>
      </c>
      <c r="BF4489">
        <v>0</v>
      </c>
      <c r="BG4489">
        <v>0</v>
      </c>
      <c r="BH4489">
        <v>4550</v>
      </c>
      <c r="BI4489">
        <v>1</v>
      </c>
      <c r="BJ4489">
        <v>0</v>
      </c>
      <c r="BK4489">
        <v>0</v>
      </c>
      <c r="BL4489">
        <v>0</v>
      </c>
      <c r="BO4489">
        <v>0</v>
      </c>
      <c r="BP4489">
        <v>0</v>
      </c>
      <c r="BW4489" t="str">
        <f t="shared" si="2527"/>
        <v>15:00:14.702</v>
      </c>
      <c r="CJ4489">
        <v>0</v>
      </c>
      <c r="CK4489">
        <v>2</v>
      </c>
      <c r="CL4489">
        <v>0</v>
      </c>
      <c r="CM4489">
        <v>2</v>
      </c>
      <c r="CN4489">
        <v>0</v>
      </c>
      <c r="CO4489">
        <v>4</v>
      </c>
      <c r="CP4489" t="s">
        <v>119</v>
      </c>
      <c r="CQ4489">
        <v>298</v>
      </c>
      <c r="CR4489">
        <v>0</v>
      </c>
      <c r="CW4489">
        <v>10480890</v>
      </c>
      <c r="CY4489">
        <v>0</v>
      </c>
      <c r="CZ4489">
        <v>0</v>
      </c>
      <c r="DA4489">
        <v>1</v>
      </c>
      <c r="DB4489">
        <v>0</v>
      </c>
      <c r="DC4489">
        <v>0</v>
      </c>
      <c r="DD4489">
        <v>0</v>
      </c>
      <c r="DE4489">
        <v>0</v>
      </c>
      <c r="DF4489">
        <v>0</v>
      </c>
      <c r="DG4489">
        <v>0</v>
      </c>
      <c r="DH4489">
        <v>0</v>
      </c>
      <c r="DI4489">
        <v>0</v>
      </c>
    </row>
    <row r="4490" spans="1:113" x14ac:dyDescent="0.25">
      <c r="A4490" t="str">
        <f t="shared" si="2523"/>
        <v>06/05/2020 15:00:09.079</v>
      </c>
      <c r="C4490" t="str">
        <f t="shared" si="2504"/>
        <v>FFDFD3C0</v>
      </c>
      <c r="D4490" t="s">
        <v>134</v>
      </c>
      <c r="E4490">
        <v>7</v>
      </c>
      <c r="F4490">
        <v>2007</v>
      </c>
      <c r="G4490" t="s">
        <v>135</v>
      </c>
      <c r="J4490" t="s">
        <v>136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 t="shared" si="2524"/>
        <v>15:00:14.695</v>
      </c>
      <c r="T4490" t="str">
        <f t="shared" si="2525"/>
        <v>15:00:14.295</v>
      </c>
      <c r="U4490" t="str">
        <f t="shared" si="2522"/>
        <v>ACC530</v>
      </c>
      <c r="V4490">
        <v>0</v>
      </c>
      <c r="W4490">
        <v>0</v>
      </c>
      <c r="X4490">
        <v>1</v>
      </c>
      <c r="Z4490">
        <v>0</v>
      </c>
      <c r="AA4490">
        <v>9</v>
      </c>
      <c r="AB4490">
        <v>3</v>
      </c>
      <c r="AC4490">
        <v>0</v>
      </c>
      <c r="AD4490">
        <v>9</v>
      </c>
      <c r="AE4490">
        <v>0</v>
      </c>
      <c r="AF4490">
        <v>3</v>
      </c>
      <c r="AG4490">
        <v>1</v>
      </c>
      <c r="AH4490">
        <v>0</v>
      </c>
      <c r="AI4490" t="s">
        <v>1197</v>
      </c>
      <c r="AJ4490">
        <v>34.074053999999997</v>
      </c>
      <c r="AK4490" t="s">
        <v>855</v>
      </c>
      <c r="AL4490">
        <v>-117.04776</v>
      </c>
      <c r="AM4490">
        <v>100</v>
      </c>
      <c r="AN4490">
        <v>4700</v>
      </c>
      <c r="AO4490" t="s">
        <v>118</v>
      </c>
      <c r="AP4490">
        <v>-101</v>
      </c>
      <c r="AQ4490">
        <v>21</v>
      </c>
      <c r="AR4490">
        <v>-1600</v>
      </c>
      <c r="AZ4490">
        <v>1200</v>
      </c>
      <c r="BA4490">
        <v>1</v>
      </c>
      <c r="BB4490" t="str">
        <f t="shared" si="2526"/>
        <v xml:space="preserve">N9217B  </v>
      </c>
      <c r="BC4490">
        <v>1</v>
      </c>
      <c r="BE4490">
        <v>0</v>
      </c>
      <c r="BF4490">
        <v>0</v>
      </c>
      <c r="BG4490">
        <v>0</v>
      </c>
      <c r="BH4490">
        <v>4550</v>
      </c>
      <c r="BI4490">
        <v>1</v>
      </c>
      <c r="BJ4490">
        <v>0</v>
      </c>
      <c r="BK4490">
        <v>0</v>
      </c>
      <c r="BL4490">
        <v>0</v>
      </c>
      <c r="BO4490">
        <v>0</v>
      </c>
      <c r="BP4490">
        <v>0</v>
      </c>
      <c r="BW4490" t="str">
        <f t="shared" si="2527"/>
        <v>15:00:14.702</v>
      </c>
      <c r="CJ4490">
        <v>0</v>
      </c>
      <c r="CK4490">
        <v>2</v>
      </c>
      <c r="CL4490">
        <v>0</v>
      </c>
      <c r="CM4490">
        <v>2</v>
      </c>
      <c r="CN4490">
        <v>0</v>
      </c>
      <c r="CO4490">
        <v>4</v>
      </c>
      <c r="CP4490" t="s">
        <v>119</v>
      </c>
      <c r="CQ4490">
        <v>298</v>
      </c>
      <c r="CR4490">
        <v>0</v>
      </c>
      <c r="CW4490">
        <v>10480890</v>
      </c>
      <c r="CY4490">
        <v>0</v>
      </c>
      <c r="CZ4490">
        <v>0</v>
      </c>
      <c r="DA4490">
        <v>1</v>
      </c>
      <c r="DB4490">
        <v>0</v>
      </c>
      <c r="DC4490">
        <v>0</v>
      </c>
      <c r="DD4490">
        <v>0</v>
      </c>
      <c r="DE4490">
        <v>0</v>
      </c>
      <c r="DF4490">
        <v>0</v>
      </c>
      <c r="DG4490">
        <v>0</v>
      </c>
      <c r="DH4490">
        <v>0</v>
      </c>
      <c r="DI4490">
        <v>0</v>
      </c>
    </row>
    <row r="4491" spans="1:113" x14ac:dyDescent="0.25">
      <c r="A4491" t="str">
        <f t="shared" ref="A4491:A4496" si="2528">"06/05/2020 15:00:11.165"</f>
        <v>06/05/2020 15:00:11.165</v>
      </c>
      <c r="C4491" t="str">
        <f t="shared" si="2504"/>
        <v>FFDFD3C0</v>
      </c>
      <c r="D4491" t="s">
        <v>141</v>
      </c>
      <c r="E4491">
        <v>20</v>
      </c>
      <c r="F4491">
        <v>1020</v>
      </c>
      <c r="G4491" t="s">
        <v>114</v>
      </c>
      <c r="J4491" t="s">
        <v>142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 t="shared" ref="S4491:S4496" si="2529">"15:00:16.797"</f>
        <v>15:00:16.797</v>
      </c>
      <c r="T4491" t="str">
        <f t="shared" ref="T4491:T4496" si="2530">"15:00:16.297"</f>
        <v>15:00:16.297</v>
      </c>
      <c r="U4491" t="str">
        <f t="shared" si="2522"/>
        <v>ACC530</v>
      </c>
      <c r="V4491">
        <v>0</v>
      </c>
      <c r="W4491">
        <v>0</v>
      </c>
      <c r="X4491">
        <v>1</v>
      </c>
      <c r="Z4491">
        <v>0</v>
      </c>
      <c r="AA4491">
        <v>9</v>
      </c>
      <c r="AB4491">
        <v>3</v>
      </c>
      <c r="AC4491">
        <v>0</v>
      </c>
      <c r="AD4491">
        <v>9</v>
      </c>
      <c r="AE4491">
        <v>0</v>
      </c>
      <c r="AF4491">
        <v>3</v>
      </c>
      <c r="AG4491">
        <v>1</v>
      </c>
      <c r="AH4491">
        <v>0</v>
      </c>
      <c r="AI4491" t="s">
        <v>1404</v>
      </c>
      <c r="AJ4491">
        <v>34.074224999999998</v>
      </c>
      <c r="AK4491" t="s">
        <v>1405</v>
      </c>
      <c r="AL4491">
        <v>-117.048962</v>
      </c>
      <c r="AM4491">
        <v>100</v>
      </c>
      <c r="AN4491">
        <v>4700</v>
      </c>
      <c r="AO4491" t="s">
        <v>118</v>
      </c>
      <c r="AP4491">
        <v>-104</v>
      </c>
      <c r="AQ4491">
        <v>18</v>
      </c>
      <c r="AR4491">
        <v>-1600</v>
      </c>
      <c r="AZ4491">
        <v>1200</v>
      </c>
      <c r="BA4491">
        <v>1</v>
      </c>
      <c r="BB4491" t="str">
        <f t="shared" si="2526"/>
        <v xml:space="preserve">N9217B  </v>
      </c>
      <c r="BC4491">
        <v>1</v>
      </c>
      <c r="BE4491">
        <v>0</v>
      </c>
      <c r="BF4491">
        <v>0</v>
      </c>
      <c r="BG4491">
        <v>0</v>
      </c>
      <c r="BH4491">
        <v>4500</v>
      </c>
      <c r="BI4491">
        <v>1</v>
      </c>
      <c r="BJ4491">
        <v>0</v>
      </c>
      <c r="BK4491">
        <v>0</v>
      </c>
      <c r="BL4491">
        <v>0</v>
      </c>
      <c r="BO4491">
        <v>0</v>
      </c>
      <c r="BP4491">
        <v>0</v>
      </c>
      <c r="BW4491" t="str">
        <f t="shared" ref="BW4491:BW4496" si="2531">"15:00:16.802"</f>
        <v>15:00:16.802</v>
      </c>
      <c r="CJ4491">
        <v>0</v>
      </c>
      <c r="CK4491">
        <v>2</v>
      </c>
      <c r="CL4491">
        <v>0</v>
      </c>
      <c r="CM4491">
        <v>2</v>
      </c>
      <c r="CN4491">
        <v>0</v>
      </c>
      <c r="CO4491">
        <v>5</v>
      </c>
      <c r="CP4491" t="s">
        <v>119</v>
      </c>
      <c r="CQ4491">
        <v>298</v>
      </c>
      <c r="CR4491">
        <v>0</v>
      </c>
      <c r="CW4491">
        <v>10481161</v>
      </c>
      <c r="CY4491">
        <v>0</v>
      </c>
      <c r="CZ4491">
        <v>0</v>
      </c>
      <c r="DA4491">
        <v>0</v>
      </c>
      <c r="DB4491">
        <v>0</v>
      </c>
      <c r="DC4491">
        <v>0</v>
      </c>
      <c r="DD4491">
        <v>0</v>
      </c>
      <c r="DE4491">
        <v>0</v>
      </c>
      <c r="DF4491">
        <v>0</v>
      </c>
      <c r="DG4491">
        <v>0</v>
      </c>
      <c r="DH4491">
        <v>0</v>
      </c>
      <c r="DI4491">
        <v>0</v>
      </c>
    </row>
    <row r="4492" spans="1:113" x14ac:dyDescent="0.25">
      <c r="A4492" t="str">
        <f t="shared" si="2528"/>
        <v>06/05/2020 15:00:11.165</v>
      </c>
      <c r="C4492" t="str">
        <f t="shared" si="2504"/>
        <v>FFDFD3C0</v>
      </c>
      <c r="D4492" t="s">
        <v>148</v>
      </c>
      <c r="E4492">
        <v>8</v>
      </c>
      <c r="H4492">
        <v>50</v>
      </c>
      <c r="I4492" t="s">
        <v>149</v>
      </c>
      <c r="J4492" t="s">
        <v>150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 t="shared" si="2529"/>
        <v>15:00:16.797</v>
      </c>
      <c r="T4492" t="str">
        <f t="shared" si="2530"/>
        <v>15:00:16.297</v>
      </c>
      <c r="U4492" t="str">
        <f t="shared" si="2522"/>
        <v>ACC530</v>
      </c>
      <c r="V4492">
        <v>0</v>
      </c>
      <c r="W4492">
        <v>0</v>
      </c>
      <c r="X4492">
        <v>1</v>
      </c>
      <c r="Z4492">
        <v>0</v>
      </c>
      <c r="AA4492">
        <v>9</v>
      </c>
      <c r="AB4492">
        <v>3</v>
      </c>
      <c r="AC4492">
        <v>0</v>
      </c>
      <c r="AD4492">
        <v>9</v>
      </c>
      <c r="AE4492">
        <v>0</v>
      </c>
      <c r="AF4492">
        <v>3</v>
      </c>
      <c r="AG4492">
        <v>1</v>
      </c>
      <c r="AH4492">
        <v>0</v>
      </c>
      <c r="AI4492" t="s">
        <v>1404</v>
      </c>
      <c r="AJ4492">
        <v>34.074224999999998</v>
      </c>
      <c r="AK4492" t="s">
        <v>1405</v>
      </c>
      <c r="AL4492">
        <v>-117.048962</v>
      </c>
      <c r="AM4492">
        <v>100</v>
      </c>
      <c r="AN4492">
        <v>4700</v>
      </c>
      <c r="AO4492" t="s">
        <v>118</v>
      </c>
      <c r="AP4492">
        <v>-104</v>
      </c>
      <c r="AQ4492">
        <v>18</v>
      </c>
      <c r="AR4492">
        <v>-1600</v>
      </c>
      <c r="AZ4492">
        <v>1200</v>
      </c>
      <c r="BA4492">
        <v>1</v>
      </c>
      <c r="BB4492" t="str">
        <f t="shared" si="2526"/>
        <v xml:space="preserve">N9217B  </v>
      </c>
      <c r="BC4492">
        <v>1</v>
      </c>
      <c r="BE4492">
        <v>0</v>
      </c>
      <c r="BF4492">
        <v>0</v>
      </c>
      <c r="BG4492">
        <v>0</v>
      </c>
      <c r="BH4492">
        <v>4500</v>
      </c>
      <c r="BI4492">
        <v>1</v>
      </c>
      <c r="BJ4492">
        <v>0</v>
      </c>
      <c r="BK4492">
        <v>0</v>
      </c>
      <c r="BL4492">
        <v>0</v>
      </c>
      <c r="BO4492">
        <v>0</v>
      </c>
      <c r="BP4492">
        <v>0</v>
      </c>
      <c r="BW4492" t="str">
        <f t="shared" si="2531"/>
        <v>15:00:16.802</v>
      </c>
      <c r="CJ4492">
        <v>0</v>
      </c>
      <c r="CK4492">
        <v>2</v>
      </c>
      <c r="CL4492">
        <v>0</v>
      </c>
      <c r="CM4492">
        <v>2</v>
      </c>
      <c r="CN4492">
        <v>0</v>
      </c>
      <c r="CO4492">
        <v>5</v>
      </c>
      <c r="CP4492" t="s">
        <v>119</v>
      </c>
      <c r="CQ4492">
        <v>298</v>
      </c>
      <c r="CR4492">
        <v>0</v>
      </c>
      <c r="CW4492">
        <v>10481161</v>
      </c>
      <c r="CY4492">
        <v>0</v>
      </c>
      <c r="CZ4492">
        <v>0</v>
      </c>
      <c r="DA4492">
        <v>1</v>
      </c>
      <c r="DB4492">
        <v>0</v>
      </c>
      <c r="DC4492">
        <v>0</v>
      </c>
      <c r="DD4492">
        <v>0</v>
      </c>
      <c r="DE4492">
        <v>0</v>
      </c>
      <c r="DF4492">
        <v>0</v>
      </c>
      <c r="DG4492">
        <v>0</v>
      </c>
      <c r="DH4492">
        <v>0</v>
      </c>
      <c r="DI4492">
        <v>0</v>
      </c>
    </row>
    <row r="4493" spans="1:113" x14ac:dyDescent="0.25">
      <c r="A4493" t="str">
        <f t="shared" si="2528"/>
        <v>06/05/2020 15:00:11.165</v>
      </c>
      <c r="C4493" t="str">
        <f t="shared" si="2504"/>
        <v>FFDFD3C0</v>
      </c>
      <c r="D4493" t="s">
        <v>113</v>
      </c>
      <c r="E4493">
        <v>3</v>
      </c>
      <c r="H4493">
        <v>166</v>
      </c>
      <c r="I4493" t="s">
        <v>114</v>
      </c>
      <c r="J4493" t="s">
        <v>115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 t="shared" si="2529"/>
        <v>15:00:16.797</v>
      </c>
      <c r="T4493" t="str">
        <f t="shared" si="2530"/>
        <v>15:00:16.297</v>
      </c>
      <c r="U4493" t="str">
        <f t="shared" si="2522"/>
        <v>ACC530</v>
      </c>
      <c r="V4493">
        <v>0</v>
      </c>
      <c r="W4493">
        <v>0</v>
      </c>
      <c r="X4493">
        <v>1</v>
      </c>
      <c r="Z4493">
        <v>0</v>
      </c>
      <c r="AA4493">
        <v>9</v>
      </c>
      <c r="AB4493">
        <v>3</v>
      </c>
      <c r="AC4493">
        <v>0</v>
      </c>
      <c r="AD4493">
        <v>9</v>
      </c>
      <c r="AE4493">
        <v>0</v>
      </c>
      <c r="AF4493">
        <v>3</v>
      </c>
      <c r="AG4493">
        <v>1</v>
      </c>
      <c r="AH4493">
        <v>0</v>
      </c>
      <c r="AI4493" t="s">
        <v>1404</v>
      </c>
      <c r="AJ4493">
        <v>34.074224999999998</v>
      </c>
      <c r="AK4493" t="s">
        <v>1405</v>
      </c>
      <c r="AL4493">
        <v>-117.048962</v>
      </c>
      <c r="AM4493">
        <v>100</v>
      </c>
      <c r="AN4493">
        <v>4700</v>
      </c>
      <c r="AO4493" t="s">
        <v>118</v>
      </c>
      <c r="AP4493">
        <v>-104</v>
      </c>
      <c r="AQ4493">
        <v>18</v>
      </c>
      <c r="AR4493">
        <v>-1600</v>
      </c>
      <c r="AZ4493">
        <v>1200</v>
      </c>
      <c r="BA4493">
        <v>1</v>
      </c>
      <c r="BB4493" t="str">
        <f t="shared" si="2526"/>
        <v xml:space="preserve">N9217B  </v>
      </c>
      <c r="BC4493">
        <v>1</v>
      </c>
      <c r="BE4493">
        <v>0</v>
      </c>
      <c r="BF4493">
        <v>0</v>
      </c>
      <c r="BG4493">
        <v>0</v>
      </c>
      <c r="BH4493">
        <v>4500</v>
      </c>
      <c r="BI4493">
        <v>1</v>
      </c>
      <c r="BJ4493">
        <v>0</v>
      </c>
      <c r="BK4493">
        <v>0</v>
      </c>
      <c r="BL4493">
        <v>0</v>
      </c>
      <c r="BO4493">
        <v>0</v>
      </c>
      <c r="BP4493">
        <v>0</v>
      </c>
      <c r="BW4493" t="str">
        <f t="shared" si="2531"/>
        <v>15:00:16.802</v>
      </c>
      <c r="CJ4493">
        <v>0</v>
      </c>
      <c r="CK4493">
        <v>2</v>
      </c>
      <c r="CL4493">
        <v>0</v>
      </c>
      <c r="CM4493">
        <v>2</v>
      </c>
      <c r="CN4493">
        <v>0</v>
      </c>
      <c r="CO4493">
        <v>5</v>
      </c>
      <c r="CP4493" t="s">
        <v>119</v>
      </c>
      <c r="CQ4493">
        <v>298</v>
      </c>
      <c r="CR4493">
        <v>0</v>
      </c>
      <c r="CW4493">
        <v>10481161</v>
      </c>
      <c r="CY4493">
        <v>0</v>
      </c>
      <c r="CZ4493">
        <v>0</v>
      </c>
      <c r="DA4493">
        <v>1</v>
      </c>
      <c r="DB4493">
        <v>0</v>
      </c>
      <c r="DC4493">
        <v>0</v>
      </c>
      <c r="DD4493">
        <v>0</v>
      </c>
      <c r="DE4493">
        <v>0</v>
      </c>
      <c r="DF4493">
        <v>0</v>
      </c>
      <c r="DG4493">
        <v>0</v>
      </c>
      <c r="DH4493">
        <v>0</v>
      </c>
      <c r="DI4493">
        <v>0</v>
      </c>
    </row>
    <row r="4494" spans="1:113" x14ac:dyDescent="0.25">
      <c r="A4494" t="str">
        <f t="shared" si="2528"/>
        <v>06/05/2020 15:00:11.165</v>
      </c>
      <c r="C4494" t="str">
        <f t="shared" si="2504"/>
        <v>FFDFD3C0</v>
      </c>
      <c r="D4494" t="s">
        <v>134</v>
      </c>
      <c r="E4494">
        <v>7</v>
      </c>
      <c r="F4494">
        <v>2007</v>
      </c>
      <c r="G4494" t="s">
        <v>135</v>
      </c>
      <c r="J4494" t="s">
        <v>136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 t="shared" si="2529"/>
        <v>15:00:16.797</v>
      </c>
      <c r="T4494" t="str">
        <f t="shared" si="2530"/>
        <v>15:00:16.297</v>
      </c>
      <c r="U4494" t="str">
        <f t="shared" si="2522"/>
        <v>ACC530</v>
      </c>
      <c r="V4494">
        <v>0</v>
      </c>
      <c r="W4494">
        <v>0</v>
      </c>
      <c r="X4494">
        <v>1</v>
      </c>
      <c r="Z4494">
        <v>0</v>
      </c>
      <c r="AA4494">
        <v>9</v>
      </c>
      <c r="AB4494">
        <v>3</v>
      </c>
      <c r="AC4494">
        <v>0</v>
      </c>
      <c r="AD4494">
        <v>9</v>
      </c>
      <c r="AE4494">
        <v>0</v>
      </c>
      <c r="AF4494">
        <v>3</v>
      </c>
      <c r="AG4494">
        <v>1</v>
      </c>
      <c r="AH4494">
        <v>0</v>
      </c>
      <c r="AI4494" t="s">
        <v>1404</v>
      </c>
      <c r="AJ4494">
        <v>34.074224999999998</v>
      </c>
      <c r="AK4494" t="s">
        <v>1405</v>
      </c>
      <c r="AL4494">
        <v>-117.048962</v>
      </c>
      <c r="AM4494">
        <v>100</v>
      </c>
      <c r="AN4494">
        <v>4700</v>
      </c>
      <c r="AO4494" t="s">
        <v>118</v>
      </c>
      <c r="AP4494">
        <v>-104</v>
      </c>
      <c r="AQ4494">
        <v>18</v>
      </c>
      <c r="AR4494">
        <v>-1600</v>
      </c>
      <c r="AZ4494">
        <v>1200</v>
      </c>
      <c r="BA4494">
        <v>1</v>
      </c>
      <c r="BB4494" t="str">
        <f t="shared" si="2526"/>
        <v xml:space="preserve">N9217B  </v>
      </c>
      <c r="BC4494">
        <v>1</v>
      </c>
      <c r="BE4494">
        <v>0</v>
      </c>
      <c r="BF4494">
        <v>0</v>
      </c>
      <c r="BG4494">
        <v>0</v>
      </c>
      <c r="BH4494">
        <v>4500</v>
      </c>
      <c r="BI4494">
        <v>1</v>
      </c>
      <c r="BJ4494">
        <v>0</v>
      </c>
      <c r="BK4494">
        <v>0</v>
      </c>
      <c r="BL4494">
        <v>0</v>
      </c>
      <c r="BO4494">
        <v>0</v>
      </c>
      <c r="BP4494">
        <v>0</v>
      </c>
      <c r="BW4494" t="str">
        <f t="shared" si="2531"/>
        <v>15:00:16.802</v>
      </c>
      <c r="CJ4494">
        <v>0</v>
      </c>
      <c r="CK4494">
        <v>2</v>
      </c>
      <c r="CL4494">
        <v>0</v>
      </c>
      <c r="CM4494">
        <v>2</v>
      </c>
      <c r="CN4494">
        <v>0</v>
      </c>
      <c r="CO4494">
        <v>5</v>
      </c>
      <c r="CP4494" t="s">
        <v>119</v>
      </c>
      <c r="CQ4494">
        <v>298</v>
      </c>
      <c r="CR4494">
        <v>0</v>
      </c>
      <c r="CW4494">
        <v>10481161</v>
      </c>
      <c r="CY4494">
        <v>0</v>
      </c>
      <c r="CZ4494">
        <v>0</v>
      </c>
      <c r="DA4494">
        <v>1</v>
      </c>
      <c r="DB4494">
        <v>0</v>
      </c>
      <c r="DC4494">
        <v>0</v>
      </c>
      <c r="DD4494">
        <v>0</v>
      </c>
      <c r="DE4494">
        <v>0</v>
      </c>
      <c r="DF4494">
        <v>0</v>
      </c>
      <c r="DG4494">
        <v>0</v>
      </c>
      <c r="DH4494">
        <v>0</v>
      </c>
      <c r="DI4494">
        <v>0</v>
      </c>
    </row>
    <row r="4495" spans="1:113" x14ac:dyDescent="0.25">
      <c r="A4495" t="str">
        <f t="shared" si="2528"/>
        <v>06/05/2020 15:00:11.165</v>
      </c>
      <c r="C4495" t="str">
        <f t="shared" si="2504"/>
        <v>FFDFD3C0</v>
      </c>
      <c r="D4495" t="s">
        <v>151</v>
      </c>
      <c r="E4495">
        <v>8</v>
      </c>
      <c r="H4495">
        <v>225</v>
      </c>
      <c r="I4495" t="s">
        <v>353</v>
      </c>
      <c r="J4495" t="s">
        <v>150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 t="shared" si="2529"/>
        <v>15:00:16.797</v>
      </c>
      <c r="T4495" t="str">
        <f t="shared" si="2530"/>
        <v>15:00:16.297</v>
      </c>
      <c r="U4495" t="str">
        <f t="shared" si="2522"/>
        <v>ACC530</v>
      </c>
      <c r="V4495">
        <v>0</v>
      </c>
      <c r="W4495">
        <v>0</v>
      </c>
      <c r="X4495">
        <v>1</v>
      </c>
      <c r="Z4495">
        <v>0</v>
      </c>
      <c r="AA4495">
        <v>9</v>
      </c>
      <c r="AB4495">
        <v>3</v>
      </c>
      <c r="AC4495">
        <v>0</v>
      </c>
      <c r="AD4495">
        <v>9</v>
      </c>
      <c r="AE4495">
        <v>0</v>
      </c>
      <c r="AF4495">
        <v>3</v>
      </c>
      <c r="AG4495">
        <v>1</v>
      </c>
      <c r="AH4495">
        <v>0</v>
      </c>
      <c r="AI4495" t="s">
        <v>1404</v>
      </c>
      <c r="AJ4495">
        <v>34.074224999999998</v>
      </c>
      <c r="AK4495" t="s">
        <v>1405</v>
      </c>
      <c r="AL4495">
        <v>-117.048962</v>
      </c>
      <c r="AM4495">
        <v>100</v>
      </c>
      <c r="AN4495">
        <v>4700</v>
      </c>
      <c r="AO4495" t="s">
        <v>118</v>
      </c>
      <c r="AP4495">
        <v>-104</v>
      </c>
      <c r="AQ4495">
        <v>18</v>
      </c>
      <c r="AR4495">
        <v>-1600</v>
      </c>
      <c r="AZ4495">
        <v>1200</v>
      </c>
      <c r="BA4495">
        <v>1</v>
      </c>
      <c r="BB4495" t="str">
        <f t="shared" si="2526"/>
        <v xml:space="preserve">N9217B  </v>
      </c>
      <c r="BC4495">
        <v>1</v>
      </c>
      <c r="BE4495">
        <v>0</v>
      </c>
      <c r="BF4495">
        <v>0</v>
      </c>
      <c r="BG4495">
        <v>0</v>
      </c>
      <c r="BH4495">
        <v>4500</v>
      </c>
      <c r="BI4495">
        <v>1</v>
      </c>
      <c r="BJ4495">
        <v>0</v>
      </c>
      <c r="BK4495">
        <v>0</v>
      </c>
      <c r="BL4495">
        <v>0</v>
      </c>
      <c r="BO4495">
        <v>0</v>
      </c>
      <c r="BP4495">
        <v>0</v>
      </c>
      <c r="BW4495" t="str">
        <f t="shared" si="2531"/>
        <v>15:00:16.802</v>
      </c>
      <c r="CJ4495">
        <v>0</v>
      </c>
      <c r="CK4495">
        <v>2</v>
      </c>
      <c r="CL4495">
        <v>0</v>
      </c>
      <c r="CM4495">
        <v>2</v>
      </c>
      <c r="CN4495">
        <v>0</v>
      </c>
      <c r="CO4495">
        <v>5</v>
      </c>
      <c r="CP4495" t="s">
        <v>119</v>
      </c>
      <c r="CQ4495">
        <v>298</v>
      </c>
      <c r="CR4495">
        <v>0</v>
      </c>
      <c r="CW4495">
        <v>10481161</v>
      </c>
      <c r="CY4495">
        <v>0</v>
      </c>
      <c r="CZ4495">
        <v>0</v>
      </c>
      <c r="DA4495">
        <v>1</v>
      </c>
      <c r="DB4495">
        <v>0</v>
      </c>
      <c r="DC4495">
        <v>0</v>
      </c>
      <c r="DD4495">
        <v>0</v>
      </c>
      <c r="DE4495">
        <v>0</v>
      </c>
      <c r="DF4495">
        <v>0</v>
      </c>
      <c r="DG4495">
        <v>0</v>
      </c>
      <c r="DH4495">
        <v>0</v>
      </c>
      <c r="DI4495">
        <v>0</v>
      </c>
    </row>
    <row r="4496" spans="1:113" x14ac:dyDescent="0.25">
      <c r="A4496" t="str">
        <f t="shared" si="2528"/>
        <v>06/05/2020 15:00:11.165</v>
      </c>
      <c r="C4496" t="str">
        <f t="shared" si="2504"/>
        <v>FFDFD3C0</v>
      </c>
      <c r="D4496" t="s">
        <v>148</v>
      </c>
      <c r="E4496">
        <v>11</v>
      </c>
      <c r="H4496">
        <v>53</v>
      </c>
      <c r="I4496" t="s">
        <v>364</v>
      </c>
      <c r="J4496" t="s">
        <v>150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 t="shared" si="2529"/>
        <v>15:00:16.797</v>
      </c>
      <c r="T4496" t="str">
        <f t="shared" si="2530"/>
        <v>15:00:16.297</v>
      </c>
      <c r="U4496" t="str">
        <f t="shared" si="2522"/>
        <v>ACC530</v>
      </c>
      <c r="V4496">
        <v>0</v>
      </c>
      <c r="W4496">
        <v>0</v>
      </c>
      <c r="X4496">
        <v>1</v>
      </c>
      <c r="Z4496">
        <v>0</v>
      </c>
      <c r="AA4496">
        <v>9</v>
      </c>
      <c r="AB4496">
        <v>3</v>
      </c>
      <c r="AC4496">
        <v>0</v>
      </c>
      <c r="AD4496">
        <v>9</v>
      </c>
      <c r="AE4496">
        <v>0</v>
      </c>
      <c r="AF4496">
        <v>3</v>
      </c>
      <c r="AG4496">
        <v>1</v>
      </c>
      <c r="AH4496">
        <v>0</v>
      </c>
      <c r="AI4496" t="s">
        <v>1404</v>
      </c>
      <c r="AJ4496">
        <v>34.074224999999998</v>
      </c>
      <c r="AK4496" t="s">
        <v>1405</v>
      </c>
      <c r="AL4496">
        <v>-117.048962</v>
      </c>
      <c r="AM4496">
        <v>100</v>
      </c>
      <c r="AN4496">
        <v>4700</v>
      </c>
      <c r="AO4496" t="s">
        <v>118</v>
      </c>
      <c r="AP4496">
        <v>-104</v>
      </c>
      <c r="AQ4496">
        <v>18</v>
      </c>
      <c r="AR4496">
        <v>-1600</v>
      </c>
      <c r="AZ4496">
        <v>1200</v>
      </c>
      <c r="BA4496">
        <v>1</v>
      </c>
      <c r="BB4496" t="str">
        <f t="shared" si="2526"/>
        <v xml:space="preserve">N9217B  </v>
      </c>
      <c r="BC4496">
        <v>1</v>
      </c>
      <c r="BE4496">
        <v>0</v>
      </c>
      <c r="BF4496">
        <v>0</v>
      </c>
      <c r="BG4496">
        <v>0</v>
      </c>
      <c r="BH4496">
        <v>4500</v>
      </c>
      <c r="BI4496">
        <v>1</v>
      </c>
      <c r="BJ4496">
        <v>0</v>
      </c>
      <c r="BK4496">
        <v>0</v>
      </c>
      <c r="BL4496">
        <v>0</v>
      </c>
      <c r="BO4496">
        <v>0</v>
      </c>
      <c r="BP4496">
        <v>0</v>
      </c>
      <c r="BW4496" t="str">
        <f t="shared" si="2531"/>
        <v>15:00:16.802</v>
      </c>
      <c r="CJ4496">
        <v>0</v>
      </c>
      <c r="CK4496">
        <v>2</v>
      </c>
      <c r="CL4496">
        <v>0</v>
      </c>
      <c r="CM4496">
        <v>2</v>
      </c>
      <c r="CN4496">
        <v>0</v>
      </c>
      <c r="CO4496">
        <v>5</v>
      </c>
      <c r="CP4496" t="s">
        <v>119</v>
      </c>
      <c r="CQ4496">
        <v>298</v>
      </c>
      <c r="CR4496">
        <v>0</v>
      </c>
      <c r="CW4496">
        <v>10481161</v>
      </c>
      <c r="CY4496">
        <v>0</v>
      </c>
      <c r="CZ4496">
        <v>0</v>
      </c>
      <c r="DA4496">
        <v>1</v>
      </c>
      <c r="DB4496">
        <v>0</v>
      </c>
      <c r="DC4496">
        <v>0</v>
      </c>
      <c r="DD4496">
        <v>0</v>
      </c>
      <c r="DE4496">
        <v>0</v>
      </c>
      <c r="DF4496">
        <v>0</v>
      </c>
      <c r="DG4496">
        <v>0</v>
      </c>
      <c r="DH4496">
        <v>0</v>
      </c>
      <c r="DI4496">
        <v>0</v>
      </c>
    </row>
    <row r="4497" spans="1:113" x14ac:dyDescent="0.25">
      <c r="A4497" t="str">
        <f t="shared" ref="A4497:A4502" si="2532">"06/05/2020 15:00:12.184"</f>
        <v>06/05/2020 15:00:12.184</v>
      </c>
      <c r="C4497" t="str">
        <f t="shared" si="2504"/>
        <v>FFDFD3C0</v>
      </c>
      <c r="D4497" t="s">
        <v>148</v>
      </c>
      <c r="E4497">
        <v>8</v>
      </c>
      <c r="H4497">
        <v>50</v>
      </c>
      <c r="I4497" t="s">
        <v>149</v>
      </c>
      <c r="J4497" t="s">
        <v>150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 t="shared" ref="S4497:S4502" si="2533">"15:00:17.805"</f>
        <v>15:00:17.805</v>
      </c>
      <c r="T4497" t="str">
        <f t="shared" ref="T4497:T4502" si="2534">"15:00:17.705"</f>
        <v>15:00:17.705</v>
      </c>
      <c r="U4497" t="str">
        <f t="shared" si="2522"/>
        <v>ACC530</v>
      </c>
      <c r="V4497">
        <v>0</v>
      </c>
      <c r="W4497">
        <v>0</v>
      </c>
      <c r="X4497">
        <v>1</v>
      </c>
      <c r="Z4497">
        <v>0</v>
      </c>
      <c r="AA4497">
        <v>9</v>
      </c>
      <c r="AB4497">
        <v>3</v>
      </c>
      <c r="AC4497">
        <v>0</v>
      </c>
      <c r="AD4497">
        <v>9</v>
      </c>
      <c r="AE4497">
        <v>0</v>
      </c>
      <c r="AF4497">
        <v>3</v>
      </c>
      <c r="AG4497">
        <v>1</v>
      </c>
      <c r="AH4497">
        <v>0</v>
      </c>
      <c r="AI4497" t="s">
        <v>1406</v>
      </c>
      <c r="AJ4497">
        <v>34.074289999999998</v>
      </c>
      <c r="AK4497" t="s">
        <v>1407</v>
      </c>
      <c r="AL4497">
        <v>-117.049541</v>
      </c>
      <c r="AM4497">
        <v>100</v>
      </c>
      <c r="AN4497">
        <v>4700</v>
      </c>
      <c r="AO4497" t="s">
        <v>118</v>
      </c>
      <c r="AP4497">
        <v>-105</v>
      </c>
      <c r="AQ4497">
        <v>16</v>
      </c>
      <c r="AR4497">
        <v>-1728</v>
      </c>
      <c r="AZ4497">
        <v>1200</v>
      </c>
      <c r="BA4497">
        <v>1</v>
      </c>
      <c r="BB4497" t="str">
        <f t="shared" si="2526"/>
        <v xml:space="preserve">N9217B  </v>
      </c>
      <c r="BC4497">
        <v>1</v>
      </c>
      <c r="BE4497">
        <v>0</v>
      </c>
      <c r="BF4497">
        <v>0</v>
      </c>
      <c r="BG4497">
        <v>0</v>
      </c>
      <c r="BH4497">
        <v>4450</v>
      </c>
      <c r="BI4497">
        <v>1</v>
      </c>
      <c r="BJ4497">
        <v>0</v>
      </c>
      <c r="BK4497">
        <v>0</v>
      </c>
      <c r="BL4497">
        <v>0</v>
      </c>
      <c r="BO4497">
        <v>0</v>
      </c>
      <c r="BP4497">
        <v>0</v>
      </c>
      <c r="BW4497" t="str">
        <f t="shared" ref="BW4497:BW4502" si="2535">"15:00:17.807"</f>
        <v>15:00:17.807</v>
      </c>
      <c r="CJ4497">
        <v>0</v>
      </c>
      <c r="CK4497">
        <v>2</v>
      </c>
      <c r="CL4497">
        <v>0</v>
      </c>
      <c r="CM4497">
        <v>2</v>
      </c>
      <c r="CN4497">
        <v>0</v>
      </c>
      <c r="CO4497">
        <v>2</v>
      </c>
      <c r="CP4497" t="s">
        <v>119</v>
      </c>
      <c r="CQ4497">
        <v>298</v>
      </c>
      <c r="CR4497">
        <v>3</v>
      </c>
      <c r="CW4497">
        <v>10481294</v>
      </c>
      <c r="CY4497">
        <v>0</v>
      </c>
      <c r="CZ4497">
        <v>0</v>
      </c>
      <c r="DA4497">
        <v>0</v>
      </c>
      <c r="DB4497">
        <v>0</v>
      </c>
      <c r="DC4497">
        <v>0</v>
      </c>
      <c r="DD4497">
        <v>0</v>
      </c>
      <c r="DE4497">
        <v>0</v>
      </c>
      <c r="DF4497">
        <v>0</v>
      </c>
      <c r="DG4497">
        <v>0</v>
      </c>
      <c r="DH4497">
        <v>0</v>
      </c>
      <c r="DI4497">
        <v>0</v>
      </c>
    </row>
    <row r="4498" spans="1:113" x14ac:dyDescent="0.25">
      <c r="A4498" t="str">
        <f t="shared" si="2532"/>
        <v>06/05/2020 15:00:12.184</v>
      </c>
      <c r="C4498" t="str">
        <f t="shared" si="2504"/>
        <v>FFDFD3C0</v>
      </c>
      <c r="D4498" t="s">
        <v>113</v>
      </c>
      <c r="E4498">
        <v>3</v>
      </c>
      <c r="H4498">
        <v>166</v>
      </c>
      <c r="I4498" t="s">
        <v>114</v>
      </c>
      <c r="J4498" t="s">
        <v>115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 t="shared" si="2533"/>
        <v>15:00:17.805</v>
      </c>
      <c r="T4498" t="str">
        <f t="shared" si="2534"/>
        <v>15:00:17.705</v>
      </c>
      <c r="U4498" t="str">
        <f t="shared" si="2522"/>
        <v>ACC530</v>
      </c>
      <c r="V4498">
        <v>0</v>
      </c>
      <c r="W4498">
        <v>0</v>
      </c>
      <c r="X4498">
        <v>1</v>
      </c>
      <c r="Z4498">
        <v>0</v>
      </c>
      <c r="AA4498">
        <v>9</v>
      </c>
      <c r="AB4498">
        <v>3</v>
      </c>
      <c r="AC4498">
        <v>0</v>
      </c>
      <c r="AD4498">
        <v>9</v>
      </c>
      <c r="AE4498">
        <v>0</v>
      </c>
      <c r="AF4498">
        <v>3</v>
      </c>
      <c r="AG4498">
        <v>1</v>
      </c>
      <c r="AH4498">
        <v>0</v>
      </c>
      <c r="AI4498" t="s">
        <v>1406</v>
      </c>
      <c r="AJ4498">
        <v>34.074289999999998</v>
      </c>
      <c r="AK4498" t="s">
        <v>1407</v>
      </c>
      <c r="AL4498">
        <v>-117.049541</v>
      </c>
      <c r="AM4498">
        <v>100</v>
      </c>
      <c r="AN4498">
        <v>4700</v>
      </c>
      <c r="AO4498" t="s">
        <v>118</v>
      </c>
      <c r="AP4498">
        <v>-105</v>
      </c>
      <c r="AQ4498">
        <v>16</v>
      </c>
      <c r="AR4498">
        <v>-1728</v>
      </c>
      <c r="AZ4498">
        <v>1200</v>
      </c>
      <c r="BA4498">
        <v>1</v>
      </c>
      <c r="BB4498" t="str">
        <f t="shared" si="2526"/>
        <v xml:space="preserve">N9217B  </v>
      </c>
      <c r="BC4498">
        <v>1</v>
      </c>
      <c r="BE4498">
        <v>0</v>
      </c>
      <c r="BF4498">
        <v>0</v>
      </c>
      <c r="BG4498">
        <v>0</v>
      </c>
      <c r="BH4498">
        <v>4450</v>
      </c>
      <c r="BI4498">
        <v>1</v>
      </c>
      <c r="BJ4498">
        <v>0</v>
      </c>
      <c r="BK4498">
        <v>0</v>
      </c>
      <c r="BL4498">
        <v>0</v>
      </c>
      <c r="BO4498">
        <v>0</v>
      </c>
      <c r="BP4498">
        <v>0</v>
      </c>
      <c r="BW4498" t="str">
        <f t="shared" si="2535"/>
        <v>15:00:17.807</v>
      </c>
      <c r="CJ4498">
        <v>0</v>
      </c>
      <c r="CK4498">
        <v>2</v>
      </c>
      <c r="CL4498">
        <v>0</v>
      </c>
      <c r="CM4498">
        <v>2</v>
      </c>
      <c r="CN4498">
        <v>0</v>
      </c>
      <c r="CO4498">
        <v>2</v>
      </c>
      <c r="CP4498" t="s">
        <v>119</v>
      </c>
      <c r="CQ4498">
        <v>298</v>
      </c>
      <c r="CR4498">
        <v>3</v>
      </c>
      <c r="CW4498">
        <v>10481294</v>
      </c>
      <c r="CY4498">
        <v>0</v>
      </c>
      <c r="CZ4498">
        <v>0</v>
      </c>
      <c r="DA4498">
        <v>1</v>
      </c>
      <c r="DB4498">
        <v>0</v>
      </c>
      <c r="DC4498">
        <v>0</v>
      </c>
      <c r="DD4498">
        <v>0</v>
      </c>
      <c r="DE4498">
        <v>0</v>
      </c>
      <c r="DF4498">
        <v>0</v>
      </c>
      <c r="DG4498">
        <v>0</v>
      </c>
      <c r="DH4498">
        <v>0</v>
      </c>
      <c r="DI4498">
        <v>0</v>
      </c>
    </row>
    <row r="4499" spans="1:113" x14ac:dyDescent="0.25">
      <c r="A4499" t="str">
        <f t="shared" si="2532"/>
        <v>06/05/2020 15:00:12.184</v>
      </c>
      <c r="C4499" t="str">
        <f t="shared" si="2504"/>
        <v>FFDFD3C0</v>
      </c>
      <c r="D4499" t="s">
        <v>134</v>
      </c>
      <c r="E4499">
        <v>7</v>
      </c>
      <c r="F4499">
        <v>2007</v>
      </c>
      <c r="G4499" t="s">
        <v>135</v>
      </c>
      <c r="J4499" t="s">
        <v>136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 t="shared" si="2533"/>
        <v>15:00:17.805</v>
      </c>
      <c r="T4499" t="str">
        <f t="shared" si="2534"/>
        <v>15:00:17.705</v>
      </c>
      <c r="U4499" t="str">
        <f t="shared" si="2522"/>
        <v>ACC530</v>
      </c>
      <c r="V4499">
        <v>0</v>
      </c>
      <c r="W4499">
        <v>0</v>
      </c>
      <c r="X4499">
        <v>1</v>
      </c>
      <c r="Z4499">
        <v>0</v>
      </c>
      <c r="AA4499">
        <v>9</v>
      </c>
      <c r="AB4499">
        <v>3</v>
      </c>
      <c r="AC4499">
        <v>0</v>
      </c>
      <c r="AD4499">
        <v>9</v>
      </c>
      <c r="AE4499">
        <v>0</v>
      </c>
      <c r="AF4499">
        <v>3</v>
      </c>
      <c r="AG4499">
        <v>1</v>
      </c>
      <c r="AH4499">
        <v>0</v>
      </c>
      <c r="AI4499" t="s">
        <v>1406</v>
      </c>
      <c r="AJ4499">
        <v>34.074289999999998</v>
      </c>
      <c r="AK4499" t="s">
        <v>1407</v>
      </c>
      <c r="AL4499">
        <v>-117.049541</v>
      </c>
      <c r="AM4499">
        <v>100</v>
      </c>
      <c r="AN4499">
        <v>4700</v>
      </c>
      <c r="AO4499" t="s">
        <v>118</v>
      </c>
      <c r="AP4499">
        <v>-105</v>
      </c>
      <c r="AQ4499">
        <v>16</v>
      </c>
      <c r="AR4499">
        <v>-1728</v>
      </c>
      <c r="AZ4499">
        <v>1200</v>
      </c>
      <c r="BA4499">
        <v>1</v>
      </c>
      <c r="BB4499" t="str">
        <f t="shared" si="2526"/>
        <v xml:space="preserve">N9217B  </v>
      </c>
      <c r="BC4499">
        <v>1</v>
      </c>
      <c r="BE4499">
        <v>0</v>
      </c>
      <c r="BF4499">
        <v>0</v>
      </c>
      <c r="BG4499">
        <v>0</v>
      </c>
      <c r="BH4499">
        <v>4450</v>
      </c>
      <c r="BI4499">
        <v>1</v>
      </c>
      <c r="BJ4499">
        <v>0</v>
      </c>
      <c r="BK4499">
        <v>0</v>
      </c>
      <c r="BL4499">
        <v>0</v>
      </c>
      <c r="BO4499">
        <v>0</v>
      </c>
      <c r="BP4499">
        <v>0</v>
      </c>
      <c r="BW4499" t="str">
        <f t="shared" si="2535"/>
        <v>15:00:17.807</v>
      </c>
      <c r="CJ4499">
        <v>0</v>
      </c>
      <c r="CK4499">
        <v>2</v>
      </c>
      <c r="CL4499">
        <v>0</v>
      </c>
      <c r="CM4499">
        <v>2</v>
      </c>
      <c r="CN4499">
        <v>0</v>
      </c>
      <c r="CO4499">
        <v>2</v>
      </c>
      <c r="CP4499" t="s">
        <v>119</v>
      </c>
      <c r="CQ4499">
        <v>298</v>
      </c>
      <c r="CR4499">
        <v>3</v>
      </c>
      <c r="CW4499">
        <v>10481294</v>
      </c>
      <c r="CY4499">
        <v>0</v>
      </c>
      <c r="CZ4499">
        <v>0</v>
      </c>
      <c r="DA4499">
        <v>1</v>
      </c>
      <c r="DB4499">
        <v>0</v>
      </c>
      <c r="DC4499">
        <v>0</v>
      </c>
      <c r="DD4499">
        <v>0</v>
      </c>
      <c r="DE4499">
        <v>0</v>
      </c>
      <c r="DF4499">
        <v>0</v>
      </c>
      <c r="DG4499">
        <v>0</v>
      </c>
      <c r="DH4499">
        <v>0</v>
      </c>
      <c r="DI4499">
        <v>0</v>
      </c>
    </row>
    <row r="4500" spans="1:113" x14ac:dyDescent="0.25">
      <c r="A4500" t="str">
        <f t="shared" si="2532"/>
        <v>06/05/2020 15:00:12.184</v>
      </c>
      <c r="C4500" t="str">
        <f t="shared" si="2504"/>
        <v>FFDFD3C0</v>
      </c>
      <c r="D4500" t="s">
        <v>151</v>
      </c>
      <c r="E4500">
        <v>8</v>
      </c>
      <c r="H4500">
        <v>225</v>
      </c>
      <c r="I4500" t="s">
        <v>353</v>
      </c>
      <c r="J4500" t="s">
        <v>150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 t="shared" si="2533"/>
        <v>15:00:17.805</v>
      </c>
      <c r="T4500" t="str">
        <f t="shared" si="2534"/>
        <v>15:00:17.705</v>
      </c>
      <c r="U4500" t="str">
        <f t="shared" si="2522"/>
        <v>ACC530</v>
      </c>
      <c r="V4500">
        <v>0</v>
      </c>
      <c r="W4500">
        <v>0</v>
      </c>
      <c r="X4500">
        <v>1</v>
      </c>
      <c r="Z4500">
        <v>0</v>
      </c>
      <c r="AA4500">
        <v>9</v>
      </c>
      <c r="AB4500">
        <v>3</v>
      </c>
      <c r="AC4500">
        <v>0</v>
      </c>
      <c r="AD4500">
        <v>9</v>
      </c>
      <c r="AE4500">
        <v>0</v>
      </c>
      <c r="AF4500">
        <v>3</v>
      </c>
      <c r="AG4500">
        <v>1</v>
      </c>
      <c r="AH4500">
        <v>0</v>
      </c>
      <c r="AI4500" t="s">
        <v>1406</v>
      </c>
      <c r="AJ4500">
        <v>34.074289999999998</v>
      </c>
      <c r="AK4500" t="s">
        <v>1407</v>
      </c>
      <c r="AL4500">
        <v>-117.049541</v>
      </c>
      <c r="AM4500">
        <v>100</v>
      </c>
      <c r="AN4500">
        <v>4700</v>
      </c>
      <c r="AO4500" t="s">
        <v>118</v>
      </c>
      <c r="AP4500">
        <v>-105</v>
      </c>
      <c r="AQ4500">
        <v>16</v>
      </c>
      <c r="AR4500">
        <v>-1728</v>
      </c>
      <c r="AZ4500">
        <v>1200</v>
      </c>
      <c r="BA4500">
        <v>1</v>
      </c>
      <c r="BB4500" t="str">
        <f t="shared" si="2526"/>
        <v xml:space="preserve">N9217B  </v>
      </c>
      <c r="BC4500">
        <v>1</v>
      </c>
      <c r="BE4500">
        <v>0</v>
      </c>
      <c r="BF4500">
        <v>0</v>
      </c>
      <c r="BG4500">
        <v>0</v>
      </c>
      <c r="BH4500">
        <v>4450</v>
      </c>
      <c r="BI4500">
        <v>1</v>
      </c>
      <c r="BJ4500">
        <v>0</v>
      </c>
      <c r="BK4500">
        <v>0</v>
      </c>
      <c r="BL4500">
        <v>0</v>
      </c>
      <c r="BO4500">
        <v>0</v>
      </c>
      <c r="BP4500">
        <v>0</v>
      </c>
      <c r="BW4500" t="str">
        <f t="shared" si="2535"/>
        <v>15:00:17.807</v>
      </c>
      <c r="CJ4500">
        <v>0</v>
      </c>
      <c r="CK4500">
        <v>2</v>
      </c>
      <c r="CL4500">
        <v>0</v>
      </c>
      <c r="CM4500">
        <v>2</v>
      </c>
      <c r="CN4500">
        <v>0</v>
      </c>
      <c r="CO4500">
        <v>2</v>
      </c>
      <c r="CP4500" t="s">
        <v>119</v>
      </c>
      <c r="CQ4500">
        <v>298</v>
      </c>
      <c r="CR4500">
        <v>3</v>
      </c>
      <c r="CW4500">
        <v>10481294</v>
      </c>
      <c r="CY4500">
        <v>0</v>
      </c>
      <c r="CZ4500">
        <v>0</v>
      </c>
      <c r="DA4500">
        <v>1</v>
      </c>
      <c r="DB4500">
        <v>0</v>
      </c>
      <c r="DC4500">
        <v>0</v>
      </c>
      <c r="DD4500">
        <v>0</v>
      </c>
      <c r="DE4500">
        <v>0</v>
      </c>
      <c r="DF4500">
        <v>0</v>
      </c>
      <c r="DG4500">
        <v>0</v>
      </c>
      <c r="DH4500">
        <v>0</v>
      </c>
      <c r="DI4500">
        <v>0</v>
      </c>
    </row>
    <row r="4501" spans="1:113" x14ac:dyDescent="0.25">
      <c r="A4501" t="str">
        <f t="shared" si="2532"/>
        <v>06/05/2020 15:00:12.184</v>
      </c>
      <c r="C4501" t="str">
        <f t="shared" si="2504"/>
        <v>FFDFD3C0</v>
      </c>
      <c r="D4501" t="s">
        <v>148</v>
      </c>
      <c r="E4501">
        <v>11</v>
      </c>
      <c r="H4501">
        <v>53</v>
      </c>
      <c r="I4501" t="s">
        <v>364</v>
      </c>
      <c r="J4501" t="s">
        <v>150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 t="shared" si="2533"/>
        <v>15:00:17.805</v>
      </c>
      <c r="T4501" t="str">
        <f t="shared" si="2534"/>
        <v>15:00:17.705</v>
      </c>
      <c r="U4501" t="str">
        <f t="shared" si="2522"/>
        <v>ACC530</v>
      </c>
      <c r="V4501">
        <v>0</v>
      </c>
      <c r="W4501">
        <v>0</v>
      </c>
      <c r="X4501">
        <v>1</v>
      </c>
      <c r="Z4501">
        <v>0</v>
      </c>
      <c r="AA4501">
        <v>9</v>
      </c>
      <c r="AB4501">
        <v>3</v>
      </c>
      <c r="AC4501">
        <v>0</v>
      </c>
      <c r="AD4501">
        <v>9</v>
      </c>
      <c r="AE4501">
        <v>0</v>
      </c>
      <c r="AF4501">
        <v>3</v>
      </c>
      <c r="AG4501">
        <v>1</v>
      </c>
      <c r="AH4501">
        <v>0</v>
      </c>
      <c r="AI4501" t="s">
        <v>1406</v>
      </c>
      <c r="AJ4501">
        <v>34.074289999999998</v>
      </c>
      <c r="AK4501" t="s">
        <v>1407</v>
      </c>
      <c r="AL4501">
        <v>-117.049541</v>
      </c>
      <c r="AM4501">
        <v>100</v>
      </c>
      <c r="AN4501">
        <v>4700</v>
      </c>
      <c r="AO4501" t="s">
        <v>118</v>
      </c>
      <c r="AP4501">
        <v>-105</v>
      </c>
      <c r="AQ4501">
        <v>16</v>
      </c>
      <c r="AR4501">
        <v>-1728</v>
      </c>
      <c r="AZ4501">
        <v>1200</v>
      </c>
      <c r="BA4501">
        <v>1</v>
      </c>
      <c r="BB4501" t="str">
        <f t="shared" si="2526"/>
        <v xml:space="preserve">N9217B  </v>
      </c>
      <c r="BC4501">
        <v>1</v>
      </c>
      <c r="BE4501">
        <v>0</v>
      </c>
      <c r="BF4501">
        <v>0</v>
      </c>
      <c r="BG4501">
        <v>0</v>
      </c>
      <c r="BH4501">
        <v>4450</v>
      </c>
      <c r="BI4501">
        <v>1</v>
      </c>
      <c r="BJ4501">
        <v>0</v>
      </c>
      <c r="BK4501">
        <v>0</v>
      </c>
      <c r="BL4501">
        <v>0</v>
      </c>
      <c r="BO4501">
        <v>0</v>
      </c>
      <c r="BP4501">
        <v>0</v>
      </c>
      <c r="BW4501" t="str">
        <f t="shared" si="2535"/>
        <v>15:00:17.807</v>
      </c>
      <c r="CJ4501">
        <v>0</v>
      </c>
      <c r="CK4501">
        <v>2</v>
      </c>
      <c r="CL4501">
        <v>0</v>
      </c>
      <c r="CM4501">
        <v>2</v>
      </c>
      <c r="CN4501">
        <v>0</v>
      </c>
      <c r="CO4501">
        <v>2</v>
      </c>
      <c r="CP4501" t="s">
        <v>119</v>
      </c>
      <c r="CQ4501">
        <v>298</v>
      </c>
      <c r="CR4501">
        <v>3</v>
      </c>
      <c r="CW4501">
        <v>10481294</v>
      </c>
      <c r="CY4501">
        <v>0</v>
      </c>
      <c r="CZ4501">
        <v>0</v>
      </c>
      <c r="DA4501">
        <v>1</v>
      </c>
      <c r="DB4501">
        <v>0</v>
      </c>
      <c r="DC4501">
        <v>0</v>
      </c>
      <c r="DD4501">
        <v>0</v>
      </c>
      <c r="DE4501">
        <v>0</v>
      </c>
      <c r="DF4501">
        <v>0</v>
      </c>
      <c r="DG4501">
        <v>0</v>
      </c>
      <c r="DH4501">
        <v>0</v>
      </c>
      <c r="DI4501">
        <v>0</v>
      </c>
    </row>
    <row r="4502" spans="1:113" x14ac:dyDescent="0.25">
      <c r="A4502" t="str">
        <f t="shared" si="2532"/>
        <v>06/05/2020 15:00:12.184</v>
      </c>
      <c r="C4502" t="str">
        <f t="shared" si="2504"/>
        <v>FFDFD3C0</v>
      </c>
      <c r="D4502" t="s">
        <v>141</v>
      </c>
      <c r="E4502">
        <v>20</v>
      </c>
      <c r="F4502">
        <v>1020</v>
      </c>
      <c r="G4502" t="s">
        <v>114</v>
      </c>
      <c r="J4502" t="s">
        <v>142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 t="shared" si="2533"/>
        <v>15:00:17.805</v>
      </c>
      <c r="T4502" t="str">
        <f t="shared" si="2534"/>
        <v>15:00:17.705</v>
      </c>
      <c r="U4502" t="str">
        <f t="shared" si="2522"/>
        <v>ACC530</v>
      </c>
      <c r="V4502">
        <v>0</v>
      </c>
      <c r="W4502">
        <v>0</v>
      </c>
      <c r="X4502">
        <v>1</v>
      </c>
      <c r="Z4502">
        <v>0</v>
      </c>
      <c r="AA4502">
        <v>9</v>
      </c>
      <c r="AB4502">
        <v>3</v>
      </c>
      <c r="AC4502">
        <v>0</v>
      </c>
      <c r="AD4502">
        <v>9</v>
      </c>
      <c r="AE4502">
        <v>0</v>
      </c>
      <c r="AF4502">
        <v>3</v>
      </c>
      <c r="AG4502">
        <v>1</v>
      </c>
      <c r="AH4502">
        <v>0</v>
      </c>
      <c r="AI4502" t="s">
        <v>1406</v>
      </c>
      <c r="AJ4502">
        <v>34.074289999999998</v>
      </c>
      <c r="AK4502" t="s">
        <v>1407</v>
      </c>
      <c r="AL4502">
        <v>-117.049541</v>
      </c>
      <c r="AM4502">
        <v>100</v>
      </c>
      <c r="AN4502">
        <v>4700</v>
      </c>
      <c r="AO4502" t="s">
        <v>118</v>
      </c>
      <c r="AP4502">
        <v>-105</v>
      </c>
      <c r="AQ4502">
        <v>16</v>
      </c>
      <c r="AR4502">
        <v>-1728</v>
      </c>
      <c r="AZ4502">
        <v>1200</v>
      </c>
      <c r="BA4502">
        <v>1</v>
      </c>
      <c r="BB4502" t="str">
        <f t="shared" si="2526"/>
        <v xml:space="preserve">N9217B  </v>
      </c>
      <c r="BC4502">
        <v>1</v>
      </c>
      <c r="BE4502">
        <v>0</v>
      </c>
      <c r="BF4502">
        <v>0</v>
      </c>
      <c r="BG4502">
        <v>0</v>
      </c>
      <c r="BH4502">
        <v>4450</v>
      </c>
      <c r="BI4502">
        <v>1</v>
      </c>
      <c r="BJ4502">
        <v>0</v>
      </c>
      <c r="BK4502">
        <v>0</v>
      </c>
      <c r="BL4502">
        <v>0</v>
      </c>
      <c r="BO4502">
        <v>0</v>
      </c>
      <c r="BP4502">
        <v>0</v>
      </c>
      <c r="BW4502" t="str">
        <f t="shared" si="2535"/>
        <v>15:00:17.807</v>
      </c>
      <c r="CJ4502">
        <v>0</v>
      </c>
      <c r="CK4502">
        <v>2</v>
      </c>
      <c r="CL4502">
        <v>0</v>
      </c>
      <c r="CM4502">
        <v>2</v>
      </c>
      <c r="CN4502">
        <v>0</v>
      </c>
      <c r="CO4502">
        <v>2</v>
      </c>
      <c r="CP4502" t="s">
        <v>119</v>
      </c>
      <c r="CQ4502">
        <v>298</v>
      </c>
      <c r="CR4502">
        <v>3</v>
      </c>
      <c r="CW4502">
        <v>10481294</v>
      </c>
      <c r="CY4502">
        <v>0</v>
      </c>
      <c r="CZ4502">
        <v>0</v>
      </c>
      <c r="DA4502">
        <v>1</v>
      </c>
      <c r="DB4502">
        <v>0</v>
      </c>
      <c r="DC4502">
        <v>0</v>
      </c>
      <c r="DD4502">
        <v>0</v>
      </c>
      <c r="DE4502">
        <v>0</v>
      </c>
      <c r="DF4502">
        <v>0</v>
      </c>
      <c r="DG4502">
        <v>0</v>
      </c>
      <c r="DH4502">
        <v>0</v>
      </c>
      <c r="DI4502">
        <v>0</v>
      </c>
    </row>
    <row r="4503" spans="1:113" x14ac:dyDescent="0.25">
      <c r="A4503" t="str">
        <f t="shared" ref="A4503:A4508" si="2536">"06/05/2020 15:00:13.178"</f>
        <v>06/05/2020 15:00:13.178</v>
      </c>
      <c r="C4503" t="str">
        <f t="shared" si="2504"/>
        <v>FFDFD3C0</v>
      </c>
      <c r="D4503" t="s">
        <v>151</v>
      </c>
      <c r="E4503">
        <v>8</v>
      </c>
      <c r="H4503">
        <v>225</v>
      </c>
      <c r="I4503" t="s">
        <v>353</v>
      </c>
      <c r="J4503" t="s">
        <v>150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 t="shared" ref="S4503:T4508" si="2537">"15:00:18.789"</f>
        <v>15:00:18.789</v>
      </c>
      <c r="T4503" t="str">
        <f t="shared" si="2537"/>
        <v>15:00:18.789</v>
      </c>
      <c r="U4503" t="str">
        <f t="shared" si="2522"/>
        <v>ACC530</v>
      </c>
      <c r="V4503">
        <v>0</v>
      </c>
      <c r="W4503">
        <v>0</v>
      </c>
      <c r="X4503">
        <v>1</v>
      </c>
      <c r="Z4503">
        <v>0</v>
      </c>
      <c r="AA4503">
        <v>9</v>
      </c>
      <c r="AB4503">
        <v>3</v>
      </c>
      <c r="AC4503">
        <v>0</v>
      </c>
      <c r="AD4503">
        <v>9</v>
      </c>
      <c r="AE4503">
        <v>0</v>
      </c>
      <c r="AF4503">
        <v>3</v>
      </c>
      <c r="AG4503">
        <v>1</v>
      </c>
      <c r="AH4503">
        <v>0</v>
      </c>
      <c r="AI4503" t="s">
        <v>1408</v>
      </c>
      <c r="AJ4503">
        <v>34.074376000000001</v>
      </c>
      <c r="AK4503" t="s">
        <v>1409</v>
      </c>
      <c r="AL4503">
        <v>-117.05014199999999</v>
      </c>
      <c r="AM4503">
        <v>100</v>
      </c>
      <c r="AN4503">
        <v>4600</v>
      </c>
      <c r="AO4503" t="s">
        <v>118</v>
      </c>
      <c r="AP4503">
        <v>-106</v>
      </c>
      <c r="AQ4503">
        <v>14</v>
      </c>
      <c r="AR4503">
        <v>-1856</v>
      </c>
      <c r="AZ4503">
        <v>1200</v>
      </c>
      <c r="BA4503">
        <v>1</v>
      </c>
      <c r="BB4503" t="str">
        <f t="shared" si="2526"/>
        <v xml:space="preserve">N9217B  </v>
      </c>
      <c r="BC4503">
        <v>1</v>
      </c>
      <c r="BE4503">
        <v>0</v>
      </c>
      <c r="BF4503">
        <v>0</v>
      </c>
      <c r="BG4503">
        <v>0</v>
      </c>
      <c r="BH4503">
        <v>4425</v>
      </c>
      <c r="BI4503">
        <v>1</v>
      </c>
      <c r="BJ4503">
        <v>0</v>
      </c>
      <c r="BK4503">
        <v>0</v>
      </c>
      <c r="BL4503">
        <v>0</v>
      </c>
      <c r="BO4503">
        <v>0</v>
      </c>
      <c r="BP4503">
        <v>0</v>
      </c>
      <c r="BW4503" t="str">
        <f t="shared" ref="BW4503:BW4508" si="2538">"15:00:18.797"</f>
        <v>15:00:18.797</v>
      </c>
      <c r="CJ4503">
        <v>0</v>
      </c>
      <c r="CK4503">
        <v>2</v>
      </c>
      <c r="CL4503">
        <v>0</v>
      </c>
      <c r="CM4503">
        <v>2</v>
      </c>
      <c r="CN4503">
        <v>0</v>
      </c>
      <c r="CO4503">
        <v>6</v>
      </c>
      <c r="CP4503" t="s">
        <v>119</v>
      </c>
      <c r="CQ4503">
        <v>298</v>
      </c>
      <c r="CR4503">
        <v>0</v>
      </c>
      <c r="CW4503">
        <v>10481429</v>
      </c>
      <c r="CY4503">
        <v>0</v>
      </c>
      <c r="CZ4503">
        <v>0</v>
      </c>
      <c r="DA4503">
        <v>0</v>
      </c>
      <c r="DB4503">
        <v>0</v>
      </c>
      <c r="DC4503">
        <v>0</v>
      </c>
      <c r="DD4503">
        <v>0</v>
      </c>
      <c r="DE4503">
        <v>0</v>
      </c>
      <c r="DF4503">
        <v>0</v>
      </c>
      <c r="DG4503">
        <v>0</v>
      </c>
      <c r="DH4503">
        <v>0</v>
      </c>
      <c r="DI4503">
        <v>0</v>
      </c>
    </row>
    <row r="4504" spans="1:113" x14ac:dyDescent="0.25">
      <c r="A4504" t="str">
        <f t="shared" si="2536"/>
        <v>06/05/2020 15:00:13.178</v>
      </c>
      <c r="C4504" t="str">
        <f t="shared" si="2504"/>
        <v>FFDFD3C0</v>
      </c>
      <c r="D4504" t="s">
        <v>148</v>
      </c>
      <c r="E4504">
        <v>11</v>
      </c>
      <c r="H4504">
        <v>53</v>
      </c>
      <c r="I4504" t="s">
        <v>364</v>
      </c>
      <c r="J4504" t="s">
        <v>150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 t="shared" si="2537"/>
        <v>15:00:18.789</v>
      </c>
      <c r="T4504" t="str">
        <f t="shared" si="2537"/>
        <v>15:00:18.789</v>
      </c>
      <c r="U4504" t="str">
        <f t="shared" si="2522"/>
        <v>ACC530</v>
      </c>
      <c r="V4504">
        <v>0</v>
      </c>
      <c r="W4504">
        <v>0</v>
      </c>
      <c r="X4504">
        <v>1</v>
      </c>
      <c r="Z4504">
        <v>0</v>
      </c>
      <c r="AA4504">
        <v>9</v>
      </c>
      <c r="AB4504">
        <v>3</v>
      </c>
      <c r="AC4504">
        <v>0</v>
      </c>
      <c r="AD4504">
        <v>9</v>
      </c>
      <c r="AE4504">
        <v>0</v>
      </c>
      <c r="AF4504">
        <v>3</v>
      </c>
      <c r="AG4504">
        <v>1</v>
      </c>
      <c r="AH4504">
        <v>0</v>
      </c>
      <c r="AI4504" t="s">
        <v>1408</v>
      </c>
      <c r="AJ4504">
        <v>34.074376000000001</v>
      </c>
      <c r="AK4504" t="s">
        <v>1409</v>
      </c>
      <c r="AL4504">
        <v>-117.05014199999999</v>
      </c>
      <c r="AM4504">
        <v>100</v>
      </c>
      <c r="AN4504">
        <v>4600</v>
      </c>
      <c r="AO4504" t="s">
        <v>118</v>
      </c>
      <c r="AP4504">
        <v>-106</v>
      </c>
      <c r="AQ4504">
        <v>14</v>
      </c>
      <c r="AR4504">
        <v>-1856</v>
      </c>
      <c r="AZ4504">
        <v>1200</v>
      </c>
      <c r="BA4504">
        <v>1</v>
      </c>
      <c r="BB4504" t="str">
        <f t="shared" si="2526"/>
        <v xml:space="preserve">N9217B  </v>
      </c>
      <c r="BC4504">
        <v>1</v>
      </c>
      <c r="BE4504">
        <v>0</v>
      </c>
      <c r="BF4504">
        <v>0</v>
      </c>
      <c r="BG4504">
        <v>0</v>
      </c>
      <c r="BH4504">
        <v>4425</v>
      </c>
      <c r="BI4504">
        <v>1</v>
      </c>
      <c r="BJ4504">
        <v>0</v>
      </c>
      <c r="BK4504">
        <v>0</v>
      </c>
      <c r="BL4504">
        <v>0</v>
      </c>
      <c r="BO4504">
        <v>0</v>
      </c>
      <c r="BP4504">
        <v>0</v>
      </c>
      <c r="BW4504" t="str">
        <f t="shared" si="2538"/>
        <v>15:00:18.797</v>
      </c>
      <c r="CJ4504">
        <v>0</v>
      </c>
      <c r="CK4504">
        <v>2</v>
      </c>
      <c r="CL4504">
        <v>0</v>
      </c>
      <c r="CM4504">
        <v>2</v>
      </c>
      <c r="CN4504">
        <v>0</v>
      </c>
      <c r="CO4504">
        <v>6</v>
      </c>
      <c r="CP4504" t="s">
        <v>119</v>
      </c>
      <c r="CQ4504">
        <v>298</v>
      </c>
      <c r="CR4504">
        <v>0</v>
      </c>
      <c r="CW4504">
        <v>10481429</v>
      </c>
      <c r="CY4504">
        <v>0</v>
      </c>
      <c r="CZ4504">
        <v>0</v>
      </c>
      <c r="DA4504">
        <v>1</v>
      </c>
      <c r="DB4504">
        <v>0</v>
      </c>
      <c r="DC4504">
        <v>0</v>
      </c>
      <c r="DD4504">
        <v>0</v>
      </c>
      <c r="DE4504">
        <v>0</v>
      </c>
      <c r="DF4504">
        <v>0</v>
      </c>
      <c r="DG4504">
        <v>0</v>
      </c>
      <c r="DH4504">
        <v>0</v>
      </c>
      <c r="DI4504">
        <v>0</v>
      </c>
    </row>
    <row r="4505" spans="1:113" x14ac:dyDescent="0.25">
      <c r="A4505" t="str">
        <f t="shared" si="2536"/>
        <v>06/05/2020 15:00:13.178</v>
      </c>
      <c r="C4505" t="str">
        <f t="shared" si="2504"/>
        <v>FFDFD3C0</v>
      </c>
      <c r="D4505" t="s">
        <v>141</v>
      </c>
      <c r="E4505">
        <v>20</v>
      </c>
      <c r="F4505">
        <v>1020</v>
      </c>
      <c r="G4505" t="s">
        <v>114</v>
      </c>
      <c r="J4505" t="s">
        <v>142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 t="shared" si="2537"/>
        <v>15:00:18.789</v>
      </c>
      <c r="T4505" t="str">
        <f t="shared" si="2537"/>
        <v>15:00:18.789</v>
      </c>
      <c r="U4505" t="str">
        <f t="shared" si="2522"/>
        <v>ACC530</v>
      </c>
      <c r="V4505">
        <v>0</v>
      </c>
      <c r="W4505">
        <v>0</v>
      </c>
      <c r="X4505">
        <v>1</v>
      </c>
      <c r="Z4505">
        <v>0</v>
      </c>
      <c r="AA4505">
        <v>9</v>
      </c>
      <c r="AB4505">
        <v>3</v>
      </c>
      <c r="AC4505">
        <v>0</v>
      </c>
      <c r="AD4505">
        <v>9</v>
      </c>
      <c r="AE4505">
        <v>0</v>
      </c>
      <c r="AF4505">
        <v>3</v>
      </c>
      <c r="AG4505">
        <v>1</v>
      </c>
      <c r="AH4505">
        <v>0</v>
      </c>
      <c r="AI4505" t="s">
        <v>1408</v>
      </c>
      <c r="AJ4505">
        <v>34.074376000000001</v>
      </c>
      <c r="AK4505" t="s">
        <v>1409</v>
      </c>
      <c r="AL4505">
        <v>-117.05014199999999</v>
      </c>
      <c r="AM4505">
        <v>100</v>
      </c>
      <c r="AN4505">
        <v>4600</v>
      </c>
      <c r="AO4505" t="s">
        <v>118</v>
      </c>
      <c r="AP4505">
        <v>-106</v>
      </c>
      <c r="AQ4505">
        <v>14</v>
      </c>
      <c r="AR4505">
        <v>-1856</v>
      </c>
      <c r="AZ4505">
        <v>1200</v>
      </c>
      <c r="BA4505">
        <v>1</v>
      </c>
      <c r="BB4505" t="str">
        <f t="shared" si="2526"/>
        <v xml:space="preserve">N9217B  </v>
      </c>
      <c r="BC4505">
        <v>1</v>
      </c>
      <c r="BE4505">
        <v>0</v>
      </c>
      <c r="BF4505">
        <v>0</v>
      </c>
      <c r="BG4505">
        <v>0</v>
      </c>
      <c r="BH4505">
        <v>4425</v>
      </c>
      <c r="BI4505">
        <v>1</v>
      </c>
      <c r="BJ4505">
        <v>0</v>
      </c>
      <c r="BK4505">
        <v>0</v>
      </c>
      <c r="BL4505">
        <v>0</v>
      </c>
      <c r="BO4505">
        <v>0</v>
      </c>
      <c r="BP4505">
        <v>0</v>
      </c>
      <c r="BW4505" t="str">
        <f t="shared" si="2538"/>
        <v>15:00:18.797</v>
      </c>
      <c r="CJ4505">
        <v>0</v>
      </c>
      <c r="CK4505">
        <v>2</v>
      </c>
      <c r="CL4505">
        <v>0</v>
      </c>
      <c r="CM4505">
        <v>2</v>
      </c>
      <c r="CN4505">
        <v>0</v>
      </c>
      <c r="CO4505">
        <v>6</v>
      </c>
      <c r="CP4505" t="s">
        <v>119</v>
      </c>
      <c r="CQ4505">
        <v>298</v>
      </c>
      <c r="CR4505">
        <v>0</v>
      </c>
      <c r="CW4505">
        <v>10481429</v>
      </c>
      <c r="CY4505">
        <v>0</v>
      </c>
      <c r="CZ4505">
        <v>0</v>
      </c>
      <c r="DA4505">
        <v>1</v>
      </c>
      <c r="DB4505">
        <v>0</v>
      </c>
      <c r="DC4505">
        <v>0</v>
      </c>
      <c r="DD4505">
        <v>0</v>
      </c>
      <c r="DE4505">
        <v>0</v>
      </c>
      <c r="DF4505">
        <v>0</v>
      </c>
      <c r="DG4505">
        <v>0</v>
      </c>
      <c r="DH4505">
        <v>0</v>
      </c>
      <c r="DI4505">
        <v>0</v>
      </c>
    </row>
    <row r="4506" spans="1:113" x14ac:dyDescent="0.25">
      <c r="A4506" t="str">
        <f t="shared" si="2536"/>
        <v>06/05/2020 15:00:13.178</v>
      </c>
      <c r="C4506" t="str">
        <f t="shared" si="2504"/>
        <v>FFDFD3C0</v>
      </c>
      <c r="D4506" t="s">
        <v>148</v>
      </c>
      <c r="E4506">
        <v>8</v>
      </c>
      <c r="H4506">
        <v>50</v>
      </c>
      <c r="I4506" t="s">
        <v>149</v>
      </c>
      <c r="J4506" t="s">
        <v>150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 t="shared" si="2537"/>
        <v>15:00:18.789</v>
      </c>
      <c r="T4506" t="str">
        <f t="shared" si="2537"/>
        <v>15:00:18.789</v>
      </c>
      <c r="U4506" t="str">
        <f t="shared" si="2522"/>
        <v>ACC530</v>
      </c>
      <c r="V4506">
        <v>0</v>
      </c>
      <c r="W4506">
        <v>0</v>
      </c>
      <c r="X4506">
        <v>1</v>
      </c>
      <c r="Z4506">
        <v>0</v>
      </c>
      <c r="AA4506">
        <v>9</v>
      </c>
      <c r="AB4506">
        <v>3</v>
      </c>
      <c r="AC4506">
        <v>0</v>
      </c>
      <c r="AD4506">
        <v>9</v>
      </c>
      <c r="AE4506">
        <v>0</v>
      </c>
      <c r="AF4506">
        <v>3</v>
      </c>
      <c r="AG4506">
        <v>1</v>
      </c>
      <c r="AH4506">
        <v>0</v>
      </c>
      <c r="AI4506" t="s">
        <v>1408</v>
      </c>
      <c r="AJ4506">
        <v>34.074376000000001</v>
      </c>
      <c r="AK4506" t="s">
        <v>1409</v>
      </c>
      <c r="AL4506">
        <v>-117.05014199999999</v>
      </c>
      <c r="AM4506">
        <v>100</v>
      </c>
      <c r="AN4506">
        <v>4600</v>
      </c>
      <c r="AO4506" t="s">
        <v>118</v>
      </c>
      <c r="AP4506">
        <v>-106</v>
      </c>
      <c r="AQ4506">
        <v>14</v>
      </c>
      <c r="AR4506">
        <v>-1856</v>
      </c>
      <c r="AZ4506">
        <v>1200</v>
      </c>
      <c r="BA4506">
        <v>1</v>
      </c>
      <c r="BB4506" t="str">
        <f t="shared" si="2526"/>
        <v xml:space="preserve">N9217B  </v>
      </c>
      <c r="BC4506">
        <v>1</v>
      </c>
      <c r="BE4506">
        <v>0</v>
      </c>
      <c r="BF4506">
        <v>0</v>
      </c>
      <c r="BG4506">
        <v>0</v>
      </c>
      <c r="BH4506">
        <v>4425</v>
      </c>
      <c r="BI4506">
        <v>1</v>
      </c>
      <c r="BJ4506">
        <v>0</v>
      </c>
      <c r="BK4506">
        <v>0</v>
      </c>
      <c r="BL4506">
        <v>0</v>
      </c>
      <c r="BO4506">
        <v>0</v>
      </c>
      <c r="BP4506">
        <v>0</v>
      </c>
      <c r="BW4506" t="str">
        <f t="shared" si="2538"/>
        <v>15:00:18.797</v>
      </c>
      <c r="CJ4506">
        <v>0</v>
      </c>
      <c r="CK4506">
        <v>2</v>
      </c>
      <c r="CL4506">
        <v>0</v>
      </c>
      <c r="CM4506">
        <v>2</v>
      </c>
      <c r="CN4506">
        <v>0</v>
      </c>
      <c r="CO4506">
        <v>6</v>
      </c>
      <c r="CP4506" t="s">
        <v>119</v>
      </c>
      <c r="CQ4506">
        <v>298</v>
      </c>
      <c r="CR4506">
        <v>0</v>
      </c>
      <c r="CW4506">
        <v>10481429</v>
      </c>
      <c r="CY4506">
        <v>0</v>
      </c>
      <c r="CZ4506">
        <v>0</v>
      </c>
      <c r="DA4506">
        <v>1</v>
      </c>
      <c r="DB4506">
        <v>0</v>
      </c>
      <c r="DC4506">
        <v>0</v>
      </c>
      <c r="DD4506">
        <v>0</v>
      </c>
      <c r="DE4506">
        <v>0</v>
      </c>
      <c r="DF4506">
        <v>0</v>
      </c>
      <c r="DG4506">
        <v>0</v>
      </c>
      <c r="DH4506">
        <v>0</v>
      </c>
      <c r="DI4506">
        <v>0</v>
      </c>
    </row>
    <row r="4507" spans="1:113" x14ac:dyDescent="0.25">
      <c r="A4507" t="str">
        <f t="shared" si="2536"/>
        <v>06/05/2020 15:00:13.178</v>
      </c>
      <c r="C4507" t="str">
        <f t="shared" si="2504"/>
        <v>FFDFD3C0</v>
      </c>
      <c r="D4507" t="s">
        <v>113</v>
      </c>
      <c r="E4507">
        <v>3</v>
      </c>
      <c r="H4507">
        <v>166</v>
      </c>
      <c r="I4507" t="s">
        <v>114</v>
      </c>
      <c r="J4507" t="s">
        <v>115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 t="shared" si="2537"/>
        <v>15:00:18.789</v>
      </c>
      <c r="T4507" t="str">
        <f t="shared" si="2537"/>
        <v>15:00:18.789</v>
      </c>
      <c r="U4507" t="str">
        <f t="shared" si="2522"/>
        <v>ACC530</v>
      </c>
      <c r="V4507">
        <v>0</v>
      </c>
      <c r="W4507">
        <v>0</v>
      </c>
      <c r="X4507">
        <v>1</v>
      </c>
      <c r="Z4507">
        <v>0</v>
      </c>
      <c r="AA4507">
        <v>9</v>
      </c>
      <c r="AB4507">
        <v>3</v>
      </c>
      <c r="AC4507">
        <v>0</v>
      </c>
      <c r="AD4507">
        <v>9</v>
      </c>
      <c r="AE4507">
        <v>0</v>
      </c>
      <c r="AF4507">
        <v>3</v>
      </c>
      <c r="AG4507">
        <v>1</v>
      </c>
      <c r="AH4507">
        <v>0</v>
      </c>
      <c r="AI4507" t="s">
        <v>1408</v>
      </c>
      <c r="AJ4507">
        <v>34.074376000000001</v>
      </c>
      <c r="AK4507" t="s">
        <v>1409</v>
      </c>
      <c r="AL4507">
        <v>-117.05014199999999</v>
      </c>
      <c r="AM4507">
        <v>100</v>
      </c>
      <c r="AN4507">
        <v>4600</v>
      </c>
      <c r="AO4507" t="s">
        <v>118</v>
      </c>
      <c r="AP4507">
        <v>-106</v>
      </c>
      <c r="AQ4507">
        <v>14</v>
      </c>
      <c r="AR4507">
        <v>-1856</v>
      </c>
      <c r="AZ4507">
        <v>1200</v>
      </c>
      <c r="BA4507">
        <v>1</v>
      </c>
      <c r="BB4507" t="str">
        <f t="shared" si="2526"/>
        <v xml:space="preserve">N9217B  </v>
      </c>
      <c r="BC4507">
        <v>1</v>
      </c>
      <c r="BE4507">
        <v>0</v>
      </c>
      <c r="BF4507">
        <v>0</v>
      </c>
      <c r="BG4507">
        <v>0</v>
      </c>
      <c r="BH4507">
        <v>4425</v>
      </c>
      <c r="BI4507">
        <v>1</v>
      </c>
      <c r="BJ4507">
        <v>0</v>
      </c>
      <c r="BK4507">
        <v>0</v>
      </c>
      <c r="BL4507">
        <v>0</v>
      </c>
      <c r="BO4507">
        <v>0</v>
      </c>
      <c r="BP4507">
        <v>0</v>
      </c>
      <c r="BW4507" t="str">
        <f t="shared" si="2538"/>
        <v>15:00:18.797</v>
      </c>
      <c r="CJ4507">
        <v>0</v>
      </c>
      <c r="CK4507">
        <v>2</v>
      </c>
      <c r="CL4507">
        <v>0</v>
      </c>
      <c r="CM4507">
        <v>2</v>
      </c>
      <c r="CN4507">
        <v>0</v>
      </c>
      <c r="CO4507">
        <v>6</v>
      </c>
      <c r="CP4507" t="s">
        <v>119</v>
      </c>
      <c r="CQ4507">
        <v>298</v>
      </c>
      <c r="CR4507">
        <v>0</v>
      </c>
      <c r="CW4507">
        <v>10481429</v>
      </c>
      <c r="CY4507">
        <v>0</v>
      </c>
      <c r="CZ4507">
        <v>0</v>
      </c>
      <c r="DA4507">
        <v>1</v>
      </c>
      <c r="DB4507">
        <v>0</v>
      </c>
      <c r="DC4507">
        <v>0</v>
      </c>
      <c r="DD4507">
        <v>0</v>
      </c>
      <c r="DE4507">
        <v>0</v>
      </c>
      <c r="DF4507">
        <v>0</v>
      </c>
      <c r="DG4507">
        <v>0</v>
      </c>
      <c r="DH4507">
        <v>0</v>
      </c>
      <c r="DI4507">
        <v>0</v>
      </c>
    </row>
    <row r="4508" spans="1:113" x14ac:dyDescent="0.25">
      <c r="A4508" t="str">
        <f t="shared" si="2536"/>
        <v>06/05/2020 15:00:13.178</v>
      </c>
      <c r="C4508" t="str">
        <f t="shared" si="2504"/>
        <v>FFDFD3C0</v>
      </c>
      <c r="D4508" t="s">
        <v>134</v>
      </c>
      <c r="E4508">
        <v>7</v>
      </c>
      <c r="F4508">
        <v>2007</v>
      </c>
      <c r="G4508" t="s">
        <v>135</v>
      </c>
      <c r="J4508" t="s">
        <v>136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 t="shared" si="2537"/>
        <v>15:00:18.789</v>
      </c>
      <c r="T4508" t="str">
        <f t="shared" si="2537"/>
        <v>15:00:18.789</v>
      </c>
      <c r="U4508" t="str">
        <f t="shared" si="2522"/>
        <v>ACC530</v>
      </c>
      <c r="V4508">
        <v>0</v>
      </c>
      <c r="W4508">
        <v>0</v>
      </c>
      <c r="X4508">
        <v>1</v>
      </c>
      <c r="Z4508">
        <v>0</v>
      </c>
      <c r="AA4508">
        <v>9</v>
      </c>
      <c r="AB4508">
        <v>3</v>
      </c>
      <c r="AC4508">
        <v>0</v>
      </c>
      <c r="AD4508">
        <v>9</v>
      </c>
      <c r="AE4508">
        <v>0</v>
      </c>
      <c r="AF4508">
        <v>3</v>
      </c>
      <c r="AG4508">
        <v>1</v>
      </c>
      <c r="AH4508">
        <v>0</v>
      </c>
      <c r="AI4508" t="s">
        <v>1408</v>
      </c>
      <c r="AJ4508">
        <v>34.074376000000001</v>
      </c>
      <c r="AK4508" t="s">
        <v>1409</v>
      </c>
      <c r="AL4508">
        <v>-117.05014199999999</v>
      </c>
      <c r="AM4508">
        <v>100</v>
      </c>
      <c r="AN4508">
        <v>4600</v>
      </c>
      <c r="AO4508" t="s">
        <v>118</v>
      </c>
      <c r="AP4508">
        <v>-106</v>
      </c>
      <c r="AQ4508">
        <v>14</v>
      </c>
      <c r="AR4508">
        <v>-1856</v>
      </c>
      <c r="AZ4508">
        <v>1200</v>
      </c>
      <c r="BA4508">
        <v>1</v>
      </c>
      <c r="BB4508" t="str">
        <f t="shared" si="2526"/>
        <v xml:space="preserve">N9217B  </v>
      </c>
      <c r="BC4508">
        <v>1</v>
      </c>
      <c r="BE4508">
        <v>0</v>
      </c>
      <c r="BF4508">
        <v>0</v>
      </c>
      <c r="BG4508">
        <v>0</v>
      </c>
      <c r="BH4508">
        <v>4425</v>
      </c>
      <c r="BI4508">
        <v>1</v>
      </c>
      <c r="BJ4508">
        <v>0</v>
      </c>
      <c r="BK4508">
        <v>0</v>
      </c>
      <c r="BL4508">
        <v>0</v>
      </c>
      <c r="BO4508">
        <v>0</v>
      </c>
      <c r="BP4508">
        <v>0</v>
      </c>
      <c r="BW4508" t="str">
        <f t="shared" si="2538"/>
        <v>15:00:18.797</v>
      </c>
      <c r="CJ4508">
        <v>0</v>
      </c>
      <c r="CK4508">
        <v>2</v>
      </c>
      <c r="CL4508">
        <v>0</v>
      </c>
      <c r="CM4508">
        <v>2</v>
      </c>
      <c r="CN4508">
        <v>0</v>
      </c>
      <c r="CO4508">
        <v>6</v>
      </c>
      <c r="CP4508" t="s">
        <v>119</v>
      </c>
      <c r="CQ4508">
        <v>298</v>
      </c>
      <c r="CR4508">
        <v>0</v>
      </c>
      <c r="CW4508">
        <v>10481429</v>
      </c>
      <c r="CY4508">
        <v>0</v>
      </c>
      <c r="CZ4508">
        <v>0</v>
      </c>
      <c r="DA4508">
        <v>1</v>
      </c>
      <c r="DB4508">
        <v>0</v>
      </c>
      <c r="DC4508">
        <v>0</v>
      </c>
      <c r="DD4508">
        <v>0</v>
      </c>
      <c r="DE4508">
        <v>0</v>
      </c>
      <c r="DF4508">
        <v>0</v>
      </c>
      <c r="DG4508">
        <v>0</v>
      </c>
      <c r="DH4508">
        <v>0</v>
      </c>
      <c r="DI4508">
        <v>0</v>
      </c>
    </row>
    <row r="4509" spans="1:113" x14ac:dyDescent="0.25">
      <c r="A4509" t="str">
        <f t="shared" ref="A4509:A4514" si="2539">"06/05/2020 15:00:14.157"</f>
        <v>06/05/2020 15:00:14.157</v>
      </c>
      <c r="C4509" t="str">
        <f t="shared" si="2504"/>
        <v>FFDFD3C0</v>
      </c>
      <c r="D4509" t="s">
        <v>148</v>
      </c>
      <c r="E4509">
        <v>8</v>
      </c>
      <c r="H4509">
        <v>50</v>
      </c>
      <c r="I4509" t="s">
        <v>149</v>
      </c>
      <c r="J4509" t="s">
        <v>150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 t="shared" ref="S4509:S4514" si="2540">"15:00:19.797"</f>
        <v>15:00:19.797</v>
      </c>
      <c r="T4509" t="str">
        <f t="shared" ref="T4509:T4514" si="2541">"15:00:19.297"</f>
        <v>15:00:19.297</v>
      </c>
      <c r="U4509" t="str">
        <f t="shared" si="2522"/>
        <v>ACC530</v>
      </c>
      <c r="V4509">
        <v>0</v>
      </c>
      <c r="W4509">
        <v>0</v>
      </c>
      <c r="X4509">
        <v>1</v>
      </c>
      <c r="Z4509">
        <v>0</v>
      </c>
      <c r="AA4509">
        <v>9</v>
      </c>
      <c r="AB4509">
        <v>3</v>
      </c>
      <c r="AC4509">
        <v>0</v>
      </c>
      <c r="AD4509">
        <v>9</v>
      </c>
      <c r="AE4509">
        <v>0</v>
      </c>
      <c r="AF4509">
        <v>3</v>
      </c>
      <c r="AG4509">
        <v>1</v>
      </c>
      <c r="AH4509">
        <v>0</v>
      </c>
      <c r="AI4509" t="s">
        <v>1410</v>
      </c>
      <c r="AJ4509">
        <v>34.074418999999999</v>
      </c>
      <c r="AK4509" t="s">
        <v>1411</v>
      </c>
      <c r="AL4509">
        <v>-117.050743</v>
      </c>
      <c r="AM4509">
        <v>100</v>
      </c>
      <c r="AN4509">
        <v>4600</v>
      </c>
      <c r="AO4509" t="s">
        <v>118</v>
      </c>
      <c r="AP4509">
        <v>-107</v>
      </c>
      <c r="AQ4509">
        <v>13</v>
      </c>
      <c r="AR4509">
        <v>-1920</v>
      </c>
      <c r="AZ4509">
        <v>1200</v>
      </c>
      <c r="BA4509">
        <v>1</v>
      </c>
      <c r="BB4509" t="str">
        <f t="shared" si="2526"/>
        <v xml:space="preserve">N9217B  </v>
      </c>
      <c r="BC4509">
        <v>1</v>
      </c>
      <c r="BE4509">
        <v>0</v>
      </c>
      <c r="BF4509">
        <v>0</v>
      </c>
      <c r="BG4509">
        <v>0</v>
      </c>
      <c r="BH4509">
        <v>4400</v>
      </c>
      <c r="BI4509">
        <v>1</v>
      </c>
      <c r="BJ4509">
        <v>0</v>
      </c>
      <c r="BK4509">
        <v>0</v>
      </c>
      <c r="BL4509">
        <v>0</v>
      </c>
      <c r="BO4509">
        <v>0</v>
      </c>
      <c r="BP4509">
        <v>0</v>
      </c>
      <c r="BW4509" t="str">
        <f t="shared" ref="BW4509:BW4514" si="2542">"15:00:19.802"</f>
        <v>15:00:19.802</v>
      </c>
      <c r="CJ4509">
        <v>0</v>
      </c>
      <c r="CK4509">
        <v>2</v>
      </c>
      <c r="CL4509">
        <v>0</v>
      </c>
      <c r="CM4509">
        <v>2</v>
      </c>
      <c r="CN4509">
        <v>0</v>
      </c>
      <c r="CO4509">
        <v>6</v>
      </c>
      <c r="CP4509" t="s">
        <v>119</v>
      </c>
      <c r="CQ4509">
        <v>298</v>
      </c>
      <c r="CR4509">
        <v>0</v>
      </c>
      <c r="CW4509">
        <v>10481554</v>
      </c>
      <c r="CY4509">
        <v>0</v>
      </c>
      <c r="CZ4509">
        <v>0</v>
      </c>
      <c r="DA4509">
        <v>0</v>
      </c>
      <c r="DB4509">
        <v>0</v>
      </c>
      <c r="DC4509">
        <v>0</v>
      </c>
      <c r="DD4509">
        <v>0</v>
      </c>
      <c r="DE4509">
        <v>0</v>
      </c>
      <c r="DF4509">
        <v>0</v>
      </c>
      <c r="DG4509">
        <v>0</v>
      </c>
      <c r="DH4509">
        <v>0</v>
      </c>
      <c r="DI4509">
        <v>0</v>
      </c>
    </row>
    <row r="4510" spans="1:113" x14ac:dyDescent="0.25">
      <c r="A4510" t="str">
        <f t="shared" si="2539"/>
        <v>06/05/2020 15:00:14.157</v>
      </c>
      <c r="C4510" t="str">
        <f t="shared" si="2504"/>
        <v>FFDFD3C0</v>
      </c>
      <c r="D4510" t="s">
        <v>134</v>
      </c>
      <c r="E4510">
        <v>7</v>
      </c>
      <c r="F4510">
        <v>2007</v>
      </c>
      <c r="G4510" t="s">
        <v>135</v>
      </c>
      <c r="J4510" t="s">
        <v>136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 t="shared" si="2540"/>
        <v>15:00:19.797</v>
      </c>
      <c r="T4510" t="str">
        <f t="shared" si="2541"/>
        <v>15:00:19.297</v>
      </c>
      <c r="U4510" t="str">
        <f t="shared" si="2522"/>
        <v>ACC530</v>
      </c>
      <c r="V4510">
        <v>0</v>
      </c>
      <c r="W4510">
        <v>0</v>
      </c>
      <c r="X4510">
        <v>1</v>
      </c>
      <c r="Z4510">
        <v>0</v>
      </c>
      <c r="AA4510">
        <v>9</v>
      </c>
      <c r="AB4510">
        <v>3</v>
      </c>
      <c r="AC4510">
        <v>0</v>
      </c>
      <c r="AD4510">
        <v>9</v>
      </c>
      <c r="AE4510">
        <v>0</v>
      </c>
      <c r="AF4510">
        <v>3</v>
      </c>
      <c r="AG4510">
        <v>1</v>
      </c>
      <c r="AH4510">
        <v>0</v>
      </c>
      <c r="AI4510" t="s">
        <v>1410</v>
      </c>
      <c r="AJ4510">
        <v>34.074418999999999</v>
      </c>
      <c r="AK4510" t="s">
        <v>1411</v>
      </c>
      <c r="AL4510">
        <v>-117.050743</v>
      </c>
      <c r="AM4510">
        <v>100</v>
      </c>
      <c r="AN4510">
        <v>4600</v>
      </c>
      <c r="AO4510" t="s">
        <v>118</v>
      </c>
      <c r="AP4510">
        <v>-107</v>
      </c>
      <c r="AQ4510">
        <v>13</v>
      </c>
      <c r="AR4510">
        <v>-1920</v>
      </c>
      <c r="AZ4510">
        <v>1200</v>
      </c>
      <c r="BA4510">
        <v>1</v>
      </c>
      <c r="BB4510" t="str">
        <f t="shared" si="2526"/>
        <v xml:space="preserve">N9217B  </v>
      </c>
      <c r="BC4510">
        <v>1</v>
      </c>
      <c r="BE4510">
        <v>0</v>
      </c>
      <c r="BF4510">
        <v>0</v>
      </c>
      <c r="BG4510">
        <v>0</v>
      </c>
      <c r="BH4510">
        <v>4400</v>
      </c>
      <c r="BI4510">
        <v>1</v>
      </c>
      <c r="BJ4510">
        <v>0</v>
      </c>
      <c r="BK4510">
        <v>0</v>
      </c>
      <c r="BL4510">
        <v>0</v>
      </c>
      <c r="BO4510">
        <v>0</v>
      </c>
      <c r="BP4510">
        <v>0</v>
      </c>
      <c r="BW4510" t="str">
        <f t="shared" si="2542"/>
        <v>15:00:19.802</v>
      </c>
      <c r="CJ4510">
        <v>0</v>
      </c>
      <c r="CK4510">
        <v>2</v>
      </c>
      <c r="CL4510">
        <v>0</v>
      </c>
      <c r="CM4510">
        <v>2</v>
      </c>
      <c r="CN4510">
        <v>0</v>
      </c>
      <c r="CO4510">
        <v>6</v>
      </c>
      <c r="CP4510" t="s">
        <v>119</v>
      </c>
      <c r="CQ4510">
        <v>298</v>
      </c>
      <c r="CR4510">
        <v>0</v>
      </c>
      <c r="CW4510">
        <v>10481554</v>
      </c>
      <c r="CY4510">
        <v>0</v>
      </c>
      <c r="CZ4510">
        <v>0</v>
      </c>
      <c r="DA4510">
        <v>1</v>
      </c>
      <c r="DB4510">
        <v>0</v>
      </c>
      <c r="DC4510">
        <v>0</v>
      </c>
      <c r="DD4510">
        <v>0</v>
      </c>
      <c r="DE4510">
        <v>0</v>
      </c>
      <c r="DF4510">
        <v>0</v>
      </c>
      <c r="DG4510">
        <v>0</v>
      </c>
      <c r="DH4510">
        <v>0</v>
      </c>
      <c r="DI4510">
        <v>0</v>
      </c>
    </row>
    <row r="4511" spans="1:113" x14ac:dyDescent="0.25">
      <c r="A4511" t="str">
        <f t="shared" si="2539"/>
        <v>06/05/2020 15:00:14.157</v>
      </c>
      <c r="C4511" t="str">
        <f t="shared" si="2504"/>
        <v>FFDFD3C0</v>
      </c>
      <c r="D4511" t="s">
        <v>113</v>
      </c>
      <c r="E4511">
        <v>3</v>
      </c>
      <c r="H4511">
        <v>166</v>
      </c>
      <c r="I4511" t="s">
        <v>114</v>
      </c>
      <c r="J4511" t="s">
        <v>115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 t="shared" si="2540"/>
        <v>15:00:19.797</v>
      </c>
      <c r="T4511" t="str">
        <f t="shared" si="2541"/>
        <v>15:00:19.297</v>
      </c>
      <c r="U4511" t="str">
        <f t="shared" si="2522"/>
        <v>ACC530</v>
      </c>
      <c r="V4511">
        <v>0</v>
      </c>
      <c r="W4511">
        <v>0</v>
      </c>
      <c r="X4511">
        <v>1</v>
      </c>
      <c r="Z4511">
        <v>0</v>
      </c>
      <c r="AA4511">
        <v>9</v>
      </c>
      <c r="AB4511">
        <v>3</v>
      </c>
      <c r="AC4511">
        <v>0</v>
      </c>
      <c r="AD4511">
        <v>9</v>
      </c>
      <c r="AE4511">
        <v>0</v>
      </c>
      <c r="AF4511">
        <v>3</v>
      </c>
      <c r="AG4511">
        <v>1</v>
      </c>
      <c r="AH4511">
        <v>0</v>
      </c>
      <c r="AI4511" t="s">
        <v>1410</v>
      </c>
      <c r="AJ4511">
        <v>34.074418999999999</v>
      </c>
      <c r="AK4511" t="s">
        <v>1411</v>
      </c>
      <c r="AL4511">
        <v>-117.050743</v>
      </c>
      <c r="AM4511">
        <v>100</v>
      </c>
      <c r="AN4511">
        <v>4600</v>
      </c>
      <c r="AO4511" t="s">
        <v>118</v>
      </c>
      <c r="AP4511">
        <v>-107</v>
      </c>
      <c r="AQ4511">
        <v>13</v>
      </c>
      <c r="AR4511">
        <v>-1920</v>
      </c>
      <c r="AZ4511">
        <v>1200</v>
      </c>
      <c r="BA4511">
        <v>1</v>
      </c>
      <c r="BB4511" t="str">
        <f t="shared" si="2526"/>
        <v xml:space="preserve">N9217B  </v>
      </c>
      <c r="BC4511">
        <v>1</v>
      </c>
      <c r="BE4511">
        <v>0</v>
      </c>
      <c r="BF4511">
        <v>0</v>
      </c>
      <c r="BG4511">
        <v>0</v>
      </c>
      <c r="BH4511">
        <v>4400</v>
      </c>
      <c r="BI4511">
        <v>1</v>
      </c>
      <c r="BJ4511">
        <v>0</v>
      </c>
      <c r="BK4511">
        <v>0</v>
      </c>
      <c r="BL4511">
        <v>0</v>
      </c>
      <c r="BO4511">
        <v>0</v>
      </c>
      <c r="BP4511">
        <v>0</v>
      </c>
      <c r="BW4511" t="str">
        <f t="shared" si="2542"/>
        <v>15:00:19.802</v>
      </c>
      <c r="CJ4511">
        <v>0</v>
      </c>
      <c r="CK4511">
        <v>2</v>
      </c>
      <c r="CL4511">
        <v>0</v>
      </c>
      <c r="CM4511">
        <v>2</v>
      </c>
      <c r="CN4511">
        <v>0</v>
      </c>
      <c r="CO4511">
        <v>6</v>
      </c>
      <c r="CP4511" t="s">
        <v>119</v>
      </c>
      <c r="CQ4511">
        <v>298</v>
      </c>
      <c r="CR4511">
        <v>0</v>
      </c>
      <c r="CW4511">
        <v>10481554</v>
      </c>
      <c r="CY4511">
        <v>0</v>
      </c>
      <c r="CZ4511">
        <v>0</v>
      </c>
      <c r="DA4511">
        <v>1</v>
      </c>
      <c r="DB4511">
        <v>0</v>
      </c>
      <c r="DC4511">
        <v>0</v>
      </c>
      <c r="DD4511">
        <v>0</v>
      </c>
      <c r="DE4511">
        <v>0</v>
      </c>
      <c r="DF4511">
        <v>0</v>
      </c>
      <c r="DG4511">
        <v>0</v>
      </c>
      <c r="DH4511">
        <v>0</v>
      </c>
      <c r="DI4511">
        <v>0</v>
      </c>
    </row>
    <row r="4512" spans="1:113" x14ac:dyDescent="0.25">
      <c r="A4512" t="str">
        <f t="shared" si="2539"/>
        <v>06/05/2020 15:00:14.157</v>
      </c>
      <c r="C4512" t="str">
        <f t="shared" si="2504"/>
        <v>FFDFD3C0</v>
      </c>
      <c r="D4512" t="s">
        <v>151</v>
      </c>
      <c r="E4512">
        <v>8</v>
      </c>
      <c r="H4512">
        <v>225</v>
      </c>
      <c r="I4512" t="s">
        <v>353</v>
      </c>
      <c r="J4512" t="s">
        <v>150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 t="shared" si="2540"/>
        <v>15:00:19.797</v>
      </c>
      <c r="T4512" t="str">
        <f t="shared" si="2541"/>
        <v>15:00:19.297</v>
      </c>
      <c r="U4512" t="str">
        <f t="shared" si="2522"/>
        <v>ACC530</v>
      </c>
      <c r="V4512">
        <v>0</v>
      </c>
      <c r="W4512">
        <v>0</v>
      </c>
      <c r="X4512">
        <v>1</v>
      </c>
      <c r="Z4512">
        <v>0</v>
      </c>
      <c r="AA4512">
        <v>9</v>
      </c>
      <c r="AB4512">
        <v>3</v>
      </c>
      <c r="AC4512">
        <v>0</v>
      </c>
      <c r="AD4512">
        <v>9</v>
      </c>
      <c r="AE4512">
        <v>0</v>
      </c>
      <c r="AF4512">
        <v>3</v>
      </c>
      <c r="AG4512">
        <v>1</v>
      </c>
      <c r="AH4512">
        <v>0</v>
      </c>
      <c r="AI4512" t="s">
        <v>1410</v>
      </c>
      <c r="AJ4512">
        <v>34.074418999999999</v>
      </c>
      <c r="AK4512" t="s">
        <v>1411</v>
      </c>
      <c r="AL4512">
        <v>-117.050743</v>
      </c>
      <c r="AM4512">
        <v>100</v>
      </c>
      <c r="AN4512">
        <v>4600</v>
      </c>
      <c r="AO4512" t="s">
        <v>118</v>
      </c>
      <c r="AP4512">
        <v>-107</v>
      </c>
      <c r="AQ4512">
        <v>13</v>
      </c>
      <c r="AR4512">
        <v>-1920</v>
      </c>
      <c r="AZ4512">
        <v>1200</v>
      </c>
      <c r="BA4512">
        <v>1</v>
      </c>
      <c r="BB4512" t="str">
        <f t="shared" si="2526"/>
        <v xml:space="preserve">N9217B  </v>
      </c>
      <c r="BC4512">
        <v>1</v>
      </c>
      <c r="BE4512">
        <v>0</v>
      </c>
      <c r="BF4512">
        <v>0</v>
      </c>
      <c r="BG4512">
        <v>0</v>
      </c>
      <c r="BH4512">
        <v>4400</v>
      </c>
      <c r="BI4512">
        <v>1</v>
      </c>
      <c r="BJ4512">
        <v>0</v>
      </c>
      <c r="BK4512">
        <v>0</v>
      </c>
      <c r="BL4512">
        <v>0</v>
      </c>
      <c r="BO4512">
        <v>0</v>
      </c>
      <c r="BP4512">
        <v>0</v>
      </c>
      <c r="BW4512" t="str">
        <f t="shared" si="2542"/>
        <v>15:00:19.802</v>
      </c>
      <c r="CJ4512">
        <v>0</v>
      </c>
      <c r="CK4512">
        <v>2</v>
      </c>
      <c r="CL4512">
        <v>0</v>
      </c>
      <c r="CM4512">
        <v>2</v>
      </c>
      <c r="CN4512">
        <v>0</v>
      </c>
      <c r="CO4512">
        <v>6</v>
      </c>
      <c r="CP4512" t="s">
        <v>119</v>
      </c>
      <c r="CQ4512">
        <v>298</v>
      </c>
      <c r="CR4512">
        <v>0</v>
      </c>
      <c r="CW4512">
        <v>10481554</v>
      </c>
      <c r="CY4512">
        <v>0</v>
      </c>
      <c r="CZ4512">
        <v>0</v>
      </c>
      <c r="DA4512">
        <v>1</v>
      </c>
      <c r="DB4512">
        <v>0</v>
      </c>
      <c r="DC4512">
        <v>0</v>
      </c>
      <c r="DD4512">
        <v>0</v>
      </c>
      <c r="DE4512">
        <v>0</v>
      </c>
      <c r="DF4512">
        <v>0</v>
      </c>
      <c r="DG4512">
        <v>0</v>
      </c>
      <c r="DH4512">
        <v>0</v>
      </c>
      <c r="DI4512">
        <v>0</v>
      </c>
    </row>
    <row r="4513" spans="1:113" x14ac:dyDescent="0.25">
      <c r="A4513" t="str">
        <f t="shared" si="2539"/>
        <v>06/05/2020 15:00:14.157</v>
      </c>
      <c r="C4513" t="str">
        <f t="shared" si="2504"/>
        <v>FFDFD3C0</v>
      </c>
      <c r="D4513" t="s">
        <v>148</v>
      </c>
      <c r="E4513">
        <v>11</v>
      </c>
      <c r="H4513">
        <v>53</v>
      </c>
      <c r="I4513" t="s">
        <v>364</v>
      </c>
      <c r="J4513" t="s">
        <v>150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 t="shared" si="2540"/>
        <v>15:00:19.797</v>
      </c>
      <c r="T4513" t="str">
        <f t="shared" si="2541"/>
        <v>15:00:19.297</v>
      </c>
      <c r="U4513" t="str">
        <f t="shared" si="2522"/>
        <v>ACC530</v>
      </c>
      <c r="V4513">
        <v>0</v>
      </c>
      <c r="W4513">
        <v>0</v>
      </c>
      <c r="X4513">
        <v>1</v>
      </c>
      <c r="Z4513">
        <v>0</v>
      </c>
      <c r="AA4513">
        <v>9</v>
      </c>
      <c r="AB4513">
        <v>3</v>
      </c>
      <c r="AC4513">
        <v>0</v>
      </c>
      <c r="AD4513">
        <v>9</v>
      </c>
      <c r="AE4513">
        <v>0</v>
      </c>
      <c r="AF4513">
        <v>3</v>
      </c>
      <c r="AG4513">
        <v>1</v>
      </c>
      <c r="AH4513">
        <v>0</v>
      </c>
      <c r="AI4513" t="s">
        <v>1410</v>
      </c>
      <c r="AJ4513">
        <v>34.074418999999999</v>
      </c>
      <c r="AK4513" t="s">
        <v>1411</v>
      </c>
      <c r="AL4513">
        <v>-117.050743</v>
      </c>
      <c r="AM4513">
        <v>100</v>
      </c>
      <c r="AN4513">
        <v>4600</v>
      </c>
      <c r="AO4513" t="s">
        <v>118</v>
      </c>
      <c r="AP4513">
        <v>-107</v>
      </c>
      <c r="AQ4513">
        <v>13</v>
      </c>
      <c r="AR4513">
        <v>-1920</v>
      </c>
      <c r="AZ4513">
        <v>1200</v>
      </c>
      <c r="BA4513">
        <v>1</v>
      </c>
      <c r="BB4513" t="str">
        <f t="shared" si="2526"/>
        <v xml:space="preserve">N9217B  </v>
      </c>
      <c r="BC4513">
        <v>1</v>
      </c>
      <c r="BE4513">
        <v>0</v>
      </c>
      <c r="BF4513">
        <v>0</v>
      </c>
      <c r="BG4513">
        <v>0</v>
      </c>
      <c r="BH4513">
        <v>4400</v>
      </c>
      <c r="BI4513">
        <v>1</v>
      </c>
      <c r="BJ4513">
        <v>0</v>
      </c>
      <c r="BK4513">
        <v>0</v>
      </c>
      <c r="BL4513">
        <v>0</v>
      </c>
      <c r="BO4513">
        <v>0</v>
      </c>
      <c r="BP4513">
        <v>0</v>
      </c>
      <c r="BW4513" t="str">
        <f t="shared" si="2542"/>
        <v>15:00:19.802</v>
      </c>
      <c r="CJ4513">
        <v>0</v>
      </c>
      <c r="CK4513">
        <v>2</v>
      </c>
      <c r="CL4513">
        <v>0</v>
      </c>
      <c r="CM4513">
        <v>2</v>
      </c>
      <c r="CN4513">
        <v>0</v>
      </c>
      <c r="CO4513">
        <v>6</v>
      </c>
      <c r="CP4513" t="s">
        <v>119</v>
      </c>
      <c r="CQ4513">
        <v>298</v>
      </c>
      <c r="CR4513">
        <v>0</v>
      </c>
      <c r="CW4513">
        <v>10481554</v>
      </c>
      <c r="CY4513">
        <v>0</v>
      </c>
      <c r="CZ4513">
        <v>0</v>
      </c>
      <c r="DA4513">
        <v>1</v>
      </c>
      <c r="DB4513">
        <v>0</v>
      </c>
      <c r="DC4513">
        <v>0</v>
      </c>
      <c r="DD4513">
        <v>0</v>
      </c>
      <c r="DE4513">
        <v>0</v>
      </c>
      <c r="DF4513">
        <v>0</v>
      </c>
      <c r="DG4513">
        <v>0</v>
      </c>
      <c r="DH4513">
        <v>0</v>
      </c>
      <c r="DI4513">
        <v>0</v>
      </c>
    </row>
    <row r="4514" spans="1:113" x14ac:dyDescent="0.25">
      <c r="A4514" t="str">
        <f t="shared" si="2539"/>
        <v>06/05/2020 15:00:14.157</v>
      </c>
      <c r="C4514" t="str">
        <f t="shared" si="2504"/>
        <v>FFDFD3C0</v>
      </c>
      <c r="D4514" t="s">
        <v>141</v>
      </c>
      <c r="E4514">
        <v>20</v>
      </c>
      <c r="F4514">
        <v>1020</v>
      </c>
      <c r="G4514" t="s">
        <v>114</v>
      </c>
      <c r="J4514" t="s">
        <v>142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 t="shared" si="2540"/>
        <v>15:00:19.797</v>
      </c>
      <c r="T4514" t="str">
        <f t="shared" si="2541"/>
        <v>15:00:19.297</v>
      </c>
      <c r="U4514" t="str">
        <f t="shared" si="2522"/>
        <v>ACC530</v>
      </c>
      <c r="V4514">
        <v>0</v>
      </c>
      <c r="W4514">
        <v>0</v>
      </c>
      <c r="X4514">
        <v>1</v>
      </c>
      <c r="Z4514">
        <v>0</v>
      </c>
      <c r="AA4514">
        <v>9</v>
      </c>
      <c r="AB4514">
        <v>3</v>
      </c>
      <c r="AC4514">
        <v>0</v>
      </c>
      <c r="AD4514">
        <v>9</v>
      </c>
      <c r="AE4514">
        <v>0</v>
      </c>
      <c r="AF4514">
        <v>3</v>
      </c>
      <c r="AG4514">
        <v>1</v>
      </c>
      <c r="AH4514">
        <v>0</v>
      </c>
      <c r="AI4514" t="s">
        <v>1410</v>
      </c>
      <c r="AJ4514">
        <v>34.074418999999999</v>
      </c>
      <c r="AK4514" t="s">
        <v>1411</v>
      </c>
      <c r="AL4514">
        <v>-117.050743</v>
      </c>
      <c r="AM4514">
        <v>100</v>
      </c>
      <c r="AN4514">
        <v>4600</v>
      </c>
      <c r="AO4514" t="s">
        <v>118</v>
      </c>
      <c r="AP4514">
        <v>-107</v>
      </c>
      <c r="AQ4514">
        <v>13</v>
      </c>
      <c r="AR4514">
        <v>-1920</v>
      </c>
      <c r="AZ4514">
        <v>1200</v>
      </c>
      <c r="BA4514">
        <v>1</v>
      </c>
      <c r="BB4514" t="str">
        <f t="shared" si="2526"/>
        <v xml:space="preserve">N9217B  </v>
      </c>
      <c r="BC4514">
        <v>1</v>
      </c>
      <c r="BE4514">
        <v>0</v>
      </c>
      <c r="BF4514">
        <v>0</v>
      </c>
      <c r="BG4514">
        <v>0</v>
      </c>
      <c r="BH4514">
        <v>4400</v>
      </c>
      <c r="BI4514">
        <v>1</v>
      </c>
      <c r="BJ4514">
        <v>0</v>
      </c>
      <c r="BK4514">
        <v>0</v>
      </c>
      <c r="BL4514">
        <v>0</v>
      </c>
      <c r="BO4514">
        <v>0</v>
      </c>
      <c r="BP4514">
        <v>0</v>
      </c>
      <c r="BW4514" t="str">
        <f t="shared" si="2542"/>
        <v>15:00:19.802</v>
      </c>
      <c r="CJ4514">
        <v>0</v>
      </c>
      <c r="CK4514">
        <v>2</v>
      </c>
      <c r="CL4514">
        <v>0</v>
      </c>
      <c r="CM4514">
        <v>2</v>
      </c>
      <c r="CN4514">
        <v>0</v>
      </c>
      <c r="CO4514">
        <v>6</v>
      </c>
      <c r="CP4514" t="s">
        <v>119</v>
      </c>
      <c r="CQ4514">
        <v>298</v>
      </c>
      <c r="CR4514">
        <v>0</v>
      </c>
      <c r="CW4514">
        <v>10481554</v>
      </c>
      <c r="CY4514">
        <v>0</v>
      </c>
      <c r="CZ4514">
        <v>0</v>
      </c>
      <c r="DA4514">
        <v>1</v>
      </c>
      <c r="DB4514">
        <v>0</v>
      </c>
      <c r="DC4514">
        <v>0</v>
      </c>
      <c r="DD4514">
        <v>0</v>
      </c>
      <c r="DE4514">
        <v>0</v>
      </c>
      <c r="DF4514">
        <v>0</v>
      </c>
      <c r="DG4514">
        <v>0</v>
      </c>
      <c r="DH4514">
        <v>0</v>
      </c>
      <c r="DI4514">
        <v>0</v>
      </c>
    </row>
    <row r="4515" spans="1:113" x14ac:dyDescent="0.25">
      <c r="A4515" t="str">
        <f t="shared" ref="A4515:A4521" si="2543">"06/05/2020 15:00:15.066"</f>
        <v>06/05/2020 15:00:15.066</v>
      </c>
      <c r="C4515" t="str">
        <f t="shared" ref="C4515:C4578" si="2544">"FFDFD3C0"</f>
        <v>FFDFD3C0</v>
      </c>
      <c r="D4515" t="s">
        <v>148</v>
      </c>
      <c r="E4515">
        <v>8</v>
      </c>
      <c r="H4515">
        <v>50</v>
      </c>
      <c r="I4515" t="s">
        <v>149</v>
      </c>
      <c r="J4515" t="s">
        <v>150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 t="shared" ref="S4515:S4521" si="2545">"15:00:20.711"</f>
        <v>15:00:20.711</v>
      </c>
      <c r="T4515" t="str">
        <f>"15:00:20.311"</f>
        <v>15:00:20.311</v>
      </c>
      <c r="U4515" t="str">
        <f t="shared" si="2522"/>
        <v>ACC530</v>
      </c>
      <c r="V4515">
        <v>0</v>
      </c>
      <c r="W4515">
        <v>0</v>
      </c>
      <c r="X4515">
        <v>1</v>
      </c>
      <c r="Z4515">
        <v>0</v>
      </c>
      <c r="AA4515">
        <v>9</v>
      </c>
      <c r="AB4515">
        <v>3</v>
      </c>
      <c r="AC4515">
        <v>0</v>
      </c>
      <c r="AD4515">
        <v>9</v>
      </c>
      <c r="AE4515">
        <v>0</v>
      </c>
      <c r="AF4515">
        <v>3</v>
      </c>
      <c r="AG4515">
        <v>1</v>
      </c>
      <c r="AH4515">
        <v>0</v>
      </c>
      <c r="AI4515" t="s">
        <v>1412</v>
      </c>
      <c r="AJ4515">
        <v>34.074460999999999</v>
      </c>
      <c r="AK4515" t="s">
        <v>1413</v>
      </c>
      <c r="AL4515">
        <v>-117.051258</v>
      </c>
      <c r="AM4515">
        <v>100</v>
      </c>
      <c r="AN4515">
        <v>4600</v>
      </c>
      <c r="AO4515" t="s">
        <v>118</v>
      </c>
      <c r="AP4515">
        <v>-108</v>
      </c>
      <c r="AQ4515">
        <v>11</v>
      </c>
      <c r="AR4515">
        <v>-2048</v>
      </c>
      <c r="AZ4515">
        <v>1200</v>
      </c>
      <c r="BA4515">
        <v>1</v>
      </c>
      <c r="BB4515" t="str">
        <f t="shared" si="2526"/>
        <v xml:space="preserve">N9217B  </v>
      </c>
      <c r="BC4515">
        <v>1</v>
      </c>
      <c r="BE4515">
        <v>0</v>
      </c>
      <c r="BF4515">
        <v>0</v>
      </c>
      <c r="BG4515">
        <v>0</v>
      </c>
      <c r="BH4515">
        <v>4375</v>
      </c>
      <c r="BI4515">
        <v>1</v>
      </c>
      <c r="BJ4515">
        <v>0</v>
      </c>
      <c r="BK4515">
        <v>0</v>
      </c>
      <c r="BL4515">
        <v>0</v>
      </c>
      <c r="BO4515">
        <v>0</v>
      </c>
      <c r="BP4515">
        <v>0</v>
      </c>
      <c r="BW4515" t="str">
        <f t="shared" ref="BW4515:BW4521" si="2546">"15:00:20.716"</f>
        <v>15:00:20.716</v>
      </c>
      <c r="CJ4515">
        <v>0</v>
      </c>
      <c r="CK4515">
        <v>2</v>
      </c>
      <c r="CL4515">
        <v>0</v>
      </c>
      <c r="CM4515">
        <v>2</v>
      </c>
      <c r="CN4515">
        <v>0</v>
      </c>
      <c r="CO4515">
        <v>5</v>
      </c>
      <c r="CP4515" t="s">
        <v>119</v>
      </c>
      <c r="CQ4515">
        <v>298</v>
      </c>
      <c r="CR4515">
        <v>0</v>
      </c>
      <c r="CW4515">
        <v>10481671</v>
      </c>
      <c r="CY4515">
        <v>0</v>
      </c>
      <c r="CZ4515">
        <v>0</v>
      </c>
      <c r="DA4515">
        <v>0</v>
      </c>
      <c r="DB4515">
        <v>0</v>
      </c>
      <c r="DC4515">
        <v>0</v>
      </c>
      <c r="DD4515">
        <v>0</v>
      </c>
      <c r="DE4515">
        <v>0</v>
      </c>
      <c r="DF4515">
        <v>0</v>
      </c>
      <c r="DG4515">
        <v>0</v>
      </c>
      <c r="DH4515">
        <v>0</v>
      </c>
      <c r="DI4515">
        <v>0</v>
      </c>
    </row>
    <row r="4516" spans="1:113" x14ac:dyDescent="0.25">
      <c r="A4516" t="str">
        <f t="shared" si="2543"/>
        <v>06/05/2020 15:00:15.066</v>
      </c>
      <c r="C4516" t="str">
        <f t="shared" si="2544"/>
        <v>FFDFD3C0</v>
      </c>
      <c r="D4516" t="s">
        <v>151</v>
      </c>
      <c r="E4516">
        <v>9</v>
      </c>
      <c r="H4516">
        <v>226</v>
      </c>
      <c r="I4516" t="s">
        <v>152</v>
      </c>
      <c r="J4516" t="s">
        <v>150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 t="shared" si="2545"/>
        <v>15:00:20.711</v>
      </c>
      <c r="T4516" t="str">
        <f>"15:00:19.911"</f>
        <v>15:00:19.911</v>
      </c>
      <c r="U4516" t="str">
        <f t="shared" si="2522"/>
        <v>ACC530</v>
      </c>
      <c r="V4516">
        <v>0</v>
      </c>
      <c r="W4516">
        <v>0</v>
      </c>
      <c r="X4516">
        <v>1</v>
      </c>
      <c r="Z4516">
        <v>0</v>
      </c>
      <c r="AA4516">
        <v>9</v>
      </c>
      <c r="AB4516">
        <v>3</v>
      </c>
      <c r="AC4516">
        <v>0</v>
      </c>
      <c r="AD4516">
        <v>9</v>
      </c>
      <c r="AE4516">
        <v>0</v>
      </c>
      <c r="AF4516">
        <v>3</v>
      </c>
      <c r="AG4516">
        <v>1</v>
      </c>
      <c r="AH4516">
        <v>0</v>
      </c>
      <c r="AI4516" t="s">
        <v>1412</v>
      </c>
      <c r="AJ4516">
        <v>34.074460999999999</v>
      </c>
      <c r="AK4516" t="s">
        <v>1413</v>
      </c>
      <c r="AL4516">
        <v>-117.051258</v>
      </c>
      <c r="AM4516">
        <v>100</v>
      </c>
      <c r="AN4516">
        <v>4600</v>
      </c>
      <c r="AO4516" t="s">
        <v>118</v>
      </c>
      <c r="AP4516">
        <v>-108</v>
      </c>
      <c r="AQ4516">
        <v>11</v>
      </c>
      <c r="AR4516">
        <v>-1984</v>
      </c>
      <c r="AZ4516">
        <v>1200</v>
      </c>
      <c r="BA4516">
        <v>1</v>
      </c>
      <c r="BB4516" t="str">
        <f t="shared" si="2526"/>
        <v xml:space="preserve">N9217B  </v>
      </c>
      <c r="BC4516">
        <v>1</v>
      </c>
      <c r="BE4516">
        <v>0</v>
      </c>
      <c r="BF4516">
        <v>0</v>
      </c>
      <c r="BG4516">
        <v>0</v>
      </c>
      <c r="BH4516">
        <v>4400</v>
      </c>
      <c r="BI4516">
        <v>1</v>
      </c>
      <c r="BJ4516">
        <v>0</v>
      </c>
      <c r="BK4516">
        <v>0</v>
      </c>
      <c r="BL4516">
        <v>0</v>
      </c>
      <c r="BO4516">
        <v>0</v>
      </c>
      <c r="BP4516">
        <v>0</v>
      </c>
      <c r="BW4516" t="str">
        <f t="shared" si="2546"/>
        <v>15:00:20.716</v>
      </c>
      <c r="CJ4516">
        <v>0</v>
      </c>
      <c r="CK4516">
        <v>2</v>
      </c>
      <c r="CL4516">
        <v>0</v>
      </c>
      <c r="CM4516">
        <v>2</v>
      </c>
      <c r="CN4516">
        <v>0</v>
      </c>
      <c r="CO4516">
        <v>4</v>
      </c>
      <c r="CP4516" t="s">
        <v>119</v>
      </c>
      <c r="CQ4516">
        <v>285</v>
      </c>
      <c r="CR4516">
        <v>0</v>
      </c>
      <c r="CW4516">
        <v>8895080</v>
      </c>
      <c r="CY4516">
        <v>0</v>
      </c>
      <c r="CZ4516">
        <v>0</v>
      </c>
      <c r="DA4516">
        <v>1</v>
      </c>
      <c r="DB4516">
        <v>0</v>
      </c>
      <c r="DC4516">
        <v>0</v>
      </c>
      <c r="DD4516">
        <v>0</v>
      </c>
      <c r="DE4516">
        <v>0</v>
      </c>
      <c r="DF4516">
        <v>0</v>
      </c>
      <c r="DG4516">
        <v>0</v>
      </c>
      <c r="DH4516">
        <v>0</v>
      </c>
      <c r="DI4516">
        <v>0</v>
      </c>
    </row>
    <row r="4517" spans="1:113" x14ac:dyDescent="0.25">
      <c r="A4517" t="str">
        <f t="shared" si="2543"/>
        <v>06/05/2020 15:00:15.066</v>
      </c>
      <c r="C4517" t="str">
        <f t="shared" si="2544"/>
        <v>FFDFD3C0</v>
      </c>
      <c r="D4517" t="s">
        <v>134</v>
      </c>
      <c r="E4517">
        <v>7</v>
      </c>
      <c r="F4517">
        <v>2007</v>
      </c>
      <c r="G4517" t="s">
        <v>135</v>
      </c>
      <c r="J4517" t="s">
        <v>136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 t="shared" si="2545"/>
        <v>15:00:20.711</v>
      </c>
      <c r="T4517" t="str">
        <f>"15:00:20.311"</f>
        <v>15:00:20.311</v>
      </c>
      <c r="U4517" t="str">
        <f t="shared" si="2522"/>
        <v>ACC530</v>
      </c>
      <c r="V4517">
        <v>0</v>
      </c>
      <c r="W4517">
        <v>0</v>
      </c>
      <c r="X4517">
        <v>1</v>
      </c>
      <c r="Z4517">
        <v>0</v>
      </c>
      <c r="AA4517">
        <v>9</v>
      </c>
      <c r="AB4517">
        <v>3</v>
      </c>
      <c r="AC4517">
        <v>0</v>
      </c>
      <c r="AD4517">
        <v>9</v>
      </c>
      <c r="AE4517">
        <v>0</v>
      </c>
      <c r="AF4517">
        <v>3</v>
      </c>
      <c r="AG4517">
        <v>1</v>
      </c>
      <c r="AH4517">
        <v>0</v>
      </c>
      <c r="AI4517" t="s">
        <v>1412</v>
      </c>
      <c r="AJ4517">
        <v>34.074460999999999</v>
      </c>
      <c r="AK4517" t="s">
        <v>1413</v>
      </c>
      <c r="AL4517">
        <v>-117.051258</v>
      </c>
      <c r="AM4517">
        <v>100</v>
      </c>
      <c r="AN4517">
        <v>4600</v>
      </c>
      <c r="AO4517" t="s">
        <v>118</v>
      </c>
      <c r="AP4517">
        <v>-108</v>
      </c>
      <c r="AQ4517">
        <v>11</v>
      </c>
      <c r="AR4517">
        <v>-2048</v>
      </c>
      <c r="AZ4517">
        <v>1200</v>
      </c>
      <c r="BA4517">
        <v>1</v>
      </c>
      <c r="BB4517" t="str">
        <f t="shared" si="2526"/>
        <v xml:space="preserve">N9217B  </v>
      </c>
      <c r="BC4517">
        <v>1</v>
      </c>
      <c r="BE4517">
        <v>0</v>
      </c>
      <c r="BF4517">
        <v>0</v>
      </c>
      <c r="BG4517">
        <v>0</v>
      </c>
      <c r="BH4517">
        <v>4375</v>
      </c>
      <c r="BI4517">
        <v>1</v>
      </c>
      <c r="BJ4517">
        <v>0</v>
      </c>
      <c r="BK4517">
        <v>0</v>
      </c>
      <c r="BL4517">
        <v>0</v>
      </c>
      <c r="BO4517">
        <v>0</v>
      </c>
      <c r="BP4517">
        <v>0</v>
      </c>
      <c r="BW4517" t="str">
        <f t="shared" si="2546"/>
        <v>15:00:20.716</v>
      </c>
      <c r="CJ4517">
        <v>0</v>
      </c>
      <c r="CK4517">
        <v>2</v>
      </c>
      <c r="CL4517">
        <v>0</v>
      </c>
      <c r="CM4517">
        <v>2</v>
      </c>
      <c r="CN4517">
        <v>0</v>
      </c>
      <c r="CO4517">
        <v>5</v>
      </c>
      <c r="CP4517" t="s">
        <v>119</v>
      </c>
      <c r="CQ4517">
        <v>298</v>
      </c>
      <c r="CR4517">
        <v>0</v>
      </c>
      <c r="CW4517">
        <v>10481671</v>
      </c>
      <c r="CY4517">
        <v>0</v>
      </c>
      <c r="CZ4517">
        <v>0</v>
      </c>
      <c r="DA4517">
        <v>1</v>
      </c>
      <c r="DB4517">
        <v>0</v>
      </c>
      <c r="DC4517">
        <v>0</v>
      </c>
      <c r="DD4517">
        <v>0</v>
      </c>
      <c r="DE4517">
        <v>0</v>
      </c>
      <c r="DF4517">
        <v>0</v>
      </c>
      <c r="DG4517">
        <v>0</v>
      </c>
      <c r="DH4517">
        <v>0</v>
      </c>
      <c r="DI4517">
        <v>0</v>
      </c>
    </row>
    <row r="4518" spans="1:113" x14ac:dyDescent="0.25">
      <c r="A4518" t="str">
        <f t="shared" si="2543"/>
        <v>06/05/2020 15:00:15.066</v>
      </c>
      <c r="C4518" t="str">
        <f t="shared" si="2544"/>
        <v>FFDFD3C0</v>
      </c>
      <c r="D4518" t="s">
        <v>113</v>
      </c>
      <c r="E4518">
        <v>3</v>
      </c>
      <c r="H4518">
        <v>166</v>
      </c>
      <c r="I4518" t="s">
        <v>114</v>
      </c>
      <c r="J4518" t="s">
        <v>115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 t="shared" si="2545"/>
        <v>15:00:20.711</v>
      </c>
      <c r="T4518" t="str">
        <f>"15:00:20.311"</f>
        <v>15:00:20.311</v>
      </c>
      <c r="U4518" t="str">
        <f t="shared" si="2522"/>
        <v>ACC530</v>
      </c>
      <c r="V4518">
        <v>0</v>
      </c>
      <c r="W4518">
        <v>0</v>
      </c>
      <c r="X4518">
        <v>1</v>
      </c>
      <c r="Z4518">
        <v>0</v>
      </c>
      <c r="AA4518">
        <v>9</v>
      </c>
      <c r="AB4518">
        <v>3</v>
      </c>
      <c r="AC4518">
        <v>0</v>
      </c>
      <c r="AD4518">
        <v>9</v>
      </c>
      <c r="AE4518">
        <v>0</v>
      </c>
      <c r="AF4518">
        <v>3</v>
      </c>
      <c r="AG4518">
        <v>1</v>
      </c>
      <c r="AH4518">
        <v>0</v>
      </c>
      <c r="AI4518" t="s">
        <v>1412</v>
      </c>
      <c r="AJ4518">
        <v>34.074460999999999</v>
      </c>
      <c r="AK4518" t="s">
        <v>1413</v>
      </c>
      <c r="AL4518">
        <v>-117.051258</v>
      </c>
      <c r="AM4518">
        <v>100</v>
      </c>
      <c r="AN4518">
        <v>4600</v>
      </c>
      <c r="AO4518" t="s">
        <v>118</v>
      </c>
      <c r="AP4518">
        <v>-108</v>
      </c>
      <c r="AQ4518">
        <v>11</v>
      </c>
      <c r="AR4518">
        <v>-2048</v>
      </c>
      <c r="AZ4518">
        <v>1200</v>
      </c>
      <c r="BA4518">
        <v>1</v>
      </c>
      <c r="BB4518" t="str">
        <f t="shared" si="2526"/>
        <v xml:space="preserve">N9217B  </v>
      </c>
      <c r="BC4518">
        <v>1</v>
      </c>
      <c r="BE4518">
        <v>0</v>
      </c>
      <c r="BF4518">
        <v>0</v>
      </c>
      <c r="BG4518">
        <v>0</v>
      </c>
      <c r="BH4518">
        <v>4375</v>
      </c>
      <c r="BI4518">
        <v>1</v>
      </c>
      <c r="BJ4518">
        <v>0</v>
      </c>
      <c r="BK4518">
        <v>0</v>
      </c>
      <c r="BL4518">
        <v>0</v>
      </c>
      <c r="BO4518">
        <v>0</v>
      </c>
      <c r="BP4518">
        <v>0</v>
      </c>
      <c r="BW4518" t="str">
        <f t="shared" si="2546"/>
        <v>15:00:20.716</v>
      </c>
      <c r="CJ4518">
        <v>0</v>
      </c>
      <c r="CK4518">
        <v>2</v>
      </c>
      <c r="CL4518">
        <v>0</v>
      </c>
      <c r="CM4518">
        <v>2</v>
      </c>
      <c r="CN4518">
        <v>0</v>
      </c>
      <c r="CO4518">
        <v>5</v>
      </c>
      <c r="CP4518" t="s">
        <v>119</v>
      </c>
      <c r="CQ4518">
        <v>298</v>
      </c>
      <c r="CR4518">
        <v>0</v>
      </c>
      <c r="CW4518">
        <v>10481671</v>
      </c>
      <c r="CY4518">
        <v>0</v>
      </c>
      <c r="CZ4518">
        <v>0</v>
      </c>
      <c r="DA4518">
        <v>1</v>
      </c>
      <c r="DB4518">
        <v>0</v>
      </c>
      <c r="DC4518">
        <v>0</v>
      </c>
      <c r="DD4518">
        <v>0</v>
      </c>
      <c r="DE4518">
        <v>0</v>
      </c>
      <c r="DF4518">
        <v>0</v>
      </c>
      <c r="DG4518">
        <v>0</v>
      </c>
      <c r="DH4518">
        <v>0</v>
      </c>
      <c r="DI4518">
        <v>0</v>
      </c>
    </row>
    <row r="4519" spans="1:113" x14ac:dyDescent="0.25">
      <c r="A4519" t="str">
        <f t="shared" si="2543"/>
        <v>06/05/2020 15:00:15.066</v>
      </c>
      <c r="C4519" t="str">
        <f t="shared" si="2544"/>
        <v>FFDFD3C0</v>
      </c>
      <c r="D4519" t="s">
        <v>148</v>
      </c>
      <c r="E4519">
        <v>11</v>
      </c>
      <c r="H4519">
        <v>53</v>
      </c>
      <c r="I4519" t="s">
        <v>364</v>
      </c>
      <c r="J4519" t="s">
        <v>150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 t="shared" si="2545"/>
        <v>15:00:20.711</v>
      </c>
      <c r="T4519" t="str">
        <f>"15:00:20.311"</f>
        <v>15:00:20.311</v>
      </c>
      <c r="U4519" t="str">
        <f t="shared" si="2522"/>
        <v>ACC530</v>
      </c>
      <c r="V4519">
        <v>0</v>
      </c>
      <c r="W4519">
        <v>0</v>
      </c>
      <c r="X4519">
        <v>1</v>
      </c>
      <c r="Z4519">
        <v>0</v>
      </c>
      <c r="AA4519">
        <v>9</v>
      </c>
      <c r="AB4519">
        <v>3</v>
      </c>
      <c r="AC4519">
        <v>0</v>
      </c>
      <c r="AD4519">
        <v>9</v>
      </c>
      <c r="AE4519">
        <v>0</v>
      </c>
      <c r="AF4519">
        <v>3</v>
      </c>
      <c r="AG4519">
        <v>1</v>
      </c>
      <c r="AH4519">
        <v>0</v>
      </c>
      <c r="AI4519" t="s">
        <v>1412</v>
      </c>
      <c r="AJ4519">
        <v>34.074460999999999</v>
      </c>
      <c r="AK4519" t="s">
        <v>1413</v>
      </c>
      <c r="AL4519">
        <v>-117.051258</v>
      </c>
      <c r="AM4519">
        <v>100</v>
      </c>
      <c r="AN4519">
        <v>4600</v>
      </c>
      <c r="AO4519" t="s">
        <v>118</v>
      </c>
      <c r="AP4519">
        <v>-108</v>
      </c>
      <c r="AQ4519">
        <v>11</v>
      </c>
      <c r="AR4519">
        <v>-2048</v>
      </c>
      <c r="AZ4519">
        <v>1200</v>
      </c>
      <c r="BA4519">
        <v>1</v>
      </c>
      <c r="BB4519" t="str">
        <f t="shared" si="2526"/>
        <v xml:space="preserve">N9217B  </v>
      </c>
      <c r="BC4519">
        <v>1</v>
      </c>
      <c r="BE4519">
        <v>0</v>
      </c>
      <c r="BF4519">
        <v>0</v>
      </c>
      <c r="BG4519">
        <v>0</v>
      </c>
      <c r="BH4519">
        <v>4375</v>
      </c>
      <c r="BI4519">
        <v>1</v>
      </c>
      <c r="BJ4519">
        <v>0</v>
      </c>
      <c r="BK4519">
        <v>0</v>
      </c>
      <c r="BL4519">
        <v>0</v>
      </c>
      <c r="BO4519">
        <v>0</v>
      </c>
      <c r="BP4519">
        <v>0</v>
      </c>
      <c r="BW4519" t="str">
        <f t="shared" si="2546"/>
        <v>15:00:20.716</v>
      </c>
      <c r="CJ4519">
        <v>0</v>
      </c>
      <c r="CK4519">
        <v>2</v>
      </c>
      <c r="CL4519">
        <v>0</v>
      </c>
      <c r="CM4519">
        <v>2</v>
      </c>
      <c r="CN4519">
        <v>0</v>
      </c>
      <c r="CO4519">
        <v>5</v>
      </c>
      <c r="CP4519" t="s">
        <v>119</v>
      </c>
      <c r="CQ4519">
        <v>298</v>
      </c>
      <c r="CR4519">
        <v>0</v>
      </c>
      <c r="CW4519">
        <v>10481671</v>
      </c>
      <c r="CY4519">
        <v>0</v>
      </c>
      <c r="CZ4519">
        <v>0</v>
      </c>
      <c r="DA4519">
        <v>1</v>
      </c>
      <c r="DB4519">
        <v>0</v>
      </c>
      <c r="DC4519">
        <v>0</v>
      </c>
      <c r="DD4519">
        <v>0</v>
      </c>
      <c r="DE4519">
        <v>0</v>
      </c>
      <c r="DF4519">
        <v>0</v>
      </c>
      <c r="DG4519">
        <v>0</v>
      </c>
      <c r="DH4519">
        <v>0</v>
      </c>
      <c r="DI4519">
        <v>0</v>
      </c>
    </row>
    <row r="4520" spans="1:113" x14ac:dyDescent="0.25">
      <c r="A4520" t="str">
        <f t="shared" si="2543"/>
        <v>06/05/2020 15:00:15.066</v>
      </c>
      <c r="C4520" t="str">
        <f t="shared" si="2544"/>
        <v>FFDFD3C0</v>
      </c>
      <c r="D4520" t="s">
        <v>151</v>
      </c>
      <c r="E4520">
        <v>8</v>
      </c>
      <c r="H4520">
        <v>225</v>
      </c>
      <c r="I4520" t="s">
        <v>353</v>
      </c>
      <c r="J4520" t="s">
        <v>150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 t="shared" si="2545"/>
        <v>15:00:20.711</v>
      </c>
      <c r="T4520" t="str">
        <f>"15:00:20.311"</f>
        <v>15:00:20.311</v>
      </c>
      <c r="U4520" t="str">
        <f t="shared" si="2522"/>
        <v>ACC530</v>
      </c>
      <c r="V4520">
        <v>0</v>
      </c>
      <c r="W4520">
        <v>0</v>
      </c>
      <c r="X4520">
        <v>1</v>
      </c>
      <c r="Z4520">
        <v>0</v>
      </c>
      <c r="AA4520">
        <v>9</v>
      </c>
      <c r="AB4520">
        <v>3</v>
      </c>
      <c r="AC4520">
        <v>0</v>
      </c>
      <c r="AD4520">
        <v>9</v>
      </c>
      <c r="AE4520">
        <v>0</v>
      </c>
      <c r="AF4520">
        <v>3</v>
      </c>
      <c r="AG4520">
        <v>1</v>
      </c>
      <c r="AH4520">
        <v>0</v>
      </c>
      <c r="AI4520" t="s">
        <v>1412</v>
      </c>
      <c r="AJ4520">
        <v>34.074460999999999</v>
      </c>
      <c r="AK4520" t="s">
        <v>1413</v>
      </c>
      <c r="AL4520">
        <v>-117.051258</v>
      </c>
      <c r="AM4520">
        <v>100</v>
      </c>
      <c r="AN4520">
        <v>4600</v>
      </c>
      <c r="AO4520" t="s">
        <v>118</v>
      </c>
      <c r="AP4520">
        <v>-108</v>
      </c>
      <c r="AQ4520">
        <v>11</v>
      </c>
      <c r="AR4520">
        <v>-2048</v>
      </c>
      <c r="AZ4520">
        <v>1200</v>
      </c>
      <c r="BA4520">
        <v>1</v>
      </c>
      <c r="BB4520" t="str">
        <f t="shared" si="2526"/>
        <v xml:space="preserve">N9217B  </v>
      </c>
      <c r="BC4520">
        <v>1</v>
      </c>
      <c r="BE4520">
        <v>0</v>
      </c>
      <c r="BF4520">
        <v>0</v>
      </c>
      <c r="BG4520">
        <v>0</v>
      </c>
      <c r="BH4520">
        <v>4375</v>
      </c>
      <c r="BI4520">
        <v>1</v>
      </c>
      <c r="BJ4520">
        <v>0</v>
      </c>
      <c r="BK4520">
        <v>0</v>
      </c>
      <c r="BL4520">
        <v>0</v>
      </c>
      <c r="BO4520">
        <v>0</v>
      </c>
      <c r="BP4520">
        <v>0</v>
      </c>
      <c r="BW4520" t="str">
        <f t="shared" si="2546"/>
        <v>15:00:20.716</v>
      </c>
      <c r="CJ4520">
        <v>0</v>
      </c>
      <c r="CK4520">
        <v>2</v>
      </c>
      <c r="CL4520">
        <v>0</v>
      </c>
      <c r="CM4520">
        <v>2</v>
      </c>
      <c r="CN4520">
        <v>0</v>
      </c>
      <c r="CO4520">
        <v>5</v>
      </c>
      <c r="CP4520" t="s">
        <v>119</v>
      </c>
      <c r="CQ4520">
        <v>298</v>
      </c>
      <c r="CR4520">
        <v>0</v>
      </c>
      <c r="CW4520">
        <v>10481671</v>
      </c>
      <c r="CY4520">
        <v>0</v>
      </c>
      <c r="CZ4520">
        <v>0</v>
      </c>
      <c r="DA4520">
        <v>1</v>
      </c>
      <c r="DB4520">
        <v>0</v>
      </c>
      <c r="DC4520">
        <v>0</v>
      </c>
      <c r="DD4520">
        <v>0</v>
      </c>
      <c r="DE4520">
        <v>0</v>
      </c>
      <c r="DF4520">
        <v>0</v>
      </c>
      <c r="DG4520">
        <v>0</v>
      </c>
      <c r="DH4520">
        <v>0</v>
      </c>
      <c r="DI4520">
        <v>0</v>
      </c>
    </row>
    <row r="4521" spans="1:113" x14ac:dyDescent="0.25">
      <c r="A4521" t="str">
        <f t="shared" si="2543"/>
        <v>06/05/2020 15:00:15.066</v>
      </c>
      <c r="C4521" t="str">
        <f t="shared" si="2544"/>
        <v>FFDFD3C0</v>
      </c>
      <c r="D4521" t="s">
        <v>141</v>
      </c>
      <c r="E4521">
        <v>20</v>
      </c>
      <c r="F4521">
        <v>1020</v>
      </c>
      <c r="G4521" t="s">
        <v>114</v>
      </c>
      <c r="J4521" t="s">
        <v>142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 t="shared" si="2545"/>
        <v>15:00:20.711</v>
      </c>
      <c r="T4521" t="str">
        <f>"15:00:20.311"</f>
        <v>15:00:20.311</v>
      </c>
      <c r="U4521" t="str">
        <f t="shared" si="2522"/>
        <v>ACC530</v>
      </c>
      <c r="V4521">
        <v>0</v>
      </c>
      <c r="W4521">
        <v>0</v>
      </c>
      <c r="X4521">
        <v>1</v>
      </c>
      <c r="Z4521">
        <v>0</v>
      </c>
      <c r="AA4521">
        <v>9</v>
      </c>
      <c r="AB4521">
        <v>3</v>
      </c>
      <c r="AC4521">
        <v>0</v>
      </c>
      <c r="AD4521">
        <v>9</v>
      </c>
      <c r="AE4521">
        <v>0</v>
      </c>
      <c r="AF4521">
        <v>3</v>
      </c>
      <c r="AG4521">
        <v>1</v>
      </c>
      <c r="AH4521">
        <v>0</v>
      </c>
      <c r="AI4521" t="s">
        <v>1412</v>
      </c>
      <c r="AJ4521">
        <v>34.074460999999999</v>
      </c>
      <c r="AK4521" t="s">
        <v>1413</v>
      </c>
      <c r="AL4521">
        <v>-117.051258</v>
      </c>
      <c r="AM4521">
        <v>100</v>
      </c>
      <c r="AN4521">
        <v>4600</v>
      </c>
      <c r="AO4521" t="s">
        <v>118</v>
      </c>
      <c r="AP4521">
        <v>-108</v>
      </c>
      <c r="AQ4521">
        <v>11</v>
      </c>
      <c r="AR4521">
        <v>-2048</v>
      </c>
      <c r="AZ4521">
        <v>1200</v>
      </c>
      <c r="BA4521">
        <v>1</v>
      </c>
      <c r="BB4521" t="str">
        <f t="shared" si="2526"/>
        <v xml:space="preserve">N9217B  </v>
      </c>
      <c r="BC4521">
        <v>1</v>
      </c>
      <c r="BE4521">
        <v>0</v>
      </c>
      <c r="BF4521">
        <v>0</v>
      </c>
      <c r="BG4521">
        <v>0</v>
      </c>
      <c r="BH4521">
        <v>4375</v>
      </c>
      <c r="BI4521">
        <v>1</v>
      </c>
      <c r="BJ4521">
        <v>0</v>
      </c>
      <c r="BK4521">
        <v>0</v>
      </c>
      <c r="BL4521">
        <v>0</v>
      </c>
      <c r="BO4521">
        <v>0</v>
      </c>
      <c r="BP4521">
        <v>0</v>
      </c>
      <c r="BW4521" t="str">
        <f t="shared" si="2546"/>
        <v>15:00:20.716</v>
      </c>
      <c r="CJ4521">
        <v>0</v>
      </c>
      <c r="CK4521">
        <v>2</v>
      </c>
      <c r="CL4521">
        <v>0</v>
      </c>
      <c r="CM4521">
        <v>2</v>
      </c>
      <c r="CN4521">
        <v>0</v>
      </c>
      <c r="CO4521">
        <v>5</v>
      </c>
      <c r="CP4521" t="s">
        <v>119</v>
      </c>
      <c r="CQ4521">
        <v>298</v>
      </c>
      <c r="CR4521">
        <v>0</v>
      </c>
      <c r="CW4521">
        <v>10481671</v>
      </c>
      <c r="CY4521">
        <v>0</v>
      </c>
      <c r="CZ4521">
        <v>0</v>
      </c>
      <c r="DA4521">
        <v>1</v>
      </c>
      <c r="DB4521">
        <v>0</v>
      </c>
      <c r="DC4521">
        <v>0</v>
      </c>
      <c r="DD4521">
        <v>0</v>
      </c>
      <c r="DE4521">
        <v>0</v>
      </c>
      <c r="DF4521">
        <v>0</v>
      </c>
      <c r="DG4521">
        <v>0</v>
      </c>
      <c r="DH4521">
        <v>0</v>
      </c>
      <c r="DI4521">
        <v>0</v>
      </c>
    </row>
    <row r="4522" spans="1:113" x14ac:dyDescent="0.25">
      <c r="A4522" t="str">
        <f t="shared" ref="A4522:A4527" si="2547">"06/05/2020 15:00:18.477"</f>
        <v>06/05/2020 15:00:18.477</v>
      </c>
      <c r="C4522" t="str">
        <f t="shared" si="2544"/>
        <v>FFDFD3C0</v>
      </c>
      <c r="D4522" t="s">
        <v>141</v>
      </c>
      <c r="E4522">
        <v>20</v>
      </c>
      <c r="F4522">
        <v>1020</v>
      </c>
      <c r="G4522" t="s">
        <v>114</v>
      </c>
      <c r="J4522" t="s">
        <v>142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 t="shared" ref="S4522:S4527" si="2548">"15:00:24.117"</f>
        <v>15:00:24.117</v>
      </c>
      <c r="T4522" t="str">
        <f t="shared" ref="T4522:T4527" si="2549">"15:00:23.917"</f>
        <v>15:00:23.917</v>
      </c>
      <c r="U4522" t="str">
        <f t="shared" si="2522"/>
        <v>ACC530</v>
      </c>
      <c r="V4522">
        <v>0</v>
      </c>
      <c r="W4522">
        <v>0</v>
      </c>
      <c r="X4522">
        <v>1</v>
      </c>
      <c r="Z4522">
        <v>0</v>
      </c>
      <c r="AA4522">
        <v>9</v>
      </c>
      <c r="AB4522">
        <v>3</v>
      </c>
      <c r="AC4522">
        <v>0</v>
      </c>
      <c r="AD4522">
        <v>9</v>
      </c>
      <c r="AE4522">
        <v>0</v>
      </c>
      <c r="AF4522">
        <v>3</v>
      </c>
      <c r="AG4522">
        <v>1</v>
      </c>
      <c r="AH4522">
        <v>0</v>
      </c>
      <c r="AI4522" t="s">
        <v>1414</v>
      </c>
      <c r="AJ4522">
        <v>34.074547000000003</v>
      </c>
      <c r="AK4522" t="s">
        <v>1415</v>
      </c>
      <c r="AL4522">
        <v>-117.053382</v>
      </c>
      <c r="AM4522">
        <v>100</v>
      </c>
      <c r="AN4522">
        <v>4400</v>
      </c>
      <c r="AO4522" t="s">
        <v>118</v>
      </c>
      <c r="AP4522">
        <v>-113</v>
      </c>
      <c r="AQ4522">
        <v>2</v>
      </c>
      <c r="AR4522">
        <v>-2304</v>
      </c>
      <c r="AZ4522">
        <v>1200</v>
      </c>
      <c r="BA4522">
        <v>1</v>
      </c>
      <c r="BB4522" t="str">
        <f t="shared" si="2526"/>
        <v xml:space="preserve">N9217B  </v>
      </c>
      <c r="BC4522">
        <v>1</v>
      </c>
      <c r="BE4522">
        <v>0</v>
      </c>
      <c r="BF4522">
        <v>0</v>
      </c>
      <c r="BG4522">
        <v>0</v>
      </c>
      <c r="BH4522">
        <v>4250</v>
      </c>
      <c r="BI4522">
        <v>1</v>
      </c>
      <c r="BJ4522">
        <v>0</v>
      </c>
      <c r="BK4522">
        <v>0</v>
      </c>
      <c r="BL4522">
        <v>0</v>
      </c>
      <c r="BO4522">
        <v>0</v>
      </c>
      <c r="BP4522">
        <v>0</v>
      </c>
      <c r="BW4522" t="str">
        <f t="shared" ref="BW4522:BW4527" si="2550">"15:00:24.121"</f>
        <v>15:00:24.121</v>
      </c>
      <c r="CJ4522">
        <v>0</v>
      </c>
      <c r="CK4522">
        <v>2</v>
      </c>
      <c r="CL4522">
        <v>0</v>
      </c>
      <c r="CM4522">
        <v>2</v>
      </c>
      <c r="CN4522">
        <v>0</v>
      </c>
      <c r="CO4522">
        <v>4</v>
      </c>
      <c r="CP4522" t="s">
        <v>119</v>
      </c>
      <c r="CQ4522">
        <v>298</v>
      </c>
      <c r="CR4522">
        <v>0</v>
      </c>
      <c r="CW4522">
        <v>10482128</v>
      </c>
      <c r="CY4522">
        <v>0</v>
      </c>
      <c r="CZ4522">
        <v>0</v>
      </c>
      <c r="DA4522">
        <v>0</v>
      </c>
      <c r="DB4522">
        <v>0</v>
      </c>
      <c r="DC4522">
        <v>0</v>
      </c>
      <c r="DD4522">
        <v>0</v>
      </c>
      <c r="DE4522">
        <v>0</v>
      </c>
      <c r="DF4522">
        <v>0</v>
      </c>
      <c r="DG4522">
        <v>0</v>
      </c>
      <c r="DH4522">
        <v>0</v>
      </c>
      <c r="DI4522">
        <v>0</v>
      </c>
    </row>
    <row r="4523" spans="1:113" x14ac:dyDescent="0.25">
      <c r="A4523" t="str">
        <f t="shared" si="2547"/>
        <v>06/05/2020 15:00:18.477</v>
      </c>
      <c r="C4523" t="str">
        <f t="shared" si="2544"/>
        <v>FFDFD3C0</v>
      </c>
      <c r="D4523" t="s">
        <v>134</v>
      </c>
      <c r="E4523">
        <v>7</v>
      </c>
      <c r="F4523">
        <v>2007</v>
      </c>
      <c r="G4523" t="s">
        <v>135</v>
      </c>
      <c r="J4523" t="s">
        <v>136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 t="shared" si="2548"/>
        <v>15:00:24.117</v>
      </c>
      <c r="T4523" t="str">
        <f t="shared" si="2549"/>
        <v>15:00:23.917</v>
      </c>
      <c r="U4523" t="str">
        <f t="shared" si="2522"/>
        <v>ACC530</v>
      </c>
      <c r="V4523">
        <v>0</v>
      </c>
      <c r="W4523">
        <v>0</v>
      </c>
      <c r="X4523">
        <v>1</v>
      </c>
      <c r="Z4523">
        <v>0</v>
      </c>
      <c r="AA4523">
        <v>9</v>
      </c>
      <c r="AB4523">
        <v>3</v>
      </c>
      <c r="AC4523">
        <v>0</v>
      </c>
      <c r="AD4523">
        <v>9</v>
      </c>
      <c r="AE4523">
        <v>0</v>
      </c>
      <c r="AF4523">
        <v>3</v>
      </c>
      <c r="AG4523">
        <v>1</v>
      </c>
      <c r="AH4523">
        <v>0</v>
      </c>
      <c r="AI4523" t="s">
        <v>1414</v>
      </c>
      <c r="AJ4523">
        <v>34.074547000000003</v>
      </c>
      <c r="AK4523" t="s">
        <v>1415</v>
      </c>
      <c r="AL4523">
        <v>-117.053382</v>
      </c>
      <c r="AM4523">
        <v>100</v>
      </c>
      <c r="AN4523">
        <v>4400</v>
      </c>
      <c r="AO4523" t="s">
        <v>118</v>
      </c>
      <c r="AP4523">
        <v>-113</v>
      </c>
      <c r="AQ4523">
        <v>2</v>
      </c>
      <c r="AR4523">
        <v>-2304</v>
      </c>
      <c r="AZ4523">
        <v>1200</v>
      </c>
      <c r="BA4523">
        <v>1</v>
      </c>
      <c r="BB4523" t="str">
        <f t="shared" si="2526"/>
        <v xml:space="preserve">N9217B  </v>
      </c>
      <c r="BC4523">
        <v>1</v>
      </c>
      <c r="BE4523">
        <v>0</v>
      </c>
      <c r="BF4523">
        <v>0</v>
      </c>
      <c r="BG4523">
        <v>0</v>
      </c>
      <c r="BH4523">
        <v>4250</v>
      </c>
      <c r="BI4523">
        <v>1</v>
      </c>
      <c r="BJ4523">
        <v>0</v>
      </c>
      <c r="BK4523">
        <v>0</v>
      </c>
      <c r="BL4523">
        <v>0</v>
      </c>
      <c r="BO4523">
        <v>0</v>
      </c>
      <c r="BP4523">
        <v>0</v>
      </c>
      <c r="BW4523" t="str">
        <f t="shared" si="2550"/>
        <v>15:00:24.121</v>
      </c>
      <c r="CJ4523">
        <v>0</v>
      </c>
      <c r="CK4523">
        <v>2</v>
      </c>
      <c r="CL4523">
        <v>0</v>
      </c>
      <c r="CM4523">
        <v>2</v>
      </c>
      <c r="CN4523">
        <v>0</v>
      </c>
      <c r="CO4523">
        <v>4</v>
      </c>
      <c r="CP4523" t="s">
        <v>119</v>
      </c>
      <c r="CQ4523">
        <v>298</v>
      </c>
      <c r="CR4523">
        <v>0</v>
      </c>
      <c r="CW4523">
        <v>10482128</v>
      </c>
      <c r="CY4523">
        <v>0</v>
      </c>
      <c r="CZ4523">
        <v>0</v>
      </c>
      <c r="DA4523">
        <v>1</v>
      </c>
      <c r="DB4523">
        <v>0</v>
      </c>
      <c r="DC4523">
        <v>0</v>
      </c>
      <c r="DD4523">
        <v>0</v>
      </c>
      <c r="DE4523">
        <v>0</v>
      </c>
      <c r="DF4523">
        <v>0</v>
      </c>
      <c r="DG4523">
        <v>0</v>
      </c>
      <c r="DH4523">
        <v>0</v>
      </c>
      <c r="DI4523">
        <v>0</v>
      </c>
    </row>
    <row r="4524" spans="1:113" x14ac:dyDescent="0.25">
      <c r="A4524" t="str">
        <f t="shared" si="2547"/>
        <v>06/05/2020 15:00:18.477</v>
      </c>
      <c r="C4524" t="str">
        <f t="shared" si="2544"/>
        <v>FFDFD3C0</v>
      </c>
      <c r="D4524" t="s">
        <v>148</v>
      </c>
      <c r="E4524">
        <v>11</v>
      </c>
      <c r="H4524">
        <v>53</v>
      </c>
      <c r="I4524" t="s">
        <v>364</v>
      </c>
      <c r="J4524" t="s">
        <v>150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 t="shared" si="2548"/>
        <v>15:00:24.117</v>
      </c>
      <c r="T4524" t="str">
        <f t="shared" si="2549"/>
        <v>15:00:23.917</v>
      </c>
      <c r="U4524" t="str">
        <f t="shared" si="2522"/>
        <v>ACC530</v>
      </c>
      <c r="V4524">
        <v>0</v>
      </c>
      <c r="W4524">
        <v>0</v>
      </c>
      <c r="X4524">
        <v>1</v>
      </c>
      <c r="Z4524">
        <v>0</v>
      </c>
      <c r="AA4524">
        <v>9</v>
      </c>
      <c r="AB4524">
        <v>3</v>
      </c>
      <c r="AC4524">
        <v>0</v>
      </c>
      <c r="AD4524">
        <v>9</v>
      </c>
      <c r="AE4524">
        <v>0</v>
      </c>
      <c r="AF4524">
        <v>3</v>
      </c>
      <c r="AG4524">
        <v>1</v>
      </c>
      <c r="AH4524">
        <v>0</v>
      </c>
      <c r="AI4524" t="s">
        <v>1414</v>
      </c>
      <c r="AJ4524">
        <v>34.074547000000003</v>
      </c>
      <c r="AK4524" t="s">
        <v>1415</v>
      </c>
      <c r="AL4524">
        <v>-117.053382</v>
      </c>
      <c r="AM4524">
        <v>100</v>
      </c>
      <c r="AN4524">
        <v>4400</v>
      </c>
      <c r="AO4524" t="s">
        <v>118</v>
      </c>
      <c r="AP4524">
        <v>-113</v>
      </c>
      <c r="AQ4524">
        <v>2</v>
      </c>
      <c r="AR4524">
        <v>-2304</v>
      </c>
      <c r="AZ4524">
        <v>1200</v>
      </c>
      <c r="BA4524">
        <v>1</v>
      </c>
      <c r="BB4524" t="str">
        <f t="shared" si="2526"/>
        <v xml:space="preserve">N9217B  </v>
      </c>
      <c r="BC4524">
        <v>1</v>
      </c>
      <c r="BE4524">
        <v>0</v>
      </c>
      <c r="BF4524">
        <v>0</v>
      </c>
      <c r="BG4524">
        <v>0</v>
      </c>
      <c r="BH4524">
        <v>4250</v>
      </c>
      <c r="BI4524">
        <v>1</v>
      </c>
      <c r="BJ4524">
        <v>0</v>
      </c>
      <c r="BK4524">
        <v>0</v>
      </c>
      <c r="BL4524">
        <v>0</v>
      </c>
      <c r="BO4524">
        <v>0</v>
      </c>
      <c r="BP4524">
        <v>0</v>
      </c>
      <c r="BW4524" t="str">
        <f t="shared" si="2550"/>
        <v>15:00:24.121</v>
      </c>
      <c r="CJ4524">
        <v>0</v>
      </c>
      <c r="CK4524">
        <v>2</v>
      </c>
      <c r="CL4524">
        <v>0</v>
      </c>
      <c r="CM4524">
        <v>2</v>
      </c>
      <c r="CN4524">
        <v>0</v>
      </c>
      <c r="CO4524">
        <v>4</v>
      </c>
      <c r="CP4524" t="s">
        <v>119</v>
      </c>
      <c r="CQ4524">
        <v>298</v>
      </c>
      <c r="CR4524">
        <v>0</v>
      </c>
      <c r="CW4524">
        <v>10482128</v>
      </c>
      <c r="CY4524">
        <v>0</v>
      </c>
      <c r="CZ4524">
        <v>0</v>
      </c>
      <c r="DA4524">
        <v>1</v>
      </c>
      <c r="DB4524">
        <v>0</v>
      </c>
      <c r="DC4524">
        <v>0</v>
      </c>
      <c r="DD4524">
        <v>0</v>
      </c>
      <c r="DE4524">
        <v>0</v>
      </c>
      <c r="DF4524">
        <v>0</v>
      </c>
      <c r="DG4524">
        <v>0</v>
      </c>
      <c r="DH4524">
        <v>0</v>
      </c>
      <c r="DI4524">
        <v>0</v>
      </c>
    </row>
    <row r="4525" spans="1:113" x14ac:dyDescent="0.25">
      <c r="A4525" t="str">
        <f t="shared" si="2547"/>
        <v>06/05/2020 15:00:18.477</v>
      </c>
      <c r="C4525" t="str">
        <f t="shared" si="2544"/>
        <v>FFDFD3C0</v>
      </c>
      <c r="D4525" t="s">
        <v>151</v>
      </c>
      <c r="E4525">
        <v>8</v>
      </c>
      <c r="H4525">
        <v>225</v>
      </c>
      <c r="I4525" t="s">
        <v>353</v>
      </c>
      <c r="J4525" t="s">
        <v>150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 t="shared" si="2548"/>
        <v>15:00:24.117</v>
      </c>
      <c r="T4525" t="str">
        <f t="shared" si="2549"/>
        <v>15:00:23.917</v>
      </c>
      <c r="U4525" t="str">
        <f t="shared" si="2522"/>
        <v>ACC530</v>
      </c>
      <c r="V4525">
        <v>0</v>
      </c>
      <c r="W4525">
        <v>0</v>
      </c>
      <c r="X4525">
        <v>1</v>
      </c>
      <c r="Z4525">
        <v>0</v>
      </c>
      <c r="AA4525">
        <v>9</v>
      </c>
      <c r="AB4525">
        <v>3</v>
      </c>
      <c r="AC4525">
        <v>0</v>
      </c>
      <c r="AD4525">
        <v>9</v>
      </c>
      <c r="AE4525">
        <v>0</v>
      </c>
      <c r="AF4525">
        <v>3</v>
      </c>
      <c r="AG4525">
        <v>1</v>
      </c>
      <c r="AH4525">
        <v>0</v>
      </c>
      <c r="AI4525" t="s">
        <v>1414</v>
      </c>
      <c r="AJ4525">
        <v>34.074547000000003</v>
      </c>
      <c r="AK4525" t="s">
        <v>1415</v>
      </c>
      <c r="AL4525">
        <v>-117.053382</v>
      </c>
      <c r="AM4525">
        <v>100</v>
      </c>
      <c r="AN4525">
        <v>4400</v>
      </c>
      <c r="AO4525" t="s">
        <v>118</v>
      </c>
      <c r="AP4525">
        <v>-113</v>
      </c>
      <c r="AQ4525">
        <v>2</v>
      </c>
      <c r="AR4525">
        <v>-2304</v>
      </c>
      <c r="AZ4525">
        <v>1200</v>
      </c>
      <c r="BA4525">
        <v>1</v>
      </c>
      <c r="BB4525" t="str">
        <f t="shared" si="2526"/>
        <v xml:space="preserve">N9217B  </v>
      </c>
      <c r="BC4525">
        <v>1</v>
      </c>
      <c r="BE4525">
        <v>0</v>
      </c>
      <c r="BF4525">
        <v>0</v>
      </c>
      <c r="BG4525">
        <v>0</v>
      </c>
      <c r="BH4525">
        <v>4250</v>
      </c>
      <c r="BI4525">
        <v>1</v>
      </c>
      <c r="BJ4525">
        <v>0</v>
      </c>
      <c r="BK4525">
        <v>0</v>
      </c>
      <c r="BL4525">
        <v>0</v>
      </c>
      <c r="BO4525">
        <v>0</v>
      </c>
      <c r="BP4525">
        <v>0</v>
      </c>
      <c r="BW4525" t="str">
        <f t="shared" si="2550"/>
        <v>15:00:24.121</v>
      </c>
      <c r="CJ4525">
        <v>0</v>
      </c>
      <c r="CK4525">
        <v>2</v>
      </c>
      <c r="CL4525">
        <v>0</v>
      </c>
      <c r="CM4525">
        <v>2</v>
      </c>
      <c r="CN4525">
        <v>0</v>
      </c>
      <c r="CO4525">
        <v>4</v>
      </c>
      <c r="CP4525" t="s">
        <v>119</v>
      </c>
      <c r="CQ4525">
        <v>298</v>
      </c>
      <c r="CR4525">
        <v>0</v>
      </c>
      <c r="CW4525">
        <v>10482128</v>
      </c>
      <c r="CY4525">
        <v>0</v>
      </c>
      <c r="CZ4525">
        <v>0</v>
      </c>
      <c r="DA4525">
        <v>1</v>
      </c>
      <c r="DB4525">
        <v>0</v>
      </c>
      <c r="DC4525">
        <v>0</v>
      </c>
      <c r="DD4525">
        <v>0</v>
      </c>
      <c r="DE4525">
        <v>0</v>
      </c>
      <c r="DF4525">
        <v>0</v>
      </c>
      <c r="DG4525">
        <v>0</v>
      </c>
      <c r="DH4525">
        <v>0</v>
      </c>
      <c r="DI4525">
        <v>0</v>
      </c>
    </row>
    <row r="4526" spans="1:113" x14ac:dyDescent="0.25">
      <c r="A4526" t="str">
        <f t="shared" si="2547"/>
        <v>06/05/2020 15:00:18.477</v>
      </c>
      <c r="C4526" t="str">
        <f t="shared" si="2544"/>
        <v>FFDFD3C0</v>
      </c>
      <c r="D4526" t="s">
        <v>113</v>
      </c>
      <c r="E4526">
        <v>3</v>
      </c>
      <c r="H4526">
        <v>166</v>
      </c>
      <c r="I4526" t="s">
        <v>114</v>
      </c>
      <c r="J4526" t="s">
        <v>115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 t="shared" si="2548"/>
        <v>15:00:24.117</v>
      </c>
      <c r="T4526" t="str">
        <f t="shared" si="2549"/>
        <v>15:00:23.917</v>
      </c>
      <c r="U4526" t="str">
        <f t="shared" si="2522"/>
        <v>ACC530</v>
      </c>
      <c r="V4526">
        <v>0</v>
      </c>
      <c r="W4526">
        <v>0</v>
      </c>
      <c r="X4526">
        <v>1</v>
      </c>
      <c r="Z4526">
        <v>0</v>
      </c>
      <c r="AA4526">
        <v>9</v>
      </c>
      <c r="AB4526">
        <v>3</v>
      </c>
      <c r="AC4526">
        <v>0</v>
      </c>
      <c r="AD4526">
        <v>9</v>
      </c>
      <c r="AE4526">
        <v>0</v>
      </c>
      <c r="AF4526">
        <v>3</v>
      </c>
      <c r="AG4526">
        <v>1</v>
      </c>
      <c r="AH4526">
        <v>0</v>
      </c>
      <c r="AI4526" t="s">
        <v>1414</v>
      </c>
      <c r="AJ4526">
        <v>34.074547000000003</v>
      </c>
      <c r="AK4526" t="s">
        <v>1415</v>
      </c>
      <c r="AL4526">
        <v>-117.053382</v>
      </c>
      <c r="AM4526">
        <v>100</v>
      </c>
      <c r="AN4526">
        <v>4400</v>
      </c>
      <c r="AO4526" t="s">
        <v>118</v>
      </c>
      <c r="AP4526">
        <v>-113</v>
      </c>
      <c r="AQ4526">
        <v>2</v>
      </c>
      <c r="AR4526">
        <v>-2304</v>
      </c>
      <c r="AZ4526">
        <v>1200</v>
      </c>
      <c r="BA4526">
        <v>1</v>
      </c>
      <c r="BB4526" t="str">
        <f t="shared" si="2526"/>
        <v xml:space="preserve">N9217B  </v>
      </c>
      <c r="BC4526">
        <v>1</v>
      </c>
      <c r="BE4526">
        <v>0</v>
      </c>
      <c r="BF4526">
        <v>0</v>
      </c>
      <c r="BG4526">
        <v>0</v>
      </c>
      <c r="BH4526">
        <v>4250</v>
      </c>
      <c r="BI4526">
        <v>1</v>
      </c>
      <c r="BJ4526">
        <v>0</v>
      </c>
      <c r="BK4526">
        <v>0</v>
      </c>
      <c r="BL4526">
        <v>0</v>
      </c>
      <c r="BO4526">
        <v>0</v>
      </c>
      <c r="BP4526">
        <v>0</v>
      </c>
      <c r="BW4526" t="str">
        <f t="shared" si="2550"/>
        <v>15:00:24.121</v>
      </c>
      <c r="CJ4526">
        <v>0</v>
      </c>
      <c r="CK4526">
        <v>2</v>
      </c>
      <c r="CL4526">
        <v>0</v>
      </c>
      <c r="CM4526">
        <v>2</v>
      </c>
      <c r="CN4526">
        <v>0</v>
      </c>
      <c r="CO4526">
        <v>4</v>
      </c>
      <c r="CP4526" t="s">
        <v>119</v>
      </c>
      <c r="CQ4526">
        <v>298</v>
      </c>
      <c r="CR4526">
        <v>0</v>
      </c>
      <c r="CW4526">
        <v>10482128</v>
      </c>
      <c r="CY4526">
        <v>0</v>
      </c>
      <c r="CZ4526">
        <v>0</v>
      </c>
      <c r="DA4526">
        <v>1</v>
      </c>
      <c r="DB4526">
        <v>0</v>
      </c>
      <c r="DC4526">
        <v>0</v>
      </c>
      <c r="DD4526">
        <v>0</v>
      </c>
      <c r="DE4526">
        <v>0</v>
      </c>
      <c r="DF4526">
        <v>0</v>
      </c>
      <c r="DG4526">
        <v>0</v>
      </c>
      <c r="DH4526">
        <v>0</v>
      </c>
      <c r="DI4526">
        <v>0</v>
      </c>
    </row>
    <row r="4527" spans="1:113" x14ac:dyDescent="0.25">
      <c r="A4527" t="str">
        <f t="shared" si="2547"/>
        <v>06/05/2020 15:00:18.477</v>
      </c>
      <c r="C4527" t="str">
        <f t="shared" si="2544"/>
        <v>FFDFD3C0</v>
      </c>
      <c r="D4527" t="s">
        <v>148</v>
      </c>
      <c r="E4527">
        <v>8</v>
      </c>
      <c r="H4527">
        <v>50</v>
      </c>
      <c r="I4527" t="s">
        <v>149</v>
      </c>
      <c r="J4527" t="s">
        <v>150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 t="shared" si="2548"/>
        <v>15:00:24.117</v>
      </c>
      <c r="T4527" t="str">
        <f t="shared" si="2549"/>
        <v>15:00:23.917</v>
      </c>
      <c r="U4527" t="str">
        <f t="shared" si="2522"/>
        <v>ACC530</v>
      </c>
      <c r="V4527">
        <v>0</v>
      </c>
      <c r="W4527">
        <v>0</v>
      </c>
      <c r="X4527">
        <v>1</v>
      </c>
      <c r="Z4527">
        <v>0</v>
      </c>
      <c r="AA4527">
        <v>9</v>
      </c>
      <c r="AB4527">
        <v>3</v>
      </c>
      <c r="AC4527">
        <v>0</v>
      </c>
      <c r="AD4527">
        <v>9</v>
      </c>
      <c r="AE4527">
        <v>0</v>
      </c>
      <c r="AF4527">
        <v>3</v>
      </c>
      <c r="AG4527">
        <v>1</v>
      </c>
      <c r="AH4527">
        <v>0</v>
      </c>
      <c r="AI4527" t="s">
        <v>1414</v>
      </c>
      <c r="AJ4527">
        <v>34.074547000000003</v>
      </c>
      <c r="AK4527" t="s">
        <v>1415</v>
      </c>
      <c r="AL4527">
        <v>-117.053382</v>
      </c>
      <c r="AM4527">
        <v>100</v>
      </c>
      <c r="AN4527">
        <v>4400</v>
      </c>
      <c r="AO4527" t="s">
        <v>118</v>
      </c>
      <c r="AP4527">
        <v>-113</v>
      </c>
      <c r="AQ4527">
        <v>2</v>
      </c>
      <c r="AR4527">
        <v>-2304</v>
      </c>
      <c r="AZ4527">
        <v>1200</v>
      </c>
      <c r="BA4527">
        <v>1</v>
      </c>
      <c r="BB4527" t="str">
        <f t="shared" si="2526"/>
        <v xml:space="preserve">N9217B  </v>
      </c>
      <c r="BC4527">
        <v>1</v>
      </c>
      <c r="BE4527">
        <v>0</v>
      </c>
      <c r="BF4527">
        <v>0</v>
      </c>
      <c r="BG4527">
        <v>0</v>
      </c>
      <c r="BH4527">
        <v>4250</v>
      </c>
      <c r="BI4527">
        <v>1</v>
      </c>
      <c r="BJ4527">
        <v>0</v>
      </c>
      <c r="BK4527">
        <v>0</v>
      </c>
      <c r="BL4527">
        <v>0</v>
      </c>
      <c r="BO4527">
        <v>0</v>
      </c>
      <c r="BP4527">
        <v>0</v>
      </c>
      <c r="BW4527" t="str">
        <f t="shared" si="2550"/>
        <v>15:00:24.121</v>
      </c>
      <c r="CJ4527">
        <v>0</v>
      </c>
      <c r="CK4527">
        <v>2</v>
      </c>
      <c r="CL4527">
        <v>0</v>
      </c>
      <c r="CM4527">
        <v>2</v>
      </c>
      <c r="CN4527">
        <v>0</v>
      </c>
      <c r="CO4527">
        <v>4</v>
      </c>
      <c r="CP4527" t="s">
        <v>119</v>
      </c>
      <c r="CQ4527">
        <v>298</v>
      </c>
      <c r="CR4527">
        <v>0</v>
      </c>
      <c r="CW4527">
        <v>10482128</v>
      </c>
      <c r="CY4527">
        <v>0</v>
      </c>
      <c r="CZ4527">
        <v>0</v>
      </c>
      <c r="DA4527">
        <v>1</v>
      </c>
      <c r="DB4527">
        <v>0</v>
      </c>
      <c r="DC4527">
        <v>0</v>
      </c>
      <c r="DD4527">
        <v>0</v>
      </c>
      <c r="DE4527">
        <v>0</v>
      </c>
      <c r="DF4527">
        <v>0</v>
      </c>
      <c r="DG4527">
        <v>0</v>
      </c>
      <c r="DH4527">
        <v>0</v>
      </c>
      <c r="DI4527">
        <v>0</v>
      </c>
    </row>
    <row r="4528" spans="1:113" x14ac:dyDescent="0.25">
      <c r="A4528" t="str">
        <f t="shared" ref="A4528:A4533" si="2551">"06/05/2020 15:00:19.600"</f>
        <v>06/05/2020 15:00:19.600</v>
      </c>
      <c r="C4528" t="str">
        <f t="shared" si="2544"/>
        <v>FFDFD3C0</v>
      </c>
      <c r="D4528" t="s">
        <v>134</v>
      </c>
      <c r="E4528">
        <v>7</v>
      </c>
      <c r="F4528">
        <v>2007</v>
      </c>
      <c r="G4528" t="s">
        <v>135</v>
      </c>
      <c r="J4528" t="s">
        <v>136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 t="shared" ref="S4528:S4533" si="2552">"15:00:25.211"</f>
        <v>15:00:25.211</v>
      </c>
      <c r="T4528" t="str">
        <f t="shared" ref="T4528:T4533" si="2553">"15:00:24.911"</f>
        <v>15:00:24.911</v>
      </c>
      <c r="U4528" t="str">
        <f t="shared" si="2522"/>
        <v>ACC530</v>
      </c>
      <c r="V4528">
        <v>0</v>
      </c>
      <c r="W4528">
        <v>0</v>
      </c>
      <c r="X4528">
        <v>1</v>
      </c>
      <c r="Z4528">
        <v>0</v>
      </c>
      <c r="AA4528">
        <v>9</v>
      </c>
      <c r="AB4528">
        <v>3</v>
      </c>
      <c r="AC4528">
        <v>0</v>
      </c>
      <c r="AD4528">
        <v>9</v>
      </c>
      <c r="AE4528">
        <v>0</v>
      </c>
      <c r="AF4528">
        <v>3</v>
      </c>
      <c r="AG4528">
        <v>1</v>
      </c>
      <c r="AH4528">
        <v>0</v>
      </c>
      <c r="AI4528" t="s">
        <v>1416</v>
      </c>
      <c r="AJ4528">
        <v>34.074503999999997</v>
      </c>
      <c r="AK4528" t="s">
        <v>1417</v>
      </c>
      <c r="AL4528">
        <v>-117.054112</v>
      </c>
      <c r="AM4528">
        <v>100</v>
      </c>
      <c r="AN4528">
        <v>4400</v>
      </c>
      <c r="AO4528" t="s">
        <v>118</v>
      </c>
      <c r="AP4528">
        <v>-114</v>
      </c>
      <c r="AQ4528">
        <v>-1</v>
      </c>
      <c r="AR4528">
        <v>-2304</v>
      </c>
      <c r="AZ4528">
        <v>1200</v>
      </c>
      <c r="BA4528">
        <v>1</v>
      </c>
      <c r="BB4528" t="str">
        <f t="shared" si="2526"/>
        <v xml:space="preserve">N9217B  </v>
      </c>
      <c r="BC4528">
        <v>1</v>
      </c>
      <c r="BE4528">
        <v>0</v>
      </c>
      <c r="BF4528">
        <v>0</v>
      </c>
      <c r="BG4528">
        <v>0</v>
      </c>
      <c r="BH4528">
        <v>4200</v>
      </c>
      <c r="BI4528">
        <v>1</v>
      </c>
      <c r="BJ4528">
        <v>0</v>
      </c>
      <c r="BK4528">
        <v>0</v>
      </c>
      <c r="BL4528">
        <v>0</v>
      </c>
      <c r="BO4528">
        <v>0</v>
      </c>
      <c r="BP4528">
        <v>0</v>
      </c>
      <c r="BW4528" t="str">
        <f t="shared" ref="BW4528:BW4533" si="2554">"15:00:25.216"</f>
        <v>15:00:25.216</v>
      </c>
      <c r="CJ4528">
        <v>0</v>
      </c>
      <c r="CK4528">
        <v>2</v>
      </c>
      <c r="CL4528">
        <v>0</v>
      </c>
      <c r="CM4528">
        <v>2</v>
      </c>
      <c r="CN4528">
        <v>0</v>
      </c>
      <c r="CO4528">
        <v>5</v>
      </c>
      <c r="CP4528" t="s">
        <v>119</v>
      </c>
      <c r="CQ4528">
        <v>298</v>
      </c>
      <c r="CR4528">
        <v>0</v>
      </c>
      <c r="CW4528">
        <v>10482271</v>
      </c>
      <c r="CY4528">
        <v>0</v>
      </c>
      <c r="CZ4528">
        <v>0</v>
      </c>
      <c r="DA4528">
        <v>0</v>
      </c>
      <c r="DB4528">
        <v>0</v>
      </c>
      <c r="DC4528">
        <v>0</v>
      </c>
      <c r="DD4528">
        <v>0</v>
      </c>
      <c r="DE4528">
        <v>0</v>
      </c>
      <c r="DF4528">
        <v>0</v>
      </c>
      <c r="DG4528">
        <v>0</v>
      </c>
      <c r="DH4528">
        <v>0</v>
      </c>
      <c r="DI4528">
        <v>0</v>
      </c>
    </row>
    <row r="4529" spans="1:113" x14ac:dyDescent="0.25">
      <c r="A4529" t="str">
        <f t="shared" si="2551"/>
        <v>06/05/2020 15:00:19.600</v>
      </c>
      <c r="C4529" t="str">
        <f t="shared" si="2544"/>
        <v>FFDFD3C0</v>
      </c>
      <c r="D4529" t="s">
        <v>148</v>
      </c>
      <c r="E4529">
        <v>11</v>
      </c>
      <c r="H4529">
        <v>53</v>
      </c>
      <c r="I4529" t="s">
        <v>364</v>
      </c>
      <c r="J4529" t="s">
        <v>150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 t="shared" si="2552"/>
        <v>15:00:25.211</v>
      </c>
      <c r="T4529" t="str">
        <f t="shared" si="2553"/>
        <v>15:00:24.911</v>
      </c>
      <c r="U4529" t="str">
        <f t="shared" si="2522"/>
        <v>ACC530</v>
      </c>
      <c r="V4529">
        <v>0</v>
      </c>
      <c r="W4529">
        <v>0</v>
      </c>
      <c r="X4529">
        <v>1</v>
      </c>
      <c r="Z4529">
        <v>0</v>
      </c>
      <c r="AA4529">
        <v>9</v>
      </c>
      <c r="AB4529">
        <v>3</v>
      </c>
      <c r="AC4529">
        <v>0</v>
      </c>
      <c r="AD4529">
        <v>9</v>
      </c>
      <c r="AE4529">
        <v>0</v>
      </c>
      <c r="AF4529">
        <v>3</v>
      </c>
      <c r="AG4529">
        <v>1</v>
      </c>
      <c r="AH4529">
        <v>0</v>
      </c>
      <c r="AI4529" t="s">
        <v>1416</v>
      </c>
      <c r="AJ4529">
        <v>34.074503999999997</v>
      </c>
      <c r="AK4529" t="s">
        <v>1417</v>
      </c>
      <c r="AL4529">
        <v>-117.054112</v>
      </c>
      <c r="AM4529">
        <v>100</v>
      </c>
      <c r="AN4529">
        <v>4400</v>
      </c>
      <c r="AO4529" t="s">
        <v>118</v>
      </c>
      <c r="AP4529">
        <v>-114</v>
      </c>
      <c r="AQ4529">
        <v>-1</v>
      </c>
      <c r="AR4529">
        <v>-2304</v>
      </c>
      <c r="AZ4529">
        <v>1200</v>
      </c>
      <c r="BA4529">
        <v>1</v>
      </c>
      <c r="BB4529" t="str">
        <f t="shared" si="2526"/>
        <v xml:space="preserve">N9217B  </v>
      </c>
      <c r="BC4529">
        <v>1</v>
      </c>
      <c r="BE4529">
        <v>0</v>
      </c>
      <c r="BF4529">
        <v>0</v>
      </c>
      <c r="BG4529">
        <v>0</v>
      </c>
      <c r="BH4529">
        <v>4200</v>
      </c>
      <c r="BI4529">
        <v>1</v>
      </c>
      <c r="BJ4529">
        <v>0</v>
      </c>
      <c r="BK4529">
        <v>0</v>
      </c>
      <c r="BL4529">
        <v>0</v>
      </c>
      <c r="BO4529">
        <v>0</v>
      </c>
      <c r="BP4529">
        <v>0</v>
      </c>
      <c r="BW4529" t="str">
        <f t="shared" si="2554"/>
        <v>15:00:25.216</v>
      </c>
      <c r="CJ4529">
        <v>0</v>
      </c>
      <c r="CK4529">
        <v>2</v>
      </c>
      <c r="CL4529">
        <v>0</v>
      </c>
      <c r="CM4529">
        <v>2</v>
      </c>
      <c r="CN4529">
        <v>0</v>
      </c>
      <c r="CO4529">
        <v>5</v>
      </c>
      <c r="CP4529" t="s">
        <v>119</v>
      </c>
      <c r="CQ4529">
        <v>298</v>
      </c>
      <c r="CR4529">
        <v>0</v>
      </c>
      <c r="CW4529">
        <v>10482271</v>
      </c>
      <c r="CY4529">
        <v>0</v>
      </c>
      <c r="CZ4529">
        <v>0</v>
      </c>
      <c r="DA4529">
        <v>1</v>
      </c>
      <c r="DB4529">
        <v>0</v>
      </c>
      <c r="DC4529">
        <v>0</v>
      </c>
      <c r="DD4529">
        <v>0</v>
      </c>
      <c r="DE4529">
        <v>0</v>
      </c>
      <c r="DF4529">
        <v>0</v>
      </c>
      <c r="DG4529">
        <v>0</v>
      </c>
      <c r="DH4529">
        <v>0</v>
      </c>
      <c r="DI4529">
        <v>0</v>
      </c>
    </row>
    <row r="4530" spans="1:113" x14ac:dyDescent="0.25">
      <c r="A4530" t="str">
        <f t="shared" si="2551"/>
        <v>06/05/2020 15:00:19.600</v>
      </c>
      <c r="C4530" t="str">
        <f t="shared" si="2544"/>
        <v>FFDFD3C0</v>
      </c>
      <c r="D4530" t="s">
        <v>151</v>
      </c>
      <c r="E4530">
        <v>8</v>
      </c>
      <c r="H4530">
        <v>225</v>
      </c>
      <c r="I4530" t="s">
        <v>353</v>
      </c>
      <c r="J4530" t="s">
        <v>150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 t="shared" si="2552"/>
        <v>15:00:25.211</v>
      </c>
      <c r="T4530" t="str">
        <f t="shared" si="2553"/>
        <v>15:00:24.911</v>
      </c>
      <c r="U4530" t="str">
        <f t="shared" si="2522"/>
        <v>ACC530</v>
      </c>
      <c r="V4530">
        <v>0</v>
      </c>
      <c r="W4530">
        <v>0</v>
      </c>
      <c r="X4530">
        <v>1</v>
      </c>
      <c r="Z4530">
        <v>0</v>
      </c>
      <c r="AA4530">
        <v>9</v>
      </c>
      <c r="AB4530">
        <v>3</v>
      </c>
      <c r="AC4530">
        <v>0</v>
      </c>
      <c r="AD4530">
        <v>9</v>
      </c>
      <c r="AE4530">
        <v>0</v>
      </c>
      <c r="AF4530">
        <v>3</v>
      </c>
      <c r="AG4530">
        <v>1</v>
      </c>
      <c r="AH4530">
        <v>0</v>
      </c>
      <c r="AI4530" t="s">
        <v>1416</v>
      </c>
      <c r="AJ4530">
        <v>34.074503999999997</v>
      </c>
      <c r="AK4530" t="s">
        <v>1417</v>
      </c>
      <c r="AL4530">
        <v>-117.054112</v>
      </c>
      <c r="AM4530">
        <v>100</v>
      </c>
      <c r="AN4530">
        <v>4400</v>
      </c>
      <c r="AO4530" t="s">
        <v>118</v>
      </c>
      <c r="AP4530">
        <v>-114</v>
      </c>
      <c r="AQ4530">
        <v>-1</v>
      </c>
      <c r="AR4530">
        <v>-2304</v>
      </c>
      <c r="AZ4530">
        <v>1200</v>
      </c>
      <c r="BA4530">
        <v>1</v>
      </c>
      <c r="BB4530" t="str">
        <f t="shared" si="2526"/>
        <v xml:space="preserve">N9217B  </v>
      </c>
      <c r="BC4530">
        <v>1</v>
      </c>
      <c r="BE4530">
        <v>0</v>
      </c>
      <c r="BF4530">
        <v>0</v>
      </c>
      <c r="BG4530">
        <v>0</v>
      </c>
      <c r="BH4530">
        <v>4200</v>
      </c>
      <c r="BI4530">
        <v>1</v>
      </c>
      <c r="BJ4530">
        <v>0</v>
      </c>
      <c r="BK4530">
        <v>0</v>
      </c>
      <c r="BL4530">
        <v>0</v>
      </c>
      <c r="BO4530">
        <v>0</v>
      </c>
      <c r="BP4530">
        <v>0</v>
      </c>
      <c r="BW4530" t="str">
        <f t="shared" si="2554"/>
        <v>15:00:25.216</v>
      </c>
      <c r="CJ4530">
        <v>0</v>
      </c>
      <c r="CK4530">
        <v>2</v>
      </c>
      <c r="CL4530">
        <v>0</v>
      </c>
      <c r="CM4530">
        <v>2</v>
      </c>
      <c r="CN4530">
        <v>0</v>
      </c>
      <c r="CO4530">
        <v>5</v>
      </c>
      <c r="CP4530" t="s">
        <v>119</v>
      </c>
      <c r="CQ4530">
        <v>298</v>
      </c>
      <c r="CR4530">
        <v>0</v>
      </c>
      <c r="CW4530">
        <v>10482271</v>
      </c>
      <c r="CY4530">
        <v>0</v>
      </c>
      <c r="CZ4530">
        <v>0</v>
      </c>
      <c r="DA4530">
        <v>1</v>
      </c>
      <c r="DB4530">
        <v>0</v>
      </c>
      <c r="DC4530">
        <v>0</v>
      </c>
      <c r="DD4530">
        <v>0</v>
      </c>
      <c r="DE4530">
        <v>0</v>
      </c>
      <c r="DF4530">
        <v>0</v>
      </c>
      <c r="DG4530">
        <v>0</v>
      </c>
      <c r="DH4530">
        <v>0</v>
      </c>
      <c r="DI4530">
        <v>0</v>
      </c>
    </row>
    <row r="4531" spans="1:113" x14ac:dyDescent="0.25">
      <c r="A4531" t="str">
        <f t="shared" si="2551"/>
        <v>06/05/2020 15:00:19.600</v>
      </c>
      <c r="C4531" t="str">
        <f t="shared" si="2544"/>
        <v>FFDFD3C0</v>
      </c>
      <c r="D4531" t="s">
        <v>113</v>
      </c>
      <c r="E4531">
        <v>3</v>
      </c>
      <c r="H4531">
        <v>166</v>
      </c>
      <c r="I4531" t="s">
        <v>114</v>
      </c>
      <c r="J4531" t="s">
        <v>115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 t="shared" si="2552"/>
        <v>15:00:25.211</v>
      </c>
      <c r="T4531" t="str">
        <f t="shared" si="2553"/>
        <v>15:00:24.911</v>
      </c>
      <c r="U4531" t="str">
        <f t="shared" si="2522"/>
        <v>ACC530</v>
      </c>
      <c r="V4531">
        <v>0</v>
      </c>
      <c r="W4531">
        <v>0</v>
      </c>
      <c r="X4531">
        <v>1</v>
      </c>
      <c r="Z4531">
        <v>0</v>
      </c>
      <c r="AA4531">
        <v>9</v>
      </c>
      <c r="AB4531">
        <v>3</v>
      </c>
      <c r="AC4531">
        <v>0</v>
      </c>
      <c r="AD4531">
        <v>9</v>
      </c>
      <c r="AE4531">
        <v>0</v>
      </c>
      <c r="AF4531">
        <v>3</v>
      </c>
      <c r="AG4531">
        <v>1</v>
      </c>
      <c r="AH4531">
        <v>0</v>
      </c>
      <c r="AI4531" t="s">
        <v>1416</v>
      </c>
      <c r="AJ4531">
        <v>34.074503999999997</v>
      </c>
      <c r="AK4531" t="s">
        <v>1417</v>
      </c>
      <c r="AL4531">
        <v>-117.054112</v>
      </c>
      <c r="AM4531">
        <v>100</v>
      </c>
      <c r="AN4531">
        <v>4400</v>
      </c>
      <c r="AO4531" t="s">
        <v>118</v>
      </c>
      <c r="AP4531">
        <v>-114</v>
      </c>
      <c r="AQ4531">
        <v>-1</v>
      </c>
      <c r="AR4531">
        <v>-2304</v>
      </c>
      <c r="AZ4531">
        <v>1200</v>
      </c>
      <c r="BA4531">
        <v>1</v>
      </c>
      <c r="BB4531" t="str">
        <f t="shared" si="2526"/>
        <v xml:space="preserve">N9217B  </v>
      </c>
      <c r="BC4531">
        <v>1</v>
      </c>
      <c r="BE4531">
        <v>0</v>
      </c>
      <c r="BF4531">
        <v>0</v>
      </c>
      <c r="BG4531">
        <v>0</v>
      </c>
      <c r="BH4531">
        <v>4200</v>
      </c>
      <c r="BI4531">
        <v>1</v>
      </c>
      <c r="BJ4531">
        <v>0</v>
      </c>
      <c r="BK4531">
        <v>0</v>
      </c>
      <c r="BL4531">
        <v>0</v>
      </c>
      <c r="BO4531">
        <v>0</v>
      </c>
      <c r="BP4531">
        <v>0</v>
      </c>
      <c r="BW4531" t="str">
        <f t="shared" si="2554"/>
        <v>15:00:25.216</v>
      </c>
      <c r="CJ4531">
        <v>0</v>
      </c>
      <c r="CK4531">
        <v>2</v>
      </c>
      <c r="CL4531">
        <v>0</v>
      </c>
      <c r="CM4531">
        <v>2</v>
      </c>
      <c r="CN4531">
        <v>0</v>
      </c>
      <c r="CO4531">
        <v>5</v>
      </c>
      <c r="CP4531" t="s">
        <v>119</v>
      </c>
      <c r="CQ4531">
        <v>298</v>
      </c>
      <c r="CR4531">
        <v>0</v>
      </c>
      <c r="CW4531">
        <v>10482271</v>
      </c>
      <c r="CY4531">
        <v>0</v>
      </c>
      <c r="CZ4531">
        <v>0</v>
      </c>
      <c r="DA4531">
        <v>1</v>
      </c>
      <c r="DB4531">
        <v>0</v>
      </c>
      <c r="DC4531">
        <v>0</v>
      </c>
      <c r="DD4531">
        <v>0</v>
      </c>
      <c r="DE4531">
        <v>0</v>
      </c>
      <c r="DF4531">
        <v>0</v>
      </c>
      <c r="DG4531">
        <v>0</v>
      </c>
      <c r="DH4531">
        <v>0</v>
      </c>
      <c r="DI4531">
        <v>0</v>
      </c>
    </row>
    <row r="4532" spans="1:113" x14ac:dyDescent="0.25">
      <c r="A4532" t="str">
        <f t="shared" si="2551"/>
        <v>06/05/2020 15:00:19.600</v>
      </c>
      <c r="C4532" t="str">
        <f t="shared" si="2544"/>
        <v>FFDFD3C0</v>
      </c>
      <c r="D4532" t="s">
        <v>148</v>
      </c>
      <c r="E4532">
        <v>8</v>
      </c>
      <c r="H4532">
        <v>50</v>
      </c>
      <c r="I4532" t="s">
        <v>149</v>
      </c>
      <c r="J4532" t="s">
        <v>150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 t="shared" si="2552"/>
        <v>15:00:25.211</v>
      </c>
      <c r="T4532" t="str">
        <f t="shared" si="2553"/>
        <v>15:00:24.911</v>
      </c>
      <c r="U4532" t="str">
        <f t="shared" si="2522"/>
        <v>ACC530</v>
      </c>
      <c r="V4532">
        <v>0</v>
      </c>
      <c r="W4532">
        <v>0</v>
      </c>
      <c r="X4532">
        <v>1</v>
      </c>
      <c r="Z4532">
        <v>0</v>
      </c>
      <c r="AA4532">
        <v>9</v>
      </c>
      <c r="AB4532">
        <v>3</v>
      </c>
      <c r="AC4532">
        <v>0</v>
      </c>
      <c r="AD4532">
        <v>9</v>
      </c>
      <c r="AE4532">
        <v>0</v>
      </c>
      <c r="AF4532">
        <v>3</v>
      </c>
      <c r="AG4532">
        <v>1</v>
      </c>
      <c r="AH4532">
        <v>0</v>
      </c>
      <c r="AI4532" t="s">
        <v>1416</v>
      </c>
      <c r="AJ4532">
        <v>34.074503999999997</v>
      </c>
      <c r="AK4532" t="s">
        <v>1417</v>
      </c>
      <c r="AL4532">
        <v>-117.054112</v>
      </c>
      <c r="AM4532">
        <v>100</v>
      </c>
      <c r="AN4532">
        <v>4400</v>
      </c>
      <c r="AO4532" t="s">
        <v>118</v>
      </c>
      <c r="AP4532">
        <v>-114</v>
      </c>
      <c r="AQ4532">
        <v>-1</v>
      </c>
      <c r="AR4532">
        <v>-2304</v>
      </c>
      <c r="AZ4532">
        <v>1200</v>
      </c>
      <c r="BA4532">
        <v>1</v>
      </c>
      <c r="BB4532" t="str">
        <f t="shared" si="2526"/>
        <v xml:space="preserve">N9217B  </v>
      </c>
      <c r="BC4532">
        <v>1</v>
      </c>
      <c r="BE4532">
        <v>0</v>
      </c>
      <c r="BF4532">
        <v>0</v>
      </c>
      <c r="BG4532">
        <v>0</v>
      </c>
      <c r="BH4532">
        <v>4200</v>
      </c>
      <c r="BI4532">
        <v>1</v>
      </c>
      <c r="BJ4532">
        <v>0</v>
      </c>
      <c r="BK4532">
        <v>0</v>
      </c>
      <c r="BL4532">
        <v>0</v>
      </c>
      <c r="BO4532">
        <v>0</v>
      </c>
      <c r="BP4532">
        <v>0</v>
      </c>
      <c r="BW4532" t="str">
        <f t="shared" si="2554"/>
        <v>15:00:25.216</v>
      </c>
      <c r="CJ4532">
        <v>0</v>
      </c>
      <c r="CK4532">
        <v>2</v>
      </c>
      <c r="CL4532">
        <v>0</v>
      </c>
      <c r="CM4532">
        <v>2</v>
      </c>
      <c r="CN4532">
        <v>0</v>
      </c>
      <c r="CO4532">
        <v>5</v>
      </c>
      <c r="CP4532" t="s">
        <v>119</v>
      </c>
      <c r="CQ4532">
        <v>298</v>
      </c>
      <c r="CR4532">
        <v>0</v>
      </c>
      <c r="CW4532">
        <v>10482271</v>
      </c>
      <c r="CY4532">
        <v>0</v>
      </c>
      <c r="CZ4532">
        <v>0</v>
      </c>
      <c r="DA4532">
        <v>1</v>
      </c>
      <c r="DB4532">
        <v>0</v>
      </c>
      <c r="DC4532">
        <v>0</v>
      </c>
      <c r="DD4532">
        <v>0</v>
      </c>
      <c r="DE4532">
        <v>0</v>
      </c>
      <c r="DF4532">
        <v>0</v>
      </c>
      <c r="DG4532">
        <v>0</v>
      </c>
      <c r="DH4532">
        <v>0</v>
      </c>
      <c r="DI4532">
        <v>0</v>
      </c>
    </row>
    <row r="4533" spans="1:113" x14ac:dyDescent="0.25">
      <c r="A4533" t="str">
        <f t="shared" si="2551"/>
        <v>06/05/2020 15:00:19.600</v>
      </c>
      <c r="C4533" t="str">
        <f t="shared" si="2544"/>
        <v>FFDFD3C0</v>
      </c>
      <c r="D4533" t="s">
        <v>141</v>
      </c>
      <c r="E4533">
        <v>20</v>
      </c>
      <c r="F4533">
        <v>1020</v>
      </c>
      <c r="G4533" t="s">
        <v>114</v>
      </c>
      <c r="J4533" t="s">
        <v>142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 t="shared" si="2552"/>
        <v>15:00:25.211</v>
      </c>
      <c r="T4533" t="str">
        <f t="shared" si="2553"/>
        <v>15:00:24.911</v>
      </c>
      <c r="U4533" t="str">
        <f t="shared" si="2522"/>
        <v>ACC530</v>
      </c>
      <c r="V4533">
        <v>0</v>
      </c>
      <c r="W4533">
        <v>0</v>
      </c>
      <c r="X4533">
        <v>1</v>
      </c>
      <c r="Z4533">
        <v>0</v>
      </c>
      <c r="AA4533">
        <v>9</v>
      </c>
      <c r="AB4533">
        <v>3</v>
      </c>
      <c r="AC4533">
        <v>0</v>
      </c>
      <c r="AD4533">
        <v>9</v>
      </c>
      <c r="AE4533">
        <v>0</v>
      </c>
      <c r="AF4533">
        <v>3</v>
      </c>
      <c r="AG4533">
        <v>1</v>
      </c>
      <c r="AH4533">
        <v>0</v>
      </c>
      <c r="AI4533" t="s">
        <v>1416</v>
      </c>
      <c r="AJ4533">
        <v>34.074503999999997</v>
      </c>
      <c r="AK4533" t="s">
        <v>1417</v>
      </c>
      <c r="AL4533">
        <v>-117.054112</v>
      </c>
      <c r="AM4533">
        <v>100</v>
      </c>
      <c r="AN4533">
        <v>4400</v>
      </c>
      <c r="AO4533" t="s">
        <v>118</v>
      </c>
      <c r="AP4533">
        <v>-114</v>
      </c>
      <c r="AQ4533">
        <v>-1</v>
      </c>
      <c r="AR4533">
        <v>-2304</v>
      </c>
      <c r="AZ4533">
        <v>1200</v>
      </c>
      <c r="BA4533">
        <v>1</v>
      </c>
      <c r="BB4533" t="str">
        <f t="shared" si="2526"/>
        <v xml:space="preserve">N9217B  </v>
      </c>
      <c r="BC4533">
        <v>1</v>
      </c>
      <c r="BE4533">
        <v>0</v>
      </c>
      <c r="BF4533">
        <v>0</v>
      </c>
      <c r="BG4533">
        <v>0</v>
      </c>
      <c r="BH4533">
        <v>4200</v>
      </c>
      <c r="BI4533">
        <v>1</v>
      </c>
      <c r="BJ4533">
        <v>0</v>
      </c>
      <c r="BK4533">
        <v>0</v>
      </c>
      <c r="BL4533">
        <v>0</v>
      </c>
      <c r="BO4533">
        <v>0</v>
      </c>
      <c r="BP4533">
        <v>0</v>
      </c>
      <c r="BW4533" t="str">
        <f t="shared" si="2554"/>
        <v>15:00:25.216</v>
      </c>
      <c r="CJ4533">
        <v>0</v>
      </c>
      <c r="CK4533">
        <v>2</v>
      </c>
      <c r="CL4533">
        <v>0</v>
      </c>
      <c r="CM4533">
        <v>2</v>
      </c>
      <c r="CN4533">
        <v>0</v>
      </c>
      <c r="CO4533">
        <v>5</v>
      </c>
      <c r="CP4533" t="s">
        <v>119</v>
      </c>
      <c r="CQ4533">
        <v>298</v>
      </c>
      <c r="CR4533">
        <v>0</v>
      </c>
      <c r="CW4533">
        <v>10482271</v>
      </c>
      <c r="CY4533">
        <v>0</v>
      </c>
      <c r="CZ4533">
        <v>0</v>
      </c>
      <c r="DA4533">
        <v>1</v>
      </c>
      <c r="DB4533">
        <v>0</v>
      </c>
      <c r="DC4533">
        <v>0</v>
      </c>
      <c r="DD4533">
        <v>0</v>
      </c>
      <c r="DE4533">
        <v>0</v>
      </c>
      <c r="DF4533">
        <v>0</v>
      </c>
      <c r="DG4533">
        <v>0</v>
      </c>
      <c r="DH4533">
        <v>0</v>
      </c>
      <c r="DI4533">
        <v>0</v>
      </c>
    </row>
    <row r="4534" spans="1:113" x14ac:dyDescent="0.25">
      <c r="A4534" t="str">
        <f t="shared" ref="A4534:A4539" si="2555">"06/05/2020 15:00:20.668"</f>
        <v>06/05/2020 15:00:20.668</v>
      </c>
      <c r="C4534" t="str">
        <f t="shared" si="2544"/>
        <v>FFDFD3C0</v>
      </c>
      <c r="D4534" t="s">
        <v>148</v>
      </c>
      <c r="E4534">
        <v>11</v>
      </c>
      <c r="H4534">
        <v>53</v>
      </c>
      <c r="I4534" t="s">
        <v>364</v>
      </c>
      <c r="J4534" t="s">
        <v>150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 t="shared" ref="S4534:S4539" si="2556">"15:00:26.305"</f>
        <v>15:00:26.305</v>
      </c>
      <c r="T4534" t="str">
        <f t="shared" ref="T4534:T4539" si="2557">"15:00:25.805"</f>
        <v>15:00:25.805</v>
      </c>
      <c r="U4534" t="str">
        <f t="shared" si="2522"/>
        <v>ACC530</v>
      </c>
      <c r="V4534">
        <v>0</v>
      </c>
      <c r="W4534">
        <v>0</v>
      </c>
      <c r="X4534">
        <v>1</v>
      </c>
      <c r="Z4534">
        <v>0</v>
      </c>
      <c r="AA4534">
        <v>9</v>
      </c>
      <c r="AB4534">
        <v>3</v>
      </c>
      <c r="AC4534">
        <v>0</v>
      </c>
      <c r="AD4534">
        <v>9</v>
      </c>
      <c r="AE4534">
        <v>0</v>
      </c>
      <c r="AF4534">
        <v>3</v>
      </c>
      <c r="AG4534">
        <v>1</v>
      </c>
      <c r="AH4534">
        <v>0</v>
      </c>
      <c r="AI4534" t="s">
        <v>1418</v>
      </c>
      <c r="AJ4534">
        <v>34.074525999999999</v>
      </c>
      <c r="AK4534" t="s">
        <v>1419</v>
      </c>
      <c r="AL4534">
        <v>-117.054799</v>
      </c>
      <c r="AM4534">
        <v>100</v>
      </c>
      <c r="AN4534">
        <v>4400</v>
      </c>
      <c r="AO4534" t="s">
        <v>118</v>
      </c>
      <c r="AP4534">
        <v>-115</v>
      </c>
      <c r="AQ4534">
        <v>-4</v>
      </c>
      <c r="AR4534">
        <v>-2304</v>
      </c>
      <c r="AZ4534">
        <v>1200</v>
      </c>
      <c r="BA4534">
        <v>1</v>
      </c>
      <c r="BB4534" t="str">
        <f t="shared" si="2526"/>
        <v xml:space="preserve">N9217B  </v>
      </c>
      <c r="BC4534">
        <v>1</v>
      </c>
      <c r="BE4534">
        <v>0</v>
      </c>
      <c r="BF4534">
        <v>0</v>
      </c>
      <c r="BG4534">
        <v>0</v>
      </c>
      <c r="BH4534">
        <v>4175</v>
      </c>
      <c r="BI4534">
        <v>1</v>
      </c>
      <c r="BJ4534">
        <v>0</v>
      </c>
      <c r="BK4534">
        <v>0</v>
      </c>
      <c r="BL4534">
        <v>0</v>
      </c>
      <c r="BO4534">
        <v>0</v>
      </c>
      <c r="BP4534">
        <v>0</v>
      </c>
      <c r="BW4534" t="str">
        <f t="shared" ref="BW4534:BW4539" si="2558">"15:00:26.311"</f>
        <v>15:00:26.311</v>
      </c>
      <c r="CJ4534">
        <v>0</v>
      </c>
      <c r="CK4534">
        <v>2</v>
      </c>
      <c r="CL4534">
        <v>0</v>
      </c>
      <c r="CM4534">
        <v>2</v>
      </c>
      <c r="CN4534">
        <v>0</v>
      </c>
      <c r="CO4534">
        <v>5</v>
      </c>
      <c r="CP4534" t="s">
        <v>119</v>
      </c>
      <c r="CQ4534">
        <v>298</v>
      </c>
      <c r="CR4534">
        <v>0</v>
      </c>
      <c r="CW4534">
        <v>10482423</v>
      </c>
      <c r="CY4534">
        <v>0</v>
      </c>
      <c r="CZ4534">
        <v>0</v>
      </c>
      <c r="DA4534">
        <v>0</v>
      </c>
      <c r="DB4534">
        <v>0</v>
      </c>
      <c r="DC4534">
        <v>0</v>
      </c>
      <c r="DD4534">
        <v>0</v>
      </c>
      <c r="DE4534">
        <v>0</v>
      </c>
      <c r="DF4534">
        <v>0</v>
      </c>
      <c r="DG4534">
        <v>0</v>
      </c>
      <c r="DH4534">
        <v>0</v>
      </c>
      <c r="DI4534">
        <v>0</v>
      </c>
    </row>
    <row r="4535" spans="1:113" x14ac:dyDescent="0.25">
      <c r="A4535" t="str">
        <f t="shared" si="2555"/>
        <v>06/05/2020 15:00:20.668</v>
      </c>
      <c r="C4535" t="str">
        <f t="shared" si="2544"/>
        <v>FFDFD3C0</v>
      </c>
      <c r="D4535" t="s">
        <v>151</v>
      </c>
      <c r="E4535">
        <v>8</v>
      </c>
      <c r="H4535">
        <v>225</v>
      </c>
      <c r="I4535" t="s">
        <v>353</v>
      </c>
      <c r="J4535" t="s">
        <v>150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 t="shared" si="2556"/>
        <v>15:00:26.305</v>
      </c>
      <c r="T4535" t="str">
        <f t="shared" si="2557"/>
        <v>15:00:25.805</v>
      </c>
      <c r="U4535" t="str">
        <f t="shared" si="2522"/>
        <v>ACC530</v>
      </c>
      <c r="V4535">
        <v>0</v>
      </c>
      <c r="W4535">
        <v>0</v>
      </c>
      <c r="X4535">
        <v>1</v>
      </c>
      <c r="Z4535">
        <v>0</v>
      </c>
      <c r="AA4535">
        <v>9</v>
      </c>
      <c r="AB4535">
        <v>3</v>
      </c>
      <c r="AC4535">
        <v>0</v>
      </c>
      <c r="AD4535">
        <v>9</v>
      </c>
      <c r="AE4535">
        <v>0</v>
      </c>
      <c r="AF4535">
        <v>3</v>
      </c>
      <c r="AG4535">
        <v>1</v>
      </c>
      <c r="AH4535">
        <v>0</v>
      </c>
      <c r="AI4535" t="s">
        <v>1418</v>
      </c>
      <c r="AJ4535">
        <v>34.074525999999999</v>
      </c>
      <c r="AK4535" t="s">
        <v>1419</v>
      </c>
      <c r="AL4535">
        <v>-117.054799</v>
      </c>
      <c r="AM4535">
        <v>100</v>
      </c>
      <c r="AN4535">
        <v>4400</v>
      </c>
      <c r="AO4535" t="s">
        <v>118</v>
      </c>
      <c r="AP4535">
        <v>-115</v>
      </c>
      <c r="AQ4535">
        <v>-4</v>
      </c>
      <c r="AR4535">
        <v>-2304</v>
      </c>
      <c r="AZ4535">
        <v>1200</v>
      </c>
      <c r="BA4535">
        <v>1</v>
      </c>
      <c r="BB4535" t="str">
        <f t="shared" si="2526"/>
        <v xml:space="preserve">N9217B  </v>
      </c>
      <c r="BC4535">
        <v>1</v>
      </c>
      <c r="BE4535">
        <v>0</v>
      </c>
      <c r="BF4535">
        <v>0</v>
      </c>
      <c r="BG4535">
        <v>0</v>
      </c>
      <c r="BH4535">
        <v>4175</v>
      </c>
      <c r="BI4535">
        <v>1</v>
      </c>
      <c r="BJ4535">
        <v>0</v>
      </c>
      <c r="BK4535">
        <v>0</v>
      </c>
      <c r="BL4535">
        <v>0</v>
      </c>
      <c r="BO4535">
        <v>0</v>
      </c>
      <c r="BP4535">
        <v>0</v>
      </c>
      <c r="BW4535" t="str">
        <f t="shared" si="2558"/>
        <v>15:00:26.311</v>
      </c>
      <c r="CJ4535">
        <v>0</v>
      </c>
      <c r="CK4535">
        <v>2</v>
      </c>
      <c r="CL4535">
        <v>0</v>
      </c>
      <c r="CM4535">
        <v>2</v>
      </c>
      <c r="CN4535">
        <v>0</v>
      </c>
      <c r="CO4535">
        <v>5</v>
      </c>
      <c r="CP4535" t="s">
        <v>119</v>
      </c>
      <c r="CQ4535">
        <v>298</v>
      </c>
      <c r="CR4535">
        <v>0</v>
      </c>
      <c r="CW4535">
        <v>10482423</v>
      </c>
      <c r="CY4535">
        <v>0</v>
      </c>
      <c r="CZ4535">
        <v>0</v>
      </c>
      <c r="DA4535">
        <v>1</v>
      </c>
      <c r="DB4535">
        <v>0</v>
      </c>
      <c r="DC4535">
        <v>0</v>
      </c>
      <c r="DD4535">
        <v>0</v>
      </c>
      <c r="DE4535">
        <v>0</v>
      </c>
      <c r="DF4535">
        <v>0</v>
      </c>
      <c r="DG4535">
        <v>0</v>
      </c>
      <c r="DH4535">
        <v>0</v>
      </c>
      <c r="DI4535">
        <v>0</v>
      </c>
    </row>
    <row r="4536" spans="1:113" x14ac:dyDescent="0.25">
      <c r="A4536" t="str">
        <f t="shared" si="2555"/>
        <v>06/05/2020 15:00:20.668</v>
      </c>
      <c r="C4536" t="str">
        <f t="shared" si="2544"/>
        <v>FFDFD3C0</v>
      </c>
      <c r="D4536" t="s">
        <v>113</v>
      </c>
      <c r="E4536">
        <v>3</v>
      </c>
      <c r="H4536">
        <v>166</v>
      </c>
      <c r="I4536" t="s">
        <v>114</v>
      </c>
      <c r="J4536" t="s">
        <v>115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 t="shared" si="2556"/>
        <v>15:00:26.305</v>
      </c>
      <c r="T4536" t="str">
        <f t="shared" si="2557"/>
        <v>15:00:25.805</v>
      </c>
      <c r="U4536" t="str">
        <f t="shared" si="2522"/>
        <v>ACC530</v>
      </c>
      <c r="V4536">
        <v>0</v>
      </c>
      <c r="W4536">
        <v>0</v>
      </c>
      <c r="X4536">
        <v>1</v>
      </c>
      <c r="Z4536">
        <v>0</v>
      </c>
      <c r="AA4536">
        <v>9</v>
      </c>
      <c r="AB4536">
        <v>3</v>
      </c>
      <c r="AC4536">
        <v>0</v>
      </c>
      <c r="AD4536">
        <v>9</v>
      </c>
      <c r="AE4536">
        <v>0</v>
      </c>
      <c r="AF4536">
        <v>3</v>
      </c>
      <c r="AG4536">
        <v>1</v>
      </c>
      <c r="AH4536">
        <v>0</v>
      </c>
      <c r="AI4536" t="s">
        <v>1418</v>
      </c>
      <c r="AJ4536">
        <v>34.074525999999999</v>
      </c>
      <c r="AK4536" t="s">
        <v>1419</v>
      </c>
      <c r="AL4536">
        <v>-117.054799</v>
      </c>
      <c r="AM4536">
        <v>100</v>
      </c>
      <c r="AN4536">
        <v>4400</v>
      </c>
      <c r="AO4536" t="s">
        <v>118</v>
      </c>
      <c r="AP4536">
        <v>-115</v>
      </c>
      <c r="AQ4536">
        <v>-4</v>
      </c>
      <c r="AR4536">
        <v>-2304</v>
      </c>
      <c r="AZ4536">
        <v>1200</v>
      </c>
      <c r="BA4536">
        <v>1</v>
      </c>
      <c r="BB4536" t="str">
        <f t="shared" si="2526"/>
        <v xml:space="preserve">N9217B  </v>
      </c>
      <c r="BC4536">
        <v>1</v>
      </c>
      <c r="BE4536">
        <v>0</v>
      </c>
      <c r="BF4536">
        <v>0</v>
      </c>
      <c r="BG4536">
        <v>0</v>
      </c>
      <c r="BH4536">
        <v>4175</v>
      </c>
      <c r="BI4536">
        <v>1</v>
      </c>
      <c r="BJ4536">
        <v>0</v>
      </c>
      <c r="BK4536">
        <v>0</v>
      </c>
      <c r="BL4536">
        <v>0</v>
      </c>
      <c r="BO4536">
        <v>0</v>
      </c>
      <c r="BP4536">
        <v>0</v>
      </c>
      <c r="BW4536" t="str">
        <f t="shared" si="2558"/>
        <v>15:00:26.311</v>
      </c>
      <c r="CJ4536">
        <v>0</v>
      </c>
      <c r="CK4536">
        <v>2</v>
      </c>
      <c r="CL4536">
        <v>0</v>
      </c>
      <c r="CM4536">
        <v>2</v>
      </c>
      <c r="CN4536">
        <v>0</v>
      </c>
      <c r="CO4536">
        <v>5</v>
      </c>
      <c r="CP4536" t="s">
        <v>119</v>
      </c>
      <c r="CQ4536">
        <v>298</v>
      </c>
      <c r="CR4536">
        <v>0</v>
      </c>
      <c r="CW4536">
        <v>10482423</v>
      </c>
      <c r="CY4536">
        <v>0</v>
      </c>
      <c r="CZ4536">
        <v>0</v>
      </c>
      <c r="DA4536">
        <v>1</v>
      </c>
      <c r="DB4536">
        <v>0</v>
      </c>
      <c r="DC4536">
        <v>0</v>
      </c>
      <c r="DD4536">
        <v>0</v>
      </c>
      <c r="DE4536">
        <v>0</v>
      </c>
      <c r="DF4536">
        <v>0</v>
      </c>
      <c r="DG4536">
        <v>0</v>
      </c>
      <c r="DH4536">
        <v>0</v>
      </c>
      <c r="DI4536">
        <v>0</v>
      </c>
    </row>
    <row r="4537" spans="1:113" x14ac:dyDescent="0.25">
      <c r="A4537" t="str">
        <f t="shared" si="2555"/>
        <v>06/05/2020 15:00:20.668</v>
      </c>
      <c r="C4537" t="str">
        <f t="shared" si="2544"/>
        <v>FFDFD3C0</v>
      </c>
      <c r="D4537" t="s">
        <v>148</v>
      </c>
      <c r="E4537">
        <v>8</v>
      </c>
      <c r="H4537">
        <v>50</v>
      </c>
      <c r="I4537" t="s">
        <v>149</v>
      </c>
      <c r="J4537" t="s">
        <v>150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 t="shared" si="2556"/>
        <v>15:00:26.305</v>
      </c>
      <c r="T4537" t="str">
        <f t="shared" si="2557"/>
        <v>15:00:25.805</v>
      </c>
      <c r="U4537" t="str">
        <f t="shared" si="2522"/>
        <v>ACC530</v>
      </c>
      <c r="V4537">
        <v>0</v>
      </c>
      <c r="W4537">
        <v>0</v>
      </c>
      <c r="X4537">
        <v>1</v>
      </c>
      <c r="Z4537">
        <v>0</v>
      </c>
      <c r="AA4537">
        <v>9</v>
      </c>
      <c r="AB4537">
        <v>3</v>
      </c>
      <c r="AC4537">
        <v>0</v>
      </c>
      <c r="AD4537">
        <v>9</v>
      </c>
      <c r="AE4537">
        <v>0</v>
      </c>
      <c r="AF4537">
        <v>3</v>
      </c>
      <c r="AG4537">
        <v>1</v>
      </c>
      <c r="AH4537">
        <v>0</v>
      </c>
      <c r="AI4537" t="s">
        <v>1418</v>
      </c>
      <c r="AJ4537">
        <v>34.074525999999999</v>
      </c>
      <c r="AK4537" t="s">
        <v>1419</v>
      </c>
      <c r="AL4537">
        <v>-117.054799</v>
      </c>
      <c r="AM4537">
        <v>100</v>
      </c>
      <c r="AN4537">
        <v>4400</v>
      </c>
      <c r="AO4537" t="s">
        <v>118</v>
      </c>
      <c r="AP4537">
        <v>-115</v>
      </c>
      <c r="AQ4537">
        <v>-4</v>
      </c>
      <c r="AR4537">
        <v>-2304</v>
      </c>
      <c r="AZ4537">
        <v>1200</v>
      </c>
      <c r="BA4537">
        <v>1</v>
      </c>
      <c r="BB4537" t="str">
        <f t="shared" si="2526"/>
        <v xml:space="preserve">N9217B  </v>
      </c>
      <c r="BC4537">
        <v>1</v>
      </c>
      <c r="BE4537">
        <v>0</v>
      </c>
      <c r="BF4537">
        <v>0</v>
      </c>
      <c r="BG4537">
        <v>0</v>
      </c>
      <c r="BH4537">
        <v>4175</v>
      </c>
      <c r="BI4537">
        <v>1</v>
      </c>
      <c r="BJ4537">
        <v>0</v>
      </c>
      <c r="BK4537">
        <v>0</v>
      </c>
      <c r="BL4537">
        <v>0</v>
      </c>
      <c r="BO4537">
        <v>0</v>
      </c>
      <c r="BP4537">
        <v>0</v>
      </c>
      <c r="BW4537" t="str">
        <f t="shared" si="2558"/>
        <v>15:00:26.311</v>
      </c>
      <c r="CJ4537">
        <v>0</v>
      </c>
      <c r="CK4537">
        <v>2</v>
      </c>
      <c r="CL4537">
        <v>0</v>
      </c>
      <c r="CM4537">
        <v>2</v>
      </c>
      <c r="CN4537">
        <v>0</v>
      </c>
      <c r="CO4537">
        <v>5</v>
      </c>
      <c r="CP4537" t="s">
        <v>119</v>
      </c>
      <c r="CQ4537">
        <v>298</v>
      </c>
      <c r="CR4537">
        <v>0</v>
      </c>
      <c r="CW4537">
        <v>10482423</v>
      </c>
      <c r="CY4537">
        <v>0</v>
      </c>
      <c r="CZ4537">
        <v>0</v>
      </c>
      <c r="DA4537">
        <v>1</v>
      </c>
      <c r="DB4537">
        <v>0</v>
      </c>
      <c r="DC4537">
        <v>0</v>
      </c>
      <c r="DD4537">
        <v>0</v>
      </c>
      <c r="DE4537">
        <v>0</v>
      </c>
      <c r="DF4537">
        <v>0</v>
      </c>
      <c r="DG4537">
        <v>0</v>
      </c>
      <c r="DH4537">
        <v>0</v>
      </c>
      <c r="DI4537">
        <v>0</v>
      </c>
    </row>
    <row r="4538" spans="1:113" x14ac:dyDescent="0.25">
      <c r="A4538" t="str">
        <f t="shared" si="2555"/>
        <v>06/05/2020 15:00:20.668</v>
      </c>
      <c r="C4538" t="str">
        <f t="shared" si="2544"/>
        <v>FFDFD3C0</v>
      </c>
      <c r="D4538" t="s">
        <v>141</v>
      </c>
      <c r="E4538">
        <v>20</v>
      </c>
      <c r="F4538">
        <v>1020</v>
      </c>
      <c r="G4538" t="s">
        <v>114</v>
      </c>
      <c r="J4538" t="s">
        <v>142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 t="shared" si="2556"/>
        <v>15:00:26.305</v>
      </c>
      <c r="T4538" t="str">
        <f t="shared" si="2557"/>
        <v>15:00:25.805</v>
      </c>
      <c r="U4538" t="str">
        <f t="shared" si="2522"/>
        <v>ACC530</v>
      </c>
      <c r="V4538">
        <v>0</v>
      </c>
      <c r="W4538">
        <v>0</v>
      </c>
      <c r="X4538">
        <v>1</v>
      </c>
      <c r="Z4538">
        <v>0</v>
      </c>
      <c r="AA4538">
        <v>9</v>
      </c>
      <c r="AB4538">
        <v>3</v>
      </c>
      <c r="AC4538">
        <v>0</v>
      </c>
      <c r="AD4538">
        <v>9</v>
      </c>
      <c r="AE4538">
        <v>0</v>
      </c>
      <c r="AF4538">
        <v>3</v>
      </c>
      <c r="AG4538">
        <v>1</v>
      </c>
      <c r="AH4538">
        <v>0</v>
      </c>
      <c r="AI4538" t="s">
        <v>1418</v>
      </c>
      <c r="AJ4538">
        <v>34.074525999999999</v>
      </c>
      <c r="AK4538" t="s">
        <v>1419</v>
      </c>
      <c r="AL4538">
        <v>-117.054799</v>
      </c>
      <c r="AM4538">
        <v>100</v>
      </c>
      <c r="AN4538">
        <v>4400</v>
      </c>
      <c r="AO4538" t="s">
        <v>118</v>
      </c>
      <c r="AP4538">
        <v>-115</v>
      </c>
      <c r="AQ4538">
        <v>-4</v>
      </c>
      <c r="AR4538">
        <v>-2304</v>
      </c>
      <c r="AZ4538">
        <v>1200</v>
      </c>
      <c r="BA4538">
        <v>1</v>
      </c>
      <c r="BB4538" t="str">
        <f t="shared" si="2526"/>
        <v xml:space="preserve">N9217B  </v>
      </c>
      <c r="BC4538">
        <v>1</v>
      </c>
      <c r="BE4538">
        <v>0</v>
      </c>
      <c r="BF4538">
        <v>0</v>
      </c>
      <c r="BG4538">
        <v>0</v>
      </c>
      <c r="BH4538">
        <v>4175</v>
      </c>
      <c r="BI4538">
        <v>1</v>
      </c>
      <c r="BJ4538">
        <v>0</v>
      </c>
      <c r="BK4538">
        <v>0</v>
      </c>
      <c r="BL4538">
        <v>0</v>
      </c>
      <c r="BO4538">
        <v>0</v>
      </c>
      <c r="BP4538">
        <v>0</v>
      </c>
      <c r="BW4538" t="str">
        <f t="shared" si="2558"/>
        <v>15:00:26.311</v>
      </c>
      <c r="CJ4538">
        <v>0</v>
      </c>
      <c r="CK4538">
        <v>2</v>
      </c>
      <c r="CL4538">
        <v>0</v>
      </c>
      <c r="CM4538">
        <v>2</v>
      </c>
      <c r="CN4538">
        <v>0</v>
      </c>
      <c r="CO4538">
        <v>5</v>
      </c>
      <c r="CP4538" t="s">
        <v>119</v>
      </c>
      <c r="CQ4538">
        <v>298</v>
      </c>
      <c r="CR4538">
        <v>0</v>
      </c>
      <c r="CW4538">
        <v>10482423</v>
      </c>
      <c r="CY4538">
        <v>0</v>
      </c>
      <c r="CZ4538">
        <v>0</v>
      </c>
      <c r="DA4538">
        <v>1</v>
      </c>
      <c r="DB4538">
        <v>0</v>
      </c>
      <c r="DC4538">
        <v>0</v>
      </c>
      <c r="DD4538">
        <v>0</v>
      </c>
      <c r="DE4538">
        <v>0</v>
      </c>
      <c r="DF4538">
        <v>0</v>
      </c>
      <c r="DG4538">
        <v>0</v>
      </c>
      <c r="DH4538">
        <v>0</v>
      </c>
      <c r="DI4538">
        <v>0</v>
      </c>
    </row>
    <row r="4539" spans="1:113" x14ac:dyDescent="0.25">
      <c r="A4539" t="str">
        <f t="shared" si="2555"/>
        <v>06/05/2020 15:00:20.668</v>
      </c>
      <c r="C4539" t="str">
        <f t="shared" si="2544"/>
        <v>FFDFD3C0</v>
      </c>
      <c r="D4539" t="s">
        <v>134</v>
      </c>
      <c r="E4539">
        <v>7</v>
      </c>
      <c r="F4539">
        <v>2007</v>
      </c>
      <c r="G4539" t="s">
        <v>135</v>
      </c>
      <c r="J4539" t="s">
        <v>136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 t="shared" si="2556"/>
        <v>15:00:26.305</v>
      </c>
      <c r="T4539" t="str">
        <f t="shared" si="2557"/>
        <v>15:00:25.805</v>
      </c>
      <c r="U4539" t="str">
        <f t="shared" si="2522"/>
        <v>ACC530</v>
      </c>
      <c r="V4539">
        <v>0</v>
      </c>
      <c r="W4539">
        <v>0</v>
      </c>
      <c r="X4539">
        <v>1</v>
      </c>
      <c r="Z4539">
        <v>0</v>
      </c>
      <c r="AA4539">
        <v>9</v>
      </c>
      <c r="AB4539">
        <v>3</v>
      </c>
      <c r="AC4539">
        <v>0</v>
      </c>
      <c r="AD4539">
        <v>9</v>
      </c>
      <c r="AE4539">
        <v>0</v>
      </c>
      <c r="AF4539">
        <v>3</v>
      </c>
      <c r="AG4539">
        <v>1</v>
      </c>
      <c r="AH4539">
        <v>0</v>
      </c>
      <c r="AI4539" t="s">
        <v>1418</v>
      </c>
      <c r="AJ4539">
        <v>34.074525999999999</v>
      </c>
      <c r="AK4539" t="s">
        <v>1419</v>
      </c>
      <c r="AL4539">
        <v>-117.054799</v>
      </c>
      <c r="AM4539">
        <v>100</v>
      </c>
      <c r="AN4539">
        <v>4400</v>
      </c>
      <c r="AO4539" t="s">
        <v>118</v>
      </c>
      <c r="AP4539">
        <v>-115</v>
      </c>
      <c r="AQ4539">
        <v>-4</v>
      </c>
      <c r="AR4539">
        <v>-2304</v>
      </c>
      <c r="AZ4539">
        <v>1200</v>
      </c>
      <c r="BA4539">
        <v>1</v>
      </c>
      <c r="BB4539" t="str">
        <f t="shared" si="2526"/>
        <v xml:space="preserve">N9217B  </v>
      </c>
      <c r="BC4539">
        <v>1</v>
      </c>
      <c r="BE4539">
        <v>0</v>
      </c>
      <c r="BF4539">
        <v>0</v>
      </c>
      <c r="BG4539">
        <v>0</v>
      </c>
      <c r="BH4539">
        <v>4175</v>
      </c>
      <c r="BI4539">
        <v>1</v>
      </c>
      <c r="BJ4539">
        <v>0</v>
      </c>
      <c r="BK4539">
        <v>0</v>
      </c>
      <c r="BL4539">
        <v>0</v>
      </c>
      <c r="BO4539">
        <v>0</v>
      </c>
      <c r="BP4539">
        <v>0</v>
      </c>
      <c r="BW4539" t="str">
        <f t="shared" si="2558"/>
        <v>15:00:26.311</v>
      </c>
      <c r="CJ4539">
        <v>0</v>
      </c>
      <c r="CK4539">
        <v>2</v>
      </c>
      <c r="CL4539">
        <v>0</v>
      </c>
      <c r="CM4539">
        <v>2</v>
      </c>
      <c r="CN4539">
        <v>0</v>
      </c>
      <c r="CO4539">
        <v>5</v>
      </c>
      <c r="CP4539" t="s">
        <v>119</v>
      </c>
      <c r="CQ4539">
        <v>298</v>
      </c>
      <c r="CR4539">
        <v>0</v>
      </c>
      <c r="CW4539">
        <v>10482423</v>
      </c>
      <c r="CY4539">
        <v>0</v>
      </c>
      <c r="CZ4539">
        <v>0</v>
      </c>
      <c r="DA4539">
        <v>1</v>
      </c>
      <c r="DB4539">
        <v>0</v>
      </c>
      <c r="DC4539">
        <v>0</v>
      </c>
      <c r="DD4539">
        <v>0</v>
      </c>
      <c r="DE4539">
        <v>0</v>
      </c>
      <c r="DF4539">
        <v>0</v>
      </c>
      <c r="DG4539">
        <v>0</v>
      </c>
      <c r="DH4539">
        <v>0</v>
      </c>
      <c r="DI4539">
        <v>0</v>
      </c>
    </row>
    <row r="4540" spans="1:113" x14ac:dyDescent="0.25">
      <c r="A4540" t="str">
        <f t="shared" ref="A4540:A4545" si="2559">"06/05/2020 15:00:21.652"</f>
        <v>06/05/2020 15:00:21.652</v>
      </c>
      <c r="C4540" t="str">
        <f t="shared" si="2544"/>
        <v>FFDFD3C0</v>
      </c>
      <c r="D4540" t="s">
        <v>141</v>
      </c>
      <c r="E4540">
        <v>20</v>
      </c>
      <c r="F4540">
        <v>1020</v>
      </c>
      <c r="G4540" t="s">
        <v>114</v>
      </c>
      <c r="J4540" t="s">
        <v>142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 t="shared" ref="S4540:T4545" si="2560">"15:00:27.313"</f>
        <v>15:00:27.313</v>
      </c>
      <c r="T4540" t="str">
        <f t="shared" si="2560"/>
        <v>15:00:27.313</v>
      </c>
      <c r="U4540" t="str">
        <f t="shared" si="2522"/>
        <v>ACC530</v>
      </c>
      <c r="V4540">
        <v>0</v>
      </c>
      <c r="W4540">
        <v>0</v>
      </c>
      <c r="X4540">
        <v>1</v>
      </c>
      <c r="Z4540">
        <v>0</v>
      </c>
      <c r="AA4540">
        <v>9</v>
      </c>
      <c r="AB4540">
        <v>3</v>
      </c>
      <c r="AC4540">
        <v>0</v>
      </c>
      <c r="AD4540">
        <v>9</v>
      </c>
      <c r="AE4540">
        <v>0</v>
      </c>
      <c r="AF4540">
        <v>3</v>
      </c>
      <c r="AG4540">
        <v>1</v>
      </c>
      <c r="AH4540">
        <v>0</v>
      </c>
      <c r="AI4540" t="s">
        <v>1412</v>
      </c>
      <c r="AJ4540">
        <v>34.074460999999999</v>
      </c>
      <c r="AK4540" t="s">
        <v>1420</v>
      </c>
      <c r="AL4540">
        <v>-117.055464</v>
      </c>
      <c r="AM4540">
        <v>100</v>
      </c>
      <c r="AN4540">
        <v>4300</v>
      </c>
      <c r="AO4540" t="s">
        <v>118</v>
      </c>
      <c r="AP4540">
        <v>-117</v>
      </c>
      <c r="AQ4540">
        <v>-7</v>
      </c>
      <c r="AR4540">
        <v>-2304</v>
      </c>
      <c r="AZ4540">
        <v>1200</v>
      </c>
      <c r="BA4540">
        <v>1</v>
      </c>
      <c r="BB4540" t="str">
        <f t="shared" si="2526"/>
        <v xml:space="preserve">N9217B  </v>
      </c>
      <c r="BC4540">
        <v>1</v>
      </c>
      <c r="BE4540">
        <v>0</v>
      </c>
      <c r="BF4540">
        <v>0</v>
      </c>
      <c r="BG4540">
        <v>0</v>
      </c>
      <c r="BH4540">
        <v>4125</v>
      </c>
      <c r="BI4540">
        <v>1</v>
      </c>
      <c r="BJ4540">
        <v>0</v>
      </c>
      <c r="BK4540">
        <v>0</v>
      </c>
      <c r="BL4540">
        <v>0</v>
      </c>
      <c r="BO4540">
        <v>0</v>
      </c>
      <c r="BP4540">
        <v>0</v>
      </c>
      <c r="BW4540" t="str">
        <f t="shared" ref="BW4540:BW4545" si="2561">"15:00:27.316"</f>
        <v>15:00:27.316</v>
      </c>
      <c r="CJ4540">
        <v>0</v>
      </c>
      <c r="CK4540">
        <v>2</v>
      </c>
      <c r="CL4540">
        <v>0</v>
      </c>
      <c r="CM4540">
        <v>2</v>
      </c>
      <c r="CN4540">
        <v>0</v>
      </c>
      <c r="CO4540">
        <v>5</v>
      </c>
      <c r="CP4540" t="s">
        <v>119</v>
      </c>
      <c r="CQ4540">
        <v>298</v>
      </c>
      <c r="CR4540">
        <v>0</v>
      </c>
      <c r="CW4540">
        <v>10482565</v>
      </c>
      <c r="CY4540">
        <v>0</v>
      </c>
      <c r="CZ4540">
        <v>0</v>
      </c>
      <c r="DA4540">
        <v>0</v>
      </c>
      <c r="DB4540">
        <v>0</v>
      </c>
      <c r="DC4540">
        <v>0</v>
      </c>
      <c r="DD4540">
        <v>0</v>
      </c>
      <c r="DE4540">
        <v>0</v>
      </c>
      <c r="DF4540">
        <v>0</v>
      </c>
      <c r="DG4540">
        <v>0</v>
      </c>
      <c r="DH4540">
        <v>0</v>
      </c>
      <c r="DI4540">
        <v>0</v>
      </c>
    </row>
    <row r="4541" spans="1:113" x14ac:dyDescent="0.25">
      <c r="A4541" t="str">
        <f t="shared" si="2559"/>
        <v>06/05/2020 15:00:21.652</v>
      </c>
      <c r="C4541" t="str">
        <f t="shared" si="2544"/>
        <v>FFDFD3C0</v>
      </c>
      <c r="D4541" t="s">
        <v>134</v>
      </c>
      <c r="E4541">
        <v>7</v>
      </c>
      <c r="F4541">
        <v>2007</v>
      </c>
      <c r="G4541" t="s">
        <v>135</v>
      </c>
      <c r="J4541" t="s">
        <v>136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 t="shared" si="2560"/>
        <v>15:00:27.313</v>
      </c>
      <c r="T4541" t="str">
        <f t="shared" si="2560"/>
        <v>15:00:27.313</v>
      </c>
      <c r="U4541" t="str">
        <f t="shared" si="2522"/>
        <v>ACC530</v>
      </c>
      <c r="V4541">
        <v>0</v>
      </c>
      <c r="W4541">
        <v>0</v>
      </c>
      <c r="X4541">
        <v>1</v>
      </c>
      <c r="Z4541">
        <v>0</v>
      </c>
      <c r="AA4541">
        <v>9</v>
      </c>
      <c r="AB4541">
        <v>3</v>
      </c>
      <c r="AC4541">
        <v>0</v>
      </c>
      <c r="AD4541">
        <v>9</v>
      </c>
      <c r="AE4541">
        <v>0</v>
      </c>
      <c r="AF4541">
        <v>3</v>
      </c>
      <c r="AG4541">
        <v>1</v>
      </c>
      <c r="AH4541">
        <v>0</v>
      </c>
      <c r="AI4541" t="s">
        <v>1412</v>
      </c>
      <c r="AJ4541">
        <v>34.074460999999999</v>
      </c>
      <c r="AK4541" t="s">
        <v>1420</v>
      </c>
      <c r="AL4541">
        <v>-117.055464</v>
      </c>
      <c r="AM4541">
        <v>100</v>
      </c>
      <c r="AN4541">
        <v>4300</v>
      </c>
      <c r="AO4541" t="s">
        <v>118</v>
      </c>
      <c r="AP4541">
        <v>-117</v>
      </c>
      <c r="AQ4541">
        <v>-7</v>
      </c>
      <c r="AR4541">
        <v>-2304</v>
      </c>
      <c r="AZ4541">
        <v>1200</v>
      </c>
      <c r="BA4541">
        <v>1</v>
      </c>
      <c r="BB4541" t="str">
        <f t="shared" si="2526"/>
        <v xml:space="preserve">N9217B  </v>
      </c>
      <c r="BC4541">
        <v>1</v>
      </c>
      <c r="BE4541">
        <v>0</v>
      </c>
      <c r="BF4541">
        <v>0</v>
      </c>
      <c r="BG4541">
        <v>0</v>
      </c>
      <c r="BH4541">
        <v>4125</v>
      </c>
      <c r="BI4541">
        <v>1</v>
      </c>
      <c r="BJ4541">
        <v>0</v>
      </c>
      <c r="BK4541">
        <v>0</v>
      </c>
      <c r="BL4541">
        <v>0</v>
      </c>
      <c r="BO4541">
        <v>0</v>
      </c>
      <c r="BP4541">
        <v>0</v>
      </c>
      <c r="BW4541" t="str">
        <f t="shared" si="2561"/>
        <v>15:00:27.316</v>
      </c>
      <c r="CJ4541">
        <v>0</v>
      </c>
      <c r="CK4541">
        <v>2</v>
      </c>
      <c r="CL4541">
        <v>0</v>
      </c>
      <c r="CM4541">
        <v>2</v>
      </c>
      <c r="CN4541">
        <v>0</v>
      </c>
      <c r="CO4541">
        <v>5</v>
      </c>
      <c r="CP4541" t="s">
        <v>119</v>
      </c>
      <c r="CQ4541">
        <v>298</v>
      </c>
      <c r="CR4541">
        <v>0</v>
      </c>
      <c r="CW4541">
        <v>10482565</v>
      </c>
      <c r="CY4541">
        <v>0</v>
      </c>
      <c r="CZ4541">
        <v>0</v>
      </c>
      <c r="DA4541">
        <v>1</v>
      </c>
      <c r="DB4541">
        <v>0</v>
      </c>
      <c r="DC4541">
        <v>0</v>
      </c>
      <c r="DD4541">
        <v>0</v>
      </c>
      <c r="DE4541">
        <v>0</v>
      </c>
      <c r="DF4541">
        <v>0</v>
      </c>
      <c r="DG4541">
        <v>0</v>
      </c>
      <c r="DH4541">
        <v>0</v>
      </c>
      <c r="DI4541">
        <v>0</v>
      </c>
    </row>
    <row r="4542" spans="1:113" x14ac:dyDescent="0.25">
      <c r="A4542" t="str">
        <f t="shared" si="2559"/>
        <v>06/05/2020 15:00:21.652</v>
      </c>
      <c r="C4542" t="str">
        <f t="shared" si="2544"/>
        <v>FFDFD3C0</v>
      </c>
      <c r="D4542" t="s">
        <v>148</v>
      </c>
      <c r="E4542">
        <v>11</v>
      </c>
      <c r="H4542">
        <v>53</v>
      </c>
      <c r="I4542" t="s">
        <v>364</v>
      </c>
      <c r="J4542" t="s">
        <v>150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 t="shared" si="2560"/>
        <v>15:00:27.313</v>
      </c>
      <c r="T4542" t="str">
        <f t="shared" si="2560"/>
        <v>15:00:27.313</v>
      </c>
      <c r="U4542" t="str">
        <f t="shared" si="2522"/>
        <v>ACC530</v>
      </c>
      <c r="V4542">
        <v>0</v>
      </c>
      <c r="W4542">
        <v>0</v>
      </c>
      <c r="X4542">
        <v>1</v>
      </c>
      <c r="Z4542">
        <v>0</v>
      </c>
      <c r="AA4542">
        <v>9</v>
      </c>
      <c r="AB4542">
        <v>3</v>
      </c>
      <c r="AC4542">
        <v>0</v>
      </c>
      <c r="AD4542">
        <v>9</v>
      </c>
      <c r="AE4542">
        <v>0</v>
      </c>
      <c r="AF4542">
        <v>3</v>
      </c>
      <c r="AG4542">
        <v>1</v>
      </c>
      <c r="AH4542">
        <v>0</v>
      </c>
      <c r="AI4542" t="s">
        <v>1412</v>
      </c>
      <c r="AJ4542">
        <v>34.074460999999999</v>
      </c>
      <c r="AK4542" t="s">
        <v>1420</v>
      </c>
      <c r="AL4542">
        <v>-117.055464</v>
      </c>
      <c r="AM4542">
        <v>100</v>
      </c>
      <c r="AN4542">
        <v>4300</v>
      </c>
      <c r="AO4542" t="s">
        <v>118</v>
      </c>
      <c r="AP4542">
        <v>-117</v>
      </c>
      <c r="AQ4542">
        <v>-7</v>
      </c>
      <c r="AR4542">
        <v>-2304</v>
      </c>
      <c r="AZ4542">
        <v>1200</v>
      </c>
      <c r="BA4542">
        <v>1</v>
      </c>
      <c r="BB4542" t="str">
        <f t="shared" si="2526"/>
        <v xml:space="preserve">N9217B  </v>
      </c>
      <c r="BC4542">
        <v>1</v>
      </c>
      <c r="BE4542">
        <v>0</v>
      </c>
      <c r="BF4542">
        <v>0</v>
      </c>
      <c r="BG4542">
        <v>0</v>
      </c>
      <c r="BH4542">
        <v>4125</v>
      </c>
      <c r="BI4542">
        <v>1</v>
      </c>
      <c r="BJ4542">
        <v>0</v>
      </c>
      <c r="BK4542">
        <v>0</v>
      </c>
      <c r="BL4542">
        <v>0</v>
      </c>
      <c r="BO4542">
        <v>0</v>
      </c>
      <c r="BP4542">
        <v>0</v>
      </c>
      <c r="BW4542" t="str">
        <f t="shared" si="2561"/>
        <v>15:00:27.316</v>
      </c>
      <c r="CJ4542">
        <v>0</v>
      </c>
      <c r="CK4542">
        <v>2</v>
      </c>
      <c r="CL4542">
        <v>0</v>
      </c>
      <c r="CM4542">
        <v>2</v>
      </c>
      <c r="CN4542">
        <v>0</v>
      </c>
      <c r="CO4542">
        <v>5</v>
      </c>
      <c r="CP4542" t="s">
        <v>119</v>
      </c>
      <c r="CQ4542">
        <v>298</v>
      </c>
      <c r="CR4542">
        <v>0</v>
      </c>
      <c r="CW4542">
        <v>10482565</v>
      </c>
      <c r="CY4542">
        <v>0</v>
      </c>
      <c r="CZ4542">
        <v>0</v>
      </c>
      <c r="DA4542">
        <v>1</v>
      </c>
      <c r="DB4542">
        <v>0</v>
      </c>
      <c r="DC4542">
        <v>0</v>
      </c>
      <c r="DD4542">
        <v>0</v>
      </c>
      <c r="DE4542">
        <v>0</v>
      </c>
      <c r="DF4542">
        <v>0</v>
      </c>
      <c r="DG4542">
        <v>0</v>
      </c>
      <c r="DH4542">
        <v>0</v>
      </c>
      <c r="DI4542">
        <v>0</v>
      </c>
    </row>
    <row r="4543" spans="1:113" x14ac:dyDescent="0.25">
      <c r="A4543" t="str">
        <f t="shared" si="2559"/>
        <v>06/05/2020 15:00:21.652</v>
      </c>
      <c r="C4543" t="str">
        <f t="shared" si="2544"/>
        <v>FFDFD3C0</v>
      </c>
      <c r="D4543" t="s">
        <v>151</v>
      </c>
      <c r="E4543">
        <v>8</v>
      </c>
      <c r="H4543">
        <v>225</v>
      </c>
      <c r="I4543" t="s">
        <v>353</v>
      </c>
      <c r="J4543" t="s">
        <v>150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 t="shared" si="2560"/>
        <v>15:00:27.313</v>
      </c>
      <c r="T4543" t="str">
        <f t="shared" si="2560"/>
        <v>15:00:27.313</v>
      </c>
      <c r="U4543" t="str">
        <f t="shared" si="2522"/>
        <v>ACC530</v>
      </c>
      <c r="V4543">
        <v>0</v>
      </c>
      <c r="W4543">
        <v>0</v>
      </c>
      <c r="X4543">
        <v>1</v>
      </c>
      <c r="Z4543">
        <v>0</v>
      </c>
      <c r="AA4543">
        <v>9</v>
      </c>
      <c r="AB4543">
        <v>3</v>
      </c>
      <c r="AC4543">
        <v>0</v>
      </c>
      <c r="AD4543">
        <v>9</v>
      </c>
      <c r="AE4543">
        <v>0</v>
      </c>
      <c r="AF4543">
        <v>3</v>
      </c>
      <c r="AG4543">
        <v>1</v>
      </c>
      <c r="AH4543">
        <v>0</v>
      </c>
      <c r="AI4543" t="s">
        <v>1412</v>
      </c>
      <c r="AJ4543">
        <v>34.074460999999999</v>
      </c>
      <c r="AK4543" t="s">
        <v>1420</v>
      </c>
      <c r="AL4543">
        <v>-117.055464</v>
      </c>
      <c r="AM4543">
        <v>100</v>
      </c>
      <c r="AN4543">
        <v>4300</v>
      </c>
      <c r="AO4543" t="s">
        <v>118</v>
      </c>
      <c r="AP4543">
        <v>-117</v>
      </c>
      <c r="AQ4543">
        <v>-7</v>
      </c>
      <c r="AR4543">
        <v>-2304</v>
      </c>
      <c r="AZ4543">
        <v>1200</v>
      </c>
      <c r="BA4543">
        <v>1</v>
      </c>
      <c r="BB4543" t="str">
        <f t="shared" si="2526"/>
        <v xml:space="preserve">N9217B  </v>
      </c>
      <c r="BC4543">
        <v>1</v>
      </c>
      <c r="BE4543">
        <v>0</v>
      </c>
      <c r="BF4543">
        <v>0</v>
      </c>
      <c r="BG4543">
        <v>0</v>
      </c>
      <c r="BH4543">
        <v>4125</v>
      </c>
      <c r="BI4543">
        <v>1</v>
      </c>
      <c r="BJ4543">
        <v>0</v>
      </c>
      <c r="BK4543">
        <v>0</v>
      </c>
      <c r="BL4543">
        <v>0</v>
      </c>
      <c r="BO4543">
        <v>0</v>
      </c>
      <c r="BP4543">
        <v>0</v>
      </c>
      <c r="BW4543" t="str">
        <f t="shared" si="2561"/>
        <v>15:00:27.316</v>
      </c>
      <c r="CJ4543">
        <v>0</v>
      </c>
      <c r="CK4543">
        <v>2</v>
      </c>
      <c r="CL4543">
        <v>0</v>
      </c>
      <c r="CM4543">
        <v>2</v>
      </c>
      <c r="CN4543">
        <v>0</v>
      </c>
      <c r="CO4543">
        <v>5</v>
      </c>
      <c r="CP4543" t="s">
        <v>119</v>
      </c>
      <c r="CQ4543">
        <v>298</v>
      </c>
      <c r="CR4543">
        <v>0</v>
      </c>
      <c r="CW4543">
        <v>10482565</v>
      </c>
      <c r="CY4543">
        <v>0</v>
      </c>
      <c r="CZ4543">
        <v>0</v>
      </c>
      <c r="DA4543">
        <v>1</v>
      </c>
      <c r="DB4543">
        <v>0</v>
      </c>
      <c r="DC4543">
        <v>0</v>
      </c>
      <c r="DD4543">
        <v>0</v>
      </c>
      <c r="DE4543">
        <v>0</v>
      </c>
      <c r="DF4543">
        <v>0</v>
      </c>
      <c r="DG4543">
        <v>0</v>
      </c>
      <c r="DH4543">
        <v>0</v>
      </c>
      <c r="DI4543">
        <v>0</v>
      </c>
    </row>
    <row r="4544" spans="1:113" x14ac:dyDescent="0.25">
      <c r="A4544" t="str">
        <f t="shared" si="2559"/>
        <v>06/05/2020 15:00:21.652</v>
      </c>
      <c r="C4544" t="str">
        <f t="shared" si="2544"/>
        <v>FFDFD3C0</v>
      </c>
      <c r="D4544" t="s">
        <v>113</v>
      </c>
      <c r="E4544">
        <v>3</v>
      </c>
      <c r="H4544">
        <v>166</v>
      </c>
      <c r="I4544" t="s">
        <v>114</v>
      </c>
      <c r="J4544" t="s">
        <v>115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 t="shared" si="2560"/>
        <v>15:00:27.313</v>
      </c>
      <c r="T4544" t="str">
        <f t="shared" si="2560"/>
        <v>15:00:27.313</v>
      </c>
      <c r="U4544" t="str">
        <f t="shared" si="2522"/>
        <v>ACC530</v>
      </c>
      <c r="V4544">
        <v>0</v>
      </c>
      <c r="W4544">
        <v>0</v>
      </c>
      <c r="X4544">
        <v>1</v>
      </c>
      <c r="Z4544">
        <v>0</v>
      </c>
      <c r="AA4544">
        <v>9</v>
      </c>
      <c r="AB4544">
        <v>3</v>
      </c>
      <c r="AC4544">
        <v>0</v>
      </c>
      <c r="AD4544">
        <v>9</v>
      </c>
      <c r="AE4544">
        <v>0</v>
      </c>
      <c r="AF4544">
        <v>3</v>
      </c>
      <c r="AG4544">
        <v>1</v>
      </c>
      <c r="AH4544">
        <v>0</v>
      </c>
      <c r="AI4544" t="s">
        <v>1412</v>
      </c>
      <c r="AJ4544">
        <v>34.074460999999999</v>
      </c>
      <c r="AK4544" t="s">
        <v>1420</v>
      </c>
      <c r="AL4544">
        <v>-117.055464</v>
      </c>
      <c r="AM4544">
        <v>100</v>
      </c>
      <c r="AN4544">
        <v>4300</v>
      </c>
      <c r="AO4544" t="s">
        <v>118</v>
      </c>
      <c r="AP4544">
        <v>-117</v>
      </c>
      <c r="AQ4544">
        <v>-7</v>
      </c>
      <c r="AR4544">
        <v>-2304</v>
      </c>
      <c r="AZ4544">
        <v>1200</v>
      </c>
      <c r="BA4544">
        <v>1</v>
      </c>
      <c r="BB4544" t="str">
        <f t="shared" si="2526"/>
        <v xml:space="preserve">N9217B  </v>
      </c>
      <c r="BC4544">
        <v>1</v>
      </c>
      <c r="BE4544">
        <v>0</v>
      </c>
      <c r="BF4544">
        <v>0</v>
      </c>
      <c r="BG4544">
        <v>0</v>
      </c>
      <c r="BH4544">
        <v>4125</v>
      </c>
      <c r="BI4544">
        <v>1</v>
      </c>
      <c r="BJ4544">
        <v>0</v>
      </c>
      <c r="BK4544">
        <v>0</v>
      </c>
      <c r="BL4544">
        <v>0</v>
      </c>
      <c r="BO4544">
        <v>0</v>
      </c>
      <c r="BP4544">
        <v>0</v>
      </c>
      <c r="BW4544" t="str">
        <f t="shared" si="2561"/>
        <v>15:00:27.316</v>
      </c>
      <c r="CJ4544">
        <v>0</v>
      </c>
      <c r="CK4544">
        <v>2</v>
      </c>
      <c r="CL4544">
        <v>0</v>
      </c>
      <c r="CM4544">
        <v>2</v>
      </c>
      <c r="CN4544">
        <v>0</v>
      </c>
      <c r="CO4544">
        <v>5</v>
      </c>
      <c r="CP4544" t="s">
        <v>119</v>
      </c>
      <c r="CQ4544">
        <v>298</v>
      </c>
      <c r="CR4544">
        <v>0</v>
      </c>
      <c r="CW4544">
        <v>10482565</v>
      </c>
      <c r="CY4544">
        <v>0</v>
      </c>
      <c r="CZ4544">
        <v>0</v>
      </c>
      <c r="DA4544">
        <v>1</v>
      </c>
      <c r="DB4544">
        <v>0</v>
      </c>
      <c r="DC4544">
        <v>0</v>
      </c>
      <c r="DD4544">
        <v>0</v>
      </c>
      <c r="DE4544">
        <v>0</v>
      </c>
      <c r="DF4544">
        <v>0</v>
      </c>
      <c r="DG4544">
        <v>0</v>
      </c>
      <c r="DH4544">
        <v>0</v>
      </c>
      <c r="DI4544">
        <v>0</v>
      </c>
    </row>
    <row r="4545" spans="1:113" x14ac:dyDescent="0.25">
      <c r="A4545" t="str">
        <f t="shared" si="2559"/>
        <v>06/05/2020 15:00:21.652</v>
      </c>
      <c r="C4545" t="str">
        <f t="shared" si="2544"/>
        <v>FFDFD3C0</v>
      </c>
      <c r="D4545" t="s">
        <v>148</v>
      </c>
      <c r="E4545">
        <v>8</v>
      </c>
      <c r="H4545">
        <v>50</v>
      </c>
      <c r="I4545" t="s">
        <v>149</v>
      </c>
      <c r="J4545" t="s">
        <v>150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 t="shared" si="2560"/>
        <v>15:00:27.313</v>
      </c>
      <c r="T4545" t="str">
        <f t="shared" si="2560"/>
        <v>15:00:27.313</v>
      </c>
      <c r="U4545" t="str">
        <f t="shared" si="2522"/>
        <v>ACC530</v>
      </c>
      <c r="V4545">
        <v>0</v>
      </c>
      <c r="W4545">
        <v>0</v>
      </c>
      <c r="X4545">
        <v>1</v>
      </c>
      <c r="Z4545">
        <v>0</v>
      </c>
      <c r="AA4545">
        <v>9</v>
      </c>
      <c r="AB4545">
        <v>3</v>
      </c>
      <c r="AC4545">
        <v>0</v>
      </c>
      <c r="AD4545">
        <v>9</v>
      </c>
      <c r="AE4545">
        <v>0</v>
      </c>
      <c r="AF4545">
        <v>3</v>
      </c>
      <c r="AG4545">
        <v>1</v>
      </c>
      <c r="AH4545">
        <v>0</v>
      </c>
      <c r="AI4545" t="s">
        <v>1412</v>
      </c>
      <c r="AJ4545">
        <v>34.074460999999999</v>
      </c>
      <c r="AK4545" t="s">
        <v>1420</v>
      </c>
      <c r="AL4545">
        <v>-117.055464</v>
      </c>
      <c r="AM4545">
        <v>100</v>
      </c>
      <c r="AN4545">
        <v>4300</v>
      </c>
      <c r="AO4545" t="s">
        <v>118</v>
      </c>
      <c r="AP4545">
        <v>-117</v>
      </c>
      <c r="AQ4545">
        <v>-7</v>
      </c>
      <c r="AR4545">
        <v>-2304</v>
      </c>
      <c r="AZ4545">
        <v>1200</v>
      </c>
      <c r="BA4545">
        <v>1</v>
      </c>
      <c r="BB4545" t="str">
        <f t="shared" si="2526"/>
        <v xml:space="preserve">N9217B  </v>
      </c>
      <c r="BC4545">
        <v>1</v>
      </c>
      <c r="BE4545">
        <v>0</v>
      </c>
      <c r="BF4545">
        <v>0</v>
      </c>
      <c r="BG4545">
        <v>0</v>
      </c>
      <c r="BH4545">
        <v>4125</v>
      </c>
      <c r="BI4545">
        <v>1</v>
      </c>
      <c r="BJ4545">
        <v>0</v>
      </c>
      <c r="BK4545">
        <v>0</v>
      </c>
      <c r="BL4545">
        <v>0</v>
      </c>
      <c r="BO4545">
        <v>0</v>
      </c>
      <c r="BP4545">
        <v>0</v>
      </c>
      <c r="BW4545" t="str">
        <f t="shared" si="2561"/>
        <v>15:00:27.316</v>
      </c>
      <c r="CJ4545">
        <v>0</v>
      </c>
      <c r="CK4545">
        <v>2</v>
      </c>
      <c r="CL4545">
        <v>0</v>
      </c>
      <c r="CM4545">
        <v>2</v>
      </c>
      <c r="CN4545">
        <v>0</v>
      </c>
      <c r="CO4545">
        <v>5</v>
      </c>
      <c r="CP4545" t="s">
        <v>119</v>
      </c>
      <c r="CQ4545">
        <v>298</v>
      </c>
      <c r="CR4545">
        <v>0</v>
      </c>
      <c r="CW4545">
        <v>10482565</v>
      </c>
      <c r="CY4545">
        <v>0</v>
      </c>
      <c r="CZ4545">
        <v>0</v>
      </c>
      <c r="DA4545">
        <v>1</v>
      </c>
      <c r="DB4545">
        <v>0</v>
      </c>
      <c r="DC4545">
        <v>0</v>
      </c>
      <c r="DD4545">
        <v>0</v>
      </c>
      <c r="DE4545">
        <v>0</v>
      </c>
      <c r="DF4545">
        <v>0</v>
      </c>
      <c r="DG4545">
        <v>0</v>
      </c>
      <c r="DH4545">
        <v>0</v>
      </c>
      <c r="DI4545">
        <v>0</v>
      </c>
    </row>
    <row r="4546" spans="1:113" x14ac:dyDescent="0.25">
      <c r="A4546" t="str">
        <f t="shared" ref="A4546:A4551" si="2562">"06/05/2020 15:00:22.506"</f>
        <v>06/05/2020 15:00:22.506</v>
      </c>
      <c r="C4546" t="str">
        <f t="shared" si="2544"/>
        <v>FFDFD3C0</v>
      </c>
      <c r="D4546" t="s">
        <v>148</v>
      </c>
      <c r="E4546">
        <v>8</v>
      </c>
      <c r="H4546">
        <v>50</v>
      </c>
      <c r="I4546" t="s">
        <v>149</v>
      </c>
      <c r="J4546" t="s">
        <v>150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 t="shared" ref="S4546:S4551" si="2563">"15:00:28.164"</f>
        <v>15:00:28.164</v>
      </c>
      <c r="T4546" t="str">
        <f t="shared" ref="T4546:T4551" si="2564">"15:00:27.364"</f>
        <v>15:00:27.364</v>
      </c>
      <c r="U4546" t="str">
        <f t="shared" ref="U4546:U4609" si="2565">"ACC530"</f>
        <v>ACC530</v>
      </c>
      <c r="V4546">
        <v>0</v>
      </c>
      <c r="W4546">
        <v>0</v>
      </c>
      <c r="X4546">
        <v>1</v>
      </c>
      <c r="Z4546">
        <v>0</v>
      </c>
      <c r="AA4546">
        <v>9</v>
      </c>
      <c r="AB4546">
        <v>3</v>
      </c>
      <c r="AC4546">
        <v>0</v>
      </c>
      <c r="AD4546">
        <v>9</v>
      </c>
      <c r="AE4546">
        <v>0</v>
      </c>
      <c r="AF4546">
        <v>3</v>
      </c>
      <c r="AG4546">
        <v>1</v>
      </c>
      <c r="AH4546">
        <v>0</v>
      </c>
      <c r="AI4546" t="s">
        <v>1410</v>
      </c>
      <c r="AJ4546">
        <v>34.074418999999999</v>
      </c>
      <c r="AK4546" t="s">
        <v>1421</v>
      </c>
      <c r="AL4546">
        <v>-117.056</v>
      </c>
      <c r="AM4546">
        <v>100</v>
      </c>
      <c r="AN4546">
        <v>4300</v>
      </c>
      <c r="AO4546" t="s">
        <v>118</v>
      </c>
      <c r="AP4546">
        <v>-117</v>
      </c>
      <c r="AQ4546">
        <v>-7</v>
      </c>
      <c r="AR4546">
        <v>-2304</v>
      </c>
      <c r="AZ4546">
        <v>1200</v>
      </c>
      <c r="BA4546">
        <v>1</v>
      </c>
      <c r="BB4546" t="str">
        <f t="shared" si="2526"/>
        <v xml:space="preserve">N9217B  </v>
      </c>
      <c r="BC4546">
        <v>1</v>
      </c>
      <c r="BE4546">
        <v>0</v>
      </c>
      <c r="BF4546">
        <v>0</v>
      </c>
      <c r="BG4546">
        <v>0</v>
      </c>
      <c r="BH4546">
        <v>4125</v>
      </c>
      <c r="BI4546">
        <v>1</v>
      </c>
      <c r="BJ4546">
        <v>0</v>
      </c>
      <c r="BK4546">
        <v>0</v>
      </c>
      <c r="BL4546">
        <v>0</v>
      </c>
      <c r="BO4546">
        <v>0</v>
      </c>
      <c r="BP4546">
        <v>0</v>
      </c>
      <c r="BW4546" t="str">
        <f t="shared" ref="BW4546:BW4551" si="2566">"15:00:28.171"</f>
        <v>15:00:28.171</v>
      </c>
      <c r="CJ4546">
        <v>0</v>
      </c>
      <c r="CK4546">
        <v>2</v>
      </c>
      <c r="CL4546">
        <v>0</v>
      </c>
      <c r="CM4546">
        <v>2</v>
      </c>
      <c r="CN4546">
        <v>0</v>
      </c>
      <c r="CO4546">
        <v>4</v>
      </c>
      <c r="CP4546" t="s">
        <v>119</v>
      </c>
      <c r="CQ4546">
        <v>298</v>
      </c>
      <c r="CR4546">
        <v>0</v>
      </c>
      <c r="CW4546">
        <v>10482670</v>
      </c>
      <c r="CY4546">
        <v>0</v>
      </c>
      <c r="CZ4546">
        <v>0</v>
      </c>
      <c r="DA4546">
        <v>0</v>
      </c>
      <c r="DB4546">
        <v>0</v>
      </c>
      <c r="DC4546">
        <v>0</v>
      </c>
      <c r="DD4546">
        <v>0</v>
      </c>
      <c r="DE4546">
        <v>0</v>
      </c>
      <c r="DF4546">
        <v>0</v>
      </c>
      <c r="DG4546">
        <v>0</v>
      </c>
      <c r="DH4546">
        <v>0</v>
      </c>
      <c r="DI4546">
        <v>0</v>
      </c>
    </row>
    <row r="4547" spans="1:113" x14ac:dyDescent="0.25">
      <c r="A4547" t="str">
        <f t="shared" si="2562"/>
        <v>06/05/2020 15:00:22.506</v>
      </c>
      <c r="C4547" t="str">
        <f t="shared" si="2544"/>
        <v>FFDFD3C0</v>
      </c>
      <c r="D4547" t="s">
        <v>141</v>
      </c>
      <c r="E4547">
        <v>20</v>
      </c>
      <c r="F4547">
        <v>1020</v>
      </c>
      <c r="G4547" t="s">
        <v>114</v>
      </c>
      <c r="J4547" t="s">
        <v>142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 t="shared" si="2563"/>
        <v>15:00:28.164</v>
      </c>
      <c r="T4547" t="str">
        <f t="shared" si="2564"/>
        <v>15:00:27.364</v>
      </c>
      <c r="U4547" t="str">
        <f t="shared" si="2565"/>
        <v>ACC530</v>
      </c>
      <c r="V4547">
        <v>0</v>
      </c>
      <c r="W4547">
        <v>0</v>
      </c>
      <c r="X4547">
        <v>1</v>
      </c>
      <c r="Z4547">
        <v>0</v>
      </c>
      <c r="AA4547">
        <v>9</v>
      </c>
      <c r="AB4547">
        <v>3</v>
      </c>
      <c r="AC4547">
        <v>0</v>
      </c>
      <c r="AD4547">
        <v>9</v>
      </c>
      <c r="AE4547">
        <v>0</v>
      </c>
      <c r="AF4547">
        <v>3</v>
      </c>
      <c r="AG4547">
        <v>1</v>
      </c>
      <c r="AH4547">
        <v>0</v>
      </c>
      <c r="AI4547" t="s">
        <v>1410</v>
      </c>
      <c r="AJ4547">
        <v>34.074418999999999</v>
      </c>
      <c r="AK4547" t="s">
        <v>1421</v>
      </c>
      <c r="AL4547">
        <v>-117.056</v>
      </c>
      <c r="AM4547">
        <v>100</v>
      </c>
      <c r="AN4547">
        <v>4300</v>
      </c>
      <c r="AO4547" t="s">
        <v>118</v>
      </c>
      <c r="AP4547">
        <v>-117</v>
      </c>
      <c r="AQ4547">
        <v>-7</v>
      </c>
      <c r="AR4547">
        <v>-2304</v>
      </c>
      <c r="AZ4547">
        <v>1200</v>
      </c>
      <c r="BA4547">
        <v>1</v>
      </c>
      <c r="BB4547" t="str">
        <f t="shared" si="2526"/>
        <v xml:space="preserve">N9217B  </v>
      </c>
      <c r="BC4547">
        <v>1</v>
      </c>
      <c r="BE4547">
        <v>0</v>
      </c>
      <c r="BF4547">
        <v>0</v>
      </c>
      <c r="BG4547">
        <v>0</v>
      </c>
      <c r="BH4547">
        <v>4125</v>
      </c>
      <c r="BI4547">
        <v>1</v>
      </c>
      <c r="BJ4547">
        <v>0</v>
      </c>
      <c r="BK4547">
        <v>0</v>
      </c>
      <c r="BL4547">
        <v>0</v>
      </c>
      <c r="BO4547">
        <v>0</v>
      </c>
      <c r="BP4547">
        <v>0</v>
      </c>
      <c r="BW4547" t="str">
        <f t="shared" si="2566"/>
        <v>15:00:28.171</v>
      </c>
      <c r="CJ4547">
        <v>0</v>
      </c>
      <c r="CK4547">
        <v>2</v>
      </c>
      <c r="CL4547">
        <v>0</v>
      </c>
      <c r="CM4547">
        <v>2</v>
      </c>
      <c r="CN4547">
        <v>0</v>
      </c>
      <c r="CO4547">
        <v>4</v>
      </c>
      <c r="CP4547" t="s">
        <v>119</v>
      </c>
      <c r="CQ4547">
        <v>298</v>
      </c>
      <c r="CR4547">
        <v>0</v>
      </c>
      <c r="CW4547">
        <v>10482670</v>
      </c>
      <c r="CY4547">
        <v>0</v>
      </c>
      <c r="CZ4547">
        <v>0</v>
      </c>
      <c r="DA4547">
        <v>1</v>
      </c>
      <c r="DB4547">
        <v>0</v>
      </c>
      <c r="DC4547">
        <v>0</v>
      </c>
      <c r="DD4547">
        <v>0</v>
      </c>
      <c r="DE4547">
        <v>0</v>
      </c>
      <c r="DF4547">
        <v>0</v>
      </c>
      <c r="DG4547">
        <v>0</v>
      </c>
      <c r="DH4547">
        <v>0</v>
      </c>
      <c r="DI4547">
        <v>0</v>
      </c>
    </row>
    <row r="4548" spans="1:113" x14ac:dyDescent="0.25">
      <c r="A4548" t="str">
        <f t="shared" si="2562"/>
        <v>06/05/2020 15:00:22.506</v>
      </c>
      <c r="C4548" t="str">
        <f t="shared" si="2544"/>
        <v>FFDFD3C0</v>
      </c>
      <c r="D4548" t="s">
        <v>134</v>
      </c>
      <c r="E4548">
        <v>7</v>
      </c>
      <c r="F4548">
        <v>2007</v>
      </c>
      <c r="G4548" t="s">
        <v>135</v>
      </c>
      <c r="J4548" t="s">
        <v>136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 t="shared" si="2563"/>
        <v>15:00:28.164</v>
      </c>
      <c r="T4548" t="str">
        <f t="shared" si="2564"/>
        <v>15:00:27.364</v>
      </c>
      <c r="U4548" t="str">
        <f t="shared" si="2565"/>
        <v>ACC530</v>
      </c>
      <c r="V4548">
        <v>0</v>
      </c>
      <c r="W4548">
        <v>0</v>
      </c>
      <c r="X4548">
        <v>1</v>
      </c>
      <c r="Z4548">
        <v>0</v>
      </c>
      <c r="AA4548">
        <v>9</v>
      </c>
      <c r="AB4548">
        <v>3</v>
      </c>
      <c r="AC4548">
        <v>0</v>
      </c>
      <c r="AD4548">
        <v>9</v>
      </c>
      <c r="AE4548">
        <v>0</v>
      </c>
      <c r="AF4548">
        <v>3</v>
      </c>
      <c r="AG4548">
        <v>1</v>
      </c>
      <c r="AH4548">
        <v>0</v>
      </c>
      <c r="AI4548" t="s">
        <v>1410</v>
      </c>
      <c r="AJ4548">
        <v>34.074418999999999</v>
      </c>
      <c r="AK4548" t="s">
        <v>1421</v>
      </c>
      <c r="AL4548">
        <v>-117.056</v>
      </c>
      <c r="AM4548">
        <v>100</v>
      </c>
      <c r="AN4548">
        <v>4300</v>
      </c>
      <c r="AO4548" t="s">
        <v>118</v>
      </c>
      <c r="AP4548">
        <v>-117</v>
      </c>
      <c r="AQ4548">
        <v>-7</v>
      </c>
      <c r="AR4548">
        <v>-2304</v>
      </c>
      <c r="AZ4548">
        <v>1200</v>
      </c>
      <c r="BA4548">
        <v>1</v>
      </c>
      <c r="BB4548" t="str">
        <f t="shared" si="2526"/>
        <v xml:space="preserve">N9217B  </v>
      </c>
      <c r="BC4548">
        <v>1</v>
      </c>
      <c r="BE4548">
        <v>0</v>
      </c>
      <c r="BF4548">
        <v>0</v>
      </c>
      <c r="BG4548">
        <v>0</v>
      </c>
      <c r="BH4548">
        <v>4125</v>
      </c>
      <c r="BI4548">
        <v>1</v>
      </c>
      <c r="BJ4548">
        <v>0</v>
      </c>
      <c r="BK4548">
        <v>0</v>
      </c>
      <c r="BL4548">
        <v>0</v>
      </c>
      <c r="BO4548">
        <v>0</v>
      </c>
      <c r="BP4548">
        <v>0</v>
      </c>
      <c r="BW4548" t="str">
        <f t="shared" si="2566"/>
        <v>15:00:28.171</v>
      </c>
      <c r="CJ4548">
        <v>0</v>
      </c>
      <c r="CK4548">
        <v>2</v>
      </c>
      <c r="CL4548">
        <v>0</v>
      </c>
      <c r="CM4548">
        <v>2</v>
      </c>
      <c r="CN4548">
        <v>0</v>
      </c>
      <c r="CO4548">
        <v>4</v>
      </c>
      <c r="CP4548" t="s">
        <v>119</v>
      </c>
      <c r="CQ4548">
        <v>298</v>
      </c>
      <c r="CR4548">
        <v>0</v>
      </c>
      <c r="CW4548">
        <v>10482670</v>
      </c>
      <c r="CY4548">
        <v>0</v>
      </c>
      <c r="CZ4548">
        <v>0</v>
      </c>
      <c r="DA4548">
        <v>1</v>
      </c>
      <c r="DB4548">
        <v>0</v>
      </c>
      <c r="DC4548">
        <v>0</v>
      </c>
      <c r="DD4548">
        <v>0</v>
      </c>
      <c r="DE4548">
        <v>0</v>
      </c>
      <c r="DF4548">
        <v>0</v>
      </c>
      <c r="DG4548">
        <v>0</v>
      </c>
      <c r="DH4548">
        <v>0</v>
      </c>
      <c r="DI4548">
        <v>0</v>
      </c>
    </row>
    <row r="4549" spans="1:113" x14ac:dyDescent="0.25">
      <c r="A4549" t="str">
        <f t="shared" si="2562"/>
        <v>06/05/2020 15:00:22.506</v>
      </c>
      <c r="C4549" t="str">
        <f t="shared" si="2544"/>
        <v>FFDFD3C0</v>
      </c>
      <c r="D4549" t="s">
        <v>148</v>
      </c>
      <c r="E4549">
        <v>11</v>
      </c>
      <c r="H4549">
        <v>53</v>
      </c>
      <c r="I4549" t="s">
        <v>364</v>
      </c>
      <c r="J4549" t="s">
        <v>150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 t="shared" si="2563"/>
        <v>15:00:28.164</v>
      </c>
      <c r="T4549" t="str">
        <f t="shared" si="2564"/>
        <v>15:00:27.364</v>
      </c>
      <c r="U4549" t="str">
        <f t="shared" si="2565"/>
        <v>ACC530</v>
      </c>
      <c r="V4549">
        <v>0</v>
      </c>
      <c r="W4549">
        <v>0</v>
      </c>
      <c r="X4549">
        <v>1</v>
      </c>
      <c r="Z4549">
        <v>0</v>
      </c>
      <c r="AA4549">
        <v>9</v>
      </c>
      <c r="AB4549">
        <v>3</v>
      </c>
      <c r="AC4549">
        <v>0</v>
      </c>
      <c r="AD4549">
        <v>9</v>
      </c>
      <c r="AE4549">
        <v>0</v>
      </c>
      <c r="AF4549">
        <v>3</v>
      </c>
      <c r="AG4549">
        <v>1</v>
      </c>
      <c r="AH4549">
        <v>0</v>
      </c>
      <c r="AI4549" t="s">
        <v>1410</v>
      </c>
      <c r="AJ4549">
        <v>34.074418999999999</v>
      </c>
      <c r="AK4549" t="s">
        <v>1421</v>
      </c>
      <c r="AL4549">
        <v>-117.056</v>
      </c>
      <c r="AM4549">
        <v>100</v>
      </c>
      <c r="AN4549">
        <v>4300</v>
      </c>
      <c r="AO4549" t="s">
        <v>118</v>
      </c>
      <c r="AP4549">
        <v>-117</v>
      </c>
      <c r="AQ4549">
        <v>-7</v>
      </c>
      <c r="AR4549">
        <v>-2304</v>
      </c>
      <c r="AZ4549">
        <v>1200</v>
      </c>
      <c r="BA4549">
        <v>1</v>
      </c>
      <c r="BB4549" t="str">
        <f t="shared" ref="BB4549:BB4612" si="2567">"N9217B  "</f>
        <v xml:space="preserve">N9217B  </v>
      </c>
      <c r="BC4549">
        <v>1</v>
      </c>
      <c r="BE4549">
        <v>0</v>
      </c>
      <c r="BF4549">
        <v>0</v>
      </c>
      <c r="BG4549">
        <v>0</v>
      </c>
      <c r="BH4549">
        <v>4125</v>
      </c>
      <c r="BI4549">
        <v>1</v>
      </c>
      <c r="BJ4549">
        <v>0</v>
      </c>
      <c r="BK4549">
        <v>0</v>
      </c>
      <c r="BL4549">
        <v>0</v>
      </c>
      <c r="BO4549">
        <v>0</v>
      </c>
      <c r="BP4549">
        <v>0</v>
      </c>
      <c r="BW4549" t="str">
        <f t="shared" si="2566"/>
        <v>15:00:28.171</v>
      </c>
      <c r="CJ4549">
        <v>0</v>
      </c>
      <c r="CK4549">
        <v>2</v>
      </c>
      <c r="CL4549">
        <v>0</v>
      </c>
      <c r="CM4549">
        <v>2</v>
      </c>
      <c r="CN4549">
        <v>0</v>
      </c>
      <c r="CO4549">
        <v>4</v>
      </c>
      <c r="CP4549" t="s">
        <v>119</v>
      </c>
      <c r="CQ4549">
        <v>298</v>
      </c>
      <c r="CR4549">
        <v>0</v>
      </c>
      <c r="CW4549">
        <v>10482670</v>
      </c>
      <c r="CY4549">
        <v>0</v>
      </c>
      <c r="CZ4549">
        <v>0</v>
      </c>
      <c r="DA4549">
        <v>1</v>
      </c>
      <c r="DB4549">
        <v>0</v>
      </c>
      <c r="DC4549">
        <v>0</v>
      </c>
      <c r="DD4549">
        <v>0</v>
      </c>
      <c r="DE4549">
        <v>0</v>
      </c>
      <c r="DF4549">
        <v>0</v>
      </c>
      <c r="DG4549">
        <v>0</v>
      </c>
      <c r="DH4549">
        <v>0</v>
      </c>
      <c r="DI4549">
        <v>0</v>
      </c>
    </row>
    <row r="4550" spans="1:113" x14ac:dyDescent="0.25">
      <c r="A4550" t="str">
        <f t="shared" si="2562"/>
        <v>06/05/2020 15:00:22.506</v>
      </c>
      <c r="C4550" t="str">
        <f t="shared" si="2544"/>
        <v>FFDFD3C0</v>
      </c>
      <c r="D4550" t="s">
        <v>151</v>
      </c>
      <c r="E4550">
        <v>8</v>
      </c>
      <c r="H4550">
        <v>225</v>
      </c>
      <c r="I4550" t="s">
        <v>353</v>
      </c>
      <c r="J4550" t="s">
        <v>150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 t="shared" si="2563"/>
        <v>15:00:28.164</v>
      </c>
      <c r="T4550" t="str">
        <f t="shared" si="2564"/>
        <v>15:00:27.364</v>
      </c>
      <c r="U4550" t="str">
        <f t="shared" si="2565"/>
        <v>ACC530</v>
      </c>
      <c r="V4550">
        <v>0</v>
      </c>
      <c r="W4550">
        <v>0</v>
      </c>
      <c r="X4550">
        <v>1</v>
      </c>
      <c r="Z4550">
        <v>0</v>
      </c>
      <c r="AA4550">
        <v>9</v>
      </c>
      <c r="AB4550">
        <v>3</v>
      </c>
      <c r="AC4550">
        <v>0</v>
      </c>
      <c r="AD4550">
        <v>9</v>
      </c>
      <c r="AE4550">
        <v>0</v>
      </c>
      <c r="AF4550">
        <v>3</v>
      </c>
      <c r="AG4550">
        <v>1</v>
      </c>
      <c r="AH4550">
        <v>0</v>
      </c>
      <c r="AI4550" t="s">
        <v>1410</v>
      </c>
      <c r="AJ4550">
        <v>34.074418999999999</v>
      </c>
      <c r="AK4550" t="s">
        <v>1421</v>
      </c>
      <c r="AL4550">
        <v>-117.056</v>
      </c>
      <c r="AM4550">
        <v>100</v>
      </c>
      <c r="AN4550">
        <v>4300</v>
      </c>
      <c r="AO4550" t="s">
        <v>118</v>
      </c>
      <c r="AP4550">
        <v>-117</v>
      </c>
      <c r="AQ4550">
        <v>-7</v>
      </c>
      <c r="AR4550">
        <v>-2304</v>
      </c>
      <c r="AZ4550">
        <v>1200</v>
      </c>
      <c r="BA4550">
        <v>1</v>
      </c>
      <c r="BB4550" t="str">
        <f t="shared" si="2567"/>
        <v xml:space="preserve">N9217B  </v>
      </c>
      <c r="BC4550">
        <v>1</v>
      </c>
      <c r="BE4550">
        <v>0</v>
      </c>
      <c r="BF4550">
        <v>0</v>
      </c>
      <c r="BG4550">
        <v>0</v>
      </c>
      <c r="BH4550">
        <v>4125</v>
      </c>
      <c r="BI4550">
        <v>1</v>
      </c>
      <c r="BJ4550">
        <v>0</v>
      </c>
      <c r="BK4550">
        <v>0</v>
      </c>
      <c r="BL4550">
        <v>0</v>
      </c>
      <c r="BO4550">
        <v>0</v>
      </c>
      <c r="BP4550">
        <v>0</v>
      </c>
      <c r="BW4550" t="str">
        <f t="shared" si="2566"/>
        <v>15:00:28.171</v>
      </c>
      <c r="CJ4550">
        <v>0</v>
      </c>
      <c r="CK4550">
        <v>2</v>
      </c>
      <c r="CL4550">
        <v>0</v>
      </c>
      <c r="CM4550">
        <v>2</v>
      </c>
      <c r="CN4550">
        <v>0</v>
      </c>
      <c r="CO4550">
        <v>4</v>
      </c>
      <c r="CP4550" t="s">
        <v>119</v>
      </c>
      <c r="CQ4550">
        <v>298</v>
      </c>
      <c r="CR4550">
        <v>0</v>
      </c>
      <c r="CW4550">
        <v>10482670</v>
      </c>
      <c r="CY4550">
        <v>0</v>
      </c>
      <c r="CZ4550">
        <v>0</v>
      </c>
      <c r="DA4550">
        <v>1</v>
      </c>
      <c r="DB4550">
        <v>0</v>
      </c>
      <c r="DC4550">
        <v>0</v>
      </c>
      <c r="DD4550">
        <v>0</v>
      </c>
      <c r="DE4550">
        <v>0</v>
      </c>
      <c r="DF4550">
        <v>0</v>
      </c>
      <c r="DG4550">
        <v>0</v>
      </c>
      <c r="DH4550">
        <v>0</v>
      </c>
      <c r="DI4550">
        <v>0</v>
      </c>
    </row>
    <row r="4551" spans="1:113" x14ac:dyDescent="0.25">
      <c r="A4551" t="str">
        <f t="shared" si="2562"/>
        <v>06/05/2020 15:00:22.506</v>
      </c>
      <c r="C4551" t="str">
        <f t="shared" si="2544"/>
        <v>FFDFD3C0</v>
      </c>
      <c r="D4551" t="s">
        <v>113</v>
      </c>
      <c r="E4551">
        <v>3</v>
      </c>
      <c r="H4551">
        <v>166</v>
      </c>
      <c r="I4551" t="s">
        <v>114</v>
      </c>
      <c r="J4551" t="s">
        <v>115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 t="shared" si="2563"/>
        <v>15:00:28.164</v>
      </c>
      <c r="T4551" t="str">
        <f t="shared" si="2564"/>
        <v>15:00:27.364</v>
      </c>
      <c r="U4551" t="str">
        <f t="shared" si="2565"/>
        <v>ACC530</v>
      </c>
      <c r="V4551">
        <v>0</v>
      </c>
      <c r="W4551">
        <v>0</v>
      </c>
      <c r="X4551">
        <v>1</v>
      </c>
      <c r="Z4551">
        <v>0</v>
      </c>
      <c r="AA4551">
        <v>9</v>
      </c>
      <c r="AB4551">
        <v>3</v>
      </c>
      <c r="AC4551">
        <v>0</v>
      </c>
      <c r="AD4551">
        <v>9</v>
      </c>
      <c r="AE4551">
        <v>0</v>
      </c>
      <c r="AF4551">
        <v>3</v>
      </c>
      <c r="AG4551">
        <v>1</v>
      </c>
      <c r="AH4551">
        <v>0</v>
      </c>
      <c r="AI4551" t="s">
        <v>1410</v>
      </c>
      <c r="AJ4551">
        <v>34.074418999999999</v>
      </c>
      <c r="AK4551" t="s">
        <v>1421</v>
      </c>
      <c r="AL4551">
        <v>-117.056</v>
      </c>
      <c r="AM4551">
        <v>100</v>
      </c>
      <c r="AN4551">
        <v>4300</v>
      </c>
      <c r="AO4551" t="s">
        <v>118</v>
      </c>
      <c r="AP4551">
        <v>-117</v>
      </c>
      <c r="AQ4551">
        <v>-7</v>
      </c>
      <c r="AR4551">
        <v>-2304</v>
      </c>
      <c r="AZ4551">
        <v>1200</v>
      </c>
      <c r="BA4551">
        <v>1</v>
      </c>
      <c r="BB4551" t="str">
        <f t="shared" si="2567"/>
        <v xml:space="preserve">N9217B  </v>
      </c>
      <c r="BC4551">
        <v>1</v>
      </c>
      <c r="BE4551">
        <v>0</v>
      </c>
      <c r="BF4551">
        <v>0</v>
      </c>
      <c r="BG4551">
        <v>0</v>
      </c>
      <c r="BH4551">
        <v>4125</v>
      </c>
      <c r="BI4551">
        <v>1</v>
      </c>
      <c r="BJ4551">
        <v>0</v>
      </c>
      <c r="BK4551">
        <v>0</v>
      </c>
      <c r="BL4551">
        <v>0</v>
      </c>
      <c r="BO4551">
        <v>0</v>
      </c>
      <c r="BP4551">
        <v>0</v>
      </c>
      <c r="BW4551" t="str">
        <f t="shared" si="2566"/>
        <v>15:00:28.171</v>
      </c>
      <c r="CJ4551">
        <v>0</v>
      </c>
      <c r="CK4551">
        <v>2</v>
      </c>
      <c r="CL4551">
        <v>0</v>
      </c>
      <c r="CM4551">
        <v>2</v>
      </c>
      <c r="CN4551">
        <v>0</v>
      </c>
      <c r="CO4551">
        <v>4</v>
      </c>
      <c r="CP4551" t="s">
        <v>119</v>
      </c>
      <c r="CQ4551">
        <v>298</v>
      </c>
      <c r="CR4551">
        <v>0</v>
      </c>
      <c r="CW4551">
        <v>10482670</v>
      </c>
      <c r="CY4551">
        <v>0</v>
      </c>
      <c r="CZ4551">
        <v>0</v>
      </c>
      <c r="DA4551">
        <v>1</v>
      </c>
      <c r="DB4551">
        <v>0</v>
      </c>
      <c r="DC4551">
        <v>0</v>
      </c>
      <c r="DD4551">
        <v>0</v>
      </c>
      <c r="DE4551">
        <v>0</v>
      </c>
      <c r="DF4551">
        <v>0</v>
      </c>
      <c r="DG4551">
        <v>0</v>
      </c>
      <c r="DH4551">
        <v>0</v>
      </c>
      <c r="DI4551">
        <v>0</v>
      </c>
    </row>
    <row r="4552" spans="1:113" x14ac:dyDescent="0.25">
      <c r="A4552" t="str">
        <f t="shared" ref="A4552:A4557" si="2568">"06/05/2020 15:00:25.034"</f>
        <v>06/05/2020 15:00:25.034</v>
      </c>
      <c r="C4552" t="str">
        <f t="shared" si="2544"/>
        <v>FFDFD3C0</v>
      </c>
      <c r="D4552" t="s">
        <v>141</v>
      </c>
      <c r="E4552">
        <v>20</v>
      </c>
      <c r="F4552">
        <v>1020</v>
      </c>
      <c r="G4552" t="s">
        <v>114</v>
      </c>
      <c r="J4552" t="s">
        <v>142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 t="shared" ref="S4552:S4557" si="2569">"15:00:30.656"</f>
        <v>15:00:30.656</v>
      </c>
      <c r="T4552" t="str">
        <f t="shared" ref="T4552:T4557" si="2570">"15:00:28.556"</f>
        <v>15:00:28.556</v>
      </c>
      <c r="U4552" t="str">
        <f t="shared" si="2565"/>
        <v>ACC530</v>
      </c>
      <c r="V4552">
        <v>0</v>
      </c>
      <c r="W4552">
        <v>0</v>
      </c>
      <c r="X4552">
        <v>1</v>
      </c>
      <c r="Z4552">
        <v>0</v>
      </c>
      <c r="AA4552">
        <v>9</v>
      </c>
      <c r="AB4552">
        <v>3</v>
      </c>
      <c r="AC4552">
        <v>0</v>
      </c>
      <c r="AD4552">
        <v>9</v>
      </c>
      <c r="AE4552">
        <v>0</v>
      </c>
      <c r="AF4552">
        <v>3</v>
      </c>
      <c r="AG4552">
        <v>1</v>
      </c>
      <c r="AH4552">
        <v>0</v>
      </c>
      <c r="AI4552" t="s">
        <v>1406</v>
      </c>
      <c r="AJ4552">
        <v>34.074289999999998</v>
      </c>
      <c r="AK4552" t="s">
        <v>937</v>
      </c>
      <c r="AL4552">
        <v>-117.05767400000001</v>
      </c>
      <c r="AM4552">
        <v>100</v>
      </c>
      <c r="AN4552">
        <v>4200</v>
      </c>
      <c r="AO4552" t="s">
        <v>118</v>
      </c>
      <c r="AP4552">
        <v>-118</v>
      </c>
      <c r="AQ4552">
        <v>-11</v>
      </c>
      <c r="AR4552">
        <v>-2368</v>
      </c>
      <c r="AZ4552">
        <v>1200</v>
      </c>
      <c r="BA4552">
        <v>1</v>
      </c>
      <c r="BB4552" t="str">
        <f t="shared" si="2567"/>
        <v xml:space="preserve">N9217B  </v>
      </c>
      <c r="BC4552">
        <v>1</v>
      </c>
      <c r="BE4552">
        <v>0</v>
      </c>
      <c r="BF4552">
        <v>0</v>
      </c>
      <c r="BG4552">
        <v>0</v>
      </c>
      <c r="BH4552">
        <v>3975</v>
      </c>
      <c r="BI4552">
        <v>1</v>
      </c>
      <c r="BJ4552">
        <v>0</v>
      </c>
      <c r="BK4552">
        <v>0</v>
      </c>
      <c r="BL4552">
        <v>0</v>
      </c>
      <c r="BO4552">
        <v>0</v>
      </c>
      <c r="BP4552">
        <v>0</v>
      </c>
      <c r="BW4552" t="str">
        <f t="shared" ref="BW4552:BW4557" si="2571">"15:00:30.660"</f>
        <v>15:00:30.660</v>
      </c>
      <c r="CJ4552">
        <v>0</v>
      </c>
      <c r="CK4552">
        <v>2</v>
      </c>
      <c r="CL4552">
        <v>0</v>
      </c>
      <c r="CM4552">
        <v>2</v>
      </c>
      <c r="CN4552">
        <v>0</v>
      </c>
      <c r="CO4552">
        <v>2</v>
      </c>
      <c r="CP4552" t="s">
        <v>119</v>
      </c>
      <c r="CQ4552">
        <v>298</v>
      </c>
      <c r="CR4552">
        <v>0</v>
      </c>
      <c r="CW4552">
        <v>10483012</v>
      </c>
      <c r="CY4552">
        <v>0</v>
      </c>
      <c r="CZ4552">
        <v>0</v>
      </c>
      <c r="DA4552">
        <v>0</v>
      </c>
      <c r="DB4552">
        <v>0</v>
      </c>
      <c r="DC4552">
        <v>0</v>
      </c>
      <c r="DD4552">
        <v>0</v>
      </c>
      <c r="DE4552">
        <v>0</v>
      </c>
      <c r="DF4552">
        <v>0</v>
      </c>
      <c r="DG4552">
        <v>0</v>
      </c>
      <c r="DH4552">
        <v>0</v>
      </c>
      <c r="DI4552">
        <v>0</v>
      </c>
    </row>
    <row r="4553" spans="1:113" x14ac:dyDescent="0.25">
      <c r="A4553" t="str">
        <f t="shared" si="2568"/>
        <v>06/05/2020 15:00:25.034</v>
      </c>
      <c r="C4553" t="str">
        <f t="shared" si="2544"/>
        <v>FFDFD3C0</v>
      </c>
      <c r="D4553" t="s">
        <v>148</v>
      </c>
      <c r="E4553">
        <v>8</v>
      </c>
      <c r="H4553">
        <v>50</v>
      </c>
      <c r="I4553" t="s">
        <v>149</v>
      </c>
      <c r="J4553" t="s">
        <v>150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 t="shared" si="2569"/>
        <v>15:00:30.656</v>
      </c>
      <c r="T4553" t="str">
        <f t="shared" si="2570"/>
        <v>15:00:28.556</v>
      </c>
      <c r="U4553" t="str">
        <f t="shared" si="2565"/>
        <v>ACC530</v>
      </c>
      <c r="V4553">
        <v>0</v>
      </c>
      <c r="W4553">
        <v>0</v>
      </c>
      <c r="X4553">
        <v>1</v>
      </c>
      <c r="Z4553">
        <v>0</v>
      </c>
      <c r="AA4553">
        <v>9</v>
      </c>
      <c r="AB4553">
        <v>3</v>
      </c>
      <c r="AC4553">
        <v>0</v>
      </c>
      <c r="AD4553">
        <v>9</v>
      </c>
      <c r="AE4553">
        <v>0</v>
      </c>
      <c r="AF4553">
        <v>3</v>
      </c>
      <c r="AG4553">
        <v>1</v>
      </c>
      <c r="AH4553">
        <v>0</v>
      </c>
      <c r="AI4553" t="s">
        <v>1406</v>
      </c>
      <c r="AJ4553">
        <v>34.074289999999998</v>
      </c>
      <c r="AK4553" t="s">
        <v>937</v>
      </c>
      <c r="AL4553">
        <v>-117.05767400000001</v>
      </c>
      <c r="AM4553">
        <v>100</v>
      </c>
      <c r="AN4553">
        <v>4200</v>
      </c>
      <c r="AO4553" t="s">
        <v>118</v>
      </c>
      <c r="AP4553">
        <v>-118</v>
      </c>
      <c r="AQ4553">
        <v>-11</v>
      </c>
      <c r="AR4553">
        <v>-2368</v>
      </c>
      <c r="AZ4553">
        <v>1200</v>
      </c>
      <c r="BA4553">
        <v>1</v>
      </c>
      <c r="BB4553" t="str">
        <f t="shared" si="2567"/>
        <v xml:space="preserve">N9217B  </v>
      </c>
      <c r="BC4553">
        <v>1</v>
      </c>
      <c r="BE4553">
        <v>0</v>
      </c>
      <c r="BF4553">
        <v>0</v>
      </c>
      <c r="BG4553">
        <v>0</v>
      </c>
      <c r="BH4553">
        <v>3975</v>
      </c>
      <c r="BI4553">
        <v>1</v>
      </c>
      <c r="BJ4553">
        <v>0</v>
      </c>
      <c r="BK4553">
        <v>0</v>
      </c>
      <c r="BL4553">
        <v>0</v>
      </c>
      <c r="BO4553">
        <v>0</v>
      </c>
      <c r="BP4553">
        <v>0</v>
      </c>
      <c r="BW4553" t="str">
        <f t="shared" si="2571"/>
        <v>15:00:30.660</v>
      </c>
      <c r="CJ4553">
        <v>0</v>
      </c>
      <c r="CK4553">
        <v>2</v>
      </c>
      <c r="CL4553">
        <v>0</v>
      </c>
      <c r="CM4553">
        <v>2</v>
      </c>
      <c r="CN4553">
        <v>0</v>
      </c>
      <c r="CO4553">
        <v>2</v>
      </c>
      <c r="CP4553" t="s">
        <v>119</v>
      </c>
      <c r="CQ4553">
        <v>298</v>
      </c>
      <c r="CR4553">
        <v>0</v>
      </c>
      <c r="CW4553">
        <v>10483012</v>
      </c>
      <c r="CY4553">
        <v>0</v>
      </c>
      <c r="CZ4553">
        <v>0</v>
      </c>
      <c r="DA4553">
        <v>1</v>
      </c>
      <c r="DB4553">
        <v>0</v>
      </c>
      <c r="DC4553">
        <v>0</v>
      </c>
      <c r="DD4553">
        <v>0</v>
      </c>
      <c r="DE4553">
        <v>0</v>
      </c>
      <c r="DF4553">
        <v>0</v>
      </c>
      <c r="DG4553">
        <v>0</v>
      </c>
      <c r="DH4553">
        <v>0</v>
      </c>
      <c r="DI4553">
        <v>0</v>
      </c>
    </row>
    <row r="4554" spans="1:113" x14ac:dyDescent="0.25">
      <c r="A4554" t="str">
        <f t="shared" si="2568"/>
        <v>06/05/2020 15:00:25.034</v>
      </c>
      <c r="C4554" t="str">
        <f t="shared" si="2544"/>
        <v>FFDFD3C0</v>
      </c>
      <c r="D4554" t="s">
        <v>134</v>
      </c>
      <c r="E4554">
        <v>7</v>
      </c>
      <c r="F4554">
        <v>2007</v>
      </c>
      <c r="G4554" t="s">
        <v>135</v>
      </c>
      <c r="J4554" t="s">
        <v>136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 t="shared" si="2569"/>
        <v>15:00:30.656</v>
      </c>
      <c r="T4554" t="str">
        <f t="shared" si="2570"/>
        <v>15:00:28.556</v>
      </c>
      <c r="U4554" t="str">
        <f t="shared" si="2565"/>
        <v>ACC530</v>
      </c>
      <c r="V4554">
        <v>0</v>
      </c>
      <c r="W4554">
        <v>0</v>
      </c>
      <c r="X4554">
        <v>1</v>
      </c>
      <c r="Z4554">
        <v>0</v>
      </c>
      <c r="AA4554">
        <v>9</v>
      </c>
      <c r="AB4554">
        <v>3</v>
      </c>
      <c r="AC4554">
        <v>0</v>
      </c>
      <c r="AD4554">
        <v>9</v>
      </c>
      <c r="AE4554">
        <v>0</v>
      </c>
      <c r="AF4554">
        <v>3</v>
      </c>
      <c r="AG4554">
        <v>1</v>
      </c>
      <c r="AH4554">
        <v>0</v>
      </c>
      <c r="AI4554" t="s">
        <v>1406</v>
      </c>
      <c r="AJ4554">
        <v>34.074289999999998</v>
      </c>
      <c r="AK4554" t="s">
        <v>937</v>
      </c>
      <c r="AL4554">
        <v>-117.05767400000001</v>
      </c>
      <c r="AM4554">
        <v>100</v>
      </c>
      <c r="AN4554">
        <v>4200</v>
      </c>
      <c r="AO4554" t="s">
        <v>118</v>
      </c>
      <c r="AP4554">
        <v>-118</v>
      </c>
      <c r="AQ4554">
        <v>-11</v>
      </c>
      <c r="AR4554">
        <v>-2368</v>
      </c>
      <c r="AZ4554">
        <v>1200</v>
      </c>
      <c r="BA4554">
        <v>1</v>
      </c>
      <c r="BB4554" t="str">
        <f t="shared" si="2567"/>
        <v xml:space="preserve">N9217B  </v>
      </c>
      <c r="BC4554">
        <v>1</v>
      </c>
      <c r="BE4554">
        <v>0</v>
      </c>
      <c r="BF4554">
        <v>0</v>
      </c>
      <c r="BG4554">
        <v>0</v>
      </c>
      <c r="BH4554">
        <v>3975</v>
      </c>
      <c r="BI4554">
        <v>1</v>
      </c>
      <c r="BJ4554">
        <v>0</v>
      </c>
      <c r="BK4554">
        <v>0</v>
      </c>
      <c r="BL4554">
        <v>0</v>
      </c>
      <c r="BO4554">
        <v>0</v>
      </c>
      <c r="BP4554">
        <v>0</v>
      </c>
      <c r="BW4554" t="str">
        <f t="shared" si="2571"/>
        <v>15:00:30.660</v>
      </c>
      <c r="CJ4554">
        <v>0</v>
      </c>
      <c r="CK4554">
        <v>2</v>
      </c>
      <c r="CL4554">
        <v>0</v>
      </c>
      <c r="CM4554">
        <v>2</v>
      </c>
      <c r="CN4554">
        <v>0</v>
      </c>
      <c r="CO4554">
        <v>2</v>
      </c>
      <c r="CP4554" t="s">
        <v>119</v>
      </c>
      <c r="CQ4554">
        <v>298</v>
      </c>
      <c r="CR4554">
        <v>0</v>
      </c>
      <c r="CW4554">
        <v>10483012</v>
      </c>
      <c r="CY4554">
        <v>0</v>
      </c>
      <c r="CZ4554">
        <v>0</v>
      </c>
      <c r="DA4554">
        <v>1</v>
      </c>
      <c r="DB4554">
        <v>0</v>
      </c>
      <c r="DC4554">
        <v>0</v>
      </c>
      <c r="DD4554">
        <v>0</v>
      </c>
      <c r="DE4554">
        <v>0</v>
      </c>
      <c r="DF4554">
        <v>0</v>
      </c>
      <c r="DG4554">
        <v>0</v>
      </c>
      <c r="DH4554">
        <v>0</v>
      </c>
      <c r="DI4554">
        <v>0</v>
      </c>
    </row>
    <row r="4555" spans="1:113" x14ac:dyDescent="0.25">
      <c r="A4555" t="str">
        <f t="shared" si="2568"/>
        <v>06/05/2020 15:00:25.034</v>
      </c>
      <c r="C4555" t="str">
        <f t="shared" si="2544"/>
        <v>FFDFD3C0</v>
      </c>
      <c r="D4555" t="s">
        <v>148</v>
      </c>
      <c r="E4555">
        <v>11</v>
      </c>
      <c r="H4555">
        <v>53</v>
      </c>
      <c r="I4555" t="s">
        <v>364</v>
      </c>
      <c r="J4555" t="s">
        <v>150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 t="shared" si="2569"/>
        <v>15:00:30.656</v>
      </c>
      <c r="T4555" t="str">
        <f t="shared" si="2570"/>
        <v>15:00:28.556</v>
      </c>
      <c r="U4555" t="str">
        <f t="shared" si="2565"/>
        <v>ACC530</v>
      </c>
      <c r="V4555">
        <v>0</v>
      </c>
      <c r="W4555">
        <v>0</v>
      </c>
      <c r="X4555">
        <v>1</v>
      </c>
      <c r="Z4555">
        <v>0</v>
      </c>
      <c r="AA4555">
        <v>9</v>
      </c>
      <c r="AB4555">
        <v>3</v>
      </c>
      <c r="AC4555">
        <v>0</v>
      </c>
      <c r="AD4555">
        <v>9</v>
      </c>
      <c r="AE4555">
        <v>0</v>
      </c>
      <c r="AF4555">
        <v>3</v>
      </c>
      <c r="AG4555">
        <v>1</v>
      </c>
      <c r="AH4555">
        <v>0</v>
      </c>
      <c r="AI4555" t="s">
        <v>1406</v>
      </c>
      <c r="AJ4555">
        <v>34.074289999999998</v>
      </c>
      <c r="AK4555" t="s">
        <v>937</v>
      </c>
      <c r="AL4555">
        <v>-117.05767400000001</v>
      </c>
      <c r="AM4555">
        <v>100</v>
      </c>
      <c r="AN4555">
        <v>4200</v>
      </c>
      <c r="AO4555" t="s">
        <v>118</v>
      </c>
      <c r="AP4555">
        <v>-118</v>
      </c>
      <c r="AQ4555">
        <v>-11</v>
      </c>
      <c r="AR4555">
        <v>-2368</v>
      </c>
      <c r="AZ4555">
        <v>1200</v>
      </c>
      <c r="BA4555">
        <v>1</v>
      </c>
      <c r="BB4555" t="str">
        <f t="shared" si="2567"/>
        <v xml:space="preserve">N9217B  </v>
      </c>
      <c r="BC4555">
        <v>1</v>
      </c>
      <c r="BE4555">
        <v>0</v>
      </c>
      <c r="BF4555">
        <v>0</v>
      </c>
      <c r="BG4555">
        <v>0</v>
      </c>
      <c r="BH4555">
        <v>3975</v>
      </c>
      <c r="BI4555">
        <v>1</v>
      </c>
      <c r="BJ4555">
        <v>0</v>
      </c>
      <c r="BK4555">
        <v>0</v>
      </c>
      <c r="BL4555">
        <v>0</v>
      </c>
      <c r="BO4555">
        <v>0</v>
      </c>
      <c r="BP4555">
        <v>0</v>
      </c>
      <c r="BW4555" t="str">
        <f t="shared" si="2571"/>
        <v>15:00:30.660</v>
      </c>
      <c r="CJ4555">
        <v>0</v>
      </c>
      <c r="CK4555">
        <v>2</v>
      </c>
      <c r="CL4555">
        <v>0</v>
      </c>
      <c r="CM4555">
        <v>2</v>
      </c>
      <c r="CN4555">
        <v>0</v>
      </c>
      <c r="CO4555">
        <v>2</v>
      </c>
      <c r="CP4555" t="s">
        <v>119</v>
      </c>
      <c r="CQ4555">
        <v>298</v>
      </c>
      <c r="CR4555">
        <v>0</v>
      </c>
      <c r="CW4555">
        <v>10483012</v>
      </c>
      <c r="CY4555">
        <v>0</v>
      </c>
      <c r="CZ4555">
        <v>0</v>
      </c>
      <c r="DA4555">
        <v>1</v>
      </c>
      <c r="DB4555">
        <v>0</v>
      </c>
      <c r="DC4555">
        <v>0</v>
      </c>
      <c r="DD4555">
        <v>0</v>
      </c>
      <c r="DE4555">
        <v>0</v>
      </c>
      <c r="DF4555">
        <v>0</v>
      </c>
      <c r="DG4555">
        <v>0</v>
      </c>
      <c r="DH4555">
        <v>0</v>
      </c>
      <c r="DI4555">
        <v>0</v>
      </c>
    </row>
    <row r="4556" spans="1:113" x14ac:dyDescent="0.25">
      <c r="A4556" t="str">
        <f t="shared" si="2568"/>
        <v>06/05/2020 15:00:25.034</v>
      </c>
      <c r="C4556" t="str">
        <f t="shared" si="2544"/>
        <v>FFDFD3C0</v>
      </c>
      <c r="D4556" t="s">
        <v>151</v>
      </c>
      <c r="E4556">
        <v>8</v>
      </c>
      <c r="H4556">
        <v>225</v>
      </c>
      <c r="I4556" t="s">
        <v>353</v>
      </c>
      <c r="J4556" t="s">
        <v>150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 t="shared" si="2569"/>
        <v>15:00:30.656</v>
      </c>
      <c r="T4556" t="str">
        <f t="shared" si="2570"/>
        <v>15:00:28.556</v>
      </c>
      <c r="U4556" t="str">
        <f t="shared" si="2565"/>
        <v>ACC530</v>
      </c>
      <c r="V4556">
        <v>0</v>
      </c>
      <c r="W4556">
        <v>0</v>
      </c>
      <c r="X4556">
        <v>1</v>
      </c>
      <c r="Z4556">
        <v>0</v>
      </c>
      <c r="AA4556">
        <v>9</v>
      </c>
      <c r="AB4556">
        <v>3</v>
      </c>
      <c r="AC4556">
        <v>0</v>
      </c>
      <c r="AD4556">
        <v>9</v>
      </c>
      <c r="AE4556">
        <v>0</v>
      </c>
      <c r="AF4556">
        <v>3</v>
      </c>
      <c r="AG4556">
        <v>1</v>
      </c>
      <c r="AH4556">
        <v>0</v>
      </c>
      <c r="AI4556" t="s">
        <v>1406</v>
      </c>
      <c r="AJ4556">
        <v>34.074289999999998</v>
      </c>
      <c r="AK4556" t="s">
        <v>937</v>
      </c>
      <c r="AL4556">
        <v>-117.05767400000001</v>
      </c>
      <c r="AM4556">
        <v>100</v>
      </c>
      <c r="AN4556">
        <v>4200</v>
      </c>
      <c r="AO4556" t="s">
        <v>118</v>
      </c>
      <c r="AP4556">
        <v>-118</v>
      </c>
      <c r="AQ4556">
        <v>-11</v>
      </c>
      <c r="AR4556">
        <v>-2368</v>
      </c>
      <c r="AZ4556">
        <v>1200</v>
      </c>
      <c r="BA4556">
        <v>1</v>
      </c>
      <c r="BB4556" t="str">
        <f t="shared" si="2567"/>
        <v xml:space="preserve">N9217B  </v>
      </c>
      <c r="BC4556">
        <v>1</v>
      </c>
      <c r="BE4556">
        <v>0</v>
      </c>
      <c r="BF4556">
        <v>0</v>
      </c>
      <c r="BG4556">
        <v>0</v>
      </c>
      <c r="BH4556">
        <v>3975</v>
      </c>
      <c r="BI4556">
        <v>1</v>
      </c>
      <c r="BJ4556">
        <v>0</v>
      </c>
      <c r="BK4556">
        <v>0</v>
      </c>
      <c r="BL4556">
        <v>0</v>
      </c>
      <c r="BO4556">
        <v>0</v>
      </c>
      <c r="BP4556">
        <v>0</v>
      </c>
      <c r="BW4556" t="str">
        <f t="shared" si="2571"/>
        <v>15:00:30.660</v>
      </c>
      <c r="CJ4556">
        <v>0</v>
      </c>
      <c r="CK4556">
        <v>2</v>
      </c>
      <c r="CL4556">
        <v>0</v>
      </c>
      <c r="CM4556">
        <v>2</v>
      </c>
      <c r="CN4556">
        <v>0</v>
      </c>
      <c r="CO4556">
        <v>2</v>
      </c>
      <c r="CP4556" t="s">
        <v>119</v>
      </c>
      <c r="CQ4556">
        <v>298</v>
      </c>
      <c r="CR4556">
        <v>0</v>
      </c>
      <c r="CW4556">
        <v>10483012</v>
      </c>
      <c r="CY4556">
        <v>0</v>
      </c>
      <c r="CZ4556">
        <v>0</v>
      </c>
      <c r="DA4556">
        <v>1</v>
      </c>
      <c r="DB4556">
        <v>0</v>
      </c>
      <c r="DC4556">
        <v>0</v>
      </c>
      <c r="DD4556">
        <v>0</v>
      </c>
      <c r="DE4556">
        <v>0</v>
      </c>
      <c r="DF4556">
        <v>0</v>
      </c>
      <c r="DG4556">
        <v>0</v>
      </c>
      <c r="DH4556">
        <v>0</v>
      </c>
      <c r="DI4556">
        <v>0</v>
      </c>
    </row>
    <row r="4557" spans="1:113" x14ac:dyDescent="0.25">
      <c r="A4557" t="str">
        <f t="shared" si="2568"/>
        <v>06/05/2020 15:00:25.034</v>
      </c>
      <c r="C4557" t="str">
        <f t="shared" si="2544"/>
        <v>FFDFD3C0</v>
      </c>
      <c r="D4557" t="s">
        <v>113</v>
      </c>
      <c r="E4557">
        <v>3</v>
      </c>
      <c r="H4557">
        <v>166</v>
      </c>
      <c r="I4557" t="s">
        <v>114</v>
      </c>
      <c r="J4557" t="s">
        <v>115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 t="shared" si="2569"/>
        <v>15:00:30.656</v>
      </c>
      <c r="T4557" t="str">
        <f t="shared" si="2570"/>
        <v>15:00:28.556</v>
      </c>
      <c r="U4557" t="str">
        <f t="shared" si="2565"/>
        <v>ACC530</v>
      </c>
      <c r="V4557">
        <v>0</v>
      </c>
      <c r="W4557">
        <v>0</v>
      </c>
      <c r="X4557">
        <v>1</v>
      </c>
      <c r="Z4557">
        <v>0</v>
      </c>
      <c r="AA4557">
        <v>9</v>
      </c>
      <c r="AB4557">
        <v>3</v>
      </c>
      <c r="AC4557">
        <v>0</v>
      </c>
      <c r="AD4557">
        <v>9</v>
      </c>
      <c r="AE4557">
        <v>0</v>
      </c>
      <c r="AF4557">
        <v>3</v>
      </c>
      <c r="AG4557">
        <v>1</v>
      </c>
      <c r="AH4557">
        <v>0</v>
      </c>
      <c r="AI4557" t="s">
        <v>1406</v>
      </c>
      <c r="AJ4557">
        <v>34.074289999999998</v>
      </c>
      <c r="AK4557" t="s">
        <v>937</v>
      </c>
      <c r="AL4557">
        <v>-117.05767400000001</v>
      </c>
      <c r="AM4557">
        <v>100</v>
      </c>
      <c r="AN4557">
        <v>4200</v>
      </c>
      <c r="AO4557" t="s">
        <v>118</v>
      </c>
      <c r="AP4557">
        <v>-118</v>
      </c>
      <c r="AQ4557">
        <v>-11</v>
      </c>
      <c r="AR4557">
        <v>-2368</v>
      </c>
      <c r="AZ4557">
        <v>1200</v>
      </c>
      <c r="BA4557">
        <v>1</v>
      </c>
      <c r="BB4557" t="str">
        <f t="shared" si="2567"/>
        <v xml:space="preserve">N9217B  </v>
      </c>
      <c r="BC4557">
        <v>1</v>
      </c>
      <c r="BE4557">
        <v>0</v>
      </c>
      <c r="BF4557">
        <v>0</v>
      </c>
      <c r="BG4557">
        <v>0</v>
      </c>
      <c r="BH4557">
        <v>3975</v>
      </c>
      <c r="BI4557">
        <v>1</v>
      </c>
      <c r="BJ4557">
        <v>0</v>
      </c>
      <c r="BK4557">
        <v>0</v>
      </c>
      <c r="BL4557">
        <v>0</v>
      </c>
      <c r="BO4557">
        <v>0</v>
      </c>
      <c r="BP4557">
        <v>0</v>
      </c>
      <c r="BW4557" t="str">
        <f t="shared" si="2571"/>
        <v>15:00:30.660</v>
      </c>
      <c r="CJ4557">
        <v>0</v>
      </c>
      <c r="CK4557">
        <v>2</v>
      </c>
      <c r="CL4557">
        <v>0</v>
      </c>
      <c r="CM4557">
        <v>2</v>
      </c>
      <c r="CN4557">
        <v>0</v>
      </c>
      <c r="CO4557">
        <v>2</v>
      </c>
      <c r="CP4557" t="s">
        <v>119</v>
      </c>
      <c r="CQ4557">
        <v>298</v>
      </c>
      <c r="CR4557">
        <v>0</v>
      </c>
      <c r="CW4557">
        <v>10483012</v>
      </c>
      <c r="CY4557">
        <v>0</v>
      </c>
      <c r="CZ4557">
        <v>0</v>
      </c>
      <c r="DA4557">
        <v>1</v>
      </c>
      <c r="DB4557">
        <v>0</v>
      </c>
      <c r="DC4557">
        <v>0</v>
      </c>
      <c r="DD4557">
        <v>0</v>
      </c>
      <c r="DE4557">
        <v>0</v>
      </c>
      <c r="DF4557">
        <v>0</v>
      </c>
      <c r="DG4557">
        <v>0</v>
      </c>
      <c r="DH4557">
        <v>0</v>
      </c>
      <c r="DI4557">
        <v>0</v>
      </c>
    </row>
    <row r="4558" spans="1:113" x14ac:dyDescent="0.25">
      <c r="A4558" t="str">
        <f t="shared" ref="A4558:A4563" si="2572">"06/05/2020 15:00:26.080"</f>
        <v>06/05/2020 15:00:26.080</v>
      </c>
      <c r="C4558" t="str">
        <f t="shared" si="2544"/>
        <v>FFDFD3C0</v>
      </c>
      <c r="D4558" t="s">
        <v>148</v>
      </c>
      <c r="E4558">
        <v>11</v>
      </c>
      <c r="H4558">
        <v>53</v>
      </c>
      <c r="I4558" t="s">
        <v>364</v>
      </c>
      <c r="J4558" t="s">
        <v>150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 t="shared" ref="S4558:S4563" si="2573">"15:00:31.703"</f>
        <v>15:00:31.703</v>
      </c>
      <c r="T4558" t="str">
        <f t="shared" ref="T4558:T4563" si="2574">"15:00:31.503"</f>
        <v>15:00:31.503</v>
      </c>
      <c r="U4558" t="str">
        <f t="shared" si="2565"/>
        <v>ACC530</v>
      </c>
      <c r="V4558">
        <v>0</v>
      </c>
      <c r="W4558">
        <v>0</v>
      </c>
      <c r="X4558">
        <v>1</v>
      </c>
      <c r="Z4558">
        <v>0</v>
      </c>
      <c r="AA4558">
        <v>9</v>
      </c>
      <c r="AB4558">
        <v>3</v>
      </c>
      <c r="AC4558">
        <v>0</v>
      </c>
      <c r="AD4558">
        <v>9</v>
      </c>
      <c r="AE4558">
        <v>0</v>
      </c>
      <c r="AF4558">
        <v>3</v>
      </c>
      <c r="AG4558">
        <v>1</v>
      </c>
      <c r="AH4558">
        <v>0</v>
      </c>
      <c r="AI4558" t="s">
        <v>1422</v>
      </c>
      <c r="AJ4558">
        <v>34.074182999999998</v>
      </c>
      <c r="AK4558" t="s">
        <v>1423</v>
      </c>
      <c r="AL4558">
        <v>-117.058318</v>
      </c>
      <c r="AM4558">
        <v>100</v>
      </c>
      <c r="AN4558">
        <v>4200</v>
      </c>
      <c r="AO4558" t="s">
        <v>118</v>
      </c>
      <c r="AP4558">
        <v>-120</v>
      </c>
      <c r="AQ4558">
        <v>-18</v>
      </c>
      <c r="AR4558">
        <v>-2240</v>
      </c>
      <c r="AZ4558">
        <v>1200</v>
      </c>
      <c r="BA4558">
        <v>1</v>
      </c>
      <c r="BB4558" t="str">
        <f t="shared" si="2567"/>
        <v xml:space="preserve">N9217B  </v>
      </c>
      <c r="BC4558">
        <v>1</v>
      </c>
      <c r="BE4558">
        <v>0</v>
      </c>
      <c r="BF4558">
        <v>0</v>
      </c>
      <c r="BG4558">
        <v>0</v>
      </c>
      <c r="BH4558">
        <v>3950</v>
      </c>
      <c r="BI4558">
        <v>1</v>
      </c>
      <c r="BJ4558">
        <v>0</v>
      </c>
      <c r="BK4558">
        <v>0</v>
      </c>
      <c r="BL4558">
        <v>0</v>
      </c>
      <c r="BO4558">
        <v>0</v>
      </c>
      <c r="BP4558">
        <v>0</v>
      </c>
      <c r="BW4558" t="str">
        <f t="shared" ref="BW4558:BW4563" si="2575">"15:00:31.710"</f>
        <v>15:00:31.710</v>
      </c>
      <c r="CJ4558">
        <v>0</v>
      </c>
      <c r="CK4558">
        <v>2</v>
      </c>
      <c r="CL4558">
        <v>0</v>
      </c>
      <c r="CM4558">
        <v>2</v>
      </c>
      <c r="CN4558">
        <v>0</v>
      </c>
      <c r="CO4558">
        <v>5</v>
      </c>
      <c r="CP4558" t="s">
        <v>119</v>
      </c>
      <c r="CQ4558">
        <v>298</v>
      </c>
      <c r="CR4558">
        <v>0</v>
      </c>
      <c r="CW4558">
        <v>10483155</v>
      </c>
      <c r="CY4558">
        <v>0</v>
      </c>
      <c r="CZ4558">
        <v>0</v>
      </c>
      <c r="DA4558">
        <v>0</v>
      </c>
      <c r="DB4558">
        <v>0</v>
      </c>
      <c r="DC4558">
        <v>0</v>
      </c>
      <c r="DD4558">
        <v>0</v>
      </c>
      <c r="DE4558">
        <v>0</v>
      </c>
      <c r="DF4558">
        <v>0</v>
      </c>
      <c r="DG4558">
        <v>0</v>
      </c>
      <c r="DH4558">
        <v>0</v>
      </c>
      <c r="DI4558">
        <v>0</v>
      </c>
    </row>
    <row r="4559" spans="1:113" x14ac:dyDescent="0.25">
      <c r="A4559" t="str">
        <f t="shared" si="2572"/>
        <v>06/05/2020 15:00:26.080</v>
      </c>
      <c r="C4559" t="str">
        <f t="shared" si="2544"/>
        <v>FFDFD3C0</v>
      </c>
      <c r="D4559" t="s">
        <v>113</v>
      </c>
      <c r="E4559">
        <v>3</v>
      </c>
      <c r="H4559">
        <v>166</v>
      </c>
      <c r="I4559" t="s">
        <v>114</v>
      </c>
      <c r="J4559" t="s">
        <v>115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 t="shared" si="2573"/>
        <v>15:00:31.703</v>
      </c>
      <c r="T4559" t="str">
        <f t="shared" si="2574"/>
        <v>15:00:31.503</v>
      </c>
      <c r="U4559" t="str">
        <f t="shared" si="2565"/>
        <v>ACC530</v>
      </c>
      <c r="V4559">
        <v>0</v>
      </c>
      <c r="W4559">
        <v>0</v>
      </c>
      <c r="X4559">
        <v>1</v>
      </c>
      <c r="Z4559">
        <v>0</v>
      </c>
      <c r="AA4559">
        <v>9</v>
      </c>
      <c r="AB4559">
        <v>3</v>
      </c>
      <c r="AC4559">
        <v>0</v>
      </c>
      <c r="AD4559">
        <v>9</v>
      </c>
      <c r="AE4559">
        <v>0</v>
      </c>
      <c r="AF4559">
        <v>3</v>
      </c>
      <c r="AG4559">
        <v>1</v>
      </c>
      <c r="AH4559">
        <v>0</v>
      </c>
      <c r="AI4559" t="s">
        <v>1422</v>
      </c>
      <c r="AJ4559">
        <v>34.074182999999998</v>
      </c>
      <c r="AK4559" t="s">
        <v>1423</v>
      </c>
      <c r="AL4559">
        <v>-117.058318</v>
      </c>
      <c r="AM4559">
        <v>100</v>
      </c>
      <c r="AN4559">
        <v>4200</v>
      </c>
      <c r="AO4559" t="s">
        <v>118</v>
      </c>
      <c r="AP4559">
        <v>-120</v>
      </c>
      <c r="AQ4559">
        <v>-18</v>
      </c>
      <c r="AR4559">
        <v>-2240</v>
      </c>
      <c r="AZ4559">
        <v>1200</v>
      </c>
      <c r="BA4559">
        <v>1</v>
      </c>
      <c r="BB4559" t="str">
        <f t="shared" si="2567"/>
        <v xml:space="preserve">N9217B  </v>
      </c>
      <c r="BC4559">
        <v>1</v>
      </c>
      <c r="BE4559">
        <v>0</v>
      </c>
      <c r="BF4559">
        <v>0</v>
      </c>
      <c r="BG4559">
        <v>0</v>
      </c>
      <c r="BH4559">
        <v>3950</v>
      </c>
      <c r="BI4559">
        <v>1</v>
      </c>
      <c r="BJ4559">
        <v>0</v>
      </c>
      <c r="BK4559">
        <v>0</v>
      </c>
      <c r="BL4559">
        <v>0</v>
      </c>
      <c r="BO4559">
        <v>0</v>
      </c>
      <c r="BP4559">
        <v>0</v>
      </c>
      <c r="BW4559" t="str">
        <f t="shared" si="2575"/>
        <v>15:00:31.710</v>
      </c>
      <c r="CJ4559">
        <v>0</v>
      </c>
      <c r="CK4559">
        <v>2</v>
      </c>
      <c r="CL4559">
        <v>0</v>
      </c>
      <c r="CM4559">
        <v>2</v>
      </c>
      <c r="CN4559">
        <v>0</v>
      </c>
      <c r="CO4559">
        <v>5</v>
      </c>
      <c r="CP4559" t="s">
        <v>119</v>
      </c>
      <c r="CQ4559">
        <v>298</v>
      </c>
      <c r="CR4559">
        <v>0</v>
      </c>
      <c r="CW4559">
        <v>10483155</v>
      </c>
      <c r="CY4559">
        <v>0</v>
      </c>
      <c r="CZ4559">
        <v>0</v>
      </c>
      <c r="DA4559">
        <v>1</v>
      </c>
      <c r="DB4559">
        <v>0</v>
      </c>
      <c r="DC4559">
        <v>0</v>
      </c>
      <c r="DD4559">
        <v>0</v>
      </c>
      <c r="DE4559">
        <v>0</v>
      </c>
      <c r="DF4559">
        <v>0</v>
      </c>
      <c r="DG4559">
        <v>0</v>
      </c>
      <c r="DH4559">
        <v>0</v>
      </c>
      <c r="DI4559">
        <v>0</v>
      </c>
    </row>
    <row r="4560" spans="1:113" x14ac:dyDescent="0.25">
      <c r="A4560" t="str">
        <f t="shared" si="2572"/>
        <v>06/05/2020 15:00:26.080</v>
      </c>
      <c r="C4560" t="str">
        <f t="shared" si="2544"/>
        <v>FFDFD3C0</v>
      </c>
      <c r="D4560" t="s">
        <v>151</v>
      </c>
      <c r="E4560">
        <v>8</v>
      </c>
      <c r="H4560">
        <v>225</v>
      </c>
      <c r="I4560" t="s">
        <v>353</v>
      </c>
      <c r="J4560" t="s">
        <v>150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 t="shared" si="2573"/>
        <v>15:00:31.703</v>
      </c>
      <c r="T4560" t="str">
        <f t="shared" si="2574"/>
        <v>15:00:31.503</v>
      </c>
      <c r="U4560" t="str">
        <f t="shared" si="2565"/>
        <v>ACC530</v>
      </c>
      <c r="V4560">
        <v>0</v>
      </c>
      <c r="W4560">
        <v>0</v>
      </c>
      <c r="X4560">
        <v>1</v>
      </c>
      <c r="Z4560">
        <v>0</v>
      </c>
      <c r="AA4560">
        <v>9</v>
      </c>
      <c r="AB4560">
        <v>3</v>
      </c>
      <c r="AC4560">
        <v>0</v>
      </c>
      <c r="AD4560">
        <v>9</v>
      </c>
      <c r="AE4560">
        <v>0</v>
      </c>
      <c r="AF4560">
        <v>3</v>
      </c>
      <c r="AG4560">
        <v>1</v>
      </c>
      <c r="AH4560">
        <v>0</v>
      </c>
      <c r="AI4560" t="s">
        <v>1422</v>
      </c>
      <c r="AJ4560">
        <v>34.074182999999998</v>
      </c>
      <c r="AK4560" t="s">
        <v>1423</v>
      </c>
      <c r="AL4560">
        <v>-117.058318</v>
      </c>
      <c r="AM4560">
        <v>100</v>
      </c>
      <c r="AN4560">
        <v>4200</v>
      </c>
      <c r="AO4560" t="s">
        <v>118</v>
      </c>
      <c r="AP4560">
        <v>-120</v>
      </c>
      <c r="AQ4560">
        <v>-18</v>
      </c>
      <c r="AR4560">
        <v>-2240</v>
      </c>
      <c r="AZ4560">
        <v>1200</v>
      </c>
      <c r="BA4560">
        <v>1</v>
      </c>
      <c r="BB4560" t="str">
        <f t="shared" si="2567"/>
        <v xml:space="preserve">N9217B  </v>
      </c>
      <c r="BC4560">
        <v>1</v>
      </c>
      <c r="BE4560">
        <v>0</v>
      </c>
      <c r="BF4560">
        <v>0</v>
      </c>
      <c r="BG4560">
        <v>0</v>
      </c>
      <c r="BH4560">
        <v>3950</v>
      </c>
      <c r="BI4560">
        <v>1</v>
      </c>
      <c r="BJ4560">
        <v>0</v>
      </c>
      <c r="BK4560">
        <v>0</v>
      </c>
      <c r="BL4560">
        <v>0</v>
      </c>
      <c r="BO4560">
        <v>0</v>
      </c>
      <c r="BP4560">
        <v>0</v>
      </c>
      <c r="BW4560" t="str">
        <f t="shared" si="2575"/>
        <v>15:00:31.710</v>
      </c>
      <c r="CJ4560">
        <v>0</v>
      </c>
      <c r="CK4560">
        <v>2</v>
      </c>
      <c r="CL4560">
        <v>0</v>
      </c>
      <c r="CM4560">
        <v>2</v>
      </c>
      <c r="CN4560">
        <v>0</v>
      </c>
      <c r="CO4560">
        <v>5</v>
      </c>
      <c r="CP4560" t="s">
        <v>119</v>
      </c>
      <c r="CQ4560">
        <v>298</v>
      </c>
      <c r="CR4560">
        <v>0</v>
      </c>
      <c r="CW4560">
        <v>10483155</v>
      </c>
      <c r="CY4560">
        <v>0</v>
      </c>
      <c r="CZ4560">
        <v>0</v>
      </c>
      <c r="DA4560">
        <v>1</v>
      </c>
      <c r="DB4560">
        <v>0</v>
      </c>
      <c r="DC4560">
        <v>0</v>
      </c>
      <c r="DD4560">
        <v>0</v>
      </c>
      <c r="DE4560">
        <v>0</v>
      </c>
      <c r="DF4560">
        <v>0</v>
      </c>
      <c r="DG4560">
        <v>0</v>
      </c>
      <c r="DH4560">
        <v>0</v>
      </c>
      <c r="DI4560">
        <v>0</v>
      </c>
    </row>
    <row r="4561" spans="1:113" x14ac:dyDescent="0.25">
      <c r="A4561" t="str">
        <f t="shared" si="2572"/>
        <v>06/05/2020 15:00:26.080</v>
      </c>
      <c r="C4561" t="str">
        <f t="shared" si="2544"/>
        <v>FFDFD3C0</v>
      </c>
      <c r="D4561" t="s">
        <v>141</v>
      </c>
      <c r="E4561">
        <v>20</v>
      </c>
      <c r="F4561">
        <v>1020</v>
      </c>
      <c r="G4561" t="s">
        <v>114</v>
      </c>
      <c r="J4561" t="s">
        <v>142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 t="shared" si="2573"/>
        <v>15:00:31.703</v>
      </c>
      <c r="T4561" t="str">
        <f t="shared" si="2574"/>
        <v>15:00:31.503</v>
      </c>
      <c r="U4561" t="str">
        <f t="shared" si="2565"/>
        <v>ACC530</v>
      </c>
      <c r="V4561">
        <v>0</v>
      </c>
      <c r="W4561">
        <v>0</v>
      </c>
      <c r="X4561">
        <v>1</v>
      </c>
      <c r="Z4561">
        <v>0</v>
      </c>
      <c r="AA4561">
        <v>9</v>
      </c>
      <c r="AB4561">
        <v>3</v>
      </c>
      <c r="AC4561">
        <v>0</v>
      </c>
      <c r="AD4561">
        <v>9</v>
      </c>
      <c r="AE4561">
        <v>0</v>
      </c>
      <c r="AF4561">
        <v>3</v>
      </c>
      <c r="AG4561">
        <v>1</v>
      </c>
      <c r="AH4561">
        <v>0</v>
      </c>
      <c r="AI4561" t="s">
        <v>1422</v>
      </c>
      <c r="AJ4561">
        <v>34.074182999999998</v>
      </c>
      <c r="AK4561" t="s">
        <v>1423</v>
      </c>
      <c r="AL4561">
        <v>-117.058318</v>
      </c>
      <c r="AM4561">
        <v>100</v>
      </c>
      <c r="AN4561">
        <v>4200</v>
      </c>
      <c r="AO4561" t="s">
        <v>118</v>
      </c>
      <c r="AP4561">
        <v>-120</v>
      </c>
      <c r="AQ4561">
        <v>-18</v>
      </c>
      <c r="AR4561">
        <v>-2240</v>
      </c>
      <c r="AZ4561">
        <v>1200</v>
      </c>
      <c r="BA4561">
        <v>1</v>
      </c>
      <c r="BB4561" t="str">
        <f t="shared" si="2567"/>
        <v xml:space="preserve">N9217B  </v>
      </c>
      <c r="BC4561">
        <v>1</v>
      </c>
      <c r="BE4561">
        <v>0</v>
      </c>
      <c r="BF4561">
        <v>0</v>
      </c>
      <c r="BG4561">
        <v>0</v>
      </c>
      <c r="BH4561">
        <v>3950</v>
      </c>
      <c r="BI4561">
        <v>1</v>
      </c>
      <c r="BJ4561">
        <v>0</v>
      </c>
      <c r="BK4561">
        <v>0</v>
      </c>
      <c r="BL4561">
        <v>0</v>
      </c>
      <c r="BO4561">
        <v>0</v>
      </c>
      <c r="BP4561">
        <v>0</v>
      </c>
      <c r="BW4561" t="str">
        <f t="shared" si="2575"/>
        <v>15:00:31.710</v>
      </c>
      <c r="CJ4561">
        <v>0</v>
      </c>
      <c r="CK4561">
        <v>2</v>
      </c>
      <c r="CL4561">
        <v>0</v>
      </c>
      <c r="CM4561">
        <v>2</v>
      </c>
      <c r="CN4561">
        <v>0</v>
      </c>
      <c r="CO4561">
        <v>5</v>
      </c>
      <c r="CP4561" t="s">
        <v>119</v>
      </c>
      <c r="CQ4561">
        <v>298</v>
      </c>
      <c r="CR4561">
        <v>0</v>
      </c>
      <c r="CW4561">
        <v>10483155</v>
      </c>
      <c r="CY4561">
        <v>0</v>
      </c>
      <c r="CZ4561">
        <v>0</v>
      </c>
      <c r="DA4561">
        <v>1</v>
      </c>
      <c r="DB4561">
        <v>0</v>
      </c>
      <c r="DC4561">
        <v>0</v>
      </c>
      <c r="DD4561">
        <v>0</v>
      </c>
      <c r="DE4561">
        <v>0</v>
      </c>
      <c r="DF4561">
        <v>0</v>
      </c>
      <c r="DG4561">
        <v>0</v>
      </c>
      <c r="DH4561">
        <v>0</v>
      </c>
      <c r="DI4561">
        <v>0</v>
      </c>
    </row>
    <row r="4562" spans="1:113" x14ac:dyDescent="0.25">
      <c r="A4562" t="str">
        <f t="shared" si="2572"/>
        <v>06/05/2020 15:00:26.080</v>
      </c>
      <c r="C4562" t="str">
        <f t="shared" si="2544"/>
        <v>FFDFD3C0</v>
      </c>
      <c r="D4562" t="s">
        <v>148</v>
      </c>
      <c r="E4562">
        <v>8</v>
      </c>
      <c r="H4562">
        <v>50</v>
      </c>
      <c r="I4562" t="s">
        <v>149</v>
      </c>
      <c r="J4562" t="s">
        <v>150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 t="shared" si="2573"/>
        <v>15:00:31.703</v>
      </c>
      <c r="T4562" t="str">
        <f t="shared" si="2574"/>
        <v>15:00:31.503</v>
      </c>
      <c r="U4562" t="str">
        <f t="shared" si="2565"/>
        <v>ACC530</v>
      </c>
      <c r="V4562">
        <v>0</v>
      </c>
      <c r="W4562">
        <v>0</v>
      </c>
      <c r="X4562">
        <v>1</v>
      </c>
      <c r="Z4562">
        <v>0</v>
      </c>
      <c r="AA4562">
        <v>9</v>
      </c>
      <c r="AB4562">
        <v>3</v>
      </c>
      <c r="AC4562">
        <v>0</v>
      </c>
      <c r="AD4562">
        <v>9</v>
      </c>
      <c r="AE4562">
        <v>0</v>
      </c>
      <c r="AF4562">
        <v>3</v>
      </c>
      <c r="AG4562">
        <v>1</v>
      </c>
      <c r="AH4562">
        <v>0</v>
      </c>
      <c r="AI4562" t="s">
        <v>1422</v>
      </c>
      <c r="AJ4562">
        <v>34.074182999999998</v>
      </c>
      <c r="AK4562" t="s">
        <v>1423</v>
      </c>
      <c r="AL4562">
        <v>-117.058318</v>
      </c>
      <c r="AM4562">
        <v>100</v>
      </c>
      <c r="AN4562">
        <v>4200</v>
      </c>
      <c r="AO4562" t="s">
        <v>118</v>
      </c>
      <c r="AP4562">
        <v>-120</v>
      </c>
      <c r="AQ4562">
        <v>-18</v>
      </c>
      <c r="AR4562">
        <v>-2240</v>
      </c>
      <c r="AZ4562">
        <v>1200</v>
      </c>
      <c r="BA4562">
        <v>1</v>
      </c>
      <c r="BB4562" t="str">
        <f t="shared" si="2567"/>
        <v xml:space="preserve">N9217B  </v>
      </c>
      <c r="BC4562">
        <v>1</v>
      </c>
      <c r="BE4562">
        <v>0</v>
      </c>
      <c r="BF4562">
        <v>0</v>
      </c>
      <c r="BG4562">
        <v>0</v>
      </c>
      <c r="BH4562">
        <v>3950</v>
      </c>
      <c r="BI4562">
        <v>1</v>
      </c>
      <c r="BJ4562">
        <v>0</v>
      </c>
      <c r="BK4562">
        <v>0</v>
      </c>
      <c r="BL4562">
        <v>0</v>
      </c>
      <c r="BO4562">
        <v>0</v>
      </c>
      <c r="BP4562">
        <v>0</v>
      </c>
      <c r="BW4562" t="str">
        <f t="shared" si="2575"/>
        <v>15:00:31.710</v>
      </c>
      <c r="CJ4562">
        <v>0</v>
      </c>
      <c r="CK4562">
        <v>2</v>
      </c>
      <c r="CL4562">
        <v>0</v>
      </c>
      <c r="CM4562">
        <v>2</v>
      </c>
      <c r="CN4562">
        <v>0</v>
      </c>
      <c r="CO4562">
        <v>5</v>
      </c>
      <c r="CP4562" t="s">
        <v>119</v>
      </c>
      <c r="CQ4562">
        <v>298</v>
      </c>
      <c r="CR4562">
        <v>0</v>
      </c>
      <c r="CW4562">
        <v>10483155</v>
      </c>
      <c r="CY4562">
        <v>0</v>
      </c>
      <c r="CZ4562">
        <v>0</v>
      </c>
      <c r="DA4562">
        <v>1</v>
      </c>
      <c r="DB4562">
        <v>0</v>
      </c>
      <c r="DC4562">
        <v>0</v>
      </c>
      <c r="DD4562">
        <v>0</v>
      </c>
      <c r="DE4562">
        <v>0</v>
      </c>
      <c r="DF4562">
        <v>0</v>
      </c>
      <c r="DG4562">
        <v>0</v>
      </c>
      <c r="DH4562">
        <v>0</v>
      </c>
      <c r="DI4562">
        <v>0</v>
      </c>
    </row>
    <row r="4563" spans="1:113" x14ac:dyDescent="0.25">
      <c r="A4563" t="str">
        <f t="shared" si="2572"/>
        <v>06/05/2020 15:00:26.080</v>
      </c>
      <c r="C4563" t="str">
        <f t="shared" si="2544"/>
        <v>FFDFD3C0</v>
      </c>
      <c r="D4563" t="s">
        <v>134</v>
      </c>
      <c r="E4563">
        <v>7</v>
      </c>
      <c r="F4563">
        <v>2007</v>
      </c>
      <c r="G4563" t="s">
        <v>135</v>
      </c>
      <c r="J4563" t="s">
        <v>136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 t="shared" si="2573"/>
        <v>15:00:31.703</v>
      </c>
      <c r="T4563" t="str">
        <f t="shared" si="2574"/>
        <v>15:00:31.503</v>
      </c>
      <c r="U4563" t="str">
        <f t="shared" si="2565"/>
        <v>ACC530</v>
      </c>
      <c r="V4563">
        <v>0</v>
      </c>
      <c r="W4563">
        <v>0</v>
      </c>
      <c r="X4563">
        <v>1</v>
      </c>
      <c r="Z4563">
        <v>0</v>
      </c>
      <c r="AA4563">
        <v>9</v>
      </c>
      <c r="AB4563">
        <v>3</v>
      </c>
      <c r="AC4563">
        <v>0</v>
      </c>
      <c r="AD4563">
        <v>9</v>
      </c>
      <c r="AE4563">
        <v>0</v>
      </c>
      <c r="AF4563">
        <v>3</v>
      </c>
      <c r="AG4563">
        <v>1</v>
      </c>
      <c r="AH4563">
        <v>0</v>
      </c>
      <c r="AI4563" t="s">
        <v>1422</v>
      </c>
      <c r="AJ4563">
        <v>34.074182999999998</v>
      </c>
      <c r="AK4563" t="s">
        <v>1423</v>
      </c>
      <c r="AL4563">
        <v>-117.058318</v>
      </c>
      <c r="AM4563">
        <v>100</v>
      </c>
      <c r="AN4563">
        <v>4200</v>
      </c>
      <c r="AO4563" t="s">
        <v>118</v>
      </c>
      <c r="AP4563">
        <v>-120</v>
      </c>
      <c r="AQ4563">
        <v>-18</v>
      </c>
      <c r="AR4563">
        <v>-2240</v>
      </c>
      <c r="AZ4563">
        <v>1200</v>
      </c>
      <c r="BA4563">
        <v>1</v>
      </c>
      <c r="BB4563" t="str">
        <f t="shared" si="2567"/>
        <v xml:space="preserve">N9217B  </v>
      </c>
      <c r="BC4563">
        <v>1</v>
      </c>
      <c r="BE4563">
        <v>0</v>
      </c>
      <c r="BF4563">
        <v>0</v>
      </c>
      <c r="BG4563">
        <v>0</v>
      </c>
      <c r="BH4563">
        <v>3950</v>
      </c>
      <c r="BI4563">
        <v>1</v>
      </c>
      <c r="BJ4563">
        <v>0</v>
      </c>
      <c r="BK4563">
        <v>0</v>
      </c>
      <c r="BL4563">
        <v>0</v>
      </c>
      <c r="BO4563">
        <v>0</v>
      </c>
      <c r="BP4563">
        <v>0</v>
      </c>
      <c r="BW4563" t="str">
        <f t="shared" si="2575"/>
        <v>15:00:31.710</v>
      </c>
      <c r="CJ4563">
        <v>0</v>
      </c>
      <c r="CK4563">
        <v>2</v>
      </c>
      <c r="CL4563">
        <v>0</v>
      </c>
      <c r="CM4563">
        <v>2</v>
      </c>
      <c r="CN4563">
        <v>0</v>
      </c>
      <c r="CO4563">
        <v>5</v>
      </c>
      <c r="CP4563" t="s">
        <v>119</v>
      </c>
      <c r="CQ4563">
        <v>298</v>
      </c>
      <c r="CR4563">
        <v>0</v>
      </c>
      <c r="CW4563">
        <v>10483155</v>
      </c>
      <c r="CY4563">
        <v>0</v>
      </c>
      <c r="CZ4563">
        <v>0</v>
      </c>
      <c r="DA4563">
        <v>1</v>
      </c>
      <c r="DB4563">
        <v>0</v>
      </c>
      <c r="DC4563">
        <v>0</v>
      </c>
      <c r="DD4563">
        <v>0</v>
      </c>
      <c r="DE4563">
        <v>0</v>
      </c>
      <c r="DF4563">
        <v>0</v>
      </c>
      <c r="DG4563">
        <v>0</v>
      </c>
      <c r="DH4563">
        <v>0</v>
      </c>
      <c r="DI4563">
        <v>0</v>
      </c>
    </row>
    <row r="4564" spans="1:113" x14ac:dyDescent="0.25">
      <c r="A4564" t="str">
        <f t="shared" ref="A4564:A4570" si="2576">"06/05/2020 15:00:27.041"</f>
        <v>06/05/2020 15:00:27.041</v>
      </c>
      <c r="C4564" t="str">
        <f t="shared" si="2544"/>
        <v>FFDFD3C0</v>
      </c>
      <c r="D4564" t="s">
        <v>148</v>
      </c>
      <c r="E4564">
        <v>11</v>
      </c>
      <c r="H4564">
        <v>53</v>
      </c>
      <c r="I4564" t="s">
        <v>364</v>
      </c>
      <c r="J4564" t="s">
        <v>150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 t="shared" ref="S4564:S4570" si="2577">"15:00:32.664"</f>
        <v>15:00:32.664</v>
      </c>
      <c r="T4564" t="str">
        <f>"15:00:31.464"</f>
        <v>15:00:31.464</v>
      </c>
      <c r="U4564" t="str">
        <f t="shared" si="2565"/>
        <v>ACC530</v>
      </c>
      <c r="V4564">
        <v>0</v>
      </c>
      <c r="W4564">
        <v>0</v>
      </c>
      <c r="X4564">
        <v>1</v>
      </c>
      <c r="Z4564">
        <v>0</v>
      </c>
      <c r="AA4564">
        <v>9</v>
      </c>
      <c r="AB4564">
        <v>3</v>
      </c>
      <c r="AC4564">
        <v>0</v>
      </c>
      <c r="AD4564">
        <v>9</v>
      </c>
      <c r="AE4564">
        <v>0</v>
      </c>
      <c r="AF4564">
        <v>3</v>
      </c>
      <c r="AG4564">
        <v>1</v>
      </c>
      <c r="AH4564">
        <v>0</v>
      </c>
      <c r="AI4564" t="s">
        <v>1424</v>
      </c>
      <c r="AJ4564">
        <v>34.074097000000002</v>
      </c>
      <c r="AK4564" t="s">
        <v>1425</v>
      </c>
      <c r="AL4564">
        <v>-117.058983</v>
      </c>
      <c r="AM4564">
        <v>100</v>
      </c>
      <c r="AN4564">
        <v>4100</v>
      </c>
      <c r="AO4564" t="s">
        <v>118</v>
      </c>
      <c r="AP4564">
        <v>-120</v>
      </c>
      <c r="AQ4564">
        <v>-18</v>
      </c>
      <c r="AR4564">
        <v>-2240</v>
      </c>
      <c r="AZ4564">
        <v>1200</v>
      </c>
      <c r="BA4564">
        <v>1</v>
      </c>
      <c r="BB4564" t="str">
        <f t="shared" si="2567"/>
        <v xml:space="preserve">N9217B  </v>
      </c>
      <c r="BC4564">
        <v>1</v>
      </c>
      <c r="BE4564">
        <v>0</v>
      </c>
      <c r="BF4564">
        <v>0</v>
      </c>
      <c r="BG4564">
        <v>0</v>
      </c>
      <c r="BH4564">
        <v>3850</v>
      </c>
      <c r="BI4564">
        <v>1</v>
      </c>
      <c r="BJ4564">
        <v>0</v>
      </c>
      <c r="BK4564">
        <v>0</v>
      </c>
      <c r="BL4564">
        <v>0</v>
      </c>
      <c r="BO4564">
        <v>0</v>
      </c>
      <c r="BP4564">
        <v>0</v>
      </c>
      <c r="BW4564" t="str">
        <f t="shared" ref="BW4564:BW4570" si="2578">"15:00:32.670"</f>
        <v>15:00:32.670</v>
      </c>
      <c r="CJ4564">
        <v>0</v>
      </c>
      <c r="CK4564">
        <v>2</v>
      </c>
      <c r="CL4564">
        <v>0</v>
      </c>
      <c r="CM4564">
        <v>2</v>
      </c>
      <c r="CN4564">
        <v>0</v>
      </c>
      <c r="CO4564">
        <v>5</v>
      </c>
      <c r="CP4564" t="s">
        <v>119</v>
      </c>
      <c r="CQ4564">
        <v>298</v>
      </c>
      <c r="CR4564">
        <v>0</v>
      </c>
      <c r="CW4564">
        <v>10483288</v>
      </c>
      <c r="CY4564">
        <v>0</v>
      </c>
      <c r="CZ4564">
        <v>0</v>
      </c>
      <c r="DA4564">
        <v>0</v>
      </c>
      <c r="DB4564">
        <v>0</v>
      </c>
      <c r="DC4564">
        <v>0</v>
      </c>
      <c r="DD4564">
        <v>0</v>
      </c>
      <c r="DE4564">
        <v>0</v>
      </c>
      <c r="DF4564">
        <v>0</v>
      </c>
      <c r="DG4564">
        <v>0</v>
      </c>
      <c r="DH4564">
        <v>0</v>
      </c>
      <c r="DI4564">
        <v>0</v>
      </c>
    </row>
    <row r="4565" spans="1:113" x14ac:dyDescent="0.25">
      <c r="A4565" t="str">
        <f t="shared" si="2576"/>
        <v>06/05/2020 15:00:27.041</v>
      </c>
      <c r="C4565" t="str">
        <f t="shared" si="2544"/>
        <v>FFDFD3C0</v>
      </c>
      <c r="D4565" t="s">
        <v>113</v>
      </c>
      <c r="E4565">
        <v>3</v>
      </c>
      <c r="H4565">
        <v>166</v>
      </c>
      <c r="I4565" t="s">
        <v>114</v>
      </c>
      <c r="J4565" t="s">
        <v>115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 t="shared" si="2577"/>
        <v>15:00:32.664</v>
      </c>
      <c r="T4565" t="str">
        <f>"15:00:31.464"</f>
        <v>15:00:31.464</v>
      </c>
      <c r="U4565" t="str">
        <f t="shared" si="2565"/>
        <v>ACC530</v>
      </c>
      <c r="V4565">
        <v>0</v>
      </c>
      <c r="W4565">
        <v>0</v>
      </c>
      <c r="X4565">
        <v>1</v>
      </c>
      <c r="Z4565">
        <v>0</v>
      </c>
      <c r="AA4565">
        <v>9</v>
      </c>
      <c r="AB4565">
        <v>3</v>
      </c>
      <c r="AC4565">
        <v>0</v>
      </c>
      <c r="AD4565">
        <v>9</v>
      </c>
      <c r="AE4565">
        <v>0</v>
      </c>
      <c r="AF4565">
        <v>3</v>
      </c>
      <c r="AG4565">
        <v>1</v>
      </c>
      <c r="AH4565">
        <v>0</v>
      </c>
      <c r="AI4565" t="s">
        <v>1424</v>
      </c>
      <c r="AJ4565">
        <v>34.074097000000002</v>
      </c>
      <c r="AK4565" t="s">
        <v>1425</v>
      </c>
      <c r="AL4565">
        <v>-117.058983</v>
      </c>
      <c r="AM4565">
        <v>100</v>
      </c>
      <c r="AN4565">
        <v>4100</v>
      </c>
      <c r="AO4565" t="s">
        <v>118</v>
      </c>
      <c r="AP4565">
        <v>-120</v>
      </c>
      <c r="AQ4565">
        <v>-18</v>
      </c>
      <c r="AR4565">
        <v>-2240</v>
      </c>
      <c r="AZ4565">
        <v>1200</v>
      </c>
      <c r="BA4565">
        <v>1</v>
      </c>
      <c r="BB4565" t="str">
        <f t="shared" si="2567"/>
        <v xml:space="preserve">N9217B  </v>
      </c>
      <c r="BC4565">
        <v>1</v>
      </c>
      <c r="BE4565">
        <v>0</v>
      </c>
      <c r="BF4565">
        <v>0</v>
      </c>
      <c r="BG4565">
        <v>0</v>
      </c>
      <c r="BH4565">
        <v>3850</v>
      </c>
      <c r="BI4565">
        <v>1</v>
      </c>
      <c r="BJ4565">
        <v>0</v>
      </c>
      <c r="BK4565">
        <v>0</v>
      </c>
      <c r="BL4565">
        <v>0</v>
      </c>
      <c r="BO4565">
        <v>0</v>
      </c>
      <c r="BP4565">
        <v>0</v>
      </c>
      <c r="BW4565" t="str">
        <f t="shared" si="2578"/>
        <v>15:00:32.670</v>
      </c>
      <c r="CJ4565">
        <v>0</v>
      </c>
      <c r="CK4565">
        <v>2</v>
      </c>
      <c r="CL4565">
        <v>0</v>
      </c>
      <c r="CM4565">
        <v>2</v>
      </c>
      <c r="CN4565">
        <v>0</v>
      </c>
      <c r="CO4565">
        <v>5</v>
      </c>
      <c r="CP4565" t="s">
        <v>119</v>
      </c>
      <c r="CQ4565">
        <v>298</v>
      </c>
      <c r="CR4565">
        <v>0</v>
      </c>
      <c r="CW4565">
        <v>10483288</v>
      </c>
      <c r="CY4565">
        <v>0</v>
      </c>
      <c r="CZ4565">
        <v>0</v>
      </c>
      <c r="DA4565">
        <v>1</v>
      </c>
      <c r="DB4565">
        <v>0</v>
      </c>
      <c r="DC4565">
        <v>0</v>
      </c>
      <c r="DD4565">
        <v>0</v>
      </c>
      <c r="DE4565">
        <v>0</v>
      </c>
      <c r="DF4565">
        <v>0</v>
      </c>
      <c r="DG4565">
        <v>0</v>
      </c>
      <c r="DH4565">
        <v>0</v>
      </c>
      <c r="DI4565">
        <v>0</v>
      </c>
    </row>
    <row r="4566" spans="1:113" x14ac:dyDescent="0.25">
      <c r="A4566" t="str">
        <f t="shared" si="2576"/>
        <v>06/05/2020 15:00:27.041</v>
      </c>
      <c r="C4566" t="str">
        <f t="shared" si="2544"/>
        <v>FFDFD3C0</v>
      </c>
      <c r="D4566" t="s">
        <v>151</v>
      </c>
      <c r="E4566">
        <v>8</v>
      </c>
      <c r="H4566">
        <v>225</v>
      </c>
      <c r="I4566" t="s">
        <v>353</v>
      </c>
      <c r="J4566" t="s">
        <v>150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 t="shared" si="2577"/>
        <v>15:00:32.664</v>
      </c>
      <c r="T4566" t="str">
        <f>"15:00:31.464"</f>
        <v>15:00:31.464</v>
      </c>
      <c r="U4566" t="str">
        <f t="shared" si="2565"/>
        <v>ACC530</v>
      </c>
      <c r="V4566">
        <v>0</v>
      </c>
      <c r="W4566">
        <v>0</v>
      </c>
      <c r="X4566">
        <v>1</v>
      </c>
      <c r="Z4566">
        <v>0</v>
      </c>
      <c r="AA4566">
        <v>9</v>
      </c>
      <c r="AB4566">
        <v>3</v>
      </c>
      <c r="AC4566">
        <v>0</v>
      </c>
      <c r="AD4566">
        <v>9</v>
      </c>
      <c r="AE4566">
        <v>0</v>
      </c>
      <c r="AF4566">
        <v>3</v>
      </c>
      <c r="AG4566">
        <v>1</v>
      </c>
      <c r="AH4566">
        <v>0</v>
      </c>
      <c r="AI4566" t="s">
        <v>1424</v>
      </c>
      <c r="AJ4566">
        <v>34.074097000000002</v>
      </c>
      <c r="AK4566" t="s">
        <v>1425</v>
      </c>
      <c r="AL4566">
        <v>-117.058983</v>
      </c>
      <c r="AM4566">
        <v>100</v>
      </c>
      <c r="AN4566">
        <v>4100</v>
      </c>
      <c r="AO4566" t="s">
        <v>118</v>
      </c>
      <c r="AP4566">
        <v>-120</v>
      </c>
      <c r="AQ4566">
        <v>-18</v>
      </c>
      <c r="AR4566">
        <v>-2240</v>
      </c>
      <c r="AZ4566">
        <v>1200</v>
      </c>
      <c r="BA4566">
        <v>1</v>
      </c>
      <c r="BB4566" t="str">
        <f t="shared" si="2567"/>
        <v xml:space="preserve">N9217B  </v>
      </c>
      <c r="BC4566">
        <v>1</v>
      </c>
      <c r="BE4566">
        <v>0</v>
      </c>
      <c r="BF4566">
        <v>0</v>
      </c>
      <c r="BG4566">
        <v>0</v>
      </c>
      <c r="BH4566">
        <v>3850</v>
      </c>
      <c r="BI4566">
        <v>1</v>
      </c>
      <c r="BJ4566">
        <v>0</v>
      </c>
      <c r="BK4566">
        <v>0</v>
      </c>
      <c r="BL4566">
        <v>0</v>
      </c>
      <c r="BO4566">
        <v>0</v>
      </c>
      <c r="BP4566">
        <v>0</v>
      </c>
      <c r="BW4566" t="str">
        <f t="shared" si="2578"/>
        <v>15:00:32.670</v>
      </c>
      <c r="CJ4566">
        <v>0</v>
      </c>
      <c r="CK4566">
        <v>2</v>
      </c>
      <c r="CL4566">
        <v>0</v>
      </c>
      <c r="CM4566">
        <v>2</v>
      </c>
      <c r="CN4566">
        <v>0</v>
      </c>
      <c r="CO4566">
        <v>5</v>
      </c>
      <c r="CP4566" t="s">
        <v>119</v>
      </c>
      <c r="CQ4566">
        <v>298</v>
      </c>
      <c r="CR4566">
        <v>0</v>
      </c>
      <c r="CW4566">
        <v>10483288</v>
      </c>
      <c r="CY4566">
        <v>0</v>
      </c>
      <c r="CZ4566">
        <v>0</v>
      </c>
      <c r="DA4566">
        <v>1</v>
      </c>
      <c r="DB4566">
        <v>0</v>
      </c>
      <c r="DC4566">
        <v>0</v>
      </c>
      <c r="DD4566">
        <v>0</v>
      </c>
      <c r="DE4566">
        <v>0</v>
      </c>
      <c r="DF4566">
        <v>0</v>
      </c>
      <c r="DG4566">
        <v>0</v>
      </c>
      <c r="DH4566">
        <v>0</v>
      </c>
      <c r="DI4566">
        <v>0</v>
      </c>
    </row>
    <row r="4567" spans="1:113" x14ac:dyDescent="0.25">
      <c r="A4567" t="str">
        <f t="shared" si="2576"/>
        <v>06/05/2020 15:00:27.041</v>
      </c>
      <c r="C4567" t="str">
        <f t="shared" si="2544"/>
        <v>FFDFD3C0</v>
      </c>
      <c r="D4567" t="s">
        <v>141</v>
      </c>
      <c r="E4567">
        <v>20</v>
      </c>
      <c r="F4567">
        <v>1020</v>
      </c>
      <c r="G4567" t="s">
        <v>114</v>
      </c>
      <c r="J4567" t="s">
        <v>142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 t="shared" si="2577"/>
        <v>15:00:32.664</v>
      </c>
      <c r="T4567" t="str">
        <f>"15:00:31.464"</f>
        <v>15:00:31.464</v>
      </c>
      <c r="U4567" t="str">
        <f t="shared" si="2565"/>
        <v>ACC530</v>
      </c>
      <c r="V4567">
        <v>0</v>
      </c>
      <c r="W4567">
        <v>0</v>
      </c>
      <c r="X4567">
        <v>1</v>
      </c>
      <c r="Z4567">
        <v>0</v>
      </c>
      <c r="AA4567">
        <v>9</v>
      </c>
      <c r="AB4567">
        <v>3</v>
      </c>
      <c r="AC4567">
        <v>0</v>
      </c>
      <c r="AD4567">
        <v>9</v>
      </c>
      <c r="AE4567">
        <v>0</v>
      </c>
      <c r="AF4567">
        <v>3</v>
      </c>
      <c r="AG4567">
        <v>1</v>
      </c>
      <c r="AH4567">
        <v>0</v>
      </c>
      <c r="AI4567" t="s">
        <v>1424</v>
      </c>
      <c r="AJ4567">
        <v>34.074097000000002</v>
      </c>
      <c r="AK4567" t="s">
        <v>1425</v>
      </c>
      <c r="AL4567">
        <v>-117.058983</v>
      </c>
      <c r="AM4567">
        <v>100</v>
      </c>
      <c r="AN4567">
        <v>4100</v>
      </c>
      <c r="AO4567" t="s">
        <v>118</v>
      </c>
      <c r="AP4567">
        <v>-120</v>
      </c>
      <c r="AQ4567">
        <v>-18</v>
      </c>
      <c r="AR4567">
        <v>-2240</v>
      </c>
      <c r="AZ4567">
        <v>1200</v>
      </c>
      <c r="BA4567">
        <v>1</v>
      </c>
      <c r="BB4567" t="str">
        <f t="shared" si="2567"/>
        <v xml:space="preserve">N9217B  </v>
      </c>
      <c r="BC4567">
        <v>1</v>
      </c>
      <c r="BE4567">
        <v>0</v>
      </c>
      <c r="BF4567">
        <v>0</v>
      </c>
      <c r="BG4567">
        <v>0</v>
      </c>
      <c r="BH4567">
        <v>3850</v>
      </c>
      <c r="BI4567">
        <v>1</v>
      </c>
      <c r="BJ4567">
        <v>0</v>
      </c>
      <c r="BK4567">
        <v>0</v>
      </c>
      <c r="BL4567">
        <v>0</v>
      </c>
      <c r="BO4567">
        <v>0</v>
      </c>
      <c r="BP4567">
        <v>0</v>
      </c>
      <c r="BW4567" t="str">
        <f t="shared" si="2578"/>
        <v>15:00:32.670</v>
      </c>
      <c r="CJ4567">
        <v>0</v>
      </c>
      <c r="CK4567">
        <v>2</v>
      </c>
      <c r="CL4567">
        <v>0</v>
      </c>
      <c r="CM4567">
        <v>2</v>
      </c>
      <c r="CN4567">
        <v>0</v>
      </c>
      <c r="CO4567">
        <v>5</v>
      </c>
      <c r="CP4567" t="s">
        <v>119</v>
      </c>
      <c r="CQ4567">
        <v>298</v>
      </c>
      <c r="CR4567">
        <v>0</v>
      </c>
      <c r="CW4567">
        <v>10483288</v>
      </c>
      <c r="CY4567">
        <v>0</v>
      </c>
      <c r="CZ4567">
        <v>0</v>
      </c>
      <c r="DA4567">
        <v>1</v>
      </c>
      <c r="DB4567">
        <v>0</v>
      </c>
      <c r="DC4567">
        <v>0</v>
      </c>
      <c r="DD4567">
        <v>0</v>
      </c>
      <c r="DE4567">
        <v>0</v>
      </c>
      <c r="DF4567">
        <v>0</v>
      </c>
      <c r="DG4567">
        <v>0</v>
      </c>
      <c r="DH4567">
        <v>0</v>
      </c>
      <c r="DI4567">
        <v>0</v>
      </c>
    </row>
    <row r="4568" spans="1:113" x14ac:dyDescent="0.25">
      <c r="A4568" t="str">
        <f t="shared" si="2576"/>
        <v>06/05/2020 15:00:27.041</v>
      </c>
      <c r="C4568" t="str">
        <f t="shared" si="2544"/>
        <v>FFDFD3C0</v>
      </c>
      <c r="D4568" t="s">
        <v>151</v>
      </c>
      <c r="E4568">
        <v>9</v>
      </c>
      <c r="H4568">
        <v>226</v>
      </c>
      <c r="I4568" t="s">
        <v>152</v>
      </c>
      <c r="J4568" t="s">
        <v>150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 t="shared" si="2577"/>
        <v>15:00:32.664</v>
      </c>
      <c r="T4568" t="str">
        <f>"15:00:29.564"</f>
        <v>15:00:29.564</v>
      </c>
      <c r="U4568" t="str">
        <f t="shared" si="2565"/>
        <v>ACC530</v>
      </c>
      <c r="V4568">
        <v>0</v>
      </c>
      <c r="W4568">
        <v>0</v>
      </c>
      <c r="X4568">
        <v>1</v>
      </c>
      <c r="Z4568">
        <v>0</v>
      </c>
      <c r="AA4568">
        <v>9</v>
      </c>
      <c r="AB4568">
        <v>3</v>
      </c>
      <c r="AC4568">
        <v>0</v>
      </c>
      <c r="AD4568">
        <v>9</v>
      </c>
      <c r="AE4568">
        <v>0</v>
      </c>
      <c r="AF4568">
        <v>3</v>
      </c>
      <c r="AG4568">
        <v>1</v>
      </c>
      <c r="AH4568">
        <v>0</v>
      </c>
      <c r="AI4568" t="s">
        <v>1424</v>
      </c>
      <c r="AJ4568">
        <v>34.074097000000002</v>
      </c>
      <c r="AK4568" t="s">
        <v>1425</v>
      </c>
      <c r="AL4568">
        <v>-117.058983</v>
      </c>
      <c r="AM4568">
        <v>100</v>
      </c>
      <c r="AN4568">
        <v>4100</v>
      </c>
      <c r="AO4568" t="s">
        <v>118</v>
      </c>
      <c r="AP4568">
        <v>-118</v>
      </c>
      <c r="AQ4568">
        <v>-13</v>
      </c>
      <c r="AR4568">
        <v>-2368</v>
      </c>
      <c r="AZ4568">
        <v>1200</v>
      </c>
      <c r="BA4568">
        <v>1</v>
      </c>
      <c r="BB4568" t="str">
        <f t="shared" si="2567"/>
        <v xml:space="preserve">N9217B  </v>
      </c>
      <c r="BC4568">
        <v>1</v>
      </c>
      <c r="BE4568">
        <v>0</v>
      </c>
      <c r="BF4568">
        <v>0</v>
      </c>
      <c r="BG4568">
        <v>0</v>
      </c>
      <c r="BH4568">
        <v>3925</v>
      </c>
      <c r="BI4568">
        <v>1</v>
      </c>
      <c r="BJ4568">
        <v>0</v>
      </c>
      <c r="BK4568">
        <v>0</v>
      </c>
      <c r="BL4568">
        <v>0</v>
      </c>
      <c r="BO4568">
        <v>0</v>
      </c>
      <c r="BP4568">
        <v>0</v>
      </c>
      <c r="BW4568" t="str">
        <f t="shared" si="2578"/>
        <v>15:00:32.670</v>
      </c>
      <c r="CJ4568">
        <v>0</v>
      </c>
      <c r="CK4568">
        <v>2</v>
      </c>
      <c r="CL4568">
        <v>0</v>
      </c>
      <c r="CM4568">
        <v>2</v>
      </c>
      <c r="CN4568">
        <v>0</v>
      </c>
      <c r="CO4568">
        <v>2</v>
      </c>
      <c r="CP4568" t="s">
        <v>119</v>
      </c>
      <c r="CQ4568">
        <v>285</v>
      </c>
      <c r="CR4568">
        <v>0</v>
      </c>
      <c r="CW4568">
        <v>8896224</v>
      </c>
      <c r="CY4568">
        <v>0</v>
      </c>
      <c r="CZ4568">
        <v>0</v>
      </c>
      <c r="DA4568">
        <v>1</v>
      </c>
      <c r="DB4568">
        <v>0</v>
      </c>
      <c r="DC4568">
        <v>0</v>
      </c>
      <c r="DD4568">
        <v>0</v>
      </c>
      <c r="DE4568">
        <v>0</v>
      </c>
      <c r="DF4568">
        <v>0</v>
      </c>
      <c r="DG4568">
        <v>0</v>
      </c>
      <c r="DH4568">
        <v>0</v>
      </c>
      <c r="DI4568">
        <v>0</v>
      </c>
    </row>
    <row r="4569" spans="1:113" x14ac:dyDescent="0.25">
      <c r="A4569" t="str">
        <f t="shared" si="2576"/>
        <v>06/05/2020 15:00:27.041</v>
      </c>
      <c r="C4569" t="str">
        <f t="shared" si="2544"/>
        <v>FFDFD3C0</v>
      </c>
      <c r="D4569" t="s">
        <v>134</v>
      </c>
      <c r="E4569">
        <v>7</v>
      </c>
      <c r="F4569">
        <v>2007</v>
      </c>
      <c r="G4569" t="s">
        <v>135</v>
      </c>
      <c r="J4569" t="s">
        <v>136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 t="shared" si="2577"/>
        <v>15:00:32.664</v>
      </c>
      <c r="T4569" t="str">
        <f>"15:00:31.464"</f>
        <v>15:00:31.464</v>
      </c>
      <c r="U4569" t="str">
        <f t="shared" si="2565"/>
        <v>ACC530</v>
      </c>
      <c r="V4569">
        <v>0</v>
      </c>
      <c r="W4569">
        <v>0</v>
      </c>
      <c r="X4569">
        <v>1</v>
      </c>
      <c r="Z4569">
        <v>0</v>
      </c>
      <c r="AA4569">
        <v>9</v>
      </c>
      <c r="AB4569">
        <v>3</v>
      </c>
      <c r="AC4569">
        <v>0</v>
      </c>
      <c r="AD4569">
        <v>9</v>
      </c>
      <c r="AE4569">
        <v>0</v>
      </c>
      <c r="AF4569">
        <v>3</v>
      </c>
      <c r="AG4569">
        <v>1</v>
      </c>
      <c r="AH4569">
        <v>0</v>
      </c>
      <c r="AI4569" t="s">
        <v>1424</v>
      </c>
      <c r="AJ4569">
        <v>34.074097000000002</v>
      </c>
      <c r="AK4569" t="s">
        <v>1425</v>
      </c>
      <c r="AL4569">
        <v>-117.058983</v>
      </c>
      <c r="AM4569">
        <v>100</v>
      </c>
      <c r="AN4569">
        <v>4100</v>
      </c>
      <c r="AO4569" t="s">
        <v>118</v>
      </c>
      <c r="AP4569">
        <v>-120</v>
      </c>
      <c r="AQ4569">
        <v>-18</v>
      </c>
      <c r="AR4569">
        <v>-2240</v>
      </c>
      <c r="AZ4569">
        <v>1200</v>
      </c>
      <c r="BA4569">
        <v>1</v>
      </c>
      <c r="BB4569" t="str">
        <f t="shared" si="2567"/>
        <v xml:space="preserve">N9217B  </v>
      </c>
      <c r="BC4569">
        <v>1</v>
      </c>
      <c r="BE4569">
        <v>0</v>
      </c>
      <c r="BF4569">
        <v>0</v>
      </c>
      <c r="BG4569">
        <v>0</v>
      </c>
      <c r="BH4569">
        <v>3850</v>
      </c>
      <c r="BI4569">
        <v>1</v>
      </c>
      <c r="BJ4569">
        <v>0</v>
      </c>
      <c r="BK4569">
        <v>0</v>
      </c>
      <c r="BL4569">
        <v>0</v>
      </c>
      <c r="BO4569">
        <v>0</v>
      </c>
      <c r="BP4569">
        <v>0</v>
      </c>
      <c r="BW4569" t="str">
        <f t="shared" si="2578"/>
        <v>15:00:32.670</v>
      </c>
      <c r="CJ4569">
        <v>0</v>
      </c>
      <c r="CK4569">
        <v>2</v>
      </c>
      <c r="CL4569">
        <v>0</v>
      </c>
      <c r="CM4569">
        <v>2</v>
      </c>
      <c r="CN4569">
        <v>0</v>
      </c>
      <c r="CO4569">
        <v>5</v>
      </c>
      <c r="CP4569" t="s">
        <v>119</v>
      </c>
      <c r="CQ4569">
        <v>298</v>
      </c>
      <c r="CR4569">
        <v>0</v>
      </c>
      <c r="CW4569">
        <v>10483288</v>
      </c>
      <c r="CY4569">
        <v>0</v>
      </c>
      <c r="CZ4569">
        <v>0</v>
      </c>
      <c r="DA4569">
        <v>1</v>
      </c>
      <c r="DB4569">
        <v>0</v>
      </c>
      <c r="DC4569">
        <v>0</v>
      </c>
      <c r="DD4569">
        <v>0</v>
      </c>
      <c r="DE4569">
        <v>0</v>
      </c>
      <c r="DF4569">
        <v>0</v>
      </c>
      <c r="DG4569">
        <v>0</v>
      </c>
      <c r="DH4569">
        <v>0</v>
      </c>
      <c r="DI4569">
        <v>0</v>
      </c>
    </row>
    <row r="4570" spans="1:113" x14ac:dyDescent="0.25">
      <c r="A4570" t="str">
        <f t="shared" si="2576"/>
        <v>06/05/2020 15:00:27.041</v>
      </c>
      <c r="C4570" t="str">
        <f t="shared" si="2544"/>
        <v>FFDFD3C0</v>
      </c>
      <c r="D4570" t="s">
        <v>148</v>
      </c>
      <c r="E4570">
        <v>8</v>
      </c>
      <c r="H4570">
        <v>50</v>
      </c>
      <c r="I4570" t="s">
        <v>149</v>
      </c>
      <c r="J4570" t="s">
        <v>150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 t="shared" si="2577"/>
        <v>15:00:32.664</v>
      </c>
      <c r="T4570" t="str">
        <f>"15:00:31.464"</f>
        <v>15:00:31.464</v>
      </c>
      <c r="U4570" t="str">
        <f t="shared" si="2565"/>
        <v>ACC530</v>
      </c>
      <c r="V4570">
        <v>0</v>
      </c>
      <c r="W4570">
        <v>0</v>
      </c>
      <c r="X4570">
        <v>1</v>
      </c>
      <c r="Z4570">
        <v>0</v>
      </c>
      <c r="AA4570">
        <v>9</v>
      </c>
      <c r="AB4570">
        <v>3</v>
      </c>
      <c r="AC4570">
        <v>0</v>
      </c>
      <c r="AD4570">
        <v>9</v>
      </c>
      <c r="AE4570">
        <v>0</v>
      </c>
      <c r="AF4570">
        <v>3</v>
      </c>
      <c r="AG4570">
        <v>1</v>
      </c>
      <c r="AH4570">
        <v>0</v>
      </c>
      <c r="AI4570" t="s">
        <v>1424</v>
      </c>
      <c r="AJ4570">
        <v>34.074097000000002</v>
      </c>
      <c r="AK4570" t="s">
        <v>1425</v>
      </c>
      <c r="AL4570">
        <v>-117.058983</v>
      </c>
      <c r="AM4570">
        <v>100</v>
      </c>
      <c r="AN4570">
        <v>4100</v>
      </c>
      <c r="AO4570" t="s">
        <v>118</v>
      </c>
      <c r="AP4570">
        <v>-120</v>
      </c>
      <c r="AQ4570">
        <v>-18</v>
      </c>
      <c r="AR4570">
        <v>-2240</v>
      </c>
      <c r="AZ4570">
        <v>1200</v>
      </c>
      <c r="BA4570">
        <v>1</v>
      </c>
      <c r="BB4570" t="str">
        <f t="shared" si="2567"/>
        <v xml:space="preserve">N9217B  </v>
      </c>
      <c r="BC4570">
        <v>1</v>
      </c>
      <c r="BE4570">
        <v>0</v>
      </c>
      <c r="BF4570">
        <v>0</v>
      </c>
      <c r="BG4570">
        <v>0</v>
      </c>
      <c r="BH4570">
        <v>3850</v>
      </c>
      <c r="BI4570">
        <v>1</v>
      </c>
      <c r="BJ4570">
        <v>0</v>
      </c>
      <c r="BK4570">
        <v>0</v>
      </c>
      <c r="BL4570">
        <v>0</v>
      </c>
      <c r="BO4570">
        <v>0</v>
      </c>
      <c r="BP4570">
        <v>0</v>
      </c>
      <c r="BW4570" t="str">
        <f t="shared" si="2578"/>
        <v>15:00:32.670</v>
      </c>
      <c r="CJ4570">
        <v>0</v>
      </c>
      <c r="CK4570">
        <v>2</v>
      </c>
      <c r="CL4570">
        <v>0</v>
      </c>
      <c r="CM4570">
        <v>2</v>
      </c>
      <c r="CN4570">
        <v>0</v>
      </c>
      <c r="CO4570">
        <v>5</v>
      </c>
      <c r="CP4570" t="s">
        <v>119</v>
      </c>
      <c r="CQ4570">
        <v>298</v>
      </c>
      <c r="CR4570">
        <v>0</v>
      </c>
      <c r="CW4570">
        <v>10483288</v>
      </c>
      <c r="CY4570">
        <v>0</v>
      </c>
      <c r="CZ4570">
        <v>0</v>
      </c>
      <c r="DA4570">
        <v>1</v>
      </c>
      <c r="DB4570">
        <v>0</v>
      </c>
      <c r="DC4570">
        <v>0</v>
      </c>
      <c r="DD4570">
        <v>0</v>
      </c>
      <c r="DE4570">
        <v>0</v>
      </c>
      <c r="DF4570">
        <v>0</v>
      </c>
      <c r="DG4570">
        <v>0</v>
      </c>
      <c r="DH4570">
        <v>0</v>
      </c>
      <c r="DI4570">
        <v>0</v>
      </c>
    </row>
    <row r="4571" spans="1:113" x14ac:dyDescent="0.25">
      <c r="A4571" t="str">
        <f t="shared" ref="A4571:A4577" si="2579">"06/05/2020 15:00:28.204"</f>
        <v>06/05/2020 15:00:28.204</v>
      </c>
      <c r="C4571" t="str">
        <f t="shared" si="2544"/>
        <v>FFDFD3C0</v>
      </c>
      <c r="D4571" t="s">
        <v>148</v>
      </c>
      <c r="E4571">
        <v>11</v>
      </c>
      <c r="H4571">
        <v>53</v>
      </c>
      <c r="I4571" t="s">
        <v>364</v>
      </c>
      <c r="J4571" t="s">
        <v>150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 t="shared" ref="S4571:T4575" si="2580">"15:00:33.836"</f>
        <v>15:00:33.836</v>
      </c>
      <c r="T4571" t="str">
        <f t="shared" si="2580"/>
        <v>15:00:33.836</v>
      </c>
      <c r="U4571" t="str">
        <f t="shared" si="2565"/>
        <v>ACC530</v>
      </c>
      <c r="V4571">
        <v>0</v>
      </c>
      <c r="W4571">
        <v>0</v>
      </c>
      <c r="X4571">
        <v>1</v>
      </c>
      <c r="Z4571">
        <v>0</v>
      </c>
      <c r="AA4571">
        <v>9</v>
      </c>
      <c r="AB4571">
        <v>3</v>
      </c>
      <c r="AC4571">
        <v>0</v>
      </c>
      <c r="AD4571">
        <v>9</v>
      </c>
      <c r="AE4571">
        <v>0</v>
      </c>
      <c r="AF4571">
        <v>3</v>
      </c>
      <c r="AG4571">
        <v>1</v>
      </c>
      <c r="AH4571">
        <v>0</v>
      </c>
      <c r="AI4571" t="s">
        <v>1402</v>
      </c>
      <c r="AJ4571">
        <v>34.073945999999999</v>
      </c>
      <c r="AK4571" t="s">
        <v>1426</v>
      </c>
      <c r="AL4571">
        <v>-117.059777</v>
      </c>
      <c r="AM4571">
        <v>100</v>
      </c>
      <c r="AN4571">
        <v>4100</v>
      </c>
      <c r="AO4571" t="s">
        <v>118</v>
      </c>
      <c r="AP4571">
        <v>-120</v>
      </c>
      <c r="AQ4571">
        <v>-23</v>
      </c>
      <c r="AR4571">
        <v>-2240</v>
      </c>
      <c r="AZ4571">
        <v>1200</v>
      </c>
      <c r="BA4571">
        <v>1</v>
      </c>
      <c r="BB4571" t="str">
        <f t="shared" si="2567"/>
        <v xml:space="preserve">N9217B  </v>
      </c>
      <c r="BC4571">
        <v>1</v>
      </c>
      <c r="BE4571">
        <v>0</v>
      </c>
      <c r="BF4571">
        <v>0</v>
      </c>
      <c r="BG4571">
        <v>0</v>
      </c>
      <c r="BH4571">
        <v>3850</v>
      </c>
      <c r="BI4571">
        <v>1</v>
      </c>
      <c r="BJ4571">
        <v>0</v>
      </c>
      <c r="BK4571">
        <v>0</v>
      </c>
      <c r="BL4571">
        <v>0</v>
      </c>
      <c r="BO4571">
        <v>0</v>
      </c>
      <c r="BP4571">
        <v>0</v>
      </c>
      <c r="BW4571" t="str">
        <f t="shared" ref="BW4571:BW4577" si="2581">"15:00:33.840"</f>
        <v>15:00:33.840</v>
      </c>
      <c r="CJ4571">
        <v>0</v>
      </c>
      <c r="CK4571">
        <v>2</v>
      </c>
      <c r="CL4571">
        <v>0</v>
      </c>
      <c r="CM4571">
        <v>2</v>
      </c>
      <c r="CN4571">
        <v>0</v>
      </c>
      <c r="CO4571">
        <v>5</v>
      </c>
      <c r="CP4571" t="s">
        <v>119</v>
      </c>
      <c r="CQ4571">
        <v>298</v>
      </c>
      <c r="CR4571">
        <v>0</v>
      </c>
      <c r="CW4571">
        <v>10483452</v>
      </c>
      <c r="CY4571">
        <v>0</v>
      </c>
      <c r="CZ4571">
        <v>0</v>
      </c>
      <c r="DA4571">
        <v>0</v>
      </c>
      <c r="DB4571">
        <v>0</v>
      </c>
      <c r="DC4571">
        <v>0</v>
      </c>
      <c r="DD4571">
        <v>0</v>
      </c>
      <c r="DE4571">
        <v>0</v>
      </c>
      <c r="DF4571">
        <v>0</v>
      </c>
      <c r="DG4571">
        <v>0</v>
      </c>
      <c r="DH4571">
        <v>0</v>
      </c>
      <c r="DI4571">
        <v>0</v>
      </c>
    </row>
    <row r="4572" spans="1:113" x14ac:dyDescent="0.25">
      <c r="A4572" t="str">
        <f t="shared" si="2579"/>
        <v>06/05/2020 15:00:28.204</v>
      </c>
      <c r="C4572" t="str">
        <f t="shared" si="2544"/>
        <v>FFDFD3C0</v>
      </c>
      <c r="D4572" t="s">
        <v>113</v>
      </c>
      <c r="E4572">
        <v>3</v>
      </c>
      <c r="H4572">
        <v>166</v>
      </c>
      <c r="I4572" t="s">
        <v>114</v>
      </c>
      <c r="J4572" t="s">
        <v>115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 t="shared" si="2580"/>
        <v>15:00:33.836</v>
      </c>
      <c r="T4572" t="str">
        <f t="shared" si="2580"/>
        <v>15:00:33.836</v>
      </c>
      <c r="U4572" t="str">
        <f t="shared" si="2565"/>
        <v>ACC530</v>
      </c>
      <c r="V4572">
        <v>0</v>
      </c>
      <c r="W4572">
        <v>0</v>
      </c>
      <c r="X4572">
        <v>1</v>
      </c>
      <c r="Z4572">
        <v>0</v>
      </c>
      <c r="AA4572">
        <v>9</v>
      </c>
      <c r="AB4572">
        <v>3</v>
      </c>
      <c r="AC4572">
        <v>0</v>
      </c>
      <c r="AD4572">
        <v>9</v>
      </c>
      <c r="AE4572">
        <v>0</v>
      </c>
      <c r="AF4572">
        <v>3</v>
      </c>
      <c r="AG4572">
        <v>1</v>
      </c>
      <c r="AH4572">
        <v>0</v>
      </c>
      <c r="AI4572" t="s">
        <v>1402</v>
      </c>
      <c r="AJ4572">
        <v>34.073945999999999</v>
      </c>
      <c r="AK4572" t="s">
        <v>1426</v>
      </c>
      <c r="AL4572">
        <v>-117.059777</v>
      </c>
      <c r="AM4572">
        <v>100</v>
      </c>
      <c r="AN4572">
        <v>4100</v>
      </c>
      <c r="AO4572" t="s">
        <v>118</v>
      </c>
      <c r="AP4572">
        <v>-120</v>
      </c>
      <c r="AQ4572">
        <v>-23</v>
      </c>
      <c r="AR4572">
        <v>-2240</v>
      </c>
      <c r="AZ4572">
        <v>1200</v>
      </c>
      <c r="BA4572">
        <v>1</v>
      </c>
      <c r="BB4572" t="str">
        <f t="shared" si="2567"/>
        <v xml:space="preserve">N9217B  </v>
      </c>
      <c r="BC4572">
        <v>1</v>
      </c>
      <c r="BE4572">
        <v>0</v>
      </c>
      <c r="BF4572">
        <v>0</v>
      </c>
      <c r="BG4572">
        <v>0</v>
      </c>
      <c r="BH4572">
        <v>3850</v>
      </c>
      <c r="BI4572">
        <v>1</v>
      </c>
      <c r="BJ4572">
        <v>0</v>
      </c>
      <c r="BK4572">
        <v>0</v>
      </c>
      <c r="BL4572">
        <v>0</v>
      </c>
      <c r="BO4572">
        <v>0</v>
      </c>
      <c r="BP4572">
        <v>0</v>
      </c>
      <c r="BW4572" t="str">
        <f t="shared" si="2581"/>
        <v>15:00:33.840</v>
      </c>
      <c r="CJ4572">
        <v>0</v>
      </c>
      <c r="CK4572">
        <v>2</v>
      </c>
      <c r="CL4572">
        <v>0</v>
      </c>
      <c r="CM4572">
        <v>2</v>
      </c>
      <c r="CN4572">
        <v>0</v>
      </c>
      <c r="CO4572">
        <v>5</v>
      </c>
      <c r="CP4572" t="s">
        <v>119</v>
      </c>
      <c r="CQ4572">
        <v>298</v>
      </c>
      <c r="CR4572">
        <v>0</v>
      </c>
      <c r="CW4572">
        <v>10483452</v>
      </c>
      <c r="CY4572">
        <v>0</v>
      </c>
      <c r="CZ4572">
        <v>0</v>
      </c>
      <c r="DA4572">
        <v>1</v>
      </c>
      <c r="DB4572">
        <v>0</v>
      </c>
      <c r="DC4572">
        <v>0</v>
      </c>
      <c r="DD4572">
        <v>0</v>
      </c>
      <c r="DE4572">
        <v>0</v>
      </c>
      <c r="DF4572">
        <v>0</v>
      </c>
      <c r="DG4572">
        <v>0</v>
      </c>
      <c r="DH4572">
        <v>0</v>
      </c>
      <c r="DI4572">
        <v>0</v>
      </c>
    </row>
    <row r="4573" spans="1:113" x14ac:dyDescent="0.25">
      <c r="A4573" t="str">
        <f t="shared" si="2579"/>
        <v>06/05/2020 15:00:28.204</v>
      </c>
      <c r="C4573" t="str">
        <f t="shared" si="2544"/>
        <v>FFDFD3C0</v>
      </c>
      <c r="D4573" t="s">
        <v>151</v>
      </c>
      <c r="E4573">
        <v>8</v>
      </c>
      <c r="H4573">
        <v>225</v>
      </c>
      <c r="I4573" t="s">
        <v>353</v>
      </c>
      <c r="J4573" t="s">
        <v>150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 t="shared" si="2580"/>
        <v>15:00:33.836</v>
      </c>
      <c r="T4573" t="str">
        <f t="shared" si="2580"/>
        <v>15:00:33.836</v>
      </c>
      <c r="U4573" t="str">
        <f t="shared" si="2565"/>
        <v>ACC530</v>
      </c>
      <c r="V4573">
        <v>0</v>
      </c>
      <c r="W4573">
        <v>0</v>
      </c>
      <c r="X4573">
        <v>1</v>
      </c>
      <c r="Z4573">
        <v>0</v>
      </c>
      <c r="AA4573">
        <v>9</v>
      </c>
      <c r="AB4573">
        <v>3</v>
      </c>
      <c r="AC4573">
        <v>0</v>
      </c>
      <c r="AD4573">
        <v>9</v>
      </c>
      <c r="AE4573">
        <v>0</v>
      </c>
      <c r="AF4573">
        <v>3</v>
      </c>
      <c r="AG4573">
        <v>1</v>
      </c>
      <c r="AH4573">
        <v>0</v>
      </c>
      <c r="AI4573" t="s">
        <v>1402</v>
      </c>
      <c r="AJ4573">
        <v>34.073945999999999</v>
      </c>
      <c r="AK4573" t="s">
        <v>1426</v>
      </c>
      <c r="AL4573">
        <v>-117.059777</v>
      </c>
      <c r="AM4573">
        <v>100</v>
      </c>
      <c r="AN4573">
        <v>4100</v>
      </c>
      <c r="AO4573" t="s">
        <v>118</v>
      </c>
      <c r="AP4573">
        <v>-120</v>
      </c>
      <c r="AQ4573">
        <v>-23</v>
      </c>
      <c r="AR4573">
        <v>-2240</v>
      </c>
      <c r="AZ4573">
        <v>1200</v>
      </c>
      <c r="BA4573">
        <v>1</v>
      </c>
      <c r="BB4573" t="str">
        <f t="shared" si="2567"/>
        <v xml:space="preserve">N9217B  </v>
      </c>
      <c r="BC4573">
        <v>1</v>
      </c>
      <c r="BE4573">
        <v>0</v>
      </c>
      <c r="BF4573">
        <v>0</v>
      </c>
      <c r="BG4573">
        <v>0</v>
      </c>
      <c r="BH4573">
        <v>3850</v>
      </c>
      <c r="BI4573">
        <v>1</v>
      </c>
      <c r="BJ4573">
        <v>0</v>
      </c>
      <c r="BK4573">
        <v>0</v>
      </c>
      <c r="BL4573">
        <v>0</v>
      </c>
      <c r="BO4573">
        <v>0</v>
      </c>
      <c r="BP4573">
        <v>0</v>
      </c>
      <c r="BW4573" t="str">
        <f t="shared" si="2581"/>
        <v>15:00:33.840</v>
      </c>
      <c r="CJ4573">
        <v>0</v>
      </c>
      <c r="CK4573">
        <v>2</v>
      </c>
      <c r="CL4573">
        <v>0</v>
      </c>
      <c r="CM4573">
        <v>2</v>
      </c>
      <c r="CN4573">
        <v>0</v>
      </c>
      <c r="CO4573">
        <v>5</v>
      </c>
      <c r="CP4573" t="s">
        <v>119</v>
      </c>
      <c r="CQ4573">
        <v>298</v>
      </c>
      <c r="CR4573">
        <v>0</v>
      </c>
      <c r="CW4573">
        <v>10483452</v>
      </c>
      <c r="CY4573">
        <v>0</v>
      </c>
      <c r="CZ4573">
        <v>0</v>
      </c>
      <c r="DA4573">
        <v>1</v>
      </c>
      <c r="DB4573">
        <v>0</v>
      </c>
      <c r="DC4573">
        <v>0</v>
      </c>
      <c r="DD4573">
        <v>0</v>
      </c>
      <c r="DE4573">
        <v>0</v>
      </c>
      <c r="DF4573">
        <v>0</v>
      </c>
      <c r="DG4573">
        <v>0</v>
      </c>
      <c r="DH4573">
        <v>0</v>
      </c>
      <c r="DI4573">
        <v>0</v>
      </c>
    </row>
    <row r="4574" spans="1:113" x14ac:dyDescent="0.25">
      <c r="A4574" t="str">
        <f t="shared" si="2579"/>
        <v>06/05/2020 15:00:28.204</v>
      </c>
      <c r="C4574" t="str">
        <f t="shared" si="2544"/>
        <v>FFDFD3C0</v>
      </c>
      <c r="D4574" t="s">
        <v>141</v>
      </c>
      <c r="E4574">
        <v>20</v>
      </c>
      <c r="F4574">
        <v>1020</v>
      </c>
      <c r="G4574" t="s">
        <v>114</v>
      </c>
      <c r="J4574" t="s">
        <v>142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 t="shared" si="2580"/>
        <v>15:00:33.836</v>
      </c>
      <c r="T4574" t="str">
        <f t="shared" si="2580"/>
        <v>15:00:33.836</v>
      </c>
      <c r="U4574" t="str">
        <f t="shared" si="2565"/>
        <v>ACC530</v>
      </c>
      <c r="V4574">
        <v>0</v>
      </c>
      <c r="W4574">
        <v>0</v>
      </c>
      <c r="X4574">
        <v>1</v>
      </c>
      <c r="Z4574">
        <v>0</v>
      </c>
      <c r="AA4574">
        <v>9</v>
      </c>
      <c r="AB4574">
        <v>3</v>
      </c>
      <c r="AC4574">
        <v>0</v>
      </c>
      <c r="AD4574">
        <v>9</v>
      </c>
      <c r="AE4574">
        <v>0</v>
      </c>
      <c r="AF4574">
        <v>3</v>
      </c>
      <c r="AG4574">
        <v>1</v>
      </c>
      <c r="AH4574">
        <v>0</v>
      </c>
      <c r="AI4574" t="s">
        <v>1402</v>
      </c>
      <c r="AJ4574">
        <v>34.073945999999999</v>
      </c>
      <c r="AK4574" t="s">
        <v>1426</v>
      </c>
      <c r="AL4574">
        <v>-117.059777</v>
      </c>
      <c r="AM4574">
        <v>100</v>
      </c>
      <c r="AN4574">
        <v>4100</v>
      </c>
      <c r="AO4574" t="s">
        <v>118</v>
      </c>
      <c r="AP4574">
        <v>-120</v>
      </c>
      <c r="AQ4574">
        <v>-23</v>
      </c>
      <c r="AR4574">
        <v>-2240</v>
      </c>
      <c r="AZ4574">
        <v>1200</v>
      </c>
      <c r="BA4574">
        <v>1</v>
      </c>
      <c r="BB4574" t="str">
        <f t="shared" si="2567"/>
        <v xml:space="preserve">N9217B  </v>
      </c>
      <c r="BC4574">
        <v>1</v>
      </c>
      <c r="BE4574">
        <v>0</v>
      </c>
      <c r="BF4574">
        <v>0</v>
      </c>
      <c r="BG4574">
        <v>0</v>
      </c>
      <c r="BH4574">
        <v>3850</v>
      </c>
      <c r="BI4574">
        <v>1</v>
      </c>
      <c r="BJ4574">
        <v>0</v>
      </c>
      <c r="BK4574">
        <v>0</v>
      </c>
      <c r="BL4574">
        <v>0</v>
      </c>
      <c r="BO4574">
        <v>0</v>
      </c>
      <c r="BP4574">
        <v>0</v>
      </c>
      <c r="BW4574" t="str">
        <f t="shared" si="2581"/>
        <v>15:00:33.840</v>
      </c>
      <c r="CJ4574">
        <v>0</v>
      </c>
      <c r="CK4574">
        <v>2</v>
      </c>
      <c r="CL4574">
        <v>0</v>
      </c>
      <c r="CM4574">
        <v>2</v>
      </c>
      <c r="CN4574">
        <v>0</v>
      </c>
      <c r="CO4574">
        <v>5</v>
      </c>
      <c r="CP4574" t="s">
        <v>119</v>
      </c>
      <c r="CQ4574">
        <v>298</v>
      </c>
      <c r="CR4574">
        <v>0</v>
      </c>
      <c r="CW4574">
        <v>10483452</v>
      </c>
      <c r="CY4574">
        <v>0</v>
      </c>
      <c r="CZ4574">
        <v>0</v>
      </c>
      <c r="DA4574">
        <v>1</v>
      </c>
      <c r="DB4574">
        <v>0</v>
      </c>
      <c r="DC4574">
        <v>0</v>
      </c>
      <c r="DD4574">
        <v>0</v>
      </c>
      <c r="DE4574">
        <v>0</v>
      </c>
      <c r="DF4574">
        <v>0</v>
      </c>
      <c r="DG4574">
        <v>0</v>
      </c>
      <c r="DH4574">
        <v>0</v>
      </c>
      <c r="DI4574">
        <v>0</v>
      </c>
    </row>
    <row r="4575" spans="1:113" x14ac:dyDescent="0.25">
      <c r="A4575" t="str">
        <f t="shared" si="2579"/>
        <v>06/05/2020 15:00:28.204</v>
      </c>
      <c r="C4575" t="str">
        <f t="shared" si="2544"/>
        <v>FFDFD3C0</v>
      </c>
      <c r="D4575" t="s">
        <v>134</v>
      </c>
      <c r="E4575">
        <v>7</v>
      </c>
      <c r="F4575">
        <v>2007</v>
      </c>
      <c r="G4575" t="s">
        <v>135</v>
      </c>
      <c r="J4575" t="s">
        <v>136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 t="shared" si="2580"/>
        <v>15:00:33.836</v>
      </c>
      <c r="T4575" t="str">
        <f t="shared" si="2580"/>
        <v>15:00:33.836</v>
      </c>
      <c r="U4575" t="str">
        <f t="shared" si="2565"/>
        <v>ACC530</v>
      </c>
      <c r="V4575">
        <v>0</v>
      </c>
      <c r="W4575">
        <v>0</v>
      </c>
      <c r="X4575">
        <v>1</v>
      </c>
      <c r="Z4575">
        <v>0</v>
      </c>
      <c r="AA4575">
        <v>9</v>
      </c>
      <c r="AB4575">
        <v>3</v>
      </c>
      <c r="AC4575">
        <v>0</v>
      </c>
      <c r="AD4575">
        <v>9</v>
      </c>
      <c r="AE4575">
        <v>0</v>
      </c>
      <c r="AF4575">
        <v>3</v>
      </c>
      <c r="AG4575">
        <v>1</v>
      </c>
      <c r="AH4575">
        <v>0</v>
      </c>
      <c r="AI4575" t="s">
        <v>1402</v>
      </c>
      <c r="AJ4575">
        <v>34.073945999999999</v>
      </c>
      <c r="AK4575" t="s">
        <v>1426</v>
      </c>
      <c r="AL4575">
        <v>-117.059777</v>
      </c>
      <c r="AM4575">
        <v>100</v>
      </c>
      <c r="AN4575">
        <v>4100</v>
      </c>
      <c r="AO4575" t="s">
        <v>118</v>
      </c>
      <c r="AP4575">
        <v>-120</v>
      </c>
      <c r="AQ4575">
        <v>-23</v>
      </c>
      <c r="AR4575">
        <v>-2240</v>
      </c>
      <c r="AZ4575">
        <v>1200</v>
      </c>
      <c r="BA4575">
        <v>1</v>
      </c>
      <c r="BB4575" t="str">
        <f t="shared" si="2567"/>
        <v xml:space="preserve">N9217B  </v>
      </c>
      <c r="BC4575">
        <v>1</v>
      </c>
      <c r="BE4575">
        <v>0</v>
      </c>
      <c r="BF4575">
        <v>0</v>
      </c>
      <c r="BG4575">
        <v>0</v>
      </c>
      <c r="BH4575">
        <v>3850</v>
      </c>
      <c r="BI4575">
        <v>1</v>
      </c>
      <c r="BJ4575">
        <v>0</v>
      </c>
      <c r="BK4575">
        <v>0</v>
      </c>
      <c r="BL4575">
        <v>0</v>
      </c>
      <c r="BO4575">
        <v>0</v>
      </c>
      <c r="BP4575">
        <v>0</v>
      </c>
      <c r="BW4575" t="str">
        <f t="shared" si="2581"/>
        <v>15:00:33.840</v>
      </c>
      <c r="CJ4575">
        <v>0</v>
      </c>
      <c r="CK4575">
        <v>2</v>
      </c>
      <c r="CL4575">
        <v>0</v>
      </c>
      <c r="CM4575">
        <v>2</v>
      </c>
      <c r="CN4575">
        <v>0</v>
      </c>
      <c r="CO4575">
        <v>5</v>
      </c>
      <c r="CP4575" t="s">
        <v>119</v>
      </c>
      <c r="CQ4575">
        <v>298</v>
      </c>
      <c r="CR4575">
        <v>0</v>
      </c>
      <c r="CW4575">
        <v>10483452</v>
      </c>
      <c r="CY4575">
        <v>0</v>
      </c>
      <c r="CZ4575">
        <v>0</v>
      </c>
      <c r="DA4575">
        <v>1</v>
      </c>
      <c r="DB4575">
        <v>0</v>
      </c>
      <c r="DC4575">
        <v>0</v>
      </c>
      <c r="DD4575">
        <v>0</v>
      </c>
      <c r="DE4575">
        <v>0</v>
      </c>
      <c r="DF4575">
        <v>0</v>
      </c>
      <c r="DG4575">
        <v>0</v>
      </c>
      <c r="DH4575">
        <v>0</v>
      </c>
      <c r="DI4575">
        <v>0</v>
      </c>
    </row>
    <row r="4576" spans="1:113" x14ac:dyDescent="0.25">
      <c r="A4576" t="str">
        <f t="shared" si="2579"/>
        <v>06/05/2020 15:00:28.204</v>
      </c>
      <c r="C4576" t="str">
        <f t="shared" si="2544"/>
        <v>FFDFD3C0</v>
      </c>
      <c r="D4576" t="s">
        <v>151</v>
      </c>
      <c r="E4576">
        <v>9</v>
      </c>
      <c r="H4576">
        <v>226</v>
      </c>
      <c r="I4576" t="s">
        <v>152</v>
      </c>
      <c r="J4576" t="s">
        <v>150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>"15:00:33.836"</f>
        <v>15:00:33.836</v>
      </c>
      <c r="T4576" t="str">
        <f>"15:00:33.436"</f>
        <v>15:00:33.436</v>
      </c>
      <c r="U4576" t="str">
        <f t="shared" si="2565"/>
        <v>ACC530</v>
      </c>
      <c r="V4576">
        <v>0</v>
      </c>
      <c r="W4576">
        <v>0</v>
      </c>
      <c r="X4576">
        <v>1</v>
      </c>
      <c r="Z4576">
        <v>0</v>
      </c>
      <c r="AA4576">
        <v>9</v>
      </c>
      <c r="AB4576">
        <v>3</v>
      </c>
      <c r="AC4576">
        <v>0</v>
      </c>
      <c r="AD4576">
        <v>9</v>
      </c>
      <c r="AE4576">
        <v>0</v>
      </c>
      <c r="AF4576">
        <v>3</v>
      </c>
      <c r="AG4576">
        <v>1</v>
      </c>
      <c r="AH4576">
        <v>0</v>
      </c>
      <c r="AI4576" t="s">
        <v>1402</v>
      </c>
      <c r="AJ4576">
        <v>34.073945999999999</v>
      </c>
      <c r="AK4576" t="s">
        <v>1426</v>
      </c>
      <c r="AL4576">
        <v>-117.059777</v>
      </c>
      <c r="AM4576">
        <v>100</v>
      </c>
      <c r="AN4576">
        <v>4100</v>
      </c>
      <c r="AO4576" t="s">
        <v>118</v>
      </c>
      <c r="AP4576">
        <v>-120</v>
      </c>
      <c r="AQ4576">
        <v>-22</v>
      </c>
      <c r="AR4576">
        <v>-2240</v>
      </c>
      <c r="AZ4576">
        <v>1200</v>
      </c>
      <c r="BA4576">
        <v>1</v>
      </c>
      <c r="BB4576" t="str">
        <f t="shared" si="2567"/>
        <v xml:space="preserve">N9217B  </v>
      </c>
      <c r="BC4576">
        <v>1</v>
      </c>
      <c r="BE4576">
        <v>0</v>
      </c>
      <c r="BF4576">
        <v>0</v>
      </c>
      <c r="BG4576">
        <v>0</v>
      </c>
      <c r="BH4576">
        <v>3875</v>
      </c>
      <c r="BI4576">
        <v>1</v>
      </c>
      <c r="BJ4576">
        <v>0</v>
      </c>
      <c r="BK4576">
        <v>0</v>
      </c>
      <c r="BL4576">
        <v>0</v>
      </c>
      <c r="BO4576">
        <v>0</v>
      </c>
      <c r="BP4576">
        <v>0</v>
      </c>
      <c r="BW4576" t="str">
        <f t="shared" si="2581"/>
        <v>15:00:33.840</v>
      </c>
      <c r="CJ4576">
        <v>0</v>
      </c>
      <c r="CK4576">
        <v>2</v>
      </c>
      <c r="CL4576">
        <v>0</v>
      </c>
      <c r="CM4576">
        <v>2</v>
      </c>
      <c r="CN4576">
        <v>0</v>
      </c>
      <c r="CO4576">
        <v>1</v>
      </c>
      <c r="CP4576" t="s">
        <v>119</v>
      </c>
      <c r="CQ4576">
        <v>285</v>
      </c>
      <c r="CR4576">
        <v>0</v>
      </c>
      <c r="CW4576">
        <v>8896337</v>
      </c>
      <c r="CY4576">
        <v>0</v>
      </c>
      <c r="CZ4576">
        <v>0</v>
      </c>
      <c r="DA4576">
        <v>1</v>
      </c>
      <c r="DB4576">
        <v>0</v>
      </c>
      <c r="DC4576">
        <v>0</v>
      </c>
      <c r="DD4576">
        <v>0</v>
      </c>
      <c r="DE4576">
        <v>0</v>
      </c>
      <c r="DF4576">
        <v>0</v>
      </c>
      <c r="DG4576">
        <v>0</v>
      </c>
      <c r="DH4576">
        <v>0</v>
      </c>
      <c r="DI4576">
        <v>0</v>
      </c>
    </row>
    <row r="4577" spans="1:113" x14ac:dyDescent="0.25">
      <c r="A4577" t="str">
        <f t="shared" si="2579"/>
        <v>06/05/2020 15:00:28.204</v>
      </c>
      <c r="C4577" t="str">
        <f t="shared" si="2544"/>
        <v>FFDFD3C0</v>
      </c>
      <c r="D4577" t="s">
        <v>148</v>
      </c>
      <c r="E4577">
        <v>8</v>
      </c>
      <c r="H4577">
        <v>50</v>
      </c>
      <c r="I4577" t="s">
        <v>149</v>
      </c>
      <c r="J4577" t="s">
        <v>150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>"15:00:33.836"</f>
        <v>15:00:33.836</v>
      </c>
      <c r="T4577" t="str">
        <f>"15:00:33.836"</f>
        <v>15:00:33.836</v>
      </c>
      <c r="U4577" t="str">
        <f t="shared" si="2565"/>
        <v>ACC530</v>
      </c>
      <c r="V4577">
        <v>0</v>
      </c>
      <c r="W4577">
        <v>0</v>
      </c>
      <c r="X4577">
        <v>1</v>
      </c>
      <c r="Z4577">
        <v>0</v>
      </c>
      <c r="AA4577">
        <v>9</v>
      </c>
      <c r="AB4577">
        <v>3</v>
      </c>
      <c r="AC4577">
        <v>0</v>
      </c>
      <c r="AD4577">
        <v>9</v>
      </c>
      <c r="AE4577">
        <v>0</v>
      </c>
      <c r="AF4577">
        <v>3</v>
      </c>
      <c r="AG4577">
        <v>1</v>
      </c>
      <c r="AH4577">
        <v>0</v>
      </c>
      <c r="AI4577" t="s">
        <v>1402</v>
      </c>
      <c r="AJ4577">
        <v>34.073945999999999</v>
      </c>
      <c r="AK4577" t="s">
        <v>1426</v>
      </c>
      <c r="AL4577">
        <v>-117.059777</v>
      </c>
      <c r="AM4577">
        <v>100</v>
      </c>
      <c r="AN4577">
        <v>4100</v>
      </c>
      <c r="AO4577" t="s">
        <v>118</v>
      </c>
      <c r="AP4577">
        <v>-120</v>
      </c>
      <c r="AQ4577">
        <v>-23</v>
      </c>
      <c r="AR4577">
        <v>-2240</v>
      </c>
      <c r="AZ4577">
        <v>1200</v>
      </c>
      <c r="BA4577">
        <v>1</v>
      </c>
      <c r="BB4577" t="str">
        <f t="shared" si="2567"/>
        <v xml:space="preserve">N9217B  </v>
      </c>
      <c r="BC4577">
        <v>1</v>
      </c>
      <c r="BE4577">
        <v>0</v>
      </c>
      <c r="BF4577">
        <v>0</v>
      </c>
      <c r="BG4577">
        <v>0</v>
      </c>
      <c r="BH4577">
        <v>3850</v>
      </c>
      <c r="BI4577">
        <v>1</v>
      </c>
      <c r="BJ4577">
        <v>0</v>
      </c>
      <c r="BK4577">
        <v>0</v>
      </c>
      <c r="BL4577">
        <v>0</v>
      </c>
      <c r="BO4577">
        <v>0</v>
      </c>
      <c r="BP4577">
        <v>0</v>
      </c>
      <c r="BW4577" t="str">
        <f t="shared" si="2581"/>
        <v>15:00:33.840</v>
      </c>
      <c r="CJ4577">
        <v>0</v>
      </c>
      <c r="CK4577">
        <v>2</v>
      </c>
      <c r="CL4577">
        <v>0</v>
      </c>
      <c r="CM4577">
        <v>2</v>
      </c>
      <c r="CN4577">
        <v>0</v>
      </c>
      <c r="CO4577">
        <v>5</v>
      </c>
      <c r="CP4577" t="s">
        <v>119</v>
      </c>
      <c r="CQ4577">
        <v>298</v>
      </c>
      <c r="CR4577">
        <v>0</v>
      </c>
      <c r="CW4577">
        <v>10483452</v>
      </c>
      <c r="CY4577">
        <v>0</v>
      </c>
      <c r="CZ4577">
        <v>0</v>
      </c>
      <c r="DA4577">
        <v>1</v>
      </c>
      <c r="DB4577">
        <v>0</v>
      </c>
      <c r="DC4577">
        <v>0</v>
      </c>
      <c r="DD4577">
        <v>0</v>
      </c>
      <c r="DE4577">
        <v>0</v>
      </c>
      <c r="DF4577">
        <v>0</v>
      </c>
      <c r="DG4577">
        <v>0</v>
      </c>
      <c r="DH4577">
        <v>0</v>
      </c>
      <c r="DI4577">
        <v>0</v>
      </c>
    </row>
    <row r="4578" spans="1:113" x14ac:dyDescent="0.25">
      <c r="A4578" t="str">
        <f t="shared" ref="A4578:A4583" si="2582">"06/05/2020 15:00:29.121"</f>
        <v>06/05/2020 15:00:29.121</v>
      </c>
      <c r="C4578" t="str">
        <f t="shared" si="2544"/>
        <v>FFDFD3C0</v>
      </c>
      <c r="D4578" t="s">
        <v>134</v>
      </c>
      <c r="E4578">
        <v>7</v>
      </c>
      <c r="F4578">
        <v>2007</v>
      </c>
      <c r="G4578" t="s">
        <v>135</v>
      </c>
      <c r="J4578" t="s">
        <v>136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 t="shared" ref="S4578:T4583" si="2583">"15:00:34.766"</f>
        <v>15:00:34.766</v>
      </c>
      <c r="T4578" t="str">
        <f t="shared" si="2583"/>
        <v>15:00:34.766</v>
      </c>
      <c r="U4578" t="str">
        <f t="shared" si="2565"/>
        <v>ACC530</v>
      </c>
      <c r="V4578">
        <v>0</v>
      </c>
      <c r="W4578">
        <v>0</v>
      </c>
      <c r="X4578">
        <v>1</v>
      </c>
      <c r="Z4578">
        <v>0</v>
      </c>
      <c r="AA4578">
        <v>9</v>
      </c>
      <c r="AB4578">
        <v>3</v>
      </c>
      <c r="AC4578">
        <v>0</v>
      </c>
      <c r="AD4578">
        <v>9</v>
      </c>
      <c r="AE4578">
        <v>0</v>
      </c>
      <c r="AF4578">
        <v>3</v>
      </c>
      <c r="AG4578">
        <v>1</v>
      </c>
      <c r="AH4578">
        <v>0</v>
      </c>
      <c r="AI4578" t="s">
        <v>1400</v>
      </c>
      <c r="AJ4578">
        <v>34.073861000000001</v>
      </c>
      <c r="AK4578" t="s">
        <v>1427</v>
      </c>
      <c r="AL4578">
        <v>-117.060399</v>
      </c>
      <c r="AM4578">
        <v>100</v>
      </c>
      <c r="AN4578">
        <v>4100</v>
      </c>
      <c r="AO4578" t="s">
        <v>118</v>
      </c>
      <c r="AP4578">
        <v>-121</v>
      </c>
      <c r="AQ4578">
        <v>-26</v>
      </c>
      <c r="AR4578">
        <v>-2240</v>
      </c>
      <c r="AZ4578">
        <v>1200</v>
      </c>
      <c r="BA4578">
        <v>1</v>
      </c>
      <c r="BB4578" t="str">
        <f t="shared" si="2567"/>
        <v xml:space="preserve">N9217B  </v>
      </c>
      <c r="BC4578">
        <v>1</v>
      </c>
      <c r="BE4578">
        <v>0</v>
      </c>
      <c r="BF4578">
        <v>0</v>
      </c>
      <c r="BG4578">
        <v>0</v>
      </c>
      <c r="BH4578">
        <v>3825</v>
      </c>
      <c r="BI4578">
        <v>1</v>
      </c>
      <c r="BJ4578">
        <v>0</v>
      </c>
      <c r="BK4578">
        <v>0</v>
      </c>
      <c r="BL4578">
        <v>0</v>
      </c>
      <c r="BO4578">
        <v>0</v>
      </c>
      <c r="BP4578">
        <v>0</v>
      </c>
      <c r="BW4578" t="str">
        <f t="shared" ref="BW4578:BW4583" si="2584">"15:00:34.770"</f>
        <v>15:00:34.770</v>
      </c>
      <c r="CJ4578">
        <v>0</v>
      </c>
      <c r="CK4578">
        <v>2</v>
      </c>
      <c r="CL4578">
        <v>0</v>
      </c>
      <c r="CM4578">
        <v>2</v>
      </c>
      <c r="CN4578">
        <v>0</v>
      </c>
      <c r="CO4578">
        <v>5</v>
      </c>
      <c r="CP4578" t="s">
        <v>119</v>
      </c>
      <c r="CQ4578">
        <v>298</v>
      </c>
      <c r="CR4578">
        <v>0</v>
      </c>
      <c r="CW4578">
        <v>10483579</v>
      </c>
      <c r="CY4578">
        <v>0</v>
      </c>
      <c r="CZ4578">
        <v>0</v>
      </c>
      <c r="DA4578">
        <v>0</v>
      </c>
      <c r="DB4578">
        <v>0</v>
      </c>
      <c r="DC4578">
        <v>0</v>
      </c>
      <c r="DD4578">
        <v>0</v>
      </c>
      <c r="DE4578">
        <v>0</v>
      </c>
      <c r="DF4578">
        <v>0</v>
      </c>
      <c r="DG4578">
        <v>0</v>
      </c>
      <c r="DH4578">
        <v>0</v>
      </c>
      <c r="DI4578">
        <v>0</v>
      </c>
    </row>
    <row r="4579" spans="1:113" x14ac:dyDescent="0.25">
      <c r="A4579" t="str">
        <f t="shared" si="2582"/>
        <v>06/05/2020 15:00:29.121</v>
      </c>
      <c r="C4579" t="str">
        <f t="shared" ref="C4579:C4642" si="2585">"FFDFD3C0"</f>
        <v>FFDFD3C0</v>
      </c>
      <c r="D4579" t="s">
        <v>148</v>
      </c>
      <c r="E4579">
        <v>8</v>
      </c>
      <c r="H4579">
        <v>50</v>
      </c>
      <c r="I4579" t="s">
        <v>149</v>
      </c>
      <c r="J4579" t="s">
        <v>150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 t="shared" si="2583"/>
        <v>15:00:34.766</v>
      </c>
      <c r="T4579" t="str">
        <f t="shared" si="2583"/>
        <v>15:00:34.766</v>
      </c>
      <c r="U4579" t="str">
        <f t="shared" si="2565"/>
        <v>ACC530</v>
      </c>
      <c r="V4579">
        <v>0</v>
      </c>
      <c r="W4579">
        <v>0</v>
      </c>
      <c r="X4579">
        <v>1</v>
      </c>
      <c r="Z4579">
        <v>0</v>
      </c>
      <c r="AA4579">
        <v>9</v>
      </c>
      <c r="AB4579">
        <v>3</v>
      </c>
      <c r="AC4579">
        <v>0</v>
      </c>
      <c r="AD4579">
        <v>9</v>
      </c>
      <c r="AE4579">
        <v>0</v>
      </c>
      <c r="AF4579">
        <v>3</v>
      </c>
      <c r="AG4579">
        <v>1</v>
      </c>
      <c r="AH4579">
        <v>0</v>
      </c>
      <c r="AI4579" t="s">
        <v>1400</v>
      </c>
      <c r="AJ4579">
        <v>34.073861000000001</v>
      </c>
      <c r="AK4579" t="s">
        <v>1427</v>
      </c>
      <c r="AL4579">
        <v>-117.060399</v>
      </c>
      <c r="AM4579">
        <v>100</v>
      </c>
      <c r="AN4579">
        <v>4100</v>
      </c>
      <c r="AO4579" t="s">
        <v>118</v>
      </c>
      <c r="AP4579">
        <v>-121</v>
      </c>
      <c r="AQ4579">
        <v>-26</v>
      </c>
      <c r="AR4579">
        <v>-2240</v>
      </c>
      <c r="AZ4579">
        <v>1200</v>
      </c>
      <c r="BA4579">
        <v>1</v>
      </c>
      <c r="BB4579" t="str">
        <f t="shared" si="2567"/>
        <v xml:space="preserve">N9217B  </v>
      </c>
      <c r="BC4579">
        <v>1</v>
      </c>
      <c r="BE4579">
        <v>0</v>
      </c>
      <c r="BF4579">
        <v>0</v>
      </c>
      <c r="BG4579">
        <v>0</v>
      </c>
      <c r="BH4579">
        <v>3825</v>
      </c>
      <c r="BI4579">
        <v>1</v>
      </c>
      <c r="BJ4579">
        <v>0</v>
      </c>
      <c r="BK4579">
        <v>0</v>
      </c>
      <c r="BL4579">
        <v>0</v>
      </c>
      <c r="BO4579">
        <v>0</v>
      </c>
      <c r="BP4579">
        <v>0</v>
      </c>
      <c r="BW4579" t="str">
        <f t="shared" si="2584"/>
        <v>15:00:34.770</v>
      </c>
      <c r="CJ4579">
        <v>0</v>
      </c>
      <c r="CK4579">
        <v>2</v>
      </c>
      <c r="CL4579">
        <v>0</v>
      </c>
      <c r="CM4579">
        <v>2</v>
      </c>
      <c r="CN4579">
        <v>0</v>
      </c>
      <c r="CO4579">
        <v>5</v>
      </c>
      <c r="CP4579" t="s">
        <v>119</v>
      </c>
      <c r="CQ4579">
        <v>298</v>
      </c>
      <c r="CR4579">
        <v>0</v>
      </c>
      <c r="CW4579">
        <v>10483579</v>
      </c>
      <c r="CY4579">
        <v>0</v>
      </c>
      <c r="CZ4579">
        <v>0</v>
      </c>
      <c r="DA4579">
        <v>1</v>
      </c>
      <c r="DB4579">
        <v>0</v>
      </c>
      <c r="DC4579">
        <v>0</v>
      </c>
      <c r="DD4579">
        <v>0</v>
      </c>
      <c r="DE4579">
        <v>0</v>
      </c>
      <c r="DF4579">
        <v>0</v>
      </c>
      <c r="DG4579">
        <v>0</v>
      </c>
      <c r="DH4579">
        <v>0</v>
      </c>
      <c r="DI4579">
        <v>0</v>
      </c>
    </row>
    <row r="4580" spans="1:113" x14ac:dyDescent="0.25">
      <c r="A4580" t="str">
        <f t="shared" si="2582"/>
        <v>06/05/2020 15:00:29.121</v>
      </c>
      <c r="C4580" t="str">
        <f t="shared" si="2585"/>
        <v>FFDFD3C0</v>
      </c>
      <c r="D4580" t="s">
        <v>113</v>
      </c>
      <c r="E4580">
        <v>3</v>
      </c>
      <c r="H4580">
        <v>166</v>
      </c>
      <c r="I4580" t="s">
        <v>114</v>
      </c>
      <c r="J4580" t="s">
        <v>115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 t="shared" si="2583"/>
        <v>15:00:34.766</v>
      </c>
      <c r="T4580" t="str">
        <f t="shared" si="2583"/>
        <v>15:00:34.766</v>
      </c>
      <c r="U4580" t="str">
        <f t="shared" si="2565"/>
        <v>ACC530</v>
      </c>
      <c r="V4580">
        <v>0</v>
      </c>
      <c r="W4580">
        <v>0</v>
      </c>
      <c r="X4580">
        <v>1</v>
      </c>
      <c r="Z4580">
        <v>0</v>
      </c>
      <c r="AA4580">
        <v>9</v>
      </c>
      <c r="AB4580">
        <v>3</v>
      </c>
      <c r="AC4580">
        <v>0</v>
      </c>
      <c r="AD4580">
        <v>9</v>
      </c>
      <c r="AE4580">
        <v>0</v>
      </c>
      <c r="AF4580">
        <v>3</v>
      </c>
      <c r="AG4580">
        <v>1</v>
      </c>
      <c r="AH4580">
        <v>0</v>
      </c>
      <c r="AI4580" t="s">
        <v>1400</v>
      </c>
      <c r="AJ4580">
        <v>34.073861000000001</v>
      </c>
      <c r="AK4580" t="s">
        <v>1427</v>
      </c>
      <c r="AL4580">
        <v>-117.060399</v>
      </c>
      <c r="AM4580">
        <v>100</v>
      </c>
      <c r="AN4580">
        <v>4100</v>
      </c>
      <c r="AO4580" t="s">
        <v>118</v>
      </c>
      <c r="AP4580">
        <v>-121</v>
      </c>
      <c r="AQ4580">
        <v>-26</v>
      </c>
      <c r="AR4580">
        <v>-2240</v>
      </c>
      <c r="AZ4580">
        <v>1200</v>
      </c>
      <c r="BA4580">
        <v>1</v>
      </c>
      <c r="BB4580" t="str">
        <f t="shared" si="2567"/>
        <v xml:space="preserve">N9217B  </v>
      </c>
      <c r="BC4580">
        <v>1</v>
      </c>
      <c r="BE4580">
        <v>0</v>
      </c>
      <c r="BF4580">
        <v>0</v>
      </c>
      <c r="BG4580">
        <v>0</v>
      </c>
      <c r="BH4580">
        <v>3825</v>
      </c>
      <c r="BI4580">
        <v>1</v>
      </c>
      <c r="BJ4580">
        <v>0</v>
      </c>
      <c r="BK4580">
        <v>0</v>
      </c>
      <c r="BL4580">
        <v>0</v>
      </c>
      <c r="BO4580">
        <v>0</v>
      </c>
      <c r="BP4580">
        <v>0</v>
      </c>
      <c r="BW4580" t="str">
        <f t="shared" si="2584"/>
        <v>15:00:34.770</v>
      </c>
      <c r="CJ4580">
        <v>0</v>
      </c>
      <c r="CK4580">
        <v>2</v>
      </c>
      <c r="CL4580">
        <v>0</v>
      </c>
      <c r="CM4580">
        <v>2</v>
      </c>
      <c r="CN4580">
        <v>0</v>
      </c>
      <c r="CO4580">
        <v>5</v>
      </c>
      <c r="CP4580" t="s">
        <v>119</v>
      </c>
      <c r="CQ4580">
        <v>298</v>
      </c>
      <c r="CR4580">
        <v>0</v>
      </c>
      <c r="CW4580">
        <v>10483579</v>
      </c>
      <c r="CY4580">
        <v>0</v>
      </c>
      <c r="CZ4580">
        <v>0</v>
      </c>
      <c r="DA4580">
        <v>1</v>
      </c>
      <c r="DB4580">
        <v>0</v>
      </c>
      <c r="DC4580">
        <v>0</v>
      </c>
      <c r="DD4580">
        <v>0</v>
      </c>
      <c r="DE4580">
        <v>0</v>
      </c>
      <c r="DF4580">
        <v>0</v>
      </c>
      <c r="DG4580">
        <v>0</v>
      </c>
      <c r="DH4580">
        <v>0</v>
      </c>
      <c r="DI4580">
        <v>0</v>
      </c>
    </row>
    <row r="4581" spans="1:113" x14ac:dyDescent="0.25">
      <c r="A4581" t="str">
        <f t="shared" si="2582"/>
        <v>06/05/2020 15:00:29.121</v>
      </c>
      <c r="C4581" t="str">
        <f t="shared" si="2585"/>
        <v>FFDFD3C0</v>
      </c>
      <c r="D4581" t="s">
        <v>141</v>
      </c>
      <c r="E4581">
        <v>20</v>
      </c>
      <c r="F4581">
        <v>1020</v>
      </c>
      <c r="G4581" t="s">
        <v>114</v>
      </c>
      <c r="J4581" t="s">
        <v>142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 t="shared" si="2583"/>
        <v>15:00:34.766</v>
      </c>
      <c r="T4581" t="str">
        <f t="shared" si="2583"/>
        <v>15:00:34.766</v>
      </c>
      <c r="U4581" t="str">
        <f t="shared" si="2565"/>
        <v>ACC530</v>
      </c>
      <c r="V4581">
        <v>0</v>
      </c>
      <c r="W4581">
        <v>0</v>
      </c>
      <c r="X4581">
        <v>1</v>
      </c>
      <c r="Z4581">
        <v>0</v>
      </c>
      <c r="AA4581">
        <v>9</v>
      </c>
      <c r="AB4581">
        <v>3</v>
      </c>
      <c r="AC4581">
        <v>0</v>
      </c>
      <c r="AD4581">
        <v>9</v>
      </c>
      <c r="AE4581">
        <v>0</v>
      </c>
      <c r="AF4581">
        <v>3</v>
      </c>
      <c r="AG4581">
        <v>1</v>
      </c>
      <c r="AH4581">
        <v>0</v>
      </c>
      <c r="AI4581" t="s">
        <v>1400</v>
      </c>
      <c r="AJ4581">
        <v>34.073861000000001</v>
      </c>
      <c r="AK4581" t="s">
        <v>1427</v>
      </c>
      <c r="AL4581">
        <v>-117.060399</v>
      </c>
      <c r="AM4581">
        <v>100</v>
      </c>
      <c r="AN4581">
        <v>4100</v>
      </c>
      <c r="AO4581" t="s">
        <v>118</v>
      </c>
      <c r="AP4581">
        <v>-121</v>
      </c>
      <c r="AQ4581">
        <v>-26</v>
      </c>
      <c r="AR4581">
        <v>-2240</v>
      </c>
      <c r="AZ4581">
        <v>1200</v>
      </c>
      <c r="BA4581">
        <v>1</v>
      </c>
      <c r="BB4581" t="str">
        <f t="shared" si="2567"/>
        <v xml:space="preserve">N9217B  </v>
      </c>
      <c r="BC4581">
        <v>1</v>
      </c>
      <c r="BE4581">
        <v>0</v>
      </c>
      <c r="BF4581">
        <v>0</v>
      </c>
      <c r="BG4581">
        <v>0</v>
      </c>
      <c r="BH4581">
        <v>3825</v>
      </c>
      <c r="BI4581">
        <v>1</v>
      </c>
      <c r="BJ4581">
        <v>0</v>
      </c>
      <c r="BK4581">
        <v>0</v>
      </c>
      <c r="BL4581">
        <v>0</v>
      </c>
      <c r="BO4581">
        <v>0</v>
      </c>
      <c r="BP4581">
        <v>0</v>
      </c>
      <c r="BW4581" t="str">
        <f t="shared" si="2584"/>
        <v>15:00:34.770</v>
      </c>
      <c r="CJ4581">
        <v>0</v>
      </c>
      <c r="CK4581">
        <v>2</v>
      </c>
      <c r="CL4581">
        <v>0</v>
      </c>
      <c r="CM4581">
        <v>2</v>
      </c>
      <c r="CN4581">
        <v>0</v>
      </c>
      <c r="CO4581">
        <v>5</v>
      </c>
      <c r="CP4581" t="s">
        <v>119</v>
      </c>
      <c r="CQ4581">
        <v>298</v>
      </c>
      <c r="CR4581">
        <v>0</v>
      </c>
      <c r="CW4581">
        <v>10483579</v>
      </c>
      <c r="CY4581">
        <v>0</v>
      </c>
      <c r="CZ4581">
        <v>0</v>
      </c>
      <c r="DA4581">
        <v>1</v>
      </c>
      <c r="DB4581">
        <v>0</v>
      </c>
      <c r="DC4581">
        <v>0</v>
      </c>
      <c r="DD4581">
        <v>0</v>
      </c>
      <c r="DE4581">
        <v>0</v>
      </c>
      <c r="DF4581">
        <v>0</v>
      </c>
      <c r="DG4581">
        <v>0</v>
      </c>
      <c r="DH4581">
        <v>0</v>
      </c>
      <c r="DI4581">
        <v>0</v>
      </c>
    </row>
    <row r="4582" spans="1:113" x14ac:dyDescent="0.25">
      <c r="A4582" t="str">
        <f t="shared" si="2582"/>
        <v>06/05/2020 15:00:29.121</v>
      </c>
      <c r="C4582" t="str">
        <f t="shared" si="2585"/>
        <v>FFDFD3C0</v>
      </c>
      <c r="D4582" t="s">
        <v>148</v>
      </c>
      <c r="E4582">
        <v>11</v>
      </c>
      <c r="H4582">
        <v>53</v>
      </c>
      <c r="I4582" t="s">
        <v>364</v>
      </c>
      <c r="J4582" t="s">
        <v>150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 t="shared" si="2583"/>
        <v>15:00:34.766</v>
      </c>
      <c r="T4582" t="str">
        <f t="shared" si="2583"/>
        <v>15:00:34.766</v>
      </c>
      <c r="U4582" t="str">
        <f t="shared" si="2565"/>
        <v>ACC530</v>
      </c>
      <c r="V4582">
        <v>0</v>
      </c>
      <c r="W4582">
        <v>0</v>
      </c>
      <c r="X4582">
        <v>1</v>
      </c>
      <c r="Z4582">
        <v>0</v>
      </c>
      <c r="AA4582">
        <v>9</v>
      </c>
      <c r="AB4582">
        <v>3</v>
      </c>
      <c r="AC4582">
        <v>0</v>
      </c>
      <c r="AD4582">
        <v>9</v>
      </c>
      <c r="AE4582">
        <v>0</v>
      </c>
      <c r="AF4582">
        <v>3</v>
      </c>
      <c r="AG4582">
        <v>1</v>
      </c>
      <c r="AH4582">
        <v>0</v>
      </c>
      <c r="AI4582" t="s">
        <v>1400</v>
      </c>
      <c r="AJ4582">
        <v>34.073861000000001</v>
      </c>
      <c r="AK4582" t="s">
        <v>1427</v>
      </c>
      <c r="AL4582">
        <v>-117.060399</v>
      </c>
      <c r="AM4582">
        <v>100</v>
      </c>
      <c r="AN4582">
        <v>4100</v>
      </c>
      <c r="AO4582" t="s">
        <v>118</v>
      </c>
      <c r="AP4582">
        <v>-121</v>
      </c>
      <c r="AQ4582">
        <v>-26</v>
      </c>
      <c r="AR4582">
        <v>-2240</v>
      </c>
      <c r="AZ4582">
        <v>1200</v>
      </c>
      <c r="BA4582">
        <v>1</v>
      </c>
      <c r="BB4582" t="str">
        <f t="shared" si="2567"/>
        <v xml:space="preserve">N9217B  </v>
      </c>
      <c r="BC4582">
        <v>1</v>
      </c>
      <c r="BE4582">
        <v>0</v>
      </c>
      <c r="BF4582">
        <v>0</v>
      </c>
      <c r="BG4582">
        <v>0</v>
      </c>
      <c r="BH4582">
        <v>3825</v>
      </c>
      <c r="BI4582">
        <v>1</v>
      </c>
      <c r="BJ4582">
        <v>0</v>
      </c>
      <c r="BK4582">
        <v>0</v>
      </c>
      <c r="BL4582">
        <v>0</v>
      </c>
      <c r="BO4582">
        <v>0</v>
      </c>
      <c r="BP4582">
        <v>0</v>
      </c>
      <c r="BW4582" t="str">
        <f t="shared" si="2584"/>
        <v>15:00:34.770</v>
      </c>
      <c r="CJ4582">
        <v>0</v>
      </c>
      <c r="CK4582">
        <v>2</v>
      </c>
      <c r="CL4582">
        <v>0</v>
      </c>
      <c r="CM4582">
        <v>2</v>
      </c>
      <c r="CN4582">
        <v>0</v>
      </c>
      <c r="CO4582">
        <v>5</v>
      </c>
      <c r="CP4582" t="s">
        <v>119</v>
      </c>
      <c r="CQ4582">
        <v>298</v>
      </c>
      <c r="CR4582">
        <v>0</v>
      </c>
      <c r="CW4582">
        <v>10483579</v>
      </c>
      <c r="CY4582">
        <v>0</v>
      </c>
      <c r="CZ4582">
        <v>0</v>
      </c>
      <c r="DA4582">
        <v>1</v>
      </c>
      <c r="DB4582">
        <v>0</v>
      </c>
      <c r="DC4582">
        <v>0</v>
      </c>
      <c r="DD4582">
        <v>0</v>
      </c>
      <c r="DE4582">
        <v>0</v>
      </c>
      <c r="DF4582">
        <v>0</v>
      </c>
      <c r="DG4582">
        <v>0</v>
      </c>
      <c r="DH4582">
        <v>0</v>
      </c>
      <c r="DI4582">
        <v>0</v>
      </c>
    </row>
    <row r="4583" spans="1:113" x14ac:dyDescent="0.25">
      <c r="A4583" t="str">
        <f t="shared" si="2582"/>
        <v>06/05/2020 15:00:29.121</v>
      </c>
      <c r="C4583" t="str">
        <f t="shared" si="2585"/>
        <v>FFDFD3C0</v>
      </c>
      <c r="D4583" t="s">
        <v>151</v>
      </c>
      <c r="E4583">
        <v>8</v>
      </c>
      <c r="H4583">
        <v>225</v>
      </c>
      <c r="I4583" t="s">
        <v>353</v>
      </c>
      <c r="J4583" t="s">
        <v>150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 t="shared" si="2583"/>
        <v>15:00:34.766</v>
      </c>
      <c r="T4583" t="str">
        <f t="shared" si="2583"/>
        <v>15:00:34.766</v>
      </c>
      <c r="U4583" t="str">
        <f t="shared" si="2565"/>
        <v>ACC530</v>
      </c>
      <c r="V4583">
        <v>0</v>
      </c>
      <c r="W4583">
        <v>0</v>
      </c>
      <c r="X4583">
        <v>1</v>
      </c>
      <c r="Z4583">
        <v>0</v>
      </c>
      <c r="AA4583">
        <v>9</v>
      </c>
      <c r="AB4583">
        <v>3</v>
      </c>
      <c r="AC4583">
        <v>0</v>
      </c>
      <c r="AD4583">
        <v>9</v>
      </c>
      <c r="AE4583">
        <v>0</v>
      </c>
      <c r="AF4583">
        <v>3</v>
      </c>
      <c r="AG4583">
        <v>1</v>
      </c>
      <c r="AH4583">
        <v>0</v>
      </c>
      <c r="AI4583" t="s">
        <v>1400</v>
      </c>
      <c r="AJ4583">
        <v>34.073861000000001</v>
      </c>
      <c r="AK4583" t="s">
        <v>1427</v>
      </c>
      <c r="AL4583">
        <v>-117.060399</v>
      </c>
      <c r="AM4583">
        <v>100</v>
      </c>
      <c r="AN4583">
        <v>4100</v>
      </c>
      <c r="AO4583" t="s">
        <v>118</v>
      </c>
      <c r="AP4583">
        <v>-121</v>
      </c>
      <c r="AQ4583">
        <v>-26</v>
      </c>
      <c r="AR4583">
        <v>-2240</v>
      </c>
      <c r="AZ4583">
        <v>1200</v>
      </c>
      <c r="BA4583">
        <v>1</v>
      </c>
      <c r="BB4583" t="str">
        <f t="shared" si="2567"/>
        <v xml:space="preserve">N9217B  </v>
      </c>
      <c r="BC4583">
        <v>1</v>
      </c>
      <c r="BE4583">
        <v>0</v>
      </c>
      <c r="BF4583">
        <v>0</v>
      </c>
      <c r="BG4583">
        <v>0</v>
      </c>
      <c r="BH4583">
        <v>3825</v>
      </c>
      <c r="BI4583">
        <v>1</v>
      </c>
      <c r="BJ4583">
        <v>0</v>
      </c>
      <c r="BK4583">
        <v>0</v>
      </c>
      <c r="BL4583">
        <v>0</v>
      </c>
      <c r="BO4583">
        <v>0</v>
      </c>
      <c r="BP4583">
        <v>0</v>
      </c>
      <c r="BW4583" t="str">
        <f t="shared" si="2584"/>
        <v>15:00:34.770</v>
      </c>
      <c r="CJ4583">
        <v>0</v>
      </c>
      <c r="CK4583">
        <v>2</v>
      </c>
      <c r="CL4583">
        <v>0</v>
      </c>
      <c r="CM4583">
        <v>2</v>
      </c>
      <c r="CN4583">
        <v>0</v>
      </c>
      <c r="CO4583">
        <v>5</v>
      </c>
      <c r="CP4583" t="s">
        <v>119</v>
      </c>
      <c r="CQ4583">
        <v>298</v>
      </c>
      <c r="CR4583">
        <v>0</v>
      </c>
      <c r="CW4583">
        <v>10483579</v>
      </c>
      <c r="CY4583">
        <v>0</v>
      </c>
      <c r="CZ4583">
        <v>0</v>
      </c>
      <c r="DA4583">
        <v>1</v>
      </c>
      <c r="DB4583">
        <v>0</v>
      </c>
      <c r="DC4583">
        <v>0</v>
      </c>
      <c r="DD4583">
        <v>0</v>
      </c>
      <c r="DE4583">
        <v>0</v>
      </c>
      <c r="DF4583">
        <v>0</v>
      </c>
      <c r="DG4583">
        <v>0</v>
      </c>
      <c r="DH4583">
        <v>0</v>
      </c>
      <c r="DI4583">
        <v>0</v>
      </c>
    </row>
    <row r="4584" spans="1:113" x14ac:dyDescent="0.25">
      <c r="A4584" t="str">
        <f t="shared" ref="A4584:A4589" si="2586">"06/05/2020 15:00:30.075"</f>
        <v>06/05/2020 15:00:30.075</v>
      </c>
      <c r="C4584" t="str">
        <f t="shared" si="2585"/>
        <v>FFDFD3C0</v>
      </c>
      <c r="D4584" t="s">
        <v>141</v>
      </c>
      <c r="E4584">
        <v>20</v>
      </c>
      <c r="F4584">
        <v>1020</v>
      </c>
      <c r="G4584" t="s">
        <v>114</v>
      </c>
      <c r="J4584" t="s">
        <v>142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 t="shared" ref="S4584:T4589" si="2587">"15:00:35.695"</f>
        <v>15:00:35.695</v>
      </c>
      <c r="T4584" t="str">
        <f t="shared" si="2587"/>
        <v>15:00:35.695</v>
      </c>
      <c r="U4584" t="str">
        <f t="shared" si="2565"/>
        <v>ACC530</v>
      </c>
      <c r="V4584">
        <v>0</v>
      </c>
      <c r="W4584">
        <v>0</v>
      </c>
      <c r="X4584">
        <v>1</v>
      </c>
      <c r="Z4584">
        <v>0</v>
      </c>
      <c r="AA4584">
        <v>9</v>
      </c>
      <c r="AB4584">
        <v>3</v>
      </c>
      <c r="AC4584">
        <v>0</v>
      </c>
      <c r="AD4584">
        <v>9</v>
      </c>
      <c r="AE4584">
        <v>0</v>
      </c>
      <c r="AF4584">
        <v>3</v>
      </c>
      <c r="AG4584">
        <v>1</v>
      </c>
      <c r="AH4584">
        <v>0</v>
      </c>
      <c r="AI4584" t="s">
        <v>1398</v>
      </c>
      <c r="AJ4584">
        <v>34.073732</v>
      </c>
      <c r="AK4584" t="s">
        <v>1428</v>
      </c>
      <c r="AL4584">
        <v>-117.06100000000001</v>
      </c>
      <c r="AM4584">
        <v>100</v>
      </c>
      <c r="AN4584">
        <v>4000</v>
      </c>
      <c r="AO4584" t="s">
        <v>118</v>
      </c>
      <c r="AP4584">
        <v>-120</v>
      </c>
      <c r="AQ4584">
        <v>-29</v>
      </c>
      <c r="AR4584">
        <v>-2304</v>
      </c>
      <c r="AZ4584">
        <v>1200</v>
      </c>
      <c r="BA4584">
        <v>1</v>
      </c>
      <c r="BB4584" t="str">
        <f t="shared" si="2567"/>
        <v xml:space="preserve">N9217B  </v>
      </c>
      <c r="BC4584">
        <v>1</v>
      </c>
      <c r="BE4584">
        <v>0</v>
      </c>
      <c r="BF4584">
        <v>0</v>
      </c>
      <c r="BG4584">
        <v>0</v>
      </c>
      <c r="BH4584">
        <v>3800</v>
      </c>
      <c r="BI4584">
        <v>1</v>
      </c>
      <c r="BJ4584">
        <v>0</v>
      </c>
      <c r="BK4584">
        <v>0</v>
      </c>
      <c r="BL4584">
        <v>0</v>
      </c>
      <c r="BO4584">
        <v>0</v>
      </c>
      <c r="BP4584">
        <v>0</v>
      </c>
      <c r="BW4584" t="str">
        <f t="shared" ref="BW4584:BW4589" si="2588">"15:00:35.700"</f>
        <v>15:00:35.700</v>
      </c>
      <c r="CJ4584">
        <v>0</v>
      </c>
      <c r="CK4584">
        <v>2</v>
      </c>
      <c r="CL4584">
        <v>0</v>
      </c>
      <c r="CM4584">
        <v>2</v>
      </c>
      <c r="CN4584">
        <v>0</v>
      </c>
      <c r="CO4584">
        <v>5</v>
      </c>
      <c r="CP4584" t="s">
        <v>119</v>
      </c>
      <c r="CQ4584">
        <v>298</v>
      </c>
      <c r="CR4584">
        <v>0</v>
      </c>
      <c r="CW4584">
        <v>10483712</v>
      </c>
      <c r="CY4584">
        <v>0</v>
      </c>
      <c r="CZ4584">
        <v>0</v>
      </c>
      <c r="DA4584">
        <v>0</v>
      </c>
      <c r="DB4584">
        <v>0</v>
      </c>
      <c r="DC4584">
        <v>0</v>
      </c>
      <c r="DD4584">
        <v>0</v>
      </c>
      <c r="DE4584">
        <v>0</v>
      </c>
      <c r="DF4584">
        <v>0</v>
      </c>
      <c r="DG4584">
        <v>0</v>
      </c>
      <c r="DH4584">
        <v>0</v>
      </c>
      <c r="DI4584">
        <v>0</v>
      </c>
    </row>
    <row r="4585" spans="1:113" x14ac:dyDescent="0.25">
      <c r="A4585" t="str">
        <f t="shared" si="2586"/>
        <v>06/05/2020 15:00:30.075</v>
      </c>
      <c r="C4585" t="str">
        <f t="shared" si="2585"/>
        <v>FFDFD3C0</v>
      </c>
      <c r="D4585" t="s">
        <v>113</v>
      </c>
      <c r="E4585">
        <v>3</v>
      </c>
      <c r="H4585">
        <v>166</v>
      </c>
      <c r="I4585" t="s">
        <v>114</v>
      </c>
      <c r="J4585" t="s">
        <v>115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 t="shared" si="2587"/>
        <v>15:00:35.695</v>
      </c>
      <c r="T4585" t="str">
        <f t="shared" si="2587"/>
        <v>15:00:35.695</v>
      </c>
      <c r="U4585" t="str">
        <f t="shared" si="2565"/>
        <v>ACC530</v>
      </c>
      <c r="V4585">
        <v>0</v>
      </c>
      <c r="W4585">
        <v>0</v>
      </c>
      <c r="X4585">
        <v>1</v>
      </c>
      <c r="Z4585">
        <v>0</v>
      </c>
      <c r="AA4585">
        <v>9</v>
      </c>
      <c r="AB4585">
        <v>3</v>
      </c>
      <c r="AC4585">
        <v>0</v>
      </c>
      <c r="AD4585">
        <v>9</v>
      </c>
      <c r="AE4585">
        <v>0</v>
      </c>
      <c r="AF4585">
        <v>3</v>
      </c>
      <c r="AG4585">
        <v>1</v>
      </c>
      <c r="AH4585">
        <v>0</v>
      </c>
      <c r="AI4585" t="s">
        <v>1398</v>
      </c>
      <c r="AJ4585">
        <v>34.073732</v>
      </c>
      <c r="AK4585" t="s">
        <v>1428</v>
      </c>
      <c r="AL4585">
        <v>-117.06100000000001</v>
      </c>
      <c r="AM4585">
        <v>100</v>
      </c>
      <c r="AN4585">
        <v>4000</v>
      </c>
      <c r="AO4585" t="s">
        <v>118</v>
      </c>
      <c r="AP4585">
        <v>-120</v>
      </c>
      <c r="AQ4585">
        <v>-29</v>
      </c>
      <c r="AR4585">
        <v>-2304</v>
      </c>
      <c r="AZ4585">
        <v>1200</v>
      </c>
      <c r="BA4585">
        <v>1</v>
      </c>
      <c r="BB4585" t="str">
        <f t="shared" si="2567"/>
        <v xml:space="preserve">N9217B  </v>
      </c>
      <c r="BC4585">
        <v>1</v>
      </c>
      <c r="BE4585">
        <v>0</v>
      </c>
      <c r="BF4585">
        <v>0</v>
      </c>
      <c r="BG4585">
        <v>0</v>
      </c>
      <c r="BH4585">
        <v>3800</v>
      </c>
      <c r="BI4585">
        <v>1</v>
      </c>
      <c r="BJ4585">
        <v>0</v>
      </c>
      <c r="BK4585">
        <v>0</v>
      </c>
      <c r="BL4585">
        <v>0</v>
      </c>
      <c r="BO4585">
        <v>0</v>
      </c>
      <c r="BP4585">
        <v>0</v>
      </c>
      <c r="BW4585" t="str">
        <f t="shared" si="2588"/>
        <v>15:00:35.700</v>
      </c>
      <c r="CJ4585">
        <v>0</v>
      </c>
      <c r="CK4585">
        <v>2</v>
      </c>
      <c r="CL4585">
        <v>0</v>
      </c>
      <c r="CM4585">
        <v>2</v>
      </c>
      <c r="CN4585">
        <v>0</v>
      </c>
      <c r="CO4585">
        <v>5</v>
      </c>
      <c r="CP4585" t="s">
        <v>119</v>
      </c>
      <c r="CQ4585">
        <v>298</v>
      </c>
      <c r="CR4585">
        <v>0</v>
      </c>
      <c r="CW4585">
        <v>10483712</v>
      </c>
      <c r="CY4585">
        <v>0</v>
      </c>
      <c r="CZ4585">
        <v>0</v>
      </c>
      <c r="DA4585">
        <v>1</v>
      </c>
      <c r="DB4585">
        <v>0</v>
      </c>
      <c r="DC4585">
        <v>0</v>
      </c>
      <c r="DD4585">
        <v>0</v>
      </c>
      <c r="DE4585">
        <v>0</v>
      </c>
      <c r="DF4585">
        <v>0</v>
      </c>
      <c r="DG4585">
        <v>0</v>
      </c>
      <c r="DH4585">
        <v>0</v>
      </c>
      <c r="DI4585">
        <v>0</v>
      </c>
    </row>
    <row r="4586" spans="1:113" x14ac:dyDescent="0.25">
      <c r="A4586" t="str">
        <f t="shared" si="2586"/>
        <v>06/05/2020 15:00:30.075</v>
      </c>
      <c r="C4586" t="str">
        <f t="shared" si="2585"/>
        <v>FFDFD3C0</v>
      </c>
      <c r="D4586" t="s">
        <v>148</v>
      </c>
      <c r="E4586">
        <v>11</v>
      </c>
      <c r="H4586">
        <v>53</v>
      </c>
      <c r="I4586" t="s">
        <v>364</v>
      </c>
      <c r="J4586" t="s">
        <v>150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 t="shared" si="2587"/>
        <v>15:00:35.695</v>
      </c>
      <c r="T4586" t="str">
        <f t="shared" si="2587"/>
        <v>15:00:35.695</v>
      </c>
      <c r="U4586" t="str">
        <f t="shared" si="2565"/>
        <v>ACC530</v>
      </c>
      <c r="V4586">
        <v>0</v>
      </c>
      <c r="W4586">
        <v>0</v>
      </c>
      <c r="X4586">
        <v>1</v>
      </c>
      <c r="Z4586">
        <v>0</v>
      </c>
      <c r="AA4586">
        <v>9</v>
      </c>
      <c r="AB4586">
        <v>3</v>
      </c>
      <c r="AC4586">
        <v>0</v>
      </c>
      <c r="AD4586">
        <v>9</v>
      </c>
      <c r="AE4586">
        <v>0</v>
      </c>
      <c r="AF4586">
        <v>3</v>
      </c>
      <c r="AG4586">
        <v>1</v>
      </c>
      <c r="AH4586">
        <v>0</v>
      </c>
      <c r="AI4586" t="s">
        <v>1398</v>
      </c>
      <c r="AJ4586">
        <v>34.073732</v>
      </c>
      <c r="AK4586" t="s">
        <v>1428</v>
      </c>
      <c r="AL4586">
        <v>-117.06100000000001</v>
      </c>
      <c r="AM4586">
        <v>100</v>
      </c>
      <c r="AN4586">
        <v>4000</v>
      </c>
      <c r="AO4586" t="s">
        <v>118</v>
      </c>
      <c r="AP4586">
        <v>-120</v>
      </c>
      <c r="AQ4586">
        <v>-29</v>
      </c>
      <c r="AR4586">
        <v>-2304</v>
      </c>
      <c r="AZ4586">
        <v>1200</v>
      </c>
      <c r="BA4586">
        <v>1</v>
      </c>
      <c r="BB4586" t="str">
        <f t="shared" si="2567"/>
        <v xml:space="preserve">N9217B  </v>
      </c>
      <c r="BC4586">
        <v>1</v>
      </c>
      <c r="BE4586">
        <v>0</v>
      </c>
      <c r="BF4586">
        <v>0</v>
      </c>
      <c r="BG4586">
        <v>0</v>
      </c>
      <c r="BH4586">
        <v>3800</v>
      </c>
      <c r="BI4586">
        <v>1</v>
      </c>
      <c r="BJ4586">
        <v>0</v>
      </c>
      <c r="BK4586">
        <v>0</v>
      </c>
      <c r="BL4586">
        <v>0</v>
      </c>
      <c r="BO4586">
        <v>0</v>
      </c>
      <c r="BP4586">
        <v>0</v>
      </c>
      <c r="BW4586" t="str">
        <f t="shared" si="2588"/>
        <v>15:00:35.700</v>
      </c>
      <c r="CJ4586">
        <v>0</v>
      </c>
      <c r="CK4586">
        <v>2</v>
      </c>
      <c r="CL4586">
        <v>0</v>
      </c>
      <c r="CM4586">
        <v>2</v>
      </c>
      <c r="CN4586">
        <v>0</v>
      </c>
      <c r="CO4586">
        <v>5</v>
      </c>
      <c r="CP4586" t="s">
        <v>119</v>
      </c>
      <c r="CQ4586">
        <v>298</v>
      </c>
      <c r="CR4586">
        <v>0</v>
      </c>
      <c r="CW4586">
        <v>10483712</v>
      </c>
      <c r="CY4586">
        <v>0</v>
      </c>
      <c r="CZ4586">
        <v>0</v>
      </c>
      <c r="DA4586">
        <v>1</v>
      </c>
      <c r="DB4586">
        <v>0</v>
      </c>
      <c r="DC4586">
        <v>0</v>
      </c>
      <c r="DD4586">
        <v>0</v>
      </c>
      <c r="DE4586">
        <v>0</v>
      </c>
      <c r="DF4586">
        <v>0</v>
      </c>
      <c r="DG4586">
        <v>0</v>
      </c>
      <c r="DH4586">
        <v>0</v>
      </c>
      <c r="DI4586">
        <v>0</v>
      </c>
    </row>
    <row r="4587" spans="1:113" x14ac:dyDescent="0.25">
      <c r="A4587" t="str">
        <f t="shared" si="2586"/>
        <v>06/05/2020 15:00:30.075</v>
      </c>
      <c r="C4587" t="str">
        <f t="shared" si="2585"/>
        <v>FFDFD3C0</v>
      </c>
      <c r="D4587" t="s">
        <v>134</v>
      </c>
      <c r="E4587">
        <v>7</v>
      </c>
      <c r="F4587">
        <v>2007</v>
      </c>
      <c r="G4587" t="s">
        <v>135</v>
      </c>
      <c r="J4587" t="s">
        <v>136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 t="shared" si="2587"/>
        <v>15:00:35.695</v>
      </c>
      <c r="T4587" t="str">
        <f t="shared" si="2587"/>
        <v>15:00:35.695</v>
      </c>
      <c r="U4587" t="str">
        <f t="shared" si="2565"/>
        <v>ACC530</v>
      </c>
      <c r="V4587">
        <v>0</v>
      </c>
      <c r="W4587">
        <v>0</v>
      </c>
      <c r="X4587">
        <v>1</v>
      </c>
      <c r="Z4587">
        <v>0</v>
      </c>
      <c r="AA4587">
        <v>9</v>
      </c>
      <c r="AB4587">
        <v>3</v>
      </c>
      <c r="AC4587">
        <v>0</v>
      </c>
      <c r="AD4587">
        <v>9</v>
      </c>
      <c r="AE4587">
        <v>0</v>
      </c>
      <c r="AF4587">
        <v>3</v>
      </c>
      <c r="AG4587">
        <v>1</v>
      </c>
      <c r="AH4587">
        <v>0</v>
      </c>
      <c r="AI4587" t="s">
        <v>1398</v>
      </c>
      <c r="AJ4587">
        <v>34.073732</v>
      </c>
      <c r="AK4587" t="s">
        <v>1428</v>
      </c>
      <c r="AL4587">
        <v>-117.06100000000001</v>
      </c>
      <c r="AM4587">
        <v>100</v>
      </c>
      <c r="AN4587">
        <v>4000</v>
      </c>
      <c r="AO4587" t="s">
        <v>118</v>
      </c>
      <c r="AP4587">
        <v>-120</v>
      </c>
      <c r="AQ4587">
        <v>-29</v>
      </c>
      <c r="AR4587">
        <v>-2304</v>
      </c>
      <c r="AZ4587">
        <v>1200</v>
      </c>
      <c r="BA4587">
        <v>1</v>
      </c>
      <c r="BB4587" t="str">
        <f t="shared" si="2567"/>
        <v xml:space="preserve">N9217B  </v>
      </c>
      <c r="BC4587">
        <v>1</v>
      </c>
      <c r="BE4587">
        <v>0</v>
      </c>
      <c r="BF4587">
        <v>0</v>
      </c>
      <c r="BG4587">
        <v>0</v>
      </c>
      <c r="BH4587">
        <v>3800</v>
      </c>
      <c r="BI4587">
        <v>1</v>
      </c>
      <c r="BJ4587">
        <v>0</v>
      </c>
      <c r="BK4587">
        <v>0</v>
      </c>
      <c r="BL4587">
        <v>0</v>
      </c>
      <c r="BO4587">
        <v>0</v>
      </c>
      <c r="BP4587">
        <v>0</v>
      </c>
      <c r="BW4587" t="str">
        <f t="shared" si="2588"/>
        <v>15:00:35.700</v>
      </c>
      <c r="CJ4587">
        <v>0</v>
      </c>
      <c r="CK4587">
        <v>2</v>
      </c>
      <c r="CL4587">
        <v>0</v>
      </c>
      <c r="CM4587">
        <v>2</v>
      </c>
      <c r="CN4587">
        <v>0</v>
      </c>
      <c r="CO4587">
        <v>5</v>
      </c>
      <c r="CP4587" t="s">
        <v>119</v>
      </c>
      <c r="CQ4587">
        <v>298</v>
      </c>
      <c r="CR4587">
        <v>0</v>
      </c>
      <c r="CW4587">
        <v>10483712</v>
      </c>
      <c r="CY4587">
        <v>0</v>
      </c>
      <c r="CZ4587">
        <v>0</v>
      </c>
      <c r="DA4587">
        <v>1</v>
      </c>
      <c r="DB4587">
        <v>0</v>
      </c>
      <c r="DC4587">
        <v>0</v>
      </c>
      <c r="DD4587">
        <v>0</v>
      </c>
      <c r="DE4587">
        <v>0</v>
      </c>
      <c r="DF4587">
        <v>0</v>
      </c>
      <c r="DG4587">
        <v>0</v>
      </c>
      <c r="DH4587">
        <v>0</v>
      </c>
      <c r="DI4587">
        <v>0</v>
      </c>
    </row>
    <row r="4588" spans="1:113" x14ac:dyDescent="0.25">
      <c r="A4588" t="str">
        <f t="shared" si="2586"/>
        <v>06/05/2020 15:00:30.075</v>
      </c>
      <c r="C4588" t="str">
        <f t="shared" si="2585"/>
        <v>FFDFD3C0</v>
      </c>
      <c r="D4588" t="s">
        <v>151</v>
      </c>
      <c r="E4588">
        <v>8</v>
      </c>
      <c r="H4588">
        <v>225</v>
      </c>
      <c r="I4588" t="s">
        <v>353</v>
      </c>
      <c r="J4588" t="s">
        <v>150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 t="shared" si="2587"/>
        <v>15:00:35.695</v>
      </c>
      <c r="T4588" t="str">
        <f t="shared" si="2587"/>
        <v>15:00:35.695</v>
      </c>
      <c r="U4588" t="str">
        <f t="shared" si="2565"/>
        <v>ACC530</v>
      </c>
      <c r="V4588">
        <v>0</v>
      </c>
      <c r="W4588">
        <v>0</v>
      </c>
      <c r="X4588">
        <v>1</v>
      </c>
      <c r="Z4588">
        <v>0</v>
      </c>
      <c r="AA4588">
        <v>9</v>
      </c>
      <c r="AB4588">
        <v>3</v>
      </c>
      <c r="AC4588">
        <v>0</v>
      </c>
      <c r="AD4588">
        <v>9</v>
      </c>
      <c r="AE4588">
        <v>0</v>
      </c>
      <c r="AF4588">
        <v>3</v>
      </c>
      <c r="AG4588">
        <v>1</v>
      </c>
      <c r="AH4588">
        <v>0</v>
      </c>
      <c r="AI4588" t="s">
        <v>1398</v>
      </c>
      <c r="AJ4588">
        <v>34.073732</v>
      </c>
      <c r="AK4588" t="s">
        <v>1428</v>
      </c>
      <c r="AL4588">
        <v>-117.06100000000001</v>
      </c>
      <c r="AM4588">
        <v>100</v>
      </c>
      <c r="AN4588">
        <v>4000</v>
      </c>
      <c r="AO4588" t="s">
        <v>118</v>
      </c>
      <c r="AP4588">
        <v>-120</v>
      </c>
      <c r="AQ4588">
        <v>-29</v>
      </c>
      <c r="AR4588">
        <v>-2304</v>
      </c>
      <c r="AZ4588">
        <v>1200</v>
      </c>
      <c r="BA4588">
        <v>1</v>
      </c>
      <c r="BB4588" t="str">
        <f t="shared" si="2567"/>
        <v xml:space="preserve">N9217B  </v>
      </c>
      <c r="BC4588">
        <v>1</v>
      </c>
      <c r="BE4588">
        <v>0</v>
      </c>
      <c r="BF4588">
        <v>0</v>
      </c>
      <c r="BG4588">
        <v>0</v>
      </c>
      <c r="BH4588">
        <v>3800</v>
      </c>
      <c r="BI4588">
        <v>1</v>
      </c>
      <c r="BJ4588">
        <v>0</v>
      </c>
      <c r="BK4588">
        <v>0</v>
      </c>
      <c r="BL4588">
        <v>0</v>
      </c>
      <c r="BO4588">
        <v>0</v>
      </c>
      <c r="BP4588">
        <v>0</v>
      </c>
      <c r="BW4588" t="str">
        <f t="shared" si="2588"/>
        <v>15:00:35.700</v>
      </c>
      <c r="CJ4588">
        <v>0</v>
      </c>
      <c r="CK4588">
        <v>2</v>
      </c>
      <c r="CL4588">
        <v>0</v>
      </c>
      <c r="CM4588">
        <v>2</v>
      </c>
      <c r="CN4588">
        <v>0</v>
      </c>
      <c r="CO4588">
        <v>5</v>
      </c>
      <c r="CP4588" t="s">
        <v>119</v>
      </c>
      <c r="CQ4588">
        <v>298</v>
      </c>
      <c r="CR4588">
        <v>0</v>
      </c>
      <c r="CW4588">
        <v>10483712</v>
      </c>
      <c r="CY4588">
        <v>0</v>
      </c>
      <c r="CZ4588">
        <v>0</v>
      </c>
      <c r="DA4588">
        <v>1</v>
      </c>
      <c r="DB4588">
        <v>0</v>
      </c>
      <c r="DC4588">
        <v>0</v>
      </c>
      <c r="DD4588">
        <v>0</v>
      </c>
      <c r="DE4588">
        <v>0</v>
      </c>
      <c r="DF4588">
        <v>0</v>
      </c>
      <c r="DG4588">
        <v>0</v>
      </c>
      <c r="DH4588">
        <v>0</v>
      </c>
      <c r="DI4588">
        <v>0</v>
      </c>
    </row>
    <row r="4589" spans="1:113" x14ac:dyDescent="0.25">
      <c r="A4589" t="str">
        <f t="shared" si="2586"/>
        <v>06/05/2020 15:00:30.075</v>
      </c>
      <c r="C4589" t="str">
        <f t="shared" si="2585"/>
        <v>FFDFD3C0</v>
      </c>
      <c r="D4589" t="s">
        <v>148</v>
      </c>
      <c r="E4589">
        <v>8</v>
      </c>
      <c r="H4589">
        <v>50</v>
      </c>
      <c r="I4589" t="s">
        <v>149</v>
      </c>
      <c r="J4589" t="s">
        <v>150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 t="shared" si="2587"/>
        <v>15:00:35.695</v>
      </c>
      <c r="T4589" t="str">
        <f t="shared" si="2587"/>
        <v>15:00:35.695</v>
      </c>
      <c r="U4589" t="str">
        <f t="shared" si="2565"/>
        <v>ACC530</v>
      </c>
      <c r="V4589">
        <v>0</v>
      </c>
      <c r="W4589">
        <v>0</v>
      </c>
      <c r="X4589">
        <v>1</v>
      </c>
      <c r="Z4589">
        <v>0</v>
      </c>
      <c r="AA4589">
        <v>9</v>
      </c>
      <c r="AB4589">
        <v>3</v>
      </c>
      <c r="AC4589">
        <v>0</v>
      </c>
      <c r="AD4589">
        <v>9</v>
      </c>
      <c r="AE4589">
        <v>0</v>
      </c>
      <c r="AF4589">
        <v>3</v>
      </c>
      <c r="AG4589">
        <v>1</v>
      </c>
      <c r="AH4589">
        <v>0</v>
      </c>
      <c r="AI4589" t="s">
        <v>1398</v>
      </c>
      <c r="AJ4589">
        <v>34.073732</v>
      </c>
      <c r="AK4589" t="s">
        <v>1428</v>
      </c>
      <c r="AL4589">
        <v>-117.06100000000001</v>
      </c>
      <c r="AM4589">
        <v>100</v>
      </c>
      <c r="AN4589">
        <v>4000</v>
      </c>
      <c r="AO4589" t="s">
        <v>118</v>
      </c>
      <c r="AP4589">
        <v>-120</v>
      </c>
      <c r="AQ4589">
        <v>-29</v>
      </c>
      <c r="AR4589">
        <v>-2304</v>
      </c>
      <c r="AZ4589">
        <v>1200</v>
      </c>
      <c r="BA4589">
        <v>1</v>
      </c>
      <c r="BB4589" t="str">
        <f t="shared" si="2567"/>
        <v xml:space="preserve">N9217B  </v>
      </c>
      <c r="BC4589">
        <v>1</v>
      </c>
      <c r="BE4589">
        <v>0</v>
      </c>
      <c r="BF4589">
        <v>0</v>
      </c>
      <c r="BG4589">
        <v>0</v>
      </c>
      <c r="BH4589">
        <v>3800</v>
      </c>
      <c r="BI4589">
        <v>1</v>
      </c>
      <c r="BJ4589">
        <v>0</v>
      </c>
      <c r="BK4589">
        <v>0</v>
      </c>
      <c r="BL4589">
        <v>0</v>
      </c>
      <c r="BO4589">
        <v>0</v>
      </c>
      <c r="BP4589">
        <v>0</v>
      </c>
      <c r="BW4589" t="str">
        <f t="shared" si="2588"/>
        <v>15:00:35.700</v>
      </c>
      <c r="CJ4589">
        <v>0</v>
      </c>
      <c r="CK4589">
        <v>2</v>
      </c>
      <c r="CL4589">
        <v>0</v>
      </c>
      <c r="CM4589">
        <v>2</v>
      </c>
      <c r="CN4589">
        <v>0</v>
      </c>
      <c r="CO4589">
        <v>5</v>
      </c>
      <c r="CP4589" t="s">
        <v>119</v>
      </c>
      <c r="CQ4589">
        <v>298</v>
      </c>
      <c r="CR4589">
        <v>0</v>
      </c>
      <c r="CW4589">
        <v>10483712</v>
      </c>
      <c r="CY4589">
        <v>0</v>
      </c>
      <c r="CZ4589">
        <v>0</v>
      </c>
      <c r="DA4589">
        <v>1</v>
      </c>
      <c r="DB4589">
        <v>0</v>
      </c>
      <c r="DC4589">
        <v>0</v>
      </c>
      <c r="DD4589">
        <v>0</v>
      </c>
      <c r="DE4589">
        <v>0</v>
      </c>
      <c r="DF4589">
        <v>0</v>
      </c>
      <c r="DG4589">
        <v>0</v>
      </c>
      <c r="DH4589">
        <v>0</v>
      </c>
      <c r="DI4589">
        <v>0</v>
      </c>
    </row>
    <row r="4590" spans="1:113" x14ac:dyDescent="0.25">
      <c r="A4590" t="str">
        <f t="shared" ref="A4590:A4595" si="2589">"06/05/2020 15:00:31.033"</f>
        <v>06/05/2020 15:00:31.033</v>
      </c>
      <c r="C4590" t="str">
        <f t="shared" si="2585"/>
        <v>FFDFD3C0</v>
      </c>
      <c r="D4590" t="s">
        <v>141</v>
      </c>
      <c r="E4590">
        <v>20</v>
      </c>
      <c r="F4590">
        <v>1020</v>
      </c>
      <c r="G4590" t="s">
        <v>114</v>
      </c>
      <c r="J4590" t="s">
        <v>142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 t="shared" ref="S4590:T4595" si="2590">"15:00:36.672"</f>
        <v>15:00:36.672</v>
      </c>
      <c r="T4590" t="str">
        <f t="shared" si="2590"/>
        <v>15:00:36.672</v>
      </c>
      <c r="U4590" t="str">
        <f t="shared" si="2565"/>
        <v>ACC530</v>
      </c>
      <c r="V4590">
        <v>0</v>
      </c>
      <c r="W4590">
        <v>0</v>
      </c>
      <c r="X4590">
        <v>1</v>
      </c>
      <c r="Z4590">
        <v>0</v>
      </c>
      <c r="AA4590">
        <v>9</v>
      </c>
      <c r="AB4590">
        <v>3</v>
      </c>
      <c r="AC4590">
        <v>0</v>
      </c>
      <c r="AD4590">
        <v>9</v>
      </c>
      <c r="AE4590">
        <v>0</v>
      </c>
      <c r="AF4590">
        <v>3</v>
      </c>
      <c r="AG4590">
        <v>1</v>
      </c>
      <c r="AH4590">
        <v>0</v>
      </c>
      <c r="AI4590" t="s">
        <v>1429</v>
      </c>
      <c r="AJ4590">
        <v>34.073582000000002</v>
      </c>
      <c r="AK4590" t="s">
        <v>1430</v>
      </c>
      <c r="AL4590">
        <v>-117.061665</v>
      </c>
      <c r="AM4590">
        <v>100</v>
      </c>
      <c r="AN4590">
        <v>4000</v>
      </c>
      <c r="AO4590" t="s">
        <v>118</v>
      </c>
      <c r="AP4590">
        <v>-121</v>
      </c>
      <c r="AQ4590">
        <v>-33</v>
      </c>
      <c r="AR4590">
        <v>-2176</v>
      </c>
      <c r="AZ4590">
        <v>1200</v>
      </c>
      <c r="BA4590">
        <v>1</v>
      </c>
      <c r="BB4590" t="str">
        <f t="shared" si="2567"/>
        <v xml:space="preserve">N9217B  </v>
      </c>
      <c r="BC4590">
        <v>1</v>
      </c>
      <c r="BE4590">
        <v>0</v>
      </c>
      <c r="BF4590">
        <v>0</v>
      </c>
      <c r="BG4590">
        <v>0</v>
      </c>
      <c r="BH4590">
        <v>3750</v>
      </c>
      <c r="BI4590">
        <v>1</v>
      </c>
      <c r="BJ4590">
        <v>0</v>
      </c>
      <c r="BK4590">
        <v>0</v>
      </c>
      <c r="BL4590">
        <v>0</v>
      </c>
      <c r="BO4590">
        <v>0</v>
      </c>
      <c r="BP4590">
        <v>0</v>
      </c>
      <c r="BW4590" t="str">
        <f t="shared" ref="BW4590:BW4595" si="2591">"15:00:36.675"</f>
        <v>15:00:36.675</v>
      </c>
      <c r="CJ4590">
        <v>0</v>
      </c>
      <c r="CK4590">
        <v>2</v>
      </c>
      <c r="CL4590">
        <v>0</v>
      </c>
      <c r="CM4590">
        <v>2</v>
      </c>
      <c r="CN4590">
        <v>0</v>
      </c>
      <c r="CO4590">
        <v>5</v>
      </c>
      <c r="CP4590" t="s">
        <v>119</v>
      </c>
      <c r="CQ4590">
        <v>298</v>
      </c>
      <c r="CR4590">
        <v>0</v>
      </c>
      <c r="CW4590">
        <v>10483859</v>
      </c>
      <c r="CY4590">
        <v>0</v>
      </c>
      <c r="CZ4590">
        <v>0</v>
      </c>
      <c r="DA4590">
        <v>0</v>
      </c>
      <c r="DB4590">
        <v>0</v>
      </c>
      <c r="DC4590">
        <v>0</v>
      </c>
      <c r="DD4590">
        <v>0</v>
      </c>
      <c r="DE4590">
        <v>0</v>
      </c>
      <c r="DF4590">
        <v>0</v>
      </c>
      <c r="DG4590">
        <v>0</v>
      </c>
      <c r="DH4590">
        <v>0</v>
      </c>
      <c r="DI4590">
        <v>0</v>
      </c>
    </row>
    <row r="4591" spans="1:113" x14ac:dyDescent="0.25">
      <c r="A4591" t="str">
        <f t="shared" si="2589"/>
        <v>06/05/2020 15:00:31.033</v>
      </c>
      <c r="C4591" t="str">
        <f t="shared" si="2585"/>
        <v>FFDFD3C0</v>
      </c>
      <c r="D4591" t="s">
        <v>148</v>
      </c>
      <c r="E4591">
        <v>11</v>
      </c>
      <c r="H4591">
        <v>53</v>
      </c>
      <c r="I4591" t="s">
        <v>364</v>
      </c>
      <c r="J4591" t="s">
        <v>150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 t="shared" si="2590"/>
        <v>15:00:36.672</v>
      </c>
      <c r="T4591" t="str">
        <f t="shared" si="2590"/>
        <v>15:00:36.672</v>
      </c>
      <c r="U4591" t="str">
        <f t="shared" si="2565"/>
        <v>ACC530</v>
      </c>
      <c r="V4591">
        <v>0</v>
      </c>
      <c r="W4591">
        <v>0</v>
      </c>
      <c r="X4591">
        <v>1</v>
      </c>
      <c r="Z4591">
        <v>0</v>
      </c>
      <c r="AA4591">
        <v>9</v>
      </c>
      <c r="AB4591">
        <v>3</v>
      </c>
      <c r="AC4591">
        <v>0</v>
      </c>
      <c r="AD4591">
        <v>9</v>
      </c>
      <c r="AE4591">
        <v>0</v>
      </c>
      <c r="AF4591">
        <v>3</v>
      </c>
      <c r="AG4591">
        <v>1</v>
      </c>
      <c r="AH4591">
        <v>0</v>
      </c>
      <c r="AI4591" t="s">
        <v>1429</v>
      </c>
      <c r="AJ4591">
        <v>34.073582000000002</v>
      </c>
      <c r="AK4591" t="s">
        <v>1430</v>
      </c>
      <c r="AL4591">
        <v>-117.061665</v>
      </c>
      <c r="AM4591">
        <v>100</v>
      </c>
      <c r="AN4591">
        <v>4000</v>
      </c>
      <c r="AO4591" t="s">
        <v>118</v>
      </c>
      <c r="AP4591">
        <v>-121</v>
      </c>
      <c r="AQ4591">
        <v>-33</v>
      </c>
      <c r="AR4591">
        <v>-2176</v>
      </c>
      <c r="AZ4591">
        <v>1200</v>
      </c>
      <c r="BA4591">
        <v>1</v>
      </c>
      <c r="BB4591" t="str">
        <f t="shared" si="2567"/>
        <v xml:space="preserve">N9217B  </v>
      </c>
      <c r="BC4591">
        <v>1</v>
      </c>
      <c r="BE4591">
        <v>0</v>
      </c>
      <c r="BF4591">
        <v>0</v>
      </c>
      <c r="BG4591">
        <v>0</v>
      </c>
      <c r="BH4591">
        <v>3750</v>
      </c>
      <c r="BI4591">
        <v>1</v>
      </c>
      <c r="BJ4591">
        <v>0</v>
      </c>
      <c r="BK4591">
        <v>0</v>
      </c>
      <c r="BL4591">
        <v>0</v>
      </c>
      <c r="BO4591">
        <v>0</v>
      </c>
      <c r="BP4591">
        <v>0</v>
      </c>
      <c r="BW4591" t="str">
        <f t="shared" si="2591"/>
        <v>15:00:36.675</v>
      </c>
      <c r="CJ4591">
        <v>0</v>
      </c>
      <c r="CK4591">
        <v>2</v>
      </c>
      <c r="CL4591">
        <v>0</v>
      </c>
      <c r="CM4591">
        <v>2</v>
      </c>
      <c r="CN4591">
        <v>0</v>
      </c>
      <c r="CO4591">
        <v>5</v>
      </c>
      <c r="CP4591" t="s">
        <v>119</v>
      </c>
      <c r="CQ4591">
        <v>298</v>
      </c>
      <c r="CR4591">
        <v>0</v>
      </c>
      <c r="CW4591">
        <v>10483859</v>
      </c>
      <c r="CY4591">
        <v>0</v>
      </c>
      <c r="CZ4591">
        <v>0</v>
      </c>
      <c r="DA4591">
        <v>1</v>
      </c>
      <c r="DB4591">
        <v>0</v>
      </c>
      <c r="DC4591">
        <v>0</v>
      </c>
      <c r="DD4591">
        <v>0</v>
      </c>
      <c r="DE4591">
        <v>0</v>
      </c>
      <c r="DF4591">
        <v>0</v>
      </c>
      <c r="DG4591">
        <v>0</v>
      </c>
      <c r="DH4591">
        <v>0</v>
      </c>
      <c r="DI4591">
        <v>0</v>
      </c>
    </row>
    <row r="4592" spans="1:113" x14ac:dyDescent="0.25">
      <c r="A4592" t="str">
        <f t="shared" si="2589"/>
        <v>06/05/2020 15:00:31.033</v>
      </c>
      <c r="C4592" t="str">
        <f t="shared" si="2585"/>
        <v>FFDFD3C0</v>
      </c>
      <c r="D4592" t="s">
        <v>113</v>
      </c>
      <c r="E4592">
        <v>3</v>
      </c>
      <c r="H4592">
        <v>166</v>
      </c>
      <c r="I4592" t="s">
        <v>114</v>
      </c>
      <c r="J4592" t="s">
        <v>115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 t="shared" si="2590"/>
        <v>15:00:36.672</v>
      </c>
      <c r="T4592" t="str">
        <f t="shared" si="2590"/>
        <v>15:00:36.672</v>
      </c>
      <c r="U4592" t="str">
        <f t="shared" si="2565"/>
        <v>ACC530</v>
      </c>
      <c r="V4592">
        <v>0</v>
      </c>
      <c r="W4592">
        <v>0</v>
      </c>
      <c r="X4592">
        <v>1</v>
      </c>
      <c r="Z4592">
        <v>0</v>
      </c>
      <c r="AA4592">
        <v>9</v>
      </c>
      <c r="AB4592">
        <v>3</v>
      </c>
      <c r="AC4592">
        <v>0</v>
      </c>
      <c r="AD4592">
        <v>9</v>
      </c>
      <c r="AE4592">
        <v>0</v>
      </c>
      <c r="AF4592">
        <v>3</v>
      </c>
      <c r="AG4592">
        <v>1</v>
      </c>
      <c r="AH4592">
        <v>0</v>
      </c>
      <c r="AI4592" t="s">
        <v>1429</v>
      </c>
      <c r="AJ4592">
        <v>34.073582000000002</v>
      </c>
      <c r="AK4592" t="s">
        <v>1430</v>
      </c>
      <c r="AL4592">
        <v>-117.061665</v>
      </c>
      <c r="AM4592">
        <v>100</v>
      </c>
      <c r="AN4592">
        <v>4000</v>
      </c>
      <c r="AO4592" t="s">
        <v>118</v>
      </c>
      <c r="AP4592">
        <v>-121</v>
      </c>
      <c r="AQ4592">
        <v>-33</v>
      </c>
      <c r="AR4592">
        <v>-2176</v>
      </c>
      <c r="AZ4592">
        <v>1200</v>
      </c>
      <c r="BA4592">
        <v>1</v>
      </c>
      <c r="BB4592" t="str">
        <f t="shared" si="2567"/>
        <v xml:space="preserve">N9217B  </v>
      </c>
      <c r="BC4592">
        <v>1</v>
      </c>
      <c r="BE4592">
        <v>0</v>
      </c>
      <c r="BF4592">
        <v>0</v>
      </c>
      <c r="BG4592">
        <v>0</v>
      </c>
      <c r="BH4592">
        <v>3750</v>
      </c>
      <c r="BI4592">
        <v>1</v>
      </c>
      <c r="BJ4592">
        <v>0</v>
      </c>
      <c r="BK4592">
        <v>0</v>
      </c>
      <c r="BL4592">
        <v>0</v>
      </c>
      <c r="BO4592">
        <v>0</v>
      </c>
      <c r="BP4592">
        <v>0</v>
      </c>
      <c r="BW4592" t="str">
        <f t="shared" si="2591"/>
        <v>15:00:36.675</v>
      </c>
      <c r="CJ4592">
        <v>0</v>
      </c>
      <c r="CK4592">
        <v>2</v>
      </c>
      <c r="CL4592">
        <v>0</v>
      </c>
      <c r="CM4592">
        <v>2</v>
      </c>
      <c r="CN4592">
        <v>0</v>
      </c>
      <c r="CO4592">
        <v>5</v>
      </c>
      <c r="CP4592" t="s">
        <v>119</v>
      </c>
      <c r="CQ4592">
        <v>298</v>
      </c>
      <c r="CR4592">
        <v>0</v>
      </c>
      <c r="CW4592">
        <v>10483859</v>
      </c>
      <c r="CY4592">
        <v>0</v>
      </c>
      <c r="CZ4592">
        <v>0</v>
      </c>
      <c r="DA4592">
        <v>1</v>
      </c>
      <c r="DB4592">
        <v>0</v>
      </c>
      <c r="DC4592">
        <v>0</v>
      </c>
      <c r="DD4592">
        <v>0</v>
      </c>
      <c r="DE4592">
        <v>0</v>
      </c>
      <c r="DF4592">
        <v>0</v>
      </c>
      <c r="DG4592">
        <v>0</v>
      </c>
      <c r="DH4592">
        <v>0</v>
      </c>
      <c r="DI4592">
        <v>0</v>
      </c>
    </row>
    <row r="4593" spans="1:113" x14ac:dyDescent="0.25">
      <c r="A4593" t="str">
        <f t="shared" si="2589"/>
        <v>06/05/2020 15:00:31.033</v>
      </c>
      <c r="C4593" t="str">
        <f t="shared" si="2585"/>
        <v>FFDFD3C0</v>
      </c>
      <c r="D4593" t="s">
        <v>134</v>
      </c>
      <c r="E4593">
        <v>7</v>
      </c>
      <c r="F4593">
        <v>2007</v>
      </c>
      <c r="G4593" t="s">
        <v>135</v>
      </c>
      <c r="J4593" t="s">
        <v>136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 t="shared" si="2590"/>
        <v>15:00:36.672</v>
      </c>
      <c r="T4593" t="str">
        <f t="shared" si="2590"/>
        <v>15:00:36.672</v>
      </c>
      <c r="U4593" t="str">
        <f t="shared" si="2565"/>
        <v>ACC530</v>
      </c>
      <c r="V4593">
        <v>0</v>
      </c>
      <c r="W4593">
        <v>0</v>
      </c>
      <c r="X4593">
        <v>1</v>
      </c>
      <c r="Z4593">
        <v>0</v>
      </c>
      <c r="AA4593">
        <v>9</v>
      </c>
      <c r="AB4593">
        <v>3</v>
      </c>
      <c r="AC4593">
        <v>0</v>
      </c>
      <c r="AD4593">
        <v>9</v>
      </c>
      <c r="AE4593">
        <v>0</v>
      </c>
      <c r="AF4593">
        <v>3</v>
      </c>
      <c r="AG4593">
        <v>1</v>
      </c>
      <c r="AH4593">
        <v>0</v>
      </c>
      <c r="AI4593" t="s">
        <v>1429</v>
      </c>
      <c r="AJ4593">
        <v>34.073582000000002</v>
      </c>
      <c r="AK4593" t="s">
        <v>1430</v>
      </c>
      <c r="AL4593">
        <v>-117.061665</v>
      </c>
      <c r="AM4593">
        <v>100</v>
      </c>
      <c r="AN4593">
        <v>4000</v>
      </c>
      <c r="AO4593" t="s">
        <v>118</v>
      </c>
      <c r="AP4593">
        <v>-121</v>
      </c>
      <c r="AQ4593">
        <v>-33</v>
      </c>
      <c r="AR4593">
        <v>-2176</v>
      </c>
      <c r="AZ4593">
        <v>1200</v>
      </c>
      <c r="BA4593">
        <v>1</v>
      </c>
      <c r="BB4593" t="str">
        <f t="shared" si="2567"/>
        <v xml:space="preserve">N9217B  </v>
      </c>
      <c r="BC4593">
        <v>1</v>
      </c>
      <c r="BE4593">
        <v>0</v>
      </c>
      <c r="BF4593">
        <v>0</v>
      </c>
      <c r="BG4593">
        <v>0</v>
      </c>
      <c r="BH4593">
        <v>3750</v>
      </c>
      <c r="BI4593">
        <v>1</v>
      </c>
      <c r="BJ4593">
        <v>0</v>
      </c>
      <c r="BK4593">
        <v>0</v>
      </c>
      <c r="BL4593">
        <v>0</v>
      </c>
      <c r="BO4593">
        <v>0</v>
      </c>
      <c r="BP4593">
        <v>0</v>
      </c>
      <c r="BW4593" t="str">
        <f t="shared" si="2591"/>
        <v>15:00:36.675</v>
      </c>
      <c r="CJ4593">
        <v>0</v>
      </c>
      <c r="CK4593">
        <v>2</v>
      </c>
      <c r="CL4593">
        <v>0</v>
      </c>
      <c r="CM4593">
        <v>2</v>
      </c>
      <c r="CN4593">
        <v>0</v>
      </c>
      <c r="CO4593">
        <v>5</v>
      </c>
      <c r="CP4593" t="s">
        <v>119</v>
      </c>
      <c r="CQ4593">
        <v>298</v>
      </c>
      <c r="CR4593">
        <v>0</v>
      </c>
      <c r="CW4593">
        <v>10483859</v>
      </c>
      <c r="CY4593">
        <v>0</v>
      </c>
      <c r="CZ4593">
        <v>0</v>
      </c>
      <c r="DA4593">
        <v>1</v>
      </c>
      <c r="DB4593">
        <v>0</v>
      </c>
      <c r="DC4593">
        <v>0</v>
      </c>
      <c r="DD4593">
        <v>0</v>
      </c>
      <c r="DE4593">
        <v>0</v>
      </c>
      <c r="DF4593">
        <v>0</v>
      </c>
      <c r="DG4593">
        <v>0</v>
      </c>
      <c r="DH4593">
        <v>0</v>
      </c>
      <c r="DI4593">
        <v>0</v>
      </c>
    </row>
    <row r="4594" spans="1:113" x14ac:dyDescent="0.25">
      <c r="A4594" t="str">
        <f t="shared" si="2589"/>
        <v>06/05/2020 15:00:31.033</v>
      </c>
      <c r="C4594" t="str">
        <f t="shared" si="2585"/>
        <v>FFDFD3C0</v>
      </c>
      <c r="D4594" t="s">
        <v>151</v>
      </c>
      <c r="E4594">
        <v>8</v>
      </c>
      <c r="H4594">
        <v>225</v>
      </c>
      <c r="I4594" t="s">
        <v>353</v>
      </c>
      <c r="J4594" t="s">
        <v>150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 t="shared" si="2590"/>
        <v>15:00:36.672</v>
      </c>
      <c r="T4594" t="str">
        <f t="shared" si="2590"/>
        <v>15:00:36.672</v>
      </c>
      <c r="U4594" t="str">
        <f t="shared" si="2565"/>
        <v>ACC530</v>
      </c>
      <c r="V4594">
        <v>0</v>
      </c>
      <c r="W4594">
        <v>0</v>
      </c>
      <c r="X4594">
        <v>1</v>
      </c>
      <c r="Z4594">
        <v>0</v>
      </c>
      <c r="AA4594">
        <v>9</v>
      </c>
      <c r="AB4594">
        <v>3</v>
      </c>
      <c r="AC4594">
        <v>0</v>
      </c>
      <c r="AD4594">
        <v>9</v>
      </c>
      <c r="AE4594">
        <v>0</v>
      </c>
      <c r="AF4594">
        <v>3</v>
      </c>
      <c r="AG4594">
        <v>1</v>
      </c>
      <c r="AH4594">
        <v>0</v>
      </c>
      <c r="AI4594" t="s">
        <v>1429</v>
      </c>
      <c r="AJ4594">
        <v>34.073582000000002</v>
      </c>
      <c r="AK4594" t="s">
        <v>1430</v>
      </c>
      <c r="AL4594">
        <v>-117.061665</v>
      </c>
      <c r="AM4594">
        <v>100</v>
      </c>
      <c r="AN4594">
        <v>4000</v>
      </c>
      <c r="AO4594" t="s">
        <v>118</v>
      </c>
      <c r="AP4594">
        <v>-121</v>
      </c>
      <c r="AQ4594">
        <v>-33</v>
      </c>
      <c r="AR4594">
        <v>-2176</v>
      </c>
      <c r="AZ4594">
        <v>1200</v>
      </c>
      <c r="BA4594">
        <v>1</v>
      </c>
      <c r="BB4594" t="str">
        <f t="shared" si="2567"/>
        <v xml:space="preserve">N9217B  </v>
      </c>
      <c r="BC4594">
        <v>1</v>
      </c>
      <c r="BE4594">
        <v>0</v>
      </c>
      <c r="BF4594">
        <v>0</v>
      </c>
      <c r="BG4594">
        <v>0</v>
      </c>
      <c r="BH4594">
        <v>3750</v>
      </c>
      <c r="BI4594">
        <v>1</v>
      </c>
      <c r="BJ4594">
        <v>0</v>
      </c>
      <c r="BK4594">
        <v>0</v>
      </c>
      <c r="BL4594">
        <v>0</v>
      </c>
      <c r="BO4594">
        <v>0</v>
      </c>
      <c r="BP4594">
        <v>0</v>
      </c>
      <c r="BW4594" t="str">
        <f t="shared" si="2591"/>
        <v>15:00:36.675</v>
      </c>
      <c r="CJ4594">
        <v>0</v>
      </c>
      <c r="CK4594">
        <v>2</v>
      </c>
      <c r="CL4594">
        <v>0</v>
      </c>
      <c r="CM4594">
        <v>2</v>
      </c>
      <c r="CN4594">
        <v>0</v>
      </c>
      <c r="CO4594">
        <v>5</v>
      </c>
      <c r="CP4594" t="s">
        <v>119</v>
      </c>
      <c r="CQ4594">
        <v>298</v>
      </c>
      <c r="CR4594">
        <v>0</v>
      </c>
      <c r="CW4594">
        <v>10483859</v>
      </c>
      <c r="CY4594">
        <v>0</v>
      </c>
      <c r="CZ4594">
        <v>0</v>
      </c>
      <c r="DA4594">
        <v>1</v>
      </c>
      <c r="DB4594">
        <v>0</v>
      </c>
      <c r="DC4594">
        <v>0</v>
      </c>
      <c r="DD4594">
        <v>0</v>
      </c>
      <c r="DE4594">
        <v>0</v>
      </c>
      <c r="DF4594">
        <v>0</v>
      </c>
      <c r="DG4594">
        <v>0</v>
      </c>
      <c r="DH4594">
        <v>0</v>
      </c>
      <c r="DI4594">
        <v>0</v>
      </c>
    </row>
    <row r="4595" spans="1:113" x14ac:dyDescent="0.25">
      <c r="A4595" t="str">
        <f t="shared" si="2589"/>
        <v>06/05/2020 15:00:31.033</v>
      </c>
      <c r="C4595" t="str">
        <f t="shared" si="2585"/>
        <v>FFDFD3C0</v>
      </c>
      <c r="D4595" t="s">
        <v>148</v>
      </c>
      <c r="E4595">
        <v>8</v>
      </c>
      <c r="H4595">
        <v>50</v>
      </c>
      <c r="I4595" t="s">
        <v>149</v>
      </c>
      <c r="J4595" t="s">
        <v>150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 t="shared" si="2590"/>
        <v>15:00:36.672</v>
      </c>
      <c r="T4595" t="str">
        <f t="shared" si="2590"/>
        <v>15:00:36.672</v>
      </c>
      <c r="U4595" t="str">
        <f t="shared" si="2565"/>
        <v>ACC530</v>
      </c>
      <c r="V4595">
        <v>0</v>
      </c>
      <c r="W4595">
        <v>0</v>
      </c>
      <c r="X4595">
        <v>1</v>
      </c>
      <c r="Z4595">
        <v>0</v>
      </c>
      <c r="AA4595">
        <v>9</v>
      </c>
      <c r="AB4595">
        <v>3</v>
      </c>
      <c r="AC4595">
        <v>0</v>
      </c>
      <c r="AD4595">
        <v>9</v>
      </c>
      <c r="AE4595">
        <v>0</v>
      </c>
      <c r="AF4595">
        <v>3</v>
      </c>
      <c r="AG4595">
        <v>1</v>
      </c>
      <c r="AH4595">
        <v>0</v>
      </c>
      <c r="AI4595" t="s">
        <v>1429</v>
      </c>
      <c r="AJ4595">
        <v>34.073582000000002</v>
      </c>
      <c r="AK4595" t="s">
        <v>1430</v>
      </c>
      <c r="AL4595">
        <v>-117.061665</v>
      </c>
      <c r="AM4595">
        <v>100</v>
      </c>
      <c r="AN4595">
        <v>4000</v>
      </c>
      <c r="AO4595" t="s">
        <v>118</v>
      </c>
      <c r="AP4595">
        <v>-121</v>
      </c>
      <c r="AQ4595">
        <v>-33</v>
      </c>
      <c r="AR4595">
        <v>-2176</v>
      </c>
      <c r="AZ4595">
        <v>1200</v>
      </c>
      <c r="BA4595">
        <v>1</v>
      </c>
      <c r="BB4595" t="str">
        <f t="shared" si="2567"/>
        <v xml:space="preserve">N9217B  </v>
      </c>
      <c r="BC4595">
        <v>1</v>
      </c>
      <c r="BE4595">
        <v>0</v>
      </c>
      <c r="BF4595">
        <v>0</v>
      </c>
      <c r="BG4595">
        <v>0</v>
      </c>
      <c r="BH4595">
        <v>3750</v>
      </c>
      <c r="BI4595">
        <v>1</v>
      </c>
      <c r="BJ4595">
        <v>0</v>
      </c>
      <c r="BK4595">
        <v>0</v>
      </c>
      <c r="BL4595">
        <v>0</v>
      </c>
      <c r="BO4595">
        <v>0</v>
      </c>
      <c r="BP4595">
        <v>0</v>
      </c>
      <c r="BW4595" t="str">
        <f t="shared" si="2591"/>
        <v>15:00:36.675</v>
      </c>
      <c r="CJ4595">
        <v>0</v>
      </c>
      <c r="CK4595">
        <v>2</v>
      </c>
      <c r="CL4595">
        <v>0</v>
      </c>
      <c r="CM4595">
        <v>2</v>
      </c>
      <c r="CN4595">
        <v>0</v>
      </c>
      <c r="CO4595">
        <v>5</v>
      </c>
      <c r="CP4595" t="s">
        <v>119</v>
      </c>
      <c r="CQ4595">
        <v>298</v>
      </c>
      <c r="CR4595">
        <v>0</v>
      </c>
      <c r="CW4595">
        <v>10483859</v>
      </c>
      <c r="CY4595">
        <v>0</v>
      </c>
      <c r="CZ4595">
        <v>0</v>
      </c>
      <c r="DA4595">
        <v>1</v>
      </c>
      <c r="DB4595">
        <v>0</v>
      </c>
      <c r="DC4595">
        <v>0</v>
      </c>
      <c r="DD4595">
        <v>0</v>
      </c>
      <c r="DE4595">
        <v>0</v>
      </c>
      <c r="DF4595">
        <v>0</v>
      </c>
      <c r="DG4595">
        <v>0</v>
      </c>
      <c r="DH4595">
        <v>0</v>
      </c>
      <c r="DI4595">
        <v>0</v>
      </c>
    </row>
    <row r="4596" spans="1:113" x14ac:dyDescent="0.25">
      <c r="A4596" t="str">
        <f t="shared" ref="A4596:A4601" si="2592">"06/05/2020 15:00:32.096"</f>
        <v>06/05/2020 15:00:32.096</v>
      </c>
      <c r="C4596" t="str">
        <f t="shared" si="2585"/>
        <v>FFDFD3C0</v>
      </c>
      <c r="D4596" t="s">
        <v>134</v>
      </c>
      <c r="E4596">
        <v>7</v>
      </c>
      <c r="F4596">
        <v>2007</v>
      </c>
      <c r="G4596" t="s">
        <v>135</v>
      </c>
      <c r="J4596" t="s">
        <v>136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 t="shared" ref="S4596:T4601" si="2593">"15:00:37.750"</f>
        <v>15:00:37.750</v>
      </c>
      <c r="T4596" t="str">
        <f t="shared" si="2593"/>
        <v>15:00:37.750</v>
      </c>
      <c r="U4596" t="str">
        <f t="shared" si="2565"/>
        <v>ACC530</v>
      </c>
      <c r="V4596">
        <v>0</v>
      </c>
      <c r="W4596">
        <v>0</v>
      </c>
      <c r="X4596">
        <v>1</v>
      </c>
      <c r="Z4596">
        <v>0</v>
      </c>
      <c r="AA4596">
        <v>9</v>
      </c>
      <c r="AB4596">
        <v>3</v>
      </c>
      <c r="AC4596">
        <v>0</v>
      </c>
      <c r="AD4596">
        <v>9</v>
      </c>
      <c r="AE4596">
        <v>0</v>
      </c>
      <c r="AF4596">
        <v>3</v>
      </c>
      <c r="AG4596">
        <v>1</v>
      </c>
      <c r="AH4596">
        <v>0</v>
      </c>
      <c r="AI4596" t="s">
        <v>1392</v>
      </c>
      <c r="AJ4596">
        <v>34.073410000000003</v>
      </c>
      <c r="AK4596" t="s">
        <v>1431</v>
      </c>
      <c r="AL4596">
        <v>-117.062416</v>
      </c>
      <c r="AM4596">
        <v>100</v>
      </c>
      <c r="AN4596">
        <v>3900</v>
      </c>
      <c r="AO4596" t="s">
        <v>118</v>
      </c>
      <c r="AP4596">
        <v>-120</v>
      </c>
      <c r="AQ4596">
        <v>-35</v>
      </c>
      <c r="AR4596">
        <v>-2176</v>
      </c>
      <c r="AZ4596">
        <v>1200</v>
      </c>
      <c r="BA4596">
        <v>1</v>
      </c>
      <c r="BB4596" t="str">
        <f t="shared" si="2567"/>
        <v xml:space="preserve">N9217B  </v>
      </c>
      <c r="BC4596">
        <v>1</v>
      </c>
      <c r="BE4596">
        <v>0</v>
      </c>
      <c r="BF4596">
        <v>0</v>
      </c>
      <c r="BG4596">
        <v>0</v>
      </c>
      <c r="BH4596">
        <v>3600</v>
      </c>
      <c r="BI4596">
        <v>1</v>
      </c>
      <c r="BJ4596">
        <v>0</v>
      </c>
      <c r="BK4596">
        <v>0</v>
      </c>
      <c r="BL4596">
        <v>0</v>
      </c>
      <c r="BO4596">
        <v>0</v>
      </c>
      <c r="BP4596">
        <v>0</v>
      </c>
      <c r="BW4596" t="str">
        <f t="shared" ref="BW4596:BW4601" si="2594">"15:00:37.755"</f>
        <v>15:00:37.755</v>
      </c>
      <c r="CJ4596">
        <v>0</v>
      </c>
      <c r="CK4596">
        <v>2</v>
      </c>
      <c r="CL4596">
        <v>0</v>
      </c>
      <c r="CM4596">
        <v>2</v>
      </c>
      <c r="CN4596">
        <v>0</v>
      </c>
      <c r="CO4596">
        <v>5</v>
      </c>
      <c r="CP4596" t="s">
        <v>119</v>
      </c>
      <c r="CQ4596">
        <v>298</v>
      </c>
      <c r="CR4596">
        <v>0</v>
      </c>
      <c r="CW4596">
        <v>10484015</v>
      </c>
      <c r="CY4596">
        <v>0</v>
      </c>
      <c r="CZ4596">
        <v>0</v>
      </c>
      <c r="DA4596">
        <v>0</v>
      </c>
      <c r="DB4596">
        <v>0</v>
      </c>
      <c r="DC4596">
        <v>0</v>
      </c>
      <c r="DD4596">
        <v>0</v>
      </c>
      <c r="DE4596">
        <v>0</v>
      </c>
      <c r="DF4596">
        <v>0</v>
      </c>
      <c r="DG4596">
        <v>0</v>
      </c>
      <c r="DH4596">
        <v>0</v>
      </c>
      <c r="DI4596">
        <v>0</v>
      </c>
    </row>
    <row r="4597" spans="1:113" x14ac:dyDescent="0.25">
      <c r="A4597" t="str">
        <f t="shared" si="2592"/>
        <v>06/05/2020 15:00:32.096</v>
      </c>
      <c r="C4597" t="str">
        <f t="shared" si="2585"/>
        <v>FFDFD3C0</v>
      </c>
      <c r="D4597" t="s">
        <v>113</v>
      </c>
      <c r="E4597">
        <v>3</v>
      </c>
      <c r="H4597">
        <v>166</v>
      </c>
      <c r="I4597" t="s">
        <v>114</v>
      </c>
      <c r="J4597" t="s">
        <v>115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 t="shared" si="2593"/>
        <v>15:00:37.750</v>
      </c>
      <c r="T4597" t="str">
        <f t="shared" si="2593"/>
        <v>15:00:37.750</v>
      </c>
      <c r="U4597" t="str">
        <f t="shared" si="2565"/>
        <v>ACC530</v>
      </c>
      <c r="V4597">
        <v>0</v>
      </c>
      <c r="W4597">
        <v>0</v>
      </c>
      <c r="X4597">
        <v>1</v>
      </c>
      <c r="Z4597">
        <v>0</v>
      </c>
      <c r="AA4597">
        <v>9</v>
      </c>
      <c r="AB4597">
        <v>3</v>
      </c>
      <c r="AC4597">
        <v>0</v>
      </c>
      <c r="AD4597">
        <v>9</v>
      </c>
      <c r="AE4597">
        <v>0</v>
      </c>
      <c r="AF4597">
        <v>3</v>
      </c>
      <c r="AG4597">
        <v>1</v>
      </c>
      <c r="AH4597">
        <v>0</v>
      </c>
      <c r="AI4597" t="s">
        <v>1392</v>
      </c>
      <c r="AJ4597">
        <v>34.073410000000003</v>
      </c>
      <c r="AK4597" t="s">
        <v>1431</v>
      </c>
      <c r="AL4597">
        <v>-117.062416</v>
      </c>
      <c r="AM4597">
        <v>100</v>
      </c>
      <c r="AN4597">
        <v>3900</v>
      </c>
      <c r="AO4597" t="s">
        <v>118</v>
      </c>
      <c r="AP4597">
        <v>-120</v>
      </c>
      <c r="AQ4597">
        <v>-35</v>
      </c>
      <c r="AR4597">
        <v>-2176</v>
      </c>
      <c r="AZ4597">
        <v>1200</v>
      </c>
      <c r="BA4597">
        <v>1</v>
      </c>
      <c r="BB4597" t="str">
        <f t="shared" si="2567"/>
        <v xml:space="preserve">N9217B  </v>
      </c>
      <c r="BC4597">
        <v>1</v>
      </c>
      <c r="BE4597">
        <v>0</v>
      </c>
      <c r="BF4597">
        <v>0</v>
      </c>
      <c r="BG4597">
        <v>0</v>
      </c>
      <c r="BH4597">
        <v>3600</v>
      </c>
      <c r="BI4597">
        <v>1</v>
      </c>
      <c r="BJ4597">
        <v>0</v>
      </c>
      <c r="BK4597">
        <v>0</v>
      </c>
      <c r="BL4597">
        <v>0</v>
      </c>
      <c r="BO4597">
        <v>0</v>
      </c>
      <c r="BP4597">
        <v>0</v>
      </c>
      <c r="BW4597" t="str">
        <f t="shared" si="2594"/>
        <v>15:00:37.755</v>
      </c>
      <c r="CJ4597">
        <v>0</v>
      </c>
      <c r="CK4597">
        <v>2</v>
      </c>
      <c r="CL4597">
        <v>0</v>
      </c>
      <c r="CM4597">
        <v>2</v>
      </c>
      <c r="CN4597">
        <v>0</v>
      </c>
      <c r="CO4597">
        <v>5</v>
      </c>
      <c r="CP4597" t="s">
        <v>119</v>
      </c>
      <c r="CQ4597">
        <v>298</v>
      </c>
      <c r="CR4597">
        <v>0</v>
      </c>
      <c r="CW4597">
        <v>10484015</v>
      </c>
      <c r="CY4597">
        <v>0</v>
      </c>
      <c r="CZ4597">
        <v>0</v>
      </c>
      <c r="DA4597">
        <v>1</v>
      </c>
      <c r="DB4597">
        <v>0</v>
      </c>
      <c r="DC4597">
        <v>0</v>
      </c>
      <c r="DD4597">
        <v>0</v>
      </c>
      <c r="DE4597">
        <v>0</v>
      </c>
      <c r="DF4597">
        <v>0</v>
      </c>
      <c r="DG4597">
        <v>0</v>
      </c>
      <c r="DH4597">
        <v>0</v>
      </c>
      <c r="DI4597">
        <v>0</v>
      </c>
    </row>
    <row r="4598" spans="1:113" x14ac:dyDescent="0.25">
      <c r="A4598" t="str">
        <f t="shared" si="2592"/>
        <v>06/05/2020 15:00:32.096</v>
      </c>
      <c r="C4598" t="str">
        <f t="shared" si="2585"/>
        <v>FFDFD3C0</v>
      </c>
      <c r="D4598" t="s">
        <v>148</v>
      </c>
      <c r="E4598">
        <v>11</v>
      </c>
      <c r="H4598">
        <v>53</v>
      </c>
      <c r="I4598" t="s">
        <v>364</v>
      </c>
      <c r="J4598" t="s">
        <v>150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 t="shared" si="2593"/>
        <v>15:00:37.750</v>
      </c>
      <c r="T4598" t="str">
        <f t="shared" si="2593"/>
        <v>15:00:37.750</v>
      </c>
      <c r="U4598" t="str">
        <f t="shared" si="2565"/>
        <v>ACC530</v>
      </c>
      <c r="V4598">
        <v>0</v>
      </c>
      <c r="W4598">
        <v>0</v>
      </c>
      <c r="X4598">
        <v>1</v>
      </c>
      <c r="Z4598">
        <v>0</v>
      </c>
      <c r="AA4598">
        <v>9</v>
      </c>
      <c r="AB4598">
        <v>3</v>
      </c>
      <c r="AC4598">
        <v>0</v>
      </c>
      <c r="AD4598">
        <v>9</v>
      </c>
      <c r="AE4598">
        <v>0</v>
      </c>
      <c r="AF4598">
        <v>3</v>
      </c>
      <c r="AG4598">
        <v>1</v>
      </c>
      <c r="AH4598">
        <v>0</v>
      </c>
      <c r="AI4598" t="s">
        <v>1392</v>
      </c>
      <c r="AJ4598">
        <v>34.073410000000003</v>
      </c>
      <c r="AK4598" t="s">
        <v>1431</v>
      </c>
      <c r="AL4598">
        <v>-117.062416</v>
      </c>
      <c r="AM4598">
        <v>100</v>
      </c>
      <c r="AN4598">
        <v>3900</v>
      </c>
      <c r="AO4598" t="s">
        <v>118</v>
      </c>
      <c r="AP4598">
        <v>-120</v>
      </c>
      <c r="AQ4598">
        <v>-35</v>
      </c>
      <c r="AR4598">
        <v>-2176</v>
      </c>
      <c r="AZ4598">
        <v>1200</v>
      </c>
      <c r="BA4598">
        <v>1</v>
      </c>
      <c r="BB4598" t="str">
        <f t="shared" si="2567"/>
        <v xml:space="preserve">N9217B  </v>
      </c>
      <c r="BC4598">
        <v>1</v>
      </c>
      <c r="BE4598">
        <v>0</v>
      </c>
      <c r="BF4598">
        <v>0</v>
      </c>
      <c r="BG4598">
        <v>0</v>
      </c>
      <c r="BH4598">
        <v>3600</v>
      </c>
      <c r="BI4598">
        <v>1</v>
      </c>
      <c r="BJ4598">
        <v>0</v>
      </c>
      <c r="BK4598">
        <v>0</v>
      </c>
      <c r="BL4598">
        <v>0</v>
      </c>
      <c r="BO4598">
        <v>0</v>
      </c>
      <c r="BP4598">
        <v>0</v>
      </c>
      <c r="BW4598" t="str">
        <f t="shared" si="2594"/>
        <v>15:00:37.755</v>
      </c>
      <c r="CJ4598">
        <v>0</v>
      </c>
      <c r="CK4598">
        <v>2</v>
      </c>
      <c r="CL4598">
        <v>0</v>
      </c>
      <c r="CM4598">
        <v>2</v>
      </c>
      <c r="CN4598">
        <v>0</v>
      </c>
      <c r="CO4598">
        <v>5</v>
      </c>
      <c r="CP4598" t="s">
        <v>119</v>
      </c>
      <c r="CQ4598">
        <v>298</v>
      </c>
      <c r="CR4598">
        <v>0</v>
      </c>
      <c r="CW4598">
        <v>10484015</v>
      </c>
      <c r="CY4598">
        <v>0</v>
      </c>
      <c r="CZ4598">
        <v>0</v>
      </c>
      <c r="DA4598">
        <v>1</v>
      </c>
      <c r="DB4598">
        <v>0</v>
      </c>
      <c r="DC4598">
        <v>0</v>
      </c>
      <c r="DD4598">
        <v>0</v>
      </c>
      <c r="DE4598">
        <v>0</v>
      </c>
      <c r="DF4598">
        <v>0</v>
      </c>
      <c r="DG4598">
        <v>0</v>
      </c>
      <c r="DH4598">
        <v>0</v>
      </c>
      <c r="DI4598">
        <v>0</v>
      </c>
    </row>
    <row r="4599" spans="1:113" x14ac:dyDescent="0.25">
      <c r="A4599" t="str">
        <f t="shared" si="2592"/>
        <v>06/05/2020 15:00:32.096</v>
      </c>
      <c r="C4599" t="str">
        <f t="shared" si="2585"/>
        <v>FFDFD3C0</v>
      </c>
      <c r="D4599" t="s">
        <v>151</v>
      </c>
      <c r="E4599">
        <v>8</v>
      </c>
      <c r="H4599">
        <v>225</v>
      </c>
      <c r="I4599" t="s">
        <v>353</v>
      </c>
      <c r="J4599" t="s">
        <v>150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 t="shared" si="2593"/>
        <v>15:00:37.750</v>
      </c>
      <c r="T4599" t="str">
        <f t="shared" si="2593"/>
        <v>15:00:37.750</v>
      </c>
      <c r="U4599" t="str">
        <f t="shared" si="2565"/>
        <v>ACC530</v>
      </c>
      <c r="V4599">
        <v>0</v>
      </c>
      <c r="W4599">
        <v>0</v>
      </c>
      <c r="X4599">
        <v>1</v>
      </c>
      <c r="Z4599">
        <v>0</v>
      </c>
      <c r="AA4599">
        <v>9</v>
      </c>
      <c r="AB4599">
        <v>3</v>
      </c>
      <c r="AC4599">
        <v>0</v>
      </c>
      <c r="AD4599">
        <v>9</v>
      </c>
      <c r="AE4599">
        <v>0</v>
      </c>
      <c r="AF4599">
        <v>3</v>
      </c>
      <c r="AG4599">
        <v>1</v>
      </c>
      <c r="AH4599">
        <v>0</v>
      </c>
      <c r="AI4599" t="s">
        <v>1392</v>
      </c>
      <c r="AJ4599">
        <v>34.073410000000003</v>
      </c>
      <c r="AK4599" t="s">
        <v>1431</v>
      </c>
      <c r="AL4599">
        <v>-117.062416</v>
      </c>
      <c r="AM4599">
        <v>100</v>
      </c>
      <c r="AN4599">
        <v>3900</v>
      </c>
      <c r="AO4599" t="s">
        <v>118</v>
      </c>
      <c r="AP4599">
        <v>-120</v>
      </c>
      <c r="AQ4599">
        <v>-35</v>
      </c>
      <c r="AR4599">
        <v>-2176</v>
      </c>
      <c r="AZ4599">
        <v>1200</v>
      </c>
      <c r="BA4599">
        <v>1</v>
      </c>
      <c r="BB4599" t="str">
        <f t="shared" si="2567"/>
        <v xml:space="preserve">N9217B  </v>
      </c>
      <c r="BC4599">
        <v>1</v>
      </c>
      <c r="BE4599">
        <v>0</v>
      </c>
      <c r="BF4599">
        <v>0</v>
      </c>
      <c r="BG4599">
        <v>0</v>
      </c>
      <c r="BH4599">
        <v>3600</v>
      </c>
      <c r="BI4599">
        <v>1</v>
      </c>
      <c r="BJ4599">
        <v>0</v>
      </c>
      <c r="BK4599">
        <v>0</v>
      </c>
      <c r="BL4599">
        <v>0</v>
      </c>
      <c r="BO4599">
        <v>0</v>
      </c>
      <c r="BP4599">
        <v>0</v>
      </c>
      <c r="BW4599" t="str">
        <f t="shared" si="2594"/>
        <v>15:00:37.755</v>
      </c>
      <c r="CJ4599">
        <v>0</v>
      </c>
      <c r="CK4599">
        <v>2</v>
      </c>
      <c r="CL4599">
        <v>0</v>
      </c>
      <c r="CM4599">
        <v>2</v>
      </c>
      <c r="CN4599">
        <v>0</v>
      </c>
      <c r="CO4599">
        <v>5</v>
      </c>
      <c r="CP4599" t="s">
        <v>119</v>
      </c>
      <c r="CQ4599">
        <v>298</v>
      </c>
      <c r="CR4599">
        <v>0</v>
      </c>
      <c r="CW4599">
        <v>10484015</v>
      </c>
      <c r="CY4599">
        <v>0</v>
      </c>
      <c r="CZ4599">
        <v>0</v>
      </c>
      <c r="DA4599">
        <v>1</v>
      </c>
      <c r="DB4599">
        <v>0</v>
      </c>
      <c r="DC4599">
        <v>0</v>
      </c>
      <c r="DD4599">
        <v>0</v>
      </c>
      <c r="DE4599">
        <v>0</v>
      </c>
      <c r="DF4599">
        <v>0</v>
      </c>
      <c r="DG4599">
        <v>0</v>
      </c>
      <c r="DH4599">
        <v>0</v>
      </c>
      <c r="DI4599">
        <v>0</v>
      </c>
    </row>
    <row r="4600" spans="1:113" x14ac:dyDescent="0.25">
      <c r="A4600" t="str">
        <f t="shared" si="2592"/>
        <v>06/05/2020 15:00:32.096</v>
      </c>
      <c r="C4600" t="str">
        <f t="shared" si="2585"/>
        <v>FFDFD3C0</v>
      </c>
      <c r="D4600" t="s">
        <v>148</v>
      </c>
      <c r="E4600">
        <v>8</v>
      </c>
      <c r="H4600">
        <v>50</v>
      </c>
      <c r="I4600" t="s">
        <v>149</v>
      </c>
      <c r="J4600" t="s">
        <v>150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 t="shared" si="2593"/>
        <v>15:00:37.750</v>
      </c>
      <c r="T4600" t="str">
        <f t="shared" si="2593"/>
        <v>15:00:37.750</v>
      </c>
      <c r="U4600" t="str">
        <f t="shared" si="2565"/>
        <v>ACC530</v>
      </c>
      <c r="V4600">
        <v>0</v>
      </c>
      <c r="W4600">
        <v>0</v>
      </c>
      <c r="X4600">
        <v>1</v>
      </c>
      <c r="Z4600">
        <v>0</v>
      </c>
      <c r="AA4600">
        <v>9</v>
      </c>
      <c r="AB4600">
        <v>3</v>
      </c>
      <c r="AC4600">
        <v>0</v>
      </c>
      <c r="AD4600">
        <v>9</v>
      </c>
      <c r="AE4600">
        <v>0</v>
      </c>
      <c r="AF4600">
        <v>3</v>
      </c>
      <c r="AG4600">
        <v>1</v>
      </c>
      <c r="AH4600">
        <v>0</v>
      </c>
      <c r="AI4600" t="s">
        <v>1392</v>
      </c>
      <c r="AJ4600">
        <v>34.073410000000003</v>
      </c>
      <c r="AK4600" t="s">
        <v>1431</v>
      </c>
      <c r="AL4600">
        <v>-117.062416</v>
      </c>
      <c r="AM4600">
        <v>100</v>
      </c>
      <c r="AN4600">
        <v>3900</v>
      </c>
      <c r="AO4600" t="s">
        <v>118</v>
      </c>
      <c r="AP4600">
        <v>-120</v>
      </c>
      <c r="AQ4600">
        <v>-35</v>
      </c>
      <c r="AR4600">
        <v>-2176</v>
      </c>
      <c r="AZ4600">
        <v>1200</v>
      </c>
      <c r="BA4600">
        <v>1</v>
      </c>
      <c r="BB4600" t="str">
        <f t="shared" si="2567"/>
        <v xml:space="preserve">N9217B  </v>
      </c>
      <c r="BC4600">
        <v>1</v>
      </c>
      <c r="BE4600">
        <v>0</v>
      </c>
      <c r="BF4600">
        <v>0</v>
      </c>
      <c r="BG4600">
        <v>0</v>
      </c>
      <c r="BH4600">
        <v>3600</v>
      </c>
      <c r="BI4600">
        <v>1</v>
      </c>
      <c r="BJ4600">
        <v>0</v>
      </c>
      <c r="BK4600">
        <v>0</v>
      </c>
      <c r="BL4600">
        <v>0</v>
      </c>
      <c r="BO4600">
        <v>0</v>
      </c>
      <c r="BP4600">
        <v>0</v>
      </c>
      <c r="BW4600" t="str">
        <f t="shared" si="2594"/>
        <v>15:00:37.755</v>
      </c>
      <c r="CJ4600">
        <v>0</v>
      </c>
      <c r="CK4600">
        <v>2</v>
      </c>
      <c r="CL4600">
        <v>0</v>
      </c>
      <c r="CM4600">
        <v>2</v>
      </c>
      <c r="CN4600">
        <v>0</v>
      </c>
      <c r="CO4600">
        <v>5</v>
      </c>
      <c r="CP4600" t="s">
        <v>119</v>
      </c>
      <c r="CQ4600">
        <v>298</v>
      </c>
      <c r="CR4600">
        <v>0</v>
      </c>
      <c r="CW4600">
        <v>10484015</v>
      </c>
      <c r="CY4600">
        <v>0</v>
      </c>
      <c r="CZ4600">
        <v>0</v>
      </c>
      <c r="DA4600">
        <v>1</v>
      </c>
      <c r="DB4600">
        <v>0</v>
      </c>
      <c r="DC4600">
        <v>0</v>
      </c>
      <c r="DD4600">
        <v>0</v>
      </c>
      <c r="DE4600">
        <v>0</v>
      </c>
      <c r="DF4600">
        <v>0</v>
      </c>
      <c r="DG4600">
        <v>0</v>
      </c>
      <c r="DH4600">
        <v>0</v>
      </c>
      <c r="DI4600">
        <v>0</v>
      </c>
    </row>
    <row r="4601" spans="1:113" x14ac:dyDescent="0.25">
      <c r="A4601" t="str">
        <f t="shared" si="2592"/>
        <v>06/05/2020 15:00:32.096</v>
      </c>
      <c r="C4601" t="str">
        <f t="shared" si="2585"/>
        <v>FFDFD3C0</v>
      </c>
      <c r="D4601" t="s">
        <v>141</v>
      </c>
      <c r="E4601">
        <v>20</v>
      </c>
      <c r="F4601">
        <v>1020</v>
      </c>
      <c r="G4601" t="s">
        <v>114</v>
      </c>
      <c r="J4601" t="s">
        <v>142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 t="shared" si="2593"/>
        <v>15:00:37.750</v>
      </c>
      <c r="T4601" t="str">
        <f t="shared" si="2593"/>
        <v>15:00:37.750</v>
      </c>
      <c r="U4601" t="str">
        <f t="shared" si="2565"/>
        <v>ACC530</v>
      </c>
      <c r="V4601">
        <v>0</v>
      </c>
      <c r="W4601">
        <v>0</v>
      </c>
      <c r="X4601">
        <v>1</v>
      </c>
      <c r="Z4601">
        <v>0</v>
      </c>
      <c r="AA4601">
        <v>9</v>
      </c>
      <c r="AB4601">
        <v>3</v>
      </c>
      <c r="AC4601">
        <v>0</v>
      </c>
      <c r="AD4601">
        <v>9</v>
      </c>
      <c r="AE4601">
        <v>0</v>
      </c>
      <c r="AF4601">
        <v>3</v>
      </c>
      <c r="AG4601">
        <v>1</v>
      </c>
      <c r="AH4601">
        <v>0</v>
      </c>
      <c r="AI4601" t="s">
        <v>1392</v>
      </c>
      <c r="AJ4601">
        <v>34.073410000000003</v>
      </c>
      <c r="AK4601" t="s">
        <v>1431</v>
      </c>
      <c r="AL4601">
        <v>-117.062416</v>
      </c>
      <c r="AM4601">
        <v>100</v>
      </c>
      <c r="AN4601">
        <v>3900</v>
      </c>
      <c r="AO4601" t="s">
        <v>118</v>
      </c>
      <c r="AP4601">
        <v>-120</v>
      </c>
      <c r="AQ4601">
        <v>-35</v>
      </c>
      <c r="AR4601">
        <v>-2176</v>
      </c>
      <c r="AZ4601">
        <v>1200</v>
      </c>
      <c r="BA4601">
        <v>1</v>
      </c>
      <c r="BB4601" t="str">
        <f t="shared" si="2567"/>
        <v xml:space="preserve">N9217B  </v>
      </c>
      <c r="BC4601">
        <v>1</v>
      </c>
      <c r="BE4601">
        <v>0</v>
      </c>
      <c r="BF4601">
        <v>0</v>
      </c>
      <c r="BG4601">
        <v>0</v>
      </c>
      <c r="BH4601">
        <v>3600</v>
      </c>
      <c r="BI4601">
        <v>1</v>
      </c>
      <c r="BJ4601">
        <v>0</v>
      </c>
      <c r="BK4601">
        <v>0</v>
      </c>
      <c r="BL4601">
        <v>0</v>
      </c>
      <c r="BO4601">
        <v>0</v>
      </c>
      <c r="BP4601">
        <v>0</v>
      </c>
      <c r="BW4601" t="str">
        <f t="shared" si="2594"/>
        <v>15:00:37.755</v>
      </c>
      <c r="CJ4601">
        <v>0</v>
      </c>
      <c r="CK4601">
        <v>2</v>
      </c>
      <c r="CL4601">
        <v>0</v>
      </c>
      <c r="CM4601">
        <v>2</v>
      </c>
      <c r="CN4601">
        <v>0</v>
      </c>
      <c r="CO4601">
        <v>5</v>
      </c>
      <c r="CP4601" t="s">
        <v>119</v>
      </c>
      <c r="CQ4601">
        <v>298</v>
      </c>
      <c r="CR4601">
        <v>0</v>
      </c>
      <c r="CW4601">
        <v>10484015</v>
      </c>
      <c r="CY4601">
        <v>0</v>
      </c>
      <c r="CZ4601">
        <v>0</v>
      </c>
      <c r="DA4601">
        <v>1</v>
      </c>
      <c r="DB4601">
        <v>0</v>
      </c>
      <c r="DC4601">
        <v>0</v>
      </c>
      <c r="DD4601">
        <v>0</v>
      </c>
      <c r="DE4601">
        <v>0</v>
      </c>
      <c r="DF4601">
        <v>0</v>
      </c>
      <c r="DG4601">
        <v>0</v>
      </c>
      <c r="DH4601">
        <v>0</v>
      </c>
      <c r="DI4601">
        <v>0</v>
      </c>
    </row>
    <row r="4602" spans="1:113" x14ac:dyDescent="0.25">
      <c r="A4602" t="str">
        <f t="shared" ref="A4602:A4607" si="2595">"06/05/2020 15:00:33.170"</f>
        <v>06/05/2020 15:00:33.170</v>
      </c>
      <c r="C4602" t="str">
        <f t="shared" si="2585"/>
        <v>FFDFD3C0</v>
      </c>
      <c r="D4602" t="s">
        <v>151</v>
      </c>
      <c r="E4602">
        <v>8</v>
      </c>
      <c r="H4602">
        <v>225</v>
      </c>
      <c r="I4602" t="s">
        <v>353</v>
      </c>
      <c r="J4602" t="s">
        <v>150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 t="shared" ref="S4602:T4607" si="2596">"15:00:38.813"</f>
        <v>15:00:38.813</v>
      </c>
      <c r="T4602" t="str">
        <f t="shared" si="2596"/>
        <v>15:00:38.813</v>
      </c>
      <c r="U4602" t="str">
        <f t="shared" si="2565"/>
        <v>ACC530</v>
      </c>
      <c r="V4602">
        <v>0</v>
      </c>
      <c r="W4602">
        <v>0</v>
      </c>
      <c r="X4602">
        <v>1</v>
      </c>
      <c r="Z4602">
        <v>0</v>
      </c>
      <c r="AA4602">
        <v>9</v>
      </c>
      <c r="AB4602">
        <v>3</v>
      </c>
      <c r="AC4602">
        <v>0</v>
      </c>
      <c r="AD4602">
        <v>9</v>
      </c>
      <c r="AE4602">
        <v>0</v>
      </c>
      <c r="AF4602">
        <v>3</v>
      </c>
      <c r="AG4602">
        <v>1</v>
      </c>
      <c r="AH4602">
        <v>0</v>
      </c>
      <c r="AI4602" t="s">
        <v>1432</v>
      </c>
      <c r="AJ4602">
        <v>34.073217</v>
      </c>
      <c r="AK4602" t="s">
        <v>1433</v>
      </c>
      <c r="AL4602">
        <v>-117.063081</v>
      </c>
      <c r="AM4602">
        <v>100</v>
      </c>
      <c r="AN4602">
        <v>3900</v>
      </c>
      <c r="AO4602" t="s">
        <v>118</v>
      </c>
      <c r="AP4602">
        <v>-120</v>
      </c>
      <c r="AQ4602">
        <v>-38</v>
      </c>
      <c r="AR4602">
        <v>-2240</v>
      </c>
      <c r="AZ4602">
        <v>1200</v>
      </c>
      <c r="BA4602">
        <v>1</v>
      </c>
      <c r="BB4602" t="str">
        <f t="shared" si="2567"/>
        <v xml:space="preserve">N9217B  </v>
      </c>
      <c r="BC4602">
        <v>1</v>
      </c>
      <c r="BE4602">
        <v>0</v>
      </c>
      <c r="BF4602">
        <v>0</v>
      </c>
      <c r="BG4602">
        <v>0</v>
      </c>
      <c r="BH4602">
        <v>3675</v>
      </c>
      <c r="BI4602">
        <v>1</v>
      </c>
      <c r="BJ4602">
        <v>0</v>
      </c>
      <c r="BK4602">
        <v>0</v>
      </c>
      <c r="BL4602">
        <v>0</v>
      </c>
      <c r="BO4602">
        <v>0</v>
      </c>
      <c r="BP4602">
        <v>0</v>
      </c>
      <c r="BW4602" t="str">
        <f t="shared" ref="BW4602:BW4607" si="2597">"15:00:38.820"</f>
        <v>15:00:38.820</v>
      </c>
      <c r="CJ4602">
        <v>0</v>
      </c>
      <c r="CK4602">
        <v>2</v>
      </c>
      <c r="CL4602">
        <v>0</v>
      </c>
      <c r="CM4602">
        <v>2</v>
      </c>
      <c r="CN4602">
        <v>0</v>
      </c>
      <c r="CO4602">
        <v>5</v>
      </c>
      <c r="CP4602" t="s">
        <v>119</v>
      </c>
      <c r="CQ4602">
        <v>298</v>
      </c>
      <c r="CR4602">
        <v>0</v>
      </c>
      <c r="CW4602">
        <v>10484163</v>
      </c>
      <c r="CY4602">
        <v>0</v>
      </c>
      <c r="CZ4602">
        <v>0</v>
      </c>
      <c r="DA4602">
        <v>0</v>
      </c>
      <c r="DB4602">
        <v>0</v>
      </c>
      <c r="DC4602">
        <v>0</v>
      </c>
      <c r="DD4602">
        <v>0</v>
      </c>
      <c r="DE4602">
        <v>0</v>
      </c>
      <c r="DF4602">
        <v>0</v>
      </c>
      <c r="DG4602">
        <v>0</v>
      </c>
      <c r="DH4602">
        <v>0</v>
      </c>
      <c r="DI4602">
        <v>0</v>
      </c>
    </row>
    <row r="4603" spans="1:113" x14ac:dyDescent="0.25">
      <c r="A4603" t="str">
        <f t="shared" si="2595"/>
        <v>06/05/2020 15:00:33.170</v>
      </c>
      <c r="C4603" t="str">
        <f t="shared" si="2585"/>
        <v>FFDFD3C0</v>
      </c>
      <c r="D4603" t="s">
        <v>148</v>
      </c>
      <c r="E4603">
        <v>8</v>
      </c>
      <c r="H4603">
        <v>50</v>
      </c>
      <c r="I4603" t="s">
        <v>149</v>
      </c>
      <c r="J4603" t="s">
        <v>150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 t="shared" si="2596"/>
        <v>15:00:38.813</v>
      </c>
      <c r="T4603" t="str">
        <f t="shared" si="2596"/>
        <v>15:00:38.813</v>
      </c>
      <c r="U4603" t="str">
        <f t="shared" si="2565"/>
        <v>ACC530</v>
      </c>
      <c r="V4603">
        <v>0</v>
      </c>
      <c r="W4603">
        <v>0</v>
      </c>
      <c r="X4603">
        <v>1</v>
      </c>
      <c r="Z4603">
        <v>0</v>
      </c>
      <c r="AA4603">
        <v>9</v>
      </c>
      <c r="AB4603">
        <v>3</v>
      </c>
      <c r="AC4603">
        <v>0</v>
      </c>
      <c r="AD4603">
        <v>9</v>
      </c>
      <c r="AE4603">
        <v>0</v>
      </c>
      <c r="AF4603">
        <v>3</v>
      </c>
      <c r="AG4603">
        <v>1</v>
      </c>
      <c r="AH4603">
        <v>0</v>
      </c>
      <c r="AI4603" t="s">
        <v>1432</v>
      </c>
      <c r="AJ4603">
        <v>34.073217</v>
      </c>
      <c r="AK4603" t="s">
        <v>1433</v>
      </c>
      <c r="AL4603">
        <v>-117.063081</v>
      </c>
      <c r="AM4603">
        <v>100</v>
      </c>
      <c r="AN4603">
        <v>3900</v>
      </c>
      <c r="AO4603" t="s">
        <v>118</v>
      </c>
      <c r="AP4603">
        <v>-120</v>
      </c>
      <c r="AQ4603">
        <v>-38</v>
      </c>
      <c r="AR4603">
        <v>-2240</v>
      </c>
      <c r="AZ4603">
        <v>1200</v>
      </c>
      <c r="BA4603">
        <v>1</v>
      </c>
      <c r="BB4603" t="str">
        <f t="shared" si="2567"/>
        <v xml:space="preserve">N9217B  </v>
      </c>
      <c r="BC4603">
        <v>1</v>
      </c>
      <c r="BE4603">
        <v>0</v>
      </c>
      <c r="BF4603">
        <v>0</v>
      </c>
      <c r="BG4603">
        <v>0</v>
      </c>
      <c r="BH4603">
        <v>3675</v>
      </c>
      <c r="BI4603">
        <v>1</v>
      </c>
      <c r="BJ4603">
        <v>0</v>
      </c>
      <c r="BK4603">
        <v>0</v>
      </c>
      <c r="BL4603">
        <v>0</v>
      </c>
      <c r="BO4603">
        <v>0</v>
      </c>
      <c r="BP4603">
        <v>0</v>
      </c>
      <c r="BW4603" t="str">
        <f t="shared" si="2597"/>
        <v>15:00:38.820</v>
      </c>
      <c r="CJ4603">
        <v>0</v>
      </c>
      <c r="CK4603">
        <v>2</v>
      </c>
      <c r="CL4603">
        <v>0</v>
      </c>
      <c r="CM4603">
        <v>2</v>
      </c>
      <c r="CN4603">
        <v>0</v>
      </c>
      <c r="CO4603">
        <v>5</v>
      </c>
      <c r="CP4603" t="s">
        <v>119</v>
      </c>
      <c r="CQ4603">
        <v>298</v>
      </c>
      <c r="CR4603">
        <v>0</v>
      </c>
      <c r="CW4603">
        <v>10484163</v>
      </c>
      <c r="CY4603">
        <v>0</v>
      </c>
      <c r="CZ4603">
        <v>0</v>
      </c>
      <c r="DA4603">
        <v>1</v>
      </c>
      <c r="DB4603">
        <v>0</v>
      </c>
      <c r="DC4603">
        <v>0</v>
      </c>
      <c r="DD4603">
        <v>0</v>
      </c>
      <c r="DE4603">
        <v>0</v>
      </c>
      <c r="DF4603">
        <v>0</v>
      </c>
      <c r="DG4603">
        <v>0</v>
      </c>
      <c r="DH4603">
        <v>0</v>
      </c>
      <c r="DI4603">
        <v>0</v>
      </c>
    </row>
    <row r="4604" spans="1:113" x14ac:dyDescent="0.25">
      <c r="A4604" t="str">
        <f t="shared" si="2595"/>
        <v>06/05/2020 15:00:33.170</v>
      </c>
      <c r="C4604" t="str">
        <f t="shared" si="2585"/>
        <v>FFDFD3C0</v>
      </c>
      <c r="D4604" t="s">
        <v>141</v>
      </c>
      <c r="E4604">
        <v>20</v>
      </c>
      <c r="F4604">
        <v>1020</v>
      </c>
      <c r="G4604" t="s">
        <v>114</v>
      </c>
      <c r="J4604" t="s">
        <v>142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 t="shared" si="2596"/>
        <v>15:00:38.813</v>
      </c>
      <c r="T4604" t="str">
        <f t="shared" si="2596"/>
        <v>15:00:38.813</v>
      </c>
      <c r="U4604" t="str">
        <f t="shared" si="2565"/>
        <v>ACC530</v>
      </c>
      <c r="V4604">
        <v>0</v>
      </c>
      <c r="W4604">
        <v>0</v>
      </c>
      <c r="X4604">
        <v>1</v>
      </c>
      <c r="Z4604">
        <v>0</v>
      </c>
      <c r="AA4604">
        <v>9</v>
      </c>
      <c r="AB4604">
        <v>3</v>
      </c>
      <c r="AC4604">
        <v>0</v>
      </c>
      <c r="AD4604">
        <v>9</v>
      </c>
      <c r="AE4604">
        <v>0</v>
      </c>
      <c r="AF4604">
        <v>3</v>
      </c>
      <c r="AG4604">
        <v>1</v>
      </c>
      <c r="AH4604">
        <v>0</v>
      </c>
      <c r="AI4604" t="s">
        <v>1432</v>
      </c>
      <c r="AJ4604">
        <v>34.073217</v>
      </c>
      <c r="AK4604" t="s">
        <v>1433</v>
      </c>
      <c r="AL4604">
        <v>-117.063081</v>
      </c>
      <c r="AM4604">
        <v>100</v>
      </c>
      <c r="AN4604">
        <v>3900</v>
      </c>
      <c r="AO4604" t="s">
        <v>118</v>
      </c>
      <c r="AP4604">
        <v>-120</v>
      </c>
      <c r="AQ4604">
        <v>-38</v>
      </c>
      <c r="AR4604">
        <v>-2240</v>
      </c>
      <c r="AZ4604">
        <v>1200</v>
      </c>
      <c r="BA4604">
        <v>1</v>
      </c>
      <c r="BB4604" t="str">
        <f t="shared" si="2567"/>
        <v xml:space="preserve">N9217B  </v>
      </c>
      <c r="BC4604">
        <v>1</v>
      </c>
      <c r="BE4604">
        <v>0</v>
      </c>
      <c r="BF4604">
        <v>0</v>
      </c>
      <c r="BG4604">
        <v>0</v>
      </c>
      <c r="BH4604">
        <v>3675</v>
      </c>
      <c r="BI4604">
        <v>1</v>
      </c>
      <c r="BJ4604">
        <v>0</v>
      </c>
      <c r="BK4604">
        <v>0</v>
      </c>
      <c r="BL4604">
        <v>0</v>
      </c>
      <c r="BO4604">
        <v>0</v>
      </c>
      <c r="BP4604">
        <v>0</v>
      </c>
      <c r="BW4604" t="str">
        <f t="shared" si="2597"/>
        <v>15:00:38.820</v>
      </c>
      <c r="CJ4604">
        <v>0</v>
      </c>
      <c r="CK4604">
        <v>2</v>
      </c>
      <c r="CL4604">
        <v>0</v>
      </c>
      <c r="CM4604">
        <v>2</v>
      </c>
      <c r="CN4604">
        <v>0</v>
      </c>
      <c r="CO4604">
        <v>5</v>
      </c>
      <c r="CP4604" t="s">
        <v>119</v>
      </c>
      <c r="CQ4604">
        <v>298</v>
      </c>
      <c r="CR4604">
        <v>0</v>
      </c>
      <c r="CW4604">
        <v>10484163</v>
      </c>
      <c r="CY4604">
        <v>0</v>
      </c>
      <c r="CZ4604">
        <v>0</v>
      </c>
      <c r="DA4604">
        <v>1</v>
      </c>
      <c r="DB4604">
        <v>0</v>
      </c>
      <c r="DC4604">
        <v>0</v>
      </c>
      <c r="DD4604">
        <v>0</v>
      </c>
      <c r="DE4604">
        <v>0</v>
      </c>
      <c r="DF4604">
        <v>0</v>
      </c>
      <c r="DG4604">
        <v>0</v>
      </c>
      <c r="DH4604">
        <v>0</v>
      </c>
      <c r="DI4604">
        <v>0</v>
      </c>
    </row>
    <row r="4605" spans="1:113" x14ac:dyDescent="0.25">
      <c r="A4605" t="str">
        <f t="shared" si="2595"/>
        <v>06/05/2020 15:00:33.170</v>
      </c>
      <c r="C4605" t="str">
        <f t="shared" si="2585"/>
        <v>FFDFD3C0</v>
      </c>
      <c r="D4605" t="s">
        <v>134</v>
      </c>
      <c r="E4605">
        <v>7</v>
      </c>
      <c r="F4605">
        <v>2007</v>
      </c>
      <c r="G4605" t="s">
        <v>135</v>
      </c>
      <c r="J4605" t="s">
        <v>136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 t="shared" si="2596"/>
        <v>15:00:38.813</v>
      </c>
      <c r="T4605" t="str">
        <f t="shared" si="2596"/>
        <v>15:00:38.813</v>
      </c>
      <c r="U4605" t="str">
        <f t="shared" si="2565"/>
        <v>ACC530</v>
      </c>
      <c r="V4605">
        <v>0</v>
      </c>
      <c r="W4605">
        <v>0</v>
      </c>
      <c r="X4605">
        <v>1</v>
      </c>
      <c r="Z4605">
        <v>0</v>
      </c>
      <c r="AA4605">
        <v>9</v>
      </c>
      <c r="AB4605">
        <v>3</v>
      </c>
      <c r="AC4605">
        <v>0</v>
      </c>
      <c r="AD4605">
        <v>9</v>
      </c>
      <c r="AE4605">
        <v>0</v>
      </c>
      <c r="AF4605">
        <v>3</v>
      </c>
      <c r="AG4605">
        <v>1</v>
      </c>
      <c r="AH4605">
        <v>0</v>
      </c>
      <c r="AI4605" t="s">
        <v>1432</v>
      </c>
      <c r="AJ4605">
        <v>34.073217</v>
      </c>
      <c r="AK4605" t="s">
        <v>1433</v>
      </c>
      <c r="AL4605">
        <v>-117.063081</v>
      </c>
      <c r="AM4605">
        <v>100</v>
      </c>
      <c r="AN4605">
        <v>3900</v>
      </c>
      <c r="AO4605" t="s">
        <v>118</v>
      </c>
      <c r="AP4605">
        <v>-120</v>
      </c>
      <c r="AQ4605">
        <v>-38</v>
      </c>
      <c r="AR4605">
        <v>-2240</v>
      </c>
      <c r="AZ4605">
        <v>1200</v>
      </c>
      <c r="BA4605">
        <v>1</v>
      </c>
      <c r="BB4605" t="str">
        <f t="shared" si="2567"/>
        <v xml:space="preserve">N9217B  </v>
      </c>
      <c r="BC4605">
        <v>1</v>
      </c>
      <c r="BE4605">
        <v>0</v>
      </c>
      <c r="BF4605">
        <v>0</v>
      </c>
      <c r="BG4605">
        <v>0</v>
      </c>
      <c r="BH4605">
        <v>3675</v>
      </c>
      <c r="BI4605">
        <v>1</v>
      </c>
      <c r="BJ4605">
        <v>0</v>
      </c>
      <c r="BK4605">
        <v>0</v>
      </c>
      <c r="BL4605">
        <v>0</v>
      </c>
      <c r="BO4605">
        <v>0</v>
      </c>
      <c r="BP4605">
        <v>0</v>
      </c>
      <c r="BW4605" t="str">
        <f t="shared" si="2597"/>
        <v>15:00:38.820</v>
      </c>
      <c r="CJ4605">
        <v>0</v>
      </c>
      <c r="CK4605">
        <v>2</v>
      </c>
      <c r="CL4605">
        <v>0</v>
      </c>
      <c r="CM4605">
        <v>2</v>
      </c>
      <c r="CN4605">
        <v>0</v>
      </c>
      <c r="CO4605">
        <v>5</v>
      </c>
      <c r="CP4605" t="s">
        <v>119</v>
      </c>
      <c r="CQ4605">
        <v>298</v>
      </c>
      <c r="CR4605">
        <v>0</v>
      </c>
      <c r="CW4605">
        <v>10484163</v>
      </c>
      <c r="CY4605">
        <v>0</v>
      </c>
      <c r="CZ4605">
        <v>0</v>
      </c>
      <c r="DA4605">
        <v>1</v>
      </c>
      <c r="DB4605">
        <v>0</v>
      </c>
      <c r="DC4605">
        <v>0</v>
      </c>
      <c r="DD4605">
        <v>0</v>
      </c>
      <c r="DE4605">
        <v>0</v>
      </c>
      <c r="DF4605">
        <v>0</v>
      </c>
      <c r="DG4605">
        <v>0</v>
      </c>
      <c r="DH4605">
        <v>0</v>
      </c>
      <c r="DI4605">
        <v>0</v>
      </c>
    </row>
    <row r="4606" spans="1:113" x14ac:dyDescent="0.25">
      <c r="A4606" t="str">
        <f t="shared" si="2595"/>
        <v>06/05/2020 15:00:33.170</v>
      </c>
      <c r="C4606" t="str">
        <f t="shared" si="2585"/>
        <v>FFDFD3C0</v>
      </c>
      <c r="D4606" t="s">
        <v>113</v>
      </c>
      <c r="E4606">
        <v>3</v>
      </c>
      <c r="H4606">
        <v>166</v>
      </c>
      <c r="I4606" t="s">
        <v>114</v>
      </c>
      <c r="J4606" t="s">
        <v>115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 t="shared" si="2596"/>
        <v>15:00:38.813</v>
      </c>
      <c r="T4606" t="str">
        <f t="shared" si="2596"/>
        <v>15:00:38.813</v>
      </c>
      <c r="U4606" t="str">
        <f t="shared" si="2565"/>
        <v>ACC530</v>
      </c>
      <c r="V4606">
        <v>0</v>
      </c>
      <c r="W4606">
        <v>0</v>
      </c>
      <c r="X4606">
        <v>1</v>
      </c>
      <c r="Z4606">
        <v>0</v>
      </c>
      <c r="AA4606">
        <v>9</v>
      </c>
      <c r="AB4606">
        <v>3</v>
      </c>
      <c r="AC4606">
        <v>0</v>
      </c>
      <c r="AD4606">
        <v>9</v>
      </c>
      <c r="AE4606">
        <v>0</v>
      </c>
      <c r="AF4606">
        <v>3</v>
      </c>
      <c r="AG4606">
        <v>1</v>
      </c>
      <c r="AH4606">
        <v>0</v>
      </c>
      <c r="AI4606" t="s">
        <v>1432</v>
      </c>
      <c r="AJ4606">
        <v>34.073217</v>
      </c>
      <c r="AK4606" t="s">
        <v>1433</v>
      </c>
      <c r="AL4606">
        <v>-117.063081</v>
      </c>
      <c r="AM4606">
        <v>100</v>
      </c>
      <c r="AN4606">
        <v>3900</v>
      </c>
      <c r="AO4606" t="s">
        <v>118</v>
      </c>
      <c r="AP4606">
        <v>-120</v>
      </c>
      <c r="AQ4606">
        <v>-38</v>
      </c>
      <c r="AR4606">
        <v>-2240</v>
      </c>
      <c r="AZ4606">
        <v>1200</v>
      </c>
      <c r="BA4606">
        <v>1</v>
      </c>
      <c r="BB4606" t="str">
        <f t="shared" si="2567"/>
        <v xml:space="preserve">N9217B  </v>
      </c>
      <c r="BC4606">
        <v>1</v>
      </c>
      <c r="BE4606">
        <v>0</v>
      </c>
      <c r="BF4606">
        <v>0</v>
      </c>
      <c r="BG4606">
        <v>0</v>
      </c>
      <c r="BH4606">
        <v>3675</v>
      </c>
      <c r="BI4606">
        <v>1</v>
      </c>
      <c r="BJ4606">
        <v>0</v>
      </c>
      <c r="BK4606">
        <v>0</v>
      </c>
      <c r="BL4606">
        <v>0</v>
      </c>
      <c r="BO4606">
        <v>0</v>
      </c>
      <c r="BP4606">
        <v>0</v>
      </c>
      <c r="BW4606" t="str">
        <f t="shared" si="2597"/>
        <v>15:00:38.820</v>
      </c>
      <c r="CJ4606">
        <v>0</v>
      </c>
      <c r="CK4606">
        <v>2</v>
      </c>
      <c r="CL4606">
        <v>0</v>
      </c>
      <c r="CM4606">
        <v>2</v>
      </c>
      <c r="CN4606">
        <v>0</v>
      </c>
      <c r="CO4606">
        <v>5</v>
      </c>
      <c r="CP4606" t="s">
        <v>119</v>
      </c>
      <c r="CQ4606">
        <v>298</v>
      </c>
      <c r="CR4606">
        <v>0</v>
      </c>
      <c r="CW4606">
        <v>10484163</v>
      </c>
      <c r="CY4606">
        <v>0</v>
      </c>
      <c r="CZ4606">
        <v>0</v>
      </c>
      <c r="DA4606">
        <v>1</v>
      </c>
      <c r="DB4606">
        <v>0</v>
      </c>
      <c r="DC4606">
        <v>0</v>
      </c>
      <c r="DD4606">
        <v>0</v>
      </c>
      <c r="DE4606">
        <v>0</v>
      </c>
      <c r="DF4606">
        <v>0</v>
      </c>
      <c r="DG4606">
        <v>0</v>
      </c>
      <c r="DH4606">
        <v>0</v>
      </c>
      <c r="DI4606">
        <v>0</v>
      </c>
    </row>
    <row r="4607" spans="1:113" x14ac:dyDescent="0.25">
      <c r="A4607" t="str">
        <f t="shared" si="2595"/>
        <v>06/05/2020 15:00:33.170</v>
      </c>
      <c r="C4607" t="str">
        <f t="shared" si="2585"/>
        <v>FFDFD3C0</v>
      </c>
      <c r="D4607" t="s">
        <v>148</v>
      </c>
      <c r="E4607">
        <v>11</v>
      </c>
      <c r="H4607">
        <v>53</v>
      </c>
      <c r="I4607" t="s">
        <v>364</v>
      </c>
      <c r="J4607" t="s">
        <v>150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 t="shared" si="2596"/>
        <v>15:00:38.813</v>
      </c>
      <c r="T4607" t="str">
        <f t="shared" si="2596"/>
        <v>15:00:38.813</v>
      </c>
      <c r="U4607" t="str">
        <f t="shared" si="2565"/>
        <v>ACC530</v>
      </c>
      <c r="V4607">
        <v>0</v>
      </c>
      <c r="W4607">
        <v>0</v>
      </c>
      <c r="X4607">
        <v>1</v>
      </c>
      <c r="Z4607">
        <v>0</v>
      </c>
      <c r="AA4607">
        <v>9</v>
      </c>
      <c r="AB4607">
        <v>3</v>
      </c>
      <c r="AC4607">
        <v>0</v>
      </c>
      <c r="AD4607">
        <v>9</v>
      </c>
      <c r="AE4607">
        <v>0</v>
      </c>
      <c r="AF4607">
        <v>3</v>
      </c>
      <c r="AG4607">
        <v>1</v>
      </c>
      <c r="AH4607">
        <v>0</v>
      </c>
      <c r="AI4607" t="s">
        <v>1432</v>
      </c>
      <c r="AJ4607">
        <v>34.073217</v>
      </c>
      <c r="AK4607" t="s">
        <v>1433</v>
      </c>
      <c r="AL4607">
        <v>-117.063081</v>
      </c>
      <c r="AM4607">
        <v>100</v>
      </c>
      <c r="AN4607">
        <v>3900</v>
      </c>
      <c r="AO4607" t="s">
        <v>118</v>
      </c>
      <c r="AP4607">
        <v>-120</v>
      </c>
      <c r="AQ4607">
        <v>-38</v>
      </c>
      <c r="AR4607">
        <v>-2240</v>
      </c>
      <c r="AZ4607">
        <v>1200</v>
      </c>
      <c r="BA4607">
        <v>1</v>
      </c>
      <c r="BB4607" t="str">
        <f t="shared" si="2567"/>
        <v xml:space="preserve">N9217B  </v>
      </c>
      <c r="BC4607">
        <v>1</v>
      </c>
      <c r="BE4607">
        <v>0</v>
      </c>
      <c r="BF4607">
        <v>0</v>
      </c>
      <c r="BG4607">
        <v>0</v>
      </c>
      <c r="BH4607">
        <v>3675</v>
      </c>
      <c r="BI4607">
        <v>1</v>
      </c>
      <c r="BJ4607">
        <v>0</v>
      </c>
      <c r="BK4607">
        <v>0</v>
      </c>
      <c r="BL4607">
        <v>0</v>
      </c>
      <c r="BO4607">
        <v>0</v>
      </c>
      <c r="BP4607">
        <v>0</v>
      </c>
      <c r="BW4607" t="str">
        <f t="shared" si="2597"/>
        <v>15:00:38.820</v>
      </c>
      <c r="CJ4607">
        <v>0</v>
      </c>
      <c r="CK4607">
        <v>2</v>
      </c>
      <c r="CL4607">
        <v>0</v>
      </c>
      <c r="CM4607">
        <v>2</v>
      </c>
      <c r="CN4607">
        <v>0</v>
      </c>
      <c r="CO4607">
        <v>5</v>
      </c>
      <c r="CP4607" t="s">
        <v>119</v>
      </c>
      <c r="CQ4607">
        <v>298</v>
      </c>
      <c r="CR4607">
        <v>0</v>
      </c>
      <c r="CW4607">
        <v>10484163</v>
      </c>
      <c r="CY4607">
        <v>0</v>
      </c>
      <c r="CZ4607">
        <v>0</v>
      </c>
      <c r="DA4607">
        <v>1</v>
      </c>
      <c r="DB4607">
        <v>0</v>
      </c>
      <c r="DC4607">
        <v>0</v>
      </c>
      <c r="DD4607">
        <v>0</v>
      </c>
      <c r="DE4607">
        <v>0</v>
      </c>
      <c r="DF4607">
        <v>0</v>
      </c>
      <c r="DG4607">
        <v>0</v>
      </c>
      <c r="DH4607">
        <v>0</v>
      </c>
      <c r="DI4607">
        <v>0</v>
      </c>
    </row>
    <row r="4608" spans="1:113" x14ac:dyDescent="0.25">
      <c r="A4608" t="str">
        <f t="shared" ref="A4608:A4613" si="2598">"06/05/2020 15:00:34.277"</f>
        <v>06/05/2020 15:00:34.277</v>
      </c>
      <c r="C4608" t="str">
        <f t="shared" si="2585"/>
        <v>FFDFD3C0</v>
      </c>
      <c r="D4608" t="s">
        <v>148</v>
      </c>
      <c r="E4608">
        <v>11</v>
      </c>
      <c r="H4608">
        <v>53</v>
      </c>
      <c r="I4608" t="s">
        <v>364</v>
      </c>
      <c r="J4608" t="s">
        <v>150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 t="shared" ref="S4608:S4613" si="2599">"15:00:39.898"</f>
        <v>15:00:39.898</v>
      </c>
      <c r="T4608" t="str">
        <f t="shared" ref="T4608:T4613" si="2600">"15:00:39.798"</f>
        <v>15:00:39.798</v>
      </c>
      <c r="U4608" t="str">
        <f t="shared" si="2565"/>
        <v>ACC530</v>
      </c>
      <c r="V4608">
        <v>0</v>
      </c>
      <c r="W4608">
        <v>0</v>
      </c>
      <c r="X4608">
        <v>1</v>
      </c>
      <c r="Z4608">
        <v>0</v>
      </c>
      <c r="AA4608">
        <v>9</v>
      </c>
      <c r="AB4608">
        <v>3</v>
      </c>
      <c r="AC4608">
        <v>0</v>
      </c>
      <c r="AD4608">
        <v>9</v>
      </c>
      <c r="AE4608">
        <v>0</v>
      </c>
      <c r="AF4608">
        <v>3</v>
      </c>
      <c r="AG4608">
        <v>1</v>
      </c>
      <c r="AH4608">
        <v>0</v>
      </c>
      <c r="AI4608" t="s">
        <v>1434</v>
      </c>
      <c r="AJ4608">
        <v>34.073023999999997</v>
      </c>
      <c r="AK4608" t="s">
        <v>1435</v>
      </c>
      <c r="AL4608">
        <v>-117.06385400000001</v>
      </c>
      <c r="AM4608">
        <v>100</v>
      </c>
      <c r="AN4608">
        <v>3900</v>
      </c>
      <c r="AO4608" t="s">
        <v>118</v>
      </c>
      <c r="AP4608">
        <v>-120</v>
      </c>
      <c r="AQ4608">
        <v>-41</v>
      </c>
      <c r="AR4608">
        <v>-1920</v>
      </c>
      <c r="AZ4608">
        <v>1200</v>
      </c>
      <c r="BA4608">
        <v>1</v>
      </c>
      <c r="BB4608" t="str">
        <f t="shared" si="2567"/>
        <v xml:space="preserve">N9217B  </v>
      </c>
      <c r="BC4608">
        <v>1</v>
      </c>
      <c r="BE4608">
        <v>0</v>
      </c>
      <c r="BF4608">
        <v>0</v>
      </c>
      <c r="BG4608">
        <v>0</v>
      </c>
      <c r="BH4608">
        <v>3650</v>
      </c>
      <c r="BI4608">
        <v>1</v>
      </c>
      <c r="BJ4608">
        <v>0</v>
      </c>
      <c r="BK4608">
        <v>0</v>
      </c>
      <c r="BL4608">
        <v>0</v>
      </c>
      <c r="BO4608">
        <v>0</v>
      </c>
      <c r="BP4608">
        <v>0</v>
      </c>
      <c r="BW4608" t="str">
        <f t="shared" ref="BW4608:BW4613" si="2601">"15:00:39.900"</f>
        <v>15:00:39.900</v>
      </c>
      <c r="CJ4608">
        <v>0</v>
      </c>
      <c r="CK4608">
        <v>2</v>
      </c>
      <c r="CL4608">
        <v>0</v>
      </c>
      <c r="CM4608">
        <v>2</v>
      </c>
      <c r="CN4608">
        <v>0</v>
      </c>
      <c r="CO4608">
        <v>5</v>
      </c>
      <c r="CP4608" t="s">
        <v>119</v>
      </c>
      <c r="CQ4608">
        <v>298</v>
      </c>
      <c r="CR4608">
        <v>0</v>
      </c>
      <c r="CW4608">
        <v>10484302</v>
      </c>
      <c r="CY4608">
        <v>0</v>
      </c>
      <c r="CZ4608">
        <v>0</v>
      </c>
      <c r="DA4608">
        <v>0</v>
      </c>
      <c r="DB4608">
        <v>0</v>
      </c>
      <c r="DC4608">
        <v>0</v>
      </c>
      <c r="DD4608">
        <v>0</v>
      </c>
      <c r="DE4608">
        <v>0</v>
      </c>
      <c r="DF4608">
        <v>0</v>
      </c>
      <c r="DG4608">
        <v>0</v>
      </c>
      <c r="DH4608">
        <v>0</v>
      </c>
      <c r="DI4608">
        <v>0</v>
      </c>
    </row>
    <row r="4609" spans="1:113" x14ac:dyDescent="0.25">
      <c r="A4609" t="str">
        <f t="shared" si="2598"/>
        <v>06/05/2020 15:00:34.277</v>
      </c>
      <c r="C4609" t="str">
        <f t="shared" si="2585"/>
        <v>FFDFD3C0</v>
      </c>
      <c r="D4609" t="s">
        <v>151</v>
      </c>
      <c r="E4609">
        <v>8</v>
      </c>
      <c r="H4609">
        <v>225</v>
      </c>
      <c r="I4609" t="s">
        <v>353</v>
      </c>
      <c r="J4609" t="s">
        <v>150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 t="shared" si="2599"/>
        <v>15:00:39.898</v>
      </c>
      <c r="T4609" t="str">
        <f t="shared" si="2600"/>
        <v>15:00:39.798</v>
      </c>
      <c r="U4609" t="str">
        <f t="shared" si="2565"/>
        <v>ACC530</v>
      </c>
      <c r="V4609">
        <v>0</v>
      </c>
      <c r="W4609">
        <v>0</v>
      </c>
      <c r="X4609">
        <v>1</v>
      </c>
      <c r="Z4609">
        <v>0</v>
      </c>
      <c r="AA4609">
        <v>9</v>
      </c>
      <c r="AB4609">
        <v>3</v>
      </c>
      <c r="AC4609">
        <v>0</v>
      </c>
      <c r="AD4609">
        <v>9</v>
      </c>
      <c r="AE4609">
        <v>0</v>
      </c>
      <c r="AF4609">
        <v>3</v>
      </c>
      <c r="AG4609">
        <v>1</v>
      </c>
      <c r="AH4609">
        <v>0</v>
      </c>
      <c r="AI4609" t="s">
        <v>1434</v>
      </c>
      <c r="AJ4609">
        <v>34.073023999999997</v>
      </c>
      <c r="AK4609" t="s">
        <v>1435</v>
      </c>
      <c r="AL4609">
        <v>-117.06385400000001</v>
      </c>
      <c r="AM4609">
        <v>100</v>
      </c>
      <c r="AN4609">
        <v>3900</v>
      </c>
      <c r="AO4609" t="s">
        <v>118</v>
      </c>
      <c r="AP4609">
        <v>-120</v>
      </c>
      <c r="AQ4609">
        <v>-41</v>
      </c>
      <c r="AR4609">
        <v>-1920</v>
      </c>
      <c r="AZ4609">
        <v>1200</v>
      </c>
      <c r="BA4609">
        <v>1</v>
      </c>
      <c r="BB4609" t="str">
        <f t="shared" si="2567"/>
        <v xml:space="preserve">N9217B  </v>
      </c>
      <c r="BC4609">
        <v>1</v>
      </c>
      <c r="BE4609">
        <v>0</v>
      </c>
      <c r="BF4609">
        <v>0</v>
      </c>
      <c r="BG4609">
        <v>0</v>
      </c>
      <c r="BH4609">
        <v>3650</v>
      </c>
      <c r="BI4609">
        <v>1</v>
      </c>
      <c r="BJ4609">
        <v>0</v>
      </c>
      <c r="BK4609">
        <v>0</v>
      </c>
      <c r="BL4609">
        <v>0</v>
      </c>
      <c r="BO4609">
        <v>0</v>
      </c>
      <c r="BP4609">
        <v>0</v>
      </c>
      <c r="BW4609" t="str">
        <f t="shared" si="2601"/>
        <v>15:00:39.900</v>
      </c>
      <c r="CJ4609">
        <v>0</v>
      </c>
      <c r="CK4609">
        <v>2</v>
      </c>
      <c r="CL4609">
        <v>0</v>
      </c>
      <c r="CM4609">
        <v>2</v>
      </c>
      <c r="CN4609">
        <v>0</v>
      </c>
      <c r="CO4609">
        <v>5</v>
      </c>
      <c r="CP4609" t="s">
        <v>119</v>
      </c>
      <c r="CQ4609">
        <v>298</v>
      </c>
      <c r="CR4609">
        <v>0</v>
      </c>
      <c r="CW4609">
        <v>10484302</v>
      </c>
      <c r="CY4609">
        <v>0</v>
      </c>
      <c r="CZ4609">
        <v>0</v>
      </c>
      <c r="DA4609">
        <v>1</v>
      </c>
      <c r="DB4609">
        <v>0</v>
      </c>
      <c r="DC4609">
        <v>0</v>
      </c>
      <c r="DD4609">
        <v>0</v>
      </c>
      <c r="DE4609">
        <v>0</v>
      </c>
      <c r="DF4609">
        <v>0</v>
      </c>
      <c r="DG4609">
        <v>0</v>
      </c>
      <c r="DH4609">
        <v>0</v>
      </c>
      <c r="DI4609">
        <v>0</v>
      </c>
    </row>
    <row r="4610" spans="1:113" x14ac:dyDescent="0.25">
      <c r="A4610" t="str">
        <f t="shared" si="2598"/>
        <v>06/05/2020 15:00:34.277</v>
      </c>
      <c r="C4610" t="str">
        <f t="shared" si="2585"/>
        <v>FFDFD3C0</v>
      </c>
      <c r="D4610" t="s">
        <v>148</v>
      </c>
      <c r="E4610">
        <v>8</v>
      </c>
      <c r="H4610">
        <v>50</v>
      </c>
      <c r="I4610" t="s">
        <v>149</v>
      </c>
      <c r="J4610" t="s">
        <v>150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 t="shared" si="2599"/>
        <v>15:00:39.898</v>
      </c>
      <c r="T4610" t="str">
        <f t="shared" si="2600"/>
        <v>15:00:39.798</v>
      </c>
      <c r="U4610" t="str">
        <f t="shared" ref="U4610:U4673" si="2602">"ACC530"</f>
        <v>ACC530</v>
      </c>
      <c r="V4610">
        <v>0</v>
      </c>
      <c r="W4610">
        <v>0</v>
      </c>
      <c r="X4610">
        <v>1</v>
      </c>
      <c r="Z4610">
        <v>0</v>
      </c>
      <c r="AA4610">
        <v>9</v>
      </c>
      <c r="AB4610">
        <v>3</v>
      </c>
      <c r="AC4610">
        <v>0</v>
      </c>
      <c r="AD4610">
        <v>9</v>
      </c>
      <c r="AE4610">
        <v>0</v>
      </c>
      <c r="AF4610">
        <v>3</v>
      </c>
      <c r="AG4610">
        <v>1</v>
      </c>
      <c r="AH4610">
        <v>0</v>
      </c>
      <c r="AI4610" t="s">
        <v>1434</v>
      </c>
      <c r="AJ4610">
        <v>34.073023999999997</v>
      </c>
      <c r="AK4610" t="s">
        <v>1435</v>
      </c>
      <c r="AL4610">
        <v>-117.06385400000001</v>
      </c>
      <c r="AM4610">
        <v>100</v>
      </c>
      <c r="AN4610">
        <v>3900</v>
      </c>
      <c r="AO4610" t="s">
        <v>118</v>
      </c>
      <c r="AP4610">
        <v>-120</v>
      </c>
      <c r="AQ4610">
        <v>-41</v>
      </c>
      <c r="AR4610">
        <v>-1920</v>
      </c>
      <c r="AZ4610">
        <v>1200</v>
      </c>
      <c r="BA4610">
        <v>1</v>
      </c>
      <c r="BB4610" t="str">
        <f t="shared" si="2567"/>
        <v xml:space="preserve">N9217B  </v>
      </c>
      <c r="BC4610">
        <v>1</v>
      </c>
      <c r="BE4610">
        <v>0</v>
      </c>
      <c r="BF4610">
        <v>0</v>
      </c>
      <c r="BG4610">
        <v>0</v>
      </c>
      <c r="BH4610">
        <v>3650</v>
      </c>
      <c r="BI4610">
        <v>1</v>
      </c>
      <c r="BJ4610">
        <v>0</v>
      </c>
      <c r="BK4610">
        <v>0</v>
      </c>
      <c r="BL4610">
        <v>0</v>
      </c>
      <c r="BO4610">
        <v>0</v>
      </c>
      <c r="BP4610">
        <v>0</v>
      </c>
      <c r="BW4610" t="str">
        <f t="shared" si="2601"/>
        <v>15:00:39.900</v>
      </c>
      <c r="CJ4610">
        <v>0</v>
      </c>
      <c r="CK4610">
        <v>2</v>
      </c>
      <c r="CL4610">
        <v>0</v>
      </c>
      <c r="CM4610">
        <v>2</v>
      </c>
      <c r="CN4610">
        <v>0</v>
      </c>
      <c r="CO4610">
        <v>5</v>
      </c>
      <c r="CP4610" t="s">
        <v>119</v>
      </c>
      <c r="CQ4610">
        <v>298</v>
      </c>
      <c r="CR4610">
        <v>0</v>
      </c>
      <c r="CW4610">
        <v>10484302</v>
      </c>
      <c r="CY4610">
        <v>0</v>
      </c>
      <c r="CZ4610">
        <v>0</v>
      </c>
      <c r="DA4610">
        <v>1</v>
      </c>
      <c r="DB4610">
        <v>0</v>
      </c>
      <c r="DC4610">
        <v>0</v>
      </c>
      <c r="DD4610">
        <v>0</v>
      </c>
      <c r="DE4610">
        <v>0</v>
      </c>
      <c r="DF4610">
        <v>0</v>
      </c>
      <c r="DG4610">
        <v>0</v>
      </c>
      <c r="DH4610">
        <v>0</v>
      </c>
      <c r="DI4610">
        <v>0</v>
      </c>
    </row>
    <row r="4611" spans="1:113" x14ac:dyDescent="0.25">
      <c r="A4611" t="str">
        <f t="shared" si="2598"/>
        <v>06/05/2020 15:00:34.277</v>
      </c>
      <c r="C4611" t="str">
        <f t="shared" si="2585"/>
        <v>FFDFD3C0</v>
      </c>
      <c r="D4611" t="s">
        <v>141</v>
      </c>
      <c r="E4611">
        <v>20</v>
      </c>
      <c r="F4611">
        <v>1020</v>
      </c>
      <c r="G4611" t="s">
        <v>114</v>
      </c>
      <c r="J4611" t="s">
        <v>142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 t="shared" si="2599"/>
        <v>15:00:39.898</v>
      </c>
      <c r="T4611" t="str">
        <f t="shared" si="2600"/>
        <v>15:00:39.798</v>
      </c>
      <c r="U4611" t="str">
        <f t="shared" si="2602"/>
        <v>ACC530</v>
      </c>
      <c r="V4611">
        <v>0</v>
      </c>
      <c r="W4611">
        <v>0</v>
      </c>
      <c r="X4611">
        <v>1</v>
      </c>
      <c r="Z4611">
        <v>0</v>
      </c>
      <c r="AA4611">
        <v>9</v>
      </c>
      <c r="AB4611">
        <v>3</v>
      </c>
      <c r="AC4611">
        <v>0</v>
      </c>
      <c r="AD4611">
        <v>9</v>
      </c>
      <c r="AE4611">
        <v>0</v>
      </c>
      <c r="AF4611">
        <v>3</v>
      </c>
      <c r="AG4611">
        <v>1</v>
      </c>
      <c r="AH4611">
        <v>0</v>
      </c>
      <c r="AI4611" t="s">
        <v>1434</v>
      </c>
      <c r="AJ4611">
        <v>34.073023999999997</v>
      </c>
      <c r="AK4611" t="s">
        <v>1435</v>
      </c>
      <c r="AL4611">
        <v>-117.06385400000001</v>
      </c>
      <c r="AM4611">
        <v>100</v>
      </c>
      <c r="AN4611">
        <v>3900</v>
      </c>
      <c r="AO4611" t="s">
        <v>118</v>
      </c>
      <c r="AP4611">
        <v>-120</v>
      </c>
      <c r="AQ4611">
        <v>-41</v>
      </c>
      <c r="AR4611">
        <v>-1920</v>
      </c>
      <c r="AZ4611">
        <v>1200</v>
      </c>
      <c r="BA4611">
        <v>1</v>
      </c>
      <c r="BB4611" t="str">
        <f t="shared" si="2567"/>
        <v xml:space="preserve">N9217B  </v>
      </c>
      <c r="BC4611">
        <v>1</v>
      </c>
      <c r="BE4611">
        <v>0</v>
      </c>
      <c r="BF4611">
        <v>0</v>
      </c>
      <c r="BG4611">
        <v>0</v>
      </c>
      <c r="BH4611">
        <v>3650</v>
      </c>
      <c r="BI4611">
        <v>1</v>
      </c>
      <c r="BJ4611">
        <v>0</v>
      </c>
      <c r="BK4611">
        <v>0</v>
      </c>
      <c r="BL4611">
        <v>0</v>
      </c>
      <c r="BO4611">
        <v>0</v>
      </c>
      <c r="BP4611">
        <v>0</v>
      </c>
      <c r="BW4611" t="str">
        <f t="shared" si="2601"/>
        <v>15:00:39.900</v>
      </c>
      <c r="CJ4611">
        <v>0</v>
      </c>
      <c r="CK4611">
        <v>2</v>
      </c>
      <c r="CL4611">
        <v>0</v>
      </c>
      <c r="CM4611">
        <v>2</v>
      </c>
      <c r="CN4611">
        <v>0</v>
      </c>
      <c r="CO4611">
        <v>5</v>
      </c>
      <c r="CP4611" t="s">
        <v>119</v>
      </c>
      <c r="CQ4611">
        <v>298</v>
      </c>
      <c r="CR4611">
        <v>0</v>
      </c>
      <c r="CW4611">
        <v>10484302</v>
      </c>
      <c r="CY4611">
        <v>0</v>
      </c>
      <c r="CZ4611">
        <v>0</v>
      </c>
      <c r="DA4611">
        <v>1</v>
      </c>
      <c r="DB4611">
        <v>0</v>
      </c>
      <c r="DC4611">
        <v>0</v>
      </c>
      <c r="DD4611">
        <v>0</v>
      </c>
      <c r="DE4611">
        <v>0</v>
      </c>
      <c r="DF4611">
        <v>0</v>
      </c>
      <c r="DG4611">
        <v>0</v>
      </c>
      <c r="DH4611">
        <v>0</v>
      </c>
      <c r="DI4611">
        <v>0</v>
      </c>
    </row>
    <row r="4612" spans="1:113" x14ac:dyDescent="0.25">
      <c r="A4612" t="str">
        <f t="shared" si="2598"/>
        <v>06/05/2020 15:00:34.277</v>
      </c>
      <c r="C4612" t="str">
        <f t="shared" si="2585"/>
        <v>FFDFD3C0</v>
      </c>
      <c r="D4612" t="s">
        <v>134</v>
      </c>
      <c r="E4612">
        <v>7</v>
      </c>
      <c r="F4612">
        <v>2007</v>
      </c>
      <c r="G4612" t="s">
        <v>135</v>
      </c>
      <c r="J4612" t="s">
        <v>136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 t="shared" si="2599"/>
        <v>15:00:39.898</v>
      </c>
      <c r="T4612" t="str">
        <f t="shared" si="2600"/>
        <v>15:00:39.798</v>
      </c>
      <c r="U4612" t="str">
        <f t="shared" si="2602"/>
        <v>ACC530</v>
      </c>
      <c r="V4612">
        <v>0</v>
      </c>
      <c r="W4612">
        <v>0</v>
      </c>
      <c r="X4612">
        <v>1</v>
      </c>
      <c r="Z4612">
        <v>0</v>
      </c>
      <c r="AA4612">
        <v>9</v>
      </c>
      <c r="AB4612">
        <v>3</v>
      </c>
      <c r="AC4612">
        <v>0</v>
      </c>
      <c r="AD4612">
        <v>9</v>
      </c>
      <c r="AE4612">
        <v>0</v>
      </c>
      <c r="AF4612">
        <v>3</v>
      </c>
      <c r="AG4612">
        <v>1</v>
      </c>
      <c r="AH4612">
        <v>0</v>
      </c>
      <c r="AI4612" t="s">
        <v>1434</v>
      </c>
      <c r="AJ4612">
        <v>34.073023999999997</v>
      </c>
      <c r="AK4612" t="s">
        <v>1435</v>
      </c>
      <c r="AL4612">
        <v>-117.06385400000001</v>
      </c>
      <c r="AM4612">
        <v>100</v>
      </c>
      <c r="AN4612">
        <v>3900</v>
      </c>
      <c r="AO4612" t="s">
        <v>118</v>
      </c>
      <c r="AP4612">
        <v>-120</v>
      </c>
      <c r="AQ4612">
        <v>-41</v>
      </c>
      <c r="AR4612">
        <v>-1920</v>
      </c>
      <c r="AZ4612">
        <v>1200</v>
      </c>
      <c r="BA4612">
        <v>1</v>
      </c>
      <c r="BB4612" t="str">
        <f t="shared" si="2567"/>
        <v xml:space="preserve">N9217B  </v>
      </c>
      <c r="BC4612">
        <v>1</v>
      </c>
      <c r="BE4612">
        <v>0</v>
      </c>
      <c r="BF4612">
        <v>0</v>
      </c>
      <c r="BG4612">
        <v>0</v>
      </c>
      <c r="BH4612">
        <v>3650</v>
      </c>
      <c r="BI4612">
        <v>1</v>
      </c>
      <c r="BJ4612">
        <v>0</v>
      </c>
      <c r="BK4612">
        <v>0</v>
      </c>
      <c r="BL4612">
        <v>0</v>
      </c>
      <c r="BO4612">
        <v>0</v>
      </c>
      <c r="BP4612">
        <v>0</v>
      </c>
      <c r="BW4612" t="str">
        <f t="shared" si="2601"/>
        <v>15:00:39.900</v>
      </c>
      <c r="CJ4612">
        <v>0</v>
      </c>
      <c r="CK4612">
        <v>2</v>
      </c>
      <c r="CL4612">
        <v>0</v>
      </c>
      <c r="CM4612">
        <v>2</v>
      </c>
      <c r="CN4612">
        <v>0</v>
      </c>
      <c r="CO4612">
        <v>5</v>
      </c>
      <c r="CP4612" t="s">
        <v>119</v>
      </c>
      <c r="CQ4612">
        <v>298</v>
      </c>
      <c r="CR4612">
        <v>0</v>
      </c>
      <c r="CW4612">
        <v>10484302</v>
      </c>
      <c r="CY4612">
        <v>0</v>
      </c>
      <c r="CZ4612">
        <v>0</v>
      </c>
      <c r="DA4612">
        <v>1</v>
      </c>
      <c r="DB4612">
        <v>0</v>
      </c>
      <c r="DC4612">
        <v>0</v>
      </c>
      <c r="DD4612">
        <v>0</v>
      </c>
      <c r="DE4612">
        <v>0</v>
      </c>
      <c r="DF4612">
        <v>0</v>
      </c>
      <c r="DG4612">
        <v>0</v>
      </c>
      <c r="DH4612">
        <v>0</v>
      </c>
      <c r="DI4612">
        <v>0</v>
      </c>
    </row>
    <row r="4613" spans="1:113" x14ac:dyDescent="0.25">
      <c r="A4613" t="str">
        <f t="shared" si="2598"/>
        <v>06/05/2020 15:00:34.277</v>
      </c>
      <c r="C4613" t="str">
        <f t="shared" si="2585"/>
        <v>FFDFD3C0</v>
      </c>
      <c r="D4613" t="s">
        <v>113</v>
      </c>
      <c r="E4613">
        <v>3</v>
      </c>
      <c r="H4613">
        <v>166</v>
      </c>
      <c r="I4613" t="s">
        <v>114</v>
      </c>
      <c r="J4613" t="s">
        <v>115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 t="shared" si="2599"/>
        <v>15:00:39.898</v>
      </c>
      <c r="T4613" t="str">
        <f t="shared" si="2600"/>
        <v>15:00:39.798</v>
      </c>
      <c r="U4613" t="str">
        <f t="shared" si="2602"/>
        <v>ACC530</v>
      </c>
      <c r="V4613">
        <v>0</v>
      </c>
      <c r="W4613">
        <v>0</v>
      </c>
      <c r="X4613">
        <v>1</v>
      </c>
      <c r="Z4613">
        <v>0</v>
      </c>
      <c r="AA4613">
        <v>9</v>
      </c>
      <c r="AB4613">
        <v>3</v>
      </c>
      <c r="AC4613">
        <v>0</v>
      </c>
      <c r="AD4613">
        <v>9</v>
      </c>
      <c r="AE4613">
        <v>0</v>
      </c>
      <c r="AF4613">
        <v>3</v>
      </c>
      <c r="AG4613">
        <v>1</v>
      </c>
      <c r="AH4613">
        <v>0</v>
      </c>
      <c r="AI4613" t="s">
        <v>1434</v>
      </c>
      <c r="AJ4613">
        <v>34.073023999999997</v>
      </c>
      <c r="AK4613" t="s">
        <v>1435</v>
      </c>
      <c r="AL4613">
        <v>-117.06385400000001</v>
      </c>
      <c r="AM4613">
        <v>100</v>
      </c>
      <c r="AN4613">
        <v>3900</v>
      </c>
      <c r="AO4613" t="s">
        <v>118</v>
      </c>
      <c r="AP4613">
        <v>-120</v>
      </c>
      <c r="AQ4613">
        <v>-41</v>
      </c>
      <c r="AR4613">
        <v>-1920</v>
      </c>
      <c r="AZ4613">
        <v>1200</v>
      </c>
      <c r="BA4613">
        <v>1</v>
      </c>
      <c r="BB4613" t="str">
        <f t="shared" ref="BB4613:BB4676" si="2603">"N9217B  "</f>
        <v xml:space="preserve">N9217B  </v>
      </c>
      <c r="BC4613">
        <v>1</v>
      </c>
      <c r="BE4613">
        <v>0</v>
      </c>
      <c r="BF4613">
        <v>0</v>
      </c>
      <c r="BG4613">
        <v>0</v>
      </c>
      <c r="BH4613">
        <v>3650</v>
      </c>
      <c r="BI4613">
        <v>1</v>
      </c>
      <c r="BJ4613">
        <v>0</v>
      </c>
      <c r="BK4613">
        <v>0</v>
      </c>
      <c r="BL4613">
        <v>0</v>
      </c>
      <c r="BO4613">
        <v>0</v>
      </c>
      <c r="BP4613">
        <v>0</v>
      </c>
      <c r="BW4613" t="str">
        <f t="shared" si="2601"/>
        <v>15:00:39.900</v>
      </c>
      <c r="CJ4613">
        <v>0</v>
      </c>
      <c r="CK4613">
        <v>2</v>
      </c>
      <c r="CL4613">
        <v>0</v>
      </c>
      <c r="CM4613">
        <v>2</v>
      </c>
      <c r="CN4613">
        <v>0</v>
      </c>
      <c r="CO4613">
        <v>5</v>
      </c>
      <c r="CP4613" t="s">
        <v>119</v>
      </c>
      <c r="CQ4613">
        <v>298</v>
      </c>
      <c r="CR4613">
        <v>0</v>
      </c>
      <c r="CW4613">
        <v>10484302</v>
      </c>
      <c r="CY4613">
        <v>0</v>
      </c>
      <c r="CZ4613">
        <v>0</v>
      </c>
      <c r="DA4613">
        <v>1</v>
      </c>
      <c r="DB4613">
        <v>0</v>
      </c>
      <c r="DC4613">
        <v>0</v>
      </c>
      <c r="DD4613">
        <v>0</v>
      </c>
      <c r="DE4613">
        <v>0</v>
      </c>
      <c r="DF4613">
        <v>0</v>
      </c>
      <c r="DG4613">
        <v>0</v>
      </c>
      <c r="DH4613">
        <v>0</v>
      </c>
      <c r="DI4613">
        <v>0</v>
      </c>
    </row>
    <row r="4614" spans="1:113" x14ac:dyDescent="0.25">
      <c r="A4614" t="str">
        <f t="shared" ref="A4614:A4619" si="2604">"06/05/2020 15:00:35.219"</f>
        <v>06/05/2020 15:00:35.219</v>
      </c>
      <c r="C4614" t="str">
        <f t="shared" si="2585"/>
        <v>FFDFD3C0</v>
      </c>
      <c r="D4614" t="s">
        <v>141</v>
      </c>
      <c r="E4614">
        <v>20</v>
      </c>
      <c r="F4614">
        <v>1020</v>
      </c>
      <c r="G4614" t="s">
        <v>114</v>
      </c>
      <c r="J4614" t="s">
        <v>142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 t="shared" ref="S4614:T4619" si="2605">"15:00:40.867"</f>
        <v>15:00:40.867</v>
      </c>
      <c r="T4614" t="str">
        <f t="shared" si="2605"/>
        <v>15:00:40.867</v>
      </c>
      <c r="U4614" t="str">
        <f t="shared" si="2602"/>
        <v>ACC530</v>
      </c>
      <c r="V4614">
        <v>0</v>
      </c>
      <c r="W4614">
        <v>0</v>
      </c>
      <c r="X4614">
        <v>1</v>
      </c>
      <c r="Z4614">
        <v>0</v>
      </c>
      <c r="AA4614">
        <v>9</v>
      </c>
      <c r="AB4614">
        <v>3</v>
      </c>
      <c r="AC4614">
        <v>0</v>
      </c>
      <c r="AD4614">
        <v>9</v>
      </c>
      <c r="AE4614">
        <v>0</v>
      </c>
      <c r="AF4614">
        <v>3</v>
      </c>
      <c r="AG4614">
        <v>1</v>
      </c>
      <c r="AH4614">
        <v>0</v>
      </c>
      <c r="AI4614" t="s">
        <v>1383</v>
      </c>
      <c r="AJ4614">
        <v>34.072808999999999</v>
      </c>
      <c r="AK4614" t="s">
        <v>1436</v>
      </c>
      <c r="AL4614">
        <v>-117.064476</v>
      </c>
      <c r="AM4614">
        <v>100</v>
      </c>
      <c r="AN4614">
        <v>3800</v>
      </c>
      <c r="AO4614" t="s">
        <v>118</v>
      </c>
      <c r="AP4614">
        <v>-119</v>
      </c>
      <c r="AQ4614">
        <v>-45</v>
      </c>
      <c r="AR4614">
        <v>-1600</v>
      </c>
      <c r="AZ4614">
        <v>1200</v>
      </c>
      <c r="BA4614">
        <v>1</v>
      </c>
      <c r="BB4614" t="str">
        <f t="shared" si="2603"/>
        <v xml:space="preserve">N9217B  </v>
      </c>
      <c r="BC4614">
        <v>1</v>
      </c>
      <c r="BE4614">
        <v>0</v>
      </c>
      <c r="BF4614">
        <v>0</v>
      </c>
      <c r="BG4614">
        <v>0</v>
      </c>
      <c r="BH4614">
        <v>3600</v>
      </c>
      <c r="BI4614">
        <v>1</v>
      </c>
      <c r="BJ4614">
        <v>0</v>
      </c>
      <c r="BK4614">
        <v>0</v>
      </c>
      <c r="BL4614">
        <v>0</v>
      </c>
      <c r="BO4614">
        <v>0</v>
      </c>
      <c r="BP4614">
        <v>0</v>
      </c>
      <c r="BW4614" t="str">
        <f t="shared" ref="BW4614:BW4619" si="2606">"15:00:40.874"</f>
        <v>15:00:40.874</v>
      </c>
      <c r="CJ4614">
        <v>0</v>
      </c>
      <c r="CK4614">
        <v>2</v>
      </c>
      <c r="CL4614">
        <v>0</v>
      </c>
      <c r="CM4614">
        <v>2</v>
      </c>
      <c r="CN4614">
        <v>0</v>
      </c>
      <c r="CO4614">
        <v>5</v>
      </c>
      <c r="CP4614" t="s">
        <v>119</v>
      </c>
      <c r="CQ4614">
        <v>298</v>
      </c>
      <c r="CR4614">
        <v>0</v>
      </c>
      <c r="CW4614">
        <v>10484443</v>
      </c>
      <c r="CY4614">
        <v>0</v>
      </c>
      <c r="CZ4614">
        <v>0</v>
      </c>
      <c r="DA4614">
        <v>0</v>
      </c>
      <c r="DB4614">
        <v>0</v>
      </c>
      <c r="DC4614">
        <v>0</v>
      </c>
      <c r="DD4614">
        <v>0</v>
      </c>
      <c r="DE4614">
        <v>0</v>
      </c>
      <c r="DF4614">
        <v>0</v>
      </c>
      <c r="DG4614">
        <v>0</v>
      </c>
      <c r="DH4614">
        <v>0</v>
      </c>
      <c r="DI4614">
        <v>0</v>
      </c>
    </row>
    <row r="4615" spans="1:113" x14ac:dyDescent="0.25">
      <c r="A4615" t="str">
        <f t="shared" si="2604"/>
        <v>06/05/2020 15:00:35.219</v>
      </c>
      <c r="C4615" t="str">
        <f t="shared" si="2585"/>
        <v>FFDFD3C0</v>
      </c>
      <c r="D4615" t="s">
        <v>134</v>
      </c>
      <c r="E4615">
        <v>7</v>
      </c>
      <c r="F4615">
        <v>2007</v>
      </c>
      <c r="G4615" t="s">
        <v>135</v>
      </c>
      <c r="J4615" t="s">
        <v>136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 t="shared" si="2605"/>
        <v>15:00:40.867</v>
      </c>
      <c r="T4615" t="str">
        <f t="shared" si="2605"/>
        <v>15:00:40.867</v>
      </c>
      <c r="U4615" t="str">
        <f t="shared" si="2602"/>
        <v>ACC530</v>
      </c>
      <c r="V4615">
        <v>0</v>
      </c>
      <c r="W4615">
        <v>0</v>
      </c>
      <c r="X4615">
        <v>1</v>
      </c>
      <c r="Z4615">
        <v>0</v>
      </c>
      <c r="AA4615">
        <v>9</v>
      </c>
      <c r="AB4615">
        <v>3</v>
      </c>
      <c r="AC4615">
        <v>0</v>
      </c>
      <c r="AD4615">
        <v>9</v>
      </c>
      <c r="AE4615">
        <v>0</v>
      </c>
      <c r="AF4615">
        <v>3</v>
      </c>
      <c r="AG4615">
        <v>1</v>
      </c>
      <c r="AH4615">
        <v>0</v>
      </c>
      <c r="AI4615" t="s">
        <v>1383</v>
      </c>
      <c r="AJ4615">
        <v>34.072808999999999</v>
      </c>
      <c r="AK4615" t="s">
        <v>1436</v>
      </c>
      <c r="AL4615">
        <v>-117.064476</v>
      </c>
      <c r="AM4615">
        <v>100</v>
      </c>
      <c r="AN4615">
        <v>3800</v>
      </c>
      <c r="AO4615" t="s">
        <v>118</v>
      </c>
      <c r="AP4615">
        <v>-119</v>
      </c>
      <c r="AQ4615">
        <v>-45</v>
      </c>
      <c r="AR4615">
        <v>-1600</v>
      </c>
      <c r="AZ4615">
        <v>1200</v>
      </c>
      <c r="BA4615">
        <v>1</v>
      </c>
      <c r="BB4615" t="str">
        <f t="shared" si="2603"/>
        <v xml:space="preserve">N9217B  </v>
      </c>
      <c r="BC4615">
        <v>1</v>
      </c>
      <c r="BE4615">
        <v>0</v>
      </c>
      <c r="BF4615">
        <v>0</v>
      </c>
      <c r="BG4615">
        <v>0</v>
      </c>
      <c r="BH4615">
        <v>3600</v>
      </c>
      <c r="BI4615">
        <v>1</v>
      </c>
      <c r="BJ4615">
        <v>0</v>
      </c>
      <c r="BK4615">
        <v>0</v>
      </c>
      <c r="BL4615">
        <v>0</v>
      </c>
      <c r="BO4615">
        <v>0</v>
      </c>
      <c r="BP4615">
        <v>0</v>
      </c>
      <c r="BW4615" t="str">
        <f t="shared" si="2606"/>
        <v>15:00:40.874</v>
      </c>
      <c r="CJ4615">
        <v>0</v>
      </c>
      <c r="CK4615">
        <v>2</v>
      </c>
      <c r="CL4615">
        <v>0</v>
      </c>
      <c r="CM4615">
        <v>2</v>
      </c>
      <c r="CN4615">
        <v>0</v>
      </c>
      <c r="CO4615">
        <v>5</v>
      </c>
      <c r="CP4615" t="s">
        <v>119</v>
      </c>
      <c r="CQ4615">
        <v>298</v>
      </c>
      <c r="CR4615">
        <v>0</v>
      </c>
      <c r="CW4615">
        <v>10484443</v>
      </c>
      <c r="CY4615">
        <v>0</v>
      </c>
      <c r="CZ4615">
        <v>0</v>
      </c>
      <c r="DA4615">
        <v>1</v>
      </c>
      <c r="DB4615">
        <v>0</v>
      </c>
      <c r="DC4615">
        <v>0</v>
      </c>
      <c r="DD4615">
        <v>0</v>
      </c>
      <c r="DE4615">
        <v>0</v>
      </c>
      <c r="DF4615">
        <v>0</v>
      </c>
      <c r="DG4615">
        <v>0</v>
      </c>
      <c r="DH4615">
        <v>0</v>
      </c>
      <c r="DI4615">
        <v>0</v>
      </c>
    </row>
    <row r="4616" spans="1:113" x14ac:dyDescent="0.25">
      <c r="A4616" t="str">
        <f t="shared" si="2604"/>
        <v>06/05/2020 15:00:35.219</v>
      </c>
      <c r="C4616" t="str">
        <f t="shared" si="2585"/>
        <v>FFDFD3C0</v>
      </c>
      <c r="D4616" t="s">
        <v>113</v>
      </c>
      <c r="E4616">
        <v>3</v>
      </c>
      <c r="H4616">
        <v>166</v>
      </c>
      <c r="I4616" t="s">
        <v>114</v>
      </c>
      <c r="J4616" t="s">
        <v>115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 t="shared" si="2605"/>
        <v>15:00:40.867</v>
      </c>
      <c r="T4616" t="str">
        <f t="shared" si="2605"/>
        <v>15:00:40.867</v>
      </c>
      <c r="U4616" t="str">
        <f t="shared" si="2602"/>
        <v>ACC530</v>
      </c>
      <c r="V4616">
        <v>0</v>
      </c>
      <c r="W4616">
        <v>0</v>
      </c>
      <c r="X4616">
        <v>1</v>
      </c>
      <c r="Z4616">
        <v>0</v>
      </c>
      <c r="AA4616">
        <v>9</v>
      </c>
      <c r="AB4616">
        <v>3</v>
      </c>
      <c r="AC4616">
        <v>0</v>
      </c>
      <c r="AD4616">
        <v>9</v>
      </c>
      <c r="AE4616">
        <v>0</v>
      </c>
      <c r="AF4616">
        <v>3</v>
      </c>
      <c r="AG4616">
        <v>1</v>
      </c>
      <c r="AH4616">
        <v>0</v>
      </c>
      <c r="AI4616" t="s">
        <v>1383</v>
      </c>
      <c r="AJ4616">
        <v>34.072808999999999</v>
      </c>
      <c r="AK4616" t="s">
        <v>1436</v>
      </c>
      <c r="AL4616">
        <v>-117.064476</v>
      </c>
      <c r="AM4616">
        <v>100</v>
      </c>
      <c r="AN4616">
        <v>3800</v>
      </c>
      <c r="AO4616" t="s">
        <v>118</v>
      </c>
      <c r="AP4616">
        <v>-119</v>
      </c>
      <c r="AQ4616">
        <v>-45</v>
      </c>
      <c r="AR4616">
        <v>-1600</v>
      </c>
      <c r="AZ4616">
        <v>1200</v>
      </c>
      <c r="BA4616">
        <v>1</v>
      </c>
      <c r="BB4616" t="str">
        <f t="shared" si="2603"/>
        <v xml:space="preserve">N9217B  </v>
      </c>
      <c r="BC4616">
        <v>1</v>
      </c>
      <c r="BE4616">
        <v>0</v>
      </c>
      <c r="BF4616">
        <v>0</v>
      </c>
      <c r="BG4616">
        <v>0</v>
      </c>
      <c r="BH4616">
        <v>3600</v>
      </c>
      <c r="BI4616">
        <v>1</v>
      </c>
      <c r="BJ4616">
        <v>0</v>
      </c>
      <c r="BK4616">
        <v>0</v>
      </c>
      <c r="BL4616">
        <v>0</v>
      </c>
      <c r="BO4616">
        <v>0</v>
      </c>
      <c r="BP4616">
        <v>0</v>
      </c>
      <c r="BW4616" t="str">
        <f t="shared" si="2606"/>
        <v>15:00:40.874</v>
      </c>
      <c r="CJ4616">
        <v>0</v>
      </c>
      <c r="CK4616">
        <v>2</v>
      </c>
      <c r="CL4616">
        <v>0</v>
      </c>
      <c r="CM4616">
        <v>2</v>
      </c>
      <c r="CN4616">
        <v>0</v>
      </c>
      <c r="CO4616">
        <v>5</v>
      </c>
      <c r="CP4616" t="s">
        <v>119</v>
      </c>
      <c r="CQ4616">
        <v>298</v>
      </c>
      <c r="CR4616">
        <v>0</v>
      </c>
      <c r="CW4616">
        <v>10484443</v>
      </c>
      <c r="CY4616">
        <v>0</v>
      </c>
      <c r="CZ4616">
        <v>0</v>
      </c>
      <c r="DA4616">
        <v>1</v>
      </c>
      <c r="DB4616">
        <v>0</v>
      </c>
      <c r="DC4616">
        <v>0</v>
      </c>
      <c r="DD4616">
        <v>0</v>
      </c>
      <c r="DE4616">
        <v>0</v>
      </c>
      <c r="DF4616">
        <v>0</v>
      </c>
      <c r="DG4616">
        <v>0</v>
      </c>
      <c r="DH4616">
        <v>0</v>
      </c>
      <c r="DI4616">
        <v>0</v>
      </c>
    </row>
    <row r="4617" spans="1:113" x14ac:dyDescent="0.25">
      <c r="A4617" t="str">
        <f t="shared" si="2604"/>
        <v>06/05/2020 15:00:35.219</v>
      </c>
      <c r="C4617" t="str">
        <f t="shared" si="2585"/>
        <v>FFDFD3C0</v>
      </c>
      <c r="D4617" t="s">
        <v>148</v>
      </c>
      <c r="E4617">
        <v>11</v>
      </c>
      <c r="H4617">
        <v>53</v>
      </c>
      <c r="I4617" t="s">
        <v>364</v>
      </c>
      <c r="J4617" t="s">
        <v>150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 t="shared" si="2605"/>
        <v>15:00:40.867</v>
      </c>
      <c r="T4617" t="str">
        <f t="shared" si="2605"/>
        <v>15:00:40.867</v>
      </c>
      <c r="U4617" t="str">
        <f t="shared" si="2602"/>
        <v>ACC530</v>
      </c>
      <c r="V4617">
        <v>0</v>
      </c>
      <c r="W4617">
        <v>0</v>
      </c>
      <c r="X4617">
        <v>1</v>
      </c>
      <c r="Z4617">
        <v>0</v>
      </c>
      <c r="AA4617">
        <v>9</v>
      </c>
      <c r="AB4617">
        <v>3</v>
      </c>
      <c r="AC4617">
        <v>0</v>
      </c>
      <c r="AD4617">
        <v>9</v>
      </c>
      <c r="AE4617">
        <v>0</v>
      </c>
      <c r="AF4617">
        <v>3</v>
      </c>
      <c r="AG4617">
        <v>1</v>
      </c>
      <c r="AH4617">
        <v>0</v>
      </c>
      <c r="AI4617" t="s">
        <v>1383</v>
      </c>
      <c r="AJ4617">
        <v>34.072808999999999</v>
      </c>
      <c r="AK4617" t="s">
        <v>1436</v>
      </c>
      <c r="AL4617">
        <v>-117.064476</v>
      </c>
      <c r="AM4617">
        <v>100</v>
      </c>
      <c r="AN4617">
        <v>3800</v>
      </c>
      <c r="AO4617" t="s">
        <v>118</v>
      </c>
      <c r="AP4617">
        <v>-119</v>
      </c>
      <c r="AQ4617">
        <v>-45</v>
      </c>
      <c r="AR4617">
        <v>-1600</v>
      </c>
      <c r="AZ4617">
        <v>1200</v>
      </c>
      <c r="BA4617">
        <v>1</v>
      </c>
      <c r="BB4617" t="str">
        <f t="shared" si="2603"/>
        <v xml:space="preserve">N9217B  </v>
      </c>
      <c r="BC4617">
        <v>1</v>
      </c>
      <c r="BE4617">
        <v>0</v>
      </c>
      <c r="BF4617">
        <v>0</v>
      </c>
      <c r="BG4617">
        <v>0</v>
      </c>
      <c r="BH4617">
        <v>3600</v>
      </c>
      <c r="BI4617">
        <v>1</v>
      </c>
      <c r="BJ4617">
        <v>0</v>
      </c>
      <c r="BK4617">
        <v>0</v>
      </c>
      <c r="BL4617">
        <v>0</v>
      </c>
      <c r="BO4617">
        <v>0</v>
      </c>
      <c r="BP4617">
        <v>0</v>
      </c>
      <c r="BW4617" t="str">
        <f t="shared" si="2606"/>
        <v>15:00:40.874</v>
      </c>
      <c r="CJ4617">
        <v>0</v>
      </c>
      <c r="CK4617">
        <v>2</v>
      </c>
      <c r="CL4617">
        <v>0</v>
      </c>
      <c r="CM4617">
        <v>2</v>
      </c>
      <c r="CN4617">
        <v>0</v>
      </c>
      <c r="CO4617">
        <v>5</v>
      </c>
      <c r="CP4617" t="s">
        <v>119</v>
      </c>
      <c r="CQ4617">
        <v>298</v>
      </c>
      <c r="CR4617">
        <v>0</v>
      </c>
      <c r="CW4617">
        <v>10484443</v>
      </c>
      <c r="CY4617">
        <v>0</v>
      </c>
      <c r="CZ4617">
        <v>0</v>
      </c>
      <c r="DA4617">
        <v>1</v>
      </c>
      <c r="DB4617">
        <v>0</v>
      </c>
      <c r="DC4617">
        <v>0</v>
      </c>
      <c r="DD4617">
        <v>0</v>
      </c>
      <c r="DE4617">
        <v>0</v>
      </c>
      <c r="DF4617">
        <v>0</v>
      </c>
      <c r="DG4617">
        <v>0</v>
      </c>
      <c r="DH4617">
        <v>0</v>
      </c>
      <c r="DI4617">
        <v>0</v>
      </c>
    </row>
    <row r="4618" spans="1:113" x14ac:dyDescent="0.25">
      <c r="A4618" t="str">
        <f t="shared" si="2604"/>
        <v>06/05/2020 15:00:35.219</v>
      </c>
      <c r="C4618" t="str">
        <f t="shared" si="2585"/>
        <v>FFDFD3C0</v>
      </c>
      <c r="D4618" t="s">
        <v>151</v>
      </c>
      <c r="E4618">
        <v>8</v>
      </c>
      <c r="H4618">
        <v>225</v>
      </c>
      <c r="I4618" t="s">
        <v>353</v>
      </c>
      <c r="J4618" t="s">
        <v>150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 t="shared" si="2605"/>
        <v>15:00:40.867</v>
      </c>
      <c r="T4618" t="str">
        <f t="shared" si="2605"/>
        <v>15:00:40.867</v>
      </c>
      <c r="U4618" t="str">
        <f t="shared" si="2602"/>
        <v>ACC530</v>
      </c>
      <c r="V4618">
        <v>0</v>
      </c>
      <c r="W4618">
        <v>0</v>
      </c>
      <c r="X4618">
        <v>1</v>
      </c>
      <c r="Z4618">
        <v>0</v>
      </c>
      <c r="AA4618">
        <v>9</v>
      </c>
      <c r="AB4618">
        <v>3</v>
      </c>
      <c r="AC4618">
        <v>0</v>
      </c>
      <c r="AD4618">
        <v>9</v>
      </c>
      <c r="AE4618">
        <v>0</v>
      </c>
      <c r="AF4618">
        <v>3</v>
      </c>
      <c r="AG4618">
        <v>1</v>
      </c>
      <c r="AH4618">
        <v>0</v>
      </c>
      <c r="AI4618" t="s">
        <v>1383</v>
      </c>
      <c r="AJ4618">
        <v>34.072808999999999</v>
      </c>
      <c r="AK4618" t="s">
        <v>1436</v>
      </c>
      <c r="AL4618">
        <v>-117.064476</v>
      </c>
      <c r="AM4618">
        <v>100</v>
      </c>
      <c r="AN4618">
        <v>3800</v>
      </c>
      <c r="AO4618" t="s">
        <v>118</v>
      </c>
      <c r="AP4618">
        <v>-119</v>
      </c>
      <c r="AQ4618">
        <v>-45</v>
      </c>
      <c r="AR4618">
        <v>-1600</v>
      </c>
      <c r="AZ4618">
        <v>1200</v>
      </c>
      <c r="BA4618">
        <v>1</v>
      </c>
      <c r="BB4618" t="str">
        <f t="shared" si="2603"/>
        <v xml:space="preserve">N9217B  </v>
      </c>
      <c r="BC4618">
        <v>1</v>
      </c>
      <c r="BE4618">
        <v>0</v>
      </c>
      <c r="BF4618">
        <v>0</v>
      </c>
      <c r="BG4618">
        <v>0</v>
      </c>
      <c r="BH4618">
        <v>3600</v>
      </c>
      <c r="BI4618">
        <v>1</v>
      </c>
      <c r="BJ4618">
        <v>0</v>
      </c>
      <c r="BK4618">
        <v>0</v>
      </c>
      <c r="BL4618">
        <v>0</v>
      </c>
      <c r="BO4618">
        <v>0</v>
      </c>
      <c r="BP4618">
        <v>0</v>
      </c>
      <c r="BW4618" t="str">
        <f t="shared" si="2606"/>
        <v>15:00:40.874</v>
      </c>
      <c r="CJ4618">
        <v>0</v>
      </c>
      <c r="CK4618">
        <v>2</v>
      </c>
      <c r="CL4618">
        <v>0</v>
      </c>
      <c r="CM4618">
        <v>2</v>
      </c>
      <c r="CN4618">
        <v>0</v>
      </c>
      <c r="CO4618">
        <v>5</v>
      </c>
      <c r="CP4618" t="s">
        <v>119</v>
      </c>
      <c r="CQ4618">
        <v>298</v>
      </c>
      <c r="CR4618">
        <v>0</v>
      </c>
      <c r="CW4618">
        <v>10484443</v>
      </c>
      <c r="CY4618">
        <v>0</v>
      </c>
      <c r="CZ4618">
        <v>0</v>
      </c>
      <c r="DA4618">
        <v>1</v>
      </c>
      <c r="DB4618">
        <v>0</v>
      </c>
      <c r="DC4618">
        <v>0</v>
      </c>
      <c r="DD4618">
        <v>0</v>
      </c>
      <c r="DE4618">
        <v>0</v>
      </c>
      <c r="DF4618">
        <v>0</v>
      </c>
      <c r="DG4618">
        <v>0</v>
      </c>
      <c r="DH4618">
        <v>0</v>
      </c>
      <c r="DI4618">
        <v>0</v>
      </c>
    </row>
    <row r="4619" spans="1:113" x14ac:dyDescent="0.25">
      <c r="A4619" t="str">
        <f t="shared" si="2604"/>
        <v>06/05/2020 15:00:35.219</v>
      </c>
      <c r="C4619" t="str">
        <f t="shared" si="2585"/>
        <v>FFDFD3C0</v>
      </c>
      <c r="D4619" t="s">
        <v>148</v>
      </c>
      <c r="E4619">
        <v>8</v>
      </c>
      <c r="H4619">
        <v>50</v>
      </c>
      <c r="I4619" t="s">
        <v>149</v>
      </c>
      <c r="J4619" t="s">
        <v>150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 t="shared" si="2605"/>
        <v>15:00:40.867</v>
      </c>
      <c r="T4619" t="str">
        <f t="shared" si="2605"/>
        <v>15:00:40.867</v>
      </c>
      <c r="U4619" t="str">
        <f t="shared" si="2602"/>
        <v>ACC530</v>
      </c>
      <c r="V4619">
        <v>0</v>
      </c>
      <c r="W4619">
        <v>0</v>
      </c>
      <c r="X4619">
        <v>1</v>
      </c>
      <c r="Z4619">
        <v>0</v>
      </c>
      <c r="AA4619">
        <v>9</v>
      </c>
      <c r="AB4619">
        <v>3</v>
      </c>
      <c r="AC4619">
        <v>0</v>
      </c>
      <c r="AD4619">
        <v>9</v>
      </c>
      <c r="AE4619">
        <v>0</v>
      </c>
      <c r="AF4619">
        <v>3</v>
      </c>
      <c r="AG4619">
        <v>1</v>
      </c>
      <c r="AH4619">
        <v>0</v>
      </c>
      <c r="AI4619" t="s">
        <v>1383</v>
      </c>
      <c r="AJ4619">
        <v>34.072808999999999</v>
      </c>
      <c r="AK4619" t="s">
        <v>1436</v>
      </c>
      <c r="AL4619">
        <v>-117.064476</v>
      </c>
      <c r="AM4619">
        <v>100</v>
      </c>
      <c r="AN4619">
        <v>3800</v>
      </c>
      <c r="AO4619" t="s">
        <v>118</v>
      </c>
      <c r="AP4619">
        <v>-119</v>
      </c>
      <c r="AQ4619">
        <v>-45</v>
      </c>
      <c r="AR4619">
        <v>-1600</v>
      </c>
      <c r="AZ4619">
        <v>1200</v>
      </c>
      <c r="BA4619">
        <v>1</v>
      </c>
      <c r="BB4619" t="str">
        <f t="shared" si="2603"/>
        <v xml:space="preserve">N9217B  </v>
      </c>
      <c r="BC4619">
        <v>1</v>
      </c>
      <c r="BE4619">
        <v>0</v>
      </c>
      <c r="BF4619">
        <v>0</v>
      </c>
      <c r="BG4619">
        <v>0</v>
      </c>
      <c r="BH4619">
        <v>3600</v>
      </c>
      <c r="BI4619">
        <v>1</v>
      </c>
      <c r="BJ4619">
        <v>0</v>
      </c>
      <c r="BK4619">
        <v>0</v>
      </c>
      <c r="BL4619">
        <v>0</v>
      </c>
      <c r="BO4619">
        <v>0</v>
      </c>
      <c r="BP4619">
        <v>0</v>
      </c>
      <c r="BW4619" t="str">
        <f t="shared" si="2606"/>
        <v>15:00:40.874</v>
      </c>
      <c r="CJ4619">
        <v>0</v>
      </c>
      <c r="CK4619">
        <v>2</v>
      </c>
      <c r="CL4619">
        <v>0</v>
      </c>
      <c r="CM4619">
        <v>2</v>
      </c>
      <c r="CN4619">
        <v>0</v>
      </c>
      <c r="CO4619">
        <v>5</v>
      </c>
      <c r="CP4619" t="s">
        <v>119</v>
      </c>
      <c r="CQ4619">
        <v>298</v>
      </c>
      <c r="CR4619">
        <v>0</v>
      </c>
      <c r="CW4619">
        <v>10484443</v>
      </c>
      <c r="CY4619">
        <v>0</v>
      </c>
      <c r="CZ4619">
        <v>0</v>
      </c>
      <c r="DA4619">
        <v>1</v>
      </c>
      <c r="DB4619">
        <v>0</v>
      </c>
      <c r="DC4619">
        <v>0</v>
      </c>
      <c r="DD4619">
        <v>0</v>
      </c>
      <c r="DE4619">
        <v>0</v>
      </c>
      <c r="DF4619">
        <v>0</v>
      </c>
      <c r="DG4619">
        <v>0</v>
      </c>
      <c r="DH4619">
        <v>0</v>
      </c>
      <c r="DI4619">
        <v>0</v>
      </c>
    </row>
    <row r="4620" spans="1:113" x14ac:dyDescent="0.25">
      <c r="A4620" t="str">
        <f t="shared" ref="A4620:A4625" si="2607">"06/05/2020 15:00:36.200"</f>
        <v>06/05/2020 15:00:36.200</v>
      </c>
      <c r="C4620" t="str">
        <f t="shared" si="2585"/>
        <v>FFDFD3C0</v>
      </c>
      <c r="D4620" t="s">
        <v>148</v>
      </c>
      <c r="E4620">
        <v>11</v>
      </c>
      <c r="H4620">
        <v>53</v>
      </c>
      <c r="I4620" t="s">
        <v>364</v>
      </c>
      <c r="J4620" t="s">
        <v>150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 t="shared" ref="S4620:S4625" si="2608">"15:00:41.828"</f>
        <v>15:00:41.828</v>
      </c>
      <c r="T4620" t="str">
        <f t="shared" ref="T4620:T4625" si="2609">"15:00:41.428"</f>
        <v>15:00:41.428</v>
      </c>
      <c r="U4620" t="str">
        <f t="shared" si="2602"/>
        <v>ACC530</v>
      </c>
      <c r="V4620">
        <v>0</v>
      </c>
      <c r="W4620">
        <v>0</v>
      </c>
      <c r="X4620">
        <v>1</v>
      </c>
      <c r="Z4620">
        <v>0</v>
      </c>
      <c r="AA4620">
        <v>9</v>
      </c>
      <c r="AB4620">
        <v>3</v>
      </c>
      <c r="AC4620">
        <v>0</v>
      </c>
      <c r="AD4620">
        <v>9</v>
      </c>
      <c r="AE4620">
        <v>0</v>
      </c>
      <c r="AF4620">
        <v>3</v>
      </c>
      <c r="AG4620">
        <v>1</v>
      </c>
      <c r="AH4620">
        <v>0</v>
      </c>
      <c r="AI4620" t="s">
        <v>1201</v>
      </c>
      <c r="AJ4620">
        <v>34.072615999999996</v>
      </c>
      <c r="AK4620" t="s">
        <v>1437</v>
      </c>
      <c r="AL4620">
        <v>-117.065163</v>
      </c>
      <c r="AM4620">
        <v>100</v>
      </c>
      <c r="AN4620">
        <v>3800</v>
      </c>
      <c r="AO4620" t="s">
        <v>118</v>
      </c>
      <c r="AP4620">
        <v>-119</v>
      </c>
      <c r="AQ4620">
        <v>-46</v>
      </c>
      <c r="AR4620">
        <v>-1472</v>
      </c>
      <c r="AZ4620">
        <v>1200</v>
      </c>
      <c r="BA4620">
        <v>1</v>
      </c>
      <c r="BB4620" t="str">
        <f t="shared" si="2603"/>
        <v xml:space="preserve">N9217B  </v>
      </c>
      <c r="BC4620">
        <v>1</v>
      </c>
      <c r="BE4620">
        <v>0</v>
      </c>
      <c r="BF4620">
        <v>0</v>
      </c>
      <c r="BG4620">
        <v>0</v>
      </c>
      <c r="BH4620">
        <v>3600</v>
      </c>
      <c r="BI4620">
        <v>1</v>
      </c>
      <c r="BJ4620">
        <v>0</v>
      </c>
      <c r="BK4620">
        <v>0</v>
      </c>
      <c r="BL4620">
        <v>0</v>
      </c>
      <c r="BO4620">
        <v>0</v>
      </c>
      <c r="BP4620">
        <v>0</v>
      </c>
      <c r="BW4620" t="str">
        <f t="shared" ref="BW4620:BW4625" si="2610">"15:00:41.834"</f>
        <v>15:00:41.834</v>
      </c>
      <c r="CJ4620">
        <v>0</v>
      </c>
      <c r="CK4620">
        <v>2</v>
      </c>
      <c r="CL4620">
        <v>0</v>
      </c>
      <c r="CM4620">
        <v>2</v>
      </c>
      <c r="CN4620">
        <v>0</v>
      </c>
      <c r="CO4620">
        <v>5</v>
      </c>
      <c r="CP4620" t="s">
        <v>119</v>
      </c>
      <c r="CQ4620">
        <v>298</v>
      </c>
      <c r="CR4620">
        <v>0</v>
      </c>
      <c r="CW4620">
        <v>10484571</v>
      </c>
      <c r="CY4620">
        <v>0</v>
      </c>
      <c r="CZ4620">
        <v>0</v>
      </c>
      <c r="DA4620">
        <v>0</v>
      </c>
      <c r="DB4620">
        <v>0</v>
      </c>
      <c r="DC4620">
        <v>0</v>
      </c>
      <c r="DD4620">
        <v>0</v>
      </c>
      <c r="DE4620">
        <v>0</v>
      </c>
      <c r="DF4620">
        <v>0</v>
      </c>
      <c r="DG4620">
        <v>0</v>
      </c>
      <c r="DH4620">
        <v>0</v>
      </c>
      <c r="DI4620">
        <v>0</v>
      </c>
    </row>
    <row r="4621" spans="1:113" x14ac:dyDescent="0.25">
      <c r="A4621" t="str">
        <f t="shared" si="2607"/>
        <v>06/05/2020 15:00:36.200</v>
      </c>
      <c r="C4621" t="str">
        <f t="shared" si="2585"/>
        <v>FFDFD3C0</v>
      </c>
      <c r="D4621" t="s">
        <v>151</v>
      </c>
      <c r="E4621">
        <v>8</v>
      </c>
      <c r="H4621">
        <v>225</v>
      </c>
      <c r="I4621" t="s">
        <v>353</v>
      </c>
      <c r="J4621" t="s">
        <v>150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 t="shared" si="2608"/>
        <v>15:00:41.828</v>
      </c>
      <c r="T4621" t="str">
        <f t="shared" si="2609"/>
        <v>15:00:41.428</v>
      </c>
      <c r="U4621" t="str">
        <f t="shared" si="2602"/>
        <v>ACC530</v>
      </c>
      <c r="V4621">
        <v>0</v>
      </c>
      <c r="W4621">
        <v>0</v>
      </c>
      <c r="X4621">
        <v>1</v>
      </c>
      <c r="Z4621">
        <v>0</v>
      </c>
      <c r="AA4621">
        <v>9</v>
      </c>
      <c r="AB4621">
        <v>3</v>
      </c>
      <c r="AC4621">
        <v>0</v>
      </c>
      <c r="AD4621">
        <v>9</v>
      </c>
      <c r="AE4621">
        <v>0</v>
      </c>
      <c r="AF4621">
        <v>3</v>
      </c>
      <c r="AG4621">
        <v>1</v>
      </c>
      <c r="AH4621">
        <v>0</v>
      </c>
      <c r="AI4621" t="s">
        <v>1201</v>
      </c>
      <c r="AJ4621">
        <v>34.072615999999996</v>
      </c>
      <c r="AK4621" t="s">
        <v>1437</v>
      </c>
      <c r="AL4621">
        <v>-117.065163</v>
      </c>
      <c r="AM4621">
        <v>100</v>
      </c>
      <c r="AN4621">
        <v>3800</v>
      </c>
      <c r="AO4621" t="s">
        <v>118</v>
      </c>
      <c r="AP4621">
        <v>-119</v>
      </c>
      <c r="AQ4621">
        <v>-46</v>
      </c>
      <c r="AR4621">
        <v>-1472</v>
      </c>
      <c r="AZ4621">
        <v>1200</v>
      </c>
      <c r="BA4621">
        <v>1</v>
      </c>
      <c r="BB4621" t="str">
        <f t="shared" si="2603"/>
        <v xml:space="preserve">N9217B  </v>
      </c>
      <c r="BC4621">
        <v>1</v>
      </c>
      <c r="BE4621">
        <v>0</v>
      </c>
      <c r="BF4621">
        <v>0</v>
      </c>
      <c r="BG4621">
        <v>0</v>
      </c>
      <c r="BH4621">
        <v>3600</v>
      </c>
      <c r="BI4621">
        <v>1</v>
      </c>
      <c r="BJ4621">
        <v>0</v>
      </c>
      <c r="BK4621">
        <v>0</v>
      </c>
      <c r="BL4621">
        <v>0</v>
      </c>
      <c r="BO4621">
        <v>0</v>
      </c>
      <c r="BP4621">
        <v>0</v>
      </c>
      <c r="BW4621" t="str">
        <f t="shared" si="2610"/>
        <v>15:00:41.834</v>
      </c>
      <c r="CJ4621">
        <v>0</v>
      </c>
      <c r="CK4621">
        <v>2</v>
      </c>
      <c r="CL4621">
        <v>0</v>
      </c>
      <c r="CM4621">
        <v>2</v>
      </c>
      <c r="CN4621">
        <v>0</v>
      </c>
      <c r="CO4621">
        <v>5</v>
      </c>
      <c r="CP4621" t="s">
        <v>119</v>
      </c>
      <c r="CQ4621">
        <v>298</v>
      </c>
      <c r="CR4621">
        <v>0</v>
      </c>
      <c r="CW4621">
        <v>10484571</v>
      </c>
      <c r="CY4621">
        <v>0</v>
      </c>
      <c r="CZ4621">
        <v>0</v>
      </c>
      <c r="DA4621">
        <v>1</v>
      </c>
      <c r="DB4621">
        <v>0</v>
      </c>
      <c r="DC4621">
        <v>0</v>
      </c>
      <c r="DD4621">
        <v>0</v>
      </c>
      <c r="DE4621">
        <v>0</v>
      </c>
      <c r="DF4621">
        <v>0</v>
      </c>
      <c r="DG4621">
        <v>0</v>
      </c>
      <c r="DH4621">
        <v>0</v>
      </c>
      <c r="DI4621">
        <v>0</v>
      </c>
    </row>
    <row r="4622" spans="1:113" x14ac:dyDescent="0.25">
      <c r="A4622" t="str">
        <f t="shared" si="2607"/>
        <v>06/05/2020 15:00:36.200</v>
      </c>
      <c r="C4622" t="str">
        <f t="shared" si="2585"/>
        <v>FFDFD3C0</v>
      </c>
      <c r="D4622" t="s">
        <v>148</v>
      </c>
      <c r="E4622">
        <v>8</v>
      </c>
      <c r="H4622">
        <v>50</v>
      </c>
      <c r="I4622" t="s">
        <v>149</v>
      </c>
      <c r="J4622" t="s">
        <v>150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 t="shared" si="2608"/>
        <v>15:00:41.828</v>
      </c>
      <c r="T4622" t="str">
        <f t="shared" si="2609"/>
        <v>15:00:41.428</v>
      </c>
      <c r="U4622" t="str">
        <f t="shared" si="2602"/>
        <v>ACC530</v>
      </c>
      <c r="V4622">
        <v>0</v>
      </c>
      <c r="W4622">
        <v>0</v>
      </c>
      <c r="X4622">
        <v>1</v>
      </c>
      <c r="Z4622">
        <v>0</v>
      </c>
      <c r="AA4622">
        <v>9</v>
      </c>
      <c r="AB4622">
        <v>3</v>
      </c>
      <c r="AC4622">
        <v>0</v>
      </c>
      <c r="AD4622">
        <v>9</v>
      </c>
      <c r="AE4622">
        <v>0</v>
      </c>
      <c r="AF4622">
        <v>3</v>
      </c>
      <c r="AG4622">
        <v>1</v>
      </c>
      <c r="AH4622">
        <v>0</v>
      </c>
      <c r="AI4622" t="s">
        <v>1201</v>
      </c>
      <c r="AJ4622">
        <v>34.072615999999996</v>
      </c>
      <c r="AK4622" t="s">
        <v>1437</v>
      </c>
      <c r="AL4622">
        <v>-117.065163</v>
      </c>
      <c r="AM4622">
        <v>100</v>
      </c>
      <c r="AN4622">
        <v>3800</v>
      </c>
      <c r="AO4622" t="s">
        <v>118</v>
      </c>
      <c r="AP4622">
        <v>-119</v>
      </c>
      <c r="AQ4622">
        <v>-46</v>
      </c>
      <c r="AR4622">
        <v>-1472</v>
      </c>
      <c r="AZ4622">
        <v>1200</v>
      </c>
      <c r="BA4622">
        <v>1</v>
      </c>
      <c r="BB4622" t="str">
        <f t="shared" si="2603"/>
        <v xml:space="preserve">N9217B  </v>
      </c>
      <c r="BC4622">
        <v>1</v>
      </c>
      <c r="BE4622">
        <v>0</v>
      </c>
      <c r="BF4622">
        <v>0</v>
      </c>
      <c r="BG4622">
        <v>0</v>
      </c>
      <c r="BH4622">
        <v>3600</v>
      </c>
      <c r="BI4622">
        <v>1</v>
      </c>
      <c r="BJ4622">
        <v>0</v>
      </c>
      <c r="BK4622">
        <v>0</v>
      </c>
      <c r="BL4622">
        <v>0</v>
      </c>
      <c r="BO4622">
        <v>0</v>
      </c>
      <c r="BP4622">
        <v>0</v>
      </c>
      <c r="BW4622" t="str">
        <f t="shared" si="2610"/>
        <v>15:00:41.834</v>
      </c>
      <c r="CJ4622">
        <v>0</v>
      </c>
      <c r="CK4622">
        <v>2</v>
      </c>
      <c r="CL4622">
        <v>0</v>
      </c>
      <c r="CM4622">
        <v>2</v>
      </c>
      <c r="CN4622">
        <v>0</v>
      </c>
      <c r="CO4622">
        <v>5</v>
      </c>
      <c r="CP4622" t="s">
        <v>119</v>
      </c>
      <c r="CQ4622">
        <v>298</v>
      </c>
      <c r="CR4622">
        <v>0</v>
      </c>
      <c r="CW4622">
        <v>10484571</v>
      </c>
      <c r="CY4622">
        <v>0</v>
      </c>
      <c r="CZ4622">
        <v>0</v>
      </c>
      <c r="DA4622">
        <v>1</v>
      </c>
      <c r="DB4622">
        <v>0</v>
      </c>
      <c r="DC4622">
        <v>0</v>
      </c>
      <c r="DD4622">
        <v>0</v>
      </c>
      <c r="DE4622">
        <v>0</v>
      </c>
      <c r="DF4622">
        <v>0</v>
      </c>
      <c r="DG4622">
        <v>0</v>
      </c>
      <c r="DH4622">
        <v>0</v>
      </c>
      <c r="DI4622">
        <v>0</v>
      </c>
    </row>
    <row r="4623" spans="1:113" x14ac:dyDescent="0.25">
      <c r="A4623" t="str">
        <f t="shared" si="2607"/>
        <v>06/05/2020 15:00:36.200</v>
      </c>
      <c r="C4623" t="str">
        <f t="shared" si="2585"/>
        <v>FFDFD3C0</v>
      </c>
      <c r="D4623" t="s">
        <v>141</v>
      </c>
      <c r="E4623">
        <v>20</v>
      </c>
      <c r="F4623">
        <v>1020</v>
      </c>
      <c r="G4623" t="s">
        <v>114</v>
      </c>
      <c r="J4623" t="s">
        <v>142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 t="shared" si="2608"/>
        <v>15:00:41.828</v>
      </c>
      <c r="T4623" t="str">
        <f t="shared" si="2609"/>
        <v>15:00:41.428</v>
      </c>
      <c r="U4623" t="str">
        <f t="shared" si="2602"/>
        <v>ACC530</v>
      </c>
      <c r="V4623">
        <v>0</v>
      </c>
      <c r="W4623">
        <v>0</v>
      </c>
      <c r="X4623">
        <v>1</v>
      </c>
      <c r="Z4623">
        <v>0</v>
      </c>
      <c r="AA4623">
        <v>9</v>
      </c>
      <c r="AB4623">
        <v>3</v>
      </c>
      <c r="AC4623">
        <v>0</v>
      </c>
      <c r="AD4623">
        <v>9</v>
      </c>
      <c r="AE4623">
        <v>0</v>
      </c>
      <c r="AF4623">
        <v>3</v>
      </c>
      <c r="AG4623">
        <v>1</v>
      </c>
      <c r="AH4623">
        <v>0</v>
      </c>
      <c r="AI4623" t="s">
        <v>1201</v>
      </c>
      <c r="AJ4623">
        <v>34.072615999999996</v>
      </c>
      <c r="AK4623" t="s">
        <v>1437</v>
      </c>
      <c r="AL4623">
        <v>-117.065163</v>
      </c>
      <c r="AM4623">
        <v>100</v>
      </c>
      <c r="AN4623">
        <v>3800</v>
      </c>
      <c r="AO4623" t="s">
        <v>118</v>
      </c>
      <c r="AP4623">
        <v>-119</v>
      </c>
      <c r="AQ4623">
        <v>-46</v>
      </c>
      <c r="AR4623">
        <v>-1472</v>
      </c>
      <c r="AZ4623">
        <v>1200</v>
      </c>
      <c r="BA4623">
        <v>1</v>
      </c>
      <c r="BB4623" t="str">
        <f t="shared" si="2603"/>
        <v xml:space="preserve">N9217B  </v>
      </c>
      <c r="BC4623">
        <v>1</v>
      </c>
      <c r="BE4623">
        <v>0</v>
      </c>
      <c r="BF4623">
        <v>0</v>
      </c>
      <c r="BG4623">
        <v>0</v>
      </c>
      <c r="BH4623">
        <v>3600</v>
      </c>
      <c r="BI4623">
        <v>1</v>
      </c>
      <c r="BJ4623">
        <v>0</v>
      </c>
      <c r="BK4623">
        <v>0</v>
      </c>
      <c r="BL4623">
        <v>0</v>
      </c>
      <c r="BO4623">
        <v>0</v>
      </c>
      <c r="BP4623">
        <v>0</v>
      </c>
      <c r="BW4623" t="str">
        <f t="shared" si="2610"/>
        <v>15:00:41.834</v>
      </c>
      <c r="CJ4623">
        <v>0</v>
      </c>
      <c r="CK4623">
        <v>2</v>
      </c>
      <c r="CL4623">
        <v>0</v>
      </c>
      <c r="CM4623">
        <v>2</v>
      </c>
      <c r="CN4623">
        <v>0</v>
      </c>
      <c r="CO4623">
        <v>5</v>
      </c>
      <c r="CP4623" t="s">
        <v>119</v>
      </c>
      <c r="CQ4623">
        <v>298</v>
      </c>
      <c r="CR4623">
        <v>0</v>
      </c>
      <c r="CW4623">
        <v>10484571</v>
      </c>
      <c r="CY4623">
        <v>0</v>
      </c>
      <c r="CZ4623">
        <v>0</v>
      </c>
      <c r="DA4623">
        <v>1</v>
      </c>
      <c r="DB4623">
        <v>0</v>
      </c>
      <c r="DC4623">
        <v>0</v>
      </c>
      <c r="DD4623">
        <v>0</v>
      </c>
      <c r="DE4623">
        <v>0</v>
      </c>
      <c r="DF4623">
        <v>0</v>
      </c>
      <c r="DG4623">
        <v>0</v>
      </c>
      <c r="DH4623">
        <v>0</v>
      </c>
      <c r="DI4623">
        <v>0</v>
      </c>
    </row>
    <row r="4624" spans="1:113" x14ac:dyDescent="0.25">
      <c r="A4624" t="str">
        <f t="shared" si="2607"/>
        <v>06/05/2020 15:00:36.200</v>
      </c>
      <c r="C4624" t="str">
        <f t="shared" si="2585"/>
        <v>FFDFD3C0</v>
      </c>
      <c r="D4624" t="s">
        <v>134</v>
      </c>
      <c r="E4624">
        <v>7</v>
      </c>
      <c r="F4624">
        <v>2007</v>
      </c>
      <c r="G4624" t="s">
        <v>135</v>
      </c>
      <c r="J4624" t="s">
        <v>136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 t="shared" si="2608"/>
        <v>15:00:41.828</v>
      </c>
      <c r="T4624" t="str">
        <f t="shared" si="2609"/>
        <v>15:00:41.428</v>
      </c>
      <c r="U4624" t="str">
        <f t="shared" si="2602"/>
        <v>ACC530</v>
      </c>
      <c r="V4624">
        <v>0</v>
      </c>
      <c r="W4624">
        <v>0</v>
      </c>
      <c r="X4624">
        <v>1</v>
      </c>
      <c r="Z4624">
        <v>0</v>
      </c>
      <c r="AA4624">
        <v>9</v>
      </c>
      <c r="AB4624">
        <v>3</v>
      </c>
      <c r="AC4624">
        <v>0</v>
      </c>
      <c r="AD4624">
        <v>9</v>
      </c>
      <c r="AE4624">
        <v>0</v>
      </c>
      <c r="AF4624">
        <v>3</v>
      </c>
      <c r="AG4624">
        <v>1</v>
      </c>
      <c r="AH4624">
        <v>0</v>
      </c>
      <c r="AI4624" t="s">
        <v>1201</v>
      </c>
      <c r="AJ4624">
        <v>34.072615999999996</v>
      </c>
      <c r="AK4624" t="s">
        <v>1437</v>
      </c>
      <c r="AL4624">
        <v>-117.065163</v>
      </c>
      <c r="AM4624">
        <v>100</v>
      </c>
      <c r="AN4624">
        <v>3800</v>
      </c>
      <c r="AO4624" t="s">
        <v>118</v>
      </c>
      <c r="AP4624">
        <v>-119</v>
      </c>
      <c r="AQ4624">
        <v>-46</v>
      </c>
      <c r="AR4624">
        <v>-1472</v>
      </c>
      <c r="AZ4624">
        <v>1200</v>
      </c>
      <c r="BA4624">
        <v>1</v>
      </c>
      <c r="BB4624" t="str">
        <f t="shared" si="2603"/>
        <v xml:space="preserve">N9217B  </v>
      </c>
      <c r="BC4624">
        <v>1</v>
      </c>
      <c r="BE4624">
        <v>0</v>
      </c>
      <c r="BF4624">
        <v>0</v>
      </c>
      <c r="BG4624">
        <v>0</v>
      </c>
      <c r="BH4624">
        <v>3600</v>
      </c>
      <c r="BI4624">
        <v>1</v>
      </c>
      <c r="BJ4624">
        <v>0</v>
      </c>
      <c r="BK4624">
        <v>0</v>
      </c>
      <c r="BL4624">
        <v>0</v>
      </c>
      <c r="BO4624">
        <v>0</v>
      </c>
      <c r="BP4624">
        <v>0</v>
      </c>
      <c r="BW4624" t="str">
        <f t="shared" si="2610"/>
        <v>15:00:41.834</v>
      </c>
      <c r="CJ4624">
        <v>0</v>
      </c>
      <c r="CK4624">
        <v>2</v>
      </c>
      <c r="CL4624">
        <v>0</v>
      </c>
      <c r="CM4624">
        <v>2</v>
      </c>
      <c r="CN4624">
        <v>0</v>
      </c>
      <c r="CO4624">
        <v>5</v>
      </c>
      <c r="CP4624" t="s">
        <v>119</v>
      </c>
      <c r="CQ4624">
        <v>298</v>
      </c>
      <c r="CR4624">
        <v>0</v>
      </c>
      <c r="CW4624">
        <v>10484571</v>
      </c>
      <c r="CY4624">
        <v>0</v>
      </c>
      <c r="CZ4624">
        <v>0</v>
      </c>
      <c r="DA4624">
        <v>1</v>
      </c>
      <c r="DB4624">
        <v>0</v>
      </c>
      <c r="DC4624">
        <v>0</v>
      </c>
      <c r="DD4624">
        <v>0</v>
      </c>
      <c r="DE4624">
        <v>0</v>
      </c>
      <c r="DF4624">
        <v>0</v>
      </c>
      <c r="DG4624">
        <v>0</v>
      </c>
      <c r="DH4624">
        <v>0</v>
      </c>
      <c r="DI4624">
        <v>0</v>
      </c>
    </row>
    <row r="4625" spans="1:113" x14ac:dyDescent="0.25">
      <c r="A4625" t="str">
        <f t="shared" si="2607"/>
        <v>06/05/2020 15:00:36.200</v>
      </c>
      <c r="C4625" t="str">
        <f t="shared" si="2585"/>
        <v>FFDFD3C0</v>
      </c>
      <c r="D4625" t="s">
        <v>113</v>
      </c>
      <c r="E4625">
        <v>3</v>
      </c>
      <c r="H4625">
        <v>166</v>
      </c>
      <c r="I4625" t="s">
        <v>114</v>
      </c>
      <c r="J4625" t="s">
        <v>115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 t="shared" si="2608"/>
        <v>15:00:41.828</v>
      </c>
      <c r="T4625" t="str">
        <f t="shared" si="2609"/>
        <v>15:00:41.428</v>
      </c>
      <c r="U4625" t="str">
        <f t="shared" si="2602"/>
        <v>ACC530</v>
      </c>
      <c r="V4625">
        <v>0</v>
      </c>
      <c r="W4625">
        <v>0</v>
      </c>
      <c r="X4625">
        <v>1</v>
      </c>
      <c r="Z4625">
        <v>0</v>
      </c>
      <c r="AA4625">
        <v>9</v>
      </c>
      <c r="AB4625">
        <v>3</v>
      </c>
      <c r="AC4625">
        <v>0</v>
      </c>
      <c r="AD4625">
        <v>9</v>
      </c>
      <c r="AE4625">
        <v>0</v>
      </c>
      <c r="AF4625">
        <v>3</v>
      </c>
      <c r="AG4625">
        <v>1</v>
      </c>
      <c r="AH4625">
        <v>0</v>
      </c>
      <c r="AI4625" t="s">
        <v>1201</v>
      </c>
      <c r="AJ4625">
        <v>34.072615999999996</v>
      </c>
      <c r="AK4625" t="s">
        <v>1437</v>
      </c>
      <c r="AL4625">
        <v>-117.065163</v>
      </c>
      <c r="AM4625">
        <v>100</v>
      </c>
      <c r="AN4625">
        <v>3800</v>
      </c>
      <c r="AO4625" t="s">
        <v>118</v>
      </c>
      <c r="AP4625">
        <v>-119</v>
      </c>
      <c r="AQ4625">
        <v>-46</v>
      </c>
      <c r="AR4625">
        <v>-1472</v>
      </c>
      <c r="AZ4625">
        <v>1200</v>
      </c>
      <c r="BA4625">
        <v>1</v>
      </c>
      <c r="BB4625" t="str">
        <f t="shared" si="2603"/>
        <v xml:space="preserve">N9217B  </v>
      </c>
      <c r="BC4625">
        <v>1</v>
      </c>
      <c r="BE4625">
        <v>0</v>
      </c>
      <c r="BF4625">
        <v>0</v>
      </c>
      <c r="BG4625">
        <v>0</v>
      </c>
      <c r="BH4625">
        <v>3600</v>
      </c>
      <c r="BI4625">
        <v>1</v>
      </c>
      <c r="BJ4625">
        <v>0</v>
      </c>
      <c r="BK4625">
        <v>0</v>
      </c>
      <c r="BL4625">
        <v>0</v>
      </c>
      <c r="BO4625">
        <v>0</v>
      </c>
      <c r="BP4625">
        <v>0</v>
      </c>
      <c r="BW4625" t="str">
        <f t="shared" si="2610"/>
        <v>15:00:41.834</v>
      </c>
      <c r="CJ4625">
        <v>0</v>
      </c>
      <c r="CK4625">
        <v>2</v>
      </c>
      <c r="CL4625">
        <v>0</v>
      </c>
      <c r="CM4625">
        <v>2</v>
      </c>
      <c r="CN4625">
        <v>0</v>
      </c>
      <c r="CO4625">
        <v>5</v>
      </c>
      <c r="CP4625" t="s">
        <v>119</v>
      </c>
      <c r="CQ4625">
        <v>298</v>
      </c>
      <c r="CR4625">
        <v>0</v>
      </c>
      <c r="CW4625">
        <v>10484571</v>
      </c>
      <c r="CY4625">
        <v>0</v>
      </c>
      <c r="CZ4625">
        <v>0</v>
      </c>
      <c r="DA4625">
        <v>1</v>
      </c>
      <c r="DB4625">
        <v>0</v>
      </c>
      <c r="DC4625">
        <v>0</v>
      </c>
      <c r="DD4625">
        <v>0</v>
      </c>
      <c r="DE4625">
        <v>0</v>
      </c>
      <c r="DF4625">
        <v>0</v>
      </c>
      <c r="DG4625">
        <v>0</v>
      </c>
      <c r="DH4625">
        <v>0</v>
      </c>
      <c r="DI4625">
        <v>0</v>
      </c>
    </row>
    <row r="4626" spans="1:113" x14ac:dyDescent="0.25">
      <c r="A4626" t="str">
        <f t="shared" ref="A4626:A4631" si="2611">"06/05/2020 15:00:37.135"</f>
        <v>06/05/2020 15:00:37.135</v>
      </c>
      <c r="C4626" t="str">
        <f t="shared" si="2585"/>
        <v>FFDFD3C0</v>
      </c>
      <c r="D4626" t="s">
        <v>141</v>
      </c>
      <c r="E4626">
        <v>20</v>
      </c>
      <c r="F4626">
        <v>1020</v>
      </c>
      <c r="G4626" t="s">
        <v>114</v>
      </c>
      <c r="J4626" t="s">
        <v>142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 t="shared" ref="S4626:S4631" si="2612">"15:00:42.758"</f>
        <v>15:00:42.758</v>
      </c>
      <c r="T4626" t="str">
        <f t="shared" ref="T4626:T4631" si="2613">"15:00:42.458"</f>
        <v>15:00:42.458</v>
      </c>
      <c r="U4626" t="str">
        <f t="shared" si="2602"/>
        <v>ACC530</v>
      </c>
      <c r="V4626">
        <v>0</v>
      </c>
      <c r="W4626">
        <v>0</v>
      </c>
      <c r="X4626">
        <v>1</v>
      </c>
      <c r="Z4626">
        <v>0</v>
      </c>
      <c r="AA4626">
        <v>9</v>
      </c>
      <c r="AB4626">
        <v>3</v>
      </c>
      <c r="AC4626">
        <v>0</v>
      </c>
      <c r="AD4626">
        <v>9</v>
      </c>
      <c r="AE4626">
        <v>0</v>
      </c>
      <c r="AF4626">
        <v>3</v>
      </c>
      <c r="AG4626">
        <v>1</v>
      </c>
      <c r="AH4626">
        <v>0</v>
      </c>
      <c r="AI4626" t="s">
        <v>1377</v>
      </c>
      <c r="AJ4626">
        <v>34.072401999999997</v>
      </c>
      <c r="AK4626" t="s">
        <v>1438</v>
      </c>
      <c r="AL4626">
        <v>-117.065721</v>
      </c>
      <c r="AM4626">
        <v>100</v>
      </c>
      <c r="AN4626">
        <v>3800</v>
      </c>
      <c r="AO4626" t="s">
        <v>118</v>
      </c>
      <c r="AP4626">
        <v>-118</v>
      </c>
      <c r="AQ4626">
        <v>-48</v>
      </c>
      <c r="AR4626">
        <v>-1536</v>
      </c>
      <c r="AZ4626">
        <v>1200</v>
      </c>
      <c r="BA4626">
        <v>1</v>
      </c>
      <c r="BB4626" t="str">
        <f t="shared" si="2603"/>
        <v xml:space="preserve">N9217B  </v>
      </c>
      <c r="BC4626">
        <v>1</v>
      </c>
      <c r="BE4626">
        <v>0</v>
      </c>
      <c r="BF4626">
        <v>0</v>
      </c>
      <c r="BG4626">
        <v>0</v>
      </c>
      <c r="BH4626">
        <v>3575</v>
      </c>
      <c r="BI4626">
        <v>1</v>
      </c>
      <c r="BJ4626">
        <v>0</v>
      </c>
      <c r="BK4626">
        <v>0</v>
      </c>
      <c r="BL4626">
        <v>0</v>
      </c>
      <c r="BO4626">
        <v>0</v>
      </c>
      <c r="BP4626">
        <v>0</v>
      </c>
      <c r="BW4626" t="str">
        <f t="shared" ref="BW4626:BW4631" si="2614">"15:00:42.764"</f>
        <v>15:00:42.764</v>
      </c>
      <c r="CJ4626">
        <v>0</v>
      </c>
      <c r="CK4626">
        <v>2</v>
      </c>
      <c r="CL4626">
        <v>0</v>
      </c>
      <c r="CM4626">
        <v>2</v>
      </c>
      <c r="CN4626">
        <v>0</v>
      </c>
      <c r="CO4626">
        <v>5</v>
      </c>
      <c r="CP4626" t="s">
        <v>119</v>
      </c>
      <c r="CQ4626">
        <v>298</v>
      </c>
      <c r="CR4626">
        <v>0</v>
      </c>
      <c r="CW4626">
        <v>10484689</v>
      </c>
      <c r="CY4626">
        <v>0</v>
      </c>
      <c r="CZ4626">
        <v>0</v>
      </c>
      <c r="DA4626">
        <v>0</v>
      </c>
      <c r="DB4626">
        <v>0</v>
      </c>
      <c r="DC4626">
        <v>0</v>
      </c>
      <c r="DD4626">
        <v>0</v>
      </c>
      <c r="DE4626">
        <v>0</v>
      </c>
      <c r="DF4626">
        <v>0</v>
      </c>
      <c r="DG4626">
        <v>0</v>
      </c>
      <c r="DH4626">
        <v>0</v>
      </c>
      <c r="DI4626">
        <v>0</v>
      </c>
    </row>
    <row r="4627" spans="1:113" x14ac:dyDescent="0.25">
      <c r="A4627" t="str">
        <f t="shared" si="2611"/>
        <v>06/05/2020 15:00:37.135</v>
      </c>
      <c r="C4627" t="str">
        <f t="shared" si="2585"/>
        <v>FFDFD3C0</v>
      </c>
      <c r="D4627" t="s">
        <v>134</v>
      </c>
      <c r="E4627">
        <v>7</v>
      </c>
      <c r="F4627">
        <v>2007</v>
      </c>
      <c r="G4627" t="s">
        <v>135</v>
      </c>
      <c r="J4627" t="s">
        <v>136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 t="shared" si="2612"/>
        <v>15:00:42.758</v>
      </c>
      <c r="T4627" t="str">
        <f t="shared" si="2613"/>
        <v>15:00:42.458</v>
      </c>
      <c r="U4627" t="str">
        <f t="shared" si="2602"/>
        <v>ACC530</v>
      </c>
      <c r="V4627">
        <v>0</v>
      </c>
      <c r="W4627">
        <v>0</v>
      </c>
      <c r="X4627">
        <v>1</v>
      </c>
      <c r="Z4627">
        <v>0</v>
      </c>
      <c r="AA4627">
        <v>9</v>
      </c>
      <c r="AB4627">
        <v>3</v>
      </c>
      <c r="AC4627">
        <v>0</v>
      </c>
      <c r="AD4627">
        <v>9</v>
      </c>
      <c r="AE4627">
        <v>0</v>
      </c>
      <c r="AF4627">
        <v>3</v>
      </c>
      <c r="AG4627">
        <v>1</v>
      </c>
      <c r="AH4627">
        <v>0</v>
      </c>
      <c r="AI4627" t="s">
        <v>1377</v>
      </c>
      <c r="AJ4627">
        <v>34.072401999999997</v>
      </c>
      <c r="AK4627" t="s">
        <v>1438</v>
      </c>
      <c r="AL4627">
        <v>-117.065721</v>
      </c>
      <c r="AM4627">
        <v>100</v>
      </c>
      <c r="AN4627">
        <v>3800</v>
      </c>
      <c r="AO4627" t="s">
        <v>118</v>
      </c>
      <c r="AP4627">
        <v>-118</v>
      </c>
      <c r="AQ4627">
        <v>-48</v>
      </c>
      <c r="AR4627">
        <v>-1536</v>
      </c>
      <c r="AZ4627">
        <v>1200</v>
      </c>
      <c r="BA4627">
        <v>1</v>
      </c>
      <c r="BB4627" t="str">
        <f t="shared" si="2603"/>
        <v xml:space="preserve">N9217B  </v>
      </c>
      <c r="BC4627">
        <v>1</v>
      </c>
      <c r="BE4627">
        <v>0</v>
      </c>
      <c r="BF4627">
        <v>0</v>
      </c>
      <c r="BG4627">
        <v>0</v>
      </c>
      <c r="BH4627">
        <v>3575</v>
      </c>
      <c r="BI4627">
        <v>1</v>
      </c>
      <c r="BJ4627">
        <v>0</v>
      </c>
      <c r="BK4627">
        <v>0</v>
      </c>
      <c r="BL4627">
        <v>0</v>
      </c>
      <c r="BO4627">
        <v>0</v>
      </c>
      <c r="BP4627">
        <v>0</v>
      </c>
      <c r="BW4627" t="str">
        <f t="shared" si="2614"/>
        <v>15:00:42.764</v>
      </c>
      <c r="CJ4627">
        <v>0</v>
      </c>
      <c r="CK4627">
        <v>2</v>
      </c>
      <c r="CL4627">
        <v>0</v>
      </c>
      <c r="CM4627">
        <v>2</v>
      </c>
      <c r="CN4627">
        <v>0</v>
      </c>
      <c r="CO4627">
        <v>5</v>
      </c>
      <c r="CP4627" t="s">
        <v>119</v>
      </c>
      <c r="CQ4627">
        <v>298</v>
      </c>
      <c r="CR4627">
        <v>0</v>
      </c>
      <c r="CW4627">
        <v>10484689</v>
      </c>
      <c r="CY4627">
        <v>0</v>
      </c>
      <c r="CZ4627">
        <v>0</v>
      </c>
      <c r="DA4627">
        <v>1</v>
      </c>
      <c r="DB4627">
        <v>0</v>
      </c>
      <c r="DC4627">
        <v>0</v>
      </c>
      <c r="DD4627">
        <v>0</v>
      </c>
      <c r="DE4627">
        <v>0</v>
      </c>
      <c r="DF4627">
        <v>0</v>
      </c>
      <c r="DG4627">
        <v>0</v>
      </c>
      <c r="DH4627">
        <v>0</v>
      </c>
      <c r="DI4627">
        <v>0</v>
      </c>
    </row>
    <row r="4628" spans="1:113" x14ac:dyDescent="0.25">
      <c r="A4628" t="str">
        <f t="shared" si="2611"/>
        <v>06/05/2020 15:00:37.135</v>
      </c>
      <c r="C4628" t="str">
        <f t="shared" si="2585"/>
        <v>FFDFD3C0</v>
      </c>
      <c r="D4628" t="s">
        <v>113</v>
      </c>
      <c r="E4628">
        <v>3</v>
      </c>
      <c r="H4628">
        <v>166</v>
      </c>
      <c r="I4628" t="s">
        <v>114</v>
      </c>
      <c r="J4628" t="s">
        <v>115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 t="shared" si="2612"/>
        <v>15:00:42.758</v>
      </c>
      <c r="T4628" t="str">
        <f t="shared" si="2613"/>
        <v>15:00:42.458</v>
      </c>
      <c r="U4628" t="str">
        <f t="shared" si="2602"/>
        <v>ACC530</v>
      </c>
      <c r="V4628">
        <v>0</v>
      </c>
      <c r="W4628">
        <v>0</v>
      </c>
      <c r="X4628">
        <v>1</v>
      </c>
      <c r="Z4628">
        <v>0</v>
      </c>
      <c r="AA4628">
        <v>9</v>
      </c>
      <c r="AB4628">
        <v>3</v>
      </c>
      <c r="AC4628">
        <v>0</v>
      </c>
      <c r="AD4628">
        <v>9</v>
      </c>
      <c r="AE4628">
        <v>0</v>
      </c>
      <c r="AF4628">
        <v>3</v>
      </c>
      <c r="AG4628">
        <v>1</v>
      </c>
      <c r="AH4628">
        <v>0</v>
      </c>
      <c r="AI4628" t="s">
        <v>1377</v>
      </c>
      <c r="AJ4628">
        <v>34.072401999999997</v>
      </c>
      <c r="AK4628" t="s">
        <v>1438</v>
      </c>
      <c r="AL4628">
        <v>-117.065721</v>
      </c>
      <c r="AM4628">
        <v>100</v>
      </c>
      <c r="AN4628">
        <v>3800</v>
      </c>
      <c r="AO4628" t="s">
        <v>118</v>
      </c>
      <c r="AP4628">
        <v>-118</v>
      </c>
      <c r="AQ4628">
        <v>-48</v>
      </c>
      <c r="AR4628">
        <v>-1536</v>
      </c>
      <c r="AZ4628">
        <v>1200</v>
      </c>
      <c r="BA4628">
        <v>1</v>
      </c>
      <c r="BB4628" t="str">
        <f t="shared" si="2603"/>
        <v xml:space="preserve">N9217B  </v>
      </c>
      <c r="BC4628">
        <v>1</v>
      </c>
      <c r="BE4628">
        <v>0</v>
      </c>
      <c r="BF4628">
        <v>0</v>
      </c>
      <c r="BG4628">
        <v>0</v>
      </c>
      <c r="BH4628">
        <v>3575</v>
      </c>
      <c r="BI4628">
        <v>1</v>
      </c>
      <c r="BJ4628">
        <v>0</v>
      </c>
      <c r="BK4628">
        <v>0</v>
      </c>
      <c r="BL4628">
        <v>0</v>
      </c>
      <c r="BO4628">
        <v>0</v>
      </c>
      <c r="BP4628">
        <v>0</v>
      </c>
      <c r="BW4628" t="str">
        <f t="shared" si="2614"/>
        <v>15:00:42.764</v>
      </c>
      <c r="CJ4628">
        <v>0</v>
      </c>
      <c r="CK4628">
        <v>2</v>
      </c>
      <c r="CL4628">
        <v>0</v>
      </c>
      <c r="CM4628">
        <v>2</v>
      </c>
      <c r="CN4628">
        <v>0</v>
      </c>
      <c r="CO4628">
        <v>5</v>
      </c>
      <c r="CP4628" t="s">
        <v>119</v>
      </c>
      <c r="CQ4628">
        <v>298</v>
      </c>
      <c r="CR4628">
        <v>0</v>
      </c>
      <c r="CW4628">
        <v>10484689</v>
      </c>
      <c r="CY4628">
        <v>0</v>
      </c>
      <c r="CZ4628">
        <v>0</v>
      </c>
      <c r="DA4628">
        <v>1</v>
      </c>
      <c r="DB4628">
        <v>0</v>
      </c>
      <c r="DC4628">
        <v>0</v>
      </c>
      <c r="DD4628">
        <v>0</v>
      </c>
      <c r="DE4628">
        <v>0</v>
      </c>
      <c r="DF4628">
        <v>0</v>
      </c>
      <c r="DG4628">
        <v>0</v>
      </c>
      <c r="DH4628">
        <v>0</v>
      </c>
      <c r="DI4628">
        <v>0</v>
      </c>
    </row>
    <row r="4629" spans="1:113" x14ac:dyDescent="0.25">
      <c r="A4629" t="str">
        <f t="shared" si="2611"/>
        <v>06/05/2020 15:00:37.135</v>
      </c>
      <c r="C4629" t="str">
        <f t="shared" si="2585"/>
        <v>FFDFD3C0</v>
      </c>
      <c r="D4629" t="s">
        <v>148</v>
      </c>
      <c r="E4629">
        <v>11</v>
      </c>
      <c r="H4629">
        <v>53</v>
      </c>
      <c r="I4629" t="s">
        <v>364</v>
      </c>
      <c r="J4629" t="s">
        <v>150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 t="shared" si="2612"/>
        <v>15:00:42.758</v>
      </c>
      <c r="T4629" t="str">
        <f t="shared" si="2613"/>
        <v>15:00:42.458</v>
      </c>
      <c r="U4629" t="str">
        <f t="shared" si="2602"/>
        <v>ACC530</v>
      </c>
      <c r="V4629">
        <v>0</v>
      </c>
      <c r="W4629">
        <v>0</v>
      </c>
      <c r="X4629">
        <v>1</v>
      </c>
      <c r="Z4629">
        <v>0</v>
      </c>
      <c r="AA4629">
        <v>9</v>
      </c>
      <c r="AB4629">
        <v>3</v>
      </c>
      <c r="AC4629">
        <v>0</v>
      </c>
      <c r="AD4629">
        <v>9</v>
      </c>
      <c r="AE4629">
        <v>0</v>
      </c>
      <c r="AF4629">
        <v>3</v>
      </c>
      <c r="AG4629">
        <v>1</v>
      </c>
      <c r="AH4629">
        <v>0</v>
      </c>
      <c r="AI4629" t="s">
        <v>1377</v>
      </c>
      <c r="AJ4629">
        <v>34.072401999999997</v>
      </c>
      <c r="AK4629" t="s">
        <v>1438</v>
      </c>
      <c r="AL4629">
        <v>-117.065721</v>
      </c>
      <c r="AM4629">
        <v>100</v>
      </c>
      <c r="AN4629">
        <v>3800</v>
      </c>
      <c r="AO4629" t="s">
        <v>118</v>
      </c>
      <c r="AP4629">
        <v>-118</v>
      </c>
      <c r="AQ4629">
        <v>-48</v>
      </c>
      <c r="AR4629">
        <v>-1536</v>
      </c>
      <c r="AZ4629">
        <v>1200</v>
      </c>
      <c r="BA4629">
        <v>1</v>
      </c>
      <c r="BB4629" t="str">
        <f t="shared" si="2603"/>
        <v xml:space="preserve">N9217B  </v>
      </c>
      <c r="BC4629">
        <v>1</v>
      </c>
      <c r="BE4629">
        <v>0</v>
      </c>
      <c r="BF4629">
        <v>0</v>
      </c>
      <c r="BG4629">
        <v>0</v>
      </c>
      <c r="BH4629">
        <v>3575</v>
      </c>
      <c r="BI4629">
        <v>1</v>
      </c>
      <c r="BJ4629">
        <v>0</v>
      </c>
      <c r="BK4629">
        <v>0</v>
      </c>
      <c r="BL4629">
        <v>0</v>
      </c>
      <c r="BO4629">
        <v>0</v>
      </c>
      <c r="BP4629">
        <v>0</v>
      </c>
      <c r="BW4629" t="str">
        <f t="shared" si="2614"/>
        <v>15:00:42.764</v>
      </c>
      <c r="CJ4629">
        <v>0</v>
      </c>
      <c r="CK4629">
        <v>2</v>
      </c>
      <c r="CL4629">
        <v>0</v>
      </c>
      <c r="CM4629">
        <v>2</v>
      </c>
      <c r="CN4629">
        <v>0</v>
      </c>
      <c r="CO4629">
        <v>5</v>
      </c>
      <c r="CP4629" t="s">
        <v>119</v>
      </c>
      <c r="CQ4629">
        <v>298</v>
      </c>
      <c r="CR4629">
        <v>0</v>
      </c>
      <c r="CW4629">
        <v>10484689</v>
      </c>
      <c r="CY4629">
        <v>0</v>
      </c>
      <c r="CZ4629">
        <v>0</v>
      </c>
      <c r="DA4629">
        <v>1</v>
      </c>
      <c r="DB4629">
        <v>0</v>
      </c>
      <c r="DC4629">
        <v>0</v>
      </c>
      <c r="DD4629">
        <v>0</v>
      </c>
      <c r="DE4629">
        <v>0</v>
      </c>
      <c r="DF4629">
        <v>0</v>
      </c>
      <c r="DG4629">
        <v>0</v>
      </c>
      <c r="DH4629">
        <v>0</v>
      </c>
      <c r="DI4629">
        <v>0</v>
      </c>
    </row>
    <row r="4630" spans="1:113" x14ac:dyDescent="0.25">
      <c r="A4630" t="str">
        <f t="shared" si="2611"/>
        <v>06/05/2020 15:00:37.135</v>
      </c>
      <c r="C4630" t="str">
        <f t="shared" si="2585"/>
        <v>FFDFD3C0</v>
      </c>
      <c r="D4630" t="s">
        <v>151</v>
      </c>
      <c r="E4630">
        <v>8</v>
      </c>
      <c r="H4630">
        <v>225</v>
      </c>
      <c r="I4630" t="s">
        <v>353</v>
      </c>
      <c r="J4630" t="s">
        <v>150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 t="shared" si="2612"/>
        <v>15:00:42.758</v>
      </c>
      <c r="T4630" t="str">
        <f t="shared" si="2613"/>
        <v>15:00:42.458</v>
      </c>
      <c r="U4630" t="str">
        <f t="shared" si="2602"/>
        <v>ACC530</v>
      </c>
      <c r="V4630">
        <v>0</v>
      </c>
      <c r="W4630">
        <v>0</v>
      </c>
      <c r="X4630">
        <v>1</v>
      </c>
      <c r="Z4630">
        <v>0</v>
      </c>
      <c r="AA4630">
        <v>9</v>
      </c>
      <c r="AB4630">
        <v>3</v>
      </c>
      <c r="AC4630">
        <v>0</v>
      </c>
      <c r="AD4630">
        <v>9</v>
      </c>
      <c r="AE4630">
        <v>0</v>
      </c>
      <c r="AF4630">
        <v>3</v>
      </c>
      <c r="AG4630">
        <v>1</v>
      </c>
      <c r="AH4630">
        <v>0</v>
      </c>
      <c r="AI4630" t="s">
        <v>1377</v>
      </c>
      <c r="AJ4630">
        <v>34.072401999999997</v>
      </c>
      <c r="AK4630" t="s">
        <v>1438</v>
      </c>
      <c r="AL4630">
        <v>-117.065721</v>
      </c>
      <c r="AM4630">
        <v>100</v>
      </c>
      <c r="AN4630">
        <v>3800</v>
      </c>
      <c r="AO4630" t="s">
        <v>118</v>
      </c>
      <c r="AP4630">
        <v>-118</v>
      </c>
      <c r="AQ4630">
        <v>-48</v>
      </c>
      <c r="AR4630">
        <v>-1536</v>
      </c>
      <c r="AZ4630">
        <v>1200</v>
      </c>
      <c r="BA4630">
        <v>1</v>
      </c>
      <c r="BB4630" t="str">
        <f t="shared" si="2603"/>
        <v xml:space="preserve">N9217B  </v>
      </c>
      <c r="BC4630">
        <v>1</v>
      </c>
      <c r="BE4630">
        <v>0</v>
      </c>
      <c r="BF4630">
        <v>0</v>
      </c>
      <c r="BG4630">
        <v>0</v>
      </c>
      <c r="BH4630">
        <v>3575</v>
      </c>
      <c r="BI4630">
        <v>1</v>
      </c>
      <c r="BJ4630">
        <v>0</v>
      </c>
      <c r="BK4630">
        <v>0</v>
      </c>
      <c r="BL4630">
        <v>0</v>
      </c>
      <c r="BO4630">
        <v>0</v>
      </c>
      <c r="BP4630">
        <v>0</v>
      </c>
      <c r="BW4630" t="str">
        <f t="shared" si="2614"/>
        <v>15:00:42.764</v>
      </c>
      <c r="CJ4630">
        <v>0</v>
      </c>
      <c r="CK4630">
        <v>2</v>
      </c>
      <c r="CL4630">
        <v>0</v>
      </c>
      <c r="CM4630">
        <v>2</v>
      </c>
      <c r="CN4630">
        <v>0</v>
      </c>
      <c r="CO4630">
        <v>5</v>
      </c>
      <c r="CP4630" t="s">
        <v>119</v>
      </c>
      <c r="CQ4630">
        <v>298</v>
      </c>
      <c r="CR4630">
        <v>0</v>
      </c>
      <c r="CW4630">
        <v>10484689</v>
      </c>
      <c r="CY4630">
        <v>0</v>
      </c>
      <c r="CZ4630">
        <v>0</v>
      </c>
      <c r="DA4630">
        <v>1</v>
      </c>
      <c r="DB4630">
        <v>0</v>
      </c>
      <c r="DC4630">
        <v>0</v>
      </c>
      <c r="DD4630">
        <v>0</v>
      </c>
      <c r="DE4630">
        <v>0</v>
      </c>
      <c r="DF4630">
        <v>0</v>
      </c>
      <c r="DG4630">
        <v>0</v>
      </c>
      <c r="DH4630">
        <v>0</v>
      </c>
      <c r="DI4630">
        <v>0</v>
      </c>
    </row>
    <row r="4631" spans="1:113" x14ac:dyDescent="0.25">
      <c r="A4631" t="str">
        <f t="shared" si="2611"/>
        <v>06/05/2020 15:00:37.135</v>
      </c>
      <c r="C4631" t="str">
        <f t="shared" si="2585"/>
        <v>FFDFD3C0</v>
      </c>
      <c r="D4631" t="s">
        <v>148</v>
      </c>
      <c r="E4631">
        <v>8</v>
      </c>
      <c r="H4631">
        <v>50</v>
      </c>
      <c r="I4631" t="s">
        <v>149</v>
      </c>
      <c r="J4631" t="s">
        <v>150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 t="shared" si="2612"/>
        <v>15:00:42.758</v>
      </c>
      <c r="T4631" t="str">
        <f t="shared" si="2613"/>
        <v>15:00:42.458</v>
      </c>
      <c r="U4631" t="str">
        <f t="shared" si="2602"/>
        <v>ACC530</v>
      </c>
      <c r="V4631">
        <v>0</v>
      </c>
      <c r="W4631">
        <v>0</v>
      </c>
      <c r="X4631">
        <v>1</v>
      </c>
      <c r="Z4631">
        <v>0</v>
      </c>
      <c r="AA4631">
        <v>9</v>
      </c>
      <c r="AB4631">
        <v>3</v>
      </c>
      <c r="AC4631">
        <v>0</v>
      </c>
      <c r="AD4631">
        <v>9</v>
      </c>
      <c r="AE4631">
        <v>0</v>
      </c>
      <c r="AF4631">
        <v>3</v>
      </c>
      <c r="AG4631">
        <v>1</v>
      </c>
      <c r="AH4631">
        <v>0</v>
      </c>
      <c r="AI4631" t="s">
        <v>1377</v>
      </c>
      <c r="AJ4631">
        <v>34.072401999999997</v>
      </c>
      <c r="AK4631" t="s">
        <v>1438</v>
      </c>
      <c r="AL4631">
        <v>-117.065721</v>
      </c>
      <c r="AM4631">
        <v>100</v>
      </c>
      <c r="AN4631">
        <v>3800</v>
      </c>
      <c r="AO4631" t="s">
        <v>118</v>
      </c>
      <c r="AP4631">
        <v>-118</v>
      </c>
      <c r="AQ4631">
        <v>-48</v>
      </c>
      <c r="AR4631">
        <v>-1536</v>
      </c>
      <c r="AZ4631">
        <v>1200</v>
      </c>
      <c r="BA4631">
        <v>1</v>
      </c>
      <c r="BB4631" t="str">
        <f t="shared" si="2603"/>
        <v xml:space="preserve">N9217B  </v>
      </c>
      <c r="BC4631">
        <v>1</v>
      </c>
      <c r="BE4631">
        <v>0</v>
      </c>
      <c r="BF4631">
        <v>0</v>
      </c>
      <c r="BG4631">
        <v>0</v>
      </c>
      <c r="BH4631">
        <v>3575</v>
      </c>
      <c r="BI4631">
        <v>1</v>
      </c>
      <c r="BJ4631">
        <v>0</v>
      </c>
      <c r="BK4631">
        <v>0</v>
      </c>
      <c r="BL4631">
        <v>0</v>
      </c>
      <c r="BO4631">
        <v>0</v>
      </c>
      <c r="BP4631">
        <v>0</v>
      </c>
      <c r="BW4631" t="str">
        <f t="shared" si="2614"/>
        <v>15:00:42.764</v>
      </c>
      <c r="CJ4631">
        <v>0</v>
      </c>
      <c r="CK4631">
        <v>2</v>
      </c>
      <c r="CL4631">
        <v>0</v>
      </c>
      <c r="CM4631">
        <v>2</v>
      </c>
      <c r="CN4631">
        <v>0</v>
      </c>
      <c r="CO4631">
        <v>5</v>
      </c>
      <c r="CP4631" t="s">
        <v>119</v>
      </c>
      <c r="CQ4631">
        <v>298</v>
      </c>
      <c r="CR4631">
        <v>0</v>
      </c>
      <c r="CW4631">
        <v>10484689</v>
      </c>
      <c r="CY4631">
        <v>0</v>
      </c>
      <c r="CZ4631">
        <v>0</v>
      </c>
      <c r="DA4631">
        <v>1</v>
      </c>
      <c r="DB4631">
        <v>0</v>
      </c>
      <c r="DC4631">
        <v>0</v>
      </c>
      <c r="DD4631">
        <v>0</v>
      </c>
      <c r="DE4631">
        <v>0</v>
      </c>
      <c r="DF4631">
        <v>0</v>
      </c>
      <c r="DG4631">
        <v>0</v>
      </c>
      <c r="DH4631">
        <v>0</v>
      </c>
      <c r="DI4631">
        <v>0</v>
      </c>
    </row>
    <row r="4632" spans="1:113" x14ac:dyDescent="0.25">
      <c r="A4632" t="str">
        <f t="shared" ref="A4632:A4637" si="2615">"06/05/2020 15:00:38.089"</f>
        <v>06/05/2020 15:00:38.089</v>
      </c>
      <c r="C4632" t="str">
        <f t="shared" si="2585"/>
        <v>FFDFD3C0</v>
      </c>
      <c r="D4632" t="s">
        <v>148</v>
      </c>
      <c r="E4632">
        <v>8</v>
      </c>
      <c r="H4632">
        <v>50</v>
      </c>
      <c r="I4632" t="s">
        <v>149</v>
      </c>
      <c r="J4632" t="s">
        <v>150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 t="shared" ref="S4632:S4637" si="2616">"15:00:43.750"</f>
        <v>15:00:43.750</v>
      </c>
      <c r="T4632" t="str">
        <f t="shared" ref="T4632:T4637" si="2617">"15:00:43.550"</f>
        <v>15:00:43.550</v>
      </c>
      <c r="U4632" t="str">
        <f t="shared" si="2602"/>
        <v>ACC530</v>
      </c>
      <c r="V4632">
        <v>0</v>
      </c>
      <c r="W4632">
        <v>0</v>
      </c>
      <c r="X4632">
        <v>1</v>
      </c>
      <c r="Z4632">
        <v>0</v>
      </c>
      <c r="AA4632">
        <v>9</v>
      </c>
      <c r="AB4632">
        <v>3</v>
      </c>
      <c r="AC4632">
        <v>0</v>
      </c>
      <c r="AD4632">
        <v>9</v>
      </c>
      <c r="AE4632">
        <v>0</v>
      </c>
      <c r="AF4632">
        <v>3</v>
      </c>
      <c r="AG4632">
        <v>1</v>
      </c>
      <c r="AH4632">
        <v>0</v>
      </c>
      <c r="AI4632" t="s">
        <v>1439</v>
      </c>
      <c r="AJ4632">
        <v>34.072187</v>
      </c>
      <c r="AK4632" t="s">
        <v>1440</v>
      </c>
      <c r="AL4632">
        <v>-117.06636399999999</v>
      </c>
      <c r="AM4632">
        <v>100</v>
      </c>
      <c r="AN4632">
        <v>3800</v>
      </c>
      <c r="AO4632" t="s">
        <v>118</v>
      </c>
      <c r="AP4632">
        <v>-116</v>
      </c>
      <c r="AQ4632">
        <v>-49</v>
      </c>
      <c r="AR4632">
        <v>-1600</v>
      </c>
      <c r="AZ4632">
        <v>1200</v>
      </c>
      <c r="BA4632">
        <v>1</v>
      </c>
      <c r="BB4632" t="str">
        <f t="shared" si="2603"/>
        <v xml:space="preserve">N9217B  </v>
      </c>
      <c r="BC4632">
        <v>1</v>
      </c>
      <c r="BE4632">
        <v>0</v>
      </c>
      <c r="BF4632">
        <v>0</v>
      </c>
      <c r="BG4632">
        <v>0</v>
      </c>
      <c r="BH4632">
        <v>3550</v>
      </c>
      <c r="BI4632">
        <v>1</v>
      </c>
      <c r="BJ4632">
        <v>0</v>
      </c>
      <c r="BK4632">
        <v>0</v>
      </c>
      <c r="BL4632">
        <v>0</v>
      </c>
      <c r="BO4632">
        <v>0</v>
      </c>
      <c r="BP4632">
        <v>0</v>
      </c>
      <c r="BW4632" t="str">
        <f t="shared" ref="BW4632:BW4637" si="2618">"15:00:43.754"</f>
        <v>15:00:43.754</v>
      </c>
      <c r="CJ4632">
        <v>0</v>
      </c>
      <c r="CK4632">
        <v>2</v>
      </c>
      <c r="CL4632">
        <v>0</v>
      </c>
      <c r="CM4632">
        <v>2</v>
      </c>
      <c r="CN4632">
        <v>0</v>
      </c>
      <c r="CO4632">
        <v>5</v>
      </c>
      <c r="CP4632" t="s">
        <v>119</v>
      </c>
      <c r="CQ4632">
        <v>298</v>
      </c>
      <c r="CR4632">
        <v>0</v>
      </c>
      <c r="CW4632">
        <v>10484828</v>
      </c>
      <c r="CY4632">
        <v>0</v>
      </c>
      <c r="CZ4632">
        <v>0</v>
      </c>
      <c r="DA4632">
        <v>0</v>
      </c>
      <c r="DB4632">
        <v>0</v>
      </c>
      <c r="DC4632">
        <v>0</v>
      </c>
      <c r="DD4632">
        <v>0</v>
      </c>
      <c r="DE4632">
        <v>0</v>
      </c>
      <c r="DF4632">
        <v>0</v>
      </c>
      <c r="DG4632">
        <v>0</v>
      </c>
      <c r="DH4632">
        <v>0</v>
      </c>
      <c r="DI4632">
        <v>0</v>
      </c>
    </row>
    <row r="4633" spans="1:113" x14ac:dyDescent="0.25">
      <c r="A4633" t="str">
        <f t="shared" si="2615"/>
        <v>06/05/2020 15:00:38.089</v>
      </c>
      <c r="C4633" t="str">
        <f t="shared" si="2585"/>
        <v>FFDFD3C0</v>
      </c>
      <c r="D4633" t="s">
        <v>141</v>
      </c>
      <c r="E4633">
        <v>20</v>
      </c>
      <c r="F4633">
        <v>1020</v>
      </c>
      <c r="G4633" t="s">
        <v>114</v>
      </c>
      <c r="J4633" t="s">
        <v>142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 t="shared" si="2616"/>
        <v>15:00:43.750</v>
      </c>
      <c r="T4633" t="str">
        <f t="shared" si="2617"/>
        <v>15:00:43.550</v>
      </c>
      <c r="U4633" t="str">
        <f t="shared" si="2602"/>
        <v>ACC530</v>
      </c>
      <c r="V4633">
        <v>0</v>
      </c>
      <c r="W4633">
        <v>0</v>
      </c>
      <c r="X4633">
        <v>1</v>
      </c>
      <c r="Z4633">
        <v>0</v>
      </c>
      <c r="AA4633">
        <v>9</v>
      </c>
      <c r="AB4633">
        <v>3</v>
      </c>
      <c r="AC4633">
        <v>0</v>
      </c>
      <c r="AD4633">
        <v>9</v>
      </c>
      <c r="AE4633">
        <v>0</v>
      </c>
      <c r="AF4633">
        <v>3</v>
      </c>
      <c r="AG4633">
        <v>1</v>
      </c>
      <c r="AH4633">
        <v>0</v>
      </c>
      <c r="AI4633" t="s">
        <v>1439</v>
      </c>
      <c r="AJ4633">
        <v>34.072187</v>
      </c>
      <c r="AK4633" t="s">
        <v>1440</v>
      </c>
      <c r="AL4633">
        <v>-117.06636399999999</v>
      </c>
      <c r="AM4633">
        <v>100</v>
      </c>
      <c r="AN4633">
        <v>3800</v>
      </c>
      <c r="AO4633" t="s">
        <v>118</v>
      </c>
      <c r="AP4633">
        <v>-116</v>
      </c>
      <c r="AQ4633">
        <v>-49</v>
      </c>
      <c r="AR4633">
        <v>-1600</v>
      </c>
      <c r="AZ4633">
        <v>1200</v>
      </c>
      <c r="BA4633">
        <v>1</v>
      </c>
      <c r="BB4633" t="str">
        <f t="shared" si="2603"/>
        <v xml:space="preserve">N9217B  </v>
      </c>
      <c r="BC4633">
        <v>1</v>
      </c>
      <c r="BE4633">
        <v>0</v>
      </c>
      <c r="BF4633">
        <v>0</v>
      </c>
      <c r="BG4633">
        <v>0</v>
      </c>
      <c r="BH4633">
        <v>3550</v>
      </c>
      <c r="BI4633">
        <v>1</v>
      </c>
      <c r="BJ4633">
        <v>0</v>
      </c>
      <c r="BK4633">
        <v>0</v>
      </c>
      <c r="BL4633">
        <v>0</v>
      </c>
      <c r="BO4633">
        <v>0</v>
      </c>
      <c r="BP4633">
        <v>0</v>
      </c>
      <c r="BW4633" t="str">
        <f t="shared" si="2618"/>
        <v>15:00:43.754</v>
      </c>
      <c r="CJ4633">
        <v>0</v>
      </c>
      <c r="CK4633">
        <v>2</v>
      </c>
      <c r="CL4633">
        <v>0</v>
      </c>
      <c r="CM4633">
        <v>2</v>
      </c>
      <c r="CN4633">
        <v>0</v>
      </c>
      <c r="CO4633">
        <v>5</v>
      </c>
      <c r="CP4633" t="s">
        <v>119</v>
      </c>
      <c r="CQ4633">
        <v>298</v>
      </c>
      <c r="CR4633">
        <v>0</v>
      </c>
      <c r="CW4633">
        <v>10484828</v>
      </c>
      <c r="CY4633">
        <v>0</v>
      </c>
      <c r="CZ4633">
        <v>0</v>
      </c>
      <c r="DA4633">
        <v>1</v>
      </c>
      <c r="DB4633">
        <v>0</v>
      </c>
      <c r="DC4633">
        <v>0</v>
      </c>
      <c r="DD4633">
        <v>0</v>
      </c>
      <c r="DE4633">
        <v>0</v>
      </c>
      <c r="DF4633">
        <v>0</v>
      </c>
      <c r="DG4633">
        <v>0</v>
      </c>
      <c r="DH4633">
        <v>0</v>
      </c>
      <c r="DI4633">
        <v>0</v>
      </c>
    </row>
    <row r="4634" spans="1:113" x14ac:dyDescent="0.25">
      <c r="A4634" t="str">
        <f t="shared" si="2615"/>
        <v>06/05/2020 15:00:38.089</v>
      </c>
      <c r="C4634" t="str">
        <f t="shared" si="2585"/>
        <v>FFDFD3C0</v>
      </c>
      <c r="D4634" t="s">
        <v>134</v>
      </c>
      <c r="E4634">
        <v>7</v>
      </c>
      <c r="F4634">
        <v>2007</v>
      </c>
      <c r="G4634" t="s">
        <v>135</v>
      </c>
      <c r="J4634" t="s">
        <v>136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 t="shared" si="2616"/>
        <v>15:00:43.750</v>
      </c>
      <c r="T4634" t="str">
        <f t="shared" si="2617"/>
        <v>15:00:43.550</v>
      </c>
      <c r="U4634" t="str">
        <f t="shared" si="2602"/>
        <v>ACC530</v>
      </c>
      <c r="V4634">
        <v>0</v>
      </c>
      <c r="W4634">
        <v>0</v>
      </c>
      <c r="X4634">
        <v>1</v>
      </c>
      <c r="Z4634">
        <v>0</v>
      </c>
      <c r="AA4634">
        <v>9</v>
      </c>
      <c r="AB4634">
        <v>3</v>
      </c>
      <c r="AC4634">
        <v>0</v>
      </c>
      <c r="AD4634">
        <v>9</v>
      </c>
      <c r="AE4634">
        <v>0</v>
      </c>
      <c r="AF4634">
        <v>3</v>
      </c>
      <c r="AG4634">
        <v>1</v>
      </c>
      <c r="AH4634">
        <v>0</v>
      </c>
      <c r="AI4634" t="s">
        <v>1439</v>
      </c>
      <c r="AJ4634">
        <v>34.072187</v>
      </c>
      <c r="AK4634" t="s">
        <v>1440</v>
      </c>
      <c r="AL4634">
        <v>-117.06636399999999</v>
      </c>
      <c r="AM4634">
        <v>100</v>
      </c>
      <c r="AN4634">
        <v>3800</v>
      </c>
      <c r="AO4634" t="s">
        <v>118</v>
      </c>
      <c r="AP4634">
        <v>-116</v>
      </c>
      <c r="AQ4634">
        <v>-49</v>
      </c>
      <c r="AR4634">
        <v>-1600</v>
      </c>
      <c r="AZ4634">
        <v>1200</v>
      </c>
      <c r="BA4634">
        <v>1</v>
      </c>
      <c r="BB4634" t="str">
        <f t="shared" si="2603"/>
        <v xml:space="preserve">N9217B  </v>
      </c>
      <c r="BC4634">
        <v>1</v>
      </c>
      <c r="BE4634">
        <v>0</v>
      </c>
      <c r="BF4634">
        <v>0</v>
      </c>
      <c r="BG4634">
        <v>0</v>
      </c>
      <c r="BH4634">
        <v>3550</v>
      </c>
      <c r="BI4634">
        <v>1</v>
      </c>
      <c r="BJ4634">
        <v>0</v>
      </c>
      <c r="BK4634">
        <v>0</v>
      </c>
      <c r="BL4634">
        <v>0</v>
      </c>
      <c r="BO4634">
        <v>0</v>
      </c>
      <c r="BP4634">
        <v>0</v>
      </c>
      <c r="BW4634" t="str">
        <f t="shared" si="2618"/>
        <v>15:00:43.754</v>
      </c>
      <c r="CJ4634">
        <v>0</v>
      </c>
      <c r="CK4634">
        <v>2</v>
      </c>
      <c r="CL4634">
        <v>0</v>
      </c>
      <c r="CM4634">
        <v>2</v>
      </c>
      <c r="CN4634">
        <v>0</v>
      </c>
      <c r="CO4634">
        <v>5</v>
      </c>
      <c r="CP4634" t="s">
        <v>119</v>
      </c>
      <c r="CQ4634">
        <v>298</v>
      </c>
      <c r="CR4634">
        <v>0</v>
      </c>
      <c r="CW4634">
        <v>10484828</v>
      </c>
      <c r="CY4634">
        <v>0</v>
      </c>
      <c r="CZ4634">
        <v>0</v>
      </c>
      <c r="DA4634">
        <v>1</v>
      </c>
      <c r="DB4634">
        <v>0</v>
      </c>
      <c r="DC4634">
        <v>0</v>
      </c>
      <c r="DD4634">
        <v>0</v>
      </c>
      <c r="DE4634">
        <v>0</v>
      </c>
      <c r="DF4634">
        <v>0</v>
      </c>
      <c r="DG4634">
        <v>0</v>
      </c>
      <c r="DH4634">
        <v>0</v>
      </c>
      <c r="DI4634">
        <v>0</v>
      </c>
    </row>
    <row r="4635" spans="1:113" x14ac:dyDescent="0.25">
      <c r="A4635" t="str">
        <f t="shared" si="2615"/>
        <v>06/05/2020 15:00:38.089</v>
      </c>
      <c r="C4635" t="str">
        <f t="shared" si="2585"/>
        <v>FFDFD3C0</v>
      </c>
      <c r="D4635" t="s">
        <v>113</v>
      </c>
      <c r="E4635">
        <v>3</v>
      </c>
      <c r="H4635">
        <v>166</v>
      </c>
      <c r="I4635" t="s">
        <v>114</v>
      </c>
      <c r="J4635" t="s">
        <v>115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 t="shared" si="2616"/>
        <v>15:00:43.750</v>
      </c>
      <c r="T4635" t="str">
        <f t="shared" si="2617"/>
        <v>15:00:43.550</v>
      </c>
      <c r="U4635" t="str">
        <f t="shared" si="2602"/>
        <v>ACC530</v>
      </c>
      <c r="V4635">
        <v>0</v>
      </c>
      <c r="W4635">
        <v>0</v>
      </c>
      <c r="X4635">
        <v>1</v>
      </c>
      <c r="Z4635">
        <v>0</v>
      </c>
      <c r="AA4635">
        <v>9</v>
      </c>
      <c r="AB4635">
        <v>3</v>
      </c>
      <c r="AC4635">
        <v>0</v>
      </c>
      <c r="AD4635">
        <v>9</v>
      </c>
      <c r="AE4635">
        <v>0</v>
      </c>
      <c r="AF4635">
        <v>3</v>
      </c>
      <c r="AG4635">
        <v>1</v>
      </c>
      <c r="AH4635">
        <v>0</v>
      </c>
      <c r="AI4635" t="s">
        <v>1439</v>
      </c>
      <c r="AJ4635">
        <v>34.072187</v>
      </c>
      <c r="AK4635" t="s">
        <v>1440</v>
      </c>
      <c r="AL4635">
        <v>-117.06636399999999</v>
      </c>
      <c r="AM4635">
        <v>100</v>
      </c>
      <c r="AN4635">
        <v>3800</v>
      </c>
      <c r="AO4635" t="s">
        <v>118</v>
      </c>
      <c r="AP4635">
        <v>-116</v>
      </c>
      <c r="AQ4635">
        <v>-49</v>
      </c>
      <c r="AR4635">
        <v>-1600</v>
      </c>
      <c r="AZ4635">
        <v>1200</v>
      </c>
      <c r="BA4635">
        <v>1</v>
      </c>
      <c r="BB4635" t="str">
        <f t="shared" si="2603"/>
        <v xml:space="preserve">N9217B  </v>
      </c>
      <c r="BC4635">
        <v>1</v>
      </c>
      <c r="BE4635">
        <v>0</v>
      </c>
      <c r="BF4635">
        <v>0</v>
      </c>
      <c r="BG4635">
        <v>0</v>
      </c>
      <c r="BH4635">
        <v>3550</v>
      </c>
      <c r="BI4635">
        <v>1</v>
      </c>
      <c r="BJ4635">
        <v>0</v>
      </c>
      <c r="BK4635">
        <v>0</v>
      </c>
      <c r="BL4635">
        <v>0</v>
      </c>
      <c r="BO4635">
        <v>0</v>
      </c>
      <c r="BP4635">
        <v>0</v>
      </c>
      <c r="BW4635" t="str">
        <f t="shared" si="2618"/>
        <v>15:00:43.754</v>
      </c>
      <c r="CJ4635">
        <v>0</v>
      </c>
      <c r="CK4635">
        <v>2</v>
      </c>
      <c r="CL4635">
        <v>0</v>
      </c>
      <c r="CM4635">
        <v>2</v>
      </c>
      <c r="CN4635">
        <v>0</v>
      </c>
      <c r="CO4635">
        <v>5</v>
      </c>
      <c r="CP4635" t="s">
        <v>119</v>
      </c>
      <c r="CQ4635">
        <v>298</v>
      </c>
      <c r="CR4635">
        <v>0</v>
      </c>
      <c r="CW4635">
        <v>10484828</v>
      </c>
      <c r="CY4635">
        <v>0</v>
      </c>
      <c r="CZ4635">
        <v>0</v>
      </c>
      <c r="DA4635">
        <v>1</v>
      </c>
      <c r="DB4635">
        <v>0</v>
      </c>
      <c r="DC4635">
        <v>0</v>
      </c>
      <c r="DD4635">
        <v>0</v>
      </c>
      <c r="DE4635">
        <v>0</v>
      </c>
      <c r="DF4635">
        <v>0</v>
      </c>
      <c r="DG4635">
        <v>0</v>
      </c>
      <c r="DH4635">
        <v>0</v>
      </c>
      <c r="DI4635">
        <v>0</v>
      </c>
    </row>
    <row r="4636" spans="1:113" x14ac:dyDescent="0.25">
      <c r="A4636" t="str">
        <f t="shared" si="2615"/>
        <v>06/05/2020 15:00:38.089</v>
      </c>
      <c r="C4636" t="str">
        <f t="shared" si="2585"/>
        <v>FFDFD3C0</v>
      </c>
      <c r="D4636" t="s">
        <v>148</v>
      </c>
      <c r="E4636">
        <v>11</v>
      </c>
      <c r="H4636">
        <v>53</v>
      </c>
      <c r="I4636" t="s">
        <v>364</v>
      </c>
      <c r="J4636" t="s">
        <v>150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 t="shared" si="2616"/>
        <v>15:00:43.750</v>
      </c>
      <c r="T4636" t="str">
        <f t="shared" si="2617"/>
        <v>15:00:43.550</v>
      </c>
      <c r="U4636" t="str">
        <f t="shared" si="2602"/>
        <v>ACC530</v>
      </c>
      <c r="V4636">
        <v>0</v>
      </c>
      <c r="W4636">
        <v>0</v>
      </c>
      <c r="X4636">
        <v>1</v>
      </c>
      <c r="Z4636">
        <v>0</v>
      </c>
      <c r="AA4636">
        <v>9</v>
      </c>
      <c r="AB4636">
        <v>3</v>
      </c>
      <c r="AC4636">
        <v>0</v>
      </c>
      <c r="AD4636">
        <v>9</v>
      </c>
      <c r="AE4636">
        <v>0</v>
      </c>
      <c r="AF4636">
        <v>3</v>
      </c>
      <c r="AG4636">
        <v>1</v>
      </c>
      <c r="AH4636">
        <v>0</v>
      </c>
      <c r="AI4636" t="s">
        <v>1439</v>
      </c>
      <c r="AJ4636">
        <v>34.072187</v>
      </c>
      <c r="AK4636" t="s">
        <v>1440</v>
      </c>
      <c r="AL4636">
        <v>-117.06636399999999</v>
      </c>
      <c r="AM4636">
        <v>100</v>
      </c>
      <c r="AN4636">
        <v>3800</v>
      </c>
      <c r="AO4636" t="s">
        <v>118</v>
      </c>
      <c r="AP4636">
        <v>-116</v>
      </c>
      <c r="AQ4636">
        <v>-49</v>
      </c>
      <c r="AR4636">
        <v>-1600</v>
      </c>
      <c r="AZ4636">
        <v>1200</v>
      </c>
      <c r="BA4636">
        <v>1</v>
      </c>
      <c r="BB4636" t="str">
        <f t="shared" si="2603"/>
        <v xml:space="preserve">N9217B  </v>
      </c>
      <c r="BC4636">
        <v>1</v>
      </c>
      <c r="BE4636">
        <v>0</v>
      </c>
      <c r="BF4636">
        <v>0</v>
      </c>
      <c r="BG4636">
        <v>0</v>
      </c>
      <c r="BH4636">
        <v>3550</v>
      </c>
      <c r="BI4636">
        <v>1</v>
      </c>
      <c r="BJ4636">
        <v>0</v>
      </c>
      <c r="BK4636">
        <v>0</v>
      </c>
      <c r="BL4636">
        <v>0</v>
      </c>
      <c r="BO4636">
        <v>0</v>
      </c>
      <c r="BP4636">
        <v>0</v>
      </c>
      <c r="BW4636" t="str">
        <f t="shared" si="2618"/>
        <v>15:00:43.754</v>
      </c>
      <c r="CJ4636">
        <v>0</v>
      </c>
      <c r="CK4636">
        <v>2</v>
      </c>
      <c r="CL4636">
        <v>0</v>
      </c>
      <c r="CM4636">
        <v>2</v>
      </c>
      <c r="CN4636">
        <v>0</v>
      </c>
      <c r="CO4636">
        <v>5</v>
      </c>
      <c r="CP4636" t="s">
        <v>119</v>
      </c>
      <c r="CQ4636">
        <v>298</v>
      </c>
      <c r="CR4636">
        <v>0</v>
      </c>
      <c r="CW4636">
        <v>10484828</v>
      </c>
      <c r="CY4636">
        <v>0</v>
      </c>
      <c r="CZ4636">
        <v>0</v>
      </c>
      <c r="DA4636">
        <v>1</v>
      </c>
      <c r="DB4636">
        <v>0</v>
      </c>
      <c r="DC4636">
        <v>0</v>
      </c>
      <c r="DD4636">
        <v>0</v>
      </c>
      <c r="DE4636">
        <v>0</v>
      </c>
      <c r="DF4636">
        <v>0</v>
      </c>
      <c r="DG4636">
        <v>0</v>
      </c>
      <c r="DH4636">
        <v>0</v>
      </c>
      <c r="DI4636">
        <v>0</v>
      </c>
    </row>
    <row r="4637" spans="1:113" x14ac:dyDescent="0.25">
      <c r="A4637" t="str">
        <f t="shared" si="2615"/>
        <v>06/05/2020 15:00:38.089</v>
      </c>
      <c r="C4637" t="str">
        <f t="shared" si="2585"/>
        <v>FFDFD3C0</v>
      </c>
      <c r="D4637" t="s">
        <v>151</v>
      </c>
      <c r="E4637">
        <v>8</v>
      </c>
      <c r="H4637">
        <v>225</v>
      </c>
      <c r="I4637" t="s">
        <v>353</v>
      </c>
      <c r="J4637" t="s">
        <v>150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 t="shared" si="2616"/>
        <v>15:00:43.750</v>
      </c>
      <c r="T4637" t="str">
        <f t="shared" si="2617"/>
        <v>15:00:43.550</v>
      </c>
      <c r="U4637" t="str">
        <f t="shared" si="2602"/>
        <v>ACC530</v>
      </c>
      <c r="V4637">
        <v>0</v>
      </c>
      <c r="W4637">
        <v>0</v>
      </c>
      <c r="X4637">
        <v>1</v>
      </c>
      <c r="Z4637">
        <v>0</v>
      </c>
      <c r="AA4637">
        <v>9</v>
      </c>
      <c r="AB4637">
        <v>3</v>
      </c>
      <c r="AC4637">
        <v>0</v>
      </c>
      <c r="AD4637">
        <v>9</v>
      </c>
      <c r="AE4637">
        <v>0</v>
      </c>
      <c r="AF4637">
        <v>3</v>
      </c>
      <c r="AG4637">
        <v>1</v>
      </c>
      <c r="AH4637">
        <v>0</v>
      </c>
      <c r="AI4637" t="s">
        <v>1439</v>
      </c>
      <c r="AJ4637">
        <v>34.072187</v>
      </c>
      <c r="AK4637" t="s">
        <v>1440</v>
      </c>
      <c r="AL4637">
        <v>-117.06636399999999</v>
      </c>
      <c r="AM4637">
        <v>100</v>
      </c>
      <c r="AN4637">
        <v>3800</v>
      </c>
      <c r="AO4637" t="s">
        <v>118</v>
      </c>
      <c r="AP4637">
        <v>-116</v>
      </c>
      <c r="AQ4637">
        <v>-49</v>
      </c>
      <c r="AR4637">
        <v>-1600</v>
      </c>
      <c r="AZ4637">
        <v>1200</v>
      </c>
      <c r="BA4637">
        <v>1</v>
      </c>
      <c r="BB4637" t="str">
        <f t="shared" si="2603"/>
        <v xml:space="preserve">N9217B  </v>
      </c>
      <c r="BC4637">
        <v>1</v>
      </c>
      <c r="BE4637">
        <v>0</v>
      </c>
      <c r="BF4637">
        <v>0</v>
      </c>
      <c r="BG4637">
        <v>0</v>
      </c>
      <c r="BH4637">
        <v>3550</v>
      </c>
      <c r="BI4637">
        <v>1</v>
      </c>
      <c r="BJ4637">
        <v>0</v>
      </c>
      <c r="BK4637">
        <v>0</v>
      </c>
      <c r="BL4637">
        <v>0</v>
      </c>
      <c r="BO4637">
        <v>0</v>
      </c>
      <c r="BP4637">
        <v>0</v>
      </c>
      <c r="BW4637" t="str">
        <f t="shared" si="2618"/>
        <v>15:00:43.754</v>
      </c>
      <c r="CJ4637">
        <v>0</v>
      </c>
      <c r="CK4637">
        <v>2</v>
      </c>
      <c r="CL4637">
        <v>0</v>
      </c>
      <c r="CM4637">
        <v>2</v>
      </c>
      <c r="CN4637">
        <v>0</v>
      </c>
      <c r="CO4637">
        <v>5</v>
      </c>
      <c r="CP4637" t="s">
        <v>119</v>
      </c>
      <c r="CQ4637">
        <v>298</v>
      </c>
      <c r="CR4637">
        <v>0</v>
      </c>
      <c r="CW4637">
        <v>10484828</v>
      </c>
      <c r="CY4637">
        <v>0</v>
      </c>
      <c r="CZ4637">
        <v>0</v>
      </c>
      <c r="DA4637">
        <v>1</v>
      </c>
      <c r="DB4637">
        <v>0</v>
      </c>
      <c r="DC4637">
        <v>0</v>
      </c>
      <c r="DD4637">
        <v>0</v>
      </c>
      <c r="DE4637">
        <v>0</v>
      </c>
      <c r="DF4637">
        <v>0</v>
      </c>
      <c r="DG4637">
        <v>0</v>
      </c>
      <c r="DH4637">
        <v>0</v>
      </c>
      <c r="DI4637">
        <v>0</v>
      </c>
    </row>
    <row r="4638" spans="1:113" x14ac:dyDescent="0.25">
      <c r="A4638" t="str">
        <f t="shared" ref="A4638:A4644" si="2619">"06/05/2020 15:00:39.070"</f>
        <v>06/05/2020 15:00:39.070</v>
      </c>
      <c r="C4638" t="str">
        <f t="shared" si="2585"/>
        <v>FFDFD3C0</v>
      </c>
      <c r="D4638" t="s">
        <v>113</v>
      </c>
      <c r="E4638">
        <v>3</v>
      </c>
      <c r="H4638">
        <v>166</v>
      </c>
      <c r="I4638" t="s">
        <v>114</v>
      </c>
      <c r="J4638" t="s">
        <v>115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 t="shared" ref="S4638:S4644" si="2620">"15:00:44.695"</f>
        <v>15:00:44.695</v>
      </c>
      <c r="T4638" t="str">
        <f>"15:00:44.595"</f>
        <v>15:00:44.595</v>
      </c>
      <c r="U4638" t="str">
        <f t="shared" si="2602"/>
        <v>ACC530</v>
      </c>
      <c r="V4638">
        <v>0</v>
      </c>
      <c r="W4638">
        <v>0</v>
      </c>
      <c r="X4638">
        <v>1</v>
      </c>
      <c r="Z4638">
        <v>0</v>
      </c>
      <c r="AA4638">
        <v>9</v>
      </c>
      <c r="AB4638">
        <v>3</v>
      </c>
      <c r="AC4638">
        <v>0</v>
      </c>
      <c r="AD4638">
        <v>9</v>
      </c>
      <c r="AE4638">
        <v>0</v>
      </c>
      <c r="AF4638">
        <v>3</v>
      </c>
      <c r="AG4638">
        <v>1</v>
      </c>
      <c r="AH4638">
        <v>0</v>
      </c>
      <c r="AI4638" t="s">
        <v>1370</v>
      </c>
      <c r="AJ4638">
        <v>34.071950999999999</v>
      </c>
      <c r="AK4638" t="s">
        <v>1441</v>
      </c>
      <c r="AL4638">
        <v>-117.066987</v>
      </c>
      <c r="AM4638">
        <v>100</v>
      </c>
      <c r="AN4638">
        <v>3700</v>
      </c>
      <c r="AO4638" t="s">
        <v>118</v>
      </c>
      <c r="AP4638">
        <v>-116</v>
      </c>
      <c r="AQ4638">
        <v>-51</v>
      </c>
      <c r="AR4638">
        <v>-1600</v>
      </c>
      <c r="AZ4638">
        <v>1200</v>
      </c>
      <c r="BA4638">
        <v>1</v>
      </c>
      <c r="BB4638" t="str">
        <f t="shared" si="2603"/>
        <v xml:space="preserve">N9217B  </v>
      </c>
      <c r="BC4638">
        <v>1</v>
      </c>
      <c r="BE4638">
        <v>0</v>
      </c>
      <c r="BF4638">
        <v>0</v>
      </c>
      <c r="BG4638">
        <v>0</v>
      </c>
      <c r="BH4638">
        <v>3500</v>
      </c>
      <c r="BI4638">
        <v>1</v>
      </c>
      <c r="BJ4638">
        <v>0</v>
      </c>
      <c r="BK4638">
        <v>0</v>
      </c>
      <c r="BL4638">
        <v>0</v>
      </c>
      <c r="BO4638">
        <v>0</v>
      </c>
      <c r="BP4638">
        <v>0</v>
      </c>
      <c r="BW4638" t="str">
        <f t="shared" ref="BW4638:BW4644" si="2621">"15:00:44.699"</f>
        <v>15:00:44.699</v>
      </c>
      <c r="CJ4638">
        <v>0</v>
      </c>
      <c r="CK4638">
        <v>2</v>
      </c>
      <c r="CL4638">
        <v>0</v>
      </c>
      <c r="CM4638">
        <v>2</v>
      </c>
      <c r="CN4638">
        <v>0</v>
      </c>
      <c r="CO4638">
        <v>5</v>
      </c>
      <c r="CP4638" t="s">
        <v>119</v>
      </c>
      <c r="CQ4638">
        <v>298</v>
      </c>
      <c r="CR4638">
        <v>0</v>
      </c>
      <c r="CW4638">
        <v>10484956</v>
      </c>
      <c r="CY4638">
        <v>0</v>
      </c>
      <c r="CZ4638">
        <v>0</v>
      </c>
      <c r="DA4638">
        <v>0</v>
      </c>
      <c r="DB4638">
        <v>0</v>
      </c>
      <c r="DC4638">
        <v>0</v>
      </c>
      <c r="DD4638">
        <v>0</v>
      </c>
      <c r="DE4638">
        <v>0</v>
      </c>
      <c r="DF4638">
        <v>0</v>
      </c>
      <c r="DG4638">
        <v>0</v>
      </c>
      <c r="DH4638">
        <v>0</v>
      </c>
      <c r="DI4638">
        <v>0</v>
      </c>
    </row>
    <row r="4639" spans="1:113" x14ac:dyDescent="0.25">
      <c r="A4639" t="str">
        <f t="shared" si="2619"/>
        <v>06/05/2020 15:00:39.070</v>
      </c>
      <c r="C4639" t="str">
        <f t="shared" si="2585"/>
        <v>FFDFD3C0</v>
      </c>
      <c r="D4639" t="s">
        <v>148</v>
      </c>
      <c r="E4639">
        <v>11</v>
      </c>
      <c r="H4639">
        <v>53</v>
      </c>
      <c r="I4639" t="s">
        <v>364</v>
      </c>
      <c r="J4639" t="s">
        <v>150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 t="shared" si="2620"/>
        <v>15:00:44.695</v>
      </c>
      <c r="T4639" t="str">
        <f>"15:00:44.595"</f>
        <v>15:00:44.595</v>
      </c>
      <c r="U4639" t="str">
        <f t="shared" si="2602"/>
        <v>ACC530</v>
      </c>
      <c r="V4639">
        <v>0</v>
      </c>
      <c r="W4639">
        <v>0</v>
      </c>
      <c r="X4639">
        <v>1</v>
      </c>
      <c r="Z4639">
        <v>0</v>
      </c>
      <c r="AA4639">
        <v>9</v>
      </c>
      <c r="AB4639">
        <v>3</v>
      </c>
      <c r="AC4639">
        <v>0</v>
      </c>
      <c r="AD4639">
        <v>9</v>
      </c>
      <c r="AE4639">
        <v>0</v>
      </c>
      <c r="AF4639">
        <v>3</v>
      </c>
      <c r="AG4639">
        <v>1</v>
      </c>
      <c r="AH4639">
        <v>0</v>
      </c>
      <c r="AI4639" t="s">
        <v>1370</v>
      </c>
      <c r="AJ4639">
        <v>34.071950999999999</v>
      </c>
      <c r="AK4639" t="s">
        <v>1441</v>
      </c>
      <c r="AL4639">
        <v>-117.066987</v>
      </c>
      <c r="AM4639">
        <v>100</v>
      </c>
      <c r="AN4639">
        <v>3700</v>
      </c>
      <c r="AO4639" t="s">
        <v>118</v>
      </c>
      <c r="AP4639">
        <v>-116</v>
      </c>
      <c r="AQ4639">
        <v>-51</v>
      </c>
      <c r="AR4639">
        <v>-1600</v>
      </c>
      <c r="AZ4639">
        <v>1200</v>
      </c>
      <c r="BA4639">
        <v>1</v>
      </c>
      <c r="BB4639" t="str">
        <f t="shared" si="2603"/>
        <v xml:space="preserve">N9217B  </v>
      </c>
      <c r="BC4639">
        <v>1</v>
      </c>
      <c r="BE4639">
        <v>0</v>
      </c>
      <c r="BF4639">
        <v>0</v>
      </c>
      <c r="BG4639">
        <v>0</v>
      </c>
      <c r="BH4639">
        <v>3500</v>
      </c>
      <c r="BI4639">
        <v>1</v>
      </c>
      <c r="BJ4639">
        <v>0</v>
      </c>
      <c r="BK4639">
        <v>0</v>
      </c>
      <c r="BL4639">
        <v>0</v>
      </c>
      <c r="BO4639">
        <v>0</v>
      </c>
      <c r="BP4639">
        <v>0</v>
      </c>
      <c r="BW4639" t="str">
        <f t="shared" si="2621"/>
        <v>15:00:44.699</v>
      </c>
      <c r="CJ4639">
        <v>0</v>
      </c>
      <c r="CK4639">
        <v>2</v>
      </c>
      <c r="CL4639">
        <v>0</v>
      </c>
      <c r="CM4639">
        <v>2</v>
      </c>
      <c r="CN4639">
        <v>0</v>
      </c>
      <c r="CO4639">
        <v>5</v>
      </c>
      <c r="CP4639" t="s">
        <v>119</v>
      </c>
      <c r="CQ4639">
        <v>298</v>
      </c>
      <c r="CR4639">
        <v>0</v>
      </c>
      <c r="CW4639">
        <v>10484956</v>
      </c>
      <c r="CY4639">
        <v>0</v>
      </c>
      <c r="CZ4639">
        <v>0</v>
      </c>
      <c r="DA4639">
        <v>1</v>
      </c>
      <c r="DB4639">
        <v>0</v>
      </c>
      <c r="DC4639">
        <v>0</v>
      </c>
      <c r="DD4639">
        <v>0</v>
      </c>
      <c r="DE4639">
        <v>0</v>
      </c>
      <c r="DF4639">
        <v>0</v>
      </c>
      <c r="DG4639">
        <v>0</v>
      </c>
      <c r="DH4639">
        <v>0</v>
      </c>
      <c r="DI4639">
        <v>0</v>
      </c>
    </row>
    <row r="4640" spans="1:113" x14ac:dyDescent="0.25">
      <c r="A4640" t="str">
        <f t="shared" si="2619"/>
        <v>06/05/2020 15:00:39.070</v>
      </c>
      <c r="C4640" t="str">
        <f t="shared" si="2585"/>
        <v>FFDFD3C0</v>
      </c>
      <c r="D4640" t="s">
        <v>151</v>
      </c>
      <c r="E4640">
        <v>8</v>
      </c>
      <c r="H4640">
        <v>225</v>
      </c>
      <c r="I4640" t="s">
        <v>353</v>
      </c>
      <c r="J4640" t="s">
        <v>150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 t="shared" si="2620"/>
        <v>15:00:44.695</v>
      </c>
      <c r="T4640" t="str">
        <f>"15:00:44.595"</f>
        <v>15:00:44.595</v>
      </c>
      <c r="U4640" t="str">
        <f t="shared" si="2602"/>
        <v>ACC530</v>
      </c>
      <c r="V4640">
        <v>0</v>
      </c>
      <c r="W4640">
        <v>0</v>
      </c>
      <c r="X4640">
        <v>1</v>
      </c>
      <c r="Z4640">
        <v>0</v>
      </c>
      <c r="AA4640">
        <v>9</v>
      </c>
      <c r="AB4640">
        <v>3</v>
      </c>
      <c r="AC4640">
        <v>0</v>
      </c>
      <c r="AD4640">
        <v>9</v>
      </c>
      <c r="AE4640">
        <v>0</v>
      </c>
      <c r="AF4640">
        <v>3</v>
      </c>
      <c r="AG4640">
        <v>1</v>
      </c>
      <c r="AH4640">
        <v>0</v>
      </c>
      <c r="AI4640" t="s">
        <v>1370</v>
      </c>
      <c r="AJ4640">
        <v>34.071950999999999</v>
      </c>
      <c r="AK4640" t="s">
        <v>1441</v>
      </c>
      <c r="AL4640">
        <v>-117.066987</v>
      </c>
      <c r="AM4640">
        <v>100</v>
      </c>
      <c r="AN4640">
        <v>3700</v>
      </c>
      <c r="AO4640" t="s">
        <v>118</v>
      </c>
      <c r="AP4640">
        <v>-116</v>
      </c>
      <c r="AQ4640">
        <v>-51</v>
      </c>
      <c r="AR4640">
        <v>-1600</v>
      </c>
      <c r="AZ4640">
        <v>1200</v>
      </c>
      <c r="BA4640">
        <v>1</v>
      </c>
      <c r="BB4640" t="str">
        <f t="shared" si="2603"/>
        <v xml:space="preserve">N9217B  </v>
      </c>
      <c r="BC4640">
        <v>1</v>
      </c>
      <c r="BE4640">
        <v>0</v>
      </c>
      <c r="BF4640">
        <v>0</v>
      </c>
      <c r="BG4640">
        <v>0</v>
      </c>
      <c r="BH4640">
        <v>3500</v>
      </c>
      <c r="BI4640">
        <v>1</v>
      </c>
      <c r="BJ4640">
        <v>0</v>
      </c>
      <c r="BK4640">
        <v>0</v>
      </c>
      <c r="BL4640">
        <v>0</v>
      </c>
      <c r="BO4640">
        <v>0</v>
      </c>
      <c r="BP4640">
        <v>0</v>
      </c>
      <c r="BW4640" t="str">
        <f t="shared" si="2621"/>
        <v>15:00:44.699</v>
      </c>
      <c r="CJ4640">
        <v>0</v>
      </c>
      <c r="CK4640">
        <v>2</v>
      </c>
      <c r="CL4640">
        <v>0</v>
      </c>
      <c r="CM4640">
        <v>2</v>
      </c>
      <c r="CN4640">
        <v>0</v>
      </c>
      <c r="CO4640">
        <v>5</v>
      </c>
      <c r="CP4640" t="s">
        <v>119</v>
      </c>
      <c r="CQ4640">
        <v>298</v>
      </c>
      <c r="CR4640">
        <v>0</v>
      </c>
      <c r="CW4640">
        <v>10484956</v>
      </c>
      <c r="CY4640">
        <v>0</v>
      </c>
      <c r="CZ4640">
        <v>0</v>
      </c>
      <c r="DA4640">
        <v>1</v>
      </c>
      <c r="DB4640">
        <v>0</v>
      </c>
      <c r="DC4640">
        <v>0</v>
      </c>
      <c r="DD4640">
        <v>0</v>
      </c>
      <c r="DE4640">
        <v>0</v>
      </c>
      <c r="DF4640">
        <v>0</v>
      </c>
      <c r="DG4640">
        <v>0</v>
      </c>
      <c r="DH4640">
        <v>0</v>
      </c>
      <c r="DI4640">
        <v>0</v>
      </c>
    </row>
    <row r="4641" spans="1:113" x14ac:dyDescent="0.25">
      <c r="A4641" t="str">
        <f t="shared" si="2619"/>
        <v>06/05/2020 15:00:39.070</v>
      </c>
      <c r="C4641" t="str">
        <f t="shared" si="2585"/>
        <v>FFDFD3C0</v>
      </c>
      <c r="D4641" t="s">
        <v>148</v>
      </c>
      <c r="E4641">
        <v>8</v>
      </c>
      <c r="H4641">
        <v>50</v>
      </c>
      <c r="I4641" t="s">
        <v>149</v>
      </c>
      <c r="J4641" t="s">
        <v>150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 t="shared" si="2620"/>
        <v>15:00:44.695</v>
      </c>
      <c r="T4641" t="str">
        <f>"15:00:44.595"</f>
        <v>15:00:44.595</v>
      </c>
      <c r="U4641" t="str">
        <f t="shared" si="2602"/>
        <v>ACC530</v>
      </c>
      <c r="V4641">
        <v>0</v>
      </c>
      <c r="W4641">
        <v>0</v>
      </c>
      <c r="X4641">
        <v>1</v>
      </c>
      <c r="Z4641">
        <v>0</v>
      </c>
      <c r="AA4641">
        <v>9</v>
      </c>
      <c r="AB4641">
        <v>3</v>
      </c>
      <c r="AC4641">
        <v>0</v>
      </c>
      <c r="AD4641">
        <v>9</v>
      </c>
      <c r="AE4641">
        <v>0</v>
      </c>
      <c r="AF4641">
        <v>3</v>
      </c>
      <c r="AG4641">
        <v>1</v>
      </c>
      <c r="AH4641">
        <v>0</v>
      </c>
      <c r="AI4641" t="s">
        <v>1370</v>
      </c>
      <c r="AJ4641">
        <v>34.071950999999999</v>
      </c>
      <c r="AK4641" t="s">
        <v>1441</v>
      </c>
      <c r="AL4641">
        <v>-117.066987</v>
      </c>
      <c r="AM4641">
        <v>100</v>
      </c>
      <c r="AN4641">
        <v>3700</v>
      </c>
      <c r="AO4641" t="s">
        <v>118</v>
      </c>
      <c r="AP4641">
        <v>-116</v>
      </c>
      <c r="AQ4641">
        <v>-51</v>
      </c>
      <c r="AR4641">
        <v>-1600</v>
      </c>
      <c r="AZ4641">
        <v>1200</v>
      </c>
      <c r="BA4641">
        <v>1</v>
      </c>
      <c r="BB4641" t="str">
        <f t="shared" si="2603"/>
        <v xml:space="preserve">N9217B  </v>
      </c>
      <c r="BC4641">
        <v>1</v>
      </c>
      <c r="BE4641">
        <v>0</v>
      </c>
      <c r="BF4641">
        <v>0</v>
      </c>
      <c r="BG4641">
        <v>0</v>
      </c>
      <c r="BH4641">
        <v>3500</v>
      </c>
      <c r="BI4641">
        <v>1</v>
      </c>
      <c r="BJ4641">
        <v>0</v>
      </c>
      <c r="BK4641">
        <v>0</v>
      </c>
      <c r="BL4641">
        <v>0</v>
      </c>
      <c r="BO4641">
        <v>0</v>
      </c>
      <c r="BP4641">
        <v>0</v>
      </c>
      <c r="BW4641" t="str">
        <f t="shared" si="2621"/>
        <v>15:00:44.699</v>
      </c>
      <c r="CJ4641">
        <v>0</v>
      </c>
      <c r="CK4641">
        <v>2</v>
      </c>
      <c r="CL4641">
        <v>0</v>
      </c>
      <c r="CM4641">
        <v>2</v>
      </c>
      <c r="CN4641">
        <v>0</v>
      </c>
      <c r="CO4641">
        <v>5</v>
      </c>
      <c r="CP4641" t="s">
        <v>119</v>
      </c>
      <c r="CQ4641">
        <v>298</v>
      </c>
      <c r="CR4641">
        <v>0</v>
      </c>
      <c r="CW4641">
        <v>10484956</v>
      </c>
      <c r="CY4641">
        <v>0</v>
      </c>
      <c r="CZ4641">
        <v>0</v>
      </c>
      <c r="DA4641">
        <v>1</v>
      </c>
      <c r="DB4641">
        <v>0</v>
      </c>
      <c r="DC4641">
        <v>0</v>
      </c>
      <c r="DD4641">
        <v>0</v>
      </c>
      <c r="DE4641">
        <v>0</v>
      </c>
      <c r="DF4641">
        <v>0</v>
      </c>
      <c r="DG4641">
        <v>0</v>
      </c>
      <c r="DH4641">
        <v>0</v>
      </c>
      <c r="DI4641">
        <v>0</v>
      </c>
    </row>
    <row r="4642" spans="1:113" x14ac:dyDescent="0.25">
      <c r="A4642" t="str">
        <f t="shared" si="2619"/>
        <v>06/05/2020 15:00:39.070</v>
      </c>
      <c r="C4642" t="str">
        <f t="shared" si="2585"/>
        <v>FFDFD3C0</v>
      </c>
      <c r="D4642" t="s">
        <v>141</v>
      </c>
      <c r="E4642">
        <v>20</v>
      </c>
      <c r="F4642">
        <v>1020</v>
      </c>
      <c r="G4642" t="s">
        <v>114</v>
      </c>
      <c r="J4642" t="s">
        <v>142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 t="shared" si="2620"/>
        <v>15:00:44.695</v>
      </c>
      <c r="T4642" t="str">
        <f>"15:00:44.595"</f>
        <v>15:00:44.595</v>
      </c>
      <c r="U4642" t="str">
        <f t="shared" si="2602"/>
        <v>ACC530</v>
      </c>
      <c r="V4642">
        <v>0</v>
      </c>
      <c r="W4642">
        <v>0</v>
      </c>
      <c r="X4642">
        <v>1</v>
      </c>
      <c r="Z4642">
        <v>0</v>
      </c>
      <c r="AA4642">
        <v>9</v>
      </c>
      <c r="AB4642">
        <v>3</v>
      </c>
      <c r="AC4642">
        <v>0</v>
      </c>
      <c r="AD4642">
        <v>9</v>
      </c>
      <c r="AE4642">
        <v>0</v>
      </c>
      <c r="AF4642">
        <v>3</v>
      </c>
      <c r="AG4642">
        <v>1</v>
      </c>
      <c r="AH4642">
        <v>0</v>
      </c>
      <c r="AI4642" t="s">
        <v>1370</v>
      </c>
      <c r="AJ4642">
        <v>34.071950999999999</v>
      </c>
      <c r="AK4642" t="s">
        <v>1441</v>
      </c>
      <c r="AL4642">
        <v>-117.066987</v>
      </c>
      <c r="AM4642">
        <v>100</v>
      </c>
      <c r="AN4642">
        <v>3700</v>
      </c>
      <c r="AO4642" t="s">
        <v>118</v>
      </c>
      <c r="AP4642">
        <v>-116</v>
      </c>
      <c r="AQ4642">
        <v>-51</v>
      </c>
      <c r="AR4642">
        <v>-1600</v>
      </c>
      <c r="AZ4642">
        <v>1200</v>
      </c>
      <c r="BA4642">
        <v>1</v>
      </c>
      <c r="BB4642" t="str">
        <f t="shared" si="2603"/>
        <v xml:space="preserve">N9217B  </v>
      </c>
      <c r="BC4642">
        <v>1</v>
      </c>
      <c r="BE4642">
        <v>0</v>
      </c>
      <c r="BF4642">
        <v>0</v>
      </c>
      <c r="BG4642">
        <v>0</v>
      </c>
      <c r="BH4642">
        <v>3500</v>
      </c>
      <c r="BI4642">
        <v>1</v>
      </c>
      <c r="BJ4642">
        <v>0</v>
      </c>
      <c r="BK4642">
        <v>0</v>
      </c>
      <c r="BL4642">
        <v>0</v>
      </c>
      <c r="BO4642">
        <v>0</v>
      </c>
      <c r="BP4642">
        <v>0</v>
      </c>
      <c r="BW4642" t="str">
        <f t="shared" si="2621"/>
        <v>15:00:44.699</v>
      </c>
      <c r="CJ4642">
        <v>0</v>
      </c>
      <c r="CK4642">
        <v>2</v>
      </c>
      <c r="CL4642">
        <v>0</v>
      </c>
      <c r="CM4642">
        <v>2</v>
      </c>
      <c r="CN4642">
        <v>0</v>
      </c>
      <c r="CO4642">
        <v>5</v>
      </c>
      <c r="CP4642" t="s">
        <v>119</v>
      </c>
      <c r="CQ4642">
        <v>298</v>
      </c>
      <c r="CR4642">
        <v>0</v>
      </c>
      <c r="CW4642">
        <v>10484956</v>
      </c>
      <c r="CY4642">
        <v>0</v>
      </c>
      <c r="CZ4642">
        <v>0</v>
      </c>
      <c r="DA4642">
        <v>1</v>
      </c>
      <c r="DB4642">
        <v>0</v>
      </c>
      <c r="DC4642">
        <v>0</v>
      </c>
      <c r="DD4642">
        <v>0</v>
      </c>
      <c r="DE4642">
        <v>0</v>
      </c>
      <c r="DF4642">
        <v>0</v>
      </c>
      <c r="DG4642">
        <v>0</v>
      </c>
      <c r="DH4642">
        <v>0</v>
      </c>
      <c r="DI4642">
        <v>0</v>
      </c>
    </row>
    <row r="4643" spans="1:113" x14ac:dyDescent="0.25">
      <c r="A4643" t="str">
        <f t="shared" si="2619"/>
        <v>06/05/2020 15:00:39.070</v>
      </c>
      <c r="C4643" t="str">
        <f t="shared" ref="C4643:C4706" si="2622">"FFDFD3C0"</f>
        <v>FFDFD3C0</v>
      </c>
      <c r="D4643" t="s">
        <v>151</v>
      </c>
      <c r="E4643">
        <v>9</v>
      </c>
      <c r="H4643">
        <v>226</v>
      </c>
      <c r="I4643" t="s">
        <v>152</v>
      </c>
      <c r="J4643" t="s">
        <v>150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 t="shared" si="2620"/>
        <v>15:00:44.695</v>
      </c>
      <c r="U4643" t="str">
        <f t="shared" si="2602"/>
        <v>ACC530</v>
      </c>
      <c r="V4643">
        <v>0</v>
      </c>
      <c r="W4643">
        <v>0</v>
      </c>
      <c r="X4643">
        <v>1</v>
      </c>
      <c r="Z4643">
        <v>0</v>
      </c>
      <c r="AA4643">
        <v>9</v>
      </c>
      <c r="AB4643">
        <v>3</v>
      </c>
      <c r="AC4643">
        <v>0</v>
      </c>
      <c r="AD4643">
        <v>9</v>
      </c>
      <c r="AE4643">
        <v>0</v>
      </c>
      <c r="AF4643">
        <v>3</v>
      </c>
      <c r="AG4643">
        <v>1</v>
      </c>
      <c r="AH4643">
        <v>0</v>
      </c>
      <c r="AI4643" t="s">
        <v>1370</v>
      </c>
      <c r="AJ4643">
        <v>34.071950999999999</v>
      </c>
      <c r="AK4643" t="s">
        <v>1441</v>
      </c>
      <c r="AL4643">
        <v>-117.066987</v>
      </c>
      <c r="AM4643">
        <v>100</v>
      </c>
      <c r="AN4643">
        <v>3700</v>
      </c>
      <c r="AO4643" t="s">
        <v>118</v>
      </c>
      <c r="AR4643">
        <v>-2240</v>
      </c>
      <c r="AZ4643">
        <v>1200</v>
      </c>
      <c r="BA4643">
        <v>1</v>
      </c>
      <c r="BB4643" t="str">
        <f t="shared" si="2603"/>
        <v xml:space="preserve">N9217B  </v>
      </c>
      <c r="BC4643">
        <v>1</v>
      </c>
      <c r="BE4643">
        <v>0</v>
      </c>
      <c r="BF4643">
        <v>0</v>
      </c>
      <c r="BG4643">
        <v>0</v>
      </c>
      <c r="BH4643">
        <v>3475</v>
      </c>
      <c r="BI4643">
        <v>1</v>
      </c>
      <c r="BJ4643">
        <v>0</v>
      </c>
      <c r="BK4643">
        <v>0</v>
      </c>
      <c r="BL4643">
        <v>0</v>
      </c>
      <c r="BO4643">
        <v>0</v>
      </c>
      <c r="BP4643">
        <v>0</v>
      </c>
      <c r="BW4643" t="str">
        <f t="shared" si="2621"/>
        <v>15:00:44.699</v>
      </c>
      <c r="CJ4643">
        <v>0</v>
      </c>
      <c r="CK4643">
        <v>2</v>
      </c>
      <c r="CL4643">
        <v>0</v>
      </c>
      <c r="CM4643">
        <v>2</v>
      </c>
      <c r="CN4643">
        <v>0</v>
      </c>
      <c r="CO4643">
        <v>2</v>
      </c>
      <c r="CP4643" t="s">
        <v>119</v>
      </c>
      <c r="CQ4643">
        <v>285</v>
      </c>
      <c r="CR4643">
        <v>0</v>
      </c>
      <c r="CW4643">
        <v>8897355</v>
      </c>
      <c r="CY4643">
        <v>0</v>
      </c>
      <c r="CZ4643">
        <v>0</v>
      </c>
      <c r="DA4643">
        <v>1</v>
      </c>
      <c r="DB4643">
        <v>0</v>
      </c>
      <c r="DC4643">
        <v>0</v>
      </c>
      <c r="DD4643">
        <v>0</v>
      </c>
      <c r="DE4643">
        <v>0</v>
      </c>
      <c r="DF4643">
        <v>0</v>
      </c>
      <c r="DG4643">
        <v>0</v>
      </c>
      <c r="DH4643">
        <v>0</v>
      </c>
      <c r="DI4643">
        <v>0</v>
      </c>
    </row>
    <row r="4644" spans="1:113" x14ac:dyDescent="0.25">
      <c r="A4644" t="str">
        <f t="shared" si="2619"/>
        <v>06/05/2020 15:00:39.070</v>
      </c>
      <c r="C4644" t="str">
        <f t="shared" si="2622"/>
        <v>FFDFD3C0</v>
      </c>
      <c r="D4644" t="s">
        <v>134</v>
      </c>
      <c r="E4644">
        <v>7</v>
      </c>
      <c r="F4644">
        <v>2007</v>
      </c>
      <c r="G4644" t="s">
        <v>135</v>
      </c>
      <c r="J4644" t="s">
        <v>136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 t="shared" si="2620"/>
        <v>15:00:44.695</v>
      </c>
      <c r="T4644" t="str">
        <f>"15:00:44.595"</f>
        <v>15:00:44.595</v>
      </c>
      <c r="U4644" t="str">
        <f t="shared" si="2602"/>
        <v>ACC530</v>
      </c>
      <c r="V4644">
        <v>0</v>
      </c>
      <c r="W4644">
        <v>0</v>
      </c>
      <c r="X4644">
        <v>1</v>
      </c>
      <c r="Z4644">
        <v>0</v>
      </c>
      <c r="AA4644">
        <v>9</v>
      </c>
      <c r="AB4644">
        <v>3</v>
      </c>
      <c r="AC4644">
        <v>0</v>
      </c>
      <c r="AD4644">
        <v>9</v>
      </c>
      <c r="AE4644">
        <v>0</v>
      </c>
      <c r="AF4644">
        <v>3</v>
      </c>
      <c r="AG4644">
        <v>1</v>
      </c>
      <c r="AH4644">
        <v>0</v>
      </c>
      <c r="AI4644" t="s">
        <v>1370</v>
      </c>
      <c r="AJ4644">
        <v>34.071950999999999</v>
      </c>
      <c r="AK4644" t="s">
        <v>1441</v>
      </c>
      <c r="AL4644">
        <v>-117.066987</v>
      </c>
      <c r="AM4644">
        <v>100</v>
      </c>
      <c r="AN4644">
        <v>3700</v>
      </c>
      <c r="AO4644" t="s">
        <v>118</v>
      </c>
      <c r="AP4644">
        <v>-116</v>
      </c>
      <c r="AQ4644">
        <v>-51</v>
      </c>
      <c r="AR4644">
        <v>-1600</v>
      </c>
      <c r="AZ4644">
        <v>1200</v>
      </c>
      <c r="BA4644">
        <v>1</v>
      </c>
      <c r="BB4644" t="str">
        <f t="shared" si="2603"/>
        <v xml:space="preserve">N9217B  </v>
      </c>
      <c r="BC4644">
        <v>1</v>
      </c>
      <c r="BE4644">
        <v>0</v>
      </c>
      <c r="BF4644">
        <v>0</v>
      </c>
      <c r="BG4644">
        <v>0</v>
      </c>
      <c r="BH4644">
        <v>3500</v>
      </c>
      <c r="BI4644">
        <v>1</v>
      </c>
      <c r="BJ4644">
        <v>0</v>
      </c>
      <c r="BK4644">
        <v>0</v>
      </c>
      <c r="BL4644">
        <v>0</v>
      </c>
      <c r="BO4644">
        <v>0</v>
      </c>
      <c r="BP4644">
        <v>0</v>
      </c>
      <c r="BW4644" t="str">
        <f t="shared" si="2621"/>
        <v>15:00:44.699</v>
      </c>
      <c r="CJ4644">
        <v>0</v>
      </c>
      <c r="CK4644">
        <v>2</v>
      </c>
      <c r="CL4644">
        <v>0</v>
      </c>
      <c r="CM4644">
        <v>2</v>
      </c>
      <c r="CN4644">
        <v>0</v>
      </c>
      <c r="CO4644">
        <v>5</v>
      </c>
      <c r="CP4644" t="s">
        <v>119</v>
      </c>
      <c r="CQ4644">
        <v>298</v>
      </c>
      <c r="CR4644">
        <v>0</v>
      </c>
      <c r="CW4644">
        <v>10484956</v>
      </c>
      <c r="CY4644">
        <v>0</v>
      </c>
      <c r="CZ4644">
        <v>0</v>
      </c>
      <c r="DA4644">
        <v>1</v>
      </c>
      <c r="DB4644">
        <v>0</v>
      </c>
      <c r="DC4644">
        <v>0</v>
      </c>
      <c r="DD4644">
        <v>0</v>
      </c>
      <c r="DE4644">
        <v>0</v>
      </c>
      <c r="DF4644">
        <v>0</v>
      </c>
      <c r="DG4644">
        <v>0</v>
      </c>
      <c r="DH4644">
        <v>0</v>
      </c>
      <c r="DI4644">
        <v>0</v>
      </c>
    </row>
    <row r="4645" spans="1:113" x14ac:dyDescent="0.25">
      <c r="A4645" t="str">
        <f t="shared" ref="A4645:A4650" si="2623">"06/05/2020 15:00:40.201"</f>
        <v>06/05/2020 15:00:40.201</v>
      </c>
      <c r="C4645" t="str">
        <f t="shared" si="2622"/>
        <v>FFDFD3C0</v>
      </c>
      <c r="D4645" t="s">
        <v>151</v>
      </c>
      <c r="E4645">
        <v>8</v>
      </c>
      <c r="H4645">
        <v>225</v>
      </c>
      <c r="I4645" t="s">
        <v>353</v>
      </c>
      <c r="J4645" t="s">
        <v>150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 t="shared" ref="S4645:S4650" si="2624">"15:00:45.836"</f>
        <v>15:00:45.836</v>
      </c>
      <c r="T4645" t="str">
        <f t="shared" ref="T4645:T4650" si="2625">"15:00:45.536"</f>
        <v>15:00:45.536</v>
      </c>
      <c r="U4645" t="str">
        <f t="shared" si="2602"/>
        <v>ACC530</v>
      </c>
      <c r="V4645">
        <v>0</v>
      </c>
      <c r="W4645">
        <v>0</v>
      </c>
      <c r="X4645">
        <v>1</v>
      </c>
      <c r="Z4645">
        <v>0</v>
      </c>
      <c r="AA4645">
        <v>9</v>
      </c>
      <c r="AB4645">
        <v>3</v>
      </c>
      <c r="AC4645">
        <v>0</v>
      </c>
      <c r="AD4645">
        <v>9</v>
      </c>
      <c r="AE4645">
        <v>0</v>
      </c>
      <c r="AF4645">
        <v>3</v>
      </c>
      <c r="AG4645">
        <v>1</v>
      </c>
      <c r="AH4645">
        <v>0</v>
      </c>
      <c r="AI4645" t="s">
        <v>1364</v>
      </c>
      <c r="AJ4645">
        <v>34.071672</v>
      </c>
      <c r="AK4645" t="s">
        <v>1442</v>
      </c>
      <c r="AL4645">
        <v>-117.06773800000001</v>
      </c>
      <c r="AM4645">
        <v>100</v>
      </c>
      <c r="AN4645">
        <v>3700</v>
      </c>
      <c r="AO4645" t="s">
        <v>118</v>
      </c>
      <c r="AP4645">
        <v>-115</v>
      </c>
      <c r="AQ4645">
        <v>-52</v>
      </c>
      <c r="AR4645">
        <v>-1600</v>
      </c>
      <c r="AZ4645">
        <v>1200</v>
      </c>
      <c r="BA4645">
        <v>1</v>
      </c>
      <c r="BB4645" t="str">
        <f t="shared" si="2603"/>
        <v xml:space="preserve">N9217B  </v>
      </c>
      <c r="BC4645">
        <v>1</v>
      </c>
      <c r="BE4645">
        <v>0</v>
      </c>
      <c r="BF4645">
        <v>0</v>
      </c>
      <c r="BG4645">
        <v>0</v>
      </c>
      <c r="BH4645">
        <v>3475</v>
      </c>
      <c r="BI4645">
        <v>1</v>
      </c>
      <c r="BJ4645">
        <v>0</v>
      </c>
      <c r="BK4645">
        <v>0</v>
      </c>
      <c r="BL4645">
        <v>0</v>
      </c>
      <c r="BO4645">
        <v>0</v>
      </c>
      <c r="BP4645">
        <v>0</v>
      </c>
      <c r="BW4645" t="str">
        <f t="shared" ref="BW4645:BW4650" si="2626">"15:00:45.839"</f>
        <v>15:00:45.839</v>
      </c>
      <c r="CJ4645">
        <v>0</v>
      </c>
      <c r="CK4645">
        <v>2</v>
      </c>
      <c r="CL4645">
        <v>0</v>
      </c>
      <c r="CM4645">
        <v>2</v>
      </c>
      <c r="CN4645">
        <v>0</v>
      </c>
      <c r="CO4645">
        <v>5</v>
      </c>
      <c r="CP4645" t="s">
        <v>119</v>
      </c>
      <c r="CQ4645">
        <v>298</v>
      </c>
      <c r="CR4645">
        <v>0</v>
      </c>
      <c r="CW4645">
        <v>10485114</v>
      </c>
      <c r="CY4645">
        <v>0</v>
      </c>
      <c r="CZ4645">
        <v>0</v>
      </c>
      <c r="DA4645">
        <v>0</v>
      </c>
      <c r="DB4645">
        <v>0</v>
      </c>
      <c r="DC4645">
        <v>0</v>
      </c>
      <c r="DD4645">
        <v>0</v>
      </c>
      <c r="DE4645">
        <v>0</v>
      </c>
      <c r="DF4645">
        <v>0</v>
      </c>
      <c r="DG4645">
        <v>0</v>
      </c>
      <c r="DH4645">
        <v>0</v>
      </c>
      <c r="DI4645">
        <v>0</v>
      </c>
    </row>
    <row r="4646" spans="1:113" x14ac:dyDescent="0.25">
      <c r="A4646" t="str">
        <f t="shared" si="2623"/>
        <v>06/05/2020 15:00:40.201</v>
      </c>
      <c r="C4646" t="str">
        <f t="shared" si="2622"/>
        <v>FFDFD3C0</v>
      </c>
      <c r="D4646" t="s">
        <v>141</v>
      </c>
      <c r="E4646">
        <v>20</v>
      </c>
      <c r="F4646">
        <v>1020</v>
      </c>
      <c r="G4646" t="s">
        <v>114</v>
      </c>
      <c r="J4646" t="s">
        <v>142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 t="shared" si="2624"/>
        <v>15:00:45.836</v>
      </c>
      <c r="T4646" t="str">
        <f t="shared" si="2625"/>
        <v>15:00:45.536</v>
      </c>
      <c r="U4646" t="str">
        <f t="shared" si="2602"/>
        <v>ACC530</v>
      </c>
      <c r="V4646">
        <v>0</v>
      </c>
      <c r="W4646">
        <v>0</v>
      </c>
      <c r="X4646">
        <v>1</v>
      </c>
      <c r="Z4646">
        <v>0</v>
      </c>
      <c r="AA4646">
        <v>9</v>
      </c>
      <c r="AB4646">
        <v>3</v>
      </c>
      <c r="AC4646">
        <v>0</v>
      </c>
      <c r="AD4646">
        <v>9</v>
      </c>
      <c r="AE4646">
        <v>0</v>
      </c>
      <c r="AF4646">
        <v>3</v>
      </c>
      <c r="AG4646">
        <v>1</v>
      </c>
      <c r="AH4646">
        <v>0</v>
      </c>
      <c r="AI4646" t="s">
        <v>1364</v>
      </c>
      <c r="AJ4646">
        <v>34.071672</v>
      </c>
      <c r="AK4646" t="s">
        <v>1442</v>
      </c>
      <c r="AL4646">
        <v>-117.06773800000001</v>
      </c>
      <c r="AM4646">
        <v>100</v>
      </c>
      <c r="AN4646">
        <v>3700</v>
      </c>
      <c r="AO4646" t="s">
        <v>118</v>
      </c>
      <c r="AP4646">
        <v>-115</v>
      </c>
      <c r="AQ4646">
        <v>-52</v>
      </c>
      <c r="AR4646">
        <v>-1600</v>
      </c>
      <c r="AZ4646">
        <v>1200</v>
      </c>
      <c r="BA4646">
        <v>1</v>
      </c>
      <c r="BB4646" t="str">
        <f t="shared" si="2603"/>
        <v xml:space="preserve">N9217B  </v>
      </c>
      <c r="BC4646">
        <v>1</v>
      </c>
      <c r="BE4646">
        <v>0</v>
      </c>
      <c r="BF4646">
        <v>0</v>
      </c>
      <c r="BG4646">
        <v>0</v>
      </c>
      <c r="BH4646">
        <v>3475</v>
      </c>
      <c r="BI4646">
        <v>1</v>
      </c>
      <c r="BJ4646">
        <v>0</v>
      </c>
      <c r="BK4646">
        <v>0</v>
      </c>
      <c r="BL4646">
        <v>0</v>
      </c>
      <c r="BO4646">
        <v>0</v>
      </c>
      <c r="BP4646">
        <v>0</v>
      </c>
      <c r="BW4646" t="str">
        <f t="shared" si="2626"/>
        <v>15:00:45.839</v>
      </c>
      <c r="CJ4646">
        <v>0</v>
      </c>
      <c r="CK4646">
        <v>2</v>
      </c>
      <c r="CL4646">
        <v>0</v>
      </c>
      <c r="CM4646">
        <v>2</v>
      </c>
      <c r="CN4646">
        <v>0</v>
      </c>
      <c r="CO4646">
        <v>5</v>
      </c>
      <c r="CP4646" t="s">
        <v>119</v>
      </c>
      <c r="CQ4646">
        <v>298</v>
      </c>
      <c r="CR4646">
        <v>0</v>
      </c>
      <c r="CW4646">
        <v>10485114</v>
      </c>
      <c r="CY4646">
        <v>0</v>
      </c>
      <c r="CZ4646">
        <v>0</v>
      </c>
      <c r="DA4646">
        <v>1</v>
      </c>
      <c r="DB4646">
        <v>0</v>
      </c>
      <c r="DC4646">
        <v>0</v>
      </c>
      <c r="DD4646">
        <v>0</v>
      </c>
      <c r="DE4646">
        <v>0</v>
      </c>
      <c r="DF4646">
        <v>0</v>
      </c>
      <c r="DG4646">
        <v>0</v>
      </c>
      <c r="DH4646">
        <v>0</v>
      </c>
      <c r="DI4646">
        <v>0</v>
      </c>
    </row>
    <row r="4647" spans="1:113" x14ac:dyDescent="0.25">
      <c r="A4647" t="str">
        <f t="shared" si="2623"/>
        <v>06/05/2020 15:00:40.201</v>
      </c>
      <c r="C4647" t="str">
        <f t="shared" si="2622"/>
        <v>FFDFD3C0</v>
      </c>
      <c r="D4647" t="s">
        <v>148</v>
      </c>
      <c r="E4647">
        <v>8</v>
      </c>
      <c r="H4647">
        <v>50</v>
      </c>
      <c r="I4647" t="s">
        <v>149</v>
      </c>
      <c r="J4647" t="s">
        <v>150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 t="shared" si="2624"/>
        <v>15:00:45.836</v>
      </c>
      <c r="T4647" t="str">
        <f t="shared" si="2625"/>
        <v>15:00:45.536</v>
      </c>
      <c r="U4647" t="str">
        <f t="shared" si="2602"/>
        <v>ACC530</v>
      </c>
      <c r="V4647">
        <v>0</v>
      </c>
      <c r="W4647">
        <v>0</v>
      </c>
      <c r="X4647">
        <v>1</v>
      </c>
      <c r="Z4647">
        <v>0</v>
      </c>
      <c r="AA4647">
        <v>9</v>
      </c>
      <c r="AB4647">
        <v>3</v>
      </c>
      <c r="AC4647">
        <v>0</v>
      </c>
      <c r="AD4647">
        <v>9</v>
      </c>
      <c r="AE4647">
        <v>0</v>
      </c>
      <c r="AF4647">
        <v>3</v>
      </c>
      <c r="AG4647">
        <v>1</v>
      </c>
      <c r="AH4647">
        <v>0</v>
      </c>
      <c r="AI4647" t="s">
        <v>1364</v>
      </c>
      <c r="AJ4647">
        <v>34.071672</v>
      </c>
      <c r="AK4647" t="s">
        <v>1442</v>
      </c>
      <c r="AL4647">
        <v>-117.06773800000001</v>
      </c>
      <c r="AM4647">
        <v>100</v>
      </c>
      <c r="AN4647">
        <v>3700</v>
      </c>
      <c r="AO4647" t="s">
        <v>118</v>
      </c>
      <c r="AP4647">
        <v>-115</v>
      </c>
      <c r="AQ4647">
        <v>-52</v>
      </c>
      <c r="AR4647">
        <v>-1600</v>
      </c>
      <c r="AZ4647">
        <v>1200</v>
      </c>
      <c r="BA4647">
        <v>1</v>
      </c>
      <c r="BB4647" t="str">
        <f t="shared" si="2603"/>
        <v xml:space="preserve">N9217B  </v>
      </c>
      <c r="BC4647">
        <v>1</v>
      </c>
      <c r="BE4647">
        <v>0</v>
      </c>
      <c r="BF4647">
        <v>0</v>
      </c>
      <c r="BG4647">
        <v>0</v>
      </c>
      <c r="BH4647">
        <v>3475</v>
      </c>
      <c r="BI4647">
        <v>1</v>
      </c>
      <c r="BJ4647">
        <v>0</v>
      </c>
      <c r="BK4647">
        <v>0</v>
      </c>
      <c r="BL4647">
        <v>0</v>
      </c>
      <c r="BO4647">
        <v>0</v>
      </c>
      <c r="BP4647">
        <v>0</v>
      </c>
      <c r="BW4647" t="str">
        <f t="shared" si="2626"/>
        <v>15:00:45.839</v>
      </c>
      <c r="CJ4647">
        <v>0</v>
      </c>
      <c r="CK4647">
        <v>2</v>
      </c>
      <c r="CL4647">
        <v>0</v>
      </c>
      <c r="CM4647">
        <v>2</v>
      </c>
      <c r="CN4647">
        <v>0</v>
      </c>
      <c r="CO4647">
        <v>5</v>
      </c>
      <c r="CP4647" t="s">
        <v>119</v>
      </c>
      <c r="CQ4647">
        <v>298</v>
      </c>
      <c r="CR4647">
        <v>0</v>
      </c>
      <c r="CW4647">
        <v>10485114</v>
      </c>
      <c r="CY4647">
        <v>0</v>
      </c>
      <c r="CZ4647">
        <v>0</v>
      </c>
      <c r="DA4647">
        <v>1</v>
      </c>
      <c r="DB4647">
        <v>0</v>
      </c>
      <c r="DC4647">
        <v>0</v>
      </c>
      <c r="DD4647">
        <v>0</v>
      </c>
      <c r="DE4647">
        <v>0</v>
      </c>
      <c r="DF4647">
        <v>0</v>
      </c>
      <c r="DG4647">
        <v>0</v>
      </c>
      <c r="DH4647">
        <v>0</v>
      </c>
      <c r="DI4647">
        <v>0</v>
      </c>
    </row>
    <row r="4648" spans="1:113" x14ac:dyDescent="0.25">
      <c r="A4648" t="str">
        <f t="shared" si="2623"/>
        <v>06/05/2020 15:00:40.201</v>
      </c>
      <c r="C4648" t="str">
        <f t="shared" si="2622"/>
        <v>FFDFD3C0</v>
      </c>
      <c r="D4648" t="s">
        <v>134</v>
      </c>
      <c r="E4648">
        <v>7</v>
      </c>
      <c r="F4648">
        <v>2007</v>
      </c>
      <c r="G4648" t="s">
        <v>135</v>
      </c>
      <c r="J4648" t="s">
        <v>136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 t="shared" si="2624"/>
        <v>15:00:45.836</v>
      </c>
      <c r="T4648" t="str">
        <f t="shared" si="2625"/>
        <v>15:00:45.536</v>
      </c>
      <c r="U4648" t="str">
        <f t="shared" si="2602"/>
        <v>ACC530</v>
      </c>
      <c r="V4648">
        <v>0</v>
      </c>
      <c r="W4648">
        <v>0</v>
      </c>
      <c r="X4648">
        <v>1</v>
      </c>
      <c r="Z4648">
        <v>0</v>
      </c>
      <c r="AA4648">
        <v>9</v>
      </c>
      <c r="AB4648">
        <v>3</v>
      </c>
      <c r="AC4648">
        <v>0</v>
      </c>
      <c r="AD4648">
        <v>9</v>
      </c>
      <c r="AE4648">
        <v>0</v>
      </c>
      <c r="AF4648">
        <v>3</v>
      </c>
      <c r="AG4648">
        <v>1</v>
      </c>
      <c r="AH4648">
        <v>0</v>
      </c>
      <c r="AI4648" t="s">
        <v>1364</v>
      </c>
      <c r="AJ4648">
        <v>34.071672</v>
      </c>
      <c r="AK4648" t="s">
        <v>1442</v>
      </c>
      <c r="AL4648">
        <v>-117.06773800000001</v>
      </c>
      <c r="AM4648">
        <v>100</v>
      </c>
      <c r="AN4648">
        <v>3700</v>
      </c>
      <c r="AO4648" t="s">
        <v>118</v>
      </c>
      <c r="AP4648">
        <v>-115</v>
      </c>
      <c r="AQ4648">
        <v>-52</v>
      </c>
      <c r="AR4648">
        <v>-1600</v>
      </c>
      <c r="AZ4648">
        <v>1200</v>
      </c>
      <c r="BA4648">
        <v>1</v>
      </c>
      <c r="BB4648" t="str">
        <f t="shared" si="2603"/>
        <v xml:space="preserve">N9217B  </v>
      </c>
      <c r="BC4648">
        <v>1</v>
      </c>
      <c r="BE4648">
        <v>0</v>
      </c>
      <c r="BF4648">
        <v>0</v>
      </c>
      <c r="BG4648">
        <v>0</v>
      </c>
      <c r="BH4648">
        <v>3475</v>
      </c>
      <c r="BI4648">
        <v>1</v>
      </c>
      <c r="BJ4648">
        <v>0</v>
      </c>
      <c r="BK4648">
        <v>0</v>
      </c>
      <c r="BL4648">
        <v>0</v>
      </c>
      <c r="BO4648">
        <v>0</v>
      </c>
      <c r="BP4648">
        <v>0</v>
      </c>
      <c r="BW4648" t="str">
        <f t="shared" si="2626"/>
        <v>15:00:45.839</v>
      </c>
      <c r="CJ4648">
        <v>0</v>
      </c>
      <c r="CK4648">
        <v>2</v>
      </c>
      <c r="CL4648">
        <v>0</v>
      </c>
      <c r="CM4648">
        <v>2</v>
      </c>
      <c r="CN4648">
        <v>0</v>
      </c>
      <c r="CO4648">
        <v>5</v>
      </c>
      <c r="CP4648" t="s">
        <v>119</v>
      </c>
      <c r="CQ4648">
        <v>298</v>
      </c>
      <c r="CR4648">
        <v>0</v>
      </c>
      <c r="CW4648">
        <v>10485114</v>
      </c>
      <c r="CY4648">
        <v>0</v>
      </c>
      <c r="CZ4648">
        <v>0</v>
      </c>
      <c r="DA4648">
        <v>1</v>
      </c>
      <c r="DB4648">
        <v>0</v>
      </c>
      <c r="DC4648">
        <v>0</v>
      </c>
      <c r="DD4648">
        <v>0</v>
      </c>
      <c r="DE4648">
        <v>0</v>
      </c>
      <c r="DF4648">
        <v>0</v>
      </c>
      <c r="DG4648">
        <v>0</v>
      </c>
      <c r="DH4648">
        <v>0</v>
      </c>
      <c r="DI4648">
        <v>0</v>
      </c>
    </row>
    <row r="4649" spans="1:113" x14ac:dyDescent="0.25">
      <c r="A4649" t="str">
        <f t="shared" si="2623"/>
        <v>06/05/2020 15:00:40.201</v>
      </c>
      <c r="C4649" t="str">
        <f t="shared" si="2622"/>
        <v>FFDFD3C0</v>
      </c>
      <c r="D4649" t="s">
        <v>113</v>
      </c>
      <c r="E4649">
        <v>3</v>
      </c>
      <c r="H4649">
        <v>166</v>
      </c>
      <c r="I4649" t="s">
        <v>114</v>
      </c>
      <c r="J4649" t="s">
        <v>115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 t="shared" si="2624"/>
        <v>15:00:45.836</v>
      </c>
      <c r="T4649" t="str">
        <f t="shared" si="2625"/>
        <v>15:00:45.536</v>
      </c>
      <c r="U4649" t="str">
        <f t="shared" si="2602"/>
        <v>ACC530</v>
      </c>
      <c r="V4649">
        <v>0</v>
      </c>
      <c r="W4649">
        <v>0</v>
      </c>
      <c r="X4649">
        <v>1</v>
      </c>
      <c r="Z4649">
        <v>0</v>
      </c>
      <c r="AA4649">
        <v>9</v>
      </c>
      <c r="AB4649">
        <v>3</v>
      </c>
      <c r="AC4649">
        <v>0</v>
      </c>
      <c r="AD4649">
        <v>9</v>
      </c>
      <c r="AE4649">
        <v>0</v>
      </c>
      <c r="AF4649">
        <v>3</v>
      </c>
      <c r="AG4649">
        <v>1</v>
      </c>
      <c r="AH4649">
        <v>0</v>
      </c>
      <c r="AI4649" t="s">
        <v>1364</v>
      </c>
      <c r="AJ4649">
        <v>34.071672</v>
      </c>
      <c r="AK4649" t="s">
        <v>1442</v>
      </c>
      <c r="AL4649">
        <v>-117.06773800000001</v>
      </c>
      <c r="AM4649">
        <v>100</v>
      </c>
      <c r="AN4649">
        <v>3700</v>
      </c>
      <c r="AO4649" t="s">
        <v>118</v>
      </c>
      <c r="AP4649">
        <v>-115</v>
      </c>
      <c r="AQ4649">
        <v>-52</v>
      </c>
      <c r="AR4649">
        <v>-1600</v>
      </c>
      <c r="AZ4649">
        <v>1200</v>
      </c>
      <c r="BA4649">
        <v>1</v>
      </c>
      <c r="BB4649" t="str">
        <f t="shared" si="2603"/>
        <v xml:space="preserve">N9217B  </v>
      </c>
      <c r="BC4649">
        <v>1</v>
      </c>
      <c r="BE4649">
        <v>0</v>
      </c>
      <c r="BF4649">
        <v>0</v>
      </c>
      <c r="BG4649">
        <v>0</v>
      </c>
      <c r="BH4649">
        <v>3475</v>
      </c>
      <c r="BI4649">
        <v>1</v>
      </c>
      <c r="BJ4649">
        <v>0</v>
      </c>
      <c r="BK4649">
        <v>0</v>
      </c>
      <c r="BL4649">
        <v>0</v>
      </c>
      <c r="BO4649">
        <v>0</v>
      </c>
      <c r="BP4649">
        <v>0</v>
      </c>
      <c r="BW4649" t="str">
        <f t="shared" si="2626"/>
        <v>15:00:45.839</v>
      </c>
      <c r="CJ4649">
        <v>0</v>
      </c>
      <c r="CK4649">
        <v>2</v>
      </c>
      <c r="CL4649">
        <v>0</v>
      </c>
      <c r="CM4649">
        <v>2</v>
      </c>
      <c r="CN4649">
        <v>0</v>
      </c>
      <c r="CO4649">
        <v>5</v>
      </c>
      <c r="CP4649" t="s">
        <v>119</v>
      </c>
      <c r="CQ4649">
        <v>298</v>
      </c>
      <c r="CR4649">
        <v>0</v>
      </c>
      <c r="CW4649">
        <v>10485114</v>
      </c>
      <c r="CY4649">
        <v>0</v>
      </c>
      <c r="CZ4649">
        <v>0</v>
      </c>
      <c r="DA4649">
        <v>1</v>
      </c>
      <c r="DB4649">
        <v>0</v>
      </c>
      <c r="DC4649">
        <v>0</v>
      </c>
      <c r="DD4649">
        <v>0</v>
      </c>
      <c r="DE4649">
        <v>0</v>
      </c>
      <c r="DF4649">
        <v>0</v>
      </c>
      <c r="DG4649">
        <v>0</v>
      </c>
      <c r="DH4649">
        <v>0</v>
      </c>
      <c r="DI4649">
        <v>0</v>
      </c>
    </row>
    <row r="4650" spans="1:113" x14ac:dyDescent="0.25">
      <c r="A4650" t="str">
        <f t="shared" si="2623"/>
        <v>06/05/2020 15:00:40.201</v>
      </c>
      <c r="C4650" t="str">
        <f t="shared" si="2622"/>
        <v>FFDFD3C0</v>
      </c>
      <c r="D4650" t="s">
        <v>148</v>
      </c>
      <c r="E4650">
        <v>11</v>
      </c>
      <c r="H4650">
        <v>53</v>
      </c>
      <c r="I4650" t="s">
        <v>364</v>
      </c>
      <c r="J4650" t="s">
        <v>150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 t="shared" si="2624"/>
        <v>15:00:45.836</v>
      </c>
      <c r="T4650" t="str">
        <f t="shared" si="2625"/>
        <v>15:00:45.536</v>
      </c>
      <c r="U4650" t="str">
        <f t="shared" si="2602"/>
        <v>ACC530</v>
      </c>
      <c r="V4650">
        <v>0</v>
      </c>
      <c r="W4650">
        <v>0</v>
      </c>
      <c r="X4650">
        <v>1</v>
      </c>
      <c r="Z4650">
        <v>0</v>
      </c>
      <c r="AA4650">
        <v>9</v>
      </c>
      <c r="AB4650">
        <v>3</v>
      </c>
      <c r="AC4650">
        <v>0</v>
      </c>
      <c r="AD4650">
        <v>9</v>
      </c>
      <c r="AE4650">
        <v>0</v>
      </c>
      <c r="AF4650">
        <v>3</v>
      </c>
      <c r="AG4650">
        <v>1</v>
      </c>
      <c r="AH4650">
        <v>0</v>
      </c>
      <c r="AI4650" t="s">
        <v>1364</v>
      </c>
      <c r="AJ4650">
        <v>34.071672</v>
      </c>
      <c r="AK4650" t="s">
        <v>1442</v>
      </c>
      <c r="AL4650">
        <v>-117.06773800000001</v>
      </c>
      <c r="AM4650">
        <v>100</v>
      </c>
      <c r="AN4650">
        <v>3700</v>
      </c>
      <c r="AO4650" t="s">
        <v>118</v>
      </c>
      <c r="AP4650">
        <v>-115</v>
      </c>
      <c r="AQ4650">
        <v>-52</v>
      </c>
      <c r="AR4650">
        <v>-1600</v>
      </c>
      <c r="AZ4650">
        <v>1200</v>
      </c>
      <c r="BA4650">
        <v>1</v>
      </c>
      <c r="BB4650" t="str">
        <f t="shared" si="2603"/>
        <v xml:space="preserve">N9217B  </v>
      </c>
      <c r="BC4650">
        <v>1</v>
      </c>
      <c r="BE4650">
        <v>0</v>
      </c>
      <c r="BF4650">
        <v>0</v>
      </c>
      <c r="BG4650">
        <v>0</v>
      </c>
      <c r="BH4650">
        <v>3475</v>
      </c>
      <c r="BI4650">
        <v>1</v>
      </c>
      <c r="BJ4650">
        <v>0</v>
      </c>
      <c r="BK4650">
        <v>0</v>
      </c>
      <c r="BL4650">
        <v>0</v>
      </c>
      <c r="BO4650">
        <v>0</v>
      </c>
      <c r="BP4650">
        <v>0</v>
      </c>
      <c r="BW4650" t="str">
        <f t="shared" si="2626"/>
        <v>15:00:45.839</v>
      </c>
      <c r="CJ4650">
        <v>0</v>
      </c>
      <c r="CK4650">
        <v>2</v>
      </c>
      <c r="CL4650">
        <v>0</v>
      </c>
      <c r="CM4650">
        <v>2</v>
      </c>
      <c r="CN4650">
        <v>0</v>
      </c>
      <c r="CO4650">
        <v>5</v>
      </c>
      <c r="CP4650" t="s">
        <v>119</v>
      </c>
      <c r="CQ4650">
        <v>298</v>
      </c>
      <c r="CR4650">
        <v>0</v>
      </c>
      <c r="CW4650">
        <v>10485114</v>
      </c>
      <c r="CY4650">
        <v>0</v>
      </c>
      <c r="CZ4650">
        <v>0</v>
      </c>
      <c r="DA4650">
        <v>1</v>
      </c>
      <c r="DB4650">
        <v>0</v>
      </c>
      <c r="DC4650">
        <v>0</v>
      </c>
      <c r="DD4650">
        <v>0</v>
      </c>
      <c r="DE4650">
        <v>0</v>
      </c>
      <c r="DF4650">
        <v>0</v>
      </c>
      <c r="DG4650">
        <v>0</v>
      </c>
      <c r="DH4650">
        <v>0</v>
      </c>
      <c r="DI4650">
        <v>0</v>
      </c>
    </row>
    <row r="4651" spans="1:113" x14ac:dyDescent="0.25">
      <c r="A4651" t="str">
        <f t="shared" ref="A4651:A4656" si="2627">"06/05/2020 15:00:41.749"</f>
        <v>06/05/2020 15:00:41.749</v>
      </c>
      <c r="C4651" t="str">
        <f t="shared" si="2622"/>
        <v>FFDFD3C0</v>
      </c>
      <c r="D4651" t="s">
        <v>113</v>
      </c>
      <c r="E4651">
        <v>3</v>
      </c>
      <c r="H4651">
        <v>166</v>
      </c>
      <c r="I4651" t="s">
        <v>114</v>
      </c>
      <c r="J4651" t="s">
        <v>115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 t="shared" ref="S4651:S4656" si="2628">"15:00:47.383"</f>
        <v>15:00:47.383</v>
      </c>
      <c r="T4651" t="str">
        <f t="shared" ref="T4651:T4656" si="2629">"15:00:46.983"</f>
        <v>15:00:46.983</v>
      </c>
      <c r="U4651" t="str">
        <f t="shared" si="2602"/>
        <v>ACC530</v>
      </c>
      <c r="V4651">
        <v>0</v>
      </c>
      <c r="W4651">
        <v>0</v>
      </c>
      <c r="X4651">
        <v>1</v>
      </c>
      <c r="Z4651">
        <v>0</v>
      </c>
      <c r="AA4651">
        <v>9</v>
      </c>
      <c r="AB4651">
        <v>3</v>
      </c>
      <c r="AC4651">
        <v>0</v>
      </c>
      <c r="AD4651">
        <v>9</v>
      </c>
      <c r="AE4651">
        <v>0</v>
      </c>
      <c r="AF4651">
        <v>3</v>
      </c>
      <c r="AG4651">
        <v>1</v>
      </c>
      <c r="AH4651">
        <v>0</v>
      </c>
      <c r="AI4651" t="s">
        <v>1359</v>
      </c>
      <c r="AJ4651">
        <v>34.071306999999997</v>
      </c>
      <c r="AK4651" t="s">
        <v>1443</v>
      </c>
      <c r="AL4651">
        <v>-117.068703</v>
      </c>
      <c r="AM4651">
        <v>100</v>
      </c>
      <c r="AN4651">
        <v>3700</v>
      </c>
      <c r="AO4651" t="s">
        <v>118</v>
      </c>
      <c r="AP4651">
        <v>-114</v>
      </c>
      <c r="AQ4651">
        <v>-55</v>
      </c>
      <c r="AR4651">
        <v>-1600</v>
      </c>
      <c r="AZ4651">
        <v>1200</v>
      </c>
      <c r="BA4651">
        <v>1</v>
      </c>
      <c r="BB4651" t="str">
        <f t="shared" si="2603"/>
        <v xml:space="preserve">N9217B  </v>
      </c>
      <c r="BC4651">
        <v>1</v>
      </c>
      <c r="BE4651">
        <v>0</v>
      </c>
      <c r="BF4651">
        <v>0</v>
      </c>
      <c r="BG4651">
        <v>0</v>
      </c>
      <c r="BH4651">
        <v>3450</v>
      </c>
      <c r="BI4651">
        <v>1</v>
      </c>
      <c r="BJ4651">
        <v>0</v>
      </c>
      <c r="BK4651">
        <v>0</v>
      </c>
      <c r="BL4651">
        <v>0</v>
      </c>
      <c r="BO4651">
        <v>0</v>
      </c>
      <c r="BP4651">
        <v>0</v>
      </c>
      <c r="BW4651" t="str">
        <f t="shared" ref="BW4651:BW4656" si="2630">"15:00:47.384"</f>
        <v>15:00:47.384</v>
      </c>
      <c r="CJ4651">
        <v>0</v>
      </c>
      <c r="CK4651">
        <v>2</v>
      </c>
      <c r="CL4651">
        <v>0</v>
      </c>
      <c r="CM4651">
        <v>2</v>
      </c>
      <c r="CN4651">
        <v>0</v>
      </c>
      <c r="CO4651">
        <v>5</v>
      </c>
      <c r="CP4651" t="s">
        <v>119</v>
      </c>
      <c r="CQ4651">
        <v>298</v>
      </c>
      <c r="CR4651">
        <v>0</v>
      </c>
      <c r="CW4651">
        <v>10485324</v>
      </c>
      <c r="CY4651">
        <v>0</v>
      </c>
      <c r="CZ4651">
        <v>0</v>
      </c>
      <c r="DA4651">
        <v>0</v>
      </c>
      <c r="DB4651">
        <v>0</v>
      </c>
      <c r="DC4651">
        <v>0</v>
      </c>
      <c r="DD4651">
        <v>0</v>
      </c>
      <c r="DE4651">
        <v>0</v>
      </c>
      <c r="DF4651">
        <v>0</v>
      </c>
      <c r="DG4651">
        <v>0</v>
      </c>
      <c r="DH4651">
        <v>0</v>
      </c>
      <c r="DI4651">
        <v>0</v>
      </c>
    </row>
    <row r="4652" spans="1:113" x14ac:dyDescent="0.25">
      <c r="A4652" t="str">
        <f t="shared" si="2627"/>
        <v>06/05/2020 15:00:41.749</v>
      </c>
      <c r="C4652" t="str">
        <f t="shared" si="2622"/>
        <v>FFDFD3C0</v>
      </c>
      <c r="D4652" t="s">
        <v>148</v>
      </c>
      <c r="E4652">
        <v>11</v>
      </c>
      <c r="H4652">
        <v>53</v>
      </c>
      <c r="I4652" t="s">
        <v>364</v>
      </c>
      <c r="J4652" t="s">
        <v>150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 t="shared" si="2628"/>
        <v>15:00:47.383</v>
      </c>
      <c r="T4652" t="str">
        <f t="shared" si="2629"/>
        <v>15:00:46.983</v>
      </c>
      <c r="U4652" t="str">
        <f t="shared" si="2602"/>
        <v>ACC530</v>
      </c>
      <c r="V4652">
        <v>0</v>
      </c>
      <c r="W4652">
        <v>0</v>
      </c>
      <c r="X4652">
        <v>1</v>
      </c>
      <c r="Z4652">
        <v>0</v>
      </c>
      <c r="AA4652">
        <v>9</v>
      </c>
      <c r="AB4652">
        <v>3</v>
      </c>
      <c r="AC4652">
        <v>0</v>
      </c>
      <c r="AD4652">
        <v>9</v>
      </c>
      <c r="AE4652">
        <v>0</v>
      </c>
      <c r="AF4652">
        <v>3</v>
      </c>
      <c r="AG4652">
        <v>1</v>
      </c>
      <c r="AH4652">
        <v>0</v>
      </c>
      <c r="AI4652" t="s">
        <v>1359</v>
      </c>
      <c r="AJ4652">
        <v>34.071306999999997</v>
      </c>
      <c r="AK4652" t="s">
        <v>1443</v>
      </c>
      <c r="AL4652">
        <v>-117.068703</v>
      </c>
      <c r="AM4652">
        <v>100</v>
      </c>
      <c r="AN4652">
        <v>3700</v>
      </c>
      <c r="AO4652" t="s">
        <v>118</v>
      </c>
      <c r="AP4652">
        <v>-114</v>
      </c>
      <c r="AQ4652">
        <v>-55</v>
      </c>
      <c r="AR4652">
        <v>-1600</v>
      </c>
      <c r="AZ4652">
        <v>1200</v>
      </c>
      <c r="BA4652">
        <v>1</v>
      </c>
      <c r="BB4652" t="str">
        <f t="shared" si="2603"/>
        <v xml:space="preserve">N9217B  </v>
      </c>
      <c r="BC4652">
        <v>1</v>
      </c>
      <c r="BE4652">
        <v>0</v>
      </c>
      <c r="BF4652">
        <v>0</v>
      </c>
      <c r="BG4652">
        <v>0</v>
      </c>
      <c r="BH4652">
        <v>3450</v>
      </c>
      <c r="BI4652">
        <v>1</v>
      </c>
      <c r="BJ4652">
        <v>0</v>
      </c>
      <c r="BK4652">
        <v>0</v>
      </c>
      <c r="BL4652">
        <v>0</v>
      </c>
      <c r="BO4652">
        <v>0</v>
      </c>
      <c r="BP4652">
        <v>0</v>
      </c>
      <c r="BW4652" t="str">
        <f t="shared" si="2630"/>
        <v>15:00:47.384</v>
      </c>
      <c r="CJ4652">
        <v>0</v>
      </c>
      <c r="CK4652">
        <v>2</v>
      </c>
      <c r="CL4652">
        <v>0</v>
      </c>
      <c r="CM4652">
        <v>2</v>
      </c>
      <c r="CN4652">
        <v>0</v>
      </c>
      <c r="CO4652">
        <v>5</v>
      </c>
      <c r="CP4652" t="s">
        <v>119</v>
      </c>
      <c r="CQ4652">
        <v>298</v>
      </c>
      <c r="CR4652">
        <v>0</v>
      </c>
      <c r="CW4652">
        <v>10485324</v>
      </c>
      <c r="CY4652">
        <v>0</v>
      </c>
      <c r="CZ4652">
        <v>0</v>
      </c>
      <c r="DA4652">
        <v>1</v>
      </c>
      <c r="DB4652">
        <v>0</v>
      </c>
      <c r="DC4652">
        <v>0</v>
      </c>
      <c r="DD4652">
        <v>0</v>
      </c>
      <c r="DE4652">
        <v>0</v>
      </c>
      <c r="DF4652">
        <v>0</v>
      </c>
      <c r="DG4652">
        <v>0</v>
      </c>
      <c r="DH4652">
        <v>0</v>
      </c>
      <c r="DI4652">
        <v>0</v>
      </c>
    </row>
    <row r="4653" spans="1:113" x14ac:dyDescent="0.25">
      <c r="A4653" t="str">
        <f t="shared" si="2627"/>
        <v>06/05/2020 15:00:41.749</v>
      </c>
      <c r="C4653" t="str">
        <f t="shared" si="2622"/>
        <v>FFDFD3C0</v>
      </c>
      <c r="D4653" t="s">
        <v>151</v>
      </c>
      <c r="E4653">
        <v>8</v>
      </c>
      <c r="H4653">
        <v>225</v>
      </c>
      <c r="I4653" t="s">
        <v>353</v>
      </c>
      <c r="J4653" t="s">
        <v>150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 t="shared" si="2628"/>
        <v>15:00:47.383</v>
      </c>
      <c r="T4653" t="str">
        <f t="shared" si="2629"/>
        <v>15:00:46.983</v>
      </c>
      <c r="U4653" t="str">
        <f t="shared" si="2602"/>
        <v>ACC530</v>
      </c>
      <c r="V4653">
        <v>0</v>
      </c>
      <c r="W4653">
        <v>0</v>
      </c>
      <c r="X4653">
        <v>1</v>
      </c>
      <c r="Z4653">
        <v>0</v>
      </c>
      <c r="AA4653">
        <v>9</v>
      </c>
      <c r="AB4653">
        <v>3</v>
      </c>
      <c r="AC4653">
        <v>0</v>
      </c>
      <c r="AD4653">
        <v>9</v>
      </c>
      <c r="AE4653">
        <v>0</v>
      </c>
      <c r="AF4653">
        <v>3</v>
      </c>
      <c r="AG4653">
        <v>1</v>
      </c>
      <c r="AH4653">
        <v>0</v>
      </c>
      <c r="AI4653" t="s">
        <v>1359</v>
      </c>
      <c r="AJ4653">
        <v>34.071306999999997</v>
      </c>
      <c r="AK4653" t="s">
        <v>1443</v>
      </c>
      <c r="AL4653">
        <v>-117.068703</v>
      </c>
      <c r="AM4653">
        <v>100</v>
      </c>
      <c r="AN4653">
        <v>3700</v>
      </c>
      <c r="AO4653" t="s">
        <v>118</v>
      </c>
      <c r="AP4653">
        <v>-114</v>
      </c>
      <c r="AQ4653">
        <v>-55</v>
      </c>
      <c r="AR4653">
        <v>-1600</v>
      </c>
      <c r="AZ4653">
        <v>1200</v>
      </c>
      <c r="BA4653">
        <v>1</v>
      </c>
      <c r="BB4653" t="str">
        <f t="shared" si="2603"/>
        <v xml:space="preserve">N9217B  </v>
      </c>
      <c r="BC4653">
        <v>1</v>
      </c>
      <c r="BE4653">
        <v>0</v>
      </c>
      <c r="BF4653">
        <v>0</v>
      </c>
      <c r="BG4653">
        <v>0</v>
      </c>
      <c r="BH4653">
        <v>3450</v>
      </c>
      <c r="BI4653">
        <v>1</v>
      </c>
      <c r="BJ4653">
        <v>0</v>
      </c>
      <c r="BK4653">
        <v>0</v>
      </c>
      <c r="BL4653">
        <v>0</v>
      </c>
      <c r="BO4653">
        <v>0</v>
      </c>
      <c r="BP4653">
        <v>0</v>
      </c>
      <c r="BW4653" t="str">
        <f t="shared" si="2630"/>
        <v>15:00:47.384</v>
      </c>
      <c r="CJ4653">
        <v>0</v>
      </c>
      <c r="CK4653">
        <v>2</v>
      </c>
      <c r="CL4653">
        <v>0</v>
      </c>
      <c r="CM4653">
        <v>2</v>
      </c>
      <c r="CN4653">
        <v>0</v>
      </c>
      <c r="CO4653">
        <v>5</v>
      </c>
      <c r="CP4653" t="s">
        <v>119</v>
      </c>
      <c r="CQ4653">
        <v>298</v>
      </c>
      <c r="CR4653">
        <v>0</v>
      </c>
      <c r="CW4653">
        <v>10485324</v>
      </c>
      <c r="CY4653">
        <v>0</v>
      </c>
      <c r="CZ4653">
        <v>0</v>
      </c>
      <c r="DA4653">
        <v>1</v>
      </c>
      <c r="DB4653">
        <v>0</v>
      </c>
      <c r="DC4653">
        <v>0</v>
      </c>
      <c r="DD4653">
        <v>0</v>
      </c>
      <c r="DE4653">
        <v>0</v>
      </c>
      <c r="DF4653">
        <v>0</v>
      </c>
      <c r="DG4653">
        <v>0</v>
      </c>
      <c r="DH4653">
        <v>0</v>
      </c>
      <c r="DI4653">
        <v>0</v>
      </c>
    </row>
    <row r="4654" spans="1:113" x14ac:dyDescent="0.25">
      <c r="A4654" t="str">
        <f t="shared" si="2627"/>
        <v>06/05/2020 15:00:41.749</v>
      </c>
      <c r="C4654" t="str">
        <f t="shared" si="2622"/>
        <v>FFDFD3C0</v>
      </c>
      <c r="D4654" t="s">
        <v>141</v>
      </c>
      <c r="E4654">
        <v>20</v>
      </c>
      <c r="F4654">
        <v>1020</v>
      </c>
      <c r="G4654" t="s">
        <v>114</v>
      </c>
      <c r="J4654" t="s">
        <v>142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 t="shared" si="2628"/>
        <v>15:00:47.383</v>
      </c>
      <c r="T4654" t="str">
        <f t="shared" si="2629"/>
        <v>15:00:46.983</v>
      </c>
      <c r="U4654" t="str">
        <f t="shared" si="2602"/>
        <v>ACC530</v>
      </c>
      <c r="V4654">
        <v>0</v>
      </c>
      <c r="W4654">
        <v>0</v>
      </c>
      <c r="X4654">
        <v>1</v>
      </c>
      <c r="Z4654">
        <v>0</v>
      </c>
      <c r="AA4654">
        <v>9</v>
      </c>
      <c r="AB4654">
        <v>3</v>
      </c>
      <c r="AC4654">
        <v>0</v>
      </c>
      <c r="AD4654">
        <v>9</v>
      </c>
      <c r="AE4654">
        <v>0</v>
      </c>
      <c r="AF4654">
        <v>3</v>
      </c>
      <c r="AG4654">
        <v>1</v>
      </c>
      <c r="AH4654">
        <v>0</v>
      </c>
      <c r="AI4654" t="s">
        <v>1359</v>
      </c>
      <c r="AJ4654">
        <v>34.071306999999997</v>
      </c>
      <c r="AK4654" t="s">
        <v>1443</v>
      </c>
      <c r="AL4654">
        <v>-117.068703</v>
      </c>
      <c r="AM4654">
        <v>100</v>
      </c>
      <c r="AN4654">
        <v>3700</v>
      </c>
      <c r="AO4654" t="s">
        <v>118</v>
      </c>
      <c r="AP4654">
        <v>-114</v>
      </c>
      <c r="AQ4654">
        <v>-55</v>
      </c>
      <c r="AR4654">
        <v>-1600</v>
      </c>
      <c r="AZ4654">
        <v>1200</v>
      </c>
      <c r="BA4654">
        <v>1</v>
      </c>
      <c r="BB4654" t="str">
        <f t="shared" si="2603"/>
        <v xml:space="preserve">N9217B  </v>
      </c>
      <c r="BC4654">
        <v>1</v>
      </c>
      <c r="BE4654">
        <v>0</v>
      </c>
      <c r="BF4654">
        <v>0</v>
      </c>
      <c r="BG4654">
        <v>0</v>
      </c>
      <c r="BH4654">
        <v>3450</v>
      </c>
      <c r="BI4654">
        <v>1</v>
      </c>
      <c r="BJ4654">
        <v>0</v>
      </c>
      <c r="BK4654">
        <v>0</v>
      </c>
      <c r="BL4654">
        <v>0</v>
      </c>
      <c r="BO4654">
        <v>0</v>
      </c>
      <c r="BP4654">
        <v>0</v>
      </c>
      <c r="BW4654" t="str">
        <f t="shared" si="2630"/>
        <v>15:00:47.384</v>
      </c>
      <c r="CJ4654">
        <v>0</v>
      </c>
      <c r="CK4654">
        <v>2</v>
      </c>
      <c r="CL4654">
        <v>0</v>
      </c>
      <c r="CM4654">
        <v>2</v>
      </c>
      <c r="CN4654">
        <v>0</v>
      </c>
      <c r="CO4654">
        <v>5</v>
      </c>
      <c r="CP4654" t="s">
        <v>119</v>
      </c>
      <c r="CQ4654">
        <v>298</v>
      </c>
      <c r="CR4654">
        <v>0</v>
      </c>
      <c r="CW4654">
        <v>10485324</v>
      </c>
      <c r="CY4654">
        <v>0</v>
      </c>
      <c r="CZ4654">
        <v>0</v>
      </c>
      <c r="DA4654">
        <v>1</v>
      </c>
      <c r="DB4654">
        <v>0</v>
      </c>
      <c r="DC4654">
        <v>0</v>
      </c>
      <c r="DD4654">
        <v>0</v>
      </c>
      <c r="DE4654">
        <v>0</v>
      </c>
      <c r="DF4654">
        <v>0</v>
      </c>
      <c r="DG4654">
        <v>0</v>
      </c>
      <c r="DH4654">
        <v>0</v>
      </c>
      <c r="DI4654">
        <v>0</v>
      </c>
    </row>
    <row r="4655" spans="1:113" x14ac:dyDescent="0.25">
      <c r="A4655" t="str">
        <f t="shared" si="2627"/>
        <v>06/05/2020 15:00:41.749</v>
      </c>
      <c r="C4655" t="str">
        <f t="shared" si="2622"/>
        <v>FFDFD3C0</v>
      </c>
      <c r="D4655" t="s">
        <v>148</v>
      </c>
      <c r="E4655">
        <v>8</v>
      </c>
      <c r="H4655">
        <v>50</v>
      </c>
      <c r="I4655" t="s">
        <v>149</v>
      </c>
      <c r="J4655" t="s">
        <v>150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 t="shared" si="2628"/>
        <v>15:00:47.383</v>
      </c>
      <c r="T4655" t="str">
        <f t="shared" si="2629"/>
        <v>15:00:46.983</v>
      </c>
      <c r="U4655" t="str">
        <f t="shared" si="2602"/>
        <v>ACC530</v>
      </c>
      <c r="V4655">
        <v>0</v>
      </c>
      <c r="W4655">
        <v>0</v>
      </c>
      <c r="X4655">
        <v>1</v>
      </c>
      <c r="Z4655">
        <v>0</v>
      </c>
      <c r="AA4655">
        <v>9</v>
      </c>
      <c r="AB4655">
        <v>3</v>
      </c>
      <c r="AC4655">
        <v>0</v>
      </c>
      <c r="AD4655">
        <v>9</v>
      </c>
      <c r="AE4655">
        <v>0</v>
      </c>
      <c r="AF4655">
        <v>3</v>
      </c>
      <c r="AG4655">
        <v>1</v>
      </c>
      <c r="AH4655">
        <v>0</v>
      </c>
      <c r="AI4655" t="s">
        <v>1359</v>
      </c>
      <c r="AJ4655">
        <v>34.071306999999997</v>
      </c>
      <c r="AK4655" t="s">
        <v>1443</v>
      </c>
      <c r="AL4655">
        <v>-117.068703</v>
      </c>
      <c r="AM4655">
        <v>100</v>
      </c>
      <c r="AN4655">
        <v>3700</v>
      </c>
      <c r="AO4655" t="s">
        <v>118</v>
      </c>
      <c r="AP4655">
        <v>-114</v>
      </c>
      <c r="AQ4655">
        <v>-55</v>
      </c>
      <c r="AR4655">
        <v>-1600</v>
      </c>
      <c r="AZ4655">
        <v>1200</v>
      </c>
      <c r="BA4655">
        <v>1</v>
      </c>
      <c r="BB4655" t="str">
        <f t="shared" si="2603"/>
        <v xml:space="preserve">N9217B  </v>
      </c>
      <c r="BC4655">
        <v>1</v>
      </c>
      <c r="BE4655">
        <v>0</v>
      </c>
      <c r="BF4655">
        <v>0</v>
      </c>
      <c r="BG4655">
        <v>0</v>
      </c>
      <c r="BH4655">
        <v>3450</v>
      </c>
      <c r="BI4655">
        <v>1</v>
      </c>
      <c r="BJ4655">
        <v>0</v>
      </c>
      <c r="BK4655">
        <v>0</v>
      </c>
      <c r="BL4655">
        <v>0</v>
      </c>
      <c r="BO4655">
        <v>0</v>
      </c>
      <c r="BP4655">
        <v>0</v>
      </c>
      <c r="BW4655" t="str">
        <f t="shared" si="2630"/>
        <v>15:00:47.384</v>
      </c>
      <c r="CJ4655">
        <v>0</v>
      </c>
      <c r="CK4655">
        <v>2</v>
      </c>
      <c r="CL4655">
        <v>0</v>
      </c>
      <c r="CM4655">
        <v>2</v>
      </c>
      <c r="CN4655">
        <v>0</v>
      </c>
      <c r="CO4655">
        <v>5</v>
      </c>
      <c r="CP4655" t="s">
        <v>119</v>
      </c>
      <c r="CQ4655">
        <v>298</v>
      </c>
      <c r="CR4655">
        <v>0</v>
      </c>
      <c r="CW4655">
        <v>10485324</v>
      </c>
      <c r="CY4655">
        <v>0</v>
      </c>
      <c r="CZ4655">
        <v>0</v>
      </c>
      <c r="DA4655">
        <v>1</v>
      </c>
      <c r="DB4655">
        <v>0</v>
      </c>
      <c r="DC4655">
        <v>0</v>
      </c>
      <c r="DD4655">
        <v>0</v>
      </c>
      <c r="DE4655">
        <v>0</v>
      </c>
      <c r="DF4655">
        <v>0</v>
      </c>
      <c r="DG4655">
        <v>0</v>
      </c>
      <c r="DH4655">
        <v>0</v>
      </c>
      <c r="DI4655">
        <v>0</v>
      </c>
    </row>
    <row r="4656" spans="1:113" x14ac:dyDescent="0.25">
      <c r="A4656" t="str">
        <f t="shared" si="2627"/>
        <v>06/05/2020 15:00:41.749</v>
      </c>
      <c r="C4656" t="str">
        <f t="shared" si="2622"/>
        <v>FFDFD3C0</v>
      </c>
      <c r="D4656" t="s">
        <v>134</v>
      </c>
      <c r="E4656">
        <v>7</v>
      </c>
      <c r="F4656">
        <v>2007</v>
      </c>
      <c r="G4656" t="s">
        <v>135</v>
      </c>
      <c r="J4656" t="s">
        <v>136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 t="shared" si="2628"/>
        <v>15:00:47.383</v>
      </c>
      <c r="T4656" t="str">
        <f t="shared" si="2629"/>
        <v>15:00:46.983</v>
      </c>
      <c r="U4656" t="str">
        <f t="shared" si="2602"/>
        <v>ACC530</v>
      </c>
      <c r="V4656">
        <v>0</v>
      </c>
      <c r="W4656">
        <v>0</v>
      </c>
      <c r="X4656">
        <v>1</v>
      </c>
      <c r="Z4656">
        <v>0</v>
      </c>
      <c r="AA4656">
        <v>9</v>
      </c>
      <c r="AB4656">
        <v>3</v>
      </c>
      <c r="AC4656">
        <v>0</v>
      </c>
      <c r="AD4656">
        <v>9</v>
      </c>
      <c r="AE4656">
        <v>0</v>
      </c>
      <c r="AF4656">
        <v>3</v>
      </c>
      <c r="AG4656">
        <v>1</v>
      </c>
      <c r="AH4656">
        <v>0</v>
      </c>
      <c r="AI4656" t="s">
        <v>1359</v>
      </c>
      <c r="AJ4656">
        <v>34.071306999999997</v>
      </c>
      <c r="AK4656" t="s">
        <v>1443</v>
      </c>
      <c r="AL4656">
        <v>-117.068703</v>
      </c>
      <c r="AM4656">
        <v>100</v>
      </c>
      <c r="AN4656">
        <v>3700</v>
      </c>
      <c r="AO4656" t="s">
        <v>118</v>
      </c>
      <c r="AP4656">
        <v>-114</v>
      </c>
      <c r="AQ4656">
        <v>-55</v>
      </c>
      <c r="AR4656">
        <v>-1600</v>
      </c>
      <c r="AZ4656">
        <v>1200</v>
      </c>
      <c r="BA4656">
        <v>1</v>
      </c>
      <c r="BB4656" t="str">
        <f t="shared" si="2603"/>
        <v xml:space="preserve">N9217B  </v>
      </c>
      <c r="BC4656">
        <v>1</v>
      </c>
      <c r="BE4656">
        <v>0</v>
      </c>
      <c r="BF4656">
        <v>0</v>
      </c>
      <c r="BG4656">
        <v>0</v>
      </c>
      <c r="BH4656">
        <v>3450</v>
      </c>
      <c r="BI4656">
        <v>1</v>
      </c>
      <c r="BJ4656">
        <v>0</v>
      </c>
      <c r="BK4656">
        <v>0</v>
      </c>
      <c r="BL4656">
        <v>0</v>
      </c>
      <c r="BO4656">
        <v>0</v>
      </c>
      <c r="BP4656">
        <v>0</v>
      </c>
      <c r="BW4656" t="str">
        <f t="shared" si="2630"/>
        <v>15:00:47.384</v>
      </c>
      <c r="CJ4656">
        <v>0</v>
      </c>
      <c r="CK4656">
        <v>2</v>
      </c>
      <c r="CL4656">
        <v>0</v>
      </c>
      <c r="CM4656">
        <v>2</v>
      </c>
      <c r="CN4656">
        <v>0</v>
      </c>
      <c r="CO4656">
        <v>5</v>
      </c>
      <c r="CP4656" t="s">
        <v>119</v>
      </c>
      <c r="CQ4656">
        <v>298</v>
      </c>
      <c r="CR4656">
        <v>0</v>
      </c>
      <c r="CW4656">
        <v>10485324</v>
      </c>
      <c r="CY4656">
        <v>0</v>
      </c>
      <c r="CZ4656">
        <v>0</v>
      </c>
      <c r="DA4656">
        <v>1</v>
      </c>
      <c r="DB4656">
        <v>0</v>
      </c>
      <c r="DC4656">
        <v>0</v>
      </c>
      <c r="DD4656">
        <v>0</v>
      </c>
      <c r="DE4656">
        <v>0</v>
      </c>
      <c r="DF4656">
        <v>0</v>
      </c>
      <c r="DG4656">
        <v>0</v>
      </c>
      <c r="DH4656">
        <v>0</v>
      </c>
      <c r="DI4656">
        <v>0</v>
      </c>
    </row>
    <row r="4657" spans="1:113" x14ac:dyDescent="0.25">
      <c r="A4657" t="str">
        <f t="shared" ref="A4657:A4662" si="2631">"06/05/2020 15:00:42.760"</f>
        <v>06/05/2020 15:00:42.760</v>
      </c>
      <c r="C4657" t="str">
        <f t="shared" si="2622"/>
        <v>FFDFD3C0</v>
      </c>
      <c r="D4657" t="s">
        <v>113</v>
      </c>
      <c r="E4657">
        <v>3</v>
      </c>
      <c r="H4657">
        <v>166</v>
      </c>
      <c r="I4657" t="s">
        <v>114</v>
      </c>
      <c r="J4657" t="s">
        <v>115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 t="shared" ref="S4657:T4662" si="2632">"15:00:48.414"</f>
        <v>15:00:48.414</v>
      </c>
      <c r="T4657" t="str">
        <f t="shared" si="2632"/>
        <v>15:00:48.414</v>
      </c>
      <c r="U4657" t="str">
        <f t="shared" si="2602"/>
        <v>ACC530</v>
      </c>
      <c r="V4657">
        <v>0</v>
      </c>
      <c r="W4657">
        <v>0</v>
      </c>
      <c r="X4657">
        <v>1</v>
      </c>
      <c r="Z4657">
        <v>0</v>
      </c>
      <c r="AA4657">
        <v>9</v>
      </c>
      <c r="AB4657">
        <v>3</v>
      </c>
      <c r="AC4657">
        <v>0</v>
      </c>
      <c r="AD4657">
        <v>9</v>
      </c>
      <c r="AE4657">
        <v>0</v>
      </c>
      <c r="AF4657">
        <v>3</v>
      </c>
      <c r="AG4657">
        <v>1</v>
      </c>
      <c r="AH4657">
        <v>0</v>
      </c>
      <c r="AI4657" t="s">
        <v>1355</v>
      </c>
      <c r="AJ4657">
        <v>34.071027999999998</v>
      </c>
      <c r="AK4657" t="s">
        <v>1444</v>
      </c>
      <c r="AL4657">
        <v>-117.069368</v>
      </c>
      <c r="AM4657">
        <v>100</v>
      </c>
      <c r="AN4657">
        <v>3600</v>
      </c>
      <c r="AO4657" t="s">
        <v>118</v>
      </c>
      <c r="AP4657">
        <v>-112</v>
      </c>
      <c r="AQ4657">
        <v>-57</v>
      </c>
      <c r="AR4657">
        <v>-1920</v>
      </c>
      <c r="AZ4657">
        <v>1200</v>
      </c>
      <c r="BA4657">
        <v>1</v>
      </c>
      <c r="BB4657" t="str">
        <f t="shared" si="2603"/>
        <v xml:space="preserve">N9217B  </v>
      </c>
      <c r="BC4657">
        <v>1</v>
      </c>
      <c r="BE4657">
        <v>0</v>
      </c>
      <c r="BF4657">
        <v>0</v>
      </c>
      <c r="BG4657">
        <v>0</v>
      </c>
      <c r="BH4657">
        <v>3400</v>
      </c>
      <c r="BI4657">
        <v>1</v>
      </c>
      <c r="BJ4657">
        <v>0</v>
      </c>
      <c r="BK4657">
        <v>0</v>
      </c>
      <c r="BL4657">
        <v>0</v>
      </c>
      <c r="BO4657">
        <v>0</v>
      </c>
      <c r="BP4657">
        <v>0</v>
      </c>
      <c r="BW4657" t="str">
        <f t="shared" ref="BW4657:BW4662" si="2633">"15:00:48.419"</f>
        <v>15:00:48.419</v>
      </c>
      <c r="CJ4657">
        <v>0</v>
      </c>
      <c r="CK4657">
        <v>2</v>
      </c>
      <c r="CL4657">
        <v>0</v>
      </c>
      <c r="CM4657">
        <v>2</v>
      </c>
      <c r="CN4657">
        <v>0</v>
      </c>
      <c r="CO4657">
        <v>5</v>
      </c>
      <c r="CP4657" t="s">
        <v>119</v>
      </c>
      <c r="CQ4657">
        <v>298</v>
      </c>
      <c r="CR4657">
        <v>0</v>
      </c>
      <c r="CW4657">
        <v>10485467</v>
      </c>
      <c r="CY4657">
        <v>0</v>
      </c>
      <c r="CZ4657">
        <v>0</v>
      </c>
      <c r="DA4657">
        <v>0</v>
      </c>
      <c r="DB4657">
        <v>0</v>
      </c>
      <c r="DC4657">
        <v>0</v>
      </c>
      <c r="DD4657">
        <v>0</v>
      </c>
      <c r="DE4657">
        <v>0</v>
      </c>
      <c r="DF4657">
        <v>0</v>
      </c>
      <c r="DG4657">
        <v>0</v>
      </c>
      <c r="DH4657">
        <v>0</v>
      </c>
      <c r="DI4657">
        <v>0</v>
      </c>
    </row>
    <row r="4658" spans="1:113" x14ac:dyDescent="0.25">
      <c r="A4658" t="str">
        <f t="shared" si="2631"/>
        <v>06/05/2020 15:00:42.760</v>
      </c>
      <c r="C4658" t="str">
        <f t="shared" si="2622"/>
        <v>FFDFD3C0</v>
      </c>
      <c r="D4658" t="s">
        <v>148</v>
      </c>
      <c r="E4658">
        <v>11</v>
      </c>
      <c r="H4658">
        <v>53</v>
      </c>
      <c r="I4658" t="s">
        <v>364</v>
      </c>
      <c r="J4658" t="s">
        <v>150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 t="shared" si="2632"/>
        <v>15:00:48.414</v>
      </c>
      <c r="T4658" t="str">
        <f t="shared" si="2632"/>
        <v>15:00:48.414</v>
      </c>
      <c r="U4658" t="str">
        <f t="shared" si="2602"/>
        <v>ACC530</v>
      </c>
      <c r="V4658">
        <v>0</v>
      </c>
      <c r="W4658">
        <v>0</v>
      </c>
      <c r="X4658">
        <v>1</v>
      </c>
      <c r="Z4658">
        <v>0</v>
      </c>
      <c r="AA4658">
        <v>9</v>
      </c>
      <c r="AB4658">
        <v>3</v>
      </c>
      <c r="AC4658">
        <v>0</v>
      </c>
      <c r="AD4658">
        <v>9</v>
      </c>
      <c r="AE4658">
        <v>0</v>
      </c>
      <c r="AF4658">
        <v>3</v>
      </c>
      <c r="AG4658">
        <v>1</v>
      </c>
      <c r="AH4658">
        <v>0</v>
      </c>
      <c r="AI4658" t="s">
        <v>1355</v>
      </c>
      <c r="AJ4658">
        <v>34.071027999999998</v>
      </c>
      <c r="AK4658" t="s">
        <v>1444</v>
      </c>
      <c r="AL4658">
        <v>-117.069368</v>
      </c>
      <c r="AM4658">
        <v>100</v>
      </c>
      <c r="AN4658">
        <v>3600</v>
      </c>
      <c r="AO4658" t="s">
        <v>118</v>
      </c>
      <c r="AP4658">
        <v>-112</v>
      </c>
      <c r="AQ4658">
        <v>-57</v>
      </c>
      <c r="AR4658">
        <v>-1920</v>
      </c>
      <c r="AZ4658">
        <v>1200</v>
      </c>
      <c r="BA4658">
        <v>1</v>
      </c>
      <c r="BB4658" t="str">
        <f t="shared" si="2603"/>
        <v xml:space="preserve">N9217B  </v>
      </c>
      <c r="BC4658">
        <v>1</v>
      </c>
      <c r="BE4658">
        <v>0</v>
      </c>
      <c r="BF4658">
        <v>0</v>
      </c>
      <c r="BG4658">
        <v>0</v>
      </c>
      <c r="BH4658">
        <v>3400</v>
      </c>
      <c r="BI4658">
        <v>1</v>
      </c>
      <c r="BJ4658">
        <v>0</v>
      </c>
      <c r="BK4658">
        <v>0</v>
      </c>
      <c r="BL4658">
        <v>0</v>
      </c>
      <c r="BO4658">
        <v>0</v>
      </c>
      <c r="BP4658">
        <v>0</v>
      </c>
      <c r="BW4658" t="str">
        <f t="shared" si="2633"/>
        <v>15:00:48.419</v>
      </c>
      <c r="CJ4658">
        <v>0</v>
      </c>
      <c r="CK4658">
        <v>2</v>
      </c>
      <c r="CL4658">
        <v>0</v>
      </c>
      <c r="CM4658">
        <v>2</v>
      </c>
      <c r="CN4658">
        <v>0</v>
      </c>
      <c r="CO4658">
        <v>5</v>
      </c>
      <c r="CP4658" t="s">
        <v>119</v>
      </c>
      <c r="CQ4658">
        <v>298</v>
      </c>
      <c r="CR4658">
        <v>0</v>
      </c>
      <c r="CW4658">
        <v>10485467</v>
      </c>
      <c r="CY4658">
        <v>0</v>
      </c>
      <c r="CZ4658">
        <v>0</v>
      </c>
      <c r="DA4658">
        <v>1</v>
      </c>
      <c r="DB4658">
        <v>0</v>
      </c>
      <c r="DC4658">
        <v>0</v>
      </c>
      <c r="DD4658">
        <v>0</v>
      </c>
      <c r="DE4658">
        <v>0</v>
      </c>
      <c r="DF4658">
        <v>0</v>
      </c>
      <c r="DG4658">
        <v>0</v>
      </c>
      <c r="DH4658">
        <v>0</v>
      </c>
      <c r="DI4658">
        <v>0</v>
      </c>
    </row>
    <row r="4659" spans="1:113" x14ac:dyDescent="0.25">
      <c r="A4659" t="str">
        <f t="shared" si="2631"/>
        <v>06/05/2020 15:00:42.760</v>
      </c>
      <c r="C4659" t="str">
        <f t="shared" si="2622"/>
        <v>FFDFD3C0</v>
      </c>
      <c r="D4659" t="s">
        <v>151</v>
      </c>
      <c r="E4659">
        <v>8</v>
      </c>
      <c r="H4659">
        <v>225</v>
      </c>
      <c r="I4659" t="s">
        <v>353</v>
      </c>
      <c r="J4659" t="s">
        <v>150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 t="shared" si="2632"/>
        <v>15:00:48.414</v>
      </c>
      <c r="T4659" t="str">
        <f t="shared" si="2632"/>
        <v>15:00:48.414</v>
      </c>
      <c r="U4659" t="str">
        <f t="shared" si="2602"/>
        <v>ACC530</v>
      </c>
      <c r="V4659">
        <v>0</v>
      </c>
      <c r="W4659">
        <v>0</v>
      </c>
      <c r="X4659">
        <v>1</v>
      </c>
      <c r="Z4659">
        <v>0</v>
      </c>
      <c r="AA4659">
        <v>9</v>
      </c>
      <c r="AB4659">
        <v>3</v>
      </c>
      <c r="AC4659">
        <v>0</v>
      </c>
      <c r="AD4659">
        <v>9</v>
      </c>
      <c r="AE4659">
        <v>0</v>
      </c>
      <c r="AF4659">
        <v>3</v>
      </c>
      <c r="AG4659">
        <v>1</v>
      </c>
      <c r="AH4659">
        <v>0</v>
      </c>
      <c r="AI4659" t="s">
        <v>1355</v>
      </c>
      <c r="AJ4659">
        <v>34.071027999999998</v>
      </c>
      <c r="AK4659" t="s">
        <v>1444</v>
      </c>
      <c r="AL4659">
        <v>-117.069368</v>
      </c>
      <c r="AM4659">
        <v>100</v>
      </c>
      <c r="AN4659">
        <v>3600</v>
      </c>
      <c r="AO4659" t="s">
        <v>118</v>
      </c>
      <c r="AP4659">
        <v>-112</v>
      </c>
      <c r="AQ4659">
        <v>-57</v>
      </c>
      <c r="AR4659">
        <v>-1920</v>
      </c>
      <c r="AZ4659">
        <v>1200</v>
      </c>
      <c r="BA4659">
        <v>1</v>
      </c>
      <c r="BB4659" t="str">
        <f t="shared" si="2603"/>
        <v xml:space="preserve">N9217B  </v>
      </c>
      <c r="BC4659">
        <v>1</v>
      </c>
      <c r="BE4659">
        <v>0</v>
      </c>
      <c r="BF4659">
        <v>0</v>
      </c>
      <c r="BG4659">
        <v>0</v>
      </c>
      <c r="BH4659">
        <v>3400</v>
      </c>
      <c r="BI4659">
        <v>1</v>
      </c>
      <c r="BJ4659">
        <v>0</v>
      </c>
      <c r="BK4659">
        <v>0</v>
      </c>
      <c r="BL4659">
        <v>0</v>
      </c>
      <c r="BO4659">
        <v>0</v>
      </c>
      <c r="BP4659">
        <v>0</v>
      </c>
      <c r="BW4659" t="str">
        <f t="shared" si="2633"/>
        <v>15:00:48.419</v>
      </c>
      <c r="CJ4659">
        <v>0</v>
      </c>
      <c r="CK4659">
        <v>2</v>
      </c>
      <c r="CL4659">
        <v>0</v>
      </c>
      <c r="CM4659">
        <v>2</v>
      </c>
      <c r="CN4659">
        <v>0</v>
      </c>
      <c r="CO4659">
        <v>5</v>
      </c>
      <c r="CP4659" t="s">
        <v>119</v>
      </c>
      <c r="CQ4659">
        <v>298</v>
      </c>
      <c r="CR4659">
        <v>0</v>
      </c>
      <c r="CW4659">
        <v>10485467</v>
      </c>
      <c r="CY4659">
        <v>0</v>
      </c>
      <c r="CZ4659">
        <v>0</v>
      </c>
      <c r="DA4659">
        <v>1</v>
      </c>
      <c r="DB4659">
        <v>0</v>
      </c>
      <c r="DC4659">
        <v>0</v>
      </c>
      <c r="DD4659">
        <v>0</v>
      </c>
      <c r="DE4659">
        <v>0</v>
      </c>
      <c r="DF4659">
        <v>0</v>
      </c>
      <c r="DG4659">
        <v>0</v>
      </c>
      <c r="DH4659">
        <v>0</v>
      </c>
      <c r="DI4659">
        <v>0</v>
      </c>
    </row>
    <row r="4660" spans="1:113" x14ac:dyDescent="0.25">
      <c r="A4660" t="str">
        <f t="shared" si="2631"/>
        <v>06/05/2020 15:00:42.760</v>
      </c>
      <c r="C4660" t="str">
        <f t="shared" si="2622"/>
        <v>FFDFD3C0</v>
      </c>
      <c r="D4660" t="s">
        <v>141</v>
      </c>
      <c r="E4660">
        <v>20</v>
      </c>
      <c r="F4660">
        <v>1020</v>
      </c>
      <c r="G4660" t="s">
        <v>114</v>
      </c>
      <c r="J4660" t="s">
        <v>142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 t="shared" si="2632"/>
        <v>15:00:48.414</v>
      </c>
      <c r="T4660" t="str">
        <f t="shared" si="2632"/>
        <v>15:00:48.414</v>
      </c>
      <c r="U4660" t="str">
        <f t="shared" si="2602"/>
        <v>ACC530</v>
      </c>
      <c r="V4660">
        <v>0</v>
      </c>
      <c r="W4660">
        <v>0</v>
      </c>
      <c r="X4660">
        <v>1</v>
      </c>
      <c r="Z4660">
        <v>0</v>
      </c>
      <c r="AA4660">
        <v>9</v>
      </c>
      <c r="AB4660">
        <v>3</v>
      </c>
      <c r="AC4660">
        <v>0</v>
      </c>
      <c r="AD4660">
        <v>9</v>
      </c>
      <c r="AE4660">
        <v>0</v>
      </c>
      <c r="AF4660">
        <v>3</v>
      </c>
      <c r="AG4660">
        <v>1</v>
      </c>
      <c r="AH4660">
        <v>0</v>
      </c>
      <c r="AI4660" t="s">
        <v>1355</v>
      </c>
      <c r="AJ4660">
        <v>34.071027999999998</v>
      </c>
      <c r="AK4660" t="s">
        <v>1444</v>
      </c>
      <c r="AL4660">
        <v>-117.069368</v>
      </c>
      <c r="AM4660">
        <v>100</v>
      </c>
      <c r="AN4660">
        <v>3600</v>
      </c>
      <c r="AO4660" t="s">
        <v>118</v>
      </c>
      <c r="AP4660">
        <v>-112</v>
      </c>
      <c r="AQ4660">
        <v>-57</v>
      </c>
      <c r="AR4660">
        <v>-1920</v>
      </c>
      <c r="AZ4660">
        <v>1200</v>
      </c>
      <c r="BA4660">
        <v>1</v>
      </c>
      <c r="BB4660" t="str">
        <f t="shared" si="2603"/>
        <v xml:space="preserve">N9217B  </v>
      </c>
      <c r="BC4660">
        <v>1</v>
      </c>
      <c r="BE4660">
        <v>0</v>
      </c>
      <c r="BF4660">
        <v>0</v>
      </c>
      <c r="BG4660">
        <v>0</v>
      </c>
      <c r="BH4660">
        <v>3400</v>
      </c>
      <c r="BI4660">
        <v>1</v>
      </c>
      <c r="BJ4660">
        <v>0</v>
      </c>
      <c r="BK4660">
        <v>0</v>
      </c>
      <c r="BL4660">
        <v>0</v>
      </c>
      <c r="BO4660">
        <v>0</v>
      </c>
      <c r="BP4660">
        <v>0</v>
      </c>
      <c r="BW4660" t="str">
        <f t="shared" si="2633"/>
        <v>15:00:48.419</v>
      </c>
      <c r="CJ4660">
        <v>0</v>
      </c>
      <c r="CK4660">
        <v>2</v>
      </c>
      <c r="CL4660">
        <v>0</v>
      </c>
      <c r="CM4660">
        <v>2</v>
      </c>
      <c r="CN4660">
        <v>0</v>
      </c>
      <c r="CO4660">
        <v>5</v>
      </c>
      <c r="CP4660" t="s">
        <v>119</v>
      </c>
      <c r="CQ4660">
        <v>298</v>
      </c>
      <c r="CR4660">
        <v>0</v>
      </c>
      <c r="CW4660">
        <v>10485467</v>
      </c>
      <c r="CY4660">
        <v>0</v>
      </c>
      <c r="CZ4660">
        <v>0</v>
      </c>
      <c r="DA4660">
        <v>1</v>
      </c>
      <c r="DB4660">
        <v>0</v>
      </c>
      <c r="DC4660">
        <v>0</v>
      </c>
      <c r="DD4660">
        <v>0</v>
      </c>
      <c r="DE4660">
        <v>0</v>
      </c>
      <c r="DF4660">
        <v>0</v>
      </c>
      <c r="DG4660">
        <v>0</v>
      </c>
      <c r="DH4660">
        <v>0</v>
      </c>
      <c r="DI4660">
        <v>0</v>
      </c>
    </row>
    <row r="4661" spans="1:113" x14ac:dyDescent="0.25">
      <c r="A4661" t="str">
        <f t="shared" si="2631"/>
        <v>06/05/2020 15:00:42.760</v>
      </c>
      <c r="C4661" t="str">
        <f t="shared" si="2622"/>
        <v>FFDFD3C0</v>
      </c>
      <c r="D4661" t="s">
        <v>148</v>
      </c>
      <c r="E4661">
        <v>8</v>
      </c>
      <c r="H4661">
        <v>50</v>
      </c>
      <c r="I4661" t="s">
        <v>149</v>
      </c>
      <c r="J4661" t="s">
        <v>150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 t="shared" si="2632"/>
        <v>15:00:48.414</v>
      </c>
      <c r="T4661" t="str">
        <f t="shared" si="2632"/>
        <v>15:00:48.414</v>
      </c>
      <c r="U4661" t="str">
        <f t="shared" si="2602"/>
        <v>ACC530</v>
      </c>
      <c r="V4661">
        <v>0</v>
      </c>
      <c r="W4661">
        <v>0</v>
      </c>
      <c r="X4661">
        <v>1</v>
      </c>
      <c r="Z4661">
        <v>0</v>
      </c>
      <c r="AA4661">
        <v>9</v>
      </c>
      <c r="AB4661">
        <v>3</v>
      </c>
      <c r="AC4661">
        <v>0</v>
      </c>
      <c r="AD4661">
        <v>9</v>
      </c>
      <c r="AE4661">
        <v>0</v>
      </c>
      <c r="AF4661">
        <v>3</v>
      </c>
      <c r="AG4661">
        <v>1</v>
      </c>
      <c r="AH4661">
        <v>0</v>
      </c>
      <c r="AI4661" t="s">
        <v>1355</v>
      </c>
      <c r="AJ4661">
        <v>34.071027999999998</v>
      </c>
      <c r="AK4661" t="s">
        <v>1444</v>
      </c>
      <c r="AL4661">
        <v>-117.069368</v>
      </c>
      <c r="AM4661">
        <v>100</v>
      </c>
      <c r="AN4661">
        <v>3600</v>
      </c>
      <c r="AO4661" t="s">
        <v>118</v>
      </c>
      <c r="AP4661">
        <v>-112</v>
      </c>
      <c r="AQ4661">
        <v>-57</v>
      </c>
      <c r="AR4661">
        <v>-1920</v>
      </c>
      <c r="AZ4661">
        <v>1200</v>
      </c>
      <c r="BA4661">
        <v>1</v>
      </c>
      <c r="BB4661" t="str">
        <f t="shared" si="2603"/>
        <v xml:space="preserve">N9217B  </v>
      </c>
      <c r="BC4661">
        <v>1</v>
      </c>
      <c r="BE4661">
        <v>0</v>
      </c>
      <c r="BF4661">
        <v>0</v>
      </c>
      <c r="BG4661">
        <v>0</v>
      </c>
      <c r="BH4661">
        <v>3400</v>
      </c>
      <c r="BI4661">
        <v>1</v>
      </c>
      <c r="BJ4661">
        <v>0</v>
      </c>
      <c r="BK4661">
        <v>0</v>
      </c>
      <c r="BL4661">
        <v>0</v>
      </c>
      <c r="BO4661">
        <v>0</v>
      </c>
      <c r="BP4661">
        <v>0</v>
      </c>
      <c r="BW4661" t="str">
        <f t="shared" si="2633"/>
        <v>15:00:48.419</v>
      </c>
      <c r="CJ4661">
        <v>0</v>
      </c>
      <c r="CK4661">
        <v>2</v>
      </c>
      <c r="CL4661">
        <v>0</v>
      </c>
      <c r="CM4661">
        <v>2</v>
      </c>
      <c r="CN4661">
        <v>0</v>
      </c>
      <c r="CO4661">
        <v>5</v>
      </c>
      <c r="CP4661" t="s">
        <v>119</v>
      </c>
      <c r="CQ4661">
        <v>298</v>
      </c>
      <c r="CR4661">
        <v>0</v>
      </c>
      <c r="CW4661">
        <v>10485467</v>
      </c>
      <c r="CY4661">
        <v>0</v>
      </c>
      <c r="CZ4661">
        <v>0</v>
      </c>
      <c r="DA4661">
        <v>1</v>
      </c>
      <c r="DB4661">
        <v>0</v>
      </c>
      <c r="DC4661">
        <v>0</v>
      </c>
      <c r="DD4661">
        <v>0</v>
      </c>
      <c r="DE4661">
        <v>0</v>
      </c>
      <c r="DF4661">
        <v>0</v>
      </c>
      <c r="DG4661">
        <v>0</v>
      </c>
      <c r="DH4661">
        <v>0</v>
      </c>
      <c r="DI4661">
        <v>0</v>
      </c>
    </row>
    <row r="4662" spans="1:113" x14ac:dyDescent="0.25">
      <c r="A4662" t="str">
        <f t="shared" si="2631"/>
        <v>06/05/2020 15:00:42.760</v>
      </c>
      <c r="C4662" t="str">
        <f t="shared" si="2622"/>
        <v>FFDFD3C0</v>
      </c>
      <c r="D4662" t="s">
        <v>134</v>
      </c>
      <c r="E4662">
        <v>7</v>
      </c>
      <c r="F4662">
        <v>2007</v>
      </c>
      <c r="G4662" t="s">
        <v>135</v>
      </c>
      <c r="J4662" t="s">
        <v>136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 t="shared" si="2632"/>
        <v>15:00:48.414</v>
      </c>
      <c r="T4662" t="str">
        <f t="shared" si="2632"/>
        <v>15:00:48.414</v>
      </c>
      <c r="U4662" t="str">
        <f t="shared" si="2602"/>
        <v>ACC530</v>
      </c>
      <c r="V4662">
        <v>0</v>
      </c>
      <c r="W4662">
        <v>0</v>
      </c>
      <c r="X4662">
        <v>1</v>
      </c>
      <c r="Z4662">
        <v>0</v>
      </c>
      <c r="AA4662">
        <v>9</v>
      </c>
      <c r="AB4662">
        <v>3</v>
      </c>
      <c r="AC4662">
        <v>0</v>
      </c>
      <c r="AD4662">
        <v>9</v>
      </c>
      <c r="AE4662">
        <v>0</v>
      </c>
      <c r="AF4662">
        <v>3</v>
      </c>
      <c r="AG4662">
        <v>1</v>
      </c>
      <c r="AH4662">
        <v>0</v>
      </c>
      <c r="AI4662" t="s">
        <v>1355</v>
      </c>
      <c r="AJ4662">
        <v>34.071027999999998</v>
      </c>
      <c r="AK4662" t="s">
        <v>1444</v>
      </c>
      <c r="AL4662">
        <v>-117.069368</v>
      </c>
      <c r="AM4662">
        <v>100</v>
      </c>
      <c r="AN4662">
        <v>3600</v>
      </c>
      <c r="AO4662" t="s">
        <v>118</v>
      </c>
      <c r="AP4662">
        <v>-112</v>
      </c>
      <c r="AQ4662">
        <v>-57</v>
      </c>
      <c r="AR4662">
        <v>-1920</v>
      </c>
      <c r="AZ4662">
        <v>1200</v>
      </c>
      <c r="BA4662">
        <v>1</v>
      </c>
      <c r="BB4662" t="str">
        <f t="shared" si="2603"/>
        <v xml:space="preserve">N9217B  </v>
      </c>
      <c r="BC4662">
        <v>1</v>
      </c>
      <c r="BE4662">
        <v>0</v>
      </c>
      <c r="BF4662">
        <v>0</v>
      </c>
      <c r="BG4662">
        <v>0</v>
      </c>
      <c r="BH4662">
        <v>3400</v>
      </c>
      <c r="BI4662">
        <v>1</v>
      </c>
      <c r="BJ4662">
        <v>0</v>
      </c>
      <c r="BK4662">
        <v>0</v>
      </c>
      <c r="BL4662">
        <v>0</v>
      </c>
      <c r="BO4662">
        <v>0</v>
      </c>
      <c r="BP4662">
        <v>0</v>
      </c>
      <c r="BW4662" t="str">
        <f t="shared" si="2633"/>
        <v>15:00:48.419</v>
      </c>
      <c r="CJ4662">
        <v>0</v>
      </c>
      <c r="CK4662">
        <v>2</v>
      </c>
      <c r="CL4662">
        <v>0</v>
      </c>
      <c r="CM4662">
        <v>2</v>
      </c>
      <c r="CN4662">
        <v>0</v>
      </c>
      <c r="CO4662">
        <v>5</v>
      </c>
      <c r="CP4662" t="s">
        <v>119</v>
      </c>
      <c r="CQ4662">
        <v>298</v>
      </c>
      <c r="CR4662">
        <v>0</v>
      </c>
      <c r="CW4662">
        <v>10485467</v>
      </c>
      <c r="CY4662">
        <v>0</v>
      </c>
      <c r="CZ4662">
        <v>0</v>
      </c>
      <c r="DA4662">
        <v>1</v>
      </c>
      <c r="DB4662">
        <v>0</v>
      </c>
      <c r="DC4662">
        <v>0</v>
      </c>
      <c r="DD4662">
        <v>0</v>
      </c>
      <c r="DE4662">
        <v>0</v>
      </c>
      <c r="DF4662">
        <v>0</v>
      </c>
      <c r="DG4662">
        <v>0</v>
      </c>
      <c r="DH4662">
        <v>0</v>
      </c>
      <c r="DI4662">
        <v>0</v>
      </c>
    </row>
    <row r="4663" spans="1:113" x14ac:dyDescent="0.25">
      <c r="A4663" t="str">
        <f t="shared" ref="A4663:A4668" si="2634">"06/05/2020 15:00:43.632"</f>
        <v>06/05/2020 15:00:43.632</v>
      </c>
      <c r="C4663" t="str">
        <f t="shared" si="2622"/>
        <v>FFDFD3C0</v>
      </c>
      <c r="D4663" t="s">
        <v>148</v>
      </c>
      <c r="E4663">
        <v>11</v>
      </c>
      <c r="H4663">
        <v>53</v>
      </c>
      <c r="I4663" t="s">
        <v>364</v>
      </c>
      <c r="J4663" t="s">
        <v>150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 t="shared" ref="S4663:S4668" si="2635">"15:00:49.258"</f>
        <v>15:00:49.258</v>
      </c>
      <c r="T4663" t="str">
        <f t="shared" ref="T4663:T4668" si="2636">"15:00:48.858"</f>
        <v>15:00:48.858</v>
      </c>
      <c r="U4663" t="str">
        <f t="shared" si="2602"/>
        <v>ACC530</v>
      </c>
      <c r="V4663">
        <v>0</v>
      </c>
      <c r="W4663">
        <v>0</v>
      </c>
      <c r="X4663">
        <v>1</v>
      </c>
      <c r="Z4663">
        <v>0</v>
      </c>
      <c r="AA4663">
        <v>9</v>
      </c>
      <c r="AB4663">
        <v>3</v>
      </c>
      <c r="AC4663">
        <v>0</v>
      </c>
      <c r="AD4663">
        <v>9</v>
      </c>
      <c r="AE4663">
        <v>0</v>
      </c>
      <c r="AF4663">
        <v>3</v>
      </c>
      <c r="AG4663">
        <v>1</v>
      </c>
      <c r="AH4663">
        <v>0</v>
      </c>
      <c r="AI4663" t="s">
        <v>1351</v>
      </c>
      <c r="AJ4663">
        <v>34.070791999999997</v>
      </c>
      <c r="AK4663" t="s">
        <v>1445</v>
      </c>
      <c r="AL4663">
        <v>-117.069862</v>
      </c>
      <c r="AM4663">
        <v>100</v>
      </c>
      <c r="AN4663">
        <v>3600</v>
      </c>
      <c r="AO4663" t="s">
        <v>118</v>
      </c>
      <c r="AP4663">
        <v>-112</v>
      </c>
      <c r="AQ4663">
        <v>-57</v>
      </c>
      <c r="AR4663">
        <v>-1984</v>
      </c>
      <c r="AZ4663">
        <v>1200</v>
      </c>
      <c r="BA4663">
        <v>1</v>
      </c>
      <c r="BB4663" t="str">
        <f t="shared" si="2603"/>
        <v xml:space="preserve">N9217B  </v>
      </c>
      <c r="BC4663">
        <v>1</v>
      </c>
      <c r="BE4663">
        <v>0</v>
      </c>
      <c r="BF4663">
        <v>0</v>
      </c>
      <c r="BG4663">
        <v>0</v>
      </c>
      <c r="BH4663">
        <v>3375</v>
      </c>
      <c r="BI4663">
        <v>1</v>
      </c>
      <c r="BJ4663">
        <v>0</v>
      </c>
      <c r="BK4663">
        <v>0</v>
      </c>
      <c r="BL4663">
        <v>0</v>
      </c>
      <c r="BO4663">
        <v>0</v>
      </c>
      <c r="BP4663">
        <v>0</v>
      </c>
      <c r="BW4663" t="str">
        <f t="shared" ref="BW4663:BW4668" si="2637">"15:00:49.259"</f>
        <v>15:00:49.259</v>
      </c>
      <c r="CJ4663">
        <v>0</v>
      </c>
      <c r="CK4663">
        <v>2</v>
      </c>
      <c r="CL4663">
        <v>0</v>
      </c>
      <c r="CM4663">
        <v>2</v>
      </c>
      <c r="CN4663">
        <v>0</v>
      </c>
      <c r="CO4663">
        <v>5</v>
      </c>
      <c r="CP4663" t="s">
        <v>119</v>
      </c>
      <c r="CQ4663">
        <v>298</v>
      </c>
      <c r="CR4663">
        <v>0</v>
      </c>
      <c r="CW4663">
        <v>10485589</v>
      </c>
      <c r="CY4663">
        <v>0</v>
      </c>
      <c r="CZ4663">
        <v>0</v>
      </c>
      <c r="DA4663">
        <v>0</v>
      </c>
      <c r="DB4663">
        <v>0</v>
      </c>
      <c r="DC4663">
        <v>0</v>
      </c>
      <c r="DD4663">
        <v>0</v>
      </c>
      <c r="DE4663">
        <v>0</v>
      </c>
      <c r="DF4663">
        <v>0</v>
      </c>
      <c r="DG4663">
        <v>0</v>
      </c>
      <c r="DH4663">
        <v>0</v>
      </c>
      <c r="DI4663">
        <v>0</v>
      </c>
    </row>
    <row r="4664" spans="1:113" x14ac:dyDescent="0.25">
      <c r="A4664" t="str">
        <f t="shared" si="2634"/>
        <v>06/05/2020 15:00:43.632</v>
      </c>
      <c r="C4664" t="str">
        <f t="shared" si="2622"/>
        <v>FFDFD3C0</v>
      </c>
      <c r="D4664" t="s">
        <v>141</v>
      </c>
      <c r="E4664">
        <v>20</v>
      </c>
      <c r="F4664">
        <v>1020</v>
      </c>
      <c r="G4664" t="s">
        <v>114</v>
      </c>
      <c r="J4664" t="s">
        <v>142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 t="shared" si="2635"/>
        <v>15:00:49.258</v>
      </c>
      <c r="T4664" t="str">
        <f t="shared" si="2636"/>
        <v>15:00:48.858</v>
      </c>
      <c r="U4664" t="str">
        <f t="shared" si="2602"/>
        <v>ACC530</v>
      </c>
      <c r="V4664">
        <v>0</v>
      </c>
      <c r="W4664">
        <v>0</v>
      </c>
      <c r="X4664">
        <v>1</v>
      </c>
      <c r="Z4664">
        <v>0</v>
      </c>
      <c r="AA4664">
        <v>9</v>
      </c>
      <c r="AB4664">
        <v>3</v>
      </c>
      <c r="AC4664">
        <v>0</v>
      </c>
      <c r="AD4664">
        <v>9</v>
      </c>
      <c r="AE4664">
        <v>0</v>
      </c>
      <c r="AF4664">
        <v>3</v>
      </c>
      <c r="AG4664">
        <v>1</v>
      </c>
      <c r="AH4664">
        <v>0</v>
      </c>
      <c r="AI4664" t="s">
        <v>1351</v>
      </c>
      <c r="AJ4664">
        <v>34.070791999999997</v>
      </c>
      <c r="AK4664" t="s">
        <v>1445</v>
      </c>
      <c r="AL4664">
        <v>-117.069862</v>
      </c>
      <c r="AM4664">
        <v>100</v>
      </c>
      <c r="AN4664">
        <v>3600</v>
      </c>
      <c r="AO4664" t="s">
        <v>118</v>
      </c>
      <c r="AP4664">
        <v>-112</v>
      </c>
      <c r="AQ4664">
        <v>-57</v>
      </c>
      <c r="AR4664">
        <v>-1984</v>
      </c>
      <c r="AZ4664">
        <v>1200</v>
      </c>
      <c r="BA4664">
        <v>1</v>
      </c>
      <c r="BB4664" t="str">
        <f t="shared" si="2603"/>
        <v xml:space="preserve">N9217B  </v>
      </c>
      <c r="BC4664">
        <v>1</v>
      </c>
      <c r="BE4664">
        <v>0</v>
      </c>
      <c r="BF4664">
        <v>0</v>
      </c>
      <c r="BG4664">
        <v>0</v>
      </c>
      <c r="BH4664">
        <v>3375</v>
      </c>
      <c r="BI4664">
        <v>1</v>
      </c>
      <c r="BJ4664">
        <v>0</v>
      </c>
      <c r="BK4664">
        <v>0</v>
      </c>
      <c r="BL4664">
        <v>0</v>
      </c>
      <c r="BO4664">
        <v>0</v>
      </c>
      <c r="BP4664">
        <v>0</v>
      </c>
      <c r="BW4664" t="str">
        <f t="shared" si="2637"/>
        <v>15:00:49.259</v>
      </c>
      <c r="CJ4664">
        <v>0</v>
      </c>
      <c r="CK4664">
        <v>2</v>
      </c>
      <c r="CL4664">
        <v>0</v>
      </c>
      <c r="CM4664">
        <v>2</v>
      </c>
      <c r="CN4664">
        <v>0</v>
      </c>
      <c r="CO4664">
        <v>5</v>
      </c>
      <c r="CP4664" t="s">
        <v>119</v>
      </c>
      <c r="CQ4664">
        <v>298</v>
      </c>
      <c r="CR4664">
        <v>0</v>
      </c>
      <c r="CW4664">
        <v>10485589</v>
      </c>
      <c r="CY4664">
        <v>0</v>
      </c>
      <c r="CZ4664">
        <v>0</v>
      </c>
      <c r="DA4664">
        <v>1</v>
      </c>
      <c r="DB4664">
        <v>0</v>
      </c>
      <c r="DC4664">
        <v>0</v>
      </c>
      <c r="DD4664">
        <v>0</v>
      </c>
      <c r="DE4664">
        <v>0</v>
      </c>
      <c r="DF4664">
        <v>0</v>
      </c>
      <c r="DG4664">
        <v>0</v>
      </c>
      <c r="DH4664">
        <v>0</v>
      </c>
      <c r="DI4664">
        <v>0</v>
      </c>
    </row>
    <row r="4665" spans="1:113" x14ac:dyDescent="0.25">
      <c r="A4665" t="str">
        <f t="shared" si="2634"/>
        <v>06/05/2020 15:00:43.632</v>
      </c>
      <c r="C4665" t="str">
        <f t="shared" si="2622"/>
        <v>FFDFD3C0</v>
      </c>
      <c r="D4665" t="s">
        <v>151</v>
      </c>
      <c r="E4665">
        <v>8</v>
      </c>
      <c r="H4665">
        <v>225</v>
      </c>
      <c r="I4665" t="s">
        <v>353</v>
      </c>
      <c r="J4665" t="s">
        <v>150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 t="shared" si="2635"/>
        <v>15:00:49.258</v>
      </c>
      <c r="T4665" t="str">
        <f t="shared" si="2636"/>
        <v>15:00:48.858</v>
      </c>
      <c r="U4665" t="str">
        <f t="shared" si="2602"/>
        <v>ACC530</v>
      </c>
      <c r="V4665">
        <v>0</v>
      </c>
      <c r="W4665">
        <v>0</v>
      </c>
      <c r="X4665">
        <v>1</v>
      </c>
      <c r="Z4665">
        <v>0</v>
      </c>
      <c r="AA4665">
        <v>9</v>
      </c>
      <c r="AB4665">
        <v>3</v>
      </c>
      <c r="AC4665">
        <v>0</v>
      </c>
      <c r="AD4665">
        <v>9</v>
      </c>
      <c r="AE4665">
        <v>0</v>
      </c>
      <c r="AF4665">
        <v>3</v>
      </c>
      <c r="AG4665">
        <v>1</v>
      </c>
      <c r="AH4665">
        <v>0</v>
      </c>
      <c r="AI4665" t="s">
        <v>1351</v>
      </c>
      <c r="AJ4665">
        <v>34.070791999999997</v>
      </c>
      <c r="AK4665" t="s">
        <v>1445</v>
      </c>
      <c r="AL4665">
        <v>-117.069862</v>
      </c>
      <c r="AM4665">
        <v>100</v>
      </c>
      <c r="AN4665">
        <v>3600</v>
      </c>
      <c r="AO4665" t="s">
        <v>118</v>
      </c>
      <c r="AP4665">
        <v>-112</v>
      </c>
      <c r="AQ4665">
        <v>-57</v>
      </c>
      <c r="AR4665">
        <v>-1984</v>
      </c>
      <c r="AZ4665">
        <v>1200</v>
      </c>
      <c r="BA4665">
        <v>1</v>
      </c>
      <c r="BB4665" t="str">
        <f t="shared" si="2603"/>
        <v xml:space="preserve">N9217B  </v>
      </c>
      <c r="BC4665">
        <v>1</v>
      </c>
      <c r="BE4665">
        <v>0</v>
      </c>
      <c r="BF4665">
        <v>0</v>
      </c>
      <c r="BG4665">
        <v>0</v>
      </c>
      <c r="BH4665">
        <v>3375</v>
      </c>
      <c r="BI4665">
        <v>1</v>
      </c>
      <c r="BJ4665">
        <v>0</v>
      </c>
      <c r="BK4665">
        <v>0</v>
      </c>
      <c r="BL4665">
        <v>0</v>
      </c>
      <c r="BO4665">
        <v>0</v>
      </c>
      <c r="BP4665">
        <v>0</v>
      </c>
      <c r="BW4665" t="str">
        <f t="shared" si="2637"/>
        <v>15:00:49.259</v>
      </c>
      <c r="CJ4665">
        <v>0</v>
      </c>
      <c r="CK4665">
        <v>2</v>
      </c>
      <c r="CL4665">
        <v>0</v>
      </c>
      <c r="CM4665">
        <v>2</v>
      </c>
      <c r="CN4665">
        <v>0</v>
      </c>
      <c r="CO4665">
        <v>5</v>
      </c>
      <c r="CP4665" t="s">
        <v>119</v>
      </c>
      <c r="CQ4665">
        <v>298</v>
      </c>
      <c r="CR4665">
        <v>0</v>
      </c>
      <c r="CW4665">
        <v>10485589</v>
      </c>
      <c r="CY4665">
        <v>0</v>
      </c>
      <c r="CZ4665">
        <v>0</v>
      </c>
      <c r="DA4665">
        <v>1</v>
      </c>
      <c r="DB4665">
        <v>0</v>
      </c>
      <c r="DC4665">
        <v>0</v>
      </c>
      <c r="DD4665">
        <v>0</v>
      </c>
      <c r="DE4665">
        <v>0</v>
      </c>
      <c r="DF4665">
        <v>0</v>
      </c>
      <c r="DG4665">
        <v>0</v>
      </c>
      <c r="DH4665">
        <v>0</v>
      </c>
      <c r="DI4665">
        <v>0</v>
      </c>
    </row>
    <row r="4666" spans="1:113" x14ac:dyDescent="0.25">
      <c r="A4666" t="str">
        <f t="shared" si="2634"/>
        <v>06/05/2020 15:00:43.632</v>
      </c>
      <c r="C4666" t="str">
        <f t="shared" si="2622"/>
        <v>FFDFD3C0</v>
      </c>
      <c r="D4666" t="s">
        <v>148</v>
      </c>
      <c r="E4666">
        <v>8</v>
      </c>
      <c r="H4666">
        <v>50</v>
      </c>
      <c r="I4666" t="s">
        <v>149</v>
      </c>
      <c r="J4666" t="s">
        <v>150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 t="shared" si="2635"/>
        <v>15:00:49.258</v>
      </c>
      <c r="T4666" t="str">
        <f t="shared" si="2636"/>
        <v>15:00:48.858</v>
      </c>
      <c r="U4666" t="str">
        <f t="shared" si="2602"/>
        <v>ACC530</v>
      </c>
      <c r="V4666">
        <v>0</v>
      </c>
      <c r="W4666">
        <v>0</v>
      </c>
      <c r="X4666">
        <v>1</v>
      </c>
      <c r="Z4666">
        <v>0</v>
      </c>
      <c r="AA4666">
        <v>9</v>
      </c>
      <c r="AB4666">
        <v>3</v>
      </c>
      <c r="AC4666">
        <v>0</v>
      </c>
      <c r="AD4666">
        <v>9</v>
      </c>
      <c r="AE4666">
        <v>0</v>
      </c>
      <c r="AF4666">
        <v>3</v>
      </c>
      <c r="AG4666">
        <v>1</v>
      </c>
      <c r="AH4666">
        <v>0</v>
      </c>
      <c r="AI4666" t="s">
        <v>1351</v>
      </c>
      <c r="AJ4666">
        <v>34.070791999999997</v>
      </c>
      <c r="AK4666" t="s">
        <v>1445</v>
      </c>
      <c r="AL4666">
        <v>-117.069862</v>
      </c>
      <c r="AM4666">
        <v>100</v>
      </c>
      <c r="AN4666">
        <v>3600</v>
      </c>
      <c r="AO4666" t="s">
        <v>118</v>
      </c>
      <c r="AP4666">
        <v>-112</v>
      </c>
      <c r="AQ4666">
        <v>-57</v>
      </c>
      <c r="AR4666">
        <v>-1984</v>
      </c>
      <c r="AZ4666">
        <v>1200</v>
      </c>
      <c r="BA4666">
        <v>1</v>
      </c>
      <c r="BB4666" t="str">
        <f t="shared" si="2603"/>
        <v xml:space="preserve">N9217B  </v>
      </c>
      <c r="BC4666">
        <v>1</v>
      </c>
      <c r="BE4666">
        <v>0</v>
      </c>
      <c r="BF4666">
        <v>0</v>
      </c>
      <c r="BG4666">
        <v>0</v>
      </c>
      <c r="BH4666">
        <v>3375</v>
      </c>
      <c r="BI4666">
        <v>1</v>
      </c>
      <c r="BJ4666">
        <v>0</v>
      </c>
      <c r="BK4666">
        <v>0</v>
      </c>
      <c r="BL4666">
        <v>0</v>
      </c>
      <c r="BO4666">
        <v>0</v>
      </c>
      <c r="BP4666">
        <v>0</v>
      </c>
      <c r="BW4666" t="str">
        <f t="shared" si="2637"/>
        <v>15:00:49.259</v>
      </c>
      <c r="CJ4666">
        <v>0</v>
      </c>
      <c r="CK4666">
        <v>2</v>
      </c>
      <c r="CL4666">
        <v>0</v>
      </c>
      <c r="CM4666">
        <v>2</v>
      </c>
      <c r="CN4666">
        <v>0</v>
      </c>
      <c r="CO4666">
        <v>5</v>
      </c>
      <c r="CP4666" t="s">
        <v>119</v>
      </c>
      <c r="CQ4666">
        <v>298</v>
      </c>
      <c r="CR4666">
        <v>0</v>
      </c>
      <c r="CW4666">
        <v>10485589</v>
      </c>
      <c r="CY4666">
        <v>0</v>
      </c>
      <c r="CZ4666">
        <v>0</v>
      </c>
      <c r="DA4666">
        <v>1</v>
      </c>
      <c r="DB4666">
        <v>0</v>
      </c>
      <c r="DC4666">
        <v>0</v>
      </c>
      <c r="DD4666">
        <v>0</v>
      </c>
      <c r="DE4666">
        <v>0</v>
      </c>
      <c r="DF4666">
        <v>0</v>
      </c>
      <c r="DG4666">
        <v>0</v>
      </c>
      <c r="DH4666">
        <v>0</v>
      </c>
      <c r="DI4666">
        <v>0</v>
      </c>
    </row>
    <row r="4667" spans="1:113" x14ac:dyDescent="0.25">
      <c r="A4667" t="str">
        <f t="shared" si="2634"/>
        <v>06/05/2020 15:00:43.632</v>
      </c>
      <c r="C4667" t="str">
        <f t="shared" si="2622"/>
        <v>FFDFD3C0</v>
      </c>
      <c r="D4667" t="s">
        <v>134</v>
      </c>
      <c r="E4667">
        <v>7</v>
      </c>
      <c r="F4667">
        <v>2007</v>
      </c>
      <c r="G4667" t="s">
        <v>135</v>
      </c>
      <c r="J4667" t="s">
        <v>136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 t="shared" si="2635"/>
        <v>15:00:49.258</v>
      </c>
      <c r="T4667" t="str">
        <f t="shared" si="2636"/>
        <v>15:00:48.858</v>
      </c>
      <c r="U4667" t="str">
        <f t="shared" si="2602"/>
        <v>ACC530</v>
      </c>
      <c r="V4667">
        <v>0</v>
      </c>
      <c r="W4667">
        <v>0</v>
      </c>
      <c r="X4667">
        <v>1</v>
      </c>
      <c r="Z4667">
        <v>0</v>
      </c>
      <c r="AA4667">
        <v>9</v>
      </c>
      <c r="AB4667">
        <v>3</v>
      </c>
      <c r="AC4667">
        <v>0</v>
      </c>
      <c r="AD4667">
        <v>9</v>
      </c>
      <c r="AE4667">
        <v>0</v>
      </c>
      <c r="AF4667">
        <v>3</v>
      </c>
      <c r="AG4667">
        <v>1</v>
      </c>
      <c r="AH4667">
        <v>0</v>
      </c>
      <c r="AI4667" t="s">
        <v>1351</v>
      </c>
      <c r="AJ4667">
        <v>34.070791999999997</v>
      </c>
      <c r="AK4667" t="s">
        <v>1445</v>
      </c>
      <c r="AL4667">
        <v>-117.069862</v>
      </c>
      <c r="AM4667">
        <v>100</v>
      </c>
      <c r="AN4667">
        <v>3600</v>
      </c>
      <c r="AO4667" t="s">
        <v>118</v>
      </c>
      <c r="AP4667">
        <v>-112</v>
      </c>
      <c r="AQ4667">
        <v>-57</v>
      </c>
      <c r="AR4667">
        <v>-1984</v>
      </c>
      <c r="AZ4667">
        <v>1200</v>
      </c>
      <c r="BA4667">
        <v>1</v>
      </c>
      <c r="BB4667" t="str">
        <f t="shared" si="2603"/>
        <v xml:space="preserve">N9217B  </v>
      </c>
      <c r="BC4667">
        <v>1</v>
      </c>
      <c r="BE4667">
        <v>0</v>
      </c>
      <c r="BF4667">
        <v>0</v>
      </c>
      <c r="BG4667">
        <v>0</v>
      </c>
      <c r="BH4667">
        <v>3375</v>
      </c>
      <c r="BI4667">
        <v>1</v>
      </c>
      <c r="BJ4667">
        <v>0</v>
      </c>
      <c r="BK4667">
        <v>0</v>
      </c>
      <c r="BL4667">
        <v>0</v>
      </c>
      <c r="BO4667">
        <v>0</v>
      </c>
      <c r="BP4667">
        <v>0</v>
      </c>
      <c r="BW4667" t="str">
        <f t="shared" si="2637"/>
        <v>15:00:49.259</v>
      </c>
      <c r="CJ4667">
        <v>0</v>
      </c>
      <c r="CK4667">
        <v>2</v>
      </c>
      <c r="CL4667">
        <v>0</v>
      </c>
      <c r="CM4667">
        <v>2</v>
      </c>
      <c r="CN4667">
        <v>0</v>
      </c>
      <c r="CO4667">
        <v>5</v>
      </c>
      <c r="CP4667" t="s">
        <v>119</v>
      </c>
      <c r="CQ4667">
        <v>298</v>
      </c>
      <c r="CR4667">
        <v>0</v>
      </c>
      <c r="CW4667">
        <v>10485589</v>
      </c>
      <c r="CY4667">
        <v>0</v>
      </c>
      <c r="CZ4667">
        <v>0</v>
      </c>
      <c r="DA4667">
        <v>1</v>
      </c>
      <c r="DB4667">
        <v>0</v>
      </c>
      <c r="DC4667">
        <v>0</v>
      </c>
      <c r="DD4667">
        <v>0</v>
      </c>
      <c r="DE4667">
        <v>0</v>
      </c>
      <c r="DF4667">
        <v>0</v>
      </c>
      <c r="DG4667">
        <v>0</v>
      </c>
      <c r="DH4667">
        <v>0</v>
      </c>
      <c r="DI4667">
        <v>0</v>
      </c>
    </row>
    <row r="4668" spans="1:113" x14ac:dyDescent="0.25">
      <c r="A4668" t="str">
        <f t="shared" si="2634"/>
        <v>06/05/2020 15:00:43.632</v>
      </c>
      <c r="C4668" t="str">
        <f t="shared" si="2622"/>
        <v>FFDFD3C0</v>
      </c>
      <c r="D4668" t="s">
        <v>113</v>
      </c>
      <c r="E4668">
        <v>3</v>
      </c>
      <c r="H4668">
        <v>166</v>
      </c>
      <c r="I4668" t="s">
        <v>114</v>
      </c>
      <c r="J4668" t="s">
        <v>115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 t="shared" si="2635"/>
        <v>15:00:49.258</v>
      </c>
      <c r="T4668" t="str">
        <f t="shared" si="2636"/>
        <v>15:00:48.858</v>
      </c>
      <c r="U4668" t="str">
        <f t="shared" si="2602"/>
        <v>ACC530</v>
      </c>
      <c r="V4668">
        <v>0</v>
      </c>
      <c r="W4668">
        <v>0</v>
      </c>
      <c r="X4668">
        <v>1</v>
      </c>
      <c r="Z4668">
        <v>0</v>
      </c>
      <c r="AA4668">
        <v>9</v>
      </c>
      <c r="AB4668">
        <v>3</v>
      </c>
      <c r="AC4668">
        <v>0</v>
      </c>
      <c r="AD4668">
        <v>9</v>
      </c>
      <c r="AE4668">
        <v>0</v>
      </c>
      <c r="AF4668">
        <v>3</v>
      </c>
      <c r="AG4668">
        <v>1</v>
      </c>
      <c r="AH4668">
        <v>0</v>
      </c>
      <c r="AI4668" t="s">
        <v>1351</v>
      </c>
      <c r="AJ4668">
        <v>34.070791999999997</v>
      </c>
      <c r="AK4668" t="s">
        <v>1445</v>
      </c>
      <c r="AL4668">
        <v>-117.069862</v>
      </c>
      <c r="AM4668">
        <v>100</v>
      </c>
      <c r="AN4668">
        <v>3600</v>
      </c>
      <c r="AO4668" t="s">
        <v>118</v>
      </c>
      <c r="AP4668">
        <v>-112</v>
      </c>
      <c r="AQ4668">
        <v>-57</v>
      </c>
      <c r="AR4668">
        <v>-1984</v>
      </c>
      <c r="AZ4668">
        <v>1200</v>
      </c>
      <c r="BA4668">
        <v>1</v>
      </c>
      <c r="BB4668" t="str">
        <f t="shared" si="2603"/>
        <v xml:space="preserve">N9217B  </v>
      </c>
      <c r="BC4668">
        <v>1</v>
      </c>
      <c r="BE4668">
        <v>0</v>
      </c>
      <c r="BF4668">
        <v>0</v>
      </c>
      <c r="BG4668">
        <v>0</v>
      </c>
      <c r="BH4668">
        <v>3375</v>
      </c>
      <c r="BI4668">
        <v>1</v>
      </c>
      <c r="BJ4668">
        <v>0</v>
      </c>
      <c r="BK4668">
        <v>0</v>
      </c>
      <c r="BL4668">
        <v>0</v>
      </c>
      <c r="BO4668">
        <v>0</v>
      </c>
      <c r="BP4668">
        <v>0</v>
      </c>
      <c r="BW4668" t="str">
        <f t="shared" si="2637"/>
        <v>15:00:49.259</v>
      </c>
      <c r="CJ4668">
        <v>0</v>
      </c>
      <c r="CK4668">
        <v>2</v>
      </c>
      <c r="CL4668">
        <v>0</v>
      </c>
      <c r="CM4668">
        <v>2</v>
      </c>
      <c r="CN4668">
        <v>0</v>
      </c>
      <c r="CO4668">
        <v>5</v>
      </c>
      <c r="CP4668" t="s">
        <v>119</v>
      </c>
      <c r="CQ4668">
        <v>298</v>
      </c>
      <c r="CR4668">
        <v>0</v>
      </c>
      <c r="CW4668">
        <v>10485589</v>
      </c>
      <c r="CY4668">
        <v>0</v>
      </c>
      <c r="CZ4668">
        <v>0</v>
      </c>
      <c r="DA4668">
        <v>1</v>
      </c>
      <c r="DB4668">
        <v>0</v>
      </c>
      <c r="DC4668">
        <v>0</v>
      </c>
      <c r="DD4668">
        <v>0</v>
      </c>
      <c r="DE4668">
        <v>0</v>
      </c>
      <c r="DF4668">
        <v>0</v>
      </c>
      <c r="DG4668">
        <v>0</v>
      </c>
      <c r="DH4668">
        <v>0</v>
      </c>
      <c r="DI4668">
        <v>0</v>
      </c>
    </row>
    <row r="4669" spans="1:113" x14ac:dyDescent="0.25">
      <c r="A4669" t="str">
        <f t="shared" ref="A4669:A4674" si="2638">"06/05/2020 15:00:44.632"</f>
        <v>06/05/2020 15:00:44.632</v>
      </c>
      <c r="C4669" t="str">
        <f t="shared" si="2622"/>
        <v>FFDFD3C0</v>
      </c>
      <c r="D4669" t="s">
        <v>113</v>
      </c>
      <c r="E4669">
        <v>3</v>
      </c>
      <c r="H4669">
        <v>166</v>
      </c>
      <c r="I4669" t="s">
        <v>114</v>
      </c>
      <c r="J4669" t="s">
        <v>115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 t="shared" ref="S4669:S4674" si="2639">"15:00:50.289"</f>
        <v>15:00:50.289</v>
      </c>
      <c r="T4669" t="str">
        <f t="shared" ref="T4669:T4674" si="2640">"15:00:49.989"</f>
        <v>15:00:49.989</v>
      </c>
      <c r="U4669" t="str">
        <f t="shared" si="2602"/>
        <v>ACC530</v>
      </c>
      <c r="V4669">
        <v>0</v>
      </c>
      <c r="W4669">
        <v>0</v>
      </c>
      <c r="X4669">
        <v>1</v>
      </c>
      <c r="Z4669">
        <v>0</v>
      </c>
      <c r="AA4669">
        <v>9</v>
      </c>
      <c r="AB4669">
        <v>3</v>
      </c>
      <c r="AC4669">
        <v>0</v>
      </c>
      <c r="AD4669">
        <v>9</v>
      </c>
      <c r="AE4669">
        <v>0</v>
      </c>
      <c r="AF4669">
        <v>3</v>
      </c>
      <c r="AG4669">
        <v>1</v>
      </c>
      <c r="AH4669">
        <v>0</v>
      </c>
      <c r="AI4669" t="s">
        <v>1446</v>
      </c>
      <c r="AJ4669">
        <v>34.070512999999998</v>
      </c>
      <c r="AK4669" t="s">
        <v>1447</v>
      </c>
      <c r="AL4669">
        <v>-117.07048399999999</v>
      </c>
      <c r="AM4669">
        <v>100</v>
      </c>
      <c r="AN4669">
        <v>3600</v>
      </c>
      <c r="AO4669" t="s">
        <v>118</v>
      </c>
      <c r="AP4669">
        <v>-112</v>
      </c>
      <c r="AQ4669">
        <v>-58</v>
      </c>
      <c r="AR4669">
        <v>-2048</v>
      </c>
      <c r="AZ4669">
        <v>1200</v>
      </c>
      <c r="BA4669">
        <v>1</v>
      </c>
      <c r="BB4669" t="str">
        <f t="shared" si="2603"/>
        <v xml:space="preserve">N9217B  </v>
      </c>
      <c r="BC4669">
        <v>1</v>
      </c>
      <c r="BE4669">
        <v>0</v>
      </c>
      <c r="BF4669">
        <v>0</v>
      </c>
      <c r="BG4669">
        <v>0</v>
      </c>
      <c r="BH4669">
        <v>3350</v>
      </c>
      <c r="BI4669">
        <v>1</v>
      </c>
      <c r="BJ4669">
        <v>0</v>
      </c>
      <c r="BK4669">
        <v>0</v>
      </c>
      <c r="BL4669">
        <v>0</v>
      </c>
      <c r="BO4669">
        <v>0</v>
      </c>
      <c r="BP4669">
        <v>0</v>
      </c>
      <c r="BW4669" t="str">
        <f t="shared" ref="BW4669:BW4674" si="2641">"15:00:50.294"</f>
        <v>15:00:50.294</v>
      </c>
      <c r="CJ4669">
        <v>0</v>
      </c>
      <c r="CK4669">
        <v>2</v>
      </c>
      <c r="CL4669">
        <v>0</v>
      </c>
      <c r="CM4669">
        <v>2</v>
      </c>
      <c r="CN4669">
        <v>0</v>
      </c>
      <c r="CO4669">
        <v>5</v>
      </c>
      <c r="CP4669" t="s">
        <v>119</v>
      </c>
      <c r="CQ4669">
        <v>298</v>
      </c>
      <c r="CR4669">
        <v>0</v>
      </c>
      <c r="CW4669">
        <v>10485733</v>
      </c>
      <c r="CY4669">
        <v>0</v>
      </c>
      <c r="CZ4669">
        <v>0</v>
      </c>
      <c r="DA4669">
        <v>0</v>
      </c>
      <c r="DB4669">
        <v>0</v>
      </c>
      <c r="DC4669">
        <v>0</v>
      </c>
      <c r="DD4669">
        <v>0</v>
      </c>
      <c r="DE4669">
        <v>0</v>
      </c>
      <c r="DF4669">
        <v>0</v>
      </c>
      <c r="DG4669">
        <v>0</v>
      </c>
      <c r="DH4669">
        <v>0</v>
      </c>
      <c r="DI4669">
        <v>0</v>
      </c>
    </row>
    <row r="4670" spans="1:113" x14ac:dyDescent="0.25">
      <c r="A4670" t="str">
        <f t="shared" si="2638"/>
        <v>06/05/2020 15:00:44.632</v>
      </c>
      <c r="C4670" t="str">
        <f t="shared" si="2622"/>
        <v>FFDFD3C0</v>
      </c>
      <c r="D4670" t="s">
        <v>148</v>
      </c>
      <c r="E4670">
        <v>11</v>
      </c>
      <c r="H4670">
        <v>53</v>
      </c>
      <c r="I4670" t="s">
        <v>364</v>
      </c>
      <c r="J4670" t="s">
        <v>150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 t="shared" si="2639"/>
        <v>15:00:50.289</v>
      </c>
      <c r="T4670" t="str">
        <f t="shared" si="2640"/>
        <v>15:00:49.989</v>
      </c>
      <c r="U4670" t="str">
        <f t="shared" si="2602"/>
        <v>ACC530</v>
      </c>
      <c r="V4670">
        <v>0</v>
      </c>
      <c r="W4670">
        <v>0</v>
      </c>
      <c r="X4670">
        <v>1</v>
      </c>
      <c r="Z4670">
        <v>0</v>
      </c>
      <c r="AA4670">
        <v>9</v>
      </c>
      <c r="AB4670">
        <v>3</v>
      </c>
      <c r="AC4670">
        <v>0</v>
      </c>
      <c r="AD4670">
        <v>9</v>
      </c>
      <c r="AE4670">
        <v>0</v>
      </c>
      <c r="AF4670">
        <v>3</v>
      </c>
      <c r="AG4670">
        <v>1</v>
      </c>
      <c r="AH4670">
        <v>0</v>
      </c>
      <c r="AI4670" t="s">
        <v>1446</v>
      </c>
      <c r="AJ4670">
        <v>34.070512999999998</v>
      </c>
      <c r="AK4670" t="s">
        <v>1447</v>
      </c>
      <c r="AL4670">
        <v>-117.07048399999999</v>
      </c>
      <c r="AM4670">
        <v>100</v>
      </c>
      <c r="AN4670">
        <v>3600</v>
      </c>
      <c r="AO4670" t="s">
        <v>118</v>
      </c>
      <c r="AP4670">
        <v>-112</v>
      </c>
      <c r="AQ4670">
        <v>-58</v>
      </c>
      <c r="AR4670">
        <v>-2048</v>
      </c>
      <c r="AZ4670">
        <v>1200</v>
      </c>
      <c r="BA4670">
        <v>1</v>
      </c>
      <c r="BB4670" t="str">
        <f t="shared" si="2603"/>
        <v xml:space="preserve">N9217B  </v>
      </c>
      <c r="BC4670">
        <v>1</v>
      </c>
      <c r="BE4670">
        <v>0</v>
      </c>
      <c r="BF4670">
        <v>0</v>
      </c>
      <c r="BG4670">
        <v>0</v>
      </c>
      <c r="BH4670">
        <v>3350</v>
      </c>
      <c r="BI4670">
        <v>1</v>
      </c>
      <c r="BJ4670">
        <v>0</v>
      </c>
      <c r="BK4670">
        <v>0</v>
      </c>
      <c r="BL4670">
        <v>0</v>
      </c>
      <c r="BO4670">
        <v>0</v>
      </c>
      <c r="BP4670">
        <v>0</v>
      </c>
      <c r="BW4670" t="str">
        <f t="shared" si="2641"/>
        <v>15:00:50.294</v>
      </c>
      <c r="CJ4670">
        <v>0</v>
      </c>
      <c r="CK4670">
        <v>2</v>
      </c>
      <c r="CL4670">
        <v>0</v>
      </c>
      <c r="CM4670">
        <v>2</v>
      </c>
      <c r="CN4670">
        <v>0</v>
      </c>
      <c r="CO4670">
        <v>5</v>
      </c>
      <c r="CP4670" t="s">
        <v>119</v>
      </c>
      <c r="CQ4670">
        <v>298</v>
      </c>
      <c r="CR4670">
        <v>0</v>
      </c>
      <c r="CW4670">
        <v>10485733</v>
      </c>
      <c r="CY4670">
        <v>0</v>
      </c>
      <c r="CZ4670">
        <v>0</v>
      </c>
      <c r="DA4670">
        <v>1</v>
      </c>
      <c r="DB4670">
        <v>0</v>
      </c>
      <c r="DC4670">
        <v>0</v>
      </c>
      <c r="DD4670">
        <v>0</v>
      </c>
      <c r="DE4670">
        <v>0</v>
      </c>
      <c r="DF4670">
        <v>0</v>
      </c>
      <c r="DG4670">
        <v>0</v>
      </c>
      <c r="DH4670">
        <v>0</v>
      </c>
      <c r="DI4670">
        <v>0</v>
      </c>
    </row>
    <row r="4671" spans="1:113" x14ac:dyDescent="0.25">
      <c r="A4671" t="str">
        <f t="shared" si="2638"/>
        <v>06/05/2020 15:00:44.632</v>
      </c>
      <c r="C4671" t="str">
        <f t="shared" si="2622"/>
        <v>FFDFD3C0</v>
      </c>
      <c r="D4671" t="s">
        <v>141</v>
      </c>
      <c r="E4671">
        <v>20</v>
      </c>
      <c r="F4671">
        <v>1020</v>
      </c>
      <c r="G4671" t="s">
        <v>114</v>
      </c>
      <c r="J4671" t="s">
        <v>142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 t="shared" si="2639"/>
        <v>15:00:50.289</v>
      </c>
      <c r="T4671" t="str">
        <f t="shared" si="2640"/>
        <v>15:00:49.989</v>
      </c>
      <c r="U4671" t="str">
        <f t="shared" si="2602"/>
        <v>ACC530</v>
      </c>
      <c r="V4671">
        <v>0</v>
      </c>
      <c r="W4671">
        <v>0</v>
      </c>
      <c r="X4671">
        <v>1</v>
      </c>
      <c r="Z4671">
        <v>0</v>
      </c>
      <c r="AA4671">
        <v>9</v>
      </c>
      <c r="AB4671">
        <v>3</v>
      </c>
      <c r="AC4671">
        <v>0</v>
      </c>
      <c r="AD4671">
        <v>9</v>
      </c>
      <c r="AE4671">
        <v>0</v>
      </c>
      <c r="AF4671">
        <v>3</v>
      </c>
      <c r="AG4671">
        <v>1</v>
      </c>
      <c r="AH4671">
        <v>0</v>
      </c>
      <c r="AI4671" t="s">
        <v>1446</v>
      </c>
      <c r="AJ4671">
        <v>34.070512999999998</v>
      </c>
      <c r="AK4671" t="s">
        <v>1447</v>
      </c>
      <c r="AL4671">
        <v>-117.07048399999999</v>
      </c>
      <c r="AM4671">
        <v>100</v>
      </c>
      <c r="AN4671">
        <v>3600</v>
      </c>
      <c r="AO4671" t="s">
        <v>118</v>
      </c>
      <c r="AP4671">
        <v>-112</v>
      </c>
      <c r="AQ4671">
        <v>-58</v>
      </c>
      <c r="AR4671">
        <v>-2048</v>
      </c>
      <c r="AZ4671">
        <v>1200</v>
      </c>
      <c r="BA4671">
        <v>1</v>
      </c>
      <c r="BB4671" t="str">
        <f t="shared" si="2603"/>
        <v xml:space="preserve">N9217B  </v>
      </c>
      <c r="BC4671">
        <v>1</v>
      </c>
      <c r="BE4671">
        <v>0</v>
      </c>
      <c r="BF4671">
        <v>0</v>
      </c>
      <c r="BG4671">
        <v>0</v>
      </c>
      <c r="BH4671">
        <v>3350</v>
      </c>
      <c r="BI4671">
        <v>1</v>
      </c>
      <c r="BJ4671">
        <v>0</v>
      </c>
      <c r="BK4671">
        <v>0</v>
      </c>
      <c r="BL4671">
        <v>0</v>
      </c>
      <c r="BO4671">
        <v>0</v>
      </c>
      <c r="BP4671">
        <v>0</v>
      </c>
      <c r="BW4671" t="str">
        <f t="shared" si="2641"/>
        <v>15:00:50.294</v>
      </c>
      <c r="CJ4671">
        <v>0</v>
      </c>
      <c r="CK4671">
        <v>2</v>
      </c>
      <c r="CL4671">
        <v>0</v>
      </c>
      <c r="CM4671">
        <v>2</v>
      </c>
      <c r="CN4671">
        <v>0</v>
      </c>
      <c r="CO4671">
        <v>5</v>
      </c>
      <c r="CP4671" t="s">
        <v>119</v>
      </c>
      <c r="CQ4671">
        <v>298</v>
      </c>
      <c r="CR4671">
        <v>0</v>
      </c>
      <c r="CW4671">
        <v>10485733</v>
      </c>
      <c r="CY4671">
        <v>0</v>
      </c>
      <c r="CZ4671">
        <v>0</v>
      </c>
      <c r="DA4671">
        <v>1</v>
      </c>
      <c r="DB4671">
        <v>0</v>
      </c>
      <c r="DC4671">
        <v>0</v>
      </c>
      <c r="DD4671">
        <v>0</v>
      </c>
      <c r="DE4671">
        <v>0</v>
      </c>
      <c r="DF4671">
        <v>0</v>
      </c>
      <c r="DG4671">
        <v>0</v>
      </c>
      <c r="DH4671">
        <v>0</v>
      </c>
      <c r="DI4671">
        <v>0</v>
      </c>
    </row>
    <row r="4672" spans="1:113" x14ac:dyDescent="0.25">
      <c r="A4672" t="str">
        <f t="shared" si="2638"/>
        <v>06/05/2020 15:00:44.632</v>
      </c>
      <c r="C4672" t="str">
        <f t="shared" si="2622"/>
        <v>FFDFD3C0</v>
      </c>
      <c r="D4672" t="s">
        <v>151</v>
      </c>
      <c r="E4672">
        <v>8</v>
      </c>
      <c r="H4672">
        <v>225</v>
      </c>
      <c r="I4672" t="s">
        <v>353</v>
      </c>
      <c r="J4672" t="s">
        <v>150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 t="shared" si="2639"/>
        <v>15:00:50.289</v>
      </c>
      <c r="T4672" t="str">
        <f t="shared" si="2640"/>
        <v>15:00:49.989</v>
      </c>
      <c r="U4672" t="str">
        <f t="shared" si="2602"/>
        <v>ACC530</v>
      </c>
      <c r="V4672">
        <v>0</v>
      </c>
      <c r="W4672">
        <v>0</v>
      </c>
      <c r="X4672">
        <v>1</v>
      </c>
      <c r="Z4672">
        <v>0</v>
      </c>
      <c r="AA4672">
        <v>9</v>
      </c>
      <c r="AB4672">
        <v>3</v>
      </c>
      <c r="AC4672">
        <v>0</v>
      </c>
      <c r="AD4672">
        <v>9</v>
      </c>
      <c r="AE4672">
        <v>0</v>
      </c>
      <c r="AF4672">
        <v>3</v>
      </c>
      <c r="AG4672">
        <v>1</v>
      </c>
      <c r="AH4672">
        <v>0</v>
      </c>
      <c r="AI4672" t="s">
        <v>1446</v>
      </c>
      <c r="AJ4672">
        <v>34.070512999999998</v>
      </c>
      <c r="AK4672" t="s">
        <v>1447</v>
      </c>
      <c r="AL4672">
        <v>-117.07048399999999</v>
      </c>
      <c r="AM4672">
        <v>100</v>
      </c>
      <c r="AN4672">
        <v>3600</v>
      </c>
      <c r="AO4672" t="s">
        <v>118</v>
      </c>
      <c r="AP4672">
        <v>-112</v>
      </c>
      <c r="AQ4672">
        <v>-58</v>
      </c>
      <c r="AR4672">
        <v>-2048</v>
      </c>
      <c r="AZ4672">
        <v>1200</v>
      </c>
      <c r="BA4672">
        <v>1</v>
      </c>
      <c r="BB4672" t="str">
        <f t="shared" si="2603"/>
        <v xml:space="preserve">N9217B  </v>
      </c>
      <c r="BC4672">
        <v>1</v>
      </c>
      <c r="BE4672">
        <v>0</v>
      </c>
      <c r="BF4672">
        <v>0</v>
      </c>
      <c r="BG4672">
        <v>0</v>
      </c>
      <c r="BH4672">
        <v>3350</v>
      </c>
      <c r="BI4672">
        <v>1</v>
      </c>
      <c r="BJ4672">
        <v>0</v>
      </c>
      <c r="BK4672">
        <v>0</v>
      </c>
      <c r="BL4672">
        <v>0</v>
      </c>
      <c r="BO4672">
        <v>0</v>
      </c>
      <c r="BP4672">
        <v>0</v>
      </c>
      <c r="BW4672" t="str">
        <f t="shared" si="2641"/>
        <v>15:00:50.294</v>
      </c>
      <c r="CJ4672">
        <v>0</v>
      </c>
      <c r="CK4672">
        <v>2</v>
      </c>
      <c r="CL4672">
        <v>0</v>
      </c>
      <c r="CM4672">
        <v>2</v>
      </c>
      <c r="CN4672">
        <v>0</v>
      </c>
      <c r="CO4672">
        <v>5</v>
      </c>
      <c r="CP4672" t="s">
        <v>119</v>
      </c>
      <c r="CQ4672">
        <v>298</v>
      </c>
      <c r="CR4672">
        <v>0</v>
      </c>
      <c r="CW4672">
        <v>10485733</v>
      </c>
      <c r="CY4672">
        <v>0</v>
      </c>
      <c r="CZ4672">
        <v>0</v>
      </c>
      <c r="DA4672">
        <v>1</v>
      </c>
      <c r="DB4672">
        <v>0</v>
      </c>
      <c r="DC4672">
        <v>0</v>
      </c>
      <c r="DD4672">
        <v>0</v>
      </c>
      <c r="DE4672">
        <v>0</v>
      </c>
      <c r="DF4672">
        <v>0</v>
      </c>
      <c r="DG4672">
        <v>0</v>
      </c>
      <c r="DH4672">
        <v>0</v>
      </c>
      <c r="DI4672">
        <v>0</v>
      </c>
    </row>
    <row r="4673" spans="1:113" x14ac:dyDescent="0.25">
      <c r="A4673" t="str">
        <f t="shared" si="2638"/>
        <v>06/05/2020 15:00:44.632</v>
      </c>
      <c r="C4673" t="str">
        <f t="shared" si="2622"/>
        <v>FFDFD3C0</v>
      </c>
      <c r="D4673" t="s">
        <v>134</v>
      </c>
      <c r="E4673">
        <v>7</v>
      </c>
      <c r="F4673">
        <v>2007</v>
      </c>
      <c r="G4673" t="s">
        <v>135</v>
      </c>
      <c r="J4673" t="s">
        <v>136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 t="shared" si="2639"/>
        <v>15:00:50.289</v>
      </c>
      <c r="T4673" t="str">
        <f t="shared" si="2640"/>
        <v>15:00:49.989</v>
      </c>
      <c r="U4673" t="str">
        <f t="shared" si="2602"/>
        <v>ACC530</v>
      </c>
      <c r="V4673">
        <v>0</v>
      </c>
      <c r="W4673">
        <v>0</v>
      </c>
      <c r="X4673">
        <v>1</v>
      </c>
      <c r="Z4673">
        <v>0</v>
      </c>
      <c r="AA4673">
        <v>9</v>
      </c>
      <c r="AB4673">
        <v>3</v>
      </c>
      <c r="AC4673">
        <v>0</v>
      </c>
      <c r="AD4673">
        <v>9</v>
      </c>
      <c r="AE4673">
        <v>0</v>
      </c>
      <c r="AF4673">
        <v>3</v>
      </c>
      <c r="AG4673">
        <v>1</v>
      </c>
      <c r="AH4673">
        <v>0</v>
      </c>
      <c r="AI4673" t="s">
        <v>1446</v>
      </c>
      <c r="AJ4673">
        <v>34.070512999999998</v>
      </c>
      <c r="AK4673" t="s">
        <v>1447</v>
      </c>
      <c r="AL4673">
        <v>-117.07048399999999</v>
      </c>
      <c r="AM4673">
        <v>100</v>
      </c>
      <c r="AN4673">
        <v>3600</v>
      </c>
      <c r="AO4673" t="s">
        <v>118</v>
      </c>
      <c r="AP4673">
        <v>-112</v>
      </c>
      <c r="AQ4673">
        <v>-58</v>
      </c>
      <c r="AR4673">
        <v>-2048</v>
      </c>
      <c r="AZ4673">
        <v>1200</v>
      </c>
      <c r="BA4673">
        <v>1</v>
      </c>
      <c r="BB4673" t="str">
        <f t="shared" si="2603"/>
        <v xml:space="preserve">N9217B  </v>
      </c>
      <c r="BC4673">
        <v>1</v>
      </c>
      <c r="BE4673">
        <v>0</v>
      </c>
      <c r="BF4673">
        <v>0</v>
      </c>
      <c r="BG4673">
        <v>0</v>
      </c>
      <c r="BH4673">
        <v>3350</v>
      </c>
      <c r="BI4673">
        <v>1</v>
      </c>
      <c r="BJ4673">
        <v>0</v>
      </c>
      <c r="BK4673">
        <v>0</v>
      </c>
      <c r="BL4673">
        <v>0</v>
      </c>
      <c r="BO4673">
        <v>0</v>
      </c>
      <c r="BP4673">
        <v>0</v>
      </c>
      <c r="BW4673" t="str">
        <f t="shared" si="2641"/>
        <v>15:00:50.294</v>
      </c>
      <c r="CJ4673">
        <v>0</v>
      </c>
      <c r="CK4673">
        <v>2</v>
      </c>
      <c r="CL4673">
        <v>0</v>
      </c>
      <c r="CM4673">
        <v>2</v>
      </c>
      <c r="CN4673">
        <v>0</v>
      </c>
      <c r="CO4673">
        <v>5</v>
      </c>
      <c r="CP4673" t="s">
        <v>119</v>
      </c>
      <c r="CQ4673">
        <v>298</v>
      </c>
      <c r="CR4673">
        <v>0</v>
      </c>
      <c r="CW4673">
        <v>10485733</v>
      </c>
      <c r="CY4673">
        <v>0</v>
      </c>
      <c r="CZ4673">
        <v>0</v>
      </c>
      <c r="DA4673">
        <v>1</v>
      </c>
      <c r="DB4673">
        <v>0</v>
      </c>
      <c r="DC4673">
        <v>0</v>
      </c>
      <c r="DD4673">
        <v>0</v>
      </c>
      <c r="DE4673">
        <v>0</v>
      </c>
      <c r="DF4673">
        <v>0</v>
      </c>
      <c r="DG4673">
        <v>0</v>
      </c>
      <c r="DH4673">
        <v>0</v>
      </c>
      <c r="DI4673">
        <v>0</v>
      </c>
    </row>
    <row r="4674" spans="1:113" x14ac:dyDescent="0.25">
      <c r="A4674" t="str">
        <f t="shared" si="2638"/>
        <v>06/05/2020 15:00:44.632</v>
      </c>
      <c r="C4674" t="str">
        <f t="shared" si="2622"/>
        <v>FFDFD3C0</v>
      </c>
      <c r="D4674" t="s">
        <v>148</v>
      </c>
      <c r="E4674">
        <v>8</v>
      </c>
      <c r="H4674">
        <v>50</v>
      </c>
      <c r="I4674" t="s">
        <v>149</v>
      </c>
      <c r="J4674" t="s">
        <v>150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 t="shared" si="2639"/>
        <v>15:00:50.289</v>
      </c>
      <c r="T4674" t="str">
        <f t="shared" si="2640"/>
        <v>15:00:49.989</v>
      </c>
      <c r="U4674" t="str">
        <f t="shared" ref="U4674:U4737" si="2642">"ACC530"</f>
        <v>ACC530</v>
      </c>
      <c r="V4674">
        <v>0</v>
      </c>
      <c r="W4674">
        <v>0</v>
      </c>
      <c r="X4674">
        <v>1</v>
      </c>
      <c r="Z4674">
        <v>0</v>
      </c>
      <c r="AA4674">
        <v>9</v>
      </c>
      <c r="AB4674">
        <v>3</v>
      </c>
      <c r="AC4674">
        <v>0</v>
      </c>
      <c r="AD4674">
        <v>9</v>
      </c>
      <c r="AE4674">
        <v>0</v>
      </c>
      <c r="AF4674">
        <v>3</v>
      </c>
      <c r="AG4674">
        <v>1</v>
      </c>
      <c r="AH4674">
        <v>0</v>
      </c>
      <c r="AI4674" t="s">
        <v>1446</v>
      </c>
      <c r="AJ4674">
        <v>34.070512999999998</v>
      </c>
      <c r="AK4674" t="s">
        <v>1447</v>
      </c>
      <c r="AL4674">
        <v>-117.07048399999999</v>
      </c>
      <c r="AM4674">
        <v>100</v>
      </c>
      <c r="AN4674">
        <v>3600</v>
      </c>
      <c r="AO4674" t="s">
        <v>118</v>
      </c>
      <c r="AP4674">
        <v>-112</v>
      </c>
      <c r="AQ4674">
        <v>-58</v>
      </c>
      <c r="AR4674">
        <v>-2048</v>
      </c>
      <c r="AZ4674">
        <v>1200</v>
      </c>
      <c r="BA4674">
        <v>1</v>
      </c>
      <c r="BB4674" t="str">
        <f t="shared" si="2603"/>
        <v xml:space="preserve">N9217B  </v>
      </c>
      <c r="BC4674">
        <v>1</v>
      </c>
      <c r="BE4674">
        <v>0</v>
      </c>
      <c r="BF4674">
        <v>0</v>
      </c>
      <c r="BG4674">
        <v>0</v>
      </c>
      <c r="BH4674">
        <v>3350</v>
      </c>
      <c r="BI4674">
        <v>1</v>
      </c>
      <c r="BJ4674">
        <v>0</v>
      </c>
      <c r="BK4674">
        <v>0</v>
      </c>
      <c r="BL4674">
        <v>0</v>
      </c>
      <c r="BO4674">
        <v>0</v>
      </c>
      <c r="BP4674">
        <v>0</v>
      </c>
      <c r="BW4674" t="str">
        <f t="shared" si="2641"/>
        <v>15:00:50.294</v>
      </c>
      <c r="CJ4674">
        <v>0</v>
      </c>
      <c r="CK4674">
        <v>2</v>
      </c>
      <c r="CL4674">
        <v>0</v>
      </c>
      <c r="CM4674">
        <v>2</v>
      </c>
      <c r="CN4674">
        <v>0</v>
      </c>
      <c r="CO4674">
        <v>5</v>
      </c>
      <c r="CP4674" t="s">
        <v>119</v>
      </c>
      <c r="CQ4674">
        <v>298</v>
      </c>
      <c r="CR4674">
        <v>0</v>
      </c>
      <c r="CW4674">
        <v>10485733</v>
      </c>
      <c r="CY4674">
        <v>0</v>
      </c>
      <c r="CZ4674">
        <v>0</v>
      </c>
      <c r="DA4674">
        <v>1</v>
      </c>
      <c r="DB4674">
        <v>0</v>
      </c>
      <c r="DC4674">
        <v>0</v>
      </c>
      <c r="DD4674">
        <v>0</v>
      </c>
      <c r="DE4674">
        <v>0</v>
      </c>
      <c r="DF4674">
        <v>0</v>
      </c>
      <c r="DG4674">
        <v>0</v>
      </c>
      <c r="DH4674">
        <v>0</v>
      </c>
      <c r="DI4674">
        <v>0</v>
      </c>
    </row>
    <row r="4675" spans="1:113" x14ac:dyDescent="0.25">
      <c r="A4675" t="str">
        <f t="shared" ref="A4675:A4680" si="2643">"06/05/2020 15:00:45.706"</f>
        <v>06/05/2020 15:00:45.706</v>
      </c>
      <c r="C4675" t="str">
        <f t="shared" si="2622"/>
        <v>FFDFD3C0</v>
      </c>
      <c r="D4675" t="s">
        <v>148</v>
      </c>
      <c r="E4675">
        <v>11</v>
      </c>
      <c r="H4675">
        <v>53</v>
      </c>
      <c r="I4675" t="s">
        <v>364</v>
      </c>
      <c r="J4675" t="s">
        <v>150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 t="shared" ref="S4675:S4680" si="2644">"15:00:51.367"</f>
        <v>15:00:51.367</v>
      </c>
      <c r="T4675" t="str">
        <f t="shared" ref="T4675:T4680" si="2645">"15:00:51.067"</f>
        <v>15:00:51.067</v>
      </c>
      <c r="U4675" t="str">
        <f t="shared" si="2642"/>
        <v>ACC530</v>
      </c>
      <c r="V4675">
        <v>0</v>
      </c>
      <c r="W4675">
        <v>0</v>
      </c>
      <c r="X4675">
        <v>1</v>
      </c>
      <c r="Z4675">
        <v>0</v>
      </c>
      <c r="AA4675">
        <v>9</v>
      </c>
      <c r="AB4675">
        <v>3</v>
      </c>
      <c r="AC4675">
        <v>0</v>
      </c>
      <c r="AD4675">
        <v>9</v>
      </c>
      <c r="AE4675">
        <v>0</v>
      </c>
      <c r="AF4675">
        <v>3</v>
      </c>
      <c r="AG4675">
        <v>1</v>
      </c>
      <c r="AH4675">
        <v>0</v>
      </c>
      <c r="AI4675" t="s">
        <v>1448</v>
      </c>
      <c r="AJ4675">
        <v>34.070233999999999</v>
      </c>
      <c r="AK4675" t="s">
        <v>1449</v>
      </c>
      <c r="AL4675">
        <v>-117.07117100000001</v>
      </c>
      <c r="AM4675">
        <v>100</v>
      </c>
      <c r="AN4675">
        <v>3500</v>
      </c>
      <c r="AO4675" t="s">
        <v>118</v>
      </c>
      <c r="AP4675">
        <v>-112</v>
      </c>
      <c r="AQ4675">
        <v>-59</v>
      </c>
      <c r="AR4675">
        <v>-2176</v>
      </c>
      <c r="AZ4675">
        <v>1200</v>
      </c>
      <c r="BA4675">
        <v>1</v>
      </c>
      <c r="BB4675" t="str">
        <f t="shared" si="2603"/>
        <v xml:space="preserve">N9217B  </v>
      </c>
      <c r="BC4675">
        <v>1</v>
      </c>
      <c r="BE4675">
        <v>0</v>
      </c>
      <c r="BF4675">
        <v>0</v>
      </c>
      <c r="BG4675">
        <v>0</v>
      </c>
      <c r="BH4675">
        <v>3225</v>
      </c>
      <c r="BI4675">
        <v>1</v>
      </c>
      <c r="BJ4675">
        <v>0</v>
      </c>
      <c r="BK4675">
        <v>0</v>
      </c>
      <c r="BL4675">
        <v>0</v>
      </c>
      <c r="BO4675">
        <v>0</v>
      </c>
      <c r="BP4675">
        <v>0</v>
      </c>
      <c r="BW4675" t="str">
        <f t="shared" ref="BW4675:BW4680" si="2646">"15:00:51.373"</f>
        <v>15:00:51.373</v>
      </c>
      <c r="CJ4675">
        <v>0</v>
      </c>
      <c r="CK4675">
        <v>2</v>
      </c>
      <c r="CL4675">
        <v>0</v>
      </c>
      <c r="CM4675">
        <v>2</v>
      </c>
      <c r="CN4675">
        <v>0</v>
      </c>
      <c r="CO4675">
        <v>6</v>
      </c>
      <c r="CP4675" t="s">
        <v>119</v>
      </c>
      <c r="CQ4675">
        <v>298</v>
      </c>
      <c r="CR4675">
        <v>0</v>
      </c>
      <c r="CW4675">
        <v>10485882</v>
      </c>
      <c r="CY4675">
        <v>0</v>
      </c>
      <c r="CZ4675">
        <v>0</v>
      </c>
      <c r="DA4675">
        <v>0</v>
      </c>
      <c r="DB4675">
        <v>0</v>
      </c>
      <c r="DC4675">
        <v>0</v>
      </c>
      <c r="DD4675">
        <v>0</v>
      </c>
      <c r="DE4675">
        <v>0</v>
      </c>
      <c r="DF4675">
        <v>0</v>
      </c>
      <c r="DG4675">
        <v>0</v>
      </c>
      <c r="DH4675">
        <v>0</v>
      </c>
      <c r="DI4675">
        <v>0</v>
      </c>
    </row>
    <row r="4676" spans="1:113" x14ac:dyDescent="0.25">
      <c r="A4676" t="str">
        <f t="shared" si="2643"/>
        <v>06/05/2020 15:00:45.706</v>
      </c>
      <c r="C4676" t="str">
        <f t="shared" si="2622"/>
        <v>FFDFD3C0</v>
      </c>
      <c r="D4676" t="s">
        <v>151</v>
      </c>
      <c r="E4676">
        <v>8</v>
      </c>
      <c r="H4676">
        <v>225</v>
      </c>
      <c r="I4676" t="s">
        <v>353</v>
      </c>
      <c r="J4676" t="s">
        <v>150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 t="shared" si="2644"/>
        <v>15:00:51.367</v>
      </c>
      <c r="T4676" t="str">
        <f t="shared" si="2645"/>
        <v>15:00:51.067</v>
      </c>
      <c r="U4676" t="str">
        <f t="shared" si="2642"/>
        <v>ACC530</v>
      </c>
      <c r="V4676">
        <v>0</v>
      </c>
      <c r="W4676">
        <v>0</v>
      </c>
      <c r="X4676">
        <v>1</v>
      </c>
      <c r="Z4676">
        <v>0</v>
      </c>
      <c r="AA4676">
        <v>9</v>
      </c>
      <c r="AB4676">
        <v>3</v>
      </c>
      <c r="AC4676">
        <v>0</v>
      </c>
      <c r="AD4676">
        <v>9</v>
      </c>
      <c r="AE4676">
        <v>0</v>
      </c>
      <c r="AF4676">
        <v>3</v>
      </c>
      <c r="AG4676">
        <v>1</v>
      </c>
      <c r="AH4676">
        <v>0</v>
      </c>
      <c r="AI4676" t="s">
        <v>1448</v>
      </c>
      <c r="AJ4676">
        <v>34.070233999999999</v>
      </c>
      <c r="AK4676" t="s">
        <v>1449</v>
      </c>
      <c r="AL4676">
        <v>-117.07117100000001</v>
      </c>
      <c r="AM4676">
        <v>100</v>
      </c>
      <c r="AN4676">
        <v>3500</v>
      </c>
      <c r="AO4676" t="s">
        <v>118</v>
      </c>
      <c r="AP4676">
        <v>-112</v>
      </c>
      <c r="AQ4676">
        <v>-59</v>
      </c>
      <c r="AR4676">
        <v>-2176</v>
      </c>
      <c r="AZ4676">
        <v>1200</v>
      </c>
      <c r="BA4676">
        <v>1</v>
      </c>
      <c r="BB4676" t="str">
        <f t="shared" si="2603"/>
        <v xml:space="preserve">N9217B  </v>
      </c>
      <c r="BC4676">
        <v>1</v>
      </c>
      <c r="BE4676">
        <v>0</v>
      </c>
      <c r="BF4676">
        <v>0</v>
      </c>
      <c r="BG4676">
        <v>0</v>
      </c>
      <c r="BH4676">
        <v>3225</v>
      </c>
      <c r="BI4676">
        <v>1</v>
      </c>
      <c r="BJ4676">
        <v>0</v>
      </c>
      <c r="BK4676">
        <v>0</v>
      </c>
      <c r="BL4676">
        <v>0</v>
      </c>
      <c r="BO4676">
        <v>0</v>
      </c>
      <c r="BP4676">
        <v>0</v>
      </c>
      <c r="BW4676" t="str">
        <f t="shared" si="2646"/>
        <v>15:00:51.373</v>
      </c>
      <c r="CJ4676">
        <v>0</v>
      </c>
      <c r="CK4676">
        <v>2</v>
      </c>
      <c r="CL4676">
        <v>0</v>
      </c>
      <c r="CM4676">
        <v>2</v>
      </c>
      <c r="CN4676">
        <v>0</v>
      </c>
      <c r="CO4676">
        <v>6</v>
      </c>
      <c r="CP4676" t="s">
        <v>119</v>
      </c>
      <c r="CQ4676">
        <v>298</v>
      </c>
      <c r="CR4676">
        <v>0</v>
      </c>
      <c r="CW4676">
        <v>10485882</v>
      </c>
      <c r="CY4676">
        <v>0</v>
      </c>
      <c r="CZ4676">
        <v>0</v>
      </c>
      <c r="DA4676">
        <v>1</v>
      </c>
      <c r="DB4676">
        <v>0</v>
      </c>
      <c r="DC4676">
        <v>0</v>
      </c>
      <c r="DD4676">
        <v>0</v>
      </c>
      <c r="DE4676">
        <v>0</v>
      </c>
      <c r="DF4676">
        <v>0</v>
      </c>
      <c r="DG4676">
        <v>0</v>
      </c>
      <c r="DH4676">
        <v>0</v>
      </c>
      <c r="DI4676">
        <v>0</v>
      </c>
    </row>
    <row r="4677" spans="1:113" x14ac:dyDescent="0.25">
      <c r="A4677" t="str">
        <f t="shared" si="2643"/>
        <v>06/05/2020 15:00:45.706</v>
      </c>
      <c r="C4677" t="str">
        <f t="shared" si="2622"/>
        <v>FFDFD3C0</v>
      </c>
      <c r="D4677" t="s">
        <v>134</v>
      </c>
      <c r="E4677">
        <v>7</v>
      </c>
      <c r="F4677">
        <v>2007</v>
      </c>
      <c r="G4677" t="s">
        <v>135</v>
      </c>
      <c r="J4677" t="s">
        <v>136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 t="shared" si="2644"/>
        <v>15:00:51.367</v>
      </c>
      <c r="T4677" t="str">
        <f t="shared" si="2645"/>
        <v>15:00:51.067</v>
      </c>
      <c r="U4677" t="str">
        <f t="shared" si="2642"/>
        <v>ACC530</v>
      </c>
      <c r="V4677">
        <v>0</v>
      </c>
      <c r="W4677">
        <v>0</v>
      </c>
      <c r="X4677">
        <v>1</v>
      </c>
      <c r="Z4677">
        <v>0</v>
      </c>
      <c r="AA4677">
        <v>9</v>
      </c>
      <c r="AB4677">
        <v>3</v>
      </c>
      <c r="AC4677">
        <v>0</v>
      </c>
      <c r="AD4677">
        <v>9</v>
      </c>
      <c r="AE4677">
        <v>0</v>
      </c>
      <c r="AF4677">
        <v>3</v>
      </c>
      <c r="AG4677">
        <v>1</v>
      </c>
      <c r="AH4677">
        <v>0</v>
      </c>
      <c r="AI4677" t="s">
        <v>1448</v>
      </c>
      <c r="AJ4677">
        <v>34.070233999999999</v>
      </c>
      <c r="AK4677" t="s">
        <v>1449</v>
      </c>
      <c r="AL4677">
        <v>-117.07117100000001</v>
      </c>
      <c r="AM4677">
        <v>100</v>
      </c>
      <c r="AN4677">
        <v>3500</v>
      </c>
      <c r="AO4677" t="s">
        <v>118</v>
      </c>
      <c r="AP4677">
        <v>-112</v>
      </c>
      <c r="AQ4677">
        <v>-59</v>
      </c>
      <c r="AR4677">
        <v>-2176</v>
      </c>
      <c r="AZ4677">
        <v>1200</v>
      </c>
      <c r="BA4677">
        <v>1</v>
      </c>
      <c r="BB4677" t="str">
        <f t="shared" ref="BB4677:BB4740" si="2647">"N9217B  "</f>
        <v xml:space="preserve">N9217B  </v>
      </c>
      <c r="BC4677">
        <v>1</v>
      </c>
      <c r="BE4677">
        <v>0</v>
      </c>
      <c r="BF4677">
        <v>0</v>
      </c>
      <c r="BG4677">
        <v>0</v>
      </c>
      <c r="BH4677">
        <v>3225</v>
      </c>
      <c r="BI4677">
        <v>1</v>
      </c>
      <c r="BJ4677">
        <v>0</v>
      </c>
      <c r="BK4677">
        <v>0</v>
      </c>
      <c r="BL4677">
        <v>0</v>
      </c>
      <c r="BO4677">
        <v>0</v>
      </c>
      <c r="BP4677">
        <v>0</v>
      </c>
      <c r="BW4677" t="str">
        <f t="shared" si="2646"/>
        <v>15:00:51.373</v>
      </c>
      <c r="CJ4677">
        <v>0</v>
      </c>
      <c r="CK4677">
        <v>2</v>
      </c>
      <c r="CL4677">
        <v>0</v>
      </c>
      <c r="CM4677">
        <v>2</v>
      </c>
      <c r="CN4677">
        <v>0</v>
      </c>
      <c r="CO4677">
        <v>6</v>
      </c>
      <c r="CP4677" t="s">
        <v>119</v>
      </c>
      <c r="CQ4677">
        <v>298</v>
      </c>
      <c r="CR4677">
        <v>0</v>
      </c>
      <c r="CW4677">
        <v>10485882</v>
      </c>
      <c r="CY4677">
        <v>0</v>
      </c>
      <c r="CZ4677">
        <v>0</v>
      </c>
      <c r="DA4677">
        <v>1</v>
      </c>
      <c r="DB4677">
        <v>0</v>
      </c>
      <c r="DC4677">
        <v>0</v>
      </c>
      <c r="DD4677">
        <v>0</v>
      </c>
      <c r="DE4677">
        <v>0</v>
      </c>
      <c r="DF4677">
        <v>0</v>
      </c>
      <c r="DG4677">
        <v>0</v>
      </c>
      <c r="DH4677">
        <v>0</v>
      </c>
      <c r="DI4677">
        <v>0</v>
      </c>
    </row>
    <row r="4678" spans="1:113" x14ac:dyDescent="0.25">
      <c r="A4678" t="str">
        <f t="shared" si="2643"/>
        <v>06/05/2020 15:00:45.706</v>
      </c>
      <c r="C4678" t="str">
        <f t="shared" si="2622"/>
        <v>FFDFD3C0</v>
      </c>
      <c r="D4678" t="s">
        <v>148</v>
      </c>
      <c r="E4678">
        <v>8</v>
      </c>
      <c r="H4678">
        <v>50</v>
      </c>
      <c r="I4678" t="s">
        <v>149</v>
      </c>
      <c r="J4678" t="s">
        <v>150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 t="shared" si="2644"/>
        <v>15:00:51.367</v>
      </c>
      <c r="T4678" t="str">
        <f t="shared" si="2645"/>
        <v>15:00:51.067</v>
      </c>
      <c r="U4678" t="str">
        <f t="shared" si="2642"/>
        <v>ACC530</v>
      </c>
      <c r="V4678">
        <v>0</v>
      </c>
      <c r="W4678">
        <v>0</v>
      </c>
      <c r="X4678">
        <v>1</v>
      </c>
      <c r="Z4678">
        <v>0</v>
      </c>
      <c r="AA4678">
        <v>9</v>
      </c>
      <c r="AB4678">
        <v>3</v>
      </c>
      <c r="AC4678">
        <v>0</v>
      </c>
      <c r="AD4678">
        <v>9</v>
      </c>
      <c r="AE4678">
        <v>0</v>
      </c>
      <c r="AF4678">
        <v>3</v>
      </c>
      <c r="AG4678">
        <v>1</v>
      </c>
      <c r="AH4678">
        <v>0</v>
      </c>
      <c r="AI4678" t="s">
        <v>1448</v>
      </c>
      <c r="AJ4678">
        <v>34.070233999999999</v>
      </c>
      <c r="AK4678" t="s">
        <v>1449</v>
      </c>
      <c r="AL4678">
        <v>-117.07117100000001</v>
      </c>
      <c r="AM4678">
        <v>100</v>
      </c>
      <c r="AN4678">
        <v>3500</v>
      </c>
      <c r="AO4678" t="s">
        <v>118</v>
      </c>
      <c r="AP4678">
        <v>-112</v>
      </c>
      <c r="AQ4678">
        <v>-59</v>
      </c>
      <c r="AR4678">
        <v>-2176</v>
      </c>
      <c r="AZ4678">
        <v>1200</v>
      </c>
      <c r="BA4678">
        <v>1</v>
      </c>
      <c r="BB4678" t="str">
        <f t="shared" si="2647"/>
        <v xml:space="preserve">N9217B  </v>
      </c>
      <c r="BC4678">
        <v>1</v>
      </c>
      <c r="BE4678">
        <v>0</v>
      </c>
      <c r="BF4678">
        <v>0</v>
      </c>
      <c r="BG4678">
        <v>0</v>
      </c>
      <c r="BH4678">
        <v>3225</v>
      </c>
      <c r="BI4678">
        <v>1</v>
      </c>
      <c r="BJ4678">
        <v>0</v>
      </c>
      <c r="BK4678">
        <v>0</v>
      </c>
      <c r="BL4678">
        <v>0</v>
      </c>
      <c r="BO4678">
        <v>0</v>
      </c>
      <c r="BP4678">
        <v>0</v>
      </c>
      <c r="BW4678" t="str">
        <f t="shared" si="2646"/>
        <v>15:00:51.373</v>
      </c>
      <c r="CJ4678">
        <v>0</v>
      </c>
      <c r="CK4678">
        <v>2</v>
      </c>
      <c r="CL4678">
        <v>0</v>
      </c>
      <c r="CM4678">
        <v>2</v>
      </c>
      <c r="CN4678">
        <v>0</v>
      </c>
      <c r="CO4678">
        <v>6</v>
      </c>
      <c r="CP4678" t="s">
        <v>119</v>
      </c>
      <c r="CQ4678">
        <v>298</v>
      </c>
      <c r="CR4678">
        <v>0</v>
      </c>
      <c r="CW4678">
        <v>10485882</v>
      </c>
      <c r="CY4678">
        <v>0</v>
      </c>
      <c r="CZ4678">
        <v>0</v>
      </c>
      <c r="DA4678">
        <v>1</v>
      </c>
      <c r="DB4678">
        <v>0</v>
      </c>
      <c r="DC4678">
        <v>0</v>
      </c>
      <c r="DD4678">
        <v>0</v>
      </c>
      <c r="DE4678">
        <v>0</v>
      </c>
      <c r="DF4678">
        <v>0</v>
      </c>
      <c r="DG4678">
        <v>0</v>
      </c>
      <c r="DH4678">
        <v>0</v>
      </c>
      <c r="DI4678">
        <v>0</v>
      </c>
    </row>
    <row r="4679" spans="1:113" x14ac:dyDescent="0.25">
      <c r="A4679" t="str">
        <f t="shared" si="2643"/>
        <v>06/05/2020 15:00:45.706</v>
      </c>
      <c r="C4679" t="str">
        <f t="shared" si="2622"/>
        <v>FFDFD3C0</v>
      </c>
      <c r="D4679" t="s">
        <v>113</v>
      </c>
      <c r="E4679">
        <v>3</v>
      </c>
      <c r="H4679">
        <v>166</v>
      </c>
      <c r="I4679" t="s">
        <v>114</v>
      </c>
      <c r="J4679" t="s">
        <v>115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 t="shared" si="2644"/>
        <v>15:00:51.367</v>
      </c>
      <c r="T4679" t="str">
        <f t="shared" si="2645"/>
        <v>15:00:51.067</v>
      </c>
      <c r="U4679" t="str">
        <f t="shared" si="2642"/>
        <v>ACC530</v>
      </c>
      <c r="V4679">
        <v>0</v>
      </c>
      <c r="W4679">
        <v>0</v>
      </c>
      <c r="X4679">
        <v>1</v>
      </c>
      <c r="Z4679">
        <v>0</v>
      </c>
      <c r="AA4679">
        <v>9</v>
      </c>
      <c r="AB4679">
        <v>3</v>
      </c>
      <c r="AC4679">
        <v>0</v>
      </c>
      <c r="AD4679">
        <v>9</v>
      </c>
      <c r="AE4679">
        <v>0</v>
      </c>
      <c r="AF4679">
        <v>3</v>
      </c>
      <c r="AG4679">
        <v>1</v>
      </c>
      <c r="AH4679">
        <v>0</v>
      </c>
      <c r="AI4679" t="s">
        <v>1448</v>
      </c>
      <c r="AJ4679">
        <v>34.070233999999999</v>
      </c>
      <c r="AK4679" t="s">
        <v>1449</v>
      </c>
      <c r="AL4679">
        <v>-117.07117100000001</v>
      </c>
      <c r="AM4679">
        <v>100</v>
      </c>
      <c r="AN4679">
        <v>3500</v>
      </c>
      <c r="AO4679" t="s">
        <v>118</v>
      </c>
      <c r="AP4679">
        <v>-112</v>
      </c>
      <c r="AQ4679">
        <v>-59</v>
      </c>
      <c r="AR4679">
        <v>-2176</v>
      </c>
      <c r="AZ4679">
        <v>1200</v>
      </c>
      <c r="BA4679">
        <v>1</v>
      </c>
      <c r="BB4679" t="str">
        <f t="shared" si="2647"/>
        <v xml:space="preserve">N9217B  </v>
      </c>
      <c r="BC4679">
        <v>1</v>
      </c>
      <c r="BE4679">
        <v>0</v>
      </c>
      <c r="BF4679">
        <v>0</v>
      </c>
      <c r="BG4679">
        <v>0</v>
      </c>
      <c r="BH4679">
        <v>3225</v>
      </c>
      <c r="BI4679">
        <v>1</v>
      </c>
      <c r="BJ4679">
        <v>0</v>
      </c>
      <c r="BK4679">
        <v>0</v>
      </c>
      <c r="BL4679">
        <v>0</v>
      </c>
      <c r="BO4679">
        <v>0</v>
      </c>
      <c r="BP4679">
        <v>0</v>
      </c>
      <c r="BW4679" t="str">
        <f t="shared" si="2646"/>
        <v>15:00:51.373</v>
      </c>
      <c r="CJ4679">
        <v>0</v>
      </c>
      <c r="CK4679">
        <v>2</v>
      </c>
      <c r="CL4679">
        <v>0</v>
      </c>
      <c r="CM4679">
        <v>2</v>
      </c>
      <c r="CN4679">
        <v>0</v>
      </c>
      <c r="CO4679">
        <v>6</v>
      </c>
      <c r="CP4679" t="s">
        <v>119</v>
      </c>
      <c r="CQ4679">
        <v>298</v>
      </c>
      <c r="CR4679">
        <v>0</v>
      </c>
      <c r="CW4679">
        <v>10485882</v>
      </c>
      <c r="CY4679">
        <v>0</v>
      </c>
      <c r="CZ4679">
        <v>0</v>
      </c>
      <c r="DA4679">
        <v>1</v>
      </c>
      <c r="DB4679">
        <v>0</v>
      </c>
      <c r="DC4679">
        <v>0</v>
      </c>
      <c r="DD4679">
        <v>0</v>
      </c>
      <c r="DE4679">
        <v>0</v>
      </c>
      <c r="DF4679">
        <v>0</v>
      </c>
      <c r="DG4679">
        <v>0</v>
      </c>
      <c r="DH4679">
        <v>0</v>
      </c>
      <c r="DI4679">
        <v>0</v>
      </c>
    </row>
    <row r="4680" spans="1:113" x14ac:dyDescent="0.25">
      <c r="A4680" t="str">
        <f t="shared" si="2643"/>
        <v>06/05/2020 15:00:45.706</v>
      </c>
      <c r="C4680" t="str">
        <f t="shared" si="2622"/>
        <v>FFDFD3C0</v>
      </c>
      <c r="D4680" t="s">
        <v>141</v>
      </c>
      <c r="E4680">
        <v>20</v>
      </c>
      <c r="F4680">
        <v>1020</v>
      </c>
      <c r="G4680" t="s">
        <v>114</v>
      </c>
      <c r="J4680" t="s">
        <v>142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 t="shared" si="2644"/>
        <v>15:00:51.367</v>
      </c>
      <c r="T4680" t="str">
        <f t="shared" si="2645"/>
        <v>15:00:51.067</v>
      </c>
      <c r="U4680" t="str">
        <f t="shared" si="2642"/>
        <v>ACC530</v>
      </c>
      <c r="V4680">
        <v>0</v>
      </c>
      <c r="W4680">
        <v>0</v>
      </c>
      <c r="X4680">
        <v>1</v>
      </c>
      <c r="Z4680">
        <v>0</v>
      </c>
      <c r="AA4680">
        <v>9</v>
      </c>
      <c r="AB4680">
        <v>3</v>
      </c>
      <c r="AC4680">
        <v>0</v>
      </c>
      <c r="AD4680">
        <v>9</v>
      </c>
      <c r="AE4680">
        <v>0</v>
      </c>
      <c r="AF4680">
        <v>3</v>
      </c>
      <c r="AG4680">
        <v>1</v>
      </c>
      <c r="AH4680">
        <v>0</v>
      </c>
      <c r="AI4680" t="s">
        <v>1448</v>
      </c>
      <c r="AJ4680">
        <v>34.070233999999999</v>
      </c>
      <c r="AK4680" t="s">
        <v>1449</v>
      </c>
      <c r="AL4680">
        <v>-117.07117100000001</v>
      </c>
      <c r="AM4680">
        <v>100</v>
      </c>
      <c r="AN4680">
        <v>3500</v>
      </c>
      <c r="AO4680" t="s">
        <v>118</v>
      </c>
      <c r="AP4680">
        <v>-112</v>
      </c>
      <c r="AQ4680">
        <v>-59</v>
      </c>
      <c r="AR4680">
        <v>-2176</v>
      </c>
      <c r="AZ4680">
        <v>1200</v>
      </c>
      <c r="BA4680">
        <v>1</v>
      </c>
      <c r="BB4680" t="str">
        <f t="shared" si="2647"/>
        <v xml:space="preserve">N9217B  </v>
      </c>
      <c r="BC4680">
        <v>1</v>
      </c>
      <c r="BE4680">
        <v>0</v>
      </c>
      <c r="BF4680">
        <v>0</v>
      </c>
      <c r="BG4680">
        <v>0</v>
      </c>
      <c r="BH4680">
        <v>3225</v>
      </c>
      <c r="BI4680">
        <v>1</v>
      </c>
      <c r="BJ4680">
        <v>0</v>
      </c>
      <c r="BK4680">
        <v>0</v>
      </c>
      <c r="BL4680">
        <v>0</v>
      </c>
      <c r="BO4680">
        <v>0</v>
      </c>
      <c r="BP4680">
        <v>0</v>
      </c>
      <c r="BW4680" t="str">
        <f t="shared" si="2646"/>
        <v>15:00:51.373</v>
      </c>
      <c r="CJ4680">
        <v>0</v>
      </c>
      <c r="CK4680">
        <v>2</v>
      </c>
      <c r="CL4680">
        <v>0</v>
      </c>
      <c r="CM4680">
        <v>2</v>
      </c>
      <c r="CN4680">
        <v>0</v>
      </c>
      <c r="CO4680">
        <v>6</v>
      </c>
      <c r="CP4680" t="s">
        <v>119</v>
      </c>
      <c r="CQ4680">
        <v>298</v>
      </c>
      <c r="CR4680">
        <v>0</v>
      </c>
      <c r="CW4680">
        <v>10485882</v>
      </c>
      <c r="CY4680">
        <v>0</v>
      </c>
      <c r="CZ4680">
        <v>0</v>
      </c>
      <c r="DA4680">
        <v>1</v>
      </c>
      <c r="DB4680">
        <v>0</v>
      </c>
      <c r="DC4680">
        <v>0</v>
      </c>
      <c r="DD4680">
        <v>0</v>
      </c>
      <c r="DE4680">
        <v>0</v>
      </c>
      <c r="DF4680">
        <v>0</v>
      </c>
      <c r="DG4680">
        <v>0</v>
      </c>
      <c r="DH4680">
        <v>0</v>
      </c>
      <c r="DI4680">
        <v>0</v>
      </c>
    </row>
    <row r="4681" spans="1:113" x14ac:dyDescent="0.25">
      <c r="A4681" t="str">
        <f t="shared" ref="A4681:A4686" si="2648">"06/05/2020 15:00:46.790"</f>
        <v>06/05/2020 15:00:46.790</v>
      </c>
      <c r="C4681" t="str">
        <f t="shared" si="2622"/>
        <v>FFDFD3C0</v>
      </c>
      <c r="D4681" t="s">
        <v>148</v>
      </c>
      <c r="E4681">
        <v>8</v>
      </c>
      <c r="H4681">
        <v>50</v>
      </c>
      <c r="I4681" t="s">
        <v>149</v>
      </c>
      <c r="J4681" t="s">
        <v>150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 t="shared" ref="S4681:S4686" si="2649">"15:00:52.406"</f>
        <v>15:00:52.406</v>
      </c>
      <c r="T4681" t="str">
        <f t="shared" ref="T4681:T4686" si="2650">"15:00:52.106"</f>
        <v>15:00:52.106</v>
      </c>
      <c r="U4681" t="str">
        <f t="shared" si="2642"/>
        <v>ACC530</v>
      </c>
      <c r="V4681">
        <v>0</v>
      </c>
      <c r="W4681">
        <v>0</v>
      </c>
      <c r="X4681">
        <v>1</v>
      </c>
      <c r="Z4681">
        <v>0</v>
      </c>
      <c r="AA4681">
        <v>9</v>
      </c>
      <c r="AB4681">
        <v>3</v>
      </c>
      <c r="AC4681">
        <v>0</v>
      </c>
      <c r="AD4681">
        <v>9</v>
      </c>
      <c r="AE4681">
        <v>0</v>
      </c>
      <c r="AF4681">
        <v>3</v>
      </c>
      <c r="AG4681">
        <v>1</v>
      </c>
      <c r="AH4681">
        <v>0</v>
      </c>
      <c r="AI4681" t="s">
        <v>1450</v>
      </c>
      <c r="AJ4681">
        <v>34.069934000000003</v>
      </c>
      <c r="AK4681" t="s">
        <v>1451</v>
      </c>
      <c r="AL4681">
        <v>-117.071836</v>
      </c>
      <c r="AM4681">
        <v>100</v>
      </c>
      <c r="AN4681">
        <v>3500</v>
      </c>
      <c r="AO4681" t="s">
        <v>118</v>
      </c>
      <c r="AP4681">
        <v>-112</v>
      </c>
      <c r="AQ4681">
        <v>-59</v>
      </c>
      <c r="AR4681">
        <v>-2176</v>
      </c>
      <c r="AZ4681">
        <v>1200</v>
      </c>
      <c r="BA4681">
        <v>1</v>
      </c>
      <c r="BB4681" t="str">
        <f t="shared" si="2647"/>
        <v xml:space="preserve">N9217B  </v>
      </c>
      <c r="BC4681">
        <v>1</v>
      </c>
      <c r="BE4681">
        <v>0</v>
      </c>
      <c r="BF4681">
        <v>0</v>
      </c>
      <c r="BG4681">
        <v>0</v>
      </c>
      <c r="BH4681">
        <v>3275</v>
      </c>
      <c r="BI4681">
        <v>1</v>
      </c>
      <c r="BJ4681">
        <v>0</v>
      </c>
      <c r="BK4681">
        <v>0</v>
      </c>
      <c r="BL4681">
        <v>0</v>
      </c>
      <c r="BO4681">
        <v>0</v>
      </c>
      <c r="BP4681">
        <v>0</v>
      </c>
      <c r="BW4681" t="str">
        <f t="shared" ref="BW4681:BW4686" si="2651">"15:00:52.408"</f>
        <v>15:00:52.408</v>
      </c>
      <c r="CJ4681">
        <v>0</v>
      </c>
      <c r="CK4681">
        <v>2</v>
      </c>
      <c r="CL4681">
        <v>0</v>
      </c>
      <c r="CM4681">
        <v>2</v>
      </c>
      <c r="CN4681">
        <v>0</v>
      </c>
      <c r="CO4681">
        <v>5</v>
      </c>
      <c r="CP4681" t="s">
        <v>119</v>
      </c>
      <c r="CQ4681">
        <v>298</v>
      </c>
      <c r="CR4681">
        <v>0</v>
      </c>
      <c r="CW4681">
        <v>10486025</v>
      </c>
      <c r="CY4681">
        <v>0</v>
      </c>
      <c r="CZ4681">
        <v>0</v>
      </c>
      <c r="DA4681">
        <v>0</v>
      </c>
      <c r="DB4681">
        <v>0</v>
      </c>
      <c r="DC4681">
        <v>0</v>
      </c>
      <c r="DD4681">
        <v>0</v>
      </c>
      <c r="DE4681">
        <v>0</v>
      </c>
      <c r="DF4681">
        <v>0</v>
      </c>
      <c r="DG4681">
        <v>0</v>
      </c>
      <c r="DH4681">
        <v>0</v>
      </c>
      <c r="DI4681">
        <v>0</v>
      </c>
    </row>
    <row r="4682" spans="1:113" x14ac:dyDescent="0.25">
      <c r="A4682" t="str">
        <f t="shared" si="2648"/>
        <v>06/05/2020 15:00:46.790</v>
      </c>
      <c r="C4682" t="str">
        <f t="shared" si="2622"/>
        <v>FFDFD3C0</v>
      </c>
      <c r="D4682" t="s">
        <v>113</v>
      </c>
      <c r="E4682">
        <v>3</v>
      </c>
      <c r="H4682">
        <v>166</v>
      </c>
      <c r="I4682" t="s">
        <v>114</v>
      </c>
      <c r="J4682" t="s">
        <v>115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 t="shared" si="2649"/>
        <v>15:00:52.406</v>
      </c>
      <c r="T4682" t="str">
        <f t="shared" si="2650"/>
        <v>15:00:52.106</v>
      </c>
      <c r="U4682" t="str">
        <f t="shared" si="2642"/>
        <v>ACC530</v>
      </c>
      <c r="V4682">
        <v>0</v>
      </c>
      <c r="W4682">
        <v>0</v>
      </c>
      <c r="X4682">
        <v>1</v>
      </c>
      <c r="Z4682">
        <v>0</v>
      </c>
      <c r="AA4682">
        <v>9</v>
      </c>
      <c r="AB4682">
        <v>3</v>
      </c>
      <c r="AC4682">
        <v>0</v>
      </c>
      <c r="AD4682">
        <v>9</v>
      </c>
      <c r="AE4682">
        <v>0</v>
      </c>
      <c r="AF4682">
        <v>3</v>
      </c>
      <c r="AG4682">
        <v>1</v>
      </c>
      <c r="AH4682">
        <v>0</v>
      </c>
      <c r="AI4682" t="s">
        <v>1450</v>
      </c>
      <c r="AJ4682">
        <v>34.069934000000003</v>
      </c>
      <c r="AK4682" t="s">
        <v>1451</v>
      </c>
      <c r="AL4682">
        <v>-117.071836</v>
      </c>
      <c r="AM4682">
        <v>100</v>
      </c>
      <c r="AN4682">
        <v>3500</v>
      </c>
      <c r="AO4682" t="s">
        <v>118</v>
      </c>
      <c r="AP4682">
        <v>-112</v>
      </c>
      <c r="AQ4682">
        <v>-59</v>
      </c>
      <c r="AR4682">
        <v>-2176</v>
      </c>
      <c r="AZ4682">
        <v>1200</v>
      </c>
      <c r="BA4682">
        <v>1</v>
      </c>
      <c r="BB4682" t="str">
        <f t="shared" si="2647"/>
        <v xml:space="preserve">N9217B  </v>
      </c>
      <c r="BC4682">
        <v>1</v>
      </c>
      <c r="BE4682">
        <v>0</v>
      </c>
      <c r="BF4682">
        <v>0</v>
      </c>
      <c r="BG4682">
        <v>0</v>
      </c>
      <c r="BH4682">
        <v>3275</v>
      </c>
      <c r="BI4682">
        <v>1</v>
      </c>
      <c r="BJ4682">
        <v>0</v>
      </c>
      <c r="BK4682">
        <v>0</v>
      </c>
      <c r="BL4682">
        <v>0</v>
      </c>
      <c r="BO4682">
        <v>0</v>
      </c>
      <c r="BP4682">
        <v>0</v>
      </c>
      <c r="BW4682" t="str">
        <f t="shared" si="2651"/>
        <v>15:00:52.408</v>
      </c>
      <c r="CJ4682">
        <v>0</v>
      </c>
      <c r="CK4682">
        <v>2</v>
      </c>
      <c r="CL4682">
        <v>0</v>
      </c>
      <c r="CM4682">
        <v>2</v>
      </c>
      <c r="CN4682">
        <v>0</v>
      </c>
      <c r="CO4682">
        <v>5</v>
      </c>
      <c r="CP4682" t="s">
        <v>119</v>
      </c>
      <c r="CQ4682">
        <v>298</v>
      </c>
      <c r="CR4682">
        <v>0</v>
      </c>
      <c r="CW4682">
        <v>10486025</v>
      </c>
      <c r="CY4682">
        <v>0</v>
      </c>
      <c r="CZ4682">
        <v>0</v>
      </c>
      <c r="DA4682">
        <v>1</v>
      </c>
      <c r="DB4682">
        <v>0</v>
      </c>
      <c r="DC4682">
        <v>0</v>
      </c>
      <c r="DD4682">
        <v>0</v>
      </c>
      <c r="DE4682">
        <v>0</v>
      </c>
      <c r="DF4682">
        <v>0</v>
      </c>
      <c r="DG4682">
        <v>0</v>
      </c>
      <c r="DH4682">
        <v>0</v>
      </c>
      <c r="DI4682">
        <v>0</v>
      </c>
    </row>
    <row r="4683" spans="1:113" x14ac:dyDescent="0.25">
      <c r="A4683" t="str">
        <f t="shared" si="2648"/>
        <v>06/05/2020 15:00:46.790</v>
      </c>
      <c r="C4683" t="str">
        <f t="shared" si="2622"/>
        <v>FFDFD3C0</v>
      </c>
      <c r="D4683" t="s">
        <v>141</v>
      </c>
      <c r="E4683">
        <v>20</v>
      </c>
      <c r="F4683">
        <v>1020</v>
      </c>
      <c r="G4683" t="s">
        <v>114</v>
      </c>
      <c r="J4683" t="s">
        <v>142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 t="shared" si="2649"/>
        <v>15:00:52.406</v>
      </c>
      <c r="T4683" t="str">
        <f t="shared" si="2650"/>
        <v>15:00:52.106</v>
      </c>
      <c r="U4683" t="str">
        <f t="shared" si="2642"/>
        <v>ACC530</v>
      </c>
      <c r="V4683">
        <v>0</v>
      </c>
      <c r="W4683">
        <v>0</v>
      </c>
      <c r="X4683">
        <v>1</v>
      </c>
      <c r="Z4683">
        <v>0</v>
      </c>
      <c r="AA4683">
        <v>9</v>
      </c>
      <c r="AB4683">
        <v>3</v>
      </c>
      <c r="AC4683">
        <v>0</v>
      </c>
      <c r="AD4683">
        <v>9</v>
      </c>
      <c r="AE4683">
        <v>0</v>
      </c>
      <c r="AF4683">
        <v>3</v>
      </c>
      <c r="AG4683">
        <v>1</v>
      </c>
      <c r="AH4683">
        <v>0</v>
      </c>
      <c r="AI4683" t="s">
        <v>1450</v>
      </c>
      <c r="AJ4683">
        <v>34.069934000000003</v>
      </c>
      <c r="AK4683" t="s">
        <v>1451</v>
      </c>
      <c r="AL4683">
        <v>-117.071836</v>
      </c>
      <c r="AM4683">
        <v>100</v>
      </c>
      <c r="AN4683">
        <v>3500</v>
      </c>
      <c r="AO4683" t="s">
        <v>118</v>
      </c>
      <c r="AP4683">
        <v>-112</v>
      </c>
      <c r="AQ4683">
        <v>-59</v>
      </c>
      <c r="AR4683">
        <v>-2176</v>
      </c>
      <c r="AZ4683">
        <v>1200</v>
      </c>
      <c r="BA4683">
        <v>1</v>
      </c>
      <c r="BB4683" t="str">
        <f t="shared" si="2647"/>
        <v xml:space="preserve">N9217B  </v>
      </c>
      <c r="BC4683">
        <v>1</v>
      </c>
      <c r="BE4683">
        <v>0</v>
      </c>
      <c r="BF4683">
        <v>0</v>
      </c>
      <c r="BG4683">
        <v>0</v>
      </c>
      <c r="BH4683">
        <v>3275</v>
      </c>
      <c r="BI4683">
        <v>1</v>
      </c>
      <c r="BJ4683">
        <v>0</v>
      </c>
      <c r="BK4683">
        <v>0</v>
      </c>
      <c r="BL4683">
        <v>0</v>
      </c>
      <c r="BO4683">
        <v>0</v>
      </c>
      <c r="BP4683">
        <v>0</v>
      </c>
      <c r="BW4683" t="str">
        <f t="shared" si="2651"/>
        <v>15:00:52.408</v>
      </c>
      <c r="CJ4683">
        <v>0</v>
      </c>
      <c r="CK4683">
        <v>2</v>
      </c>
      <c r="CL4683">
        <v>0</v>
      </c>
      <c r="CM4683">
        <v>2</v>
      </c>
      <c r="CN4683">
        <v>0</v>
      </c>
      <c r="CO4683">
        <v>5</v>
      </c>
      <c r="CP4683" t="s">
        <v>119</v>
      </c>
      <c r="CQ4683">
        <v>298</v>
      </c>
      <c r="CR4683">
        <v>0</v>
      </c>
      <c r="CW4683">
        <v>10486025</v>
      </c>
      <c r="CY4683">
        <v>0</v>
      </c>
      <c r="CZ4683">
        <v>0</v>
      </c>
      <c r="DA4683">
        <v>1</v>
      </c>
      <c r="DB4683">
        <v>0</v>
      </c>
      <c r="DC4683">
        <v>0</v>
      </c>
      <c r="DD4683">
        <v>0</v>
      </c>
      <c r="DE4683">
        <v>0</v>
      </c>
      <c r="DF4683">
        <v>0</v>
      </c>
      <c r="DG4683">
        <v>0</v>
      </c>
      <c r="DH4683">
        <v>0</v>
      </c>
      <c r="DI4683">
        <v>0</v>
      </c>
    </row>
    <row r="4684" spans="1:113" x14ac:dyDescent="0.25">
      <c r="A4684" t="str">
        <f t="shared" si="2648"/>
        <v>06/05/2020 15:00:46.790</v>
      </c>
      <c r="C4684" t="str">
        <f t="shared" si="2622"/>
        <v>FFDFD3C0</v>
      </c>
      <c r="D4684" t="s">
        <v>148</v>
      </c>
      <c r="E4684">
        <v>11</v>
      </c>
      <c r="H4684">
        <v>53</v>
      </c>
      <c r="I4684" t="s">
        <v>364</v>
      </c>
      <c r="J4684" t="s">
        <v>150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 t="shared" si="2649"/>
        <v>15:00:52.406</v>
      </c>
      <c r="T4684" t="str">
        <f t="shared" si="2650"/>
        <v>15:00:52.106</v>
      </c>
      <c r="U4684" t="str">
        <f t="shared" si="2642"/>
        <v>ACC530</v>
      </c>
      <c r="V4684">
        <v>0</v>
      </c>
      <c r="W4684">
        <v>0</v>
      </c>
      <c r="X4684">
        <v>1</v>
      </c>
      <c r="Z4684">
        <v>0</v>
      </c>
      <c r="AA4684">
        <v>9</v>
      </c>
      <c r="AB4684">
        <v>3</v>
      </c>
      <c r="AC4684">
        <v>0</v>
      </c>
      <c r="AD4684">
        <v>9</v>
      </c>
      <c r="AE4684">
        <v>0</v>
      </c>
      <c r="AF4684">
        <v>3</v>
      </c>
      <c r="AG4684">
        <v>1</v>
      </c>
      <c r="AH4684">
        <v>0</v>
      </c>
      <c r="AI4684" t="s">
        <v>1450</v>
      </c>
      <c r="AJ4684">
        <v>34.069934000000003</v>
      </c>
      <c r="AK4684" t="s">
        <v>1451</v>
      </c>
      <c r="AL4684">
        <v>-117.071836</v>
      </c>
      <c r="AM4684">
        <v>100</v>
      </c>
      <c r="AN4684">
        <v>3500</v>
      </c>
      <c r="AO4684" t="s">
        <v>118</v>
      </c>
      <c r="AP4684">
        <v>-112</v>
      </c>
      <c r="AQ4684">
        <v>-59</v>
      </c>
      <c r="AR4684">
        <v>-2176</v>
      </c>
      <c r="AZ4684">
        <v>1200</v>
      </c>
      <c r="BA4684">
        <v>1</v>
      </c>
      <c r="BB4684" t="str">
        <f t="shared" si="2647"/>
        <v xml:space="preserve">N9217B  </v>
      </c>
      <c r="BC4684">
        <v>1</v>
      </c>
      <c r="BE4684">
        <v>0</v>
      </c>
      <c r="BF4684">
        <v>0</v>
      </c>
      <c r="BG4684">
        <v>0</v>
      </c>
      <c r="BH4684">
        <v>3275</v>
      </c>
      <c r="BI4684">
        <v>1</v>
      </c>
      <c r="BJ4684">
        <v>0</v>
      </c>
      <c r="BK4684">
        <v>0</v>
      </c>
      <c r="BL4684">
        <v>0</v>
      </c>
      <c r="BO4684">
        <v>0</v>
      </c>
      <c r="BP4684">
        <v>0</v>
      </c>
      <c r="BW4684" t="str">
        <f t="shared" si="2651"/>
        <v>15:00:52.408</v>
      </c>
      <c r="CJ4684">
        <v>0</v>
      </c>
      <c r="CK4684">
        <v>2</v>
      </c>
      <c r="CL4684">
        <v>0</v>
      </c>
      <c r="CM4684">
        <v>2</v>
      </c>
      <c r="CN4684">
        <v>0</v>
      </c>
      <c r="CO4684">
        <v>5</v>
      </c>
      <c r="CP4684" t="s">
        <v>119</v>
      </c>
      <c r="CQ4684">
        <v>298</v>
      </c>
      <c r="CR4684">
        <v>0</v>
      </c>
      <c r="CW4684">
        <v>10486025</v>
      </c>
      <c r="CY4684">
        <v>0</v>
      </c>
      <c r="CZ4684">
        <v>0</v>
      </c>
      <c r="DA4684">
        <v>1</v>
      </c>
      <c r="DB4684">
        <v>0</v>
      </c>
      <c r="DC4684">
        <v>0</v>
      </c>
      <c r="DD4684">
        <v>0</v>
      </c>
      <c r="DE4684">
        <v>0</v>
      </c>
      <c r="DF4684">
        <v>0</v>
      </c>
      <c r="DG4684">
        <v>0</v>
      </c>
      <c r="DH4684">
        <v>0</v>
      </c>
      <c r="DI4684">
        <v>0</v>
      </c>
    </row>
    <row r="4685" spans="1:113" x14ac:dyDescent="0.25">
      <c r="A4685" t="str">
        <f t="shared" si="2648"/>
        <v>06/05/2020 15:00:46.790</v>
      </c>
      <c r="C4685" t="str">
        <f t="shared" si="2622"/>
        <v>FFDFD3C0</v>
      </c>
      <c r="D4685" t="s">
        <v>151</v>
      </c>
      <c r="E4685">
        <v>8</v>
      </c>
      <c r="H4685">
        <v>225</v>
      </c>
      <c r="I4685" t="s">
        <v>353</v>
      </c>
      <c r="J4685" t="s">
        <v>150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 t="shared" si="2649"/>
        <v>15:00:52.406</v>
      </c>
      <c r="T4685" t="str">
        <f t="shared" si="2650"/>
        <v>15:00:52.106</v>
      </c>
      <c r="U4685" t="str">
        <f t="shared" si="2642"/>
        <v>ACC530</v>
      </c>
      <c r="V4685">
        <v>0</v>
      </c>
      <c r="W4685">
        <v>0</v>
      </c>
      <c r="X4685">
        <v>1</v>
      </c>
      <c r="Z4685">
        <v>0</v>
      </c>
      <c r="AA4685">
        <v>9</v>
      </c>
      <c r="AB4685">
        <v>3</v>
      </c>
      <c r="AC4685">
        <v>0</v>
      </c>
      <c r="AD4685">
        <v>9</v>
      </c>
      <c r="AE4685">
        <v>0</v>
      </c>
      <c r="AF4685">
        <v>3</v>
      </c>
      <c r="AG4685">
        <v>1</v>
      </c>
      <c r="AH4685">
        <v>0</v>
      </c>
      <c r="AI4685" t="s">
        <v>1450</v>
      </c>
      <c r="AJ4685">
        <v>34.069934000000003</v>
      </c>
      <c r="AK4685" t="s">
        <v>1451</v>
      </c>
      <c r="AL4685">
        <v>-117.071836</v>
      </c>
      <c r="AM4685">
        <v>100</v>
      </c>
      <c r="AN4685">
        <v>3500</v>
      </c>
      <c r="AO4685" t="s">
        <v>118</v>
      </c>
      <c r="AP4685">
        <v>-112</v>
      </c>
      <c r="AQ4685">
        <v>-59</v>
      </c>
      <c r="AR4685">
        <v>-2176</v>
      </c>
      <c r="AZ4685">
        <v>1200</v>
      </c>
      <c r="BA4685">
        <v>1</v>
      </c>
      <c r="BB4685" t="str">
        <f t="shared" si="2647"/>
        <v xml:space="preserve">N9217B  </v>
      </c>
      <c r="BC4685">
        <v>1</v>
      </c>
      <c r="BE4685">
        <v>0</v>
      </c>
      <c r="BF4685">
        <v>0</v>
      </c>
      <c r="BG4685">
        <v>0</v>
      </c>
      <c r="BH4685">
        <v>3275</v>
      </c>
      <c r="BI4685">
        <v>1</v>
      </c>
      <c r="BJ4685">
        <v>0</v>
      </c>
      <c r="BK4685">
        <v>0</v>
      </c>
      <c r="BL4685">
        <v>0</v>
      </c>
      <c r="BO4685">
        <v>0</v>
      </c>
      <c r="BP4685">
        <v>0</v>
      </c>
      <c r="BW4685" t="str">
        <f t="shared" si="2651"/>
        <v>15:00:52.408</v>
      </c>
      <c r="CJ4685">
        <v>0</v>
      </c>
      <c r="CK4685">
        <v>2</v>
      </c>
      <c r="CL4685">
        <v>0</v>
      </c>
      <c r="CM4685">
        <v>2</v>
      </c>
      <c r="CN4685">
        <v>0</v>
      </c>
      <c r="CO4685">
        <v>5</v>
      </c>
      <c r="CP4685" t="s">
        <v>119</v>
      </c>
      <c r="CQ4685">
        <v>298</v>
      </c>
      <c r="CR4685">
        <v>0</v>
      </c>
      <c r="CW4685">
        <v>10486025</v>
      </c>
      <c r="CY4685">
        <v>0</v>
      </c>
      <c r="CZ4685">
        <v>0</v>
      </c>
      <c r="DA4685">
        <v>1</v>
      </c>
      <c r="DB4685">
        <v>0</v>
      </c>
      <c r="DC4685">
        <v>0</v>
      </c>
      <c r="DD4685">
        <v>0</v>
      </c>
      <c r="DE4685">
        <v>0</v>
      </c>
      <c r="DF4685">
        <v>0</v>
      </c>
      <c r="DG4685">
        <v>0</v>
      </c>
      <c r="DH4685">
        <v>0</v>
      </c>
      <c r="DI4685">
        <v>0</v>
      </c>
    </row>
    <row r="4686" spans="1:113" x14ac:dyDescent="0.25">
      <c r="A4686" t="str">
        <f t="shared" si="2648"/>
        <v>06/05/2020 15:00:46.790</v>
      </c>
      <c r="C4686" t="str">
        <f t="shared" si="2622"/>
        <v>FFDFD3C0</v>
      </c>
      <c r="D4686" t="s">
        <v>134</v>
      </c>
      <c r="E4686">
        <v>7</v>
      </c>
      <c r="F4686">
        <v>2007</v>
      </c>
      <c r="G4686" t="s">
        <v>135</v>
      </c>
      <c r="J4686" t="s">
        <v>136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 t="shared" si="2649"/>
        <v>15:00:52.406</v>
      </c>
      <c r="T4686" t="str">
        <f t="shared" si="2650"/>
        <v>15:00:52.106</v>
      </c>
      <c r="U4686" t="str">
        <f t="shared" si="2642"/>
        <v>ACC530</v>
      </c>
      <c r="V4686">
        <v>0</v>
      </c>
      <c r="W4686">
        <v>0</v>
      </c>
      <c r="X4686">
        <v>1</v>
      </c>
      <c r="Z4686">
        <v>0</v>
      </c>
      <c r="AA4686">
        <v>9</v>
      </c>
      <c r="AB4686">
        <v>3</v>
      </c>
      <c r="AC4686">
        <v>0</v>
      </c>
      <c r="AD4686">
        <v>9</v>
      </c>
      <c r="AE4686">
        <v>0</v>
      </c>
      <c r="AF4686">
        <v>3</v>
      </c>
      <c r="AG4686">
        <v>1</v>
      </c>
      <c r="AH4686">
        <v>0</v>
      </c>
      <c r="AI4686" t="s">
        <v>1450</v>
      </c>
      <c r="AJ4686">
        <v>34.069934000000003</v>
      </c>
      <c r="AK4686" t="s">
        <v>1451</v>
      </c>
      <c r="AL4686">
        <v>-117.071836</v>
      </c>
      <c r="AM4686">
        <v>100</v>
      </c>
      <c r="AN4686">
        <v>3500</v>
      </c>
      <c r="AO4686" t="s">
        <v>118</v>
      </c>
      <c r="AP4686">
        <v>-112</v>
      </c>
      <c r="AQ4686">
        <v>-59</v>
      </c>
      <c r="AR4686">
        <v>-2176</v>
      </c>
      <c r="AZ4686">
        <v>1200</v>
      </c>
      <c r="BA4686">
        <v>1</v>
      </c>
      <c r="BB4686" t="str">
        <f t="shared" si="2647"/>
        <v xml:space="preserve">N9217B  </v>
      </c>
      <c r="BC4686">
        <v>1</v>
      </c>
      <c r="BE4686">
        <v>0</v>
      </c>
      <c r="BF4686">
        <v>0</v>
      </c>
      <c r="BG4686">
        <v>0</v>
      </c>
      <c r="BH4686">
        <v>3275</v>
      </c>
      <c r="BI4686">
        <v>1</v>
      </c>
      <c r="BJ4686">
        <v>0</v>
      </c>
      <c r="BK4686">
        <v>0</v>
      </c>
      <c r="BL4686">
        <v>0</v>
      </c>
      <c r="BO4686">
        <v>0</v>
      </c>
      <c r="BP4686">
        <v>0</v>
      </c>
      <c r="BW4686" t="str">
        <f t="shared" si="2651"/>
        <v>15:00:52.408</v>
      </c>
      <c r="CJ4686">
        <v>0</v>
      </c>
      <c r="CK4686">
        <v>2</v>
      </c>
      <c r="CL4686">
        <v>0</v>
      </c>
      <c r="CM4686">
        <v>2</v>
      </c>
      <c r="CN4686">
        <v>0</v>
      </c>
      <c r="CO4686">
        <v>5</v>
      </c>
      <c r="CP4686" t="s">
        <v>119</v>
      </c>
      <c r="CQ4686">
        <v>298</v>
      </c>
      <c r="CR4686">
        <v>0</v>
      </c>
      <c r="CW4686">
        <v>10486025</v>
      </c>
      <c r="CY4686">
        <v>0</v>
      </c>
      <c r="CZ4686">
        <v>0</v>
      </c>
      <c r="DA4686">
        <v>1</v>
      </c>
      <c r="DB4686">
        <v>0</v>
      </c>
      <c r="DC4686">
        <v>0</v>
      </c>
      <c r="DD4686">
        <v>0</v>
      </c>
      <c r="DE4686">
        <v>0</v>
      </c>
      <c r="DF4686">
        <v>0</v>
      </c>
      <c r="DG4686">
        <v>0</v>
      </c>
      <c r="DH4686">
        <v>0</v>
      </c>
      <c r="DI4686">
        <v>0</v>
      </c>
    </row>
    <row r="4687" spans="1:113" x14ac:dyDescent="0.25">
      <c r="A4687" t="str">
        <f t="shared" ref="A4687:A4692" si="2652">"06/05/2020 15:00:47.689"</f>
        <v>06/05/2020 15:00:47.689</v>
      </c>
      <c r="C4687" t="str">
        <f t="shared" si="2622"/>
        <v>FFDFD3C0</v>
      </c>
      <c r="D4687" t="s">
        <v>134</v>
      </c>
      <c r="E4687">
        <v>7</v>
      </c>
      <c r="F4687">
        <v>2007</v>
      </c>
      <c r="G4687" t="s">
        <v>135</v>
      </c>
      <c r="J4687" t="s">
        <v>136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 t="shared" ref="S4687:S4692" si="2653">"15:00:53.305"</f>
        <v>15:00:53.305</v>
      </c>
      <c r="T4687" t="str">
        <f t="shared" ref="T4687:T4692" si="2654">"15:00:52.505"</f>
        <v>15:00:52.505</v>
      </c>
      <c r="U4687" t="str">
        <f t="shared" si="2642"/>
        <v>ACC530</v>
      </c>
      <c r="V4687">
        <v>0</v>
      </c>
      <c r="W4687">
        <v>0</v>
      </c>
      <c r="X4687">
        <v>1</v>
      </c>
      <c r="Z4687">
        <v>0</v>
      </c>
      <c r="AA4687">
        <v>9</v>
      </c>
      <c r="AB4687">
        <v>3</v>
      </c>
      <c r="AC4687">
        <v>0</v>
      </c>
      <c r="AD4687">
        <v>9</v>
      </c>
      <c r="AE4687">
        <v>0</v>
      </c>
      <c r="AF4687">
        <v>3</v>
      </c>
      <c r="AG4687">
        <v>1</v>
      </c>
      <c r="AH4687">
        <v>0</v>
      </c>
      <c r="AI4687" t="s">
        <v>1452</v>
      </c>
      <c r="AJ4687">
        <v>34.069654999999997</v>
      </c>
      <c r="AK4687" t="s">
        <v>1453</v>
      </c>
      <c r="AL4687">
        <v>-117.072394</v>
      </c>
      <c r="AM4687">
        <v>100</v>
      </c>
      <c r="AN4687">
        <v>3500</v>
      </c>
      <c r="AO4687" t="s">
        <v>118</v>
      </c>
      <c r="AP4687">
        <v>-112</v>
      </c>
      <c r="AQ4687">
        <v>-60</v>
      </c>
      <c r="AR4687">
        <v>-2176</v>
      </c>
      <c r="AZ4687">
        <v>1200</v>
      </c>
      <c r="BA4687">
        <v>1</v>
      </c>
      <c r="BB4687" t="str">
        <f t="shared" si="2647"/>
        <v xml:space="preserve">N9217B  </v>
      </c>
      <c r="BC4687">
        <v>1</v>
      </c>
      <c r="BE4687">
        <v>0</v>
      </c>
      <c r="BF4687">
        <v>0</v>
      </c>
      <c r="BG4687">
        <v>0</v>
      </c>
      <c r="BH4687">
        <v>3250</v>
      </c>
      <c r="BI4687">
        <v>1</v>
      </c>
      <c r="BJ4687">
        <v>0</v>
      </c>
      <c r="BK4687">
        <v>0</v>
      </c>
      <c r="BL4687">
        <v>0</v>
      </c>
      <c r="BO4687">
        <v>0</v>
      </c>
      <c r="BP4687">
        <v>0</v>
      </c>
      <c r="BW4687" t="str">
        <f t="shared" ref="BW4687:BW4692" si="2655">"15:00:53.308"</f>
        <v>15:00:53.308</v>
      </c>
      <c r="CJ4687">
        <v>0</v>
      </c>
      <c r="CK4687">
        <v>2</v>
      </c>
      <c r="CL4687">
        <v>0</v>
      </c>
      <c r="CM4687">
        <v>2</v>
      </c>
      <c r="CN4687">
        <v>0</v>
      </c>
      <c r="CO4687">
        <v>5</v>
      </c>
      <c r="CP4687" t="s">
        <v>119</v>
      </c>
      <c r="CQ4687">
        <v>298</v>
      </c>
      <c r="CR4687">
        <v>0</v>
      </c>
      <c r="CW4687">
        <v>10486147</v>
      </c>
      <c r="CY4687">
        <v>0</v>
      </c>
      <c r="CZ4687">
        <v>0</v>
      </c>
      <c r="DA4687">
        <v>0</v>
      </c>
      <c r="DB4687">
        <v>0</v>
      </c>
      <c r="DC4687">
        <v>0</v>
      </c>
      <c r="DD4687">
        <v>0</v>
      </c>
      <c r="DE4687">
        <v>0</v>
      </c>
      <c r="DF4687">
        <v>0</v>
      </c>
      <c r="DG4687">
        <v>0</v>
      </c>
      <c r="DH4687">
        <v>0</v>
      </c>
      <c r="DI4687">
        <v>0</v>
      </c>
    </row>
    <row r="4688" spans="1:113" x14ac:dyDescent="0.25">
      <c r="A4688" t="str">
        <f t="shared" si="2652"/>
        <v>06/05/2020 15:00:47.689</v>
      </c>
      <c r="C4688" t="str">
        <f t="shared" si="2622"/>
        <v>FFDFD3C0</v>
      </c>
      <c r="D4688" t="s">
        <v>151</v>
      </c>
      <c r="E4688">
        <v>8</v>
      </c>
      <c r="H4688">
        <v>225</v>
      </c>
      <c r="I4688" t="s">
        <v>353</v>
      </c>
      <c r="J4688" t="s">
        <v>150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 t="shared" si="2653"/>
        <v>15:00:53.305</v>
      </c>
      <c r="T4688" t="str">
        <f t="shared" si="2654"/>
        <v>15:00:52.505</v>
      </c>
      <c r="U4688" t="str">
        <f t="shared" si="2642"/>
        <v>ACC530</v>
      </c>
      <c r="V4688">
        <v>0</v>
      </c>
      <c r="W4688">
        <v>0</v>
      </c>
      <c r="X4688">
        <v>1</v>
      </c>
      <c r="Z4688">
        <v>0</v>
      </c>
      <c r="AA4688">
        <v>9</v>
      </c>
      <c r="AB4688">
        <v>3</v>
      </c>
      <c r="AC4688">
        <v>0</v>
      </c>
      <c r="AD4688">
        <v>9</v>
      </c>
      <c r="AE4688">
        <v>0</v>
      </c>
      <c r="AF4688">
        <v>3</v>
      </c>
      <c r="AG4688">
        <v>1</v>
      </c>
      <c r="AH4688">
        <v>0</v>
      </c>
      <c r="AI4688" t="s">
        <v>1452</v>
      </c>
      <c r="AJ4688">
        <v>34.069654999999997</v>
      </c>
      <c r="AK4688" t="s">
        <v>1453</v>
      </c>
      <c r="AL4688">
        <v>-117.072394</v>
      </c>
      <c r="AM4688">
        <v>100</v>
      </c>
      <c r="AN4688">
        <v>3500</v>
      </c>
      <c r="AO4688" t="s">
        <v>118</v>
      </c>
      <c r="AP4688">
        <v>-112</v>
      </c>
      <c r="AQ4688">
        <v>-60</v>
      </c>
      <c r="AR4688">
        <v>-2176</v>
      </c>
      <c r="AZ4688">
        <v>1200</v>
      </c>
      <c r="BA4688">
        <v>1</v>
      </c>
      <c r="BB4688" t="str">
        <f t="shared" si="2647"/>
        <v xml:space="preserve">N9217B  </v>
      </c>
      <c r="BC4688">
        <v>1</v>
      </c>
      <c r="BE4688">
        <v>0</v>
      </c>
      <c r="BF4688">
        <v>0</v>
      </c>
      <c r="BG4688">
        <v>0</v>
      </c>
      <c r="BH4688">
        <v>3250</v>
      </c>
      <c r="BI4688">
        <v>1</v>
      </c>
      <c r="BJ4688">
        <v>0</v>
      </c>
      <c r="BK4688">
        <v>0</v>
      </c>
      <c r="BL4688">
        <v>0</v>
      </c>
      <c r="BO4688">
        <v>0</v>
      </c>
      <c r="BP4688">
        <v>0</v>
      </c>
      <c r="BW4688" t="str">
        <f t="shared" si="2655"/>
        <v>15:00:53.308</v>
      </c>
      <c r="CJ4688">
        <v>0</v>
      </c>
      <c r="CK4688">
        <v>2</v>
      </c>
      <c r="CL4688">
        <v>0</v>
      </c>
      <c r="CM4688">
        <v>2</v>
      </c>
      <c r="CN4688">
        <v>0</v>
      </c>
      <c r="CO4688">
        <v>5</v>
      </c>
      <c r="CP4688" t="s">
        <v>119</v>
      </c>
      <c r="CQ4688">
        <v>298</v>
      </c>
      <c r="CR4688">
        <v>0</v>
      </c>
      <c r="CW4688">
        <v>10486147</v>
      </c>
      <c r="CY4688">
        <v>0</v>
      </c>
      <c r="CZ4688">
        <v>0</v>
      </c>
      <c r="DA4688">
        <v>1</v>
      </c>
      <c r="DB4688">
        <v>0</v>
      </c>
      <c r="DC4688">
        <v>0</v>
      </c>
      <c r="DD4688">
        <v>0</v>
      </c>
      <c r="DE4688">
        <v>0</v>
      </c>
      <c r="DF4688">
        <v>0</v>
      </c>
      <c r="DG4688">
        <v>0</v>
      </c>
      <c r="DH4688">
        <v>0</v>
      </c>
      <c r="DI4688">
        <v>0</v>
      </c>
    </row>
    <row r="4689" spans="1:113" x14ac:dyDescent="0.25">
      <c r="A4689" t="str">
        <f t="shared" si="2652"/>
        <v>06/05/2020 15:00:47.689</v>
      </c>
      <c r="C4689" t="str">
        <f t="shared" si="2622"/>
        <v>FFDFD3C0</v>
      </c>
      <c r="D4689" t="s">
        <v>148</v>
      </c>
      <c r="E4689">
        <v>8</v>
      </c>
      <c r="H4689">
        <v>50</v>
      </c>
      <c r="I4689" t="s">
        <v>149</v>
      </c>
      <c r="J4689" t="s">
        <v>150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 t="shared" si="2653"/>
        <v>15:00:53.305</v>
      </c>
      <c r="T4689" t="str">
        <f t="shared" si="2654"/>
        <v>15:00:52.505</v>
      </c>
      <c r="U4689" t="str">
        <f t="shared" si="2642"/>
        <v>ACC530</v>
      </c>
      <c r="V4689">
        <v>0</v>
      </c>
      <c r="W4689">
        <v>0</v>
      </c>
      <c r="X4689">
        <v>1</v>
      </c>
      <c r="Z4689">
        <v>0</v>
      </c>
      <c r="AA4689">
        <v>9</v>
      </c>
      <c r="AB4689">
        <v>3</v>
      </c>
      <c r="AC4689">
        <v>0</v>
      </c>
      <c r="AD4689">
        <v>9</v>
      </c>
      <c r="AE4689">
        <v>0</v>
      </c>
      <c r="AF4689">
        <v>3</v>
      </c>
      <c r="AG4689">
        <v>1</v>
      </c>
      <c r="AH4689">
        <v>0</v>
      </c>
      <c r="AI4689" t="s">
        <v>1452</v>
      </c>
      <c r="AJ4689">
        <v>34.069654999999997</v>
      </c>
      <c r="AK4689" t="s">
        <v>1453</v>
      </c>
      <c r="AL4689">
        <v>-117.072394</v>
      </c>
      <c r="AM4689">
        <v>100</v>
      </c>
      <c r="AN4689">
        <v>3500</v>
      </c>
      <c r="AO4689" t="s">
        <v>118</v>
      </c>
      <c r="AP4689">
        <v>-112</v>
      </c>
      <c r="AQ4689">
        <v>-60</v>
      </c>
      <c r="AR4689">
        <v>-2176</v>
      </c>
      <c r="AZ4689">
        <v>1200</v>
      </c>
      <c r="BA4689">
        <v>1</v>
      </c>
      <c r="BB4689" t="str">
        <f t="shared" si="2647"/>
        <v xml:space="preserve">N9217B  </v>
      </c>
      <c r="BC4689">
        <v>1</v>
      </c>
      <c r="BE4689">
        <v>0</v>
      </c>
      <c r="BF4689">
        <v>0</v>
      </c>
      <c r="BG4689">
        <v>0</v>
      </c>
      <c r="BH4689">
        <v>3250</v>
      </c>
      <c r="BI4689">
        <v>1</v>
      </c>
      <c r="BJ4689">
        <v>0</v>
      </c>
      <c r="BK4689">
        <v>0</v>
      </c>
      <c r="BL4689">
        <v>0</v>
      </c>
      <c r="BO4689">
        <v>0</v>
      </c>
      <c r="BP4689">
        <v>0</v>
      </c>
      <c r="BW4689" t="str">
        <f t="shared" si="2655"/>
        <v>15:00:53.308</v>
      </c>
      <c r="CJ4689">
        <v>0</v>
      </c>
      <c r="CK4689">
        <v>2</v>
      </c>
      <c r="CL4689">
        <v>0</v>
      </c>
      <c r="CM4689">
        <v>2</v>
      </c>
      <c r="CN4689">
        <v>0</v>
      </c>
      <c r="CO4689">
        <v>5</v>
      </c>
      <c r="CP4689" t="s">
        <v>119</v>
      </c>
      <c r="CQ4689">
        <v>298</v>
      </c>
      <c r="CR4689">
        <v>0</v>
      </c>
      <c r="CW4689">
        <v>10486147</v>
      </c>
      <c r="CY4689">
        <v>0</v>
      </c>
      <c r="CZ4689">
        <v>0</v>
      </c>
      <c r="DA4689">
        <v>1</v>
      </c>
      <c r="DB4689">
        <v>0</v>
      </c>
      <c r="DC4689">
        <v>0</v>
      </c>
      <c r="DD4689">
        <v>0</v>
      </c>
      <c r="DE4689">
        <v>0</v>
      </c>
      <c r="DF4689">
        <v>0</v>
      </c>
      <c r="DG4689">
        <v>0</v>
      </c>
      <c r="DH4689">
        <v>0</v>
      </c>
      <c r="DI4689">
        <v>0</v>
      </c>
    </row>
    <row r="4690" spans="1:113" x14ac:dyDescent="0.25">
      <c r="A4690" t="str">
        <f t="shared" si="2652"/>
        <v>06/05/2020 15:00:47.689</v>
      </c>
      <c r="C4690" t="str">
        <f t="shared" si="2622"/>
        <v>FFDFD3C0</v>
      </c>
      <c r="D4690" t="s">
        <v>113</v>
      </c>
      <c r="E4690">
        <v>3</v>
      </c>
      <c r="H4690">
        <v>166</v>
      </c>
      <c r="I4690" t="s">
        <v>114</v>
      </c>
      <c r="J4690" t="s">
        <v>115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 t="shared" si="2653"/>
        <v>15:00:53.305</v>
      </c>
      <c r="T4690" t="str">
        <f t="shared" si="2654"/>
        <v>15:00:52.505</v>
      </c>
      <c r="U4690" t="str">
        <f t="shared" si="2642"/>
        <v>ACC530</v>
      </c>
      <c r="V4690">
        <v>0</v>
      </c>
      <c r="W4690">
        <v>0</v>
      </c>
      <c r="X4690">
        <v>1</v>
      </c>
      <c r="Z4690">
        <v>0</v>
      </c>
      <c r="AA4690">
        <v>9</v>
      </c>
      <c r="AB4690">
        <v>3</v>
      </c>
      <c r="AC4690">
        <v>0</v>
      </c>
      <c r="AD4690">
        <v>9</v>
      </c>
      <c r="AE4690">
        <v>0</v>
      </c>
      <c r="AF4690">
        <v>3</v>
      </c>
      <c r="AG4690">
        <v>1</v>
      </c>
      <c r="AH4690">
        <v>0</v>
      </c>
      <c r="AI4690" t="s">
        <v>1452</v>
      </c>
      <c r="AJ4690">
        <v>34.069654999999997</v>
      </c>
      <c r="AK4690" t="s">
        <v>1453</v>
      </c>
      <c r="AL4690">
        <v>-117.072394</v>
      </c>
      <c r="AM4690">
        <v>100</v>
      </c>
      <c r="AN4690">
        <v>3500</v>
      </c>
      <c r="AO4690" t="s">
        <v>118</v>
      </c>
      <c r="AP4690">
        <v>-112</v>
      </c>
      <c r="AQ4690">
        <v>-60</v>
      </c>
      <c r="AR4690">
        <v>-2176</v>
      </c>
      <c r="AZ4690">
        <v>1200</v>
      </c>
      <c r="BA4690">
        <v>1</v>
      </c>
      <c r="BB4690" t="str">
        <f t="shared" si="2647"/>
        <v xml:space="preserve">N9217B  </v>
      </c>
      <c r="BC4690">
        <v>1</v>
      </c>
      <c r="BE4690">
        <v>0</v>
      </c>
      <c r="BF4690">
        <v>0</v>
      </c>
      <c r="BG4690">
        <v>0</v>
      </c>
      <c r="BH4690">
        <v>3250</v>
      </c>
      <c r="BI4690">
        <v>1</v>
      </c>
      <c r="BJ4690">
        <v>0</v>
      </c>
      <c r="BK4690">
        <v>0</v>
      </c>
      <c r="BL4690">
        <v>0</v>
      </c>
      <c r="BO4690">
        <v>0</v>
      </c>
      <c r="BP4690">
        <v>0</v>
      </c>
      <c r="BW4690" t="str">
        <f t="shared" si="2655"/>
        <v>15:00:53.308</v>
      </c>
      <c r="CJ4690">
        <v>0</v>
      </c>
      <c r="CK4690">
        <v>2</v>
      </c>
      <c r="CL4690">
        <v>0</v>
      </c>
      <c r="CM4690">
        <v>2</v>
      </c>
      <c r="CN4690">
        <v>0</v>
      </c>
      <c r="CO4690">
        <v>5</v>
      </c>
      <c r="CP4690" t="s">
        <v>119</v>
      </c>
      <c r="CQ4690">
        <v>298</v>
      </c>
      <c r="CR4690">
        <v>0</v>
      </c>
      <c r="CW4690">
        <v>10486147</v>
      </c>
      <c r="CY4690">
        <v>0</v>
      </c>
      <c r="CZ4690">
        <v>0</v>
      </c>
      <c r="DA4690">
        <v>1</v>
      </c>
      <c r="DB4690">
        <v>0</v>
      </c>
      <c r="DC4690">
        <v>0</v>
      </c>
      <c r="DD4690">
        <v>0</v>
      </c>
      <c r="DE4690">
        <v>0</v>
      </c>
      <c r="DF4690">
        <v>0</v>
      </c>
      <c r="DG4690">
        <v>0</v>
      </c>
      <c r="DH4690">
        <v>0</v>
      </c>
      <c r="DI4690">
        <v>0</v>
      </c>
    </row>
    <row r="4691" spans="1:113" x14ac:dyDescent="0.25">
      <c r="A4691" t="str">
        <f t="shared" si="2652"/>
        <v>06/05/2020 15:00:47.689</v>
      </c>
      <c r="C4691" t="str">
        <f t="shared" si="2622"/>
        <v>FFDFD3C0</v>
      </c>
      <c r="D4691" t="s">
        <v>141</v>
      </c>
      <c r="E4691">
        <v>20</v>
      </c>
      <c r="F4691">
        <v>1020</v>
      </c>
      <c r="G4691" t="s">
        <v>114</v>
      </c>
      <c r="J4691" t="s">
        <v>142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 t="shared" si="2653"/>
        <v>15:00:53.305</v>
      </c>
      <c r="T4691" t="str">
        <f t="shared" si="2654"/>
        <v>15:00:52.505</v>
      </c>
      <c r="U4691" t="str">
        <f t="shared" si="2642"/>
        <v>ACC530</v>
      </c>
      <c r="V4691">
        <v>0</v>
      </c>
      <c r="W4691">
        <v>0</v>
      </c>
      <c r="X4691">
        <v>1</v>
      </c>
      <c r="Z4691">
        <v>0</v>
      </c>
      <c r="AA4691">
        <v>9</v>
      </c>
      <c r="AB4691">
        <v>3</v>
      </c>
      <c r="AC4691">
        <v>0</v>
      </c>
      <c r="AD4691">
        <v>9</v>
      </c>
      <c r="AE4691">
        <v>0</v>
      </c>
      <c r="AF4691">
        <v>3</v>
      </c>
      <c r="AG4691">
        <v>1</v>
      </c>
      <c r="AH4691">
        <v>0</v>
      </c>
      <c r="AI4691" t="s">
        <v>1452</v>
      </c>
      <c r="AJ4691">
        <v>34.069654999999997</v>
      </c>
      <c r="AK4691" t="s">
        <v>1453</v>
      </c>
      <c r="AL4691">
        <v>-117.072394</v>
      </c>
      <c r="AM4691">
        <v>100</v>
      </c>
      <c r="AN4691">
        <v>3500</v>
      </c>
      <c r="AO4691" t="s">
        <v>118</v>
      </c>
      <c r="AP4691">
        <v>-112</v>
      </c>
      <c r="AQ4691">
        <v>-60</v>
      </c>
      <c r="AR4691">
        <v>-2176</v>
      </c>
      <c r="AZ4691">
        <v>1200</v>
      </c>
      <c r="BA4691">
        <v>1</v>
      </c>
      <c r="BB4691" t="str">
        <f t="shared" si="2647"/>
        <v xml:space="preserve">N9217B  </v>
      </c>
      <c r="BC4691">
        <v>1</v>
      </c>
      <c r="BE4691">
        <v>0</v>
      </c>
      <c r="BF4691">
        <v>0</v>
      </c>
      <c r="BG4691">
        <v>0</v>
      </c>
      <c r="BH4691">
        <v>3250</v>
      </c>
      <c r="BI4691">
        <v>1</v>
      </c>
      <c r="BJ4691">
        <v>0</v>
      </c>
      <c r="BK4691">
        <v>0</v>
      </c>
      <c r="BL4691">
        <v>0</v>
      </c>
      <c r="BO4691">
        <v>0</v>
      </c>
      <c r="BP4691">
        <v>0</v>
      </c>
      <c r="BW4691" t="str">
        <f t="shared" si="2655"/>
        <v>15:00:53.308</v>
      </c>
      <c r="CJ4691">
        <v>0</v>
      </c>
      <c r="CK4691">
        <v>2</v>
      </c>
      <c r="CL4691">
        <v>0</v>
      </c>
      <c r="CM4691">
        <v>2</v>
      </c>
      <c r="CN4691">
        <v>0</v>
      </c>
      <c r="CO4691">
        <v>5</v>
      </c>
      <c r="CP4691" t="s">
        <v>119</v>
      </c>
      <c r="CQ4691">
        <v>298</v>
      </c>
      <c r="CR4691">
        <v>0</v>
      </c>
      <c r="CW4691">
        <v>10486147</v>
      </c>
      <c r="CY4691">
        <v>0</v>
      </c>
      <c r="CZ4691">
        <v>0</v>
      </c>
      <c r="DA4691">
        <v>1</v>
      </c>
      <c r="DB4691">
        <v>0</v>
      </c>
      <c r="DC4691">
        <v>0</v>
      </c>
      <c r="DD4691">
        <v>0</v>
      </c>
      <c r="DE4691">
        <v>0</v>
      </c>
      <c r="DF4691">
        <v>0</v>
      </c>
      <c r="DG4691">
        <v>0</v>
      </c>
      <c r="DH4691">
        <v>0</v>
      </c>
      <c r="DI4691">
        <v>0</v>
      </c>
    </row>
    <row r="4692" spans="1:113" x14ac:dyDescent="0.25">
      <c r="A4692" t="str">
        <f t="shared" si="2652"/>
        <v>06/05/2020 15:00:47.689</v>
      </c>
      <c r="C4692" t="str">
        <f t="shared" si="2622"/>
        <v>FFDFD3C0</v>
      </c>
      <c r="D4692" t="s">
        <v>148</v>
      </c>
      <c r="E4692">
        <v>11</v>
      </c>
      <c r="H4692">
        <v>53</v>
      </c>
      <c r="I4692" t="s">
        <v>364</v>
      </c>
      <c r="J4692" t="s">
        <v>150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 t="shared" si="2653"/>
        <v>15:00:53.305</v>
      </c>
      <c r="T4692" t="str">
        <f t="shared" si="2654"/>
        <v>15:00:52.505</v>
      </c>
      <c r="U4692" t="str">
        <f t="shared" si="2642"/>
        <v>ACC530</v>
      </c>
      <c r="V4692">
        <v>0</v>
      </c>
      <c r="W4692">
        <v>0</v>
      </c>
      <c r="X4692">
        <v>1</v>
      </c>
      <c r="Z4692">
        <v>0</v>
      </c>
      <c r="AA4692">
        <v>9</v>
      </c>
      <c r="AB4692">
        <v>3</v>
      </c>
      <c r="AC4692">
        <v>0</v>
      </c>
      <c r="AD4692">
        <v>9</v>
      </c>
      <c r="AE4692">
        <v>0</v>
      </c>
      <c r="AF4692">
        <v>3</v>
      </c>
      <c r="AG4692">
        <v>1</v>
      </c>
      <c r="AH4692">
        <v>0</v>
      </c>
      <c r="AI4692" t="s">
        <v>1452</v>
      </c>
      <c r="AJ4692">
        <v>34.069654999999997</v>
      </c>
      <c r="AK4692" t="s">
        <v>1453</v>
      </c>
      <c r="AL4692">
        <v>-117.072394</v>
      </c>
      <c r="AM4692">
        <v>100</v>
      </c>
      <c r="AN4692">
        <v>3500</v>
      </c>
      <c r="AO4692" t="s">
        <v>118</v>
      </c>
      <c r="AP4692">
        <v>-112</v>
      </c>
      <c r="AQ4692">
        <v>-60</v>
      </c>
      <c r="AR4692">
        <v>-2176</v>
      </c>
      <c r="AZ4692">
        <v>1200</v>
      </c>
      <c r="BA4692">
        <v>1</v>
      </c>
      <c r="BB4692" t="str">
        <f t="shared" si="2647"/>
        <v xml:space="preserve">N9217B  </v>
      </c>
      <c r="BC4692">
        <v>1</v>
      </c>
      <c r="BE4692">
        <v>0</v>
      </c>
      <c r="BF4692">
        <v>0</v>
      </c>
      <c r="BG4692">
        <v>0</v>
      </c>
      <c r="BH4692">
        <v>3250</v>
      </c>
      <c r="BI4692">
        <v>1</v>
      </c>
      <c r="BJ4692">
        <v>0</v>
      </c>
      <c r="BK4692">
        <v>0</v>
      </c>
      <c r="BL4692">
        <v>0</v>
      </c>
      <c r="BO4692">
        <v>0</v>
      </c>
      <c r="BP4692">
        <v>0</v>
      </c>
      <c r="BW4692" t="str">
        <f t="shared" si="2655"/>
        <v>15:00:53.308</v>
      </c>
      <c r="CJ4692">
        <v>0</v>
      </c>
      <c r="CK4692">
        <v>2</v>
      </c>
      <c r="CL4692">
        <v>0</v>
      </c>
      <c r="CM4692">
        <v>2</v>
      </c>
      <c r="CN4692">
        <v>0</v>
      </c>
      <c r="CO4692">
        <v>5</v>
      </c>
      <c r="CP4692" t="s">
        <v>119</v>
      </c>
      <c r="CQ4692">
        <v>298</v>
      </c>
      <c r="CR4692">
        <v>0</v>
      </c>
      <c r="CW4692">
        <v>10486147</v>
      </c>
      <c r="CY4692">
        <v>0</v>
      </c>
      <c r="CZ4692">
        <v>0</v>
      </c>
      <c r="DA4692">
        <v>1</v>
      </c>
      <c r="DB4692">
        <v>0</v>
      </c>
      <c r="DC4692">
        <v>0</v>
      </c>
      <c r="DD4692">
        <v>0</v>
      </c>
      <c r="DE4692">
        <v>0</v>
      </c>
      <c r="DF4692">
        <v>0</v>
      </c>
      <c r="DG4692">
        <v>0</v>
      </c>
      <c r="DH4692">
        <v>0</v>
      </c>
      <c r="DI4692">
        <v>0</v>
      </c>
    </row>
    <row r="4693" spans="1:113" x14ac:dyDescent="0.25">
      <c r="A4693" t="str">
        <f t="shared" ref="A4693:A4698" si="2656">"06/05/2020 15:00:48.776"</f>
        <v>06/05/2020 15:00:48.776</v>
      </c>
      <c r="C4693" t="str">
        <f t="shared" si="2622"/>
        <v>FFDFD3C0</v>
      </c>
      <c r="D4693" t="s">
        <v>113</v>
      </c>
      <c r="E4693">
        <v>3</v>
      </c>
      <c r="H4693">
        <v>166</v>
      </c>
      <c r="I4693" t="s">
        <v>114</v>
      </c>
      <c r="J4693" t="s">
        <v>115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 t="shared" ref="S4693:S4698" si="2657">"15:00:54.414"</f>
        <v>15:00:54.414</v>
      </c>
      <c r="T4693" t="str">
        <f t="shared" ref="T4693:T4698" si="2658">"15:00:54.114"</f>
        <v>15:00:54.114</v>
      </c>
      <c r="U4693" t="str">
        <f t="shared" si="2642"/>
        <v>ACC530</v>
      </c>
      <c r="V4693">
        <v>0</v>
      </c>
      <c r="W4693">
        <v>0</v>
      </c>
      <c r="X4693">
        <v>1</v>
      </c>
      <c r="Z4693">
        <v>0</v>
      </c>
      <c r="AA4693">
        <v>9</v>
      </c>
      <c r="AB4693">
        <v>3</v>
      </c>
      <c r="AC4693">
        <v>0</v>
      </c>
      <c r="AD4693">
        <v>9</v>
      </c>
      <c r="AE4693">
        <v>0</v>
      </c>
      <c r="AF4693">
        <v>3</v>
      </c>
      <c r="AG4693">
        <v>1</v>
      </c>
      <c r="AH4693">
        <v>0</v>
      </c>
      <c r="AI4693" t="s">
        <v>1454</v>
      </c>
      <c r="AJ4693">
        <v>34.069333</v>
      </c>
      <c r="AK4693" t="s">
        <v>1455</v>
      </c>
      <c r="AL4693">
        <v>-117.073059</v>
      </c>
      <c r="AM4693">
        <v>100</v>
      </c>
      <c r="AN4693">
        <v>3400</v>
      </c>
      <c r="AO4693" t="s">
        <v>118</v>
      </c>
      <c r="AP4693">
        <v>-110</v>
      </c>
      <c r="AQ4693">
        <v>-63</v>
      </c>
      <c r="AR4693">
        <v>-2240</v>
      </c>
      <c r="AZ4693">
        <v>1200</v>
      </c>
      <c r="BA4693">
        <v>1</v>
      </c>
      <c r="BB4693" t="str">
        <f t="shared" si="2647"/>
        <v xml:space="preserve">N9217B  </v>
      </c>
      <c r="BC4693">
        <v>1</v>
      </c>
      <c r="BE4693">
        <v>0</v>
      </c>
      <c r="BF4693">
        <v>0</v>
      </c>
      <c r="BG4693">
        <v>0</v>
      </c>
      <c r="BH4693">
        <v>3200</v>
      </c>
      <c r="BI4693">
        <v>1</v>
      </c>
      <c r="BJ4693">
        <v>0</v>
      </c>
      <c r="BK4693">
        <v>0</v>
      </c>
      <c r="BL4693">
        <v>0</v>
      </c>
      <c r="BO4693">
        <v>0</v>
      </c>
      <c r="BP4693">
        <v>0</v>
      </c>
      <c r="BW4693" t="str">
        <f t="shared" ref="BW4693:BW4698" si="2659">"15:00:54.418"</f>
        <v>15:00:54.418</v>
      </c>
      <c r="CJ4693">
        <v>0</v>
      </c>
      <c r="CK4693">
        <v>2</v>
      </c>
      <c r="CL4693">
        <v>0</v>
      </c>
      <c r="CM4693">
        <v>2</v>
      </c>
      <c r="CN4693">
        <v>0</v>
      </c>
      <c r="CO4693">
        <v>6</v>
      </c>
      <c r="CP4693" t="s">
        <v>119</v>
      </c>
      <c r="CQ4693">
        <v>298</v>
      </c>
      <c r="CR4693">
        <v>0</v>
      </c>
      <c r="CW4693">
        <v>10486299</v>
      </c>
      <c r="CY4693">
        <v>0</v>
      </c>
      <c r="CZ4693">
        <v>0</v>
      </c>
      <c r="DA4693">
        <v>0</v>
      </c>
      <c r="DB4693">
        <v>0</v>
      </c>
      <c r="DC4693">
        <v>0</v>
      </c>
      <c r="DD4693">
        <v>0</v>
      </c>
      <c r="DE4693">
        <v>0</v>
      </c>
      <c r="DF4693">
        <v>0</v>
      </c>
      <c r="DG4693">
        <v>0</v>
      </c>
      <c r="DH4693">
        <v>0</v>
      </c>
      <c r="DI4693">
        <v>0</v>
      </c>
    </row>
    <row r="4694" spans="1:113" x14ac:dyDescent="0.25">
      <c r="A4694" t="str">
        <f t="shared" si="2656"/>
        <v>06/05/2020 15:00:48.776</v>
      </c>
      <c r="C4694" t="str">
        <f t="shared" si="2622"/>
        <v>FFDFD3C0</v>
      </c>
      <c r="D4694" t="s">
        <v>141</v>
      </c>
      <c r="E4694">
        <v>20</v>
      </c>
      <c r="F4694">
        <v>1020</v>
      </c>
      <c r="G4694" t="s">
        <v>114</v>
      </c>
      <c r="J4694" t="s">
        <v>142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 t="shared" si="2657"/>
        <v>15:00:54.414</v>
      </c>
      <c r="T4694" t="str">
        <f t="shared" si="2658"/>
        <v>15:00:54.114</v>
      </c>
      <c r="U4694" t="str">
        <f t="shared" si="2642"/>
        <v>ACC530</v>
      </c>
      <c r="V4694">
        <v>0</v>
      </c>
      <c r="W4694">
        <v>0</v>
      </c>
      <c r="X4694">
        <v>1</v>
      </c>
      <c r="Z4694">
        <v>0</v>
      </c>
      <c r="AA4694">
        <v>9</v>
      </c>
      <c r="AB4694">
        <v>3</v>
      </c>
      <c r="AC4694">
        <v>0</v>
      </c>
      <c r="AD4694">
        <v>9</v>
      </c>
      <c r="AE4694">
        <v>0</v>
      </c>
      <c r="AF4694">
        <v>3</v>
      </c>
      <c r="AG4694">
        <v>1</v>
      </c>
      <c r="AH4694">
        <v>0</v>
      </c>
      <c r="AI4694" t="s">
        <v>1454</v>
      </c>
      <c r="AJ4694">
        <v>34.069333</v>
      </c>
      <c r="AK4694" t="s">
        <v>1455</v>
      </c>
      <c r="AL4694">
        <v>-117.073059</v>
      </c>
      <c r="AM4694">
        <v>100</v>
      </c>
      <c r="AN4694">
        <v>3400</v>
      </c>
      <c r="AO4694" t="s">
        <v>118</v>
      </c>
      <c r="AP4694">
        <v>-110</v>
      </c>
      <c r="AQ4694">
        <v>-63</v>
      </c>
      <c r="AR4694">
        <v>-2240</v>
      </c>
      <c r="AZ4694">
        <v>1200</v>
      </c>
      <c r="BA4694">
        <v>1</v>
      </c>
      <c r="BB4694" t="str">
        <f t="shared" si="2647"/>
        <v xml:space="preserve">N9217B  </v>
      </c>
      <c r="BC4694">
        <v>1</v>
      </c>
      <c r="BE4694">
        <v>0</v>
      </c>
      <c r="BF4694">
        <v>0</v>
      </c>
      <c r="BG4694">
        <v>0</v>
      </c>
      <c r="BH4694">
        <v>3200</v>
      </c>
      <c r="BI4694">
        <v>1</v>
      </c>
      <c r="BJ4694">
        <v>0</v>
      </c>
      <c r="BK4694">
        <v>0</v>
      </c>
      <c r="BL4694">
        <v>0</v>
      </c>
      <c r="BO4694">
        <v>0</v>
      </c>
      <c r="BP4694">
        <v>0</v>
      </c>
      <c r="BW4694" t="str">
        <f t="shared" si="2659"/>
        <v>15:00:54.418</v>
      </c>
      <c r="CJ4694">
        <v>0</v>
      </c>
      <c r="CK4694">
        <v>2</v>
      </c>
      <c r="CL4694">
        <v>0</v>
      </c>
      <c r="CM4694">
        <v>2</v>
      </c>
      <c r="CN4694">
        <v>0</v>
      </c>
      <c r="CO4694">
        <v>6</v>
      </c>
      <c r="CP4694" t="s">
        <v>119</v>
      </c>
      <c r="CQ4694">
        <v>298</v>
      </c>
      <c r="CR4694">
        <v>0</v>
      </c>
      <c r="CW4694">
        <v>10486299</v>
      </c>
      <c r="CY4694">
        <v>0</v>
      </c>
      <c r="CZ4694">
        <v>0</v>
      </c>
      <c r="DA4694">
        <v>1</v>
      </c>
      <c r="DB4694">
        <v>0</v>
      </c>
      <c r="DC4694">
        <v>0</v>
      </c>
      <c r="DD4694">
        <v>0</v>
      </c>
      <c r="DE4694">
        <v>0</v>
      </c>
      <c r="DF4694">
        <v>0</v>
      </c>
      <c r="DG4694">
        <v>0</v>
      </c>
      <c r="DH4694">
        <v>0</v>
      </c>
      <c r="DI4694">
        <v>0</v>
      </c>
    </row>
    <row r="4695" spans="1:113" x14ac:dyDescent="0.25">
      <c r="A4695" t="str">
        <f t="shared" si="2656"/>
        <v>06/05/2020 15:00:48.776</v>
      </c>
      <c r="C4695" t="str">
        <f t="shared" si="2622"/>
        <v>FFDFD3C0</v>
      </c>
      <c r="D4695" t="s">
        <v>148</v>
      </c>
      <c r="E4695">
        <v>11</v>
      </c>
      <c r="H4695">
        <v>53</v>
      </c>
      <c r="I4695" t="s">
        <v>364</v>
      </c>
      <c r="J4695" t="s">
        <v>150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 t="shared" si="2657"/>
        <v>15:00:54.414</v>
      </c>
      <c r="T4695" t="str">
        <f t="shared" si="2658"/>
        <v>15:00:54.114</v>
      </c>
      <c r="U4695" t="str">
        <f t="shared" si="2642"/>
        <v>ACC530</v>
      </c>
      <c r="V4695">
        <v>0</v>
      </c>
      <c r="W4695">
        <v>0</v>
      </c>
      <c r="X4695">
        <v>1</v>
      </c>
      <c r="Z4695">
        <v>0</v>
      </c>
      <c r="AA4695">
        <v>9</v>
      </c>
      <c r="AB4695">
        <v>3</v>
      </c>
      <c r="AC4695">
        <v>0</v>
      </c>
      <c r="AD4695">
        <v>9</v>
      </c>
      <c r="AE4695">
        <v>0</v>
      </c>
      <c r="AF4695">
        <v>3</v>
      </c>
      <c r="AG4695">
        <v>1</v>
      </c>
      <c r="AH4695">
        <v>0</v>
      </c>
      <c r="AI4695" t="s">
        <v>1454</v>
      </c>
      <c r="AJ4695">
        <v>34.069333</v>
      </c>
      <c r="AK4695" t="s">
        <v>1455</v>
      </c>
      <c r="AL4695">
        <v>-117.073059</v>
      </c>
      <c r="AM4695">
        <v>100</v>
      </c>
      <c r="AN4695">
        <v>3400</v>
      </c>
      <c r="AO4695" t="s">
        <v>118</v>
      </c>
      <c r="AP4695">
        <v>-110</v>
      </c>
      <c r="AQ4695">
        <v>-63</v>
      </c>
      <c r="AR4695">
        <v>-2240</v>
      </c>
      <c r="AZ4695">
        <v>1200</v>
      </c>
      <c r="BA4695">
        <v>1</v>
      </c>
      <c r="BB4695" t="str">
        <f t="shared" si="2647"/>
        <v xml:space="preserve">N9217B  </v>
      </c>
      <c r="BC4695">
        <v>1</v>
      </c>
      <c r="BE4695">
        <v>0</v>
      </c>
      <c r="BF4695">
        <v>0</v>
      </c>
      <c r="BG4695">
        <v>0</v>
      </c>
      <c r="BH4695">
        <v>3200</v>
      </c>
      <c r="BI4695">
        <v>1</v>
      </c>
      <c r="BJ4695">
        <v>0</v>
      </c>
      <c r="BK4695">
        <v>0</v>
      </c>
      <c r="BL4695">
        <v>0</v>
      </c>
      <c r="BO4695">
        <v>0</v>
      </c>
      <c r="BP4695">
        <v>0</v>
      </c>
      <c r="BW4695" t="str">
        <f t="shared" si="2659"/>
        <v>15:00:54.418</v>
      </c>
      <c r="CJ4695">
        <v>0</v>
      </c>
      <c r="CK4695">
        <v>2</v>
      </c>
      <c r="CL4695">
        <v>0</v>
      </c>
      <c r="CM4695">
        <v>2</v>
      </c>
      <c r="CN4695">
        <v>0</v>
      </c>
      <c r="CO4695">
        <v>6</v>
      </c>
      <c r="CP4695" t="s">
        <v>119</v>
      </c>
      <c r="CQ4695">
        <v>298</v>
      </c>
      <c r="CR4695">
        <v>0</v>
      </c>
      <c r="CW4695">
        <v>10486299</v>
      </c>
      <c r="CY4695">
        <v>0</v>
      </c>
      <c r="CZ4695">
        <v>0</v>
      </c>
      <c r="DA4695">
        <v>1</v>
      </c>
      <c r="DB4695">
        <v>0</v>
      </c>
      <c r="DC4695">
        <v>0</v>
      </c>
      <c r="DD4695">
        <v>0</v>
      </c>
      <c r="DE4695">
        <v>0</v>
      </c>
      <c r="DF4695">
        <v>0</v>
      </c>
      <c r="DG4695">
        <v>0</v>
      </c>
      <c r="DH4695">
        <v>0</v>
      </c>
      <c r="DI4695">
        <v>0</v>
      </c>
    </row>
    <row r="4696" spans="1:113" x14ac:dyDescent="0.25">
      <c r="A4696" t="str">
        <f t="shared" si="2656"/>
        <v>06/05/2020 15:00:48.776</v>
      </c>
      <c r="C4696" t="str">
        <f t="shared" si="2622"/>
        <v>FFDFD3C0</v>
      </c>
      <c r="D4696" t="s">
        <v>134</v>
      </c>
      <c r="E4696">
        <v>7</v>
      </c>
      <c r="F4696">
        <v>2007</v>
      </c>
      <c r="G4696" t="s">
        <v>135</v>
      </c>
      <c r="J4696" t="s">
        <v>136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 t="shared" si="2657"/>
        <v>15:00:54.414</v>
      </c>
      <c r="T4696" t="str">
        <f t="shared" si="2658"/>
        <v>15:00:54.114</v>
      </c>
      <c r="U4696" t="str">
        <f t="shared" si="2642"/>
        <v>ACC530</v>
      </c>
      <c r="V4696">
        <v>0</v>
      </c>
      <c r="W4696">
        <v>0</v>
      </c>
      <c r="X4696">
        <v>1</v>
      </c>
      <c r="Z4696">
        <v>0</v>
      </c>
      <c r="AA4696">
        <v>9</v>
      </c>
      <c r="AB4696">
        <v>3</v>
      </c>
      <c r="AC4696">
        <v>0</v>
      </c>
      <c r="AD4696">
        <v>9</v>
      </c>
      <c r="AE4696">
        <v>0</v>
      </c>
      <c r="AF4696">
        <v>3</v>
      </c>
      <c r="AG4696">
        <v>1</v>
      </c>
      <c r="AH4696">
        <v>0</v>
      </c>
      <c r="AI4696" t="s">
        <v>1454</v>
      </c>
      <c r="AJ4696">
        <v>34.069333</v>
      </c>
      <c r="AK4696" t="s">
        <v>1455</v>
      </c>
      <c r="AL4696">
        <v>-117.073059</v>
      </c>
      <c r="AM4696">
        <v>100</v>
      </c>
      <c r="AN4696">
        <v>3400</v>
      </c>
      <c r="AO4696" t="s">
        <v>118</v>
      </c>
      <c r="AP4696">
        <v>-110</v>
      </c>
      <c r="AQ4696">
        <v>-63</v>
      </c>
      <c r="AR4696">
        <v>-2240</v>
      </c>
      <c r="AZ4696">
        <v>1200</v>
      </c>
      <c r="BA4696">
        <v>1</v>
      </c>
      <c r="BB4696" t="str">
        <f t="shared" si="2647"/>
        <v xml:space="preserve">N9217B  </v>
      </c>
      <c r="BC4696">
        <v>1</v>
      </c>
      <c r="BE4696">
        <v>0</v>
      </c>
      <c r="BF4696">
        <v>0</v>
      </c>
      <c r="BG4696">
        <v>0</v>
      </c>
      <c r="BH4696">
        <v>3200</v>
      </c>
      <c r="BI4696">
        <v>1</v>
      </c>
      <c r="BJ4696">
        <v>0</v>
      </c>
      <c r="BK4696">
        <v>0</v>
      </c>
      <c r="BL4696">
        <v>0</v>
      </c>
      <c r="BO4696">
        <v>0</v>
      </c>
      <c r="BP4696">
        <v>0</v>
      </c>
      <c r="BW4696" t="str">
        <f t="shared" si="2659"/>
        <v>15:00:54.418</v>
      </c>
      <c r="CJ4696">
        <v>0</v>
      </c>
      <c r="CK4696">
        <v>2</v>
      </c>
      <c r="CL4696">
        <v>0</v>
      </c>
      <c r="CM4696">
        <v>2</v>
      </c>
      <c r="CN4696">
        <v>0</v>
      </c>
      <c r="CO4696">
        <v>6</v>
      </c>
      <c r="CP4696" t="s">
        <v>119</v>
      </c>
      <c r="CQ4696">
        <v>298</v>
      </c>
      <c r="CR4696">
        <v>0</v>
      </c>
      <c r="CW4696">
        <v>10486299</v>
      </c>
      <c r="CY4696">
        <v>0</v>
      </c>
      <c r="CZ4696">
        <v>0</v>
      </c>
      <c r="DA4696">
        <v>1</v>
      </c>
      <c r="DB4696">
        <v>0</v>
      </c>
      <c r="DC4696">
        <v>0</v>
      </c>
      <c r="DD4696">
        <v>0</v>
      </c>
      <c r="DE4696">
        <v>0</v>
      </c>
      <c r="DF4696">
        <v>0</v>
      </c>
      <c r="DG4696">
        <v>0</v>
      </c>
      <c r="DH4696">
        <v>0</v>
      </c>
      <c r="DI4696">
        <v>0</v>
      </c>
    </row>
    <row r="4697" spans="1:113" x14ac:dyDescent="0.25">
      <c r="A4697" t="str">
        <f t="shared" si="2656"/>
        <v>06/05/2020 15:00:48.776</v>
      </c>
      <c r="C4697" t="str">
        <f t="shared" si="2622"/>
        <v>FFDFD3C0</v>
      </c>
      <c r="D4697" t="s">
        <v>151</v>
      </c>
      <c r="E4697">
        <v>8</v>
      </c>
      <c r="H4697">
        <v>225</v>
      </c>
      <c r="I4697" t="s">
        <v>353</v>
      </c>
      <c r="J4697" t="s">
        <v>150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 t="shared" si="2657"/>
        <v>15:00:54.414</v>
      </c>
      <c r="T4697" t="str">
        <f t="shared" si="2658"/>
        <v>15:00:54.114</v>
      </c>
      <c r="U4697" t="str">
        <f t="shared" si="2642"/>
        <v>ACC530</v>
      </c>
      <c r="V4697">
        <v>0</v>
      </c>
      <c r="W4697">
        <v>0</v>
      </c>
      <c r="X4697">
        <v>1</v>
      </c>
      <c r="Z4697">
        <v>0</v>
      </c>
      <c r="AA4697">
        <v>9</v>
      </c>
      <c r="AB4697">
        <v>3</v>
      </c>
      <c r="AC4697">
        <v>0</v>
      </c>
      <c r="AD4697">
        <v>9</v>
      </c>
      <c r="AE4697">
        <v>0</v>
      </c>
      <c r="AF4697">
        <v>3</v>
      </c>
      <c r="AG4697">
        <v>1</v>
      </c>
      <c r="AH4697">
        <v>0</v>
      </c>
      <c r="AI4697" t="s">
        <v>1454</v>
      </c>
      <c r="AJ4697">
        <v>34.069333</v>
      </c>
      <c r="AK4697" t="s">
        <v>1455</v>
      </c>
      <c r="AL4697">
        <v>-117.073059</v>
      </c>
      <c r="AM4697">
        <v>100</v>
      </c>
      <c r="AN4697">
        <v>3400</v>
      </c>
      <c r="AO4697" t="s">
        <v>118</v>
      </c>
      <c r="AP4697">
        <v>-110</v>
      </c>
      <c r="AQ4697">
        <v>-63</v>
      </c>
      <c r="AR4697">
        <v>-2240</v>
      </c>
      <c r="AZ4697">
        <v>1200</v>
      </c>
      <c r="BA4697">
        <v>1</v>
      </c>
      <c r="BB4697" t="str">
        <f t="shared" si="2647"/>
        <v xml:space="preserve">N9217B  </v>
      </c>
      <c r="BC4697">
        <v>1</v>
      </c>
      <c r="BE4697">
        <v>0</v>
      </c>
      <c r="BF4697">
        <v>0</v>
      </c>
      <c r="BG4697">
        <v>0</v>
      </c>
      <c r="BH4697">
        <v>3200</v>
      </c>
      <c r="BI4697">
        <v>1</v>
      </c>
      <c r="BJ4697">
        <v>0</v>
      </c>
      <c r="BK4697">
        <v>0</v>
      </c>
      <c r="BL4697">
        <v>0</v>
      </c>
      <c r="BO4697">
        <v>0</v>
      </c>
      <c r="BP4697">
        <v>0</v>
      </c>
      <c r="BW4697" t="str">
        <f t="shared" si="2659"/>
        <v>15:00:54.418</v>
      </c>
      <c r="CJ4697">
        <v>0</v>
      </c>
      <c r="CK4697">
        <v>2</v>
      </c>
      <c r="CL4697">
        <v>0</v>
      </c>
      <c r="CM4697">
        <v>2</v>
      </c>
      <c r="CN4697">
        <v>0</v>
      </c>
      <c r="CO4697">
        <v>6</v>
      </c>
      <c r="CP4697" t="s">
        <v>119</v>
      </c>
      <c r="CQ4697">
        <v>298</v>
      </c>
      <c r="CR4697">
        <v>0</v>
      </c>
      <c r="CW4697">
        <v>10486299</v>
      </c>
      <c r="CY4697">
        <v>0</v>
      </c>
      <c r="CZ4697">
        <v>0</v>
      </c>
      <c r="DA4697">
        <v>1</v>
      </c>
      <c r="DB4697">
        <v>0</v>
      </c>
      <c r="DC4697">
        <v>0</v>
      </c>
      <c r="DD4697">
        <v>0</v>
      </c>
      <c r="DE4697">
        <v>0</v>
      </c>
      <c r="DF4697">
        <v>0</v>
      </c>
      <c r="DG4697">
        <v>0</v>
      </c>
      <c r="DH4697">
        <v>0</v>
      </c>
      <c r="DI4697">
        <v>0</v>
      </c>
    </row>
    <row r="4698" spans="1:113" x14ac:dyDescent="0.25">
      <c r="A4698" t="str">
        <f t="shared" si="2656"/>
        <v>06/05/2020 15:00:48.776</v>
      </c>
      <c r="C4698" t="str">
        <f t="shared" si="2622"/>
        <v>FFDFD3C0</v>
      </c>
      <c r="D4698" t="s">
        <v>148</v>
      </c>
      <c r="E4698">
        <v>8</v>
      </c>
      <c r="H4698">
        <v>50</v>
      </c>
      <c r="I4698" t="s">
        <v>149</v>
      </c>
      <c r="J4698" t="s">
        <v>150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 t="shared" si="2657"/>
        <v>15:00:54.414</v>
      </c>
      <c r="T4698" t="str">
        <f t="shared" si="2658"/>
        <v>15:00:54.114</v>
      </c>
      <c r="U4698" t="str">
        <f t="shared" si="2642"/>
        <v>ACC530</v>
      </c>
      <c r="V4698">
        <v>0</v>
      </c>
      <c r="W4698">
        <v>0</v>
      </c>
      <c r="X4698">
        <v>1</v>
      </c>
      <c r="Z4698">
        <v>0</v>
      </c>
      <c r="AA4698">
        <v>9</v>
      </c>
      <c r="AB4698">
        <v>3</v>
      </c>
      <c r="AC4698">
        <v>0</v>
      </c>
      <c r="AD4698">
        <v>9</v>
      </c>
      <c r="AE4698">
        <v>0</v>
      </c>
      <c r="AF4698">
        <v>3</v>
      </c>
      <c r="AG4698">
        <v>1</v>
      </c>
      <c r="AH4698">
        <v>0</v>
      </c>
      <c r="AI4698" t="s">
        <v>1454</v>
      </c>
      <c r="AJ4698">
        <v>34.069333</v>
      </c>
      <c r="AK4698" t="s">
        <v>1455</v>
      </c>
      <c r="AL4698">
        <v>-117.073059</v>
      </c>
      <c r="AM4698">
        <v>100</v>
      </c>
      <c r="AN4698">
        <v>3400</v>
      </c>
      <c r="AO4698" t="s">
        <v>118</v>
      </c>
      <c r="AP4698">
        <v>-110</v>
      </c>
      <c r="AQ4698">
        <v>-63</v>
      </c>
      <c r="AR4698">
        <v>-2240</v>
      </c>
      <c r="AZ4698">
        <v>1200</v>
      </c>
      <c r="BA4698">
        <v>1</v>
      </c>
      <c r="BB4698" t="str">
        <f t="shared" si="2647"/>
        <v xml:space="preserve">N9217B  </v>
      </c>
      <c r="BC4698">
        <v>1</v>
      </c>
      <c r="BE4698">
        <v>0</v>
      </c>
      <c r="BF4698">
        <v>0</v>
      </c>
      <c r="BG4698">
        <v>0</v>
      </c>
      <c r="BH4698">
        <v>3200</v>
      </c>
      <c r="BI4698">
        <v>1</v>
      </c>
      <c r="BJ4698">
        <v>0</v>
      </c>
      <c r="BK4698">
        <v>0</v>
      </c>
      <c r="BL4698">
        <v>0</v>
      </c>
      <c r="BO4698">
        <v>0</v>
      </c>
      <c r="BP4698">
        <v>0</v>
      </c>
      <c r="BW4698" t="str">
        <f t="shared" si="2659"/>
        <v>15:00:54.418</v>
      </c>
      <c r="CJ4698">
        <v>0</v>
      </c>
      <c r="CK4698">
        <v>2</v>
      </c>
      <c r="CL4698">
        <v>0</v>
      </c>
      <c r="CM4698">
        <v>2</v>
      </c>
      <c r="CN4698">
        <v>0</v>
      </c>
      <c r="CO4698">
        <v>6</v>
      </c>
      <c r="CP4698" t="s">
        <v>119</v>
      </c>
      <c r="CQ4698">
        <v>298</v>
      </c>
      <c r="CR4698">
        <v>0</v>
      </c>
      <c r="CW4698">
        <v>10486299</v>
      </c>
      <c r="CY4698">
        <v>0</v>
      </c>
      <c r="CZ4698">
        <v>0</v>
      </c>
      <c r="DA4698">
        <v>1</v>
      </c>
      <c r="DB4698">
        <v>0</v>
      </c>
      <c r="DC4698">
        <v>0</v>
      </c>
      <c r="DD4698">
        <v>0</v>
      </c>
      <c r="DE4698">
        <v>0</v>
      </c>
      <c r="DF4698">
        <v>0</v>
      </c>
      <c r="DG4698">
        <v>0</v>
      </c>
      <c r="DH4698">
        <v>0</v>
      </c>
      <c r="DI4698">
        <v>0</v>
      </c>
    </row>
    <row r="4699" spans="1:113" x14ac:dyDescent="0.25">
      <c r="A4699" t="str">
        <f t="shared" ref="A4699:A4704" si="2660">"06/05/2020 15:00:49.830"</f>
        <v>06/05/2020 15:00:49.830</v>
      </c>
      <c r="C4699" t="str">
        <f t="shared" si="2622"/>
        <v>FFDFD3C0</v>
      </c>
      <c r="D4699" t="s">
        <v>148</v>
      </c>
      <c r="E4699">
        <v>8</v>
      </c>
      <c r="H4699">
        <v>50</v>
      </c>
      <c r="I4699" t="s">
        <v>149</v>
      </c>
      <c r="J4699" t="s">
        <v>150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 t="shared" ref="S4699:T4704" si="2661">"15:00:55.445"</f>
        <v>15:00:55.445</v>
      </c>
      <c r="T4699" t="str">
        <f t="shared" si="2661"/>
        <v>15:00:55.445</v>
      </c>
      <c r="U4699" t="str">
        <f t="shared" si="2642"/>
        <v>ACC530</v>
      </c>
      <c r="V4699">
        <v>0</v>
      </c>
      <c r="W4699">
        <v>0</v>
      </c>
      <c r="X4699">
        <v>1</v>
      </c>
      <c r="Z4699">
        <v>0</v>
      </c>
      <c r="AA4699">
        <v>9</v>
      </c>
      <c r="AB4699">
        <v>3</v>
      </c>
      <c r="AC4699">
        <v>0</v>
      </c>
      <c r="AD4699">
        <v>9</v>
      </c>
      <c r="AE4699">
        <v>0</v>
      </c>
      <c r="AF4699">
        <v>3</v>
      </c>
      <c r="AG4699">
        <v>1</v>
      </c>
      <c r="AH4699">
        <v>0</v>
      </c>
      <c r="AI4699" t="s">
        <v>1456</v>
      </c>
      <c r="AJ4699">
        <v>34.069032999999997</v>
      </c>
      <c r="AK4699" t="s">
        <v>1457</v>
      </c>
      <c r="AL4699">
        <v>-117.07368099999999</v>
      </c>
      <c r="AM4699">
        <v>100</v>
      </c>
      <c r="AN4699">
        <v>3400</v>
      </c>
      <c r="AO4699" t="s">
        <v>118</v>
      </c>
      <c r="AP4699">
        <v>-109</v>
      </c>
      <c r="AQ4699">
        <v>-66</v>
      </c>
      <c r="AR4699">
        <v>-1664</v>
      </c>
      <c r="AZ4699">
        <v>1200</v>
      </c>
      <c r="BA4699">
        <v>1</v>
      </c>
      <c r="BB4699" t="str">
        <f t="shared" si="2647"/>
        <v xml:space="preserve">N9217B  </v>
      </c>
      <c r="BC4699">
        <v>1</v>
      </c>
      <c r="BE4699">
        <v>0</v>
      </c>
      <c r="BF4699">
        <v>0</v>
      </c>
      <c r="BG4699">
        <v>0</v>
      </c>
      <c r="BH4699">
        <v>3150</v>
      </c>
      <c r="BI4699">
        <v>1</v>
      </c>
      <c r="BJ4699">
        <v>0</v>
      </c>
      <c r="BK4699">
        <v>0</v>
      </c>
      <c r="BL4699">
        <v>0</v>
      </c>
      <c r="BO4699">
        <v>0</v>
      </c>
      <c r="BP4699">
        <v>0</v>
      </c>
      <c r="BW4699" t="str">
        <f t="shared" ref="BW4699:BW4704" si="2662">"15:00:55.453"</f>
        <v>15:00:55.453</v>
      </c>
      <c r="CJ4699">
        <v>0</v>
      </c>
      <c r="CK4699">
        <v>2</v>
      </c>
      <c r="CL4699">
        <v>0</v>
      </c>
      <c r="CM4699">
        <v>2</v>
      </c>
      <c r="CN4699">
        <v>0</v>
      </c>
      <c r="CO4699">
        <v>6</v>
      </c>
      <c r="CP4699" t="s">
        <v>119</v>
      </c>
      <c r="CQ4699">
        <v>298</v>
      </c>
      <c r="CR4699">
        <v>0</v>
      </c>
      <c r="CW4699">
        <v>10486433</v>
      </c>
      <c r="CY4699">
        <v>0</v>
      </c>
      <c r="CZ4699">
        <v>0</v>
      </c>
      <c r="DA4699">
        <v>0</v>
      </c>
      <c r="DB4699">
        <v>0</v>
      </c>
      <c r="DC4699">
        <v>0</v>
      </c>
      <c r="DD4699">
        <v>0</v>
      </c>
      <c r="DE4699">
        <v>0</v>
      </c>
      <c r="DF4699">
        <v>0</v>
      </c>
      <c r="DG4699">
        <v>0</v>
      </c>
      <c r="DH4699">
        <v>0</v>
      </c>
      <c r="DI4699">
        <v>0</v>
      </c>
    </row>
    <row r="4700" spans="1:113" x14ac:dyDescent="0.25">
      <c r="A4700" t="str">
        <f t="shared" si="2660"/>
        <v>06/05/2020 15:00:49.830</v>
      </c>
      <c r="C4700" t="str">
        <f t="shared" si="2622"/>
        <v>FFDFD3C0</v>
      </c>
      <c r="D4700" t="s">
        <v>141</v>
      </c>
      <c r="E4700">
        <v>20</v>
      </c>
      <c r="F4700">
        <v>1020</v>
      </c>
      <c r="G4700" t="s">
        <v>114</v>
      </c>
      <c r="J4700" t="s">
        <v>142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 t="shared" si="2661"/>
        <v>15:00:55.445</v>
      </c>
      <c r="T4700" t="str">
        <f t="shared" si="2661"/>
        <v>15:00:55.445</v>
      </c>
      <c r="U4700" t="str">
        <f t="shared" si="2642"/>
        <v>ACC530</v>
      </c>
      <c r="V4700">
        <v>0</v>
      </c>
      <c r="W4700">
        <v>0</v>
      </c>
      <c r="X4700">
        <v>1</v>
      </c>
      <c r="Z4700">
        <v>0</v>
      </c>
      <c r="AA4700">
        <v>9</v>
      </c>
      <c r="AB4700">
        <v>3</v>
      </c>
      <c r="AC4700">
        <v>0</v>
      </c>
      <c r="AD4700">
        <v>9</v>
      </c>
      <c r="AE4700">
        <v>0</v>
      </c>
      <c r="AF4700">
        <v>3</v>
      </c>
      <c r="AG4700">
        <v>1</v>
      </c>
      <c r="AH4700">
        <v>0</v>
      </c>
      <c r="AI4700" t="s">
        <v>1456</v>
      </c>
      <c r="AJ4700">
        <v>34.069032999999997</v>
      </c>
      <c r="AK4700" t="s">
        <v>1457</v>
      </c>
      <c r="AL4700">
        <v>-117.07368099999999</v>
      </c>
      <c r="AM4700">
        <v>100</v>
      </c>
      <c r="AN4700">
        <v>3400</v>
      </c>
      <c r="AO4700" t="s">
        <v>118</v>
      </c>
      <c r="AP4700">
        <v>-109</v>
      </c>
      <c r="AQ4700">
        <v>-66</v>
      </c>
      <c r="AR4700">
        <v>-1664</v>
      </c>
      <c r="AZ4700">
        <v>1200</v>
      </c>
      <c r="BA4700">
        <v>1</v>
      </c>
      <c r="BB4700" t="str">
        <f t="shared" si="2647"/>
        <v xml:space="preserve">N9217B  </v>
      </c>
      <c r="BC4700">
        <v>1</v>
      </c>
      <c r="BE4700">
        <v>0</v>
      </c>
      <c r="BF4700">
        <v>0</v>
      </c>
      <c r="BG4700">
        <v>0</v>
      </c>
      <c r="BH4700">
        <v>3150</v>
      </c>
      <c r="BI4700">
        <v>1</v>
      </c>
      <c r="BJ4700">
        <v>0</v>
      </c>
      <c r="BK4700">
        <v>0</v>
      </c>
      <c r="BL4700">
        <v>0</v>
      </c>
      <c r="BO4700">
        <v>0</v>
      </c>
      <c r="BP4700">
        <v>0</v>
      </c>
      <c r="BW4700" t="str">
        <f t="shared" si="2662"/>
        <v>15:00:55.453</v>
      </c>
      <c r="CJ4700">
        <v>0</v>
      </c>
      <c r="CK4700">
        <v>2</v>
      </c>
      <c r="CL4700">
        <v>0</v>
      </c>
      <c r="CM4700">
        <v>2</v>
      </c>
      <c r="CN4700">
        <v>0</v>
      </c>
      <c r="CO4700">
        <v>6</v>
      </c>
      <c r="CP4700" t="s">
        <v>119</v>
      </c>
      <c r="CQ4700">
        <v>298</v>
      </c>
      <c r="CR4700">
        <v>0</v>
      </c>
      <c r="CW4700">
        <v>10486433</v>
      </c>
      <c r="CY4700">
        <v>0</v>
      </c>
      <c r="CZ4700">
        <v>0</v>
      </c>
      <c r="DA4700">
        <v>1</v>
      </c>
      <c r="DB4700">
        <v>0</v>
      </c>
      <c r="DC4700">
        <v>0</v>
      </c>
      <c r="DD4700">
        <v>0</v>
      </c>
      <c r="DE4700">
        <v>0</v>
      </c>
      <c r="DF4700">
        <v>0</v>
      </c>
      <c r="DG4700">
        <v>0</v>
      </c>
      <c r="DH4700">
        <v>0</v>
      </c>
      <c r="DI4700">
        <v>0</v>
      </c>
    </row>
    <row r="4701" spans="1:113" x14ac:dyDescent="0.25">
      <c r="A4701" t="str">
        <f t="shared" si="2660"/>
        <v>06/05/2020 15:00:49.830</v>
      </c>
      <c r="C4701" t="str">
        <f t="shared" si="2622"/>
        <v>FFDFD3C0</v>
      </c>
      <c r="D4701" t="s">
        <v>113</v>
      </c>
      <c r="E4701">
        <v>3</v>
      </c>
      <c r="H4701">
        <v>166</v>
      </c>
      <c r="I4701" t="s">
        <v>114</v>
      </c>
      <c r="J4701" t="s">
        <v>115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 t="shared" si="2661"/>
        <v>15:00:55.445</v>
      </c>
      <c r="T4701" t="str">
        <f t="shared" si="2661"/>
        <v>15:00:55.445</v>
      </c>
      <c r="U4701" t="str">
        <f t="shared" si="2642"/>
        <v>ACC530</v>
      </c>
      <c r="V4701">
        <v>0</v>
      </c>
      <c r="W4701">
        <v>0</v>
      </c>
      <c r="X4701">
        <v>1</v>
      </c>
      <c r="Z4701">
        <v>0</v>
      </c>
      <c r="AA4701">
        <v>9</v>
      </c>
      <c r="AB4701">
        <v>3</v>
      </c>
      <c r="AC4701">
        <v>0</v>
      </c>
      <c r="AD4701">
        <v>9</v>
      </c>
      <c r="AE4701">
        <v>0</v>
      </c>
      <c r="AF4701">
        <v>3</v>
      </c>
      <c r="AG4701">
        <v>1</v>
      </c>
      <c r="AH4701">
        <v>0</v>
      </c>
      <c r="AI4701" t="s">
        <v>1456</v>
      </c>
      <c r="AJ4701">
        <v>34.069032999999997</v>
      </c>
      <c r="AK4701" t="s">
        <v>1457</v>
      </c>
      <c r="AL4701">
        <v>-117.07368099999999</v>
      </c>
      <c r="AM4701">
        <v>100</v>
      </c>
      <c r="AN4701">
        <v>3400</v>
      </c>
      <c r="AO4701" t="s">
        <v>118</v>
      </c>
      <c r="AP4701">
        <v>-109</v>
      </c>
      <c r="AQ4701">
        <v>-66</v>
      </c>
      <c r="AR4701">
        <v>-1664</v>
      </c>
      <c r="AZ4701">
        <v>1200</v>
      </c>
      <c r="BA4701">
        <v>1</v>
      </c>
      <c r="BB4701" t="str">
        <f t="shared" si="2647"/>
        <v xml:space="preserve">N9217B  </v>
      </c>
      <c r="BC4701">
        <v>1</v>
      </c>
      <c r="BE4701">
        <v>0</v>
      </c>
      <c r="BF4701">
        <v>0</v>
      </c>
      <c r="BG4701">
        <v>0</v>
      </c>
      <c r="BH4701">
        <v>3150</v>
      </c>
      <c r="BI4701">
        <v>1</v>
      </c>
      <c r="BJ4701">
        <v>0</v>
      </c>
      <c r="BK4701">
        <v>0</v>
      </c>
      <c r="BL4701">
        <v>0</v>
      </c>
      <c r="BO4701">
        <v>0</v>
      </c>
      <c r="BP4701">
        <v>0</v>
      </c>
      <c r="BW4701" t="str">
        <f t="shared" si="2662"/>
        <v>15:00:55.453</v>
      </c>
      <c r="CJ4701">
        <v>0</v>
      </c>
      <c r="CK4701">
        <v>2</v>
      </c>
      <c r="CL4701">
        <v>0</v>
      </c>
      <c r="CM4701">
        <v>2</v>
      </c>
      <c r="CN4701">
        <v>0</v>
      </c>
      <c r="CO4701">
        <v>6</v>
      </c>
      <c r="CP4701" t="s">
        <v>119</v>
      </c>
      <c r="CQ4701">
        <v>298</v>
      </c>
      <c r="CR4701">
        <v>0</v>
      </c>
      <c r="CW4701">
        <v>10486433</v>
      </c>
      <c r="CY4701">
        <v>0</v>
      </c>
      <c r="CZ4701">
        <v>0</v>
      </c>
      <c r="DA4701">
        <v>1</v>
      </c>
      <c r="DB4701">
        <v>0</v>
      </c>
      <c r="DC4701">
        <v>0</v>
      </c>
      <c r="DD4701">
        <v>0</v>
      </c>
      <c r="DE4701">
        <v>0</v>
      </c>
      <c r="DF4701">
        <v>0</v>
      </c>
      <c r="DG4701">
        <v>0</v>
      </c>
      <c r="DH4701">
        <v>0</v>
      </c>
      <c r="DI4701">
        <v>0</v>
      </c>
    </row>
    <row r="4702" spans="1:113" x14ac:dyDescent="0.25">
      <c r="A4702" t="str">
        <f t="shared" si="2660"/>
        <v>06/05/2020 15:00:49.830</v>
      </c>
      <c r="C4702" t="str">
        <f t="shared" si="2622"/>
        <v>FFDFD3C0</v>
      </c>
      <c r="D4702" t="s">
        <v>148</v>
      </c>
      <c r="E4702">
        <v>11</v>
      </c>
      <c r="H4702">
        <v>53</v>
      </c>
      <c r="I4702" t="s">
        <v>364</v>
      </c>
      <c r="J4702" t="s">
        <v>150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 t="shared" si="2661"/>
        <v>15:00:55.445</v>
      </c>
      <c r="T4702" t="str">
        <f t="shared" si="2661"/>
        <v>15:00:55.445</v>
      </c>
      <c r="U4702" t="str">
        <f t="shared" si="2642"/>
        <v>ACC530</v>
      </c>
      <c r="V4702">
        <v>0</v>
      </c>
      <c r="W4702">
        <v>0</v>
      </c>
      <c r="X4702">
        <v>1</v>
      </c>
      <c r="Z4702">
        <v>0</v>
      </c>
      <c r="AA4702">
        <v>9</v>
      </c>
      <c r="AB4702">
        <v>3</v>
      </c>
      <c r="AC4702">
        <v>0</v>
      </c>
      <c r="AD4702">
        <v>9</v>
      </c>
      <c r="AE4702">
        <v>0</v>
      </c>
      <c r="AF4702">
        <v>3</v>
      </c>
      <c r="AG4702">
        <v>1</v>
      </c>
      <c r="AH4702">
        <v>0</v>
      </c>
      <c r="AI4702" t="s">
        <v>1456</v>
      </c>
      <c r="AJ4702">
        <v>34.069032999999997</v>
      </c>
      <c r="AK4702" t="s">
        <v>1457</v>
      </c>
      <c r="AL4702">
        <v>-117.07368099999999</v>
      </c>
      <c r="AM4702">
        <v>100</v>
      </c>
      <c r="AN4702">
        <v>3400</v>
      </c>
      <c r="AO4702" t="s">
        <v>118</v>
      </c>
      <c r="AP4702">
        <v>-109</v>
      </c>
      <c r="AQ4702">
        <v>-66</v>
      </c>
      <c r="AR4702">
        <v>-1664</v>
      </c>
      <c r="AZ4702">
        <v>1200</v>
      </c>
      <c r="BA4702">
        <v>1</v>
      </c>
      <c r="BB4702" t="str">
        <f t="shared" si="2647"/>
        <v xml:space="preserve">N9217B  </v>
      </c>
      <c r="BC4702">
        <v>1</v>
      </c>
      <c r="BE4702">
        <v>0</v>
      </c>
      <c r="BF4702">
        <v>0</v>
      </c>
      <c r="BG4702">
        <v>0</v>
      </c>
      <c r="BH4702">
        <v>3150</v>
      </c>
      <c r="BI4702">
        <v>1</v>
      </c>
      <c r="BJ4702">
        <v>0</v>
      </c>
      <c r="BK4702">
        <v>0</v>
      </c>
      <c r="BL4702">
        <v>0</v>
      </c>
      <c r="BO4702">
        <v>0</v>
      </c>
      <c r="BP4702">
        <v>0</v>
      </c>
      <c r="BW4702" t="str">
        <f t="shared" si="2662"/>
        <v>15:00:55.453</v>
      </c>
      <c r="CJ4702">
        <v>0</v>
      </c>
      <c r="CK4702">
        <v>2</v>
      </c>
      <c r="CL4702">
        <v>0</v>
      </c>
      <c r="CM4702">
        <v>2</v>
      </c>
      <c r="CN4702">
        <v>0</v>
      </c>
      <c r="CO4702">
        <v>6</v>
      </c>
      <c r="CP4702" t="s">
        <v>119</v>
      </c>
      <c r="CQ4702">
        <v>298</v>
      </c>
      <c r="CR4702">
        <v>0</v>
      </c>
      <c r="CW4702">
        <v>10486433</v>
      </c>
      <c r="CY4702">
        <v>0</v>
      </c>
      <c r="CZ4702">
        <v>0</v>
      </c>
      <c r="DA4702">
        <v>1</v>
      </c>
      <c r="DB4702">
        <v>0</v>
      </c>
      <c r="DC4702">
        <v>0</v>
      </c>
      <c r="DD4702">
        <v>0</v>
      </c>
      <c r="DE4702">
        <v>0</v>
      </c>
      <c r="DF4702">
        <v>0</v>
      </c>
      <c r="DG4702">
        <v>0</v>
      </c>
      <c r="DH4702">
        <v>0</v>
      </c>
      <c r="DI4702">
        <v>0</v>
      </c>
    </row>
    <row r="4703" spans="1:113" x14ac:dyDescent="0.25">
      <c r="A4703" t="str">
        <f t="shared" si="2660"/>
        <v>06/05/2020 15:00:49.830</v>
      </c>
      <c r="C4703" t="str">
        <f t="shared" si="2622"/>
        <v>FFDFD3C0</v>
      </c>
      <c r="D4703" t="s">
        <v>134</v>
      </c>
      <c r="E4703">
        <v>7</v>
      </c>
      <c r="F4703">
        <v>2007</v>
      </c>
      <c r="G4703" t="s">
        <v>135</v>
      </c>
      <c r="J4703" t="s">
        <v>136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 t="shared" si="2661"/>
        <v>15:00:55.445</v>
      </c>
      <c r="T4703" t="str">
        <f t="shared" si="2661"/>
        <v>15:00:55.445</v>
      </c>
      <c r="U4703" t="str">
        <f t="shared" si="2642"/>
        <v>ACC530</v>
      </c>
      <c r="V4703">
        <v>0</v>
      </c>
      <c r="W4703">
        <v>0</v>
      </c>
      <c r="X4703">
        <v>1</v>
      </c>
      <c r="Z4703">
        <v>0</v>
      </c>
      <c r="AA4703">
        <v>9</v>
      </c>
      <c r="AB4703">
        <v>3</v>
      </c>
      <c r="AC4703">
        <v>0</v>
      </c>
      <c r="AD4703">
        <v>9</v>
      </c>
      <c r="AE4703">
        <v>0</v>
      </c>
      <c r="AF4703">
        <v>3</v>
      </c>
      <c r="AG4703">
        <v>1</v>
      </c>
      <c r="AH4703">
        <v>0</v>
      </c>
      <c r="AI4703" t="s">
        <v>1456</v>
      </c>
      <c r="AJ4703">
        <v>34.069032999999997</v>
      </c>
      <c r="AK4703" t="s">
        <v>1457</v>
      </c>
      <c r="AL4703">
        <v>-117.07368099999999</v>
      </c>
      <c r="AM4703">
        <v>100</v>
      </c>
      <c r="AN4703">
        <v>3400</v>
      </c>
      <c r="AO4703" t="s">
        <v>118</v>
      </c>
      <c r="AP4703">
        <v>-109</v>
      </c>
      <c r="AQ4703">
        <v>-66</v>
      </c>
      <c r="AR4703">
        <v>-1664</v>
      </c>
      <c r="AZ4703">
        <v>1200</v>
      </c>
      <c r="BA4703">
        <v>1</v>
      </c>
      <c r="BB4703" t="str">
        <f t="shared" si="2647"/>
        <v xml:space="preserve">N9217B  </v>
      </c>
      <c r="BC4703">
        <v>1</v>
      </c>
      <c r="BE4703">
        <v>0</v>
      </c>
      <c r="BF4703">
        <v>0</v>
      </c>
      <c r="BG4703">
        <v>0</v>
      </c>
      <c r="BH4703">
        <v>3150</v>
      </c>
      <c r="BI4703">
        <v>1</v>
      </c>
      <c r="BJ4703">
        <v>0</v>
      </c>
      <c r="BK4703">
        <v>0</v>
      </c>
      <c r="BL4703">
        <v>0</v>
      </c>
      <c r="BO4703">
        <v>0</v>
      </c>
      <c r="BP4703">
        <v>0</v>
      </c>
      <c r="BW4703" t="str">
        <f t="shared" si="2662"/>
        <v>15:00:55.453</v>
      </c>
      <c r="CJ4703">
        <v>0</v>
      </c>
      <c r="CK4703">
        <v>2</v>
      </c>
      <c r="CL4703">
        <v>0</v>
      </c>
      <c r="CM4703">
        <v>2</v>
      </c>
      <c r="CN4703">
        <v>0</v>
      </c>
      <c r="CO4703">
        <v>6</v>
      </c>
      <c r="CP4703" t="s">
        <v>119</v>
      </c>
      <c r="CQ4703">
        <v>298</v>
      </c>
      <c r="CR4703">
        <v>0</v>
      </c>
      <c r="CW4703">
        <v>10486433</v>
      </c>
      <c r="CY4703">
        <v>0</v>
      </c>
      <c r="CZ4703">
        <v>0</v>
      </c>
      <c r="DA4703">
        <v>1</v>
      </c>
      <c r="DB4703">
        <v>0</v>
      </c>
      <c r="DC4703">
        <v>0</v>
      </c>
      <c r="DD4703">
        <v>0</v>
      </c>
      <c r="DE4703">
        <v>0</v>
      </c>
      <c r="DF4703">
        <v>0</v>
      </c>
      <c r="DG4703">
        <v>0</v>
      </c>
      <c r="DH4703">
        <v>0</v>
      </c>
      <c r="DI4703">
        <v>0</v>
      </c>
    </row>
    <row r="4704" spans="1:113" x14ac:dyDescent="0.25">
      <c r="A4704" t="str">
        <f t="shared" si="2660"/>
        <v>06/05/2020 15:00:49.830</v>
      </c>
      <c r="C4704" t="str">
        <f t="shared" si="2622"/>
        <v>FFDFD3C0</v>
      </c>
      <c r="D4704" t="s">
        <v>151</v>
      </c>
      <c r="E4704">
        <v>8</v>
      </c>
      <c r="H4704">
        <v>225</v>
      </c>
      <c r="I4704" t="s">
        <v>353</v>
      </c>
      <c r="J4704" t="s">
        <v>150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 t="shared" si="2661"/>
        <v>15:00:55.445</v>
      </c>
      <c r="T4704" t="str">
        <f t="shared" si="2661"/>
        <v>15:00:55.445</v>
      </c>
      <c r="U4704" t="str">
        <f t="shared" si="2642"/>
        <v>ACC530</v>
      </c>
      <c r="V4704">
        <v>0</v>
      </c>
      <c r="W4704">
        <v>0</v>
      </c>
      <c r="X4704">
        <v>1</v>
      </c>
      <c r="Z4704">
        <v>0</v>
      </c>
      <c r="AA4704">
        <v>9</v>
      </c>
      <c r="AB4704">
        <v>3</v>
      </c>
      <c r="AC4704">
        <v>0</v>
      </c>
      <c r="AD4704">
        <v>9</v>
      </c>
      <c r="AE4704">
        <v>0</v>
      </c>
      <c r="AF4704">
        <v>3</v>
      </c>
      <c r="AG4704">
        <v>1</v>
      </c>
      <c r="AH4704">
        <v>0</v>
      </c>
      <c r="AI4704" t="s">
        <v>1456</v>
      </c>
      <c r="AJ4704">
        <v>34.069032999999997</v>
      </c>
      <c r="AK4704" t="s">
        <v>1457</v>
      </c>
      <c r="AL4704">
        <v>-117.07368099999999</v>
      </c>
      <c r="AM4704">
        <v>100</v>
      </c>
      <c r="AN4704">
        <v>3400</v>
      </c>
      <c r="AO4704" t="s">
        <v>118</v>
      </c>
      <c r="AP4704">
        <v>-109</v>
      </c>
      <c r="AQ4704">
        <v>-66</v>
      </c>
      <c r="AR4704">
        <v>-1664</v>
      </c>
      <c r="AZ4704">
        <v>1200</v>
      </c>
      <c r="BA4704">
        <v>1</v>
      </c>
      <c r="BB4704" t="str">
        <f t="shared" si="2647"/>
        <v xml:space="preserve">N9217B  </v>
      </c>
      <c r="BC4704">
        <v>1</v>
      </c>
      <c r="BE4704">
        <v>0</v>
      </c>
      <c r="BF4704">
        <v>0</v>
      </c>
      <c r="BG4704">
        <v>0</v>
      </c>
      <c r="BH4704">
        <v>3150</v>
      </c>
      <c r="BI4704">
        <v>1</v>
      </c>
      <c r="BJ4704">
        <v>0</v>
      </c>
      <c r="BK4704">
        <v>0</v>
      </c>
      <c r="BL4704">
        <v>0</v>
      </c>
      <c r="BO4704">
        <v>0</v>
      </c>
      <c r="BP4704">
        <v>0</v>
      </c>
      <c r="BW4704" t="str">
        <f t="shared" si="2662"/>
        <v>15:00:55.453</v>
      </c>
      <c r="CJ4704">
        <v>0</v>
      </c>
      <c r="CK4704">
        <v>2</v>
      </c>
      <c r="CL4704">
        <v>0</v>
      </c>
      <c r="CM4704">
        <v>2</v>
      </c>
      <c r="CN4704">
        <v>0</v>
      </c>
      <c r="CO4704">
        <v>6</v>
      </c>
      <c r="CP4704" t="s">
        <v>119</v>
      </c>
      <c r="CQ4704">
        <v>298</v>
      </c>
      <c r="CR4704">
        <v>0</v>
      </c>
      <c r="CW4704">
        <v>10486433</v>
      </c>
      <c r="CY4704">
        <v>0</v>
      </c>
      <c r="CZ4704">
        <v>0</v>
      </c>
      <c r="DA4704">
        <v>1</v>
      </c>
      <c r="DB4704">
        <v>0</v>
      </c>
      <c r="DC4704">
        <v>0</v>
      </c>
      <c r="DD4704">
        <v>0</v>
      </c>
      <c r="DE4704">
        <v>0</v>
      </c>
      <c r="DF4704">
        <v>0</v>
      </c>
      <c r="DG4704">
        <v>0</v>
      </c>
      <c r="DH4704">
        <v>0</v>
      </c>
      <c r="DI4704">
        <v>0</v>
      </c>
    </row>
    <row r="4705" spans="1:113" x14ac:dyDescent="0.25">
      <c r="A4705" t="str">
        <f t="shared" ref="A4705:A4710" si="2663">"06/05/2020 15:00:51.437"</f>
        <v>06/05/2020 15:00:51.437</v>
      </c>
      <c r="C4705" t="str">
        <f t="shared" si="2622"/>
        <v>FFDFD3C0</v>
      </c>
      <c r="D4705" t="s">
        <v>151</v>
      </c>
      <c r="E4705">
        <v>8</v>
      </c>
      <c r="H4705">
        <v>225</v>
      </c>
      <c r="I4705" t="s">
        <v>353</v>
      </c>
      <c r="J4705" t="s">
        <v>150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 t="shared" ref="S4705:S4710" si="2664">"15:00:57.055"</f>
        <v>15:00:57.055</v>
      </c>
      <c r="T4705" t="str">
        <f t="shared" ref="T4705:T4710" si="2665">"15:00:56.955"</f>
        <v>15:00:56.955</v>
      </c>
      <c r="U4705" t="str">
        <f t="shared" si="2642"/>
        <v>ACC530</v>
      </c>
      <c r="V4705">
        <v>0</v>
      </c>
      <c r="W4705">
        <v>0</v>
      </c>
      <c r="X4705">
        <v>1</v>
      </c>
      <c r="Z4705">
        <v>0</v>
      </c>
      <c r="AA4705">
        <v>9</v>
      </c>
      <c r="AB4705">
        <v>3</v>
      </c>
      <c r="AC4705">
        <v>0</v>
      </c>
      <c r="AD4705">
        <v>9</v>
      </c>
      <c r="AE4705">
        <v>0</v>
      </c>
      <c r="AF4705">
        <v>3</v>
      </c>
      <c r="AG4705">
        <v>1</v>
      </c>
      <c r="AH4705">
        <v>0</v>
      </c>
      <c r="AI4705" t="s">
        <v>1214</v>
      </c>
      <c r="AJ4705">
        <v>34.068517999999997</v>
      </c>
      <c r="AK4705" t="s">
        <v>1458</v>
      </c>
      <c r="AL4705">
        <v>-117.074668</v>
      </c>
      <c r="AM4705">
        <v>100</v>
      </c>
      <c r="AN4705">
        <v>3400</v>
      </c>
      <c r="AO4705" t="s">
        <v>118</v>
      </c>
      <c r="AP4705">
        <v>-106</v>
      </c>
      <c r="AQ4705">
        <v>-70</v>
      </c>
      <c r="AR4705">
        <v>-1920</v>
      </c>
      <c r="AZ4705">
        <v>1200</v>
      </c>
      <c r="BA4705">
        <v>1</v>
      </c>
      <c r="BB4705" t="str">
        <f t="shared" si="2647"/>
        <v xml:space="preserve">N9217B  </v>
      </c>
      <c r="BC4705">
        <v>1</v>
      </c>
      <c r="BE4705">
        <v>0</v>
      </c>
      <c r="BF4705">
        <v>0</v>
      </c>
      <c r="BG4705">
        <v>0</v>
      </c>
      <c r="BH4705">
        <v>3125</v>
      </c>
      <c r="BI4705">
        <v>1</v>
      </c>
      <c r="BJ4705">
        <v>0</v>
      </c>
      <c r="BK4705">
        <v>0</v>
      </c>
      <c r="BL4705">
        <v>0</v>
      </c>
      <c r="BO4705">
        <v>0</v>
      </c>
      <c r="BP4705">
        <v>0</v>
      </c>
      <c r="BW4705" t="str">
        <f t="shared" ref="BW4705:BW4710" si="2666">"15:00:57.058"</f>
        <v>15:00:57.058</v>
      </c>
      <c r="CJ4705">
        <v>0</v>
      </c>
      <c r="CK4705">
        <v>2</v>
      </c>
      <c r="CL4705">
        <v>0</v>
      </c>
      <c r="CM4705">
        <v>2</v>
      </c>
      <c r="CN4705">
        <v>0</v>
      </c>
      <c r="CO4705">
        <v>6</v>
      </c>
      <c r="CP4705" t="s">
        <v>119</v>
      </c>
      <c r="CQ4705">
        <v>298</v>
      </c>
      <c r="CR4705">
        <v>0</v>
      </c>
      <c r="CW4705">
        <v>10486666</v>
      </c>
      <c r="CY4705">
        <v>0</v>
      </c>
      <c r="CZ4705">
        <v>0</v>
      </c>
      <c r="DA4705">
        <v>0</v>
      </c>
      <c r="DB4705">
        <v>0</v>
      </c>
      <c r="DC4705">
        <v>0</v>
      </c>
      <c r="DD4705">
        <v>0</v>
      </c>
      <c r="DE4705">
        <v>0</v>
      </c>
      <c r="DF4705">
        <v>0</v>
      </c>
      <c r="DG4705">
        <v>0</v>
      </c>
      <c r="DH4705">
        <v>0</v>
      </c>
      <c r="DI4705">
        <v>0</v>
      </c>
    </row>
    <row r="4706" spans="1:113" x14ac:dyDescent="0.25">
      <c r="A4706" t="str">
        <f t="shared" si="2663"/>
        <v>06/05/2020 15:00:51.437</v>
      </c>
      <c r="C4706" t="str">
        <f t="shared" si="2622"/>
        <v>FFDFD3C0</v>
      </c>
      <c r="D4706" t="s">
        <v>141</v>
      </c>
      <c r="E4706">
        <v>20</v>
      </c>
      <c r="F4706">
        <v>1020</v>
      </c>
      <c r="G4706" t="s">
        <v>114</v>
      </c>
      <c r="J4706" t="s">
        <v>142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 t="shared" si="2664"/>
        <v>15:00:57.055</v>
      </c>
      <c r="T4706" t="str">
        <f t="shared" si="2665"/>
        <v>15:00:56.955</v>
      </c>
      <c r="U4706" t="str">
        <f t="shared" si="2642"/>
        <v>ACC530</v>
      </c>
      <c r="V4706">
        <v>0</v>
      </c>
      <c r="W4706">
        <v>0</v>
      </c>
      <c r="X4706">
        <v>1</v>
      </c>
      <c r="Z4706">
        <v>0</v>
      </c>
      <c r="AA4706">
        <v>9</v>
      </c>
      <c r="AB4706">
        <v>3</v>
      </c>
      <c r="AC4706">
        <v>0</v>
      </c>
      <c r="AD4706">
        <v>9</v>
      </c>
      <c r="AE4706">
        <v>0</v>
      </c>
      <c r="AF4706">
        <v>3</v>
      </c>
      <c r="AG4706">
        <v>1</v>
      </c>
      <c r="AH4706">
        <v>0</v>
      </c>
      <c r="AI4706" t="s">
        <v>1214</v>
      </c>
      <c r="AJ4706">
        <v>34.068517999999997</v>
      </c>
      <c r="AK4706" t="s">
        <v>1458</v>
      </c>
      <c r="AL4706">
        <v>-117.074668</v>
      </c>
      <c r="AM4706">
        <v>100</v>
      </c>
      <c r="AN4706">
        <v>3400</v>
      </c>
      <c r="AO4706" t="s">
        <v>118</v>
      </c>
      <c r="AP4706">
        <v>-106</v>
      </c>
      <c r="AQ4706">
        <v>-70</v>
      </c>
      <c r="AR4706">
        <v>-1920</v>
      </c>
      <c r="AZ4706">
        <v>1200</v>
      </c>
      <c r="BA4706">
        <v>1</v>
      </c>
      <c r="BB4706" t="str">
        <f t="shared" si="2647"/>
        <v xml:space="preserve">N9217B  </v>
      </c>
      <c r="BC4706">
        <v>1</v>
      </c>
      <c r="BE4706">
        <v>0</v>
      </c>
      <c r="BF4706">
        <v>0</v>
      </c>
      <c r="BG4706">
        <v>0</v>
      </c>
      <c r="BH4706">
        <v>3125</v>
      </c>
      <c r="BI4706">
        <v>1</v>
      </c>
      <c r="BJ4706">
        <v>0</v>
      </c>
      <c r="BK4706">
        <v>0</v>
      </c>
      <c r="BL4706">
        <v>0</v>
      </c>
      <c r="BO4706">
        <v>0</v>
      </c>
      <c r="BP4706">
        <v>0</v>
      </c>
      <c r="BW4706" t="str">
        <f t="shared" si="2666"/>
        <v>15:00:57.058</v>
      </c>
      <c r="CJ4706">
        <v>0</v>
      </c>
      <c r="CK4706">
        <v>2</v>
      </c>
      <c r="CL4706">
        <v>0</v>
      </c>
      <c r="CM4706">
        <v>2</v>
      </c>
      <c r="CN4706">
        <v>0</v>
      </c>
      <c r="CO4706">
        <v>6</v>
      </c>
      <c r="CP4706" t="s">
        <v>119</v>
      </c>
      <c r="CQ4706">
        <v>298</v>
      </c>
      <c r="CR4706">
        <v>0</v>
      </c>
      <c r="CW4706">
        <v>10486666</v>
      </c>
      <c r="CY4706">
        <v>0</v>
      </c>
      <c r="CZ4706">
        <v>0</v>
      </c>
      <c r="DA4706">
        <v>1</v>
      </c>
      <c r="DB4706">
        <v>0</v>
      </c>
      <c r="DC4706">
        <v>0</v>
      </c>
      <c r="DD4706">
        <v>0</v>
      </c>
      <c r="DE4706">
        <v>0</v>
      </c>
      <c r="DF4706">
        <v>0</v>
      </c>
      <c r="DG4706">
        <v>0</v>
      </c>
      <c r="DH4706">
        <v>0</v>
      </c>
      <c r="DI4706">
        <v>0</v>
      </c>
    </row>
    <row r="4707" spans="1:113" x14ac:dyDescent="0.25">
      <c r="A4707" t="str">
        <f t="shared" si="2663"/>
        <v>06/05/2020 15:00:51.437</v>
      </c>
      <c r="C4707" t="str">
        <f t="shared" ref="C4707:C4753" si="2667">"FFDFD3C0"</f>
        <v>FFDFD3C0</v>
      </c>
      <c r="D4707" t="s">
        <v>148</v>
      </c>
      <c r="E4707">
        <v>8</v>
      </c>
      <c r="H4707">
        <v>50</v>
      </c>
      <c r="I4707" t="s">
        <v>149</v>
      </c>
      <c r="J4707" t="s">
        <v>150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 t="shared" si="2664"/>
        <v>15:00:57.055</v>
      </c>
      <c r="T4707" t="str">
        <f t="shared" si="2665"/>
        <v>15:00:56.955</v>
      </c>
      <c r="U4707" t="str">
        <f t="shared" si="2642"/>
        <v>ACC530</v>
      </c>
      <c r="V4707">
        <v>0</v>
      </c>
      <c r="W4707">
        <v>0</v>
      </c>
      <c r="X4707">
        <v>1</v>
      </c>
      <c r="Z4707">
        <v>0</v>
      </c>
      <c r="AA4707">
        <v>9</v>
      </c>
      <c r="AB4707">
        <v>3</v>
      </c>
      <c r="AC4707">
        <v>0</v>
      </c>
      <c r="AD4707">
        <v>9</v>
      </c>
      <c r="AE4707">
        <v>0</v>
      </c>
      <c r="AF4707">
        <v>3</v>
      </c>
      <c r="AG4707">
        <v>1</v>
      </c>
      <c r="AH4707">
        <v>0</v>
      </c>
      <c r="AI4707" t="s">
        <v>1214</v>
      </c>
      <c r="AJ4707">
        <v>34.068517999999997</v>
      </c>
      <c r="AK4707" t="s">
        <v>1458</v>
      </c>
      <c r="AL4707">
        <v>-117.074668</v>
      </c>
      <c r="AM4707">
        <v>100</v>
      </c>
      <c r="AN4707">
        <v>3400</v>
      </c>
      <c r="AO4707" t="s">
        <v>118</v>
      </c>
      <c r="AP4707">
        <v>-106</v>
      </c>
      <c r="AQ4707">
        <v>-70</v>
      </c>
      <c r="AR4707">
        <v>-1920</v>
      </c>
      <c r="AZ4707">
        <v>1200</v>
      </c>
      <c r="BA4707">
        <v>1</v>
      </c>
      <c r="BB4707" t="str">
        <f t="shared" si="2647"/>
        <v xml:space="preserve">N9217B  </v>
      </c>
      <c r="BC4707">
        <v>1</v>
      </c>
      <c r="BE4707">
        <v>0</v>
      </c>
      <c r="BF4707">
        <v>0</v>
      </c>
      <c r="BG4707">
        <v>0</v>
      </c>
      <c r="BH4707">
        <v>3125</v>
      </c>
      <c r="BI4707">
        <v>1</v>
      </c>
      <c r="BJ4707">
        <v>0</v>
      </c>
      <c r="BK4707">
        <v>0</v>
      </c>
      <c r="BL4707">
        <v>0</v>
      </c>
      <c r="BO4707">
        <v>0</v>
      </c>
      <c r="BP4707">
        <v>0</v>
      </c>
      <c r="BW4707" t="str">
        <f t="shared" si="2666"/>
        <v>15:00:57.058</v>
      </c>
      <c r="CJ4707">
        <v>0</v>
      </c>
      <c r="CK4707">
        <v>2</v>
      </c>
      <c r="CL4707">
        <v>0</v>
      </c>
      <c r="CM4707">
        <v>2</v>
      </c>
      <c r="CN4707">
        <v>0</v>
      </c>
      <c r="CO4707">
        <v>6</v>
      </c>
      <c r="CP4707" t="s">
        <v>119</v>
      </c>
      <c r="CQ4707">
        <v>298</v>
      </c>
      <c r="CR4707">
        <v>0</v>
      </c>
      <c r="CW4707">
        <v>10486666</v>
      </c>
      <c r="CY4707">
        <v>0</v>
      </c>
      <c r="CZ4707">
        <v>0</v>
      </c>
      <c r="DA4707">
        <v>1</v>
      </c>
      <c r="DB4707">
        <v>0</v>
      </c>
      <c r="DC4707">
        <v>0</v>
      </c>
      <c r="DD4707">
        <v>0</v>
      </c>
      <c r="DE4707">
        <v>0</v>
      </c>
      <c r="DF4707">
        <v>0</v>
      </c>
      <c r="DG4707">
        <v>0</v>
      </c>
      <c r="DH4707">
        <v>0</v>
      </c>
      <c r="DI4707">
        <v>0</v>
      </c>
    </row>
    <row r="4708" spans="1:113" x14ac:dyDescent="0.25">
      <c r="A4708" t="str">
        <f t="shared" si="2663"/>
        <v>06/05/2020 15:00:51.437</v>
      </c>
      <c r="C4708" t="str">
        <f t="shared" si="2667"/>
        <v>FFDFD3C0</v>
      </c>
      <c r="D4708" t="s">
        <v>113</v>
      </c>
      <c r="E4708">
        <v>3</v>
      </c>
      <c r="H4708">
        <v>166</v>
      </c>
      <c r="I4708" t="s">
        <v>114</v>
      </c>
      <c r="J4708" t="s">
        <v>115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 t="shared" si="2664"/>
        <v>15:00:57.055</v>
      </c>
      <c r="T4708" t="str">
        <f t="shared" si="2665"/>
        <v>15:00:56.955</v>
      </c>
      <c r="U4708" t="str">
        <f t="shared" si="2642"/>
        <v>ACC530</v>
      </c>
      <c r="V4708">
        <v>0</v>
      </c>
      <c r="W4708">
        <v>0</v>
      </c>
      <c r="X4708">
        <v>1</v>
      </c>
      <c r="Z4708">
        <v>0</v>
      </c>
      <c r="AA4708">
        <v>9</v>
      </c>
      <c r="AB4708">
        <v>3</v>
      </c>
      <c r="AC4708">
        <v>0</v>
      </c>
      <c r="AD4708">
        <v>9</v>
      </c>
      <c r="AE4708">
        <v>0</v>
      </c>
      <c r="AF4708">
        <v>3</v>
      </c>
      <c r="AG4708">
        <v>1</v>
      </c>
      <c r="AH4708">
        <v>0</v>
      </c>
      <c r="AI4708" t="s">
        <v>1214</v>
      </c>
      <c r="AJ4708">
        <v>34.068517999999997</v>
      </c>
      <c r="AK4708" t="s">
        <v>1458</v>
      </c>
      <c r="AL4708">
        <v>-117.074668</v>
      </c>
      <c r="AM4708">
        <v>100</v>
      </c>
      <c r="AN4708">
        <v>3400</v>
      </c>
      <c r="AO4708" t="s">
        <v>118</v>
      </c>
      <c r="AP4708">
        <v>-106</v>
      </c>
      <c r="AQ4708">
        <v>-70</v>
      </c>
      <c r="AR4708">
        <v>-1920</v>
      </c>
      <c r="AZ4708">
        <v>1200</v>
      </c>
      <c r="BA4708">
        <v>1</v>
      </c>
      <c r="BB4708" t="str">
        <f t="shared" si="2647"/>
        <v xml:space="preserve">N9217B  </v>
      </c>
      <c r="BC4708">
        <v>1</v>
      </c>
      <c r="BE4708">
        <v>0</v>
      </c>
      <c r="BF4708">
        <v>0</v>
      </c>
      <c r="BG4708">
        <v>0</v>
      </c>
      <c r="BH4708">
        <v>3125</v>
      </c>
      <c r="BI4708">
        <v>1</v>
      </c>
      <c r="BJ4708">
        <v>0</v>
      </c>
      <c r="BK4708">
        <v>0</v>
      </c>
      <c r="BL4708">
        <v>0</v>
      </c>
      <c r="BO4708">
        <v>0</v>
      </c>
      <c r="BP4708">
        <v>0</v>
      </c>
      <c r="BW4708" t="str">
        <f t="shared" si="2666"/>
        <v>15:00:57.058</v>
      </c>
      <c r="CJ4708">
        <v>0</v>
      </c>
      <c r="CK4708">
        <v>2</v>
      </c>
      <c r="CL4708">
        <v>0</v>
      </c>
      <c r="CM4708">
        <v>2</v>
      </c>
      <c r="CN4708">
        <v>0</v>
      </c>
      <c r="CO4708">
        <v>6</v>
      </c>
      <c r="CP4708" t="s">
        <v>119</v>
      </c>
      <c r="CQ4708">
        <v>298</v>
      </c>
      <c r="CR4708">
        <v>0</v>
      </c>
      <c r="CW4708">
        <v>10486666</v>
      </c>
      <c r="CY4708">
        <v>0</v>
      </c>
      <c r="CZ4708">
        <v>0</v>
      </c>
      <c r="DA4708">
        <v>1</v>
      </c>
      <c r="DB4708">
        <v>0</v>
      </c>
      <c r="DC4708">
        <v>0</v>
      </c>
      <c r="DD4708">
        <v>0</v>
      </c>
      <c r="DE4708">
        <v>0</v>
      </c>
      <c r="DF4708">
        <v>0</v>
      </c>
      <c r="DG4708">
        <v>0</v>
      </c>
      <c r="DH4708">
        <v>0</v>
      </c>
      <c r="DI4708">
        <v>0</v>
      </c>
    </row>
    <row r="4709" spans="1:113" x14ac:dyDescent="0.25">
      <c r="A4709" t="str">
        <f t="shared" si="2663"/>
        <v>06/05/2020 15:00:51.437</v>
      </c>
      <c r="C4709" t="str">
        <f t="shared" si="2667"/>
        <v>FFDFD3C0</v>
      </c>
      <c r="D4709" t="s">
        <v>134</v>
      </c>
      <c r="E4709">
        <v>7</v>
      </c>
      <c r="F4709">
        <v>2007</v>
      </c>
      <c r="G4709" t="s">
        <v>135</v>
      </c>
      <c r="J4709" t="s">
        <v>136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 t="shared" si="2664"/>
        <v>15:00:57.055</v>
      </c>
      <c r="T4709" t="str">
        <f t="shared" si="2665"/>
        <v>15:00:56.955</v>
      </c>
      <c r="U4709" t="str">
        <f t="shared" si="2642"/>
        <v>ACC530</v>
      </c>
      <c r="V4709">
        <v>0</v>
      </c>
      <c r="W4709">
        <v>0</v>
      </c>
      <c r="X4709">
        <v>1</v>
      </c>
      <c r="Z4709">
        <v>0</v>
      </c>
      <c r="AA4709">
        <v>9</v>
      </c>
      <c r="AB4709">
        <v>3</v>
      </c>
      <c r="AC4709">
        <v>0</v>
      </c>
      <c r="AD4709">
        <v>9</v>
      </c>
      <c r="AE4709">
        <v>0</v>
      </c>
      <c r="AF4709">
        <v>3</v>
      </c>
      <c r="AG4709">
        <v>1</v>
      </c>
      <c r="AH4709">
        <v>0</v>
      </c>
      <c r="AI4709" t="s">
        <v>1214</v>
      </c>
      <c r="AJ4709">
        <v>34.068517999999997</v>
      </c>
      <c r="AK4709" t="s">
        <v>1458</v>
      </c>
      <c r="AL4709">
        <v>-117.074668</v>
      </c>
      <c r="AM4709">
        <v>100</v>
      </c>
      <c r="AN4709">
        <v>3400</v>
      </c>
      <c r="AO4709" t="s">
        <v>118</v>
      </c>
      <c r="AP4709">
        <v>-106</v>
      </c>
      <c r="AQ4709">
        <v>-70</v>
      </c>
      <c r="AR4709">
        <v>-1920</v>
      </c>
      <c r="AZ4709">
        <v>1200</v>
      </c>
      <c r="BA4709">
        <v>1</v>
      </c>
      <c r="BB4709" t="str">
        <f t="shared" si="2647"/>
        <v xml:space="preserve">N9217B  </v>
      </c>
      <c r="BC4709">
        <v>1</v>
      </c>
      <c r="BE4709">
        <v>0</v>
      </c>
      <c r="BF4709">
        <v>0</v>
      </c>
      <c r="BG4709">
        <v>0</v>
      </c>
      <c r="BH4709">
        <v>3125</v>
      </c>
      <c r="BI4709">
        <v>1</v>
      </c>
      <c r="BJ4709">
        <v>0</v>
      </c>
      <c r="BK4709">
        <v>0</v>
      </c>
      <c r="BL4709">
        <v>0</v>
      </c>
      <c r="BO4709">
        <v>0</v>
      </c>
      <c r="BP4709">
        <v>0</v>
      </c>
      <c r="BW4709" t="str">
        <f t="shared" si="2666"/>
        <v>15:00:57.058</v>
      </c>
      <c r="CJ4709">
        <v>0</v>
      </c>
      <c r="CK4709">
        <v>2</v>
      </c>
      <c r="CL4709">
        <v>0</v>
      </c>
      <c r="CM4709">
        <v>2</v>
      </c>
      <c r="CN4709">
        <v>0</v>
      </c>
      <c r="CO4709">
        <v>6</v>
      </c>
      <c r="CP4709" t="s">
        <v>119</v>
      </c>
      <c r="CQ4709">
        <v>298</v>
      </c>
      <c r="CR4709">
        <v>0</v>
      </c>
      <c r="CW4709">
        <v>10486666</v>
      </c>
      <c r="CY4709">
        <v>0</v>
      </c>
      <c r="CZ4709">
        <v>0</v>
      </c>
      <c r="DA4709">
        <v>1</v>
      </c>
      <c r="DB4709">
        <v>0</v>
      </c>
      <c r="DC4709">
        <v>0</v>
      </c>
      <c r="DD4709">
        <v>0</v>
      </c>
      <c r="DE4709">
        <v>0</v>
      </c>
      <c r="DF4709">
        <v>0</v>
      </c>
      <c r="DG4709">
        <v>0</v>
      </c>
      <c r="DH4709">
        <v>0</v>
      </c>
      <c r="DI4709">
        <v>0</v>
      </c>
    </row>
    <row r="4710" spans="1:113" x14ac:dyDescent="0.25">
      <c r="A4710" t="str">
        <f t="shared" si="2663"/>
        <v>06/05/2020 15:00:51.437</v>
      </c>
      <c r="C4710" t="str">
        <f t="shared" si="2667"/>
        <v>FFDFD3C0</v>
      </c>
      <c r="D4710" t="s">
        <v>148</v>
      </c>
      <c r="E4710">
        <v>11</v>
      </c>
      <c r="H4710">
        <v>53</v>
      </c>
      <c r="I4710" t="s">
        <v>364</v>
      </c>
      <c r="J4710" t="s">
        <v>150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 t="shared" si="2664"/>
        <v>15:00:57.055</v>
      </c>
      <c r="T4710" t="str">
        <f t="shared" si="2665"/>
        <v>15:00:56.955</v>
      </c>
      <c r="U4710" t="str">
        <f t="shared" si="2642"/>
        <v>ACC530</v>
      </c>
      <c r="V4710">
        <v>0</v>
      </c>
      <c r="W4710">
        <v>0</v>
      </c>
      <c r="X4710">
        <v>1</v>
      </c>
      <c r="Z4710">
        <v>0</v>
      </c>
      <c r="AA4710">
        <v>9</v>
      </c>
      <c r="AB4710">
        <v>3</v>
      </c>
      <c r="AC4710">
        <v>0</v>
      </c>
      <c r="AD4710">
        <v>9</v>
      </c>
      <c r="AE4710">
        <v>0</v>
      </c>
      <c r="AF4710">
        <v>3</v>
      </c>
      <c r="AG4710">
        <v>1</v>
      </c>
      <c r="AH4710">
        <v>0</v>
      </c>
      <c r="AI4710" t="s">
        <v>1214</v>
      </c>
      <c r="AJ4710">
        <v>34.068517999999997</v>
      </c>
      <c r="AK4710" t="s">
        <v>1458</v>
      </c>
      <c r="AL4710">
        <v>-117.074668</v>
      </c>
      <c r="AM4710">
        <v>100</v>
      </c>
      <c r="AN4710">
        <v>3400</v>
      </c>
      <c r="AO4710" t="s">
        <v>118</v>
      </c>
      <c r="AP4710">
        <v>-106</v>
      </c>
      <c r="AQ4710">
        <v>-70</v>
      </c>
      <c r="AR4710">
        <v>-1920</v>
      </c>
      <c r="AZ4710">
        <v>1200</v>
      </c>
      <c r="BA4710">
        <v>1</v>
      </c>
      <c r="BB4710" t="str">
        <f t="shared" si="2647"/>
        <v xml:space="preserve">N9217B  </v>
      </c>
      <c r="BC4710">
        <v>1</v>
      </c>
      <c r="BE4710">
        <v>0</v>
      </c>
      <c r="BF4710">
        <v>0</v>
      </c>
      <c r="BG4710">
        <v>0</v>
      </c>
      <c r="BH4710">
        <v>3125</v>
      </c>
      <c r="BI4710">
        <v>1</v>
      </c>
      <c r="BJ4710">
        <v>0</v>
      </c>
      <c r="BK4710">
        <v>0</v>
      </c>
      <c r="BL4710">
        <v>0</v>
      </c>
      <c r="BO4710">
        <v>0</v>
      </c>
      <c r="BP4710">
        <v>0</v>
      </c>
      <c r="BW4710" t="str">
        <f t="shared" si="2666"/>
        <v>15:00:57.058</v>
      </c>
      <c r="CJ4710">
        <v>0</v>
      </c>
      <c r="CK4710">
        <v>2</v>
      </c>
      <c r="CL4710">
        <v>0</v>
      </c>
      <c r="CM4710">
        <v>2</v>
      </c>
      <c r="CN4710">
        <v>0</v>
      </c>
      <c r="CO4710">
        <v>6</v>
      </c>
      <c r="CP4710" t="s">
        <v>119</v>
      </c>
      <c r="CQ4710">
        <v>298</v>
      </c>
      <c r="CR4710">
        <v>0</v>
      </c>
      <c r="CW4710">
        <v>10486666</v>
      </c>
      <c r="CY4710">
        <v>0</v>
      </c>
      <c r="CZ4710">
        <v>0</v>
      </c>
      <c r="DA4710">
        <v>1</v>
      </c>
      <c r="DB4710">
        <v>0</v>
      </c>
      <c r="DC4710">
        <v>0</v>
      </c>
      <c r="DD4710">
        <v>0</v>
      </c>
      <c r="DE4710">
        <v>0</v>
      </c>
      <c r="DF4710">
        <v>0</v>
      </c>
      <c r="DG4710">
        <v>0</v>
      </c>
      <c r="DH4710">
        <v>0</v>
      </c>
      <c r="DI4710">
        <v>0</v>
      </c>
    </row>
    <row r="4711" spans="1:113" x14ac:dyDescent="0.25">
      <c r="A4711" t="str">
        <f t="shared" ref="A4711:A4716" si="2668">"06/05/2020 15:00:52.397"</f>
        <v>06/05/2020 15:00:52.397</v>
      </c>
      <c r="C4711" t="str">
        <f t="shared" si="2667"/>
        <v>FFDFD3C0</v>
      </c>
      <c r="D4711" t="s">
        <v>151</v>
      </c>
      <c r="E4711">
        <v>8</v>
      </c>
      <c r="H4711">
        <v>225</v>
      </c>
      <c r="I4711" t="s">
        <v>353</v>
      </c>
      <c r="J4711" t="s">
        <v>150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 t="shared" ref="S4711:S4716" si="2669">"15:00:58.047"</f>
        <v>15:00:58.047</v>
      </c>
      <c r="T4711" t="str">
        <f t="shared" ref="T4711:T4716" si="2670">"15:00:57.947"</f>
        <v>15:00:57.947</v>
      </c>
      <c r="U4711" t="str">
        <f t="shared" si="2642"/>
        <v>ACC530</v>
      </c>
      <c r="V4711">
        <v>0</v>
      </c>
      <c r="W4711">
        <v>0</v>
      </c>
      <c r="X4711">
        <v>1</v>
      </c>
      <c r="Z4711">
        <v>0</v>
      </c>
      <c r="AA4711">
        <v>9</v>
      </c>
      <c r="AB4711">
        <v>3</v>
      </c>
      <c r="AC4711">
        <v>0</v>
      </c>
      <c r="AD4711">
        <v>9</v>
      </c>
      <c r="AE4711">
        <v>0</v>
      </c>
      <c r="AF4711">
        <v>3</v>
      </c>
      <c r="AG4711">
        <v>1</v>
      </c>
      <c r="AH4711">
        <v>0</v>
      </c>
      <c r="AI4711" t="s">
        <v>1459</v>
      </c>
      <c r="AJ4711">
        <v>34.068196</v>
      </c>
      <c r="AK4711" t="s">
        <v>1460</v>
      </c>
      <c r="AL4711">
        <v>-117.075248</v>
      </c>
      <c r="AM4711">
        <v>100</v>
      </c>
      <c r="AN4711">
        <v>3300</v>
      </c>
      <c r="AO4711" t="s">
        <v>118</v>
      </c>
      <c r="AP4711">
        <v>-104</v>
      </c>
      <c r="AQ4711">
        <v>-73</v>
      </c>
      <c r="AR4711">
        <v>-2048</v>
      </c>
      <c r="AZ4711">
        <v>1200</v>
      </c>
      <c r="BA4711">
        <v>1</v>
      </c>
      <c r="BB4711" t="str">
        <f t="shared" si="2647"/>
        <v xml:space="preserve">N9217B  </v>
      </c>
      <c r="BC4711">
        <v>1</v>
      </c>
      <c r="BE4711">
        <v>0</v>
      </c>
      <c r="BF4711">
        <v>0</v>
      </c>
      <c r="BG4711">
        <v>0</v>
      </c>
      <c r="BH4711">
        <v>3075</v>
      </c>
      <c r="BI4711">
        <v>1</v>
      </c>
      <c r="BJ4711">
        <v>0</v>
      </c>
      <c r="BK4711">
        <v>0</v>
      </c>
      <c r="BL4711">
        <v>0</v>
      </c>
      <c r="BO4711">
        <v>0</v>
      </c>
      <c r="BP4711">
        <v>0</v>
      </c>
      <c r="BW4711" t="str">
        <f t="shared" ref="BW4711:BW4716" si="2671">"15:00:58.048"</f>
        <v>15:00:58.048</v>
      </c>
      <c r="CJ4711">
        <v>0</v>
      </c>
      <c r="CK4711">
        <v>2</v>
      </c>
      <c r="CL4711">
        <v>0</v>
      </c>
      <c r="CM4711">
        <v>2</v>
      </c>
      <c r="CN4711">
        <v>0</v>
      </c>
      <c r="CO4711">
        <v>6</v>
      </c>
      <c r="CP4711" t="s">
        <v>119</v>
      </c>
      <c r="CQ4711">
        <v>298</v>
      </c>
      <c r="CR4711">
        <v>0</v>
      </c>
      <c r="CW4711">
        <v>10486798</v>
      </c>
      <c r="CY4711">
        <v>0</v>
      </c>
      <c r="CZ4711">
        <v>0</v>
      </c>
      <c r="DA4711">
        <v>0</v>
      </c>
      <c r="DB4711">
        <v>0</v>
      </c>
      <c r="DC4711">
        <v>0</v>
      </c>
      <c r="DD4711">
        <v>0</v>
      </c>
      <c r="DE4711">
        <v>0</v>
      </c>
      <c r="DF4711">
        <v>0</v>
      </c>
      <c r="DG4711">
        <v>0</v>
      </c>
      <c r="DH4711">
        <v>0</v>
      </c>
      <c r="DI4711">
        <v>0</v>
      </c>
    </row>
    <row r="4712" spans="1:113" x14ac:dyDescent="0.25">
      <c r="A4712" t="str">
        <f t="shared" si="2668"/>
        <v>06/05/2020 15:00:52.397</v>
      </c>
      <c r="C4712" t="str">
        <f t="shared" si="2667"/>
        <v>FFDFD3C0</v>
      </c>
      <c r="D4712" t="s">
        <v>141</v>
      </c>
      <c r="E4712">
        <v>20</v>
      </c>
      <c r="F4712">
        <v>1020</v>
      </c>
      <c r="G4712" t="s">
        <v>114</v>
      </c>
      <c r="J4712" t="s">
        <v>142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 t="shared" si="2669"/>
        <v>15:00:58.047</v>
      </c>
      <c r="T4712" t="str">
        <f t="shared" si="2670"/>
        <v>15:00:57.947</v>
      </c>
      <c r="U4712" t="str">
        <f t="shared" si="2642"/>
        <v>ACC530</v>
      </c>
      <c r="V4712">
        <v>0</v>
      </c>
      <c r="W4712">
        <v>0</v>
      </c>
      <c r="X4712">
        <v>1</v>
      </c>
      <c r="Z4712">
        <v>0</v>
      </c>
      <c r="AA4712">
        <v>9</v>
      </c>
      <c r="AB4712">
        <v>3</v>
      </c>
      <c r="AC4712">
        <v>0</v>
      </c>
      <c r="AD4712">
        <v>9</v>
      </c>
      <c r="AE4712">
        <v>0</v>
      </c>
      <c r="AF4712">
        <v>3</v>
      </c>
      <c r="AG4712">
        <v>1</v>
      </c>
      <c r="AH4712">
        <v>0</v>
      </c>
      <c r="AI4712" t="s">
        <v>1459</v>
      </c>
      <c r="AJ4712">
        <v>34.068196</v>
      </c>
      <c r="AK4712" t="s">
        <v>1460</v>
      </c>
      <c r="AL4712">
        <v>-117.075248</v>
      </c>
      <c r="AM4712">
        <v>100</v>
      </c>
      <c r="AN4712">
        <v>3300</v>
      </c>
      <c r="AO4712" t="s">
        <v>118</v>
      </c>
      <c r="AP4712">
        <v>-104</v>
      </c>
      <c r="AQ4712">
        <v>-73</v>
      </c>
      <c r="AR4712">
        <v>-2048</v>
      </c>
      <c r="AZ4712">
        <v>1200</v>
      </c>
      <c r="BA4712">
        <v>1</v>
      </c>
      <c r="BB4712" t="str">
        <f t="shared" si="2647"/>
        <v xml:space="preserve">N9217B  </v>
      </c>
      <c r="BC4712">
        <v>1</v>
      </c>
      <c r="BE4712">
        <v>0</v>
      </c>
      <c r="BF4712">
        <v>0</v>
      </c>
      <c r="BG4712">
        <v>0</v>
      </c>
      <c r="BH4712">
        <v>3075</v>
      </c>
      <c r="BI4712">
        <v>1</v>
      </c>
      <c r="BJ4712">
        <v>0</v>
      </c>
      <c r="BK4712">
        <v>0</v>
      </c>
      <c r="BL4712">
        <v>0</v>
      </c>
      <c r="BO4712">
        <v>0</v>
      </c>
      <c r="BP4712">
        <v>0</v>
      </c>
      <c r="BW4712" t="str">
        <f t="shared" si="2671"/>
        <v>15:00:58.048</v>
      </c>
      <c r="CJ4712">
        <v>0</v>
      </c>
      <c r="CK4712">
        <v>2</v>
      </c>
      <c r="CL4712">
        <v>0</v>
      </c>
      <c r="CM4712">
        <v>2</v>
      </c>
      <c r="CN4712">
        <v>0</v>
      </c>
      <c r="CO4712">
        <v>6</v>
      </c>
      <c r="CP4712" t="s">
        <v>119</v>
      </c>
      <c r="CQ4712">
        <v>298</v>
      </c>
      <c r="CR4712">
        <v>0</v>
      </c>
      <c r="CW4712">
        <v>10486798</v>
      </c>
      <c r="CY4712">
        <v>0</v>
      </c>
      <c r="CZ4712">
        <v>0</v>
      </c>
      <c r="DA4712">
        <v>1</v>
      </c>
      <c r="DB4712">
        <v>0</v>
      </c>
      <c r="DC4712">
        <v>0</v>
      </c>
      <c r="DD4712">
        <v>0</v>
      </c>
      <c r="DE4712">
        <v>0</v>
      </c>
      <c r="DF4712">
        <v>0</v>
      </c>
      <c r="DG4712">
        <v>0</v>
      </c>
      <c r="DH4712">
        <v>0</v>
      </c>
      <c r="DI4712">
        <v>0</v>
      </c>
    </row>
    <row r="4713" spans="1:113" x14ac:dyDescent="0.25">
      <c r="A4713" t="str">
        <f t="shared" si="2668"/>
        <v>06/05/2020 15:00:52.397</v>
      </c>
      <c r="C4713" t="str">
        <f t="shared" si="2667"/>
        <v>FFDFD3C0</v>
      </c>
      <c r="D4713" t="s">
        <v>148</v>
      </c>
      <c r="E4713">
        <v>8</v>
      </c>
      <c r="H4713">
        <v>50</v>
      </c>
      <c r="I4713" t="s">
        <v>149</v>
      </c>
      <c r="J4713" t="s">
        <v>150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 t="shared" si="2669"/>
        <v>15:00:58.047</v>
      </c>
      <c r="T4713" t="str">
        <f t="shared" si="2670"/>
        <v>15:00:57.947</v>
      </c>
      <c r="U4713" t="str">
        <f t="shared" si="2642"/>
        <v>ACC530</v>
      </c>
      <c r="V4713">
        <v>0</v>
      </c>
      <c r="W4713">
        <v>0</v>
      </c>
      <c r="X4713">
        <v>1</v>
      </c>
      <c r="Z4713">
        <v>0</v>
      </c>
      <c r="AA4713">
        <v>9</v>
      </c>
      <c r="AB4713">
        <v>3</v>
      </c>
      <c r="AC4713">
        <v>0</v>
      </c>
      <c r="AD4713">
        <v>9</v>
      </c>
      <c r="AE4713">
        <v>0</v>
      </c>
      <c r="AF4713">
        <v>3</v>
      </c>
      <c r="AG4713">
        <v>1</v>
      </c>
      <c r="AH4713">
        <v>0</v>
      </c>
      <c r="AI4713" t="s">
        <v>1459</v>
      </c>
      <c r="AJ4713">
        <v>34.068196</v>
      </c>
      <c r="AK4713" t="s">
        <v>1460</v>
      </c>
      <c r="AL4713">
        <v>-117.075248</v>
      </c>
      <c r="AM4713">
        <v>100</v>
      </c>
      <c r="AN4713">
        <v>3300</v>
      </c>
      <c r="AO4713" t="s">
        <v>118</v>
      </c>
      <c r="AP4713">
        <v>-104</v>
      </c>
      <c r="AQ4713">
        <v>-73</v>
      </c>
      <c r="AR4713">
        <v>-2048</v>
      </c>
      <c r="AZ4713">
        <v>1200</v>
      </c>
      <c r="BA4713">
        <v>1</v>
      </c>
      <c r="BB4713" t="str">
        <f t="shared" si="2647"/>
        <v xml:space="preserve">N9217B  </v>
      </c>
      <c r="BC4713">
        <v>1</v>
      </c>
      <c r="BE4713">
        <v>0</v>
      </c>
      <c r="BF4713">
        <v>0</v>
      </c>
      <c r="BG4713">
        <v>0</v>
      </c>
      <c r="BH4713">
        <v>3075</v>
      </c>
      <c r="BI4713">
        <v>1</v>
      </c>
      <c r="BJ4713">
        <v>0</v>
      </c>
      <c r="BK4713">
        <v>0</v>
      </c>
      <c r="BL4713">
        <v>0</v>
      </c>
      <c r="BO4713">
        <v>0</v>
      </c>
      <c r="BP4713">
        <v>0</v>
      </c>
      <c r="BW4713" t="str">
        <f t="shared" si="2671"/>
        <v>15:00:58.048</v>
      </c>
      <c r="CJ4713">
        <v>0</v>
      </c>
      <c r="CK4713">
        <v>2</v>
      </c>
      <c r="CL4713">
        <v>0</v>
      </c>
      <c r="CM4713">
        <v>2</v>
      </c>
      <c r="CN4713">
        <v>0</v>
      </c>
      <c r="CO4713">
        <v>6</v>
      </c>
      <c r="CP4713" t="s">
        <v>119</v>
      </c>
      <c r="CQ4713">
        <v>298</v>
      </c>
      <c r="CR4713">
        <v>0</v>
      </c>
      <c r="CW4713">
        <v>10486798</v>
      </c>
      <c r="CY4713">
        <v>0</v>
      </c>
      <c r="CZ4713">
        <v>0</v>
      </c>
      <c r="DA4713">
        <v>1</v>
      </c>
      <c r="DB4713">
        <v>0</v>
      </c>
      <c r="DC4713">
        <v>0</v>
      </c>
      <c r="DD4713">
        <v>0</v>
      </c>
      <c r="DE4713">
        <v>0</v>
      </c>
      <c r="DF4713">
        <v>0</v>
      </c>
      <c r="DG4713">
        <v>0</v>
      </c>
      <c r="DH4713">
        <v>0</v>
      </c>
      <c r="DI4713">
        <v>0</v>
      </c>
    </row>
    <row r="4714" spans="1:113" x14ac:dyDescent="0.25">
      <c r="A4714" t="str">
        <f t="shared" si="2668"/>
        <v>06/05/2020 15:00:52.397</v>
      </c>
      <c r="C4714" t="str">
        <f t="shared" si="2667"/>
        <v>FFDFD3C0</v>
      </c>
      <c r="D4714" t="s">
        <v>113</v>
      </c>
      <c r="E4714">
        <v>3</v>
      </c>
      <c r="H4714">
        <v>166</v>
      </c>
      <c r="I4714" t="s">
        <v>114</v>
      </c>
      <c r="J4714" t="s">
        <v>115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 t="shared" si="2669"/>
        <v>15:00:58.047</v>
      </c>
      <c r="T4714" t="str">
        <f t="shared" si="2670"/>
        <v>15:00:57.947</v>
      </c>
      <c r="U4714" t="str">
        <f t="shared" si="2642"/>
        <v>ACC530</v>
      </c>
      <c r="V4714">
        <v>0</v>
      </c>
      <c r="W4714">
        <v>0</v>
      </c>
      <c r="X4714">
        <v>1</v>
      </c>
      <c r="Z4714">
        <v>0</v>
      </c>
      <c r="AA4714">
        <v>9</v>
      </c>
      <c r="AB4714">
        <v>3</v>
      </c>
      <c r="AC4714">
        <v>0</v>
      </c>
      <c r="AD4714">
        <v>9</v>
      </c>
      <c r="AE4714">
        <v>0</v>
      </c>
      <c r="AF4714">
        <v>3</v>
      </c>
      <c r="AG4714">
        <v>1</v>
      </c>
      <c r="AH4714">
        <v>0</v>
      </c>
      <c r="AI4714" t="s">
        <v>1459</v>
      </c>
      <c r="AJ4714">
        <v>34.068196</v>
      </c>
      <c r="AK4714" t="s">
        <v>1460</v>
      </c>
      <c r="AL4714">
        <v>-117.075248</v>
      </c>
      <c r="AM4714">
        <v>100</v>
      </c>
      <c r="AN4714">
        <v>3300</v>
      </c>
      <c r="AO4714" t="s">
        <v>118</v>
      </c>
      <c r="AP4714">
        <v>-104</v>
      </c>
      <c r="AQ4714">
        <v>-73</v>
      </c>
      <c r="AR4714">
        <v>-2048</v>
      </c>
      <c r="AZ4714">
        <v>1200</v>
      </c>
      <c r="BA4714">
        <v>1</v>
      </c>
      <c r="BB4714" t="str">
        <f t="shared" si="2647"/>
        <v xml:space="preserve">N9217B  </v>
      </c>
      <c r="BC4714">
        <v>1</v>
      </c>
      <c r="BE4714">
        <v>0</v>
      </c>
      <c r="BF4714">
        <v>0</v>
      </c>
      <c r="BG4714">
        <v>0</v>
      </c>
      <c r="BH4714">
        <v>3075</v>
      </c>
      <c r="BI4714">
        <v>1</v>
      </c>
      <c r="BJ4714">
        <v>0</v>
      </c>
      <c r="BK4714">
        <v>0</v>
      </c>
      <c r="BL4714">
        <v>0</v>
      </c>
      <c r="BO4714">
        <v>0</v>
      </c>
      <c r="BP4714">
        <v>0</v>
      </c>
      <c r="BW4714" t="str">
        <f t="shared" si="2671"/>
        <v>15:00:58.048</v>
      </c>
      <c r="CJ4714">
        <v>0</v>
      </c>
      <c r="CK4714">
        <v>2</v>
      </c>
      <c r="CL4714">
        <v>0</v>
      </c>
      <c r="CM4714">
        <v>2</v>
      </c>
      <c r="CN4714">
        <v>0</v>
      </c>
      <c r="CO4714">
        <v>6</v>
      </c>
      <c r="CP4714" t="s">
        <v>119</v>
      </c>
      <c r="CQ4714">
        <v>298</v>
      </c>
      <c r="CR4714">
        <v>0</v>
      </c>
      <c r="CW4714">
        <v>10486798</v>
      </c>
      <c r="CY4714">
        <v>0</v>
      </c>
      <c r="CZ4714">
        <v>0</v>
      </c>
      <c r="DA4714">
        <v>1</v>
      </c>
      <c r="DB4714">
        <v>0</v>
      </c>
      <c r="DC4714">
        <v>0</v>
      </c>
      <c r="DD4714">
        <v>0</v>
      </c>
      <c r="DE4714">
        <v>0</v>
      </c>
      <c r="DF4714">
        <v>0</v>
      </c>
      <c r="DG4714">
        <v>0</v>
      </c>
      <c r="DH4714">
        <v>0</v>
      </c>
      <c r="DI4714">
        <v>0</v>
      </c>
    </row>
    <row r="4715" spans="1:113" x14ac:dyDescent="0.25">
      <c r="A4715" t="str">
        <f t="shared" si="2668"/>
        <v>06/05/2020 15:00:52.397</v>
      </c>
      <c r="C4715" t="str">
        <f t="shared" si="2667"/>
        <v>FFDFD3C0</v>
      </c>
      <c r="D4715" t="s">
        <v>134</v>
      </c>
      <c r="E4715">
        <v>7</v>
      </c>
      <c r="F4715">
        <v>2007</v>
      </c>
      <c r="G4715" t="s">
        <v>135</v>
      </c>
      <c r="J4715" t="s">
        <v>136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 t="shared" si="2669"/>
        <v>15:00:58.047</v>
      </c>
      <c r="T4715" t="str">
        <f t="shared" si="2670"/>
        <v>15:00:57.947</v>
      </c>
      <c r="U4715" t="str">
        <f t="shared" si="2642"/>
        <v>ACC530</v>
      </c>
      <c r="V4715">
        <v>0</v>
      </c>
      <c r="W4715">
        <v>0</v>
      </c>
      <c r="X4715">
        <v>1</v>
      </c>
      <c r="Z4715">
        <v>0</v>
      </c>
      <c r="AA4715">
        <v>9</v>
      </c>
      <c r="AB4715">
        <v>3</v>
      </c>
      <c r="AC4715">
        <v>0</v>
      </c>
      <c r="AD4715">
        <v>9</v>
      </c>
      <c r="AE4715">
        <v>0</v>
      </c>
      <c r="AF4715">
        <v>3</v>
      </c>
      <c r="AG4715">
        <v>1</v>
      </c>
      <c r="AH4715">
        <v>0</v>
      </c>
      <c r="AI4715" t="s">
        <v>1459</v>
      </c>
      <c r="AJ4715">
        <v>34.068196</v>
      </c>
      <c r="AK4715" t="s">
        <v>1460</v>
      </c>
      <c r="AL4715">
        <v>-117.075248</v>
      </c>
      <c r="AM4715">
        <v>100</v>
      </c>
      <c r="AN4715">
        <v>3300</v>
      </c>
      <c r="AO4715" t="s">
        <v>118</v>
      </c>
      <c r="AP4715">
        <v>-104</v>
      </c>
      <c r="AQ4715">
        <v>-73</v>
      </c>
      <c r="AR4715">
        <v>-2048</v>
      </c>
      <c r="AZ4715">
        <v>1200</v>
      </c>
      <c r="BA4715">
        <v>1</v>
      </c>
      <c r="BB4715" t="str">
        <f t="shared" si="2647"/>
        <v xml:space="preserve">N9217B  </v>
      </c>
      <c r="BC4715">
        <v>1</v>
      </c>
      <c r="BE4715">
        <v>0</v>
      </c>
      <c r="BF4715">
        <v>0</v>
      </c>
      <c r="BG4715">
        <v>0</v>
      </c>
      <c r="BH4715">
        <v>3075</v>
      </c>
      <c r="BI4715">
        <v>1</v>
      </c>
      <c r="BJ4715">
        <v>0</v>
      </c>
      <c r="BK4715">
        <v>0</v>
      </c>
      <c r="BL4715">
        <v>0</v>
      </c>
      <c r="BO4715">
        <v>0</v>
      </c>
      <c r="BP4715">
        <v>0</v>
      </c>
      <c r="BW4715" t="str">
        <f t="shared" si="2671"/>
        <v>15:00:58.048</v>
      </c>
      <c r="CJ4715">
        <v>0</v>
      </c>
      <c r="CK4715">
        <v>2</v>
      </c>
      <c r="CL4715">
        <v>0</v>
      </c>
      <c r="CM4715">
        <v>2</v>
      </c>
      <c r="CN4715">
        <v>0</v>
      </c>
      <c r="CO4715">
        <v>6</v>
      </c>
      <c r="CP4715" t="s">
        <v>119</v>
      </c>
      <c r="CQ4715">
        <v>298</v>
      </c>
      <c r="CR4715">
        <v>0</v>
      </c>
      <c r="CW4715">
        <v>10486798</v>
      </c>
      <c r="CY4715">
        <v>0</v>
      </c>
      <c r="CZ4715">
        <v>0</v>
      </c>
      <c r="DA4715">
        <v>1</v>
      </c>
      <c r="DB4715">
        <v>0</v>
      </c>
      <c r="DC4715">
        <v>0</v>
      </c>
      <c r="DD4715">
        <v>0</v>
      </c>
      <c r="DE4715">
        <v>0</v>
      </c>
      <c r="DF4715">
        <v>0</v>
      </c>
      <c r="DG4715">
        <v>0</v>
      </c>
      <c r="DH4715">
        <v>0</v>
      </c>
      <c r="DI4715">
        <v>0</v>
      </c>
    </row>
    <row r="4716" spans="1:113" x14ac:dyDescent="0.25">
      <c r="A4716" t="str">
        <f t="shared" si="2668"/>
        <v>06/05/2020 15:00:52.397</v>
      </c>
      <c r="C4716" t="str">
        <f t="shared" si="2667"/>
        <v>FFDFD3C0</v>
      </c>
      <c r="D4716" t="s">
        <v>148</v>
      </c>
      <c r="E4716">
        <v>11</v>
      </c>
      <c r="H4716">
        <v>53</v>
      </c>
      <c r="I4716" t="s">
        <v>364</v>
      </c>
      <c r="J4716" t="s">
        <v>150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 t="shared" si="2669"/>
        <v>15:00:58.047</v>
      </c>
      <c r="T4716" t="str">
        <f t="shared" si="2670"/>
        <v>15:00:57.947</v>
      </c>
      <c r="U4716" t="str">
        <f t="shared" si="2642"/>
        <v>ACC530</v>
      </c>
      <c r="V4716">
        <v>0</v>
      </c>
      <c r="W4716">
        <v>0</v>
      </c>
      <c r="X4716">
        <v>1</v>
      </c>
      <c r="Z4716">
        <v>0</v>
      </c>
      <c r="AA4716">
        <v>9</v>
      </c>
      <c r="AB4716">
        <v>3</v>
      </c>
      <c r="AC4716">
        <v>0</v>
      </c>
      <c r="AD4716">
        <v>9</v>
      </c>
      <c r="AE4716">
        <v>0</v>
      </c>
      <c r="AF4716">
        <v>3</v>
      </c>
      <c r="AG4716">
        <v>1</v>
      </c>
      <c r="AH4716">
        <v>0</v>
      </c>
      <c r="AI4716" t="s">
        <v>1459</v>
      </c>
      <c r="AJ4716">
        <v>34.068196</v>
      </c>
      <c r="AK4716" t="s">
        <v>1460</v>
      </c>
      <c r="AL4716">
        <v>-117.075248</v>
      </c>
      <c r="AM4716">
        <v>100</v>
      </c>
      <c r="AN4716">
        <v>3300</v>
      </c>
      <c r="AO4716" t="s">
        <v>118</v>
      </c>
      <c r="AP4716">
        <v>-104</v>
      </c>
      <c r="AQ4716">
        <v>-73</v>
      </c>
      <c r="AR4716">
        <v>-2048</v>
      </c>
      <c r="AZ4716">
        <v>1200</v>
      </c>
      <c r="BA4716">
        <v>1</v>
      </c>
      <c r="BB4716" t="str">
        <f t="shared" si="2647"/>
        <v xml:space="preserve">N9217B  </v>
      </c>
      <c r="BC4716">
        <v>1</v>
      </c>
      <c r="BE4716">
        <v>0</v>
      </c>
      <c r="BF4716">
        <v>0</v>
      </c>
      <c r="BG4716">
        <v>0</v>
      </c>
      <c r="BH4716">
        <v>3075</v>
      </c>
      <c r="BI4716">
        <v>1</v>
      </c>
      <c r="BJ4716">
        <v>0</v>
      </c>
      <c r="BK4716">
        <v>0</v>
      </c>
      <c r="BL4716">
        <v>0</v>
      </c>
      <c r="BO4716">
        <v>0</v>
      </c>
      <c r="BP4716">
        <v>0</v>
      </c>
      <c r="BW4716" t="str">
        <f t="shared" si="2671"/>
        <v>15:00:58.048</v>
      </c>
      <c r="CJ4716">
        <v>0</v>
      </c>
      <c r="CK4716">
        <v>2</v>
      </c>
      <c r="CL4716">
        <v>0</v>
      </c>
      <c r="CM4716">
        <v>2</v>
      </c>
      <c r="CN4716">
        <v>0</v>
      </c>
      <c r="CO4716">
        <v>6</v>
      </c>
      <c r="CP4716" t="s">
        <v>119</v>
      </c>
      <c r="CQ4716">
        <v>298</v>
      </c>
      <c r="CR4716">
        <v>0</v>
      </c>
      <c r="CW4716">
        <v>10486798</v>
      </c>
      <c r="CY4716">
        <v>0</v>
      </c>
      <c r="CZ4716">
        <v>0</v>
      </c>
      <c r="DA4716">
        <v>1</v>
      </c>
      <c r="DB4716">
        <v>0</v>
      </c>
      <c r="DC4716">
        <v>0</v>
      </c>
      <c r="DD4716">
        <v>0</v>
      </c>
      <c r="DE4716">
        <v>0</v>
      </c>
      <c r="DF4716">
        <v>0</v>
      </c>
      <c r="DG4716">
        <v>0</v>
      </c>
      <c r="DH4716">
        <v>0</v>
      </c>
      <c r="DI4716">
        <v>0</v>
      </c>
    </row>
    <row r="4717" spans="1:113" x14ac:dyDescent="0.25">
      <c r="A4717" t="str">
        <f t="shared" ref="A4717:A4722" si="2672">"06/05/2020 15:00:53.496"</f>
        <v>06/05/2020 15:00:53.496</v>
      </c>
      <c r="C4717" t="str">
        <f t="shared" si="2667"/>
        <v>FFDFD3C0</v>
      </c>
      <c r="D4717" t="s">
        <v>148</v>
      </c>
      <c r="E4717">
        <v>11</v>
      </c>
      <c r="H4717">
        <v>53</v>
      </c>
      <c r="I4717" t="s">
        <v>364</v>
      </c>
      <c r="J4717" t="s">
        <v>150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 t="shared" ref="S4717:S4722" si="2673">"15:00:59.125"</f>
        <v>15:00:59.125</v>
      </c>
      <c r="T4717" t="str">
        <f t="shared" ref="T4717:T4722" si="2674">"15:00:58.925"</f>
        <v>15:00:58.925</v>
      </c>
      <c r="U4717" t="str">
        <f t="shared" si="2642"/>
        <v>ACC530</v>
      </c>
      <c r="V4717">
        <v>0</v>
      </c>
      <c r="W4717">
        <v>0</v>
      </c>
      <c r="X4717">
        <v>1</v>
      </c>
      <c r="Z4717">
        <v>0</v>
      </c>
      <c r="AA4717">
        <v>9</v>
      </c>
      <c r="AB4717">
        <v>3</v>
      </c>
      <c r="AC4717">
        <v>0</v>
      </c>
      <c r="AD4717">
        <v>9</v>
      </c>
      <c r="AE4717">
        <v>0</v>
      </c>
      <c r="AF4717">
        <v>3</v>
      </c>
      <c r="AG4717">
        <v>1</v>
      </c>
      <c r="AH4717">
        <v>0</v>
      </c>
      <c r="AI4717" t="s">
        <v>1461</v>
      </c>
      <c r="AJ4717">
        <v>34.067810000000001</v>
      </c>
      <c r="AK4717" t="s">
        <v>1462</v>
      </c>
      <c r="AL4717">
        <v>-117.07586999999999</v>
      </c>
      <c r="AM4717">
        <v>100</v>
      </c>
      <c r="AN4717">
        <v>3300</v>
      </c>
      <c r="AO4717" t="s">
        <v>118</v>
      </c>
      <c r="AP4717">
        <v>-102</v>
      </c>
      <c r="AQ4717">
        <v>-75</v>
      </c>
      <c r="AR4717">
        <v>-2240</v>
      </c>
      <c r="AZ4717">
        <v>1200</v>
      </c>
      <c r="BA4717">
        <v>1</v>
      </c>
      <c r="BB4717" t="str">
        <f t="shared" si="2647"/>
        <v xml:space="preserve">N9217B  </v>
      </c>
      <c r="BC4717">
        <v>1</v>
      </c>
      <c r="BE4717">
        <v>0</v>
      </c>
      <c r="BF4717">
        <v>0</v>
      </c>
      <c r="BG4717">
        <v>0</v>
      </c>
      <c r="BH4717">
        <v>3050</v>
      </c>
      <c r="BI4717">
        <v>1</v>
      </c>
      <c r="BJ4717">
        <v>0</v>
      </c>
      <c r="BK4717">
        <v>0</v>
      </c>
      <c r="BL4717">
        <v>0</v>
      </c>
      <c r="BO4717">
        <v>0</v>
      </c>
      <c r="BP4717">
        <v>0</v>
      </c>
      <c r="BW4717" t="str">
        <f t="shared" ref="BW4717:BW4722" si="2675">"15:00:59.128"</f>
        <v>15:00:59.128</v>
      </c>
      <c r="CJ4717">
        <v>0</v>
      </c>
      <c r="CK4717">
        <v>2</v>
      </c>
      <c r="CL4717">
        <v>0</v>
      </c>
      <c r="CM4717">
        <v>2</v>
      </c>
      <c r="CN4717">
        <v>0</v>
      </c>
      <c r="CO4717">
        <v>6</v>
      </c>
      <c r="CP4717" t="s">
        <v>119</v>
      </c>
      <c r="CQ4717">
        <v>298</v>
      </c>
      <c r="CR4717">
        <v>0</v>
      </c>
      <c r="CW4717">
        <v>10486950</v>
      </c>
      <c r="CY4717">
        <v>0</v>
      </c>
      <c r="CZ4717">
        <v>0</v>
      </c>
      <c r="DA4717">
        <v>0</v>
      </c>
      <c r="DB4717">
        <v>0</v>
      </c>
      <c r="DC4717">
        <v>0</v>
      </c>
      <c r="DD4717">
        <v>0</v>
      </c>
      <c r="DE4717">
        <v>0</v>
      </c>
      <c r="DF4717">
        <v>0</v>
      </c>
      <c r="DG4717">
        <v>0</v>
      </c>
      <c r="DH4717">
        <v>0</v>
      </c>
      <c r="DI4717">
        <v>0</v>
      </c>
    </row>
    <row r="4718" spans="1:113" x14ac:dyDescent="0.25">
      <c r="A4718" t="str">
        <f t="shared" si="2672"/>
        <v>06/05/2020 15:00:53.496</v>
      </c>
      <c r="C4718" t="str">
        <f t="shared" si="2667"/>
        <v>FFDFD3C0</v>
      </c>
      <c r="D4718" t="s">
        <v>151</v>
      </c>
      <c r="E4718">
        <v>8</v>
      </c>
      <c r="H4718">
        <v>225</v>
      </c>
      <c r="I4718" t="s">
        <v>353</v>
      </c>
      <c r="J4718" t="s">
        <v>150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 t="shared" si="2673"/>
        <v>15:00:59.125</v>
      </c>
      <c r="T4718" t="str">
        <f t="shared" si="2674"/>
        <v>15:00:58.925</v>
      </c>
      <c r="U4718" t="str">
        <f t="shared" si="2642"/>
        <v>ACC530</v>
      </c>
      <c r="V4718">
        <v>0</v>
      </c>
      <c r="W4718">
        <v>0</v>
      </c>
      <c r="X4718">
        <v>1</v>
      </c>
      <c r="Z4718">
        <v>0</v>
      </c>
      <c r="AA4718">
        <v>9</v>
      </c>
      <c r="AB4718">
        <v>3</v>
      </c>
      <c r="AC4718">
        <v>0</v>
      </c>
      <c r="AD4718">
        <v>9</v>
      </c>
      <c r="AE4718">
        <v>0</v>
      </c>
      <c r="AF4718">
        <v>3</v>
      </c>
      <c r="AG4718">
        <v>1</v>
      </c>
      <c r="AH4718">
        <v>0</v>
      </c>
      <c r="AI4718" t="s">
        <v>1461</v>
      </c>
      <c r="AJ4718">
        <v>34.067810000000001</v>
      </c>
      <c r="AK4718" t="s">
        <v>1462</v>
      </c>
      <c r="AL4718">
        <v>-117.07586999999999</v>
      </c>
      <c r="AM4718">
        <v>100</v>
      </c>
      <c r="AN4718">
        <v>3300</v>
      </c>
      <c r="AO4718" t="s">
        <v>118</v>
      </c>
      <c r="AP4718">
        <v>-102</v>
      </c>
      <c r="AQ4718">
        <v>-75</v>
      </c>
      <c r="AR4718">
        <v>-2240</v>
      </c>
      <c r="AZ4718">
        <v>1200</v>
      </c>
      <c r="BA4718">
        <v>1</v>
      </c>
      <c r="BB4718" t="str">
        <f t="shared" si="2647"/>
        <v xml:space="preserve">N9217B  </v>
      </c>
      <c r="BC4718">
        <v>1</v>
      </c>
      <c r="BE4718">
        <v>0</v>
      </c>
      <c r="BF4718">
        <v>0</v>
      </c>
      <c r="BG4718">
        <v>0</v>
      </c>
      <c r="BH4718">
        <v>3050</v>
      </c>
      <c r="BI4718">
        <v>1</v>
      </c>
      <c r="BJ4718">
        <v>0</v>
      </c>
      <c r="BK4718">
        <v>0</v>
      </c>
      <c r="BL4718">
        <v>0</v>
      </c>
      <c r="BO4718">
        <v>0</v>
      </c>
      <c r="BP4718">
        <v>0</v>
      </c>
      <c r="BW4718" t="str">
        <f t="shared" si="2675"/>
        <v>15:00:59.128</v>
      </c>
      <c r="CJ4718">
        <v>0</v>
      </c>
      <c r="CK4718">
        <v>2</v>
      </c>
      <c r="CL4718">
        <v>0</v>
      </c>
      <c r="CM4718">
        <v>2</v>
      </c>
      <c r="CN4718">
        <v>0</v>
      </c>
      <c r="CO4718">
        <v>6</v>
      </c>
      <c r="CP4718" t="s">
        <v>119</v>
      </c>
      <c r="CQ4718">
        <v>298</v>
      </c>
      <c r="CR4718">
        <v>0</v>
      </c>
      <c r="CW4718">
        <v>10486950</v>
      </c>
      <c r="CY4718">
        <v>0</v>
      </c>
      <c r="CZ4718">
        <v>0</v>
      </c>
      <c r="DA4718">
        <v>1</v>
      </c>
      <c r="DB4718">
        <v>0</v>
      </c>
      <c r="DC4718">
        <v>0</v>
      </c>
      <c r="DD4718">
        <v>0</v>
      </c>
      <c r="DE4718">
        <v>0</v>
      </c>
      <c r="DF4718">
        <v>0</v>
      </c>
      <c r="DG4718">
        <v>0</v>
      </c>
      <c r="DH4718">
        <v>0</v>
      </c>
      <c r="DI4718">
        <v>0</v>
      </c>
    </row>
    <row r="4719" spans="1:113" x14ac:dyDescent="0.25">
      <c r="A4719" t="str">
        <f t="shared" si="2672"/>
        <v>06/05/2020 15:00:53.496</v>
      </c>
      <c r="C4719" t="str">
        <f t="shared" si="2667"/>
        <v>FFDFD3C0</v>
      </c>
      <c r="D4719" t="s">
        <v>141</v>
      </c>
      <c r="E4719">
        <v>20</v>
      </c>
      <c r="F4719">
        <v>1020</v>
      </c>
      <c r="G4719" t="s">
        <v>114</v>
      </c>
      <c r="J4719" t="s">
        <v>142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 t="shared" si="2673"/>
        <v>15:00:59.125</v>
      </c>
      <c r="T4719" t="str">
        <f t="shared" si="2674"/>
        <v>15:00:58.925</v>
      </c>
      <c r="U4719" t="str">
        <f t="shared" si="2642"/>
        <v>ACC530</v>
      </c>
      <c r="V4719">
        <v>0</v>
      </c>
      <c r="W4719">
        <v>0</v>
      </c>
      <c r="X4719">
        <v>1</v>
      </c>
      <c r="Z4719">
        <v>0</v>
      </c>
      <c r="AA4719">
        <v>9</v>
      </c>
      <c r="AB4719">
        <v>3</v>
      </c>
      <c r="AC4719">
        <v>0</v>
      </c>
      <c r="AD4719">
        <v>9</v>
      </c>
      <c r="AE4719">
        <v>0</v>
      </c>
      <c r="AF4719">
        <v>3</v>
      </c>
      <c r="AG4719">
        <v>1</v>
      </c>
      <c r="AH4719">
        <v>0</v>
      </c>
      <c r="AI4719" t="s">
        <v>1461</v>
      </c>
      <c r="AJ4719">
        <v>34.067810000000001</v>
      </c>
      <c r="AK4719" t="s">
        <v>1462</v>
      </c>
      <c r="AL4719">
        <v>-117.07586999999999</v>
      </c>
      <c r="AM4719">
        <v>100</v>
      </c>
      <c r="AN4719">
        <v>3300</v>
      </c>
      <c r="AO4719" t="s">
        <v>118</v>
      </c>
      <c r="AP4719">
        <v>-102</v>
      </c>
      <c r="AQ4719">
        <v>-75</v>
      </c>
      <c r="AR4719">
        <v>-2240</v>
      </c>
      <c r="AZ4719">
        <v>1200</v>
      </c>
      <c r="BA4719">
        <v>1</v>
      </c>
      <c r="BB4719" t="str">
        <f t="shared" si="2647"/>
        <v xml:space="preserve">N9217B  </v>
      </c>
      <c r="BC4719">
        <v>1</v>
      </c>
      <c r="BE4719">
        <v>0</v>
      </c>
      <c r="BF4719">
        <v>0</v>
      </c>
      <c r="BG4719">
        <v>0</v>
      </c>
      <c r="BH4719">
        <v>3050</v>
      </c>
      <c r="BI4719">
        <v>1</v>
      </c>
      <c r="BJ4719">
        <v>0</v>
      </c>
      <c r="BK4719">
        <v>0</v>
      </c>
      <c r="BL4719">
        <v>0</v>
      </c>
      <c r="BO4719">
        <v>0</v>
      </c>
      <c r="BP4719">
        <v>0</v>
      </c>
      <c r="BW4719" t="str">
        <f t="shared" si="2675"/>
        <v>15:00:59.128</v>
      </c>
      <c r="CJ4719">
        <v>0</v>
      </c>
      <c r="CK4719">
        <v>2</v>
      </c>
      <c r="CL4719">
        <v>0</v>
      </c>
      <c r="CM4719">
        <v>2</v>
      </c>
      <c r="CN4719">
        <v>0</v>
      </c>
      <c r="CO4719">
        <v>6</v>
      </c>
      <c r="CP4719" t="s">
        <v>119</v>
      </c>
      <c r="CQ4719">
        <v>298</v>
      </c>
      <c r="CR4719">
        <v>0</v>
      </c>
      <c r="CW4719">
        <v>10486950</v>
      </c>
      <c r="CY4719">
        <v>0</v>
      </c>
      <c r="CZ4719">
        <v>0</v>
      </c>
      <c r="DA4719">
        <v>1</v>
      </c>
      <c r="DB4719">
        <v>0</v>
      </c>
      <c r="DC4719">
        <v>0</v>
      </c>
      <c r="DD4719">
        <v>0</v>
      </c>
      <c r="DE4719">
        <v>0</v>
      </c>
      <c r="DF4719">
        <v>0</v>
      </c>
      <c r="DG4719">
        <v>0</v>
      </c>
      <c r="DH4719">
        <v>0</v>
      </c>
      <c r="DI4719">
        <v>0</v>
      </c>
    </row>
    <row r="4720" spans="1:113" x14ac:dyDescent="0.25">
      <c r="A4720" t="str">
        <f t="shared" si="2672"/>
        <v>06/05/2020 15:00:53.496</v>
      </c>
      <c r="C4720" t="str">
        <f t="shared" si="2667"/>
        <v>FFDFD3C0</v>
      </c>
      <c r="D4720" t="s">
        <v>113</v>
      </c>
      <c r="E4720">
        <v>3</v>
      </c>
      <c r="H4720">
        <v>166</v>
      </c>
      <c r="I4720" t="s">
        <v>114</v>
      </c>
      <c r="J4720" t="s">
        <v>115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 t="shared" si="2673"/>
        <v>15:00:59.125</v>
      </c>
      <c r="T4720" t="str">
        <f t="shared" si="2674"/>
        <v>15:00:58.925</v>
      </c>
      <c r="U4720" t="str">
        <f t="shared" si="2642"/>
        <v>ACC530</v>
      </c>
      <c r="V4720">
        <v>0</v>
      </c>
      <c r="W4720">
        <v>0</v>
      </c>
      <c r="X4720">
        <v>1</v>
      </c>
      <c r="Z4720">
        <v>0</v>
      </c>
      <c r="AA4720">
        <v>9</v>
      </c>
      <c r="AB4720">
        <v>3</v>
      </c>
      <c r="AC4720">
        <v>0</v>
      </c>
      <c r="AD4720">
        <v>9</v>
      </c>
      <c r="AE4720">
        <v>0</v>
      </c>
      <c r="AF4720">
        <v>3</v>
      </c>
      <c r="AG4720">
        <v>1</v>
      </c>
      <c r="AH4720">
        <v>0</v>
      </c>
      <c r="AI4720" t="s">
        <v>1461</v>
      </c>
      <c r="AJ4720">
        <v>34.067810000000001</v>
      </c>
      <c r="AK4720" t="s">
        <v>1462</v>
      </c>
      <c r="AL4720">
        <v>-117.07586999999999</v>
      </c>
      <c r="AM4720">
        <v>100</v>
      </c>
      <c r="AN4720">
        <v>3300</v>
      </c>
      <c r="AO4720" t="s">
        <v>118</v>
      </c>
      <c r="AP4720">
        <v>-102</v>
      </c>
      <c r="AQ4720">
        <v>-75</v>
      </c>
      <c r="AR4720">
        <v>-2240</v>
      </c>
      <c r="AZ4720">
        <v>1200</v>
      </c>
      <c r="BA4720">
        <v>1</v>
      </c>
      <c r="BB4720" t="str">
        <f t="shared" si="2647"/>
        <v xml:space="preserve">N9217B  </v>
      </c>
      <c r="BC4720">
        <v>1</v>
      </c>
      <c r="BE4720">
        <v>0</v>
      </c>
      <c r="BF4720">
        <v>0</v>
      </c>
      <c r="BG4720">
        <v>0</v>
      </c>
      <c r="BH4720">
        <v>3050</v>
      </c>
      <c r="BI4720">
        <v>1</v>
      </c>
      <c r="BJ4720">
        <v>0</v>
      </c>
      <c r="BK4720">
        <v>0</v>
      </c>
      <c r="BL4720">
        <v>0</v>
      </c>
      <c r="BO4720">
        <v>0</v>
      </c>
      <c r="BP4720">
        <v>0</v>
      </c>
      <c r="BW4720" t="str">
        <f t="shared" si="2675"/>
        <v>15:00:59.128</v>
      </c>
      <c r="CJ4720">
        <v>0</v>
      </c>
      <c r="CK4720">
        <v>2</v>
      </c>
      <c r="CL4720">
        <v>0</v>
      </c>
      <c r="CM4720">
        <v>2</v>
      </c>
      <c r="CN4720">
        <v>0</v>
      </c>
      <c r="CO4720">
        <v>6</v>
      </c>
      <c r="CP4720" t="s">
        <v>119</v>
      </c>
      <c r="CQ4720">
        <v>298</v>
      </c>
      <c r="CR4720">
        <v>0</v>
      </c>
      <c r="CW4720">
        <v>10486950</v>
      </c>
      <c r="CY4720">
        <v>0</v>
      </c>
      <c r="CZ4720">
        <v>0</v>
      </c>
      <c r="DA4720">
        <v>1</v>
      </c>
      <c r="DB4720">
        <v>0</v>
      </c>
      <c r="DC4720">
        <v>0</v>
      </c>
      <c r="DD4720">
        <v>0</v>
      </c>
      <c r="DE4720">
        <v>0</v>
      </c>
      <c r="DF4720">
        <v>0</v>
      </c>
      <c r="DG4720">
        <v>0</v>
      </c>
      <c r="DH4720">
        <v>0</v>
      </c>
      <c r="DI4720">
        <v>0</v>
      </c>
    </row>
    <row r="4721" spans="1:113" x14ac:dyDescent="0.25">
      <c r="A4721" t="str">
        <f t="shared" si="2672"/>
        <v>06/05/2020 15:00:53.496</v>
      </c>
      <c r="C4721" t="str">
        <f t="shared" si="2667"/>
        <v>FFDFD3C0</v>
      </c>
      <c r="D4721" t="s">
        <v>148</v>
      </c>
      <c r="E4721">
        <v>8</v>
      </c>
      <c r="H4721">
        <v>50</v>
      </c>
      <c r="I4721" t="s">
        <v>149</v>
      </c>
      <c r="J4721" t="s">
        <v>150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 t="shared" si="2673"/>
        <v>15:00:59.125</v>
      </c>
      <c r="T4721" t="str">
        <f t="shared" si="2674"/>
        <v>15:00:58.925</v>
      </c>
      <c r="U4721" t="str">
        <f t="shared" si="2642"/>
        <v>ACC530</v>
      </c>
      <c r="V4721">
        <v>0</v>
      </c>
      <c r="W4721">
        <v>0</v>
      </c>
      <c r="X4721">
        <v>1</v>
      </c>
      <c r="Z4721">
        <v>0</v>
      </c>
      <c r="AA4721">
        <v>9</v>
      </c>
      <c r="AB4721">
        <v>3</v>
      </c>
      <c r="AC4721">
        <v>0</v>
      </c>
      <c r="AD4721">
        <v>9</v>
      </c>
      <c r="AE4721">
        <v>0</v>
      </c>
      <c r="AF4721">
        <v>3</v>
      </c>
      <c r="AG4721">
        <v>1</v>
      </c>
      <c r="AH4721">
        <v>0</v>
      </c>
      <c r="AI4721" t="s">
        <v>1461</v>
      </c>
      <c r="AJ4721">
        <v>34.067810000000001</v>
      </c>
      <c r="AK4721" t="s">
        <v>1462</v>
      </c>
      <c r="AL4721">
        <v>-117.07586999999999</v>
      </c>
      <c r="AM4721">
        <v>100</v>
      </c>
      <c r="AN4721">
        <v>3300</v>
      </c>
      <c r="AO4721" t="s">
        <v>118</v>
      </c>
      <c r="AP4721">
        <v>-102</v>
      </c>
      <c r="AQ4721">
        <v>-75</v>
      </c>
      <c r="AR4721">
        <v>-2240</v>
      </c>
      <c r="AZ4721">
        <v>1200</v>
      </c>
      <c r="BA4721">
        <v>1</v>
      </c>
      <c r="BB4721" t="str">
        <f t="shared" si="2647"/>
        <v xml:space="preserve">N9217B  </v>
      </c>
      <c r="BC4721">
        <v>1</v>
      </c>
      <c r="BE4721">
        <v>0</v>
      </c>
      <c r="BF4721">
        <v>0</v>
      </c>
      <c r="BG4721">
        <v>0</v>
      </c>
      <c r="BH4721">
        <v>3050</v>
      </c>
      <c r="BI4721">
        <v>1</v>
      </c>
      <c r="BJ4721">
        <v>0</v>
      </c>
      <c r="BK4721">
        <v>0</v>
      </c>
      <c r="BL4721">
        <v>0</v>
      </c>
      <c r="BO4721">
        <v>0</v>
      </c>
      <c r="BP4721">
        <v>0</v>
      </c>
      <c r="BW4721" t="str">
        <f t="shared" si="2675"/>
        <v>15:00:59.128</v>
      </c>
      <c r="CJ4721">
        <v>0</v>
      </c>
      <c r="CK4721">
        <v>2</v>
      </c>
      <c r="CL4721">
        <v>0</v>
      </c>
      <c r="CM4721">
        <v>2</v>
      </c>
      <c r="CN4721">
        <v>0</v>
      </c>
      <c r="CO4721">
        <v>6</v>
      </c>
      <c r="CP4721" t="s">
        <v>119</v>
      </c>
      <c r="CQ4721">
        <v>298</v>
      </c>
      <c r="CR4721">
        <v>0</v>
      </c>
      <c r="CW4721">
        <v>10486950</v>
      </c>
      <c r="CY4721">
        <v>0</v>
      </c>
      <c r="CZ4721">
        <v>0</v>
      </c>
      <c r="DA4721">
        <v>1</v>
      </c>
      <c r="DB4721">
        <v>0</v>
      </c>
      <c r="DC4721">
        <v>0</v>
      </c>
      <c r="DD4721">
        <v>0</v>
      </c>
      <c r="DE4721">
        <v>0</v>
      </c>
      <c r="DF4721">
        <v>0</v>
      </c>
      <c r="DG4721">
        <v>0</v>
      </c>
      <c r="DH4721">
        <v>0</v>
      </c>
      <c r="DI4721">
        <v>0</v>
      </c>
    </row>
    <row r="4722" spans="1:113" x14ac:dyDescent="0.25">
      <c r="A4722" t="str">
        <f t="shared" si="2672"/>
        <v>06/05/2020 15:00:53.496</v>
      </c>
      <c r="C4722" t="str">
        <f t="shared" si="2667"/>
        <v>FFDFD3C0</v>
      </c>
      <c r="D4722" t="s">
        <v>134</v>
      </c>
      <c r="E4722">
        <v>7</v>
      </c>
      <c r="F4722">
        <v>2007</v>
      </c>
      <c r="G4722" t="s">
        <v>135</v>
      </c>
      <c r="J4722" t="s">
        <v>136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 t="shared" si="2673"/>
        <v>15:00:59.125</v>
      </c>
      <c r="T4722" t="str">
        <f t="shared" si="2674"/>
        <v>15:00:58.925</v>
      </c>
      <c r="U4722" t="str">
        <f t="shared" si="2642"/>
        <v>ACC530</v>
      </c>
      <c r="V4722">
        <v>0</v>
      </c>
      <c r="W4722">
        <v>0</v>
      </c>
      <c r="X4722">
        <v>1</v>
      </c>
      <c r="Z4722">
        <v>0</v>
      </c>
      <c r="AA4722">
        <v>9</v>
      </c>
      <c r="AB4722">
        <v>3</v>
      </c>
      <c r="AC4722">
        <v>0</v>
      </c>
      <c r="AD4722">
        <v>9</v>
      </c>
      <c r="AE4722">
        <v>0</v>
      </c>
      <c r="AF4722">
        <v>3</v>
      </c>
      <c r="AG4722">
        <v>1</v>
      </c>
      <c r="AH4722">
        <v>0</v>
      </c>
      <c r="AI4722" t="s">
        <v>1461</v>
      </c>
      <c r="AJ4722">
        <v>34.067810000000001</v>
      </c>
      <c r="AK4722" t="s">
        <v>1462</v>
      </c>
      <c r="AL4722">
        <v>-117.07586999999999</v>
      </c>
      <c r="AM4722">
        <v>100</v>
      </c>
      <c r="AN4722">
        <v>3300</v>
      </c>
      <c r="AO4722" t="s">
        <v>118</v>
      </c>
      <c r="AP4722">
        <v>-102</v>
      </c>
      <c r="AQ4722">
        <v>-75</v>
      </c>
      <c r="AR4722">
        <v>-2240</v>
      </c>
      <c r="AZ4722">
        <v>1200</v>
      </c>
      <c r="BA4722">
        <v>1</v>
      </c>
      <c r="BB4722" t="str">
        <f t="shared" si="2647"/>
        <v xml:space="preserve">N9217B  </v>
      </c>
      <c r="BC4722">
        <v>1</v>
      </c>
      <c r="BE4722">
        <v>0</v>
      </c>
      <c r="BF4722">
        <v>0</v>
      </c>
      <c r="BG4722">
        <v>0</v>
      </c>
      <c r="BH4722">
        <v>3050</v>
      </c>
      <c r="BI4722">
        <v>1</v>
      </c>
      <c r="BJ4722">
        <v>0</v>
      </c>
      <c r="BK4722">
        <v>0</v>
      </c>
      <c r="BL4722">
        <v>0</v>
      </c>
      <c r="BO4722">
        <v>0</v>
      </c>
      <c r="BP4722">
        <v>0</v>
      </c>
      <c r="BW4722" t="str">
        <f t="shared" si="2675"/>
        <v>15:00:59.128</v>
      </c>
      <c r="CJ4722">
        <v>0</v>
      </c>
      <c r="CK4722">
        <v>2</v>
      </c>
      <c r="CL4722">
        <v>0</v>
      </c>
      <c r="CM4722">
        <v>2</v>
      </c>
      <c r="CN4722">
        <v>0</v>
      </c>
      <c r="CO4722">
        <v>6</v>
      </c>
      <c r="CP4722" t="s">
        <v>119</v>
      </c>
      <c r="CQ4722">
        <v>298</v>
      </c>
      <c r="CR4722">
        <v>0</v>
      </c>
      <c r="CW4722">
        <v>10486950</v>
      </c>
      <c r="CY4722">
        <v>0</v>
      </c>
      <c r="CZ4722">
        <v>0</v>
      </c>
      <c r="DA4722">
        <v>1</v>
      </c>
      <c r="DB4722">
        <v>0</v>
      </c>
      <c r="DC4722">
        <v>0</v>
      </c>
      <c r="DD4722">
        <v>0</v>
      </c>
      <c r="DE4722">
        <v>0</v>
      </c>
      <c r="DF4722">
        <v>0</v>
      </c>
      <c r="DG4722">
        <v>0</v>
      </c>
      <c r="DH4722">
        <v>0</v>
      </c>
      <c r="DI4722">
        <v>0</v>
      </c>
    </row>
    <row r="4723" spans="1:113" x14ac:dyDescent="0.25">
      <c r="A4723" t="str">
        <f t="shared" ref="A4723:A4728" si="2676">"06/05/2020 15:00:54.368"</f>
        <v>06/05/2020 15:00:54.368</v>
      </c>
      <c r="C4723" t="str">
        <f t="shared" si="2667"/>
        <v>FFDFD3C0</v>
      </c>
      <c r="D4723" t="s">
        <v>141</v>
      </c>
      <c r="E4723">
        <v>20</v>
      </c>
      <c r="F4723">
        <v>1020</v>
      </c>
      <c r="G4723" t="s">
        <v>114</v>
      </c>
      <c r="J4723" t="s">
        <v>142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 t="shared" ref="S4723:S4728" si="2677">"15:01:00.039"</f>
        <v>15:01:00.039</v>
      </c>
      <c r="T4723" t="str">
        <f t="shared" ref="T4723:T4728" si="2678">"15:00:59.839"</f>
        <v>15:00:59.839</v>
      </c>
      <c r="U4723" t="str">
        <f t="shared" si="2642"/>
        <v>ACC530</v>
      </c>
      <c r="V4723">
        <v>0</v>
      </c>
      <c r="W4723">
        <v>0</v>
      </c>
      <c r="X4723">
        <v>1</v>
      </c>
      <c r="Z4723">
        <v>0</v>
      </c>
      <c r="AA4723">
        <v>9</v>
      </c>
      <c r="AB4723">
        <v>3</v>
      </c>
      <c r="AC4723">
        <v>0</v>
      </c>
      <c r="AD4723">
        <v>9</v>
      </c>
      <c r="AE4723">
        <v>0</v>
      </c>
      <c r="AF4723">
        <v>3</v>
      </c>
      <c r="AG4723">
        <v>1</v>
      </c>
      <c r="AH4723">
        <v>0</v>
      </c>
      <c r="AI4723" t="s">
        <v>1463</v>
      </c>
      <c r="AJ4723">
        <v>34.067466000000003</v>
      </c>
      <c r="AK4723" t="s">
        <v>1464</v>
      </c>
      <c r="AL4723">
        <v>-117.076364</v>
      </c>
      <c r="AM4723">
        <v>100</v>
      </c>
      <c r="AN4723">
        <v>3300</v>
      </c>
      <c r="AO4723" t="s">
        <v>118</v>
      </c>
      <c r="AP4723">
        <v>-101</v>
      </c>
      <c r="AQ4723">
        <v>-77</v>
      </c>
      <c r="AR4723">
        <v>-2496</v>
      </c>
      <c r="AZ4723">
        <v>1200</v>
      </c>
      <c r="BA4723">
        <v>1</v>
      </c>
      <c r="BB4723" t="str">
        <f t="shared" si="2647"/>
        <v xml:space="preserve">N9217B  </v>
      </c>
      <c r="BC4723">
        <v>1</v>
      </c>
      <c r="BE4723">
        <v>0</v>
      </c>
      <c r="BF4723">
        <v>0</v>
      </c>
      <c r="BG4723">
        <v>0</v>
      </c>
      <c r="BH4723">
        <v>3000</v>
      </c>
      <c r="BI4723">
        <v>1</v>
      </c>
      <c r="BJ4723">
        <v>0</v>
      </c>
      <c r="BK4723">
        <v>0</v>
      </c>
      <c r="BL4723">
        <v>0</v>
      </c>
      <c r="BO4723">
        <v>0</v>
      </c>
      <c r="BP4723">
        <v>0</v>
      </c>
      <c r="BW4723" t="str">
        <f t="shared" ref="BW4723:BW4728" si="2679">"15:01:00.043"</f>
        <v>15:01:00.043</v>
      </c>
      <c r="CJ4723">
        <v>0</v>
      </c>
      <c r="CK4723">
        <v>2</v>
      </c>
      <c r="CL4723">
        <v>0</v>
      </c>
      <c r="CM4723">
        <v>2</v>
      </c>
      <c r="CN4723">
        <v>0</v>
      </c>
      <c r="CO4723">
        <v>6</v>
      </c>
      <c r="CP4723" t="s">
        <v>119</v>
      </c>
      <c r="CQ4723">
        <v>298</v>
      </c>
      <c r="CR4723">
        <v>0</v>
      </c>
      <c r="CW4723">
        <v>10487076</v>
      </c>
      <c r="CY4723">
        <v>0</v>
      </c>
      <c r="CZ4723">
        <v>0</v>
      </c>
      <c r="DA4723">
        <v>0</v>
      </c>
      <c r="DB4723">
        <v>0</v>
      </c>
      <c r="DC4723">
        <v>0</v>
      </c>
      <c r="DD4723">
        <v>0</v>
      </c>
      <c r="DE4723">
        <v>0</v>
      </c>
      <c r="DF4723">
        <v>0</v>
      </c>
      <c r="DG4723">
        <v>0</v>
      </c>
      <c r="DH4723">
        <v>0</v>
      </c>
      <c r="DI4723">
        <v>0</v>
      </c>
    </row>
    <row r="4724" spans="1:113" x14ac:dyDescent="0.25">
      <c r="A4724" t="str">
        <f t="shared" si="2676"/>
        <v>06/05/2020 15:00:54.368</v>
      </c>
      <c r="C4724" t="str">
        <f t="shared" si="2667"/>
        <v>FFDFD3C0</v>
      </c>
      <c r="D4724" t="s">
        <v>151</v>
      </c>
      <c r="E4724">
        <v>8</v>
      </c>
      <c r="H4724">
        <v>225</v>
      </c>
      <c r="I4724" t="s">
        <v>353</v>
      </c>
      <c r="J4724" t="s">
        <v>150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 t="shared" si="2677"/>
        <v>15:01:00.039</v>
      </c>
      <c r="T4724" t="str">
        <f t="shared" si="2678"/>
        <v>15:00:59.839</v>
      </c>
      <c r="U4724" t="str">
        <f t="shared" si="2642"/>
        <v>ACC530</v>
      </c>
      <c r="V4724">
        <v>0</v>
      </c>
      <c r="W4724">
        <v>0</v>
      </c>
      <c r="X4724">
        <v>1</v>
      </c>
      <c r="Z4724">
        <v>0</v>
      </c>
      <c r="AA4724">
        <v>9</v>
      </c>
      <c r="AB4724">
        <v>3</v>
      </c>
      <c r="AC4724">
        <v>0</v>
      </c>
      <c r="AD4724">
        <v>9</v>
      </c>
      <c r="AE4724">
        <v>0</v>
      </c>
      <c r="AF4724">
        <v>3</v>
      </c>
      <c r="AG4724">
        <v>1</v>
      </c>
      <c r="AH4724">
        <v>0</v>
      </c>
      <c r="AI4724" t="s">
        <v>1463</v>
      </c>
      <c r="AJ4724">
        <v>34.067466000000003</v>
      </c>
      <c r="AK4724" t="s">
        <v>1464</v>
      </c>
      <c r="AL4724">
        <v>-117.076364</v>
      </c>
      <c r="AM4724">
        <v>100</v>
      </c>
      <c r="AN4724">
        <v>3300</v>
      </c>
      <c r="AO4724" t="s">
        <v>118</v>
      </c>
      <c r="AP4724">
        <v>-101</v>
      </c>
      <c r="AQ4724">
        <v>-77</v>
      </c>
      <c r="AR4724">
        <v>-2496</v>
      </c>
      <c r="AZ4724">
        <v>1200</v>
      </c>
      <c r="BA4724">
        <v>1</v>
      </c>
      <c r="BB4724" t="str">
        <f t="shared" si="2647"/>
        <v xml:space="preserve">N9217B  </v>
      </c>
      <c r="BC4724">
        <v>1</v>
      </c>
      <c r="BE4724">
        <v>0</v>
      </c>
      <c r="BF4724">
        <v>0</v>
      </c>
      <c r="BG4724">
        <v>0</v>
      </c>
      <c r="BH4724">
        <v>3000</v>
      </c>
      <c r="BI4724">
        <v>1</v>
      </c>
      <c r="BJ4724">
        <v>0</v>
      </c>
      <c r="BK4724">
        <v>0</v>
      </c>
      <c r="BL4724">
        <v>0</v>
      </c>
      <c r="BO4724">
        <v>0</v>
      </c>
      <c r="BP4724">
        <v>0</v>
      </c>
      <c r="BW4724" t="str">
        <f t="shared" si="2679"/>
        <v>15:01:00.043</v>
      </c>
      <c r="CJ4724">
        <v>0</v>
      </c>
      <c r="CK4724">
        <v>2</v>
      </c>
      <c r="CL4724">
        <v>0</v>
      </c>
      <c r="CM4724">
        <v>2</v>
      </c>
      <c r="CN4724">
        <v>0</v>
      </c>
      <c r="CO4724">
        <v>6</v>
      </c>
      <c r="CP4724" t="s">
        <v>119</v>
      </c>
      <c r="CQ4724">
        <v>298</v>
      </c>
      <c r="CR4724">
        <v>0</v>
      </c>
      <c r="CW4724">
        <v>10487076</v>
      </c>
      <c r="CY4724">
        <v>0</v>
      </c>
      <c r="CZ4724">
        <v>0</v>
      </c>
      <c r="DA4724">
        <v>1</v>
      </c>
      <c r="DB4724">
        <v>0</v>
      </c>
      <c r="DC4724">
        <v>0</v>
      </c>
      <c r="DD4724">
        <v>0</v>
      </c>
      <c r="DE4724">
        <v>0</v>
      </c>
      <c r="DF4724">
        <v>0</v>
      </c>
      <c r="DG4724">
        <v>0</v>
      </c>
      <c r="DH4724">
        <v>0</v>
      </c>
      <c r="DI4724">
        <v>0</v>
      </c>
    </row>
    <row r="4725" spans="1:113" x14ac:dyDescent="0.25">
      <c r="A4725" t="str">
        <f t="shared" si="2676"/>
        <v>06/05/2020 15:00:54.368</v>
      </c>
      <c r="C4725" t="str">
        <f t="shared" si="2667"/>
        <v>FFDFD3C0</v>
      </c>
      <c r="D4725" t="s">
        <v>113</v>
      </c>
      <c r="E4725">
        <v>3</v>
      </c>
      <c r="H4725">
        <v>166</v>
      </c>
      <c r="I4725" t="s">
        <v>114</v>
      </c>
      <c r="J4725" t="s">
        <v>115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 t="shared" si="2677"/>
        <v>15:01:00.039</v>
      </c>
      <c r="T4725" t="str">
        <f t="shared" si="2678"/>
        <v>15:00:59.839</v>
      </c>
      <c r="U4725" t="str">
        <f t="shared" si="2642"/>
        <v>ACC530</v>
      </c>
      <c r="V4725">
        <v>0</v>
      </c>
      <c r="W4725">
        <v>0</v>
      </c>
      <c r="X4725">
        <v>1</v>
      </c>
      <c r="Z4725">
        <v>0</v>
      </c>
      <c r="AA4725">
        <v>9</v>
      </c>
      <c r="AB4725">
        <v>3</v>
      </c>
      <c r="AC4725">
        <v>0</v>
      </c>
      <c r="AD4725">
        <v>9</v>
      </c>
      <c r="AE4725">
        <v>0</v>
      </c>
      <c r="AF4725">
        <v>3</v>
      </c>
      <c r="AG4725">
        <v>1</v>
      </c>
      <c r="AH4725">
        <v>0</v>
      </c>
      <c r="AI4725" t="s">
        <v>1463</v>
      </c>
      <c r="AJ4725">
        <v>34.067466000000003</v>
      </c>
      <c r="AK4725" t="s">
        <v>1464</v>
      </c>
      <c r="AL4725">
        <v>-117.076364</v>
      </c>
      <c r="AM4725">
        <v>100</v>
      </c>
      <c r="AN4725">
        <v>3300</v>
      </c>
      <c r="AO4725" t="s">
        <v>118</v>
      </c>
      <c r="AP4725">
        <v>-101</v>
      </c>
      <c r="AQ4725">
        <v>-77</v>
      </c>
      <c r="AR4725">
        <v>-2496</v>
      </c>
      <c r="AZ4725">
        <v>1200</v>
      </c>
      <c r="BA4725">
        <v>1</v>
      </c>
      <c r="BB4725" t="str">
        <f t="shared" si="2647"/>
        <v xml:space="preserve">N9217B  </v>
      </c>
      <c r="BC4725">
        <v>1</v>
      </c>
      <c r="BE4725">
        <v>0</v>
      </c>
      <c r="BF4725">
        <v>0</v>
      </c>
      <c r="BG4725">
        <v>0</v>
      </c>
      <c r="BH4725">
        <v>3000</v>
      </c>
      <c r="BI4725">
        <v>1</v>
      </c>
      <c r="BJ4725">
        <v>0</v>
      </c>
      <c r="BK4725">
        <v>0</v>
      </c>
      <c r="BL4725">
        <v>0</v>
      </c>
      <c r="BO4725">
        <v>0</v>
      </c>
      <c r="BP4725">
        <v>0</v>
      </c>
      <c r="BW4725" t="str">
        <f t="shared" si="2679"/>
        <v>15:01:00.043</v>
      </c>
      <c r="CJ4725">
        <v>0</v>
      </c>
      <c r="CK4725">
        <v>2</v>
      </c>
      <c r="CL4725">
        <v>0</v>
      </c>
      <c r="CM4725">
        <v>2</v>
      </c>
      <c r="CN4725">
        <v>0</v>
      </c>
      <c r="CO4725">
        <v>6</v>
      </c>
      <c r="CP4725" t="s">
        <v>119</v>
      </c>
      <c r="CQ4725">
        <v>298</v>
      </c>
      <c r="CR4725">
        <v>0</v>
      </c>
      <c r="CW4725">
        <v>10487076</v>
      </c>
      <c r="CY4725">
        <v>0</v>
      </c>
      <c r="CZ4725">
        <v>0</v>
      </c>
      <c r="DA4725">
        <v>1</v>
      </c>
      <c r="DB4725">
        <v>0</v>
      </c>
      <c r="DC4725">
        <v>0</v>
      </c>
      <c r="DD4725">
        <v>0</v>
      </c>
      <c r="DE4725">
        <v>0</v>
      </c>
      <c r="DF4725">
        <v>0</v>
      </c>
      <c r="DG4725">
        <v>0</v>
      </c>
      <c r="DH4725">
        <v>0</v>
      </c>
      <c r="DI4725">
        <v>0</v>
      </c>
    </row>
    <row r="4726" spans="1:113" x14ac:dyDescent="0.25">
      <c r="A4726" t="str">
        <f t="shared" si="2676"/>
        <v>06/05/2020 15:00:54.368</v>
      </c>
      <c r="C4726" t="str">
        <f t="shared" si="2667"/>
        <v>FFDFD3C0</v>
      </c>
      <c r="D4726" t="s">
        <v>148</v>
      </c>
      <c r="E4726">
        <v>8</v>
      </c>
      <c r="H4726">
        <v>50</v>
      </c>
      <c r="I4726" t="s">
        <v>149</v>
      </c>
      <c r="J4726" t="s">
        <v>150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 t="shared" si="2677"/>
        <v>15:01:00.039</v>
      </c>
      <c r="T4726" t="str">
        <f t="shared" si="2678"/>
        <v>15:00:59.839</v>
      </c>
      <c r="U4726" t="str">
        <f t="shared" si="2642"/>
        <v>ACC530</v>
      </c>
      <c r="V4726">
        <v>0</v>
      </c>
      <c r="W4726">
        <v>0</v>
      </c>
      <c r="X4726">
        <v>1</v>
      </c>
      <c r="Z4726">
        <v>0</v>
      </c>
      <c r="AA4726">
        <v>9</v>
      </c>
      <c r="AB4726">
        <v>3</v>
      </c>
      <c r="AC4726">
        <v>0</v>
      </c>
      <c r="AD4726">
        <v>9</v>
      </c>
      <c r="AE4726">
        <v>0</v>
      </c>
      <c r="AF4726">
        <v>3</v>
      </c>
      <c r="AG4726">
        <v>1</v>
      </c>
      <c r="AH4726">
        <v>0</v>
      </c>
      <c r="AI4726" t="s">
        <v>1463</v>
      </c>
      <c r="AJ4726">
        <v>34.067466000000003</v>
      </c>
      <c r="AK4726" t="s">
        <v>1464</v>
      </c>
      <c r="AL4726">
        <v>-117.076364</v>
      </c>
      <c r="AM4726">
        <v>100</v>
      </c>
      <c r="AN4726">
        <v>3300</v>
      </c>
      <c r="AO4726" t="s">
        <v>118</v>
      </c>
      <c r="AP4726">
        <v>-101</v>
      </c>
      <c r="AQ4726">
        <v>-77</v>
      </c>
      <c r="AR4726">
        <v>-2496</v>
      </c>
      <c r="AZ4726">
        <v>1200</v>
      </c>
      <c r="BA4726">
        <v>1</v>
      </c>
      <c r="BB4726" t="str">
        <f t="shared" si="2647"/>
        <v xml:space="preserve">N9217B  </v>
      </c>
      <c r="BC4726">
        <v>1</v>
      </c>
      <c r="BE4726">
        <v>0</v>
      </c>
      <c r="BF4726">
        <v>0</v>
      </c>
      <c r="BG4726">
        <v>0</v>
      </c>
      <c r="BH4726">
        <v>3000</v>
      </c>
      <c r="BI4726">
        <v>1</v>
      </c>
      <c r="BJ4726">
        <v>0</v>
      </c>
      <c r="BK4726">
        <v>0</v>
      </c>
      <c r="BL4726">
        <v>0</v>
      </c>
      <c r="BO4726">
        <v>0</v>
      </c>
      <c r="BP4726">
        <v>0</v>
      </c>
      <c r="BW4726" t="str">
        <f t="shared" si="2679"/>
        <v>15:01:00.043</v>
      </c>
      <c r="CJ4726">
        <v>0</v>
      </c>
      <c r="CK4726">
        <v>2</v>
      </c>
      <c r="CL4726">
        <v>0</v>
      </c>
      <c r="CM4726">
        <v>2</v>
      </c>
      <c r="CN4726">
        <v>0</v>
      </c>
      <c r="CO4726">
        <v>6</v>
      </c>
      <c r="CP4726" t="s">
        <v>119</v>
      </c>
      <c r="CQ4726">
        <v>298</v>
      </c>
      <c r="CR4726">
        <v>0</v>
      </c>
      <c r="CW4726">
        <v>10487076</v>
      </c>
      <c r="CY4726">
        <v>0</v>
      </c>
      <c r="CZ4726">
        <v>0</v>
      </c>
      <c r="DA4726">
        <v>1</v>
      </c>
      <c r="DB4726">
        <v>0</v>
      </c>
      <c r="DC4726">
        <v>0</v>
      </c>
      <c r="DD4726">
        <v>0</v>
      </c>
      <c r="DE4726">
        <v>0</v>
      </c>
      <c r="DF4726">
        <v>0</v>
      </c>
      <c r="DG4726">
        <v>0</v>
      </c>
      <c r="DH4726">
        <v>0</v>
      </c>
      <c r="DI4726">
        <v>0</v>
      </c>
    </row>
    <row r="4727" spans="1:113" x14ac:dyDescent="0.25">
      <c r="A4727" t="str">
        <f t="shared" si="2676"/>
        <v>06/05/2020 15:00:54.368</v>
      </c>
      <c r="C4727" t="str">
        <f t="shared" si="2667"/>
        <v>FFDFD3C0</v>
      </c>
      <c r="D4727" t="s">
        <v>134</v>
      </c>
      <c r="E4727">
        <v>7</v>
      </c>
      <c r="F4727">
        <v>2007</v>
      </c>
      <c r="G4727" t="s">
        <v>135</v>
      </c>
      <c r="J4727" t="s">
        <v>136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 t="shared" si="2677"/>
        <v>15:01:00.039</v>
      </c>
      <c r="T4727" t="str">
        <f t="shared" si="2678"/>
        <v>15:00:59.839</v>
      </c>
      <c r="U4727" t="str">
        <f t="shared" si="2642"/>
        <v>ACC530</v>
      </c>
      <c r="V4727">
        <v>0</v>
      </c>
      <c r="W4727">
        <v>0</v>
      </c>
      <c r="X4727">
        <v>1</v>
      </c>
      <c r="Z4727">
        <v>0</v>
      </c>
      <c r="AA4727">
        <v>9</v>
      </c>
      <c r="AB4727">
        <v>3</v>
      </c>
      <c r="AC4727">
        <v>0</v>
      </c>
      <c r="AD4727">
        <v>9</v>
      </c>
      <c r="AE4727">
        <v>0</v>
      </c>
      <c r="AF4727">
        <v>3</v>
      </c>
      <c r="AG4727">
        <v>1</v>
      </c>
      <c r="AH4727">
        <v>0</v>
      </c>
      <c r="AI4727" t="s">
        <v>1463</v>
      </c>
      <c r="AJ4727">
        <v>34.067466000000003</v>
      </c>
      <c r="AK4727" t="s">
        <v>1464</v>
      </c>
      <c r="AL4727">
        <v>-117.076364</v>
      </c>
      <c r="AM4727">
        <v>100</v>
      </c>
      <c r="AN4727">
        <v>3300</v>
      </c>
      <c r="AO4727" t="s">
        <v>118</v>
      </c>
      <c r="AP4727">
        <v>-101</v>
      </c>
      <c r="AQ4727">
        <v>-77</v>
      </c>
      <c r="AR4727">
        <v>-2496</v>
      </c>
      <c r="AZ4727">
        <v>1200</v>
      </c>
      <c r="BA4727">
        <v>1</v>
      </c>
      <c r="BB4727" t="str">
        <f t="shared" si="2647"/>
        <v xml:space="preserve">N9217B  </v>
      </c>
      <c r="BC4727">
        <v>1</v>
      </c>
      <c r="BE4727">
        <v>0</v>
      </c>
      <c r="BF4727">
        <v>0</v>
      </c>
      <c r="BG4727">
        <v>0</v>
      </c>
      <c r="BH4727">
        <v>3000</v>
      </c>
      <c r="BI4727">
        <v>1</v>
      </c>
      <c r="BJ4727">
        <v>0</v>
      </c>
      <c r="BK4727">
        <v>0</v>
      </c>
      <c r="BL4727">
        <v>0</v>
      </c>
      <c r="BO4727">
        <v>0</v>
      </c>
      <c r="BP4727">
        <v>0</v>
      </c>
      <c r="BW4727" t="str">
        <f t="shared" si="2679"/>
        <v>15:01:00.043</v>
      </c>
      <c r="CJ4727">
        <v>0</v>
      </c>
      <c r="CK4727">
        <v>2</v>
      </c>
      <c r="CL4727">
        <v>0</v>
      </c>
      <c r="CM4727">
        <v>2</v>
      </c>
      <c r="CN4727">
        <v>0</v>
      </c>
      <c r="CO4727">
        <v>6</v>
      </c>
      <c r="CP4727" t="s">
        <v>119</v>
      </c>
      <c r="CQ4727">
        <v>298</v>
      </c>
      <c r="CR4727">
        <v>0</v>
      </c>
      <c r="CW4727">
        <v>10487076</v>
      </c>
      <c r="CY4727">
        <v>0</v>
      </c>
      <c r="CZ4727">
        <v>0</v>
      </c>
      <c r="DA4727">
        <v>1</v>
      </c>
      <c r="DB4727">
        <v>0</v>
      </c>
      <c r="DC4727">
        <v>0</v>
      </c>
      <c r="DD4727">
        <v>0</v>
      </c>
      <c r="DE4727">
        <v>0</v>
      </c>
      <c r="DF4727">
        <v>0</v>
      </c>
      <c r="DG4727">
        <v>0</v>
      </c>
      <c r="DH4727">
        <v>0</v>
      </c>
      <c r="DI4727">
        <v>0</v>
      </c>
    </row>
    <row r="4728" spans="1:113" x14ac:dyDescent="0.25">
      <c r="A4728" t="str">
        <f t="shared" si="2676"/>
        <v>06/05/2020 15:00:54.368</v>
      </c>
      <c r="C4728" t="str">
        <f t="shared" si="2667"/>
        <v>FFDFD3C0</v>
      </c>
      <c r="D4728" t="s">
        <v>148</v>
      </c>
      <c r="E4728">
        <v>11</v>
      </c>
      <c r="H4728">
        <v>53</v>
      </c>
      <c r="I4728" t="s">
        <v>364</v>
      </c>
      <c r="J4728" t="s">
        <v>150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 t="shared" si="2677"/>
        <v>15:01:00.039</v>
      </c>
      <c r="T4728" t="str">
        <f t="shared" si="2678"/>
        <v>15:00:59.839</v>
      </c>
      <c r="U4728" t="str">
        <f t="shared" si="2642"/>
        <v>ACC530</v>
      </c>
      <c r="V4728">
        <v>0</v>
      </c>
      <c r="W4728">
        <v>0</v>
      </c>
      <c r="X4728">
        <v>1</v>
      </c>
      <c r="Z4728">
        <v>0</v>
      </c>
      <c r="AA4728">
        <v>9</v>
      </c>
      <c r="AB4728">
        <v>3</v>
      </c>
      <c r="AC4728">
        <v>0</v>
      </c>
      <c r="AD4728">
        <v>9</v>
      </c>
      <c r="AE4728">
        <v>0</v>
      </c>
      <c r="AF4728">
        <v>3</v>
      </c>
      <c r="AG4728">
        <v>1</v>
      </c>
      <c r="AH4728">
        <v>0</v>
      </c>
      <c r="AI4728" t="s">
        <v>1463</v>
      </c>
      <c r="AJ4728">
        <v>34.067466000000003</v>
      </c>
      <c r="AK4728" t="s">
        <v>1464</v>
      </c>
      <c r="AL4728">
        <v>-117.076364</v>
      </c>
      <c r="AM4728">
        <v>100</v>
      </c>
      <c r="AN4728">
        <v>3300</v>
      </c>
      <c r="AO4728" t="s">
        <v>118</v>
      </c>
      <c r="AP4728">
        <v>-101</v>
      </c>
      <c r="AQ4728">
        <v>-77</v>
      </c>
      <c r="AR4728">
        <v>-2496</v>
      </c>
      <c r="AZ4728">
        <v>1200</v>
      </c>
      <c r="BA4728">
        <v>1</v>
      </c>
      <c r="BB4728" t="str">
        <f t="shared" si="2647"/>
        <v xml:space="preserve">N9217B  </v>
      </c>
      <c r="BC4728">
        <v>1</v>
      </c>
      <c r="BE4728">
        <v>0</v>
      </c>
      <c r="BF4728">
        <v>0</v>
      </c>
      <c r="BG4728">
        <v>0</v>
      </c>
      <c r="BH4728">
        <v>3000</v>
      </c>
      <c r="BI4728">
        <v>1</v>
      </c>
      <c r="BJ4728">
        <v>0</v>
      </c>
      <c r="BK4728">
        <v>0</v>
      </c>
      <c r="BL4728">
        <v>0</v>
      </c>
      <c r="BO4728">
        <v>0</v>
      </c>
      <c r="BP4728">
        <v>0</v>
      </c>
      <c r="BW4728" t="str">
        <f t="shared" si="2679"/>
        <v>15:01:00.043</v>
      </c>
      <c r="CJ4728">
        <v>0</v>
      </c>
      <c r="CK4728">
        <v>2</v>
      </c>
      <c r="CL4728">
        <v>0</v>
      </c>
      <c r="CM4728">
        <v>2</v>
      </c>
      <c r="CN4728">
        <v>0</v>
      </c>
      <c r="CO4728">
        <v>6</v>
      </c>
      <c r="CP4728" t="s">
        <v>119</v>
      </c>
      <c r="CQ4728">
        <v>298</v>
      </c>
      <c r="CR4728">
        <v>0</v>
      </c>
      <c r="CW4728">
        <v>10487076</v>
      </c>
      <c r="CY4728">
        <v>0</v>
      </c>
      <c r="CZ4728">
        <v>0</v>
      </c>
      <c r="DA4728">
        <v>1</v>
      </c>
      <c r="DB4728">
        <v>0</v>
      </c>
      <c r="DC4728">
        <v>0</v>
      </c>
      <c r="DD4728">
        <v>0</v>
      </c>
      <c r="DE4728">
        <v>0</v>
      </c>
      <c r="DF4728">
        <v>0</v>
      </c>
      <c r="DG4728">
        <v>0</v>
      </c>
      <c r="DH4728">
        <v>0</v>
      </c>
      <c r="DI4728">
        <v>0</v>
      </c>
    </row>
    <row r="4729" spans="1:113" x14ac:dyDescent="0.25">
      <c r="A4729" t="str">
        <f t="shared" ref="A4729:A4734" si="2680">"06/05/2020 15:00:55.829"</f>
        <v>06/05/2020 15:00:55.829</v>
      </c>
      <c r="C4729" t="str">
        <f t="shared" si="2667"/>
        <v>FFDFD3C0</v>
      </c>
      <c r="D4729" t="s">
        <v>141</v>
      </c>
      <c r="E4729">
        <v>20</v>
      </c>
      <c r="F4729">
        <v>1020</v>
      </c>
      <c r="G4729" t="s">
        <v>114</v>
      </c>
      <c r="J4729" t="s">
        <v>142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 t="shared" ref="S4729:T4734" si="2681">"15:01:01.477"</f>
        <v>15:01:01.477</v>
      </c>
      <c r="T4729" t="str">
        <f t="shared" si="2681"/>
        <v>15:01:01.477</v>
      </c>
      <c r="U4729" t="str">
        <f t="shared" si="2642"/>
        <v>ACC530</v>
      </c>
      <c r="V4729">
        <v>0</v>
      </c>
      <c r="W4729">
        <v>0</v>
      </c>
      <c r="X4729">
        <v>1</v>
      </c>
      <c r="Z4729">
        <v>0</v>
      </c>
      <c r="AA4729">
        <v>9</v>
      </c>
      <c r="AB4729">
        <v>3</v>
      </c>
      <c r="AC4729">
        <v>0</v>
      </c>
      <c r="AD4729">
        <v>9</v>
      </c>
      <c r="AE4729">
        <v>0</v>
      </c>
      <c r="AF4729">
        <v>3</v>
      </c>
      <c r="AG4729">
        <v>1</v>
      </c>
      <c r="AH4729">
        <v>0</v>
      </c>
      <c r="AI4729" t="s">
        <v>1465</v>
      </c>
      <c r="AJ4729">
        <v>34.066972999999997</v>
      </c>
      <c r="AK4729" t="s">
        <v>1466</v>
      </c>
      <c r="AL4729">
        <v>-117.07711500000001</v>
      </c>
      <c r="AM4729">
        <v>100</v>
      </c>
      <c r="AN4729">
        <v>3200</v>
      </c>
      <c r="AO4729" t="s">
        <v>118</v>
      </c>
      <c r="AP4729">
        <v>-100</v>
      </c>
      <c r="AQ4729">
        <v>-79</v>
      </c>
      <c r="AR4729">
        <v>-2496</v>
      </c>
      <c r="AZ4729">
        <v>1200</v>
      </c>
      <c r="BA4729">
        <v>1</v>
      </c>
      <c r="BB4729" t="str">
        <f t="shared" si="2647"/>
        <v xml:space="preserve">N9217B  </v>
      </c>
      <c r="BC4729">
        <v>1</v>
      </c>
      <c r="BE4729">
        <v>0</v>
      </c>
      <c r="BF4729">
        <v>0</v>
      </c>
      <c r="BG4729">
        <v>0</v>
      </c>
      <c r="BH4729">
        <v>2925</v>
      </c>
      <c r="BI4729">
        <v>1</v>
      </c>
      <c r="BJ4729">
        <v>0</v>
      </c>
      <c r="BK4729">
        <v>0</v>
      </c>
      <c r="BL4729">
        <v>0</v>
      </c>
      <c r="BO4729">
        <v>0</v>
      </c>
      <c r="BP4729">
        <v>0</v>
      </c>
      <c r="BW4729" t="str">
        <f t="shared" ref="BW4729:BW4734" si="2682">"15:01:01.482"</f>
        <v>15:01:01.482</v>
      </c>
      <c r="CJ4729">
        <v>0</v>
      </c>
      <c r="CK4729">
        <v>2</v>
      </c>
      <c r="CL4729">
        <v>0</v>
      </c>
      <c r="CM4729">
        <v>2</v>
      </c>
      <c r="CN4729">
        <v>0</v>
      </c>
      <c r="CO4729">
        <v>6</v>
      </c>
      <c r="CP4729" t="s">
        <v>119</v>
      </c>
      <c r="CQ4729">
        <v>298</v>
      </c>
      <c r="CR4729">
        <v>0</v>
      </c>
      <c r="CW4729">
        <v>10487283</v>
      </c>
      <c r="CY4729">
        <v>0</v>
      </c>
      <c r="CZ4729">
        <v>0</v>
      </c>
      <c r="DA4729">
        <v>0</v>
      </c>
      <c r="DB4729">
        <v>0</v>
      </c>
      <c r="DC4729">
        <v>0</v>
      </c>
      <c r="DD4729">
        <v>0</v>
      </c>
      <c r="DE4729">
        <v>0</v>
      </c>
      <c r="DF4729">
        <v>0</v>
      </c>
      <c r="DG4729">
        <v>0</v>
      </c>
      <c r="DH4729">
        <v>0</v>
      </c>
      <c r="DI4729">
        <v>0</v>
      </c>
    </row>
    <row r="4730" spans="1:113" x14ac:dyDescent="0.25">
      <c r="A4730" t="str">
        <f t="shared" si="2680"/>
        <v>06/05/2020 15:00:55.829</v>
      </c>
      <c r="C4730" t="str">
        <f t="shared" si="2667"/>
        <v>FFDFD3C0</v>
      </c>
      <c r="D4730" t="s">
        <v>151</v>
      </c>
      <c r="E4730">
        <v>8</v>
      </c>
      <c r="H4730">
        <v>225</v>
      </c>
      <c r="I4730" t="s">
        <v>353</v>
      </c>
      <c r="J4730" t="s">
        <v>150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 t="shared" si="2681"/>
        <v>15:01:01.477</v>
      </c>
      <c r="T4730" t="str">
        <f t="shared" si="2681"/>
        <v>15:01:01.477</v>
      </c>
      <c r="U4730" t="str">
        <f t="shared" si="2642"/>
        <v>ACC530</v>
      </c>
      <c r="V4730">
        <v>0</v>
      </c>
      <c r="W4730">
        <v>0</v>
      </c>
      <c r="X4730">
        <v>1</v>
      </c>
      <c r="Z4730">
        <v>0</v>
      </c>
      <c r="AA4730">
        <v>9</v>
      </c>
      <c r="AB4730">
        <v>3</v>
      </c>
      <c r="AC4730">
        <v>0</v>
      </c>
      <c r="AD4730">
        <v>9</v>
      </c>
      <c r="AE4730">
        <v>0</v>
      </c>
      <c r="AF4730">
        <v>3</v>
      </c>
      <c r="AG4730">
        <v>1</v>
      </c>
      <c r="AH4730">
        <v>0</v>
      </c>
      <c r="AI4730" t="s">
        <v>1465</v>
      </c>
      <c r="AJ4730">
        <v>34.066972999999997</v>
      </c>
      <c r="AK4730" t="s">
        <v>1466</v>
      </c>
      <c r="AL4730">
        <v>-117.07711500000001</v>
      </c>
      <c r="AM4730">
        <v>100</v>
      </c>
      <c r="AN4730">
        <v>3200</v>
      </c>
      <c r="AO4730" t="s">
        <v>118</v>
      </c>
      <c r="AP4730">
        <v>-100</v>
      </c>
      <c r="AQ4730">
        <v>-79</v>
      </c>
      <c r="AR4730">
        <v>-2496</v>
      </c>
      <c r="AZ4730">
        <v>1200</v>
      </c>
      <c r="BA4730">
        <v>1</v>
      </c>
      <c r="BB4730" t="str">
        <f t="shared" si="2647"/>
        <v xml:space="preserve">N9217B  </v>
      </c>
      <c r="BC4730">
        <v>1</v>
      </c>
      <c r="BE4730">
        <v>0</v>
      </c>
      <c r="BF4730">
        <v>0</v>
      </c>
      <c r="BG4730">
        <v>0</v>
      </c>
      <c r="BH4730">
        <v>2925</v>
      </c>
      <c r="BI4730">
        <v>1</v>
      </c>
      <c r="BJ4730">
        <v>0</v>
      </c>
      <c r="BK4730">
        <v>0</v>
      </c>
      <c r="BL4730">
        <v>0</v>
      </c>
      <c r="BO4730">
        <v>0</v>
      </c>
      <c r="BP4730">
        <v>0</v>
      </c>
      <c r="BW4730" t="str">
        <f t="shared" si="2682"/>
        <v>15:01:01.482</v>
      </c>
      <c r="CJ4730">
        <v>0</v>
      </c>
      <c r="CK4730">
        <v>2</v>
      </c>
      <c r="CL4730">
        <v>0</v>
      </c>
      <c r="CM4730">
        <v>2</v>
      </c>
      <c r="CN4730">
        <v>0</v>
      </c>
      <c r="CO4730">
        <v>6</v>
      </c>
      <c r="CP4730" t="s">
        <v>119</v>
      </c>
      <c r="CQ4730">
        <v>298</v>
      </c>
      <c r="CR4730">
        <v>0</v>
      </c>
      <c r="CW4730">
        <v>10487283</v>
      </c>
      <c r="CY4730">
        <v>0</v>
      </c>
      <c r="CZ4730">
        <v>0</v>
      </c>
      <c r="DA4730">
        <v>1</v>
      </c>
      <c r="DB4730">
        <v>0</v>
      </c>
      <c r="DC4730">
        <v>0</v>
      </c>
      <c r="DD4730">
        <v>0</v>
      </c>
      <c r="DE4730">
        <v>0</v>
      </c>
      <c r="DF4730">
        <v>0</v>
      </c>
      <c r="DG4730">
        <v>0</v>
      </c>
      <c r="DH4730">
        <v>0</v>
      </c>
      <c r="DI4730">
        <v>0</v>
      </c>
    </row>
    <row r="4731" spans="1:113" x14ac:dyDescent="0.25">
      <c r="A4731" t="str">
        <f t="shared" si="2680"/>
        <v>06/05/2020 15:00:55.829</v>
      </c>
      <c r="C4731" t="str">
        <f t="shared" si="2667"/>
        <v>FFDFD3C0</v>
      </c>
      <c r="D4731" t="s">
        <v>134</v>
      </c>
      <c r="E4731">
        <v>7</v>
      </c>
      <c r="F4731">
        <v>2007</v>
      </c>
      <c r="G4731" t="s">
        <v>135</v>
      </c>
      <c r="J4731" t="s">
        <v>136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 t="shared" si="2681"/>
        <v>15:01:01.477</v>
      </c>
      <c r="T4731" t="str">
        <f t="shared" si="2681"/>
        <v>15:01:01.477</v>
      </c>
      <c r="U4731" t="str">
        <f t="shared" si="2642"/>
        <v>ACC530</v>
      </c>
      <c r="V4731">
        <v>0</v>
      </c>
      <c r="W4731">
        <v>0</v>
      </c>
      <c r="X4731">
        <v>1</v>
      </c>
      <c r="Z4731">
        <v>0</v>
      </c>
      <c r="AA4731">
        <v>9</v>
      </c>
      <c r="AB4731">
        <v>3</v>
      </c>
      <c r="AC4731">
        <v>0</v>
      </c>
      <c r="AD4731">
        <v>9</v>
      </c>
      <c r="AE4731">
        <v>0</v>
      </c>
      <c r="AF4731">
        <v>3</v>
      </c>
      <c r="AG4731">
        <v>1</v>
      </c>
      <c r="AH4731">
        <v>0</v>
      </c>
      <c r="AI4731" t="s">
        <v>1465</v>
      </c>
      <c r="AJ4731">
        <v>34.066972999999997</v>
      </c>
      <c r="AK4731" t="s">
        <v>1466</v>
      </c>
      <c r="AL4731">
        <v>-117.07711500000001</v>
      </c>
      <c r="AM4731">
        <v>100</v>
      </c>
      <c r="AN4731">
        <v>3200</v>
      </c>
      <c r="AO4731" t="s">
        <v>118</v>
      </c>
      <c r="AP4731">
        <v>-100</v>
      </c>
      <c r="AQ4731">
        <v>-79</v>
      </c>
      <c r="AR4731">
        <v>-2496</v>
      </c>
      <c r="AZ4731">
        <v>1200</v>
      </c>
      <c r="BA4731">
        <v>1</v>
      </c>
      <c r="BB4731" t="str">
        <f t="shared" si="2647"/>
        <v xml:space="preserve">N9217B  </v>
      </c>
      <c r="BC4731">
        <v>1</v>
      </c>
      <c r="BE4731">
        <v>0</v>
      </c>
      <c r="BF4731">
        <v>0</v>
      </c>
      <c r="BG4731">
        <v>0</v>
      </c>
      <c r="BH4731">
        <v>2925</v>
      </c>
      <c r="BI4731">
        <v>1</v>
      </c>
      <c r="BJ4731">
        <v>0</v>
      </c>
      <c r="BK4731">
        <v>0</v>
      </c>
      <c r="BL4731">
        <v>0</v>
      </c>
      <c r="BO4731">
        <v>0</v>
      </c>
      <c r="BP4731">
        <v>0</v>
      </c>
      <c r="BW4731" t="str">
        <f t="shared" si="2682"/>
        <v>15:01:01.482</v>
      </c>
      <c r="CJ4731">
        <v>0</v>
      </c>
      <c r="CK4731">
        <v>2</v>
      </c>
      <c r="CL4731">
        <v>0</v>
      </c>
      <c r="CM4731">
        <v>2</v>
      </c>
      <c r="CN4731">
        <v>0</v>
      </c>
      <c r="CO4731">
        <v>6</v>
      </c>
      <c r="CP4731" t="s">
        <v>119</v>
      </c>
      <c r="CQ4731">
        <v>298</v>
      </c>
      <c r="CR4731">
        <v>0</v>
      </c>
      <c r="CW4731">
        <v>10487283</v>
      </c>
      <c r="CY4731">
        <v>0</v>
      </c>
      <c r="CZ4731">
        <v>0</v>
      </c>
      <c r="DA4731">
        <v>1</v>
      </c>
      <c r="DB4731">
        <v>0</v>
      </c>
      <c r="DC4731">
        <v>0</v>
      </c>
      <c r="DD4731">
        <v>0</v>
      </c>
      <c r="DE4731">
        <v>0</v>
      </c>
      <c r="DF4731">
        <v>0</v>
      </c>
      <c r="DG4731">
        <v>0</v>
      </c>
      <c r="DH4731">
        <v>0</v>
      </c>
      <c r="DI4731">
        <v>0</v>
      </c>
    </row>
    <row r="4732" spans="1:113" x14ac:dyDescent="0.25">
      <c r="A4732" t="str">
        <f t="shared" si="2680"/>
        <v>06/05/2020 15:00:55.829</v>
      </c>
      <c r="C4732" t="str">
        <f t="shared" si="2667"/>
        <v>FFDFD3C0</v>
      </c>
      <c r="D4732" t="s">
        <v>113</v>
      </c>
      <c r="E4732">
        <v>3</v>
      </c>
      <c r="H4732">
        <v>166</v>
      </c>
      <c r="I4732" t="s">
        <v>114</v>
      </c>
      <c r="J4732" t="s">
        <v>115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 t="shared" si="2681"/>
        <v>15:01:01.477</v>
      </c>
      <c r="T4732" t="str">
        <f t="shared" si="2681"/>
        <v>15:01:01.477</v>
      </c>
      <c r="U4732" t="str">
        <f t="shared" si="2642"/>
        <v>ACC530</v>
      </c>
      <c r="V4732">
        <v>0</v>
      </c>
      <c r="W4732">
        <v>0</v>
      </c>
      <c r="X4732">
        <v>1</v>
      </c>
      <c r="Z4732">
        <v>0</v>
      </c>
      <c r="AA4732">
        <v>9</v>
      </c>
      <c r="AB4732">
        <v>3</v>
      </c>
      <c r="AC4732">
        <v>0</v>
      </c>
      <c r="AD4732">
        <v>9</v>
      </c>
      <c r="AE4732">
        <v>0</v>
      </c>
      <c r="AF4732">
        <v>3</v>
      </c>
      <c r="AG4732">
        <v>1</v>
      </c>
      <c r="AH4732">
        <v>0</v>
      </c>
      <c r="AI4732" t="s">
        <v>1465</v>
      </c>
      <c r="AJ4732">
        <v>34.066972999999997</v>
      </c>
      <c r="AK4732" t="s">
        <v>1466</v>
      </c>
      <c r="AL4732">
        <v>-117.07711500000001</v>
      </c>
      <c r="AM4732">
        <v>100</v>
      </c>
      <c r="AN4732">
        <v>3200</v>
      </c>
      <c r="AO4732" t="s">
        <v>118</v>
      </c>
      <c r="AP4732">
        <v>-100</v>
      </c>
      <c r="AQ4732">
        <v>-79</v>
      </c>
      <c r="AR4732">
        <v>-2496</v>
      </c>
      <c r="AZ4732">
        <v>1200</v>
      </c>
      <c r="BA4732">
        <v>1</v>
      </c>
      <c r="BB4732" t="str">
        <f t="shared" si="2647"/>
        <v xml:space="preserve">N9217B  </v>
      </c>
      <c r="BC4732">
        <v>1</v>
      </c>
      <c r="BE4732">
        <v>0</v>
      </c>
      <c r="BF4732">
        <v>0</v>
      </c>
      <c r="BG4732">
        <v>0</v>
      </c>
      <c r="BH4732">
        <v>2925</v>
      </c>
      <c r="BI4732">
        <v>1</v>
      </c>
      <c r="BJ4732">
        <v>0</v>
      </c>
      <c r="BK4732">
        <v>0</v>
      </c>
      <c r="BL4732">
        <v>0</v>
      </c>
      <c r="BO4732">
        <v>0</v>
      </c>
      <c r="BP4732">
        <v>0</v>
      </c>
      <c r="BW4732" t="str">
        <f t="shared" si="2682"/>
        <v>15:01:01.482</v>
      </c>
      <c r="CJ4732">
        <v>0</v>
      </c>
      <c r="CK4732">
        <v>2</v>
      </c>
      <c r="CL4732">
        <v>0</v>
      </c>
      <c r="CM4732">
        <v>2</v>
      </c>
      <c r="CN4732">
        <v>0</v>
      </c>
      <c r="CO4732">
        <v>6</v>
      </c>
      <c r="CP4732" t="s">
        <v>119</v>
      </c>
      <c r="CQ4732">
        <v>298</v>
      </c>
      <c r="CR4732">
        <v>0</v>
      </c>
      <c r="CW4732">
        <v>10487283</v>
      </c>
      <c r="CY4732">
        <v>0</v>
      </c>
      <c r="CZ4732">
        <v>0</v>
      </c>
      <c r="DA4732">
        <v>1</v>
      </c>
      <c r="DB4732">
        <v>0</v>
      </c>
      <c r="DC4732">
        <v>0</v>
      </c>
      <c r="DD4732">
        <v>0</v>
      </c>
      <c r="DE4732">
        <v>0</v>
      </c>
      <c r="DF4732">
        <v>0</v>
      </c>
      <c r="DG4732">
        <v>0</v>
      </c>
      <c r="DH4732">
        <v>0</v>
      </c>
      <c r="DI4732">
        <v>0</v>
      </c>
    </row>
    <row r="4733" spans="1:113" x14ac:dyDescent="0.25">
      <c r="A4733" t="str">
        <f t="shared" si="2680"/>
        <v>06/05/2020 15:00:55.829</v>
      </c>
      <c r="C4733" t="str">
        <f t="shared" si="2667"/>
        <v>FFDFD3C0</v>
      </c>
      <c r="D4733" t="s">
        <v>148</v>
      </c>
      <c r="E4733">
        <v>8</v>
      </c>
      <c r="H4733">
        <v>50</v>
      </c>
      <c r="I4733" t="s">
        <v>149</v>
      </c>
      <c r="J4733" t="s">
        <v>150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 t="shared" si="2681"/>
        <v>15:01:01.477</v>
      </c>
      <c r="T4733" t="str">
        <f t="shared" si="2681"/>
        <v>15:01:01.477</v>
      </c>
      <c r="U4733" t="str">
        <f t="shared" si="2642"/>
        <v>ACC530</v>
      </c>
      <c r="V4733">
        <v>0</v>
      </c>
      <c r="W4733">
        <v>0</v>
      </c>
      <c r="X4733">
        <v>1</v>
      </c>
      <c r="Z4733">
        <v>0</v>
      </c>
      <c r="AA4733">
        <v>9</v>
      </c>
      <c r="AB4733">
        <v>3</v>
      </c>
      <c r="AC4733">
        <v>0</v>
      </c>
      <c r="AD4733">
        <v>9</v>
      </c>
      <c r="AE4733">
        <v>0</v>
      </c>
      <c r="AF4733">
        <v>3</v>
      </c>
      <c r="AG4733">
        <v>1</v>
      </c>
      <c r="AH4733">
        <v>0</v>
      </c>
      <c r="AI4733" t="s">
        <v>1465</v>
      </c>
      <c r="AJ4733">
        <v>34.066972999999997</v>
      </c>
      <c r="AK4733" t="s">
        <v>1466</v>
      </c>
      <c r="AL4733">
        <v>-117.07711500000001</v>
      </c>
      <c r="AM4733">
        <v>100</v>
      </c>
      <c r="AN4733">
        <v>3200</v>
      </c>
      <c r="AO4733" t="s">
        <v>118</v>
      </c>
      <c r="AP4733">
        <v>-100</v>
      </c>
      <c r="AQ4733">
        <v>-79</v>
      </c>
      <c r="AR4733">
        <v>-2496</v>
      </c>
      <c r="AZ4733">
        <v>1200</v>
      </c>
      <c r="BA4733">
        <v>1</v>
      </c>
      <c r="BB4733" t="str">
        <f t="shared" si="2647"/>
        <v xml:space="preserve">N9217B  </v>
      </c>
      <c r="BC4733">
        <v>1</v>
      </c>
      <c r="BE4733">
        <v>0</v>
      </c>
      <c r="BF4733">
        <v>0</v>
      </c>
      <c r="BG4733">
        <v>0</v>
      </c>
      <c r="BH4733">
        <v>2925</v>
      </c>
      <c r="BI4733">
        <v>1</v>
      </c>
      <c r="BJ4733">
        <v>0</v>
      </c>
      <c r="BK4733">
        <v>0</v>
      </c>
      <c r="BL4733">
        <v>0</v>
      </c>
      <c r="BO4733">
        <v>0</v>
      </c>
      <c r="BP4733">
        <v>0</v>
      </c>
      <c r="BW4733" t="str">
        <f t="shared" si="2682"/>
        <v>15:01:01.482</v>
      </c>
      <c r="CJ4733">
        <v>0</v>
      </c>
      <c r="CK4733">
        <v>2</v>
      </c>
      <c r="CL4733">
        <v>0</v>
      </c>
      <c r="CM4733">
        <v>2</v>
      </c>
      <c r="CN4733">
        <v>0</v>
      </c>
      <c r="CO4733">
        <v>6</v>
      </c>
      <c r="CP4733" t="s">
        <v>119</v>
      </c>
      <c r="CQ4733">
        <v>298</v>
      </c>
      <c r="CR4733">
        <v>0</v>
      </c>
      <c r="CW4733">
        <v>10487283</v>
      </c>
      <c r="CY4733">
        <v>0</v>
      </c>
      <c r="CZ4733">
        <v>0</v>
      </c>
      <c r="DA4733">
        <v>1</v>
      </c>
      <c r="DB4733">
        <v>0</v>
      </c>
      <c r="DC4733">
        <v>0</v>
      </c>
      <c r="DD4733">
        <v>0</v>
      </c>
      <c r="DE4733">
        <v>0</v>
      </c>
      <c r="DF4733">
        <v>0</v>
      </c>
      <c r="DG4733">
        <v>0</v>
      </c>
      <c r="DH4733">
        <v>0</v>
      </c>
      <c r="DI4733">
        <v>0</v>
      </c>
    </row>
    <row r="4734" spans="1:113" x14ac:dyDescent="0.25">
      <c r="A4734" t="str">
        <f t="shared" si="2680"/>
        <v>06/05/2020 15:00:55.829</v>
      </c>
      <c r="C4734" t="str">
        <f t="shared" si="2667"/>
        <v>FFDFD3C0</v>
      </c>
      <c r="D4734" t="s">
        <v>148</v>
      </c>
      <c r="E4734">
        <v>11</v>
      </c>
      <c r="H4734">
        <v>53</v>
      </c>
      <c r="I4734" t="s">
        <v>364</v>
      </c>
      <c r="J4734" t="s">
        <v>150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 t="shared" si="2681"/>
        <v>15:01:01.477</v>
      </c>
      <c r="T4734" t="str">
        <f t="shared" si="2681"/>
        <v>15:01:01.477</v>
      </c>
      <c r="U4734" t="str">
        <f t="shared" si="2642"/>
        <v>ACC530</v>
      </c>
      <c r="V4734">
        <v>0</v>
      </c>
      <c r="W4734">
        <v>0</v>
      </c>
      <c r="X4734">
        <v>1</v>
      </c>
      <c r="Z4734">
        <v>0</v>
      </c>
      <c r="AA4734">
        <v>9</v>
      </c>
      <c r="AB4734">
        <v>3</v>
      </c>
      <c r="AC4734">
        <v>0</v>
      </c>
      <c r="AD4734">
        <v>9</v>
      </c>
      <c r="AE4734">
        <v>0</v>
      </c>
      <c r="AF4734">
        <v>3</v>
      </c>
      <c r="AG4734">
        <v>1</v>
      </c>
      <c r="AH4734">
        <v>0</v>
      </c>
      <c r="AI4734" t="s">
        <v>1465</v>
      </c>
      <c r="AJ4734">
        <v>34.066972999999997</v>
      </c>
      <c r="AK4734" t="s">
        <v>1466</v>
      </c>
      <c r="AL4734">
        <v>-117.07711500000001</v>
      </c>
      <c r="AM4734">
        <v>100</v>
      </c>
      <c r="AN4734">
        <v>3200</v>
      </c>
      <c r="AO4734" t="s">
        <v>118</v>
      </c>
      <c r="AP4734">
        <v>-100</v>
      </c>
      <c r="AQ4734">
        <v>-79</v>
      </c>
      <c r="AR4734">
        <v>-2496</v>
      </c>
      <c r="AZ4734">
        <v>1200</v>
      </c>
      <c r="BA4734">
        <v>1</v>
      </c>
      <c r="BB4734" t="str">
        <f t="shared" si="2647"/>
        <v xml:space="preserve">N9217B  </v>
      </c>
      <c r="BC4734">
        <v>1</v>
      </c>
      <c r="BE4734">
        <v>0</v>
      </c>
      <c r="BF4734">
        <v>0</v>
      </c>
      <c r="BG4734">
        <v>0</v>
      </c>
      <c r="BH4734">
        <v>2925</v>
      </c>
      <c r="BI4734">
        <v>1</v>
      </c>
      <c r="BJ4734">
        <v>0</v>
      </c>
      <c r="BK4734">
        <v>0</v>
      </c>
      <c r="BL4734">
        <v>0</v>
      </c>
      <c r="BO4734">
        <v>0</v>
      </c>
      <c r="BP4734">
        <v>0</v>
      </c>
      <c r="BW4734" t="str">
        <f t="shared" si="2682"/>
        <v>15:01:01.482</v>
      </c>
      <c r="CJ4734">
        <v>0</v>
      </c>
      <c r="CK4734">
        <v>2</v>
      </c>
      <c r="CL4734">
        <v>0</v>
      </c>
      <c r="CM4734">
        <v>2</v>
      </c>
      <c r="CN4734">
        <v>0</v>
      </c>
      <c r="CO4734">
        <v>6</v>
      </c>
      <c r="CP4734" t="s">
        <v>119</v>
      </c>
      <c r="CQ4734">
        <v>298</v>
      </c>
      <c r="CR4734">
        <v>0</v>
      </c>
      <c r="CW4734">
        <v>10487283</v>
      </c>
      <c r="CY4734">
        <v>0</v>
      </c>
      <c r="CZ4734">
        <v>0</v>
      </c>
      <c r="DA4734">
        <v>1</v>
      </c>
      <c r="DB4734">
        <v>0</v>
      </c>
      <c r="DC4734">
        <v>0</v>
      </c>
      <c r="DD4734">
        <v>0</v>
      </c>
      <c r="DE4734">
        <v>0</v>
      </c>
      <c r="DF4734">
        <v>0</v>
      </c>
      <c r="DG4734">
        <v>0</v>
      </c>
      <c r="DH4734">
        <v>0</v>
      </c>
      <c r="DI4734">
        <v>0</v>
      </c>
    </row>
    <row r="4735" spans="1:113" x14ac:dyDescent="0.25">
      <c r="A4735" t="str">
        <f t="shared" ref="A4735:A4740" si="2683">"06/05/2020 15:00:56.853"</f>
        <v>06/05/2020 15:00:56.853</v>
      </c>
      <c r="C4735" t="str">
        <f t="shared" si="2667"/>
        <v>FFDFD3C0</v>
      </c>
      <c r="D4735" t="s">
        <v>151</v>
      </c>
      <c r="E4735">
        <v>8</v>
      </c>
      <c r="H4735">
        <v>225</v>
      </c>
      <c r="I4735" t="s">
        <v>353</v>
      </c>
      <c r="J4735" t="s">
        <v>150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 t="shared" ref="S4735:T4740" si="2684">"15:01:02.484"</f>
        <v>15:01:02.484</v>
      </c>
      <c r="T4735" t="str">
        <f t="shared" si="2684"/>
        <v>15:01:02.484</v>
      </c>
      <c r="U4735" t="str">
        <f t="shared" si="2642"/>
        <v>ACC530</v>
      </c>
      <c r="V4735">
        <v>0</v>
      </c>
      <c r="W4735">
        <v>0</v>
      </c>
      <c r="X4735">
        <v>1</v>
      </c>
      <c r="Z4735">
        <v>0</v>
      </c>
      <c r="AA4735">
        <v>9</v>
      </c>
      <c r="AB4735">
        <v>3</v>
      </c>
      <c r="AC4735">
        <v>0</v>
      </c>
      <c r="AD4735">
        <v>9</v>
      </c>
      <c r="AE4735">
        <v>0</v>
      </c>
      <c r="AF4735">
        <v>3</v>
      </c>
      <c r="AG4735">
        <v>1</v>
      </c>
      <c r="AH4735">
        <v>0</v>
      </c>
      <c r="AI4735" t="s">
        <v>1467</v>
      </c>
      <c r="AJ4735">
        <v>34.066586000000001</v>
      </c>
      <c r="AK4735" t="s">
        <v>1468</v>
      </c>
      <c r="AL4735">
        <v>-117.077715</v>
      </c>
      <c r="AM4735">
        <v>100</v>
      </c>
      <c r="AN4735">
        <v>3200</v>
      </c>
      <c r="AO4735" t="s">
        <v>118</v>
      </c>
      <c r="AP4735">
        <v>-99</v>
      </c>
      <c r="AQ4735">
        <v>-81</v>
      </c>
      <c r="AR4735">
        <v>-2624</v>
      </c>
      <c r="AZ4735">
        <v>1200</v>
      </c>
      <c r="BA4735">
        <v>1</v>
      </c>
      <c r="BB4735" t="str">
        <f t="shared" si="2647"/>
        <v xml:space="preserve">N9217B  </v>
      </c>
      <c r="BC4735">
        <v>1</v>
      </c>
      <c r="BE4735">
        <v>0</v>
      </c>
      <c r="BF4735">
        <v>0</v>
      </c>
      <c r="BG4735">
        <v>0</v>
      </c>
      <c r="BH4735">
        <v>2900</v>
      </c>
      <c r="BI4735">
        <v>1</v>
      </c>
      <c r="BJ4735">
        <v>0</v>
      </c>
      <c r="BK4735">
        <v>0</v>
      </c>
      <c r="BL4735">
        <v>0</v>
      </c>
      <c r="BO4735">
        <v>0</v>
      </c>
      <c r="BP4735">
        <v>0</v>
      </c>
      <c r="BW4735" t="str">
        <f t="shared" ref="BW4735:BW4740" si="2685">"15:01:02.487"</f>
        <v>15:01:02.487</v>
      </c>
      <c r="CJ4735">
        <v>0</v>
      </c>
      <c r="CK4735">
        <v>2</v>
      </c>
      <c r="CL4735">
        <v>0</v>
      </c>
      <c r="CM4735">
        <v>2</v>
      </c>
      <c r="CN4735">
        <v>0</v>
      </c>
      <c r="CO4735">
        <v>6</v>
      </c>
      <c r="CP4735" t="s">
        <v>119</v>
      </c>
      <c r="CQ4735">
        <v>298</v>
      </c>
      <c r="CR4735">
        <v>0</v>
      </c>
      <c r="CW4735">
        <v>10487423</v>
      </c>
      <c r="CY4735">
        <v>0</v>
      </c>
      <c r="CZ4735">
        <v>0</v>
      </c>
      <c r="DA4735">
        <v>0</v>
      </c>
      <c r="DB4735">
        <v>0</v>
      </c>
      <c r="DC4735">
        <v>0</v>
      </c>
      <c r="DD4735">
        <v>0</v>
      </c>
      <c r="DE4735">
        <v>0</v>
      </c>
      <c r="DF4735">
        <v>0</v>
      </c>
      <c r="DG4735">
        <v>0</v>
      </c>
      <c r="DH4735">
        <v>0</v>
      </c>
      <c r="DI4735">
        <v>0</v>
      </c>
    </row>
    <row r="4736" spans="1:113" x14ac:dyDescent="0.25">
      <c r="A4736" t="str">
        <f t="shared" si="2683"/>
        <v>06/05/2020 15:00:56.853</v>
      </c>
      <c r="C4736" t="str">
        <f t="shared" si="2667"/>
        <v>FFDFD3C0</v>
      </c>
      <c r="D4736" t="s">
        <v>134</v>
      </c>
      <c r="E4736">
        <v>7</v>
      </c>
      <c r="F4736">
        <v>2007</v>
      </c>
      <c r="G4736" t="s">
        <v>135</v>
      </c>
      <c r="J4736" t="s">
        <v>136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 t="shared" si="2684"/>
        <v>15:01:02.484</v>
      </c>
      <c r="T4736" t="str">
        <f t="shared" si="2684"/>
        <v>15:01:02.484</v>
      </c>
      <c r="U4736" t="str">
        <f t="shared" si="2642"/>
        <v>ACC530</v>
      </c>
      <c r="V4736">
        <v>0</v>
      </c>
      <c r="W4736">
        <v>0</v>
      </c>
      <c r="X4736">
        <v>1</v>
      </c>
      <c r="Z4736">
        <v>0</v>
      </c>
      <c r="AA4736">
        <v>9</v>
      </c>
      <c r="AB4736">
        <v>3</v>
      </c>
      <c r="AC4736">
        <v>0</v>
      </c>
      <c r="AD4736">
        <v>9</v>
      </c>
      <c r="AE4736">
        <v>0</v>
      </c>
      <c r="AF4736">
        <v>3</v>
      </c>
      <c r="AG4736">
        <v>1</v>
      </c>
      <c r="AH4736">
        <v>0</v>
      </c>
      <c r="AI4736" t="s">
        <v>1467</v>
      </c>
      <c r="AJ4736">
        <v>34.066586000000001</v>
      </c>
      <c r="AK4736" t="s">
        <v>1468</v>
      </c>
      <c r="AL4736">
        <v>-117.077715</v>
      </c>
      <c r="AM4736">
        <v>100</v>
      </c>
      <c r="AN4736">
        <v>3200</v>
      </c>
      <c r="AO4736" t="s">
        <v>118</v>
      </c>
      <c r="AP4736">
        <v>-99</v>
      </c>
      <c r="AQ4736">
        <v>-81</v>
      </c>
      <c r="AR4736">
        <v>-2624</v>
      </c>
      <c r="AZ4736">
        <v>1200</v>
      </c>
      <c r="BA4736">
        <v>1</v>
      </c>
      <c r="BB4736" t="str">
        <f t="shared" si="2647"/>
        <v xml:space="preserve">N9217B  </v>
      </c>
      <c r="BC4736">
        <v>1</v>
      </c>
      <c r="BE4736">
        <v>0</v>
      </c>
      <c r="BF4736">
        <v>0</v>
      </c>
      <c r="BG4736">
        <v>0</v>
      </c>
      <c r="BH4736">
        <v>2900</v>
      </c>
      <c r="BI4736">
        <v>1</v>
      </c>
      <c r="BJ4736">
        <v>0</v>
      </c>
      <c r="BK4736">
        <v>0</v>
      </c>
      <c r="BL4736">
        <v>0</v>
      </c>
      <c r="BO4736">
        <v>0</v>
      </c>
      <c r="BP4736">
        <v>0</v>
      </c>
      <c r="BW4736" t="str">
        <f t="shared" si="2685"/>
        <v>15:01:02.487</v>
      </c>
      <c r="CJ4736">
        <v>0</v>
      </c>
      <c r="CK4736">
        <v>2</v>
      </c>
      <c r="CL4736">
        <v>0</v>
      </c>
      <c r="CM4736">
        <v>2</v>
      </c>
      <c r="CN4736">
        <v>0</v>
      </c>
      <c r="CO4736">
        <v>6</v>
      </c>
      <c r="CP4736" t="s">
        <v>119</v>
      </c>
      <c r="CQ4736">
        <v>298</v>
      </c>
      <c r="CR4736">
        <v>0</v>
      </c>
      <c r="CW4736">
        <v>10487423</v>
      </c>
      <c r="CY4736">
        <v>0</v>
      </c>
      <c r="CZ4736">
        <v>0</v>
      </c>
      <c r="DA4736">
        <v>1</v>
      </c>
      <c r="DB4736">
        <v>0</v>
      </c>
      <c r="DC4736">
        <v>0</v>
      </c>
      <c r="DD4736">
        <v>0</v>
      </c>
      <c r="DE4736">
        <v>0</v>
      </c>
      <c r="DF4736">
        <v>0</v>
      </c>
      <c r="DG4736">
        <v>0</v>
      </c>
      <c r="DH4736">
        <v>0</v>
      </c>
      <c r="DI4736">
        <v>0</v>
      </c>
    </row>
    <row r="4737" spans="1:113" x14ac:dyDescent="0.25">
      <c r="A4737" t="str">
        <f t="shared" si="2683"/>
        <v>06/05/2020 15:00:56.853</v>
      </c>
      <c r="C4737" t="str">
        <f t="shared" si="2667"/>
        <v>FFDFD3C0</v>
      </c>
      <c r="D4737" t="s">
        <v>113</v>
      </c>
      <c r="E4737">
        <v>3</v>
      </c>
      <c r="H4737">
        <v>166</v>
      </c>
      <c r="I4737" t="s">
        <v>114</v>
      </c>
      <c r="J4737" t="s">
        <v>115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 t="shared" si="2684"/>
        <v>15:01:02.484</v>
      </c>
      <c r="T4737" t="str">
        <f t="shared" si="2684"/>
        <v>15:01:02.484</v>
      </c>
      <c r="U4737" t="str">
        <f t="shared" si="2642"/>
        <v>ACC530</v>
      </c>
      <c r="V4737">
        <v>0</v>
      </c>
      <c r="W4737">
        <v>0</v>
      </c>
      <c r="X4737">
        <v>1</v>
      </c>
      <c r="Z4737">
        <v>0</v>
      </c>
      <c r="AA4737">
        <v>9</v>
      </c>
      <c r="AB4737">
        <v>3</v>
      </c>
      <c r="AC4737">
        <v>0</v>
      </c>
      <c r="AD4737">
        <v>9</v>
      </c>
      <c r="AE4737">
        <v>0</v>
      </c>
      <c r="AF4737">
        <v>3</v>
      </c>
      <c r="AG4737">
        <v>1</v>
      </c>
      <c r="AH4737">
        <v>0</v>
      </c>
      <c r="AI4737" t="s">
        <v>1467</v>
      </c>
      <c r="AJ4737">
        <v>34.066586000000001</v>
      </c>
      <c r="AK4737" t="s">
        <v>1468</v>
      </c>
      <c r="AL4737">
        <v>-117.077715</v>
      </c>
      <c r="AM4737">
        <v>100</v>
      </c>
      <c r="AN4737">
        <v>3200</v>
      </c>
      <c r="AO4737" t="s">
        <v>118</v>
      </c>
      <c r="AP4737">
        <v>-99</v>
      </c>
      <c r="AQ4737">
        <v>-81</v>
      </c>
      <c r="AR4737">
        <v>-2624</v>
      </c>
      <c r="AZ4737">
        <v>1200</v>
      </c>
      <c r="BA4737">
        <v>1</v>
      </c>
      <c r="BB4737" t="str">
        <f t="shared" si="2647"/>
        <v xml:space="preserve">N9217B  </v>
      </c>
      <c r="BC4737">
        <v>1</v>
      </c>
      <c r="BE4737">
        <v>0</v>
      </c>
      <c r="BF4737">
        <v>0</v>
      </c>
      <c r="BG4737">
        <v>0</v>
      </c>
      <c r="BH4737">
        <v>2900</v>
      </c>
      <c r="BI4737">
        <v>1</v>
      </c>
      <c r="BJ4737">
        <v>0</v>
      </c>
      <c r="BK4737">
        <v>0</v>
      </c>
      <c r="BL4737">
        <v>0</v>
      </c>
      <c r="BO4737">
        <v>0</v>
      </c>
      <c r="BP4737">
        <v>0</v>
      </c>
      <c r="BW4737" t="str">
        <f t="shared" si="2685"/>
        <v>15:01:02.487</v>
      </c>
      <c r="CJ4737">
        <v>0</v>
      </c>
      <c r="CK4737">
        <v>2</v>
      </c>
      <c r="CL4737">
        <v>0</v>
      </c>
      <c r="CM4737">
        <v>2</v>
      </c>
      <c r="CN4737">
        <v>0</v>
      </c>
      <c r="CO4737">
        <v>6</v>
      </c>
      <c r="CP4737" t="s">
        <v>119</v>
      </c>
      <c r="CQ4737">
        <v>298</v>
      </c>
      <c r="CR4737">
        <v>0</v>
      </c>
      <c r="CW4737">
        <v>10487423</v>
      </c>
      <c r="CY4737">
        <v>0</v>
      </c>
      <c r="CZ4737">
        <v>0</v>
      </c>
      <c r="DA4737">
        <v>1</v>
      </c>
      <c r="DB4737">
        <v>0</v>
      </c>
      <c r="DC4737">
        <v>0</v>
      </c>
      <c r="DD4737">
        <v>0</v>
      </c>
      <c r="DE4737">
        <v>0</v>
      </c>
      <c r="DF4737">
        <v>0</v>
      </c>
      <c r="DG4737">
        <v>0</v>
      </c>
      <c r="DH4737">
        <v>0</v>
      </c>
      <c r="DI4737">
        <v>0</v>
      </c>
    </row>
    <row r="4738" spans="1:113" x14ac:dyDescent="0.25">
      <c r="A4738" t="str">
        <f t="shared" si="2683"/>
        <v>06/05/2020 15:00:56.853</v>
      </c>
      <c r="C4738" t="str">
        <f t="shared" si="2667"/>
        <v>FFDFD3C0</v>
      </c>
      <c r="D4738" t="s">
        <v>148</v>
      </c>
      <c r="E4738">
        <v>8</v>
      </c>
      <c r="H4738">
        <v>50</v>
      </c>
      <c r="I4738" t="s">
        <v>149</v>
      </c>
      <c r="J4738" t="s">
        <v>150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 t="shared" si="2684"/>
        <v>15:01:02.484</v>
      </c>
      <c r="T4738" t="str">
        <f t="shared" si="2684"/>
        <v>15:01:02.484</v>
      </c>
      <c r="U4738" t="str">
        <f t="shared" ref="U4738:U4753" si="2686">"ACC530"</f>
        <v>ACC530</v>
      </c>
      <c r="V4738">
        <v>0</v>
      </c>
      <c r="W4738">
        <v>0</v>
      </c>
      <c r="X4738">
        <v>1</v>
      </c>
      <c r="Z4738">
        <v>0</v>
      </c>
      <c r="AA4738">
        <v>9</v>
      </c>
      <c r="AB4738">
        <v>3</v>
      </c>
      <c r="AC4738">
        <v>0</v>
      </c>
      <c r="AD4738">
        <v>9</v>
      </c>
      <c r="AE4738">
        <v>0</v>
      </c>
      <c r="AF4738">
        <v>3</v>
      </c>
      <c r="AG4738">
        <v>1</v>
      </c>
      <c r="AH4738">
        <v>0</v>
      </c>
      <c r="AI4738" t="s">
        <v>1467</v>
      </c>
      <c r="AJ4738">
        <v>34.066586000000001</v>
      </c>
      <c r="AK4738" t="s">
        <v>1468</v>
      </c>
      <c r="AL4738">
        <v>-117.077715</v>
      </c>
      <c r="AM4738">
        <v>100</v>
      </c>
      <c r="AN4738">
        <v>3200</v>
      </c>
      <c r="AO4738" t="s">
        <v>118</v>
      </c>
      <c r="AP4738">
        <v>-99</v>
      </c>
      <c r="AQ4738">
        <v>-81</v>
      </c>
      <c r="AR4738">
        <v>-2624</v>
      </c>
      <c r="AZ4738">
        <v>1200</v>
      </c>
      <c r="BA4738">
        <v>1</v>
      </c>
      <c r="BB4738" t="str">
        <f t="shared" si="2647"/>
        <v xml:space="preserve">N9217B  </v>
      </c>
      <c r="BC4738">
        <v>1</v>
      </c>
      <c r="BE4738">
        <v>0</v>
      </c>
      <c r="BF4738">
        <v>0</v>
      </c>
      <c r="BG4738">
        <v>0</v>
      </c>
      <c r="BH4738">
        <v>2900</v>
      </c>
      <c r="BI4738">
        <v>1</v>
      </c>
      <c r="BJ4738">
        <v>0</v>
      </c>
      <c r="BK4738">
        <v>0</v>
      </c>
      <c r="BL4738">
        <v>0</v>
      </c>
      <c r="BO4738">
        <v>0</v>
      </c>
      <c r="BP4738">
        <v>0</v>
      </c>
      <c r="BW4738" t="str">
        <f t="shared" si="2685"/>
        <v>15:01:02.487</v>
      </c>
      <c r="CJ4738">
        <v>0</v>
      </c>
      <c r="CK4738">
        <v>2</v>
      </c>
      <c r="CL4738">
        <v>0</v>
      </c>
      <c r="CM4738">
        <v>2</v>
      </c>
      <c r="CN4738">
        <v>0</v>
      </c>
      <c r="CO4738">
        <v>6</v>
      </c>
      <c r="CP4738" t="s">
        <v>119</v>
      </c>
      <c r="CQ4738">
        <v>298</v>
      </c>
      <c r="CR4738">
        <v>0</v>
      </c>
      <c r="CW4738">
        <v>10487423</v>
      </c>
      <c r="CY4738">
        <v>0</v>
      </c>
      <c r="CZ4738">
        <v>0</v>
      </c>
      <c r="DA4738">
        <v>1</v>
      </c>
      <c r="DB4738">
        <v>0</v>
      </c>
      <c r="DC4738">
        <v>0</v>
      </c>
      <c r="DD4738">
        <v>0</v>
      </c>
      <c r="DE4738">
        <v>0</v>
      </c>
      <c r="DF4738">
        <v>0</v>
      </c>
      <c r="DG4738">
        <v>0</v>
      </c>
      <c r="DH4738">
        <v>0</v>
      </c>
      <c r="DI4738">
        <v>0</v>
      </c>
    </row>
    <row r="4739" spans="1:113" x14ac:dyDescent="0.25">
      <c r="A4739" t="str">
        <f t="shared" si="2683"/>
        <v>06/05/2020 15:00:56.853</v>
      </c>
      <c r="C4739" t="str">
        <f t="shared" si="2667"/>
        <v>FFDFD3C0</v>
      </c>
      <c r="D4739" t="s">
        <v>148</v>
      </c>
      <c r="E4739">
        <v>11</v>
      </c>
      <c r="H4739">
        <v>53</v>
      </c>
      <c r="I4739" t="s">
        <v>364</v>
      </c>
      <c r="J4739" t="s">
        <v>150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 t="shared" si="2684"/>
        <v>15:01:02.484</v>
      </c>
      <c r="T4739" t="str">
        <f t="shared" si="2684"/>
        <v>15:01:02.484</v>
      </c>
      <c r="U4739" t="str">
        <f t="shared" si="2686"/>
        <v>ACC530</v>
      </c>
      <c r="V4739">
        <v>0</v>
      </c>
      <c r="W4739">
        <v>0</v>
      </c>
      <c r="X4739">
        <v>1</v>
      </c>
      <c r="Z4739">
        <v>0</v>
      </c>
      <c r="AA4739">
        <v>9</v>
      </c>
      <c r="AB4739">
        <v>3</v>
      </c>
      <c r="AC4739">
        <v>0</v>
      </c>
      <c r="AD4739">
        <v>9</v>
      </c>
      <c r="AE4739">
        <v>0</v>
      </c>
      <c r="AF4739">
        <v>3</v>
      </c>
      <c r="AG4739">
        <v>1</v>
      </c>
      <c r="AH4739">
        <v>0</v>
      </c>
      <c r="AI4739" t="s">
        <v>1467</v>
      </c>
      <c r="AJ4739">
        <v>34.066586000000001</v>
      </c>
      <c r="AK4739" t="s">
        <v>1468</v>
      </c>
      <c r="AL4739">
        <v>-117.077715</v>
      </c>
      <c r="AM4739">
        <v>100</v>
      </c>
      <c r="AN4739">
        <v>3200</v>
      </c>
      <c r="AO4739" t="s">
        <v>118</v>
      </c>
      <c r="AP4739">
        <v>-99</v>
      </c>
      <c r="AQ4739">
        <v>-81</v>
      </c>
      <c r="AR4739">
        <v>-2624</v>
      </c>
      <c r="AZ4739">
        <v>1200</v>
      </c>
      <c r="BA4739">
        <v>1</v>
      </c>
      <c r="BB4739" t="str">
        <f t="shared" si="2647"/>
        <v xml:space="preserve">N9217B  </v>
      </c>
      <c r="BC4739">
        <v>1</v>
      </c>
      <c r="BE4739">
        <v>0</v>
      </c>
      <c r="BF4739">
        <v>0</v>
      </c>
      <c r="BG4739">
        <v>0</v>
      </c>
      <c r="BH4739">
        <v>2900</v>
      </c>
      <c r="BI4739">
        <v>1</v>
      </c>
      <c r="BJ4739">
        <v>0</v>
      </c>
      <c r="BK4739">
        <v>0</v>
      </c>
      <c r="BL4739">
        <v>0</v>
      </c>
      <c r="BO4739">
        <v>0</v>
      </c>
      <c r="BP4739">
        <v>0</v>
      </c>
      <c r="BW4739" t="str">
        <f t="shared" si="2685"/>
        <v>15:01:02.487</v>
      </c>
      <c r="CJ4739">
        <v>0</v>
      </c>
      <c r="CK4739">
        <v>2</v>
      </c>
      <c r="CL4739">
        <v>0</v>
      </c>
      <c r="CM4739">
        <v>2</v>
      </c>
      <c r="CN4739">
        <v>0</v>
      </c>
      <c r="CO4739">
        <v>6</v>
      </c>
      <c r="CP4739" t="s">
        <v>119</v>
      </c>
      <c r="CQ4739">
        <v>298</v>
      </c>
      <c r="CR4739">
        <v>0</v>
      </c>
      <c r="CW4739">
        <v>10487423</v>
      </c>
      <c r="CY4739">
        <v>0</v>
      </c>
      <c r="CZ4739">
        <v>0</v>
      </c>
      <c r="DA4739">
        <v>1</v>
      </c>
      <c r="DB4739">
        <v>0</v>
      </c>
      <c r="DC4739">
        <v>0</v>
      </c>
      <c r="DD4739">
        <v>0</v>
      </c>
      <c r="DE4739">
        <v>0</v>
      </c>
      <c r="DF4739">
        <v>0</v>
      </c>
      <c r="DG4739">
        <v>0</v>
      </c>
      <c r="DH4739">
        <v>0</v>
      </c>
      <c r="DI4739">
        <v>0</v>
      </c>
    </row>
    <row r="4740" spans="1:113" x14ac:dyDescent="0.25">
      <c r="A4740" t="str">
        <f t="shared" si="2683"/>
        <v>06/05/2020 15:00:56.853</v>
      </c>
      <c r="C4740" t="str">
        <f t="shared" si="2667"/>
        <v>FFDFD3C0</v>
      </c>
      <c r="D4740" t="s">
        <v>141</v>
      </c>
      <c r="E4740">
        <v>20</v>
      </c>
      <c r="F4740">
        <v>1020</v>
      </c>
      <c r="G4740" t="s">
        <v>114</v>
      </c>
      <c r="J4740" t="s">
        <v>142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 t="shared" si="2684"/>
        <v>15:01:02.484</v>
      </c>
      <c r="T4740" t="str">
        <f t="shared" si="2684"/>
        <v>15:01:02.484</v>
      </c>
      <c r="U4740" t="str">
        <f t="shared" si="2686"/>
        <v>ACC530</v>
      </c>
      <c r="V4740">
        <v>0</v>
      </c>
      <c r="W4740">
        <v>0</v>
      </c>
      <c r="X4740">
        <v>1</v>
      </c>
      <c r="Z4740">
        <v>0</v>
      </c>
      <c r="AA4740">
        <v>9</v>
      </c>
      <c r="AB4740">
        <v>3</v>
      </c>
      <c r="AC4740">
        <v>0</v>
      </c>
      <c r="AD4740">
        <v>9</v>
      </c>
      <c r="AE4740">
        <v>0</v>
      </c>
      <c r="AF4740">
        <v>3</v>
      </c>
      <c r="AG4740">
        <v>1</v>
      </c>
      <c r="AH4740">
        <v>0</v>
      </c>
      <c r="AI4740" t="s">
        <v>1467</v>
      </c>
      <c r="AJ4740">
        <v>34.066586000000001</v>
      </c>
      <c r="AK4740" t="s">
        <v>1468</v>
      </c>
      <c r="AL4740">
        <v>-117.077715</v>
      </c>
      <c r="AM4740">
        <v>100</v>
      </c>
      <c r="AN4740">
        <v>3200</v>
      </c>
      <c r="AO4740" t="s">
        <v>118</v>
      </c>
      <c r="AP4740">
        <v>-99</v>
      </c>
      <c r="AQ4740">
        <v>-81</v>
      </c>
      <c r="AR4740">
        <v>-2624</v>
      </c>
      <c r="AZ4740">
        <v>1200</v>
      </c>
      <c r="BA4740">
        <v>1</v>
      </c>
      <c r="BB4740" t="str">
        <f t="shared" si="2647"/>
        <v xml:space="preserve">N9217B  </v>
      </c>
      <c r="BC4740">
        <v>1</v>
      </c>
      <c r="BE4740">
        <v>0</v>
      </c>
      <c r="BF4740">
        <v>0</v>
      </c>
      <c r="BG4740">
        <v>0</v>
      </c>
      <c r="BH4740">
        <v>2900</v>
      </c>
      <c r="BI4740">
        <v>1</v>
      </c>
      <c r="BJ4740">
        <v>0</v>
      </c>
      <c r="BK4740">
        <v>0</v>
      </c>
      <c r="BL4740">
        <v>0</v>
      </c>
      <c r="BO4740">
        <v>0</v>
      </c>
      <c r="BP4740">
        <v>0</v>
      </c>
      <c r="BW4740" t="str">
        <f t="shared" si="2685"/>
        <v>15:01:02.487</v>
      </c>
      <c r="CJ4740">
        <v>0</v>
      </c>
      <c r="CK4740">
        <v>2</v>
      </c>
      <c r="CL4740">
        <v>0</v>
      </c>
      <c r="CM4740">
        <v>2</v>
      </c>
      <c r="CN4740">
        <v>0</v>
      </c>
      <c r="CO4740">
        <v>6</v>
      </c>
      <c r="CP4740" t="s">
        <v>119</v>
      </c>
      <c r="CQ4740">
        <v>298</v>
      </c>
      <c r="CR4740">
        <v>0</v>
      </c>
      <c r="CW4740">
        <v>10487423</v>
      </c>
      <c r="CY4740">
        <v>0</v>
      </c>
      <c r="CZ4740">
        <v>0</v>
      </c>
      <c r="DA4740">
        <v>1</v>
      </c>
      <c r="DB4740">
        <v>0</v>
      </c>
      <c r="DC4740">
        <v>0</v>
      </c>
      <c r="DD4740">
        <v>0</v>
      </c>
      <c r="DE4740">
        <v>0</v>
      </c>
      <c r="DF4740">
        <v>0</v>
      </c>
      <c r="DG4740">
        <v>0</v>
      </c>
      <c r="DH4740">
        <v>0</v>
      </c>
      <c r="DI4740">
        <v>0</v>
      </c>
    </row>
    <row r="4741" spans="1:113" x14ac:dyDescent="0.25">
      <c r="A4741" t="str">
        <f t="shared" ref="A4741:A4747" si="2687">"06/05/2020 15:00:58.228"</f>
        <v>06/05/2020 15:00:58.228</v>
      </c>
      <c r="C4741" t="str">
        <f t="shared" si="2667"/>
        <v>FFDFD3C0</v>
      </c>
      <c r="D4741" t="s">
        <v>113</v>
      </c>
      <c r="E4741">
        <v>3</v>
      </c>
      <c r="H4741">
        <v>166</v>
      </c>
      <c r="I4741" t="s">
        <v>114</v>
      </c>
      <c r="J4741" t="s">
        <v>115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 t="shared" ref="S4741:S4747" si="2688">"15:01:03.875"</f>
        <v>15:01:03.875</v>
      </c>
      <c r="T4741" t="str">
        <f t="shared" ref="T4741:T4747" si="2689">"15:01:03.475"</f>
        <v>15:01:03.475</v>
      </c>
      <c r="U4741" t="str">
        <f t="shared" si="2686"/>
        <v>ACC530</v>
      </c>
      <c r="V4741">
        <v>0</v>
      </c>
      <c r="W4741">
        <v>0</v>
      </c>
      <c r="X4741">
        <v>1</v>
      </c>
      <c r="Z4741">
        <v>0</v>
      </c>
      <c r="AA4741">
        <v>9</v>
      </c>
      <c r="AB4741">
        <v>3</v>
      </c>
      <c r="AC4741">
        <v>0</v>
      </c>
      <c r="AD4741">
        <v>9</v>
      </c>
      <c r="AE4741">
        <v>0</v>
      </c>
      <c r="AF4741">
        <v>3</v>
      </c>
      <c r="AG4741">
        <v>1</v>
      </c>
      <c r="AH4741">
        <v>0</v>
      </c>
      <c r="AI4741" t="s">
        <v>1469</v>
      </c>
      <c r="AJ4741">
        <v>34.066049999999997</v>
      </c>
      <c r="AK4741" t="s">
        <v>1470</v>
      </c>
      <c r="AL4741">
        <v>-117.07848799999999</v>
      </c>
      <c r="AM4741">
        <v>100</v>
      </c>
      <c r="AN4741">
        <v>3100</v>
      </c>
      <c r="AO4741" t="s">
        <v>118</v>
      </c>
      <c r="AP4741">
        <v>-99</v>
      </c>
      <c r="AQ4741">
        <v>-82</v>
      </c>
      <c r="AR4741">
        <v>-2688</v>
      </c>
      <c r="AZ4741">
        <v>1200</v>
      </c>
      <c r="BA4741">
        <v>1</v>
      </c>
      <c r="BB4741" t="str">
        <f t="shared" ref="BB4741:BB4753" si="2690">"N9217B  "</f>
        <v xml:space="preserve">N9217B  </v>
      </c>
      <c r="BC4741">
        <v>1</v>
      </c>
      <c r="BE4741">
        <v>0</v>
      </c>
      <c r="BF4741">
        <v>0</v>
      </c>
      <c r="BG4741">
        <v>0</v>
      </c>
      <c r="BH4741">
        <v>2850</v>
      </c>
      <c r="BI4741">
        <v>1</v>
      </c>
      <c r="BJ4741">
        <v>0</v>
      </c>
      <c r="BK4741">
        <v>0</v>
      </c>
      <c r="BL4741">
        <v>0</v>
      </c>
      <c r="BO4741">
        <v>0</v>
      </c>
      <c r="BP4741">
        <v>0</v>
      </c>
      <c r="BW4741" t="str">
        <f t="shared" ref="BW4741:BW4747" si="2691">"15:01:03.882"</f>
        <v>15:01:03.882</v>
      </c>
      <c r="CJ4741">
        <v>0</v>
      </c>
      <c r="CK4741">
        <v>2</v>
      </c>
      <c r="CL4741">
        <v>0</v>
      </c>
      <c r="CM4741">
        <v>2</v>
      </c>
      <c r="CN4741">
        <v>0</v>
      </c>
      <c r="CO4741">
        <v>6</v>
      </c>
      <c r="CP4741" t="s">
        <v>119</v>
      </c>
      <c r="CQ4741">
        <v>298</v>
      </c>
      <c r="CR4741">
        <v>0</v>
      </c>
      <c r="CW4741">
        <v>10487608</v>
      </c>
      <c r="CY4741">
        <v>0</v>
      </c>
      <c r="CZ4741">
        <v>0</v>
      </c>
      <c r="DA4741">
        <v>0</v>
      </c>
      <c r="DB4741">
        <v>0</v>
      </c>
      <c r="DC4741">
        <v>0</v>
      </c>
      <c r="DD4741">
        <v>0</v>
      </c>
      <c r="DE4741">
        <v>0</v>
      </c>
      <c r="DF4741">
        <v>0</v>
      </c>
      <c r="DG4741">
        <v>0</v>
      </c>
      <c r="DH4741">
        <v>0</v>
      </c>
      <c r="DI4741">
        <v>0</v>
      </c>
    </row>
    <row r="4742" spans="1:113" x14ac:dyDescent="0.25">
      <c r="A4742" t="str">
        <f t="shared" si="2687"/>
        <v>06/05/2020 15:00:58.228</v>
      </c>
      <c r="C4742" t="str">
        <f t="shared" si="2667"/>
        <v>FFDFD3C0</v>
      </c>
      <c r="D4742" t="s">
        <v>151</v>
      </c>
      <c r="E4742">
        <v>9</v>
      </c>
      <c r="H4742">
        <v>226</v>
      </c>
      <c r="I4742" t="s">
        <v>152</v>
      </c>
      <c r="J4742" t="s">
        <v>150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 t="shared" si="2688"/>
        <v>15:01:03.875</v>
      </c>
      <c r="T4742" t="str">
        <f t="shared" si="2689"/>
        <v>15:01:03.475</v>
      </c>
      <c r="U4742" t="str">
        <f t="shared" si="2686"/>
        <v>ACC530</v>
      </c>
      <c r="V4742">
        <v>0</v>
      </c>
      <c r="W4742">
        <v>0</v>
      </c>
      <c r="X4742">
        <v>1</v>
      </c>
      <c r="Z4742">
        <v>0</v>
      </c>
      <c r="AA4742">
        <v>8</v>
      </c>
      <c r="AB4742">
        <v>0</v>
      </c>
      <c r="AC4742">
        <v>0</v>
      </c>
      <c r="AE4742">
        <v>0</v>
      </c>
      <c r="AF4742">
        <v>3</v>
      </c>
      <c r="AG4742">
        <v>1</v>
      </c>
      <c r="AH4742">
        <v>0</v>
      </c>
      <c r="AI4742" t="s">
        <v>1469</v>
      </c>
      <c r="AJ4742">
        <v>34.066049999999997</v>
      </c>
      <c r="AK4742" t="s">
        <v>1470</v>
      </c>
      <c r="AL4742">
        <v>-117.07848799999999</v>
      </c>
      <c r="AM4742">
        <v>100</v>
      </c>
      <c r="AN4742">
        <v>3100</v>
      </c>
      <c r="AO4742" t="s">
        <v>118</v>
      </c>
      <c r="AP4742">
        <v>-99</v>
      </c>
      <c r="AQ4742">
        <v>-82</v>
      </c>
      <c r="AR4742">
        <v>-2688</v>
      </c>
      <c r="AZ4742">
        <v>1200</v>
      </c>
      <c r="BA4742">
        <v>1</v>
      </c>
      <c r="BB4742" t="str">
        <f t="shared" si="2690"/>
        <v xml:space="preserve">N9217B  </v>
      </c>
      <c r="BC4742">
        <v>1</v>
      </c>
      <c r="BE4742">
        <v>0</v>
      </c>
      <c r="BF4742">
        <v>0</v>
      </c>
      <c r="BG4742">
        <v>0</v>
      </c>
      <c r="BH4742">
        <v>2850</v>
      </c>
      <c r="BI4742">
        <v>0</v>
      </c>
      <c r="BJ4742">
        <v>0</v>
      </c>
      <c r="BK4742">
        <v>0</v>
      </c>
      <c r="BL4742">
        <v>0</v>
      </c>
      <c r="BO4742">
        <v>0</v>
      </c>
      <c r="BP4742">
        <v>0</v>
      </c>
      <c r="BW4742" t="str">
        <f t="shared" si="2691"/>
        <v>15:01:03.882</v>
      </c>
      <c r="CJ4742">
        <v>0</v>
      </c>
      <c r="CK4742">
        <v>0</v>
      </c>
      <c r="CL4742">
        <v>0</v>
      </c>
      <c r="CM4742">
        <v>0</v>
      </c>
      <c r="CN4742">
        <v>0</v>
      </c>
      <c r="CO4742">
        <v>2</v>
      </c>
      <c r="CP4742" t="s">
        <v>119</v>
      </c>
      <c r="CQ4742">
        <v>285</v>
      </c>
      <c r="CR4742">
        <v>0</v>
      </c>
      <c r="CW4742">
        <v>8899156</v>
      </c>
      <c r="CY4742">
        <v>0</v>
      </c>
      <c r="CZ4742">
        <v>0</v>
      </c>
      <c r="DA4742">
        <v>1</v>
      </c>
      <c r="DB4742">
        <v>0</v>
      </c>
      <c r="DC4742">
        <v>0</v>
      </c>
      <c r="DD4742">
        <v>0</v>
      </c>
      <c r="DE4742">
        <v>0</v>
      </c>
      <c r="DF4742">
        <v>0</v>
      </c>
      <c r="DG4742">
        <v>0</v>
      </c>
      <c r="DH4742">
        <v>0</v>
      </c>
      <c r="DI4742">
        <v>0</v>
      </c>
    </row>
    <row r="4743" spans="1:113" x14ac:dyDescent="0.25">
      <c r="A4743" t="str">
        <f t="shared" si="2687"/>
        <v>06/05/2020 15:00:58.228</v>
      </c>
      <c r="C4743" t="str">
        <f t="shared" si="2667"/>
        <v>FFDFD3C0</v>
      </c>
      <c r="D4743" t="s">
        <v>148</v>
      </c>
      <c r="E4743">
        <v>8</v>
      </c>
      <c r="H4743">
        <v>50</v>
      </c>
      <c r="I4743" t="s">
        <v>149</v>
      </c>
      <c r="J4743" t="s">
        <v>150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 t="shared" si="2688"/>
        <v>15:01:03.875</v>
      </c>
      <c r="T4743" t="str">
        <f t="shared" si="2689"/>
        <v>15:01:03.475</v>
      </c>
      <c r="U4743" t="str">
        <f t="shared" si="2686"/>
        <v>ACC530</v>
      </c>
      <c r="V4743">
        <v>0</v>
      </c>
      <c r="W4743">
        <v>0</v>
      </c>
      <c r="X4743">
        <v>1</v>
      </c>
      <c r="Z4743">
        <v>0</v>
      </c>
      <c r="AA4743">
        <v>9</v>
      </c>
      <c r="AB4743">
        <v>3</v>
      </c>
      <c r="AC4743">
        <v>0</v>
      </c>
      <c r="AD4743">
        <v>9</v>
      </c>
      <c r="AE4743">
        <v>0</v>
      </c>
      <c r="AF4743">
        <v>3</v>
      </c>
      <c r="AG4743">
        <v>1</v>
      </c>
      <c r="AH4743">
        <v>0</v>
      </c>
      <c r="AI4743" t="s">
        <v>1469</v>
      </c>
      <c r="AJ4743">
        <v>34.066049999999997</v>
      </c>
      <c r="AK4743" t="s">
        <v>1470</v>
      </c>
      <c r="AL4743">
        <v>-117.07848799999999</v>
      </c>
      <c r="AM4743">
        <v>100</v>
      </c>
      <c r="AN4743">
        <v>3100</v>
      </c>
      <c r="AO4743" t="s">
        <v>118</v>
      </c>
      <c r="AP4743">
        <v>-99</v>
      </c>
      <c r="AQ4743">
        <v>-82</v>
      </c>
      <c r="AR4743">
        <v>-2688</v>
      </c>
      <c r="AZ4743">
        <v>1200</v>
      </c>
      <c r="BA4743">
        <v>1</v>
      </c>
      <c r="BB4743" t="str">
        <f t="shared" si="2690"/>
        <v xml:space="preserve">N9217B  </v>
      </c>
      <c r="BC4743">
        <v>1</v>
      </c>
      <c r="BE4743">
        <v>0</v>
      </c>
      <c r="BF4743">
        <v>0</v>
      </c>
      <c r="BG4743">
        <v>0</v>
      </c>
      <c r="BH4743">
        <v>2850</v>
      </c>
      <c r="BI4743">
        <v>1</v>
      </c>
      <c r="BJ4743">
        <v>0</v>
      </c>
      <c r="BK4743">
        <v>0</v>
      </c>
      <c r="BL4743">
        <v>0</v>
      </c>
      <c r="BO4743">
        <v>0</v>
      </c>
      <c r="BP4743">
        <v>0</v>
      </c>
      <c r="BW4743" t="str">
        <f t="shared" si="2691"/>
        <v>15:01:03.882</v>
      </c>
      <c r="CJ4743">
        <v>0</v>
      </c>
      <c r="CK4743">
        <v>2</v>
      </c>
      <c r="CL4743">
        <v>0</v>
      </c>
      <c r="CM4743">
        <v>2</v>
      </c>
      <c r="CN4743">
        <v>0</v>
      </c>
      <c r="CO4743">
        <v>6</v>
      </c>
      <c r="CP4743" t="s">
        <v>119</v>
      </c>
      <c r="CQ4743">
        <v>298</v>
      </c>
      <c r="CR4743">
        <v>0</v>
      </c>
      <c r="CW4743">
        <v>10487608</v>
      </c>
      <c r="CY4743">
        <v>0</v>
      </c>
      <c r="CZ4743">
        <v>0</v>
      </c>
      <c r="DA4743">
        <v>1</v>
      </c>
      <c r="DB4743">
        <v>0</v>
      </c>
      <c r="DC4743">
        <v>0</v>
      </c>
      <c r="DD4743">
        <v>0</v>
      </c>
      <c r="DE4743">
        <v>0</v>
      </c>
      <c r="DF4743">
        <v>0</v>
      </c>
      <c r="DG4743">
        <v>0</v>
      </c>
      <c r="DH4743">
        <v>0</v>
      </c>
      <c r="DI4743">
        <v>0</v>
      </c>
    </row>
    <row r="4744" spans="1:113" x14ac:dyDescent="0.25">
      <c r="A4744" t="str">
        <f t="shared" si="2687"/>
        <v>06/05/2020 15:00:58.228</v>
      </c>
      <c r="C4744" t="str">
        <f t="shared" si="2667"/>
        <v>FFDFD3C0</v>
      </c>
      <c r="D4744" t="s">
        <v>141</v>
      </c>
      <c r="E4744">
        <v>20</v>
      </c>
      <c r="F4744">
        <v>1020</v>
      </c>
      <c r="G4744" t="s">
        <v>114</v>
      </c>
      <c r="J4744" t="s">
        <v>142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 t="shared" si="2688"/>
        <v>15:01:03.875</v>
      </c>
      <c r="T4744" t="str">
        <f t="shared" si="2689"/>
        <v>15:01:03.475</v>
      </c>
      <c r="U4744" t="str">
        <f t="shared" si="2686"/>
        <v>ACC530</v>
      </c>
      <c r="V4744">
        <v>0</v>
      </c>
      <c r="W4744">
        <v>0</v>
      </c>
      <c r="X4744">
        <v>1</v>
      </c>
      <c r="Z4744">
        <v>0</v>
      </c>
      <c r="AA4744">
        <v>9</v>
      </c>
      <c r="AB4744">
        <v>3</v>
      </c>
      <c r="AC4744">
        <v>0</v>
      </c>
      <c r="AD4744">
        <v>9</v>
      </c>
      <c r="AE4744">
        <v>0</v>
      </c>
      <c r="AF4744">
        <v>3</v>
      </c>
      <c r="AG4744">
        <v>1</v>
      </c>
      <c r="AH4744">
        <v>0</v>
      </c>
      <c r="AI4744" t="s">
        <v>1469</v>
      </c>
      <c r="AJ4744">
        <v>34.066049999999997</v>
      </c>
      <c r="AK4744" t="s">
        <v>1470</v>
      </c>
      <c r="AL4744">
        <v>-117.07848799999999</v>
      </c>
      <c r="AM4744">
        <v>100</v>
      </c>
      <c r="AN4744">
        <v>3100</v>
      </c>
      <c r="AO4744" t="s">
        <v>118</v>
      </c>
      <c r="AP4744">
        <v>-99</v>
      </c>
      <c r="AQ4744">
        <v>-82</v>
      </c>
      <c r="AR4744">
        <v>-2688</v>
      </c>
      <c r="AZ4744">
        <v>1200</v>
      </c>
      <c r="BA4744">
        <v>1</v>
      </c>
      <c r="BB4744" t="str">
        <f t="shared" si="2690"/>
        <v xml:space="preserve">N9217B  </v>
      </c>
      <c r="BC4744">
        <v>1</v>
      </c>
      <c r="BE4744">
        <v>0</v>
      </c>
      <c r="BF4744">
        <v>0</v>
      </c>
      <c r="BG4744">
        <v>0</v>
      </c>
      <c r="BH4744">
        <v>2850</v>
      </c>
      <c r="BI4744">
        <v>1</v>
      </c>
      <c r="BJ4744">
        <v>0</v>
      </c>
      <c r="BK4744">
        <v>0</v>
      </c>
      <c r="BL4744">
        <v>0</v>
      </c>
      <c r="BO4744">
        <v>0</v>
      </c>
      <c r="BP4744">
        <v>0</v>
      </c>
      <c r="BW4744" t="str">
        <f t="shared" si="2691"/>
        <v>15:01:03.882</v>
      </c>
      <c r="CJ4744">
        <v>0</v>
      </c>
      <c r="CK4744">
        <v>2</v>
      </c>
      <c r="CL4744">
        <v>0</v>
      </c>
      <c r="CM4744">
        <v>2</v>
      </c>
      <c r="CN4744">
        <v>0</v>
      </c>
      <c r="CO4744">
        <v>6</v>
      </c>
      <c r="CP4744" t="s">
        <v>119</v>
      </c>
      <c r="CQ4744">
        <v>298</v>
      </c>
      <c r="CR4744">
        <v>0</v>
      </c>
      <c r="CW4744">
        <v>10487608</v>
      </c>
      <c r="CY4744">
        <v>0</v>
      </c>
      <c r="CZ4744">
        <v>0</v>
      </c>
      <c r="DA4744">
        <v>1</v>
      </c>
      <c r="DB4744">
        <v>0</v>
      </c>
      <c r="DC4744">
        <v>0</v>
      </c>
      <c r="DD4744">
        <v>0</v>
      </c>
      <c r="DE4744">
        <v>0</v>
      </c>
      <c r="DF4744">
        <v>0</v>
      </c>
      <c r="DG4744">
        <v>0</v>
      </c>
      <c r="DH4744">
        <v>0</v>
      </c>
      <c r="DI4744">
        <v>0</v>
      </c>
    </row>
    <row r="4745" spans="1:113" x14ac:dyDescent="0.25">
      <c r="A4745" t="str">
        <f t="shared" si="2687"/>
        <v>06/05/2020 15:00:58.228</v>
      </c>
      <c r="C4745" t="str">
        <f t="shared" si="2667"/>
        <v>FFDFD3C0</v>
      </c>
      <c r="D4745" t="s">
        <v>148</v>
      </c>
      <c r="E4745">
        <v>11</v>
      </c>
      <c r="H4745">
        <v>53</v>
      </c>
      <c r="I4745" t="s">
        <v>364</v>
      </c>
      <c r="J4745" t="s">
        <v>150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 t="shared" si="2688"/>
        <v>15:01:03.875</v>
      </c>
      <c r="T4745" t="str">
        <f t="shared" si="2689"/>
        <v>15:01:03.475</v>
      </c>
      <c r="U4745" t="str">
        <f t="shared" si="2686"/>
        <v>ACC530</v>
      </c>
      <c r="V4745">
        <v>0</v>
      </c>
      <c r="W4745">
        <v>0</v>
      </c>
      <c r="X4745">
        <v>1</v>
      </c>
      <c r="Z4745">
        <v>0</v>
      </c>
      <c r="AA4745">
        <v>9</v>
      </c>
      <c r="AB4745">
        <v>3</v>
      </c>
      <c r="AC4745">
        <v>0</v>
      </c>
      <c r="AD4745">
        <v>9</v>
      </c>
      <c r="AE4745">
        <v>0</v>
      </c>
      <c r="AF4745">
        <v>3</v>
      </c>
      <c r="AG4745">
        <v>1</v>
      </c>
      <c r="AH4745">
        <v>0</v>
      </c>
      <c r="AI4745" t="s">
        <v>1469</v>
      </c>
      <c r="AJ4745">
        <v>34.066049999999997</v>
      </c>
      <c r="AK4745" t="s">
        <v>1470</v>
      </c>
      <c r="AL4745">
        <v>-117.07848799999999</v>
      </c>
      <c r="AM4745">
        <v>100</v>
      </c>
      <c r="AN4745">
        <v>3100</v>
      </c>
      <c r="AO4745" t="s">
        <v>118</v>
      </c>
      <c r="AP4745">
        <v>-99</v>
      </c>
      <c r="AQ4745">
        <v>-82</v>
      </c>
      <c r="AR4745">
        <v>-2688</v>
      </c>
      <c r="AZ4745">
        <v>1200</v>
      </c>
      <c r="BA4745">
        <v>1</v>
      </c>
      <c r="BB4745" t="str">
        <f t="shared" si="2690"/>
        <v xml:space="preserve">N9217B  </v>
      </c>
      <c r="BC4745">
        <v>1</v>
      </c>
      <c r="BE4745">
        <v>0</v>
      </c>
      <c r="BF4745">
        <v>0</v>
      </c>
      <c r="BG4745">
        <v>0</v>
      </c>
      <c r="BH4745">
        <v>2850</v>
      </c>
      <c r="BI4745">
        <v>1</v>
      </c>
      <c r="BJ4745">
        <v>0</v>
      </c>
      <c r="BK4745">
        <v>0</v>
      </c>
      <c r="BL4745">
        <v>0</v>
      </c>
      <c r="BO4745">
        <v>0</v>
      </c>
      <c r="BP4745">
        <v>0</v>
      </c>
      <c r="BW4745" t="str">
        <f t="shared" si="2691"/>
        <v>15:01:03.882</v>
      </c>
      <c r="CJ4745">
        <v>0</v>
      </c>
      <c r="CK4745">
        <v>2</v>
      </c>
      <c r="CL4745">
        <v>0</v>
      </c>
      <c r="CM4745">
        <v>2</v>
      </c>
      <c r="CN4745">
        <v>0</v>
      </c>
      <c r="CO4745">
        <v>6</v>
      </c>
      <c r="CP4745" t="s">
        <v>119</v>
      </c>
      <c r="CQ4745">
        <v>298</v>
      </c>
      <c r="CR4745">
        <v>0</v>
      </c>
      <c r="CW4745">
        <v>10487608</v>
      </c>
      <c r="CY4745">
        <v>0</v>
      </c>
      <c r="CZ4745">
        <v>0</v>
      </c>
      <c r="DA4745">
        <v>1</v>
      </c>
      <c r="DB4745">
        <v>0</v>
      </c>
      <c r="DC4745">
        <v>0</v>
      </c>
      <c r="DD4745">
        <v>0</v>
      </c>
      <c r="DE4745">
        <v>0</v>
      </c>
      <c r="DF4745">
        <v>0</v>
      </c>
      <c r="DG4745">
        <v>0</v>
      </c>
      <c r="DH4745">
        <v>0</v>
      </c>
      <c r="DI4745">
        <v>0</v>
      </c>
    </row>
    <row r="4746" spans="1:113" x14ac:dyDescent="0.25">
      <c r="A4746" t="str">
        <f t="shared" si="2687"/>
        <v>06/05/2020 15:00:58.228</v>
      </c>
      <c r="C4746" t="str">
        <f t="shared" si="2667"/>
        <v>FFDFD3C0</v>
      </c>
      <c r="D4746" t="s">
        <v>134</v>
      </c>
      <c r="E4746">
        <v>7</v>
      </c>
      <c r="F4746">
        <v>2007</v>
      </c>
      <c r="G4746" t="s">
        <v>135</v>
      </c>
      <c r="J4746" t="s">
        <v>136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 t="shared" si="2688"/>
        <v>15:01:03.875</v>
      </c>
      <c r="T4746" t="str">
        <f t="shared" si="2689"/>
        <v>15:01:03.475</v>
      </c>
      <c r="U4746" t="str">
        <f t="shared" si="2686"/>
        <v>ACC530</v>
      </c>
      <c r="V4746">
        <v>0</v>
      </c>
      <c r="W4746">
        <v>0</v>
      </c>
      <c r="X4746">
        <v>1</v>
      </c>
      <c r="Z4746">
        <v>0</v>
      </c>
      <c r="AA4746">
        <v>9</v>
      </c>
      <c r="AB4746">
        <v>3</v>
      </c>
      <c r="AC4746">
        <v>0</v>
      </c>
      <c r="AD4746">
        <v>9</v>
      </c>
      <c r="AE4746">
        <v>0</v>
      </c>
      <c r="AF4746">
        <v>3</v>
      </c>
      <c r="AG4746">
        <v>1</v>
      </c>
      <c r="AH4746">
        <v>0</v>
      </c>
      <c r="AI4746" t="s">
        <v>1469</v>
      </c>
      <c r="AJ4746">
        <v>34.066049999999997</v>
      </c>
      <c r="AK4746" t="s">
        <v>1470</v>
      </c>
      <c r="AL4746">
        <v>-117.07848799999999</v>
      </c>
      <c r="AM4746">
        <v>100</v>
      </c>
      <c r="AN4746">
        <v>3100</v>
      </c>
      <c r="AO4746" t="s">
        <v>118</v>
      </c>
      <c r="AP4746">
        <v>-99</v>
      </c>
      <c r="AQ4746">
        <v>-82</v>
      </c>
      <c r="AR4746">
        <v>-2688</v>
      </c>
      <c r="AZ4746">
        <v>1200</v>
      </c>
      <c r="BA4746">
        <v>1</v>
      </c>
      <c r="BB4746" t="str">
        <f t="shared" si="2690"/>
        <v xml:space="preserve">N9217B  </v>
      </c>
      <c r="BC4746">
        <v>1</v>
      </c>
      <c r="BE4746">
        <v>0</v>
      </c>
      <c r="BF4746">
        <v>0</v>
      </c>
      <c r="BG4746">
        <v>0</v>
      </c>
      <c r="BH4746">
        <v>2850</v>
      </c>
      <c r="BI4746">
        <v>1</v>
      </c>
      <c r="BJ4746">
        <v>0</v>
      </c>
      <c r="BK4746">
        <v>0</v>
      </c>
      <c r="BL4746">
        <v>0</v>
      </c>
      <c r="BO4746">
        <v>0</v>
      </c>
      <c r="BP4746">
        <v>0</v>
      </c>
      <c r="BW4746" t="str">
        <f t="shared" si="2691"/>
        <v>15:01:03.882</v>
      </c>
      <c r="CJ4746">
        <v>0</v>
      </c>
      <c r="CK4746">
        <v>2</v>
      </c>
      <c r="CL4746">
        <v>0</v>
      </c>
      <c r="CM4746">
        <v>2</v>
      </c>
      <c r="CN4746">
        <v>0</v>
      </c>
      <c r="CO4746">
        <v>6</v>
      </c>
      <c r="CP4746" t="s">
        <v>119</v>
      </c>
      <c r="CQ4746">
        <v>298</v>
      </c>
      <c r="CR4746">
        <v>0</v>
      </c>
      <c r="CW4746">
        <v>10487608</v>
      </c>
      <c r="CY4746">
        <v>0</v>
      </c>
      <c r="CZ4746">
        <v>0</v>
      </c>
      <c r="DA4746">
        <v>1</v>
      </c>
      <c r="DB4746">
        <v>0</v>
      </c>
      <c r="DC4746">
        <v>0</v>
      </c>
      <c r="DD4746">
        <v>0</v>
      </c>
      <c r="DE4746">
        <v>0</v>
      </c>
      <c r="DF4746">
        <v>0</v>
      </c>
      <c r="DG4746">
        <v>0</v>
      </c>
      <c r="DH4746">
        <v>0</v>
      </c>
      <c r="DI4746">
        <v>0</v>
      </c>
    </row>
    <row r="4747" spans="1:113" x14ac:dyDescent="0.25">
      <c r="A4747" t="str">
        <f t="shared" si="2687"/>
        <v>06/05/2020 15:00:58.228</v>
      </c>
      <c r="C4747" t="str">
        <f t="shared" si="2667"/>
        <v>FFDFD3C0</v>
      </c>
      <c r="D4747" t="s">
        <v>151</v>
      </c>
      <c r="E4747">
        <v>8</v>
      </c>
      <c r="H4747">
        <v>225</v>
      </c>
      <c r="I4747" t="s">
        <v>353</v>
      </c>
      <c r="J4747" t="s">
        <v>150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 t="shared" si="2688"/>
        <v>15:01:03.875</v>
      </c>
      <c r="T4747" t="str">
        <f t="shared" si="2689"/>
        <v>15:01:03.475</v>
      </c>
      <c r="U4747" t="str">
        <f t="shared" si="2686"/>
        <v>ACC530</v>
      </c>
      <c r="V4747">
        <v>0</v>
      </c>
      <c r="W4747">
        <v>0</v>
      </c>
      <c r="X4747">
        <v>1</v>
      </c>
      <c r="Z4747">
        <v>0</v>
      </c>
      <c r="AA4747">
        <v>9</v>
      </c>
      <c r="AB4747">
        <v>3</v>
      </c>
      <c r="AC4747">
        <v>0</v>
      </c>
      <c r="AD4747">
        <v>9</v>
      </c>
      <c r="AE4747">
        <v>0</v>
      </c>
      <c r="AF4747">
        <v>3</v>
      </c>
      <c r="AG4747">
        <v>1</v>
      </c>
      <c r="AH4747">
        <v>0</v>
      </c>
      <c r="AI4747" t="s">
        <v>1469</v>
      </c>
      <c r="AJ4747">
        <v>34.066049999999997</v>
      </c>
      <c r="AK4747" t="s">
        <v>1470</v>
      </c>
      <c r="AL4747">
        <v>-117.07848799999999</v>
      </c>
      <c r="AM4747">
        <v>100</v>
      </c>
      <c r="AN4747">
        <v>3100</v>
      </c>
      <c r="AO4747" t="s">
        <v>118</v>
      </c>
      <c r="AP4747">
        <v>-99</v>
      </c>
      <c r="AQ4747">
        <v>-82</v>
      </c>
      <c r="AR4747">
        <v>-2688</v>
      </c>
      <c r="AZ4747">
        <v>1200</v>
      </c>
      <c r="BA4747">
        <v>1</v>
      </c>
      <c r="BB4747" t="str">
        <f t="shared" si="2690"/>
        <v xml:space="preserve">N9217B  </v>
      </c>
      <c r="BC4747">
        <v>1</v>
      </c>
      <c r="BE4747">
        <v>0</v>
      </c>
      <c r="BF4747">
        <v>0</v>
      </c>
      <c r="BG4747">
        <v>0</v>
      </c>
      <c r="BH4747">
        <v>2850</v>
      </c>
      <c r="BI4747">
        <v>1</v>
      </c>
      <c r="BJ4747">
        <v>0</v>
      </c>
      <c r="BK4747">
        <v>0</v>
      </c>
      <c r="BL4747">
        <v>0</v>
      </c>
      <c r="BO4747">
        <v>0</v>
      </c>
      <c r="BP4747">
        <v>0</v>
      </c>
      <c r="BW4747" t="str">
        <f t="shared" si="2691"/>
        <v>15:01:03.882</v>
      </c>
      <c r="CJ4747">
        <v>0</v>
      </c>
      <c r="CK4747">
        <v>2</v>
      </c>
      <c r="CL4747">
        <v>0</v>
      </c>
      <c r="CM4747">
        <v>2</v>
      </c>
      <c r="CN4747">
        <v>0</v>
      </c>
      <c r="CO4747">
        <v>6</v>
      </c>
      <c r="CP4747" t="s">
        <v>119</v>
      </c>
      <c r="CQ4747">
        <v>298</v>
      </c>
      <c r="CR4747">
        <v>0</v>
      </c>
      <c r="CW4747">
        <v>10487608</v>
      </c>
      <c r="CY4747">
        <v>0</v>
      </c>
      <c r="CZ4747">
        <v>0</v>
      </c>
      <c r="DA4747">
        <v>1</v>
      </c>
      <c r="DB4747">
        <v>0</v>
      </c>
      <c r="DC4747">
        <v>0</v>
      </c>
      <c r="DD4747">
        <v>0</v>
      </c>
      <c r="DE4747">
        <v>0</v>
      </c>
      <c r="DF4747">
        <v>0</v>
      </c>
      <c r="DG4747">
        <v>0</v>
      </c>
      <c r="DH4747">
        <v>0</v>
      </c>
      <c r="DI4747">
        <v>0</v>
      </c>
    </row>
    <row r="4748" spans="1:113" x14ac:dyDescent="0.25">
      <c r="A4748" t="str">
        <f t="shared" ref="A4748:A4753" si="2692">"06/05/2020 15:00:59.391"</f>
        <v>06/05/2020 15:00:59.391</v>
      </c>
      <c r="C4748" t="str">
        <f t="shared" si="2667"/>
        <v>FFDFD3C0</v>
      </c>
      <c r="D4748" t="s">
        <v>113</v>
      </c>
      <c r="E4748">
        <v>3</v>
      </c>
      <c r="H4748">
        <v>166</v>
      </c>
      <c r="I4748" t="s">
        <v>114</v>
      </c>
      <c r="J4748" t="s">
        <v>115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 t="shared" ref="S4748:S4753" si="2693">"15:01:05.031"</f>
        <v>15:01:05.031</v>
      </c>
      <c r="T4748" t="str">
        <f t="shared" ref="T4748:T4753" si="2694">"15:01:04.931"</f>
        <v>15:01:04.931</v>
      </c>
      <c r="U4748" t="str">
        <f t="shared" si="2686"/>
        <v>ACC530</v>
      </c>
      <c r="V4748">
        <v>0</v>
      </c>
      <c r="W4748">
        <v>0</v>
      </c>
      <c r="X4748">
        <v>1</v>
      </c>
      <c r="Z4748">
        <v>0</v>
      </c>
      <c r="AA4748">
        <v>9</v>
      </c>
      <c r="AB4748">
        <v>3</v>
      </c>
      <c r="AC4748">
        <v>0</v>
      </c>
      <c r="AD4748">
        <v>9</v>
      </c>
      <c r="AE4748">
        <v>0</v>
      </c>
      <c r="AF4748">
        <v>3</v>
      </c>
      <c r="AG4748">
        <v>1</v>
      </c>
      <c r="AH4748">
        <v>0</v>
      </c>
      <c r="AI4748" t="s">
        <v>1228</v>
      </c>
      <c r="AJ4748">
        <v>34.065621</v>
      </c>
      <c r="AK4748" t="s">
        <v>1471</v>
      </c>
      <c r="AL4748">
        <v>-117.079132</v>
      </c>
      <c r="AM4748">
        <v>100</v>
      </c>
      <c r="AN4748">
        <v>3000</v>
      </c>
      <c r="AO4748" t="s">
        <v>118</v>
      </c>
      <c r="AP4748">
        <v>-99</v>
      </c>
      <c r="AQ4748">
        <v>-83</v>
      </c>
      <c r="AR4748">
        <v>-2752</v>
      </c>
      <c r="AZ4748">
        <v>1200</v>
      </c>
      <c r="BA4748">
        <v>1</v>
      </c>
      <c r="BB4748" t="str">
        <f t="shared" si="2690"/>
        <v xml:space="preserve">N9217B  </v>
      </c>
      <c r="BC4748">
        <v>1</v>
      </c>
      <c r="BE4748">
        <v>0</v>
      </c>
      <c r="BF4748">
        <v>0</v>
      </c>
      <c r="BG4748">
        <v>0</v>
      </c>
      <c r="BH4748">
        <v>2775</v>
      </c>
      <c r="BI4748">
        <v>1</v>
      </c>
      <c r="BJ4748">
        <v>0</v>
      </c>
      <c r="BK4748">
        <v>0</v>
      </c>
      <c r="BL4748">
        <v>0</v>
      </c>
      <c r="BO4748">
        <v>0</v>
      </c>
      <c r="BP4748">
        <v>0</v>
      </c>
      <c r="BW4748" t="str">
        <f t="shared" ref="BW4748:BW4753" si="2695">"15:01:05.037"</f>
        <v>15:01:05.037</v>
      </c>
      <c r="CJ4748">
        <v>0</v>
      </c>
      <c r="CK4748">
        <v>2</v>
      </c>
      <c r="CL4748">
        <v>0</v>
      </c>
      <c r="CM4748">
        <v>2</v>
      </c>
      <c r="CN4748">
        <v>0</v>
      </c>
      <c r="CO4748">
        <v>6</v>
      </c>
      <c r="CP4748" t="s">
        <v>119</v>
      </c>
      <c r="CQ4748">
        <v>298</v>
      </c>
      <c r="CR4748">
        <v>0</v>
      </c>
      <c r="CW4748">
        <v>10487768</v>
      </c>
      <c r="CY4748">
        <v>0</v>
      </c>
      <c r="CZ4748">
        <v>0</v>
      </c>
      <c r="DA4748">
        <v>0</v>
      </c>
      <c r="DB4748">
        <v>0</v>
      </c>
      <c r="DC4748">
        <v>0</v>
      </c>
      <c r="DD4748">
        <v>0</v>
      </c>
      <c r="DE4748">
        <v>0</v>
      </c>
      <c r="DF4748">
        <v>0</v>
      </c>
      <c r="DG4748">
        <v>0</v>
      </c>
      <c r="DH4748">
        <v>0</v>
      </c>
      <c r="DI4748">
        <v>0</v>
      </c>
    </row>
    <row r="4749" spans="1:113" x14ac:dyDescent="0.25">
      <c r="A4749" t="str">
        <f t="shared" si="2692"/>
        <v>06/05/2020 15:00:59.391</v>
      </c>
      <c r="C4749" t="str">
        <f t="shared" si="2667"/>
        <v>FFDFD3C0</v>
      </c>
      <c r="D4749" t="s">
        <v>148</v>
      </c>
      <c r="E4749">
        <v>8</v>
      </c>
      <c r="H4749">
        <v>50</v>
      </c>
      <c r="I4749" t="s">
        <v>149</v>
      </c>
      <c r="J4749" t="s">
        <v>150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 t="shared" si="2693"/>
        <v>15:01:05.031</v>
      </c>
      <c r="T4749" t="str">
        <f t="shared" si="2694"/>
        <v>15:01:04.931</v>
      </c>
      <c r="U4749" t="str">
        <f t="shared" si="2686"/>
        <v>ACC530</v>
      </c>
      <c r="V4749">
        <v>0</v>
      </c>
      <c r="W4749">
        <v>0</v>
      </c>
      <c r="X4749">
        <v>1</v>
      </c>
      <c r="Z4749">
        <v>0</v>
      </c>
      <c r="AA4749">
        <v>9</v>
      </c>
      <c r="AB4749">
        <v>3</v>
      </c>
      <c r="AC4749">
        <v>0</v>
      </c>
      <c r="AD4749">
        <v>9</v>
      </c>
      <c r="AE4749">
        <v>0</v>
      </c>
      <c r="AF4749">
        <v>3</v>
      </c>
      <c r="AG4749">
        <v>1</v>
      </c>
      <c r="AH4749">
        <v>0</v>
      </c>
      <c r="AI4749" t="s">
        <v>1228</v>
      </c>
      <c r="AJ4749">
        <v>34.065621</v>
      </c>
      <c r="AK4749" t="s">
        <v>1471</v>
      </c>
      <c r="AL4749">
        <v>-117.079132</v>
      </c>
      <c r="AM4749">
        <v>100</v>
      </c>
      <c r="AN4749">
        <v>3000</v>
      </c>
      <c r="AO4749" t="s">
        <v>118</v>
      </c>
      <c r="AP4749">
        <v>-99</v>
      </c>
      <c r="AQ4749">
        <v>-83</v>
      </c>
      <c r="AR4749">
        <v>-2752</v>
      </c>
      <c r="AZ4749">
        <v>1200</v>
      </c>
      <c r="BA4749">
        <v>1</v>
      </c>
      <c r="BB4749" t="str">
        <f t="shared" si="2690"/>
        <v xml:space="preserve">N9217B  </v>
      </c>
      <c r="BC4749">
        <v>1</v>
      </c>
      <c r="BE4749">
        <v>0</v>
      </c>
      <c r="BF4749">
        <v>0</v>
      </c>
      <c r="BG4749">
        <v>0</v>
      </c>
      <c r="BH4749">
        <v>2775</v>
      </c>
      <c r="BI4749">
        <v>1</v>
      </c>
      <c r="BJ4749">
        <v>0</v>
      </c>
      <c r="BK4749">
        <v>0</v>
      </c>
      <c r="BL4749">
        <v>0</v>
      </c>
      <c r="BO4749">
        <v>0</v>
      </c>
      <c r="BP4749">
        <v>0</v>
      </c>
      <c r="BW4749" t="str">
        <f t="shared" si="2695"/>
        <v>15:01:05.037</v>
      </c>
      <c r="CJ4749">
        <v>0</v>
      </c>
      <c r="CK4749">
        <v>2</v>
      </c>
      <c r="CL4749">
        <v>0</v>
      </c>
      <c r="CM4749">
        <v>2</v>
      </c>
      <c r="CN4749">
        <v>0</v>
      </c>
      <c r="CO4749">
        <v>6</v>
      </c>
      <c r="CP4749" t="s">
        <v>119</v>
      </c>
      <c r="CQ4749">
        <v>298</v>
      </c>
      <c r="CR4749">
        <v>0</v>
      </c>
      <c r="CW4749">
        <v>10487768</v>
      </c>
      <c r="CY4749">
        <v>0</v>
      </c>
      <c r="CZ4749">
        <v>0</v>
      </c>
      <c r="DA4749">
        <v>1</v>
      </c>
      <c r="DB4749">
        <v>0</v>
      </c>
      <c r="DC4749">
        <v>0</v>
      </c>
      <c r="DD4749">
        <v>0</v>
      </c>
      <c r="DE4749">
        <v>0</v>
      </c>
      <c r="DF4749">
        <v>0</v>
      </c>
      <c r="DG4749">
        <v>0</v>
      </c>
      <c r="DH4749">
        <v>0</v>
      </c>
      <c r="DI4749">
        <v>0</v>
      </c>
    </row>
    <row r="4750" spans="1:113" x14ac:dyDescent="0.25">
      <c r="A4750" t="str">
        <f t="shared" si="2692"/>
        <v>06/05/2020 15:00:59.391</v>
      </c>
      <c r="C4750" t="str">
        <f t="shared" si="2667"/>
        <v>FFDFD3C0</v>
      </c>
      <c r="D4750" t="s">
        <v>141</v>
      </c>
      <c r="E4750">
        <v>20</v>
      </c>
      <c r="F4750">
        <v>1020</v>
      </c>
      <c r="G4750" t="s">
        <v>114</v>
      </c>
      <c r="J4750" t="s">
        <v>142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 t="shared" si="2693"/>
        <v>15:01:05.031</v>
      </c>
      <c r="T4750" t="str">
        <f t="shared" si="2694"/>
        <v>15:01:04.931</v>
      </c>
      <c r="U4750" t="str">
        <f t="shared" si="2686"/>
        <v>ACC530</v>
      </c>
      <c r="V4750">
        <v>0</v>
      </c>
      <c r="W4750">
        <v>0</v>
      </c>
      <c r="X4750">
        <v>1</v>
      </c>
      <c r="Z4750">
        <v>0</v>
      </c>
      <c r="AA4750">
        <v>9</v>
      </c>
      <c r="AB4750">
        <v>3</v>
      </c>
      <c r="AC4750">
        <v>0</v>
      </c>
      <c r="AD4750">
        <v>9</v>
      </c>
      <c r="AE4750">
        <v>0</v>
      </c>
      <c r="AF4750">
        <v>3</v>
      </c>
      <c r="AG4750">
        <v>1</v>
      </c>
      <c r="AH4750">
        <v>0</v>
      </c>
      <c r="AI4750" t="s">
        <v>1228</v>
      </c>
      <c r="AJ4750">
        <v>34.065621</v>
      </c>
      <c r="AK4750" t="s">
        <v>1471</v>
      </c>
      <c r="AL4750">
        <v>-117.079132</v>
      </c>
      <c r="AM4750">
        <v>100</v>
      </c>
      <c r="AN4750">
        <v>3000</v>
      </c>
      <c r="AO4750" t="s">
        <v>118</v>
      </c>
      <c r="AP4750">
        <v>-99</v>
      </c>
      <c r="AQ4750">
        <v>-83</v>
      </c>
      <c r="AR4750">
        <v>-2752</v>
      </c>
      <c r="AZ4750">
        <v>1200</v>
      </c>
      <c r="BA4750">
        <v>1</v>
      </c>
      <c r="BB4750" t="str">
        <f t="shared" si="2690"/>
        <v xml:space="preserve">N9217B  </v>
      </c>
      <c r="BC4750">
        <v>1</v>
      </c>
      <c r="BE4750">
        <v>0</v>
      </c>
      <c r="BF4750">
        <v>0</v>
      </c>
      <c r="BG4750">
        <v>0</v>
      </c>
      <c r="BH4750">
        <v>2775</v>
      </c>
      <c r="BI4750">
        <v>1</v>
      </c>
      <c r="BJ4750">
        <v>0</v>
      </c>
      <c r="BK4750">
        <v>0</v>
      </c>
      <c r="BL4750">
        <v>0</v>
      </c>
      <c r="BO4750">
        <v>0</v>
      </c>
      <c r="BP4750">
        <v>0</v>
      </c>
      <c r="BW4750" t="str">
        <f t="shared" si="2695"/>
        <v>15:01:05.037</v>
      </c>
      <c r="CJ4750">
        <v>0</v>
      </c>
      <c r="CK4750">
        <v>2</v>
      </c>
      <c r="CL4750">
        <v>0</v>
      </c>
      <c r="CM4750">
        <v>2</v>
      </c>
      <c r="CN4750">
        <v>0</v>
      </c>
      <c r="CO4750">
        <v>6</v>
      </c>
      <c r="CP4750" t="s">
        <v>119</v>
      </c>
      <c r="CQ4750">
        <v>298</v>
      </c>
      <c r="CR4750">
        <v>0</v>
      </c>
      <c r="CW4750">
        <v>10487768</v>
      </c>
      <c r="CY4750">
        <v>0</v>
      </c>
      <c r="CZ4750">
        <v>0</v>
      </c>
      <c r="DA4750">
        <v>1</v>
      </c>
      <c r="DB4750">
        <v>0</v>
      </c>
      <c r="DC4750">
        <v>0</v>
      </c>
      <c r="DD4750">
        <v>0</v>
      </c>
      <c r="DE4750">
        <v>0</v>
      </c>
      <c r="DF4750">
        <v>0</v>
      </c>
      <c r="DG4750">
        <v>0</v>
      </c>
      <c r="DH4750">
        <v>0</v>
      </c>
      <c r="DI4750">
        <v>0</v>
      </c>
    </row>
    <row r="4751" spans="1:113" x14ac:dyDescent="0.25">
      <c r="A4751" t="str">
        <f t="shared" si="2692"/>
        <v>06/05/2020 15:00:59.391</v>
      </c>
      <c r="C4751" t="str">
        <f t="shared" si="2667"/>
        <v>FFDFD3C0</v>
      </c>
      <c r="D4751" t="s">
        <v>148</v>
      </c>
      <c r="E4751">
        <v>11</v>
      </c>
      <c r="H4751">
        <v>53</v>
      </c>
      <c r="I4751" t="s">
        <v>364</v>
      </c>
      <c r="J4751" t="s">
        <v>150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 t="shared" si="2693"/>
        <v>15:01:05.031</v>
      </c>
      <c r="T4751" t="str">
        <f t="shared" si="2694"/>
        <v>15:01:04.931</v>
      </c>
      <c r="U4751" t="str">
        <f t="shared" si="2686"/>
        <v>ACC530</v>
      </c>
      <c r="V4751">
        <v>0</v>
      </c>
      <c r="W4751">
        <v>0</v>
      </c>
      <c r="X4751">
        <v>1</v>
      </c>
      <c r="Z4751">
        <v>0</v>
      </c>
      <c r="AA4751">
        <v>9</v>
      </c>
      <c r="AB4751">
        <v>3</v>
      </c>
      <c r="AC4751">
        <v>0</v>
      </c>
      <c r="AD4751">
        <v>9</v>
      </c>
      <c r="AE4751">
        <v>0</v>
      </c>
      <c r="AF4751">
        <v>3</v>
      </c>
      <c r="AG4751">
        <v>1</v>
      </c>
      <c r="AH4751">
        <v>0</v>
      </c>
      <c r="AI4751" t="s">
        <v>1228</v>
      </c>
      <c r="AJ4751">
        <v>34.065621</v>
      </c>
      <c r="AK4751" t="s">
        <v>1471</v>
      </c>
      <c r="AL4751">
        <v>-117.079132</v>
      </c>
      <c r="AM4751">
        <v>100</v>
      </c>
      <c r="AN4751">
        <v>3000</v>
      </c>
      <c r="AO4751" t="s">
        <v>118</v>
      </c>
      <c r="AP4751">
        <v>-99</v>
      </c>
      <c r="AQ4751">
        <v>-83</v>
      </c>
      <c r="AR4751">
        <v>-2752</v>
      </c>
      <c r="AZ4751">
        <v>1200</v>
      </c>
      <c r="BA4751">
        <v>1</v>
      </c>
      <c r="BB4751" t="str">
        <f t="shared" si="2690"/>
        <v xml:space="preserve">N9217B  </v>
      </c>
      <c r="BC4751">
        <v>1</v>
      </c>
      <c r="BE4751">
        <v>0</v>
      </c>
      <c r="BF4751">
        <v>0</v>
      </c>
      <c r="BG4751">
        <v>0</v>
      </c>
      <c r="BH4751">
        <v>2775</v>
      </c>
      <c r="BI4751">
        <v>1</v>
      </c>
      <c r="BJ4751">
        <v>0</v>
      </c>
      <c r="BK4751">
        <v>0</v>
      </c>
      <c r="BL4751">
        <v>0</v>
      </c>
      <c r="BO4751">
        <v>0</v>
      </c>
      <c r="BP4751">
        <v>0</v>
      </c>
      <c r="BW4751" t="str">
        <f t="shared" si="2695"/>
        <v>15:01:05.037</v>
      </c>
      <c r="CJ4751">
        <v>0</v>
      </c>
      <c r="CK4751">
        <v>2</v>
      </c>
      <c r="CL4751">
        <v>0</v>
      </c>
      <c r="CM4751">
        <v>2</v>
      </c>
      <c r="CN4751">
        <v>0</v>
      </c>
      <c r="CO4751">
        <v>6</v>
      </c>
      <c r="CP4751" t="s">
        <v>119</v>
      </c>
      <c r="CQ4751">
        <v>298</v>
      </c>
      <c r="CR4751">
        <v>0</v>
      </c>
      <c r="CW4751">
        <v>10487768</v>
      </c>
      <c r="CY4751">
        <v>0</v>
      </c>
      <c r="CZ4751">
        <v>0</v>
      </c>
      <c r="DA4751">
        <v>1</v>
      </c>
      <c r="DB4751">
        <v>0</v>
      </c>
      <c r="DC4751">
        <v>0</v>
      </c>
      <c r="DD4751">
        <v>0</v>
      </c>
      <c r="DE4751">
        <v>0</v>
      </c>
      <c r="DF4751">
        <v>0</v>
      </c>
      <c r="DG4751">
        <v>0</v>
      </c>
      <c r="DH4751">
        <v>0</v>
      </c>
      <c r="DI4751">
        <v>0</v>
      </c>
    </row>
    <row r="4752" spans="1:113" x14ac:dyDescent="0.25">
      <c r="A4752" t="str">
        <f t="shared" si="2692"/>
        <v>06/05/2020 15:00:59.391</v>
      </c>
      <c r="C4752" t="str">
        <f t="shared" si="2667"/>
        <v>FFDFD3C0</v>
      </c>
      <c r="D4752" t="s">
        <v>134</v>
      </c>
      <c r="E4752">
        <v>7</v>
      </c>
      <c r="F4752">
        <v>2007</v>
      </c>
      <c r="G4752" t="s">
        <v>135</v>
      </c>
      <c r="J4752" t="s">
        <v>136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 t="shared" si="2693"/>
        <v>15:01:05.031</v>
      </c>
      <c r="T4752" t="str">
        <f t="shared" si="2694"/>
        <v>15:01:04.931</v>
      </c>
      <c r="U4752" t="str">
        <f t="shared" si="2686"/>
        <v>ACC530</v>
      </c>
      <c r="V4752">
        <v>0</v>
      </c>
      <c r="W4752">
        <v>0</v>
      </c>
      <c r="X4752">
        <v>1</v>
      </c>
      <c r="Z4752">
        <v>0</v>
      </c>
      <c r="AA4752">
        <v>9</v>
      </c>
      <c r="AB4752">
        <v>3</v>
      </c>
      <c r="AC4752">
        <v>0</v>
      </c>
      <c r="AD4752">
        <v>9</v>
      </c>
      <c r="AE4752">
        <v>0</v>
      </c>
      <c r="AF4752">
        <v>3</v>
      </c>
      <c r="AG4752">
        <v>1</v>
      </c>
      <c r="AH4752">
        <v>0</v>
      </c>
      <c r="AI4752" t="s">
        <v>1228</v>
      </c>
      <c r="AJ4752">
        <v>34.065621</v>
      </c>
      <c r="AK4752" t="s">
        <v>1471</v>
      </c>
      <c r="AL4752">
        <v>-117.079132</v>
      </c>
      <c r="AM4752">
        <v>100</v>
      </c>
      <c r="AN4752">
        <v>3000</v>
      </c>
      <c r="AO4752" t="s">
        <v>118</v>
      </c>
      <c r="AP4752">
        <v>-99</v>
      </c>
      <c r="AQ4752">
        <v>-83</v>
      </c>
      <c r="AR4752">
        <v>-2752</v>
      </c>
      <c r="AZ4752">
        <v>1200</v>
      </c>
      <c r="BA4752">
        <v>1</v>
      </c>
      <c r="BB4752" t="str">
        <f t="shared" si="2690"/>
        <v xml:space="preserve">N9217B  </v>
      </c>
      <c r="BC4752">
        <v>1</v>
      </c>
      <c r="BE4752">
        <v>0</v>
      </c>
      <c r="BF4752">
        <v>0</v>
      </c>
      <c r="BG4752">
        <v>0</v>
      </c>
      <c r="BH4752">
        <v>2775</v>
      </c>
      <c r="BI4752">
        <v>1</v>
      </c>
      <c r="BJ4752">
        <v>0</v>
      </c>
      <c r="BK4752">
        <v>0</v>
      </c>
      <c r="BL4752">
        <v>0</v>
      </c>
      <c r="BO4752">
        <v>0</v>
      </c>
      <c r="BP4752">
        <v>0</v>
      </c>
      <c r="BW4752" t="str">
        <f t="shared" si="2695"/>
        <v>15:01:05.037</v>
      </c>
      <c r="CJ4752">
        <v>0</v>
      </c>
      <c r="CK4752">
        <v>2</v>
      </c>
      <c r="CL4752">
        <v>0</v>
      </c>
      <c r="CM4752">
        <v>2</v>
      </c>
      <c r="CN4752">
        <v>0</v>
      </c>
      <c r="CO4752">
        <v>6</v>
      </c>
      <c r="CP4752" t="s">
        <v>119</v>
      </c>
      <c r="CQ4752">
        <v>298</v>
      </c>
      <c r="CR4752">
        <v>0</v>
      </c>
      <c r="CW4752">
        <v>10487768</v>
      </c>
      <c r="CY4752">
        <v>0</v>
      </c>
      <c r="CZ4752">
        <v>0</v>
      </c>
      <c r="DA4752">
        <v>1</v>
      </c>
      <c r="DB4752">
        <v>0</v>
      </c>
      <c r="DC4752">
        <v>0</v>
      </c>
      <c r="DD4752">
        <v>0</v>
      </c>
      <c r="DE4752">
        <v>0</v>
      </c>
      <c r="DF4752">
        <v>0</v>
      </c>
      <c r="DG4752">
        <v>0</v>
      </c>
      <c r="DH4752">
        <v>0</v>
      </c>
      <c r="DI4752">
        <v>0</v>
      </c>
    </row>
    <row r="4753" spans="1:113" x14ac:dyDescent="0.25">
      <c r="A4753" t="str">
        <f t="shared" si="2692"/>
        <v>06/05/2020 15:00:59.391</v>
      </c>
      <c r="C4753" t="str">
        <f t="shared" si="2667"/>
        <v>FFDFD3C0</v>
      </c>
      <c r="D4753" t="s">
        <v>151</v>
      </c>
      <c r="E4753">
        <v>8</v>
      </c>
      <c r="H4753">
        <v>225</v>
      </c>
      <c r="I4753" t="s">
        <v>353</v>
      </c>
      <c r="J4753" t="s">
        <v>150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 t="shared" si="2693"/>
        <v>15:01:05.031</v>
      </c>
      <c r="T4753" t="str">
        <f t="shared" si="2694"/>
        <v>15:01:04.931</v>
      </c>
      <c r="U4753" t="str">
        <f t="shared" si="2686"/>
        <v>ACC530</v>
      </c>
      <c r="V4753">
        <v>0</v>
      </c>
      <c r="W4753">
        <v>0</v>
      </c>
      <c r="X4753">
        <v>1</v>
      </c>
      <c r="Z4753">
        <v>0</v>
      </c>
      <c r="AA4753">
        <v>9</v>
      </c>
      <c r="AB4753">
        <v>3</v>
      </c>
      <c r="AC4753">
        <v>0</v>
      </c>
      <c r="AD4753">
        <v>9</v>
      </c>
      <c r="AE4753">
        <v>0</v>
      </c>
      <c r="AF4753">
        <v>3</v>
      </c>
      <c r="AG4753">
        <v>1</v>
      </c>
      <c r="AH4753">
        <v>0</v>
      </c>
      <c r="AI4753" t="s">
        <v>1228</v>
      </c>
      <c r="AJ4753">
        <v>34.065621</v>
      </c>
      <c r="AK4753" t="s">
        <v>1471</v>
      </c>
      <c r="AL4753">
        <v>-117.079132</v>
      </c>
      <c r="AM4753">
        <v>100</v>
      </c>
      <c r="AN4753">
        <v>3000</v>
      </c>
      <c r="AO4753" t="s">
        <v>118</v>
      </c>
      <c r="AP4753">
        <v>-99</v>
      </c>
      <c r="AQ4753">
        <v>-83</v>
      </c>
      <c r="AR4753">
        <v>-2752</v>
      </c>
      <c r="AZ4753">
        <v>1200</v>
      </c>
      <c r="BA4753">
        <v>1</v>
      </c>
      <c r="BB4753" t="str">
        <f t="shared" si="2690"/>
        <v xml:space="preserve">N9217B  </v>
      </c>
      <c r="BC4753">
        <v>1</v>
      </c>
      <c r="BE4753">
        <v>0</v>
      </c>
      <c r="BF4753">
        <v>0</v>
      </c>
      <c r="BG4753">
        <v>0</v>
      </c>
      <c r="BH4753">
        <v>2775</v>
      </c>
      <c r="BI4753">
        <v>1</v>
      </c>
      <c r="BJ4753">
        <v>0</v>
      </c>
      <c r="BK4753">
        <v>0</v>
      </c>
      <c r="BL4753">
        <v>0</v>
      </c>
      <c r="BO4753">
        <v>0</v>
      </c>
      <c r="BP4753">
        <v>0</v>
      </c>
      <c r="BW4753" t="str">
        <f t="shared" si="2695"/>
        <v>15:01:05.037</v>
      </c>
      <c r="CJ4753">
        <v>0</v>
      </c>
      <c r="CK4753">
        <v>2</v>
      </c>
      <c r="CL4753">
        <v>0</v>
      </c>
      <c r="CM4753">
        <v>2</v>
      </c>
      <c r="CN4753">
        <v>0</v>
      </c>
      <c r="CO4753">
        <v>6</v>
      </c>
      <c r="CP4753" t="s">
        <v>119</v>
      </c>
      <c r="CQ4753">
        <v>298</v>
      </c>
      <c r="CR4753">
        <v>0</v>
      </c>
      <c r="CW4753">
        <v>10487768</v>
      </c>
      <c r="CY4753">
        <v>0</v>
      </c>
      <c r="CZ4753">
        <v>0</v>
      </c>
      <c r="DA4753">
        <v>1</v>
      </c>
      <c r="DB4753">
        <v>0</v>
      </c>
      <c r="DC4753">
        <v>0</v>
      </c>
      <c r="DD4753">
        <v>0</v>
      </c>
      <c r="DE4753">
        <v>0</v>
      </c>
      <c r="DF4753">
        <v>0</v>
      </c>
      <c r="DG4753">
        <v>0</v>
      </c>
      <c r="DH4753">
        <v>0</v>
      </c>
      <c r="DI47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20200605_ACC530_427652308_ADSB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Joshua Cawthra</cp:lastModifiedBy>
  <dcterms:created xsi:type="dcterms:W3CDTF">2020-06-09T12:03:06Z</dcterms:created>
  <dcterms:modified xsi:type="dcterms:W3CDTF">2020-06-16T18:30:49Z</dcterms:modified>
</cp:coreProperties>
</file>